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F:\2024 GSY Excel\"/>
    </mc:Choice>
  </mc:AlternateContent>
  <xr:revisionPtr revIDLastSave="0" documentId="13_ncr:1_{B07CB6B3-E835-410C-8CFE-8DE06DE29BB7}" xr6:coauthVersionLast="47" xr6:coauthVersionMax="47" xr10:uidLastSave="{00000000-0000-0000-0000-000000000000}"/>
  <bookViews>
    <workbookView xWindow="-28920" yWindow="-60" windowWidth="29040" windowHeight="15840" tabRatio="858" firstSheet="27" activeTab="35" xr2:uid="{338FF970-01F8-467B-94E0-9E047BC2310A}"/>
  </bookViews>
  <sheets>
    <sheet name="Chp1- Climate" sheetId="8" r:id="rId1"/>
    <sheet name="Chp2- Agriculture &amp; Fisheries" sheetId="7" r:id="rId2"/>
    <sheet name="Chp3- Chamorros in the US" sheetId="11" r:id="rId3"/>
    <sheet name="Chp4- Compact Impact" sheetId="12" r:id="rId4"/>
    <sheet name="Chp5- CPI" sheetId="1" r:id="rId5"/>
    <sheet name="Chp6- Education" sheetId="13" r:id="rId6"/>
    <sheet name="Chp7-Elections #1" sheetId="37" r:id="rId7"/>
    <sheet name="Chp7- Elections #2" sheetId="15" r:id="rId8"/>
    <sheet name="Chp7- Elections #3" sheetId="16" r:id="rId9"/>
    <sheet name="Chp8- Federal Programs" sheetId="17" r:id="rId10"/>
    <sheet name="Chp9- Financial Sector" sheetId="18" r:id="rId11"/>
    <sheet name="Chp10- Gov't Rev &amp; Exp." sheetId="19" r:id="rId12"/>
    <sheet name="Chp11- Gov't Operations" sheetId="20" r:id="rId13"/>
    <sheet name="Chp12- Health #1" sheetId="21" r:id="rId14"/>
    <sheet name="Chp12- Health #2" sheetId="22" r:id="rId15"/>
    <sheet name="Chp12- Health #3" sheetId="23" r:id="rId16"/>
    <sheet name="Chp12- Health #4" sheetId="24" r:id="rId17"/>
    <sheet name="Chp12- Health #5" sheetId="25" r:id="rId18"/>
    <sheet name="Chp13- Income" sheetId="26" r:id="rId19"/>
    <sheet name="Chp14- Insular Areas" sheetId="27" r:id="rId20"/>
    <sheet name="Chp15- Justice" sheetId="10" r:id="rId21"/>
    <sheet name="CHP16- Labor #1" sheetId="28" r:id="rId22"/>
    <sheet name="Chp16- Labor #2" sheetId="29" r:id="rId23"/>
    <sheet name="Chp16- Labor #3" sheetId="30" r:id="rId24"/>
    <sheet name="Chp16- Labor #4" sheetId="31" r:id="rId25"/>
    <sheet name="Chp16- Labor #5" sheetId="32" r:id="rId26"/>
    <sheet name="Chp17- Land &amp; Constuction" sheetId="9" r:id="rId27"/>
    <sheet name="Chp18- Public Assistance" sheetId="33" r:id="rId28"/>
    <sheet name="Chp19- Trade #1" sheetId="2" r:id="rId29"/>
    <sheet name="Chp19- Trade #2" sheetId="3" r:id="rId30"/>
    <sheet name="Chp19- Trade #3" sheetId="4" r:id="rId31"/>
    <sheet name="Chap19- Trade #4" sheetId="5" r:id="rId32"/>
    <sheet name=" Chp19- Trade #5" sheetId="6" r:id="rId33"/>
    <sheet name="Chp20- Transportation" sheetId="34" r:id="rId34"/>
    <sheet name="Chp21- Visitor Arrivals" sheetId="35" r:id="rId35"/>
    <sheet name="Chp22- Housing &amp; Population" sheetId="36" r:id="rId36"/>
  </sheets>
  <definedNames>
    <definedName name="_xlnm.Print_Area" localSheetId="11">'Chp10- Gov''t Rev &amp; Exp.'!$K$1:$R$54</definedName>
    <definedName name="_xlnm.Print_Area" localSheetId="12">'Chp11- Gov''t Operations'!$A$1:$H$53</definedName>
    <definedName name="_xlnm.Print_Area" localSheetId="13">'Chp12- Health #1'!$DS$78:$EA$80</definedName>
    <definedName name="_xlnm.Print_Area" localSheetId="17">'Chp12- Health #5'!$A$1:$I$36</definedName>
    <definedName name="_xlnm.Print_Area" localSheetId="19">'Chp14- Insular Areas'!$A$1:$G$53</definedName>
    <definedName name="_xlnm.Print_Area" localSheetId="22">'Chp16- Labor #2'!$AO$1:$AW$50</definedName>
    <definedName name="_xlnm.Print_Area" localSheetId="27">'Chp18- Public Assistance'!$CH$1:$CM$23</definedName>
    <definedName name="_xlnm.Print_Area" localSheetId="33">'Chp20- Transportation'!#REF!</definedName>
    <definedName name="_xlnm.Print_Area" localSheetId="34">'Chp21- Visitor Arrivals'!$GM$89:$HI$135</definedName>
    <definedName name="_xlnm.Print_Area" localSheetId="3">'Chp4- Compact Impact'!$A$1:$E$58</definedName>
    <definedName name="_xlnm.Print_Area" localSheetId="7">'Chp7- Elections #2'!$AX$1:$BE$25</definedName>
    <definedName name="_xlnm.Print_Area" localSheetId="8">'Chp7- Elections #3'!$W$1:$AE$24</definedName>
    <definedName name="_xlnm.Print_Area" localSheetId="6">'Chp7-Elections #1'!#REF!</definedName>
    <definedName name="_xlnm.Print_Area" localSheetId="9">'Chp8- Federal Programs'!$BN$113:$BS$143</definedName>
    <definedName name="_xlnm.Print_Area" localSheetId="10">'Chp9- Financial Sector'!$BO$43:$BV$83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37" l="1"/>
  <c r="C5" i="37"/>
  <c r="D5" i="37"/>
  <c r="E5" i="37" s="1"/>
  <c r="F5" i="37"/>
  <c r="G5" i="37" s="1"/>
  <c r="H5" i="37"/>
  <c r="I5" i="37" s="1"/>
  <c r="P5" i="37"/>
  <c r="Q5" i="37"/>
  <c r="T5" i="37"/>
  <c r="U5" i="37"/>
  <c r="V5" i="37"/>
  <c r="W5" i="37"/>
  <c r="AL5" i="37"/>
  <c r="AN5" i="37"/>
  <c r="AO5" i="37"/>
  <c r="AP5" i="37"/>
  <c r="AS5" i="37"/>
  <c r="AT5" i="37"/>
  <c r="AU5" i="37"/>
  <c r="AY5" i="37"/>
  <c r="AZ5" i="37"/>
  <c r="BA5" i="37"/>
  <c r="BB5" i="37"/>
  <c r="BC5" i="37"/>
  <c r="BD5" i="37"/>
  <c r="BE5" i="37" s="1"/>
  <c r="BF5" i="37"/>
  <c r="BG5" i="37" s="1"/>
  <c r="BM5" i="37"/>
  <c r="BN5" i="37"/>
  <c r="BO5" i="37"/>
  <c r="BP5" i="37"/>
  <c r="BR5" i="37"/>
  <c r="BT5" i="37"/>
  <c r="BV5" i="37"/>
  <c r="BW5" i="37"/>
  <c r="CA5" i="37"/>
  <c r="CC5" i="37"/>
  <c r="CD5" i="37" s="1"/>
  <c r="CE5" i="37"/>
  <c r="CF5" i="37"/>
  <c r="CK5" i="37"/>
  <c r="CQ5" i="37" s="1"/>
  <c r="CL5" i="37"/>
  <c r="CM5" i="37"/>
  <c r="CN5" i="37"/>
  <c r="CO5" i="37"/>
  <c r="CP5" i="37"/>
  <c r="DD5" i="37"/>
  <c r="DE5" i="37"/>
  <c r="DF5" i="37" s="1"/>
  <c r="DG5" i="37"/>
  <c r="DH5" i="37" s="1"/>
  <c r="DI5" i="37"/>
  <c r="DJ5" i="37" s="1"/>
  <c r="E6" i="37"/>
  <c r="G6" i="37"/>
  <c r="I6" i="37"/>
  <c r="AC6" i="37"/>
  <c r="AE6" i="37"/>
  <c r="AG6" i="37"/>
  <c r="BC6" i="37"/>
  <c r="BE6" i="37"/>
  <c r="BG6" i="37"/>
  <c r="BW6" i="37"/>
  <c r="CD6" i="37"/>
  <c r="CF6" i="37"/>
  <c r="CO6" i="37"/>
  <c r="CQ6" i="37"/>
  <c r="DF6" i="37"/>
  <c r="DH6" i="37"/>
  <c r="DJ6" i="37"/>
  <c r="E7" i="37"/>
  <c r="G7" i="37"/>
  <c r="I7" i="37"/>
  <c r="AC7" i="37"/>
  <c r="AE7" i="37"/>
  <c r="AG7" i="37"/>
  <c r="BC7" i="37"/>
  <c r="BE7" i="37"/>
  <c r="BG7" i="37"/>
  <c r="BW7" i="37"/>
  <c r="CD7" i="37"/>
  <c r="CF7" i="37"/>
  <c r="CO7" i="37"/>
  <c r="CQ7" i="37"/>
  <c r="DF7" i="37"/>
  <c r="DH7" i="37"/>
  <c r="DJ7" i="37"/>
  <c r="E8" i="37"/>
  <c r="G8" i="37"/>
  <c r="I8" i="37"/>
  <c r="AC8" i="37"/>
  <c r="AE8" i="37"/>
  <c r="AG8" i="37"/>
  <c r="BC8" i="37"/>
  <c r="BE8" i="37"/>
  <c r="BG8" i="37"/>
  <c r="BW8" i="37"/>
  <c r="CD8" i="37"/>
  <c r="CF8" i="37"/>
  <c r="CO8" i="37"/>
  <c r="CQ8" i="37"/>
  <c r="DF8" i="37"/>
  <c r="DH8" i="37"/>
  <c r="DJ8" i="37"/>
  <c r="E9" i="37"/>
  <c r="G9" i="37"/>
  <c r="I9" i="37"/>
  <c r="AC9" i="37"/>
  <c r="AE9" i="37"/>
  <c r="AG9" i="37"/>
  <c r="BC9" i="37"/>
  <c r="BE9" i="37"/>
  <c r="BG9" i="37"/>
  <c r="BW9" i="37"/>
  <c r="CD9" i="37"/>
  <c r="CF9" i="37"/>
  <c r="CO9" i="37"/>
  <c r="CQ9" i="37"/>
  <c r="DF9" i="37"/>
  <c r="DH9" i="37"/>
  <c r="DJ9" i="37"/>
  <c r="E10" i="37"/>
  <c r="G10" i="37"/>
  <c r="I10" i="37"/>
  <c r="AC10" i="37"/>
  <c r="AE10" i="37"/>
  <c r="AG10" i="37"/>
  <c r="BC10" i="37"/>
  <c r="BE10" i="37"/>
  <c r="BG10" i="37"/>
  <c r="BW10" i="37"/>
  <c r="CD10" i="37"/>
  <c r="CF10" i="37"/>
  <c r="CO10" i="37"/>
  <c r="CQ10" i="37"/>
  <c r="DF10" i="37"/>
  <c r="DH10" i="37"/>
  <c r="DJ10" i="37"/>
  <c r="E11" i="37"/>
  <c r="G11" i="37"/>
  <c r="I11" i="37"/>
  <c r="AC11" i="37"/>
  <c r="AE11" i="37"/>
  <c r="AG11" i="37"/>
  <c r="BC11" i="37"/>
  <c r="BE11" i="37"/>
  <c r="BG11" i="37"/>
  <c r="BW11" i="37"/>
  <c r="CD11" i="37"/>
  <c r="CF11" i="37"/>
  <c r="CO11" i="37"/>
  <c r="CQ11" i="37"/>
  <c r="DF11" i="37"/>
  <c r="DH11" i="37"/>
  <c r="DJ11" i="37"/>
  <c r="E12" i="37"/>
  <c r="G12" i="37"/>
  <c r="I12" i="37"/>
  <c r="AC12" i="37"/>
  <c r="AE12" i="37"/>
  <c r="AG12" i="37"/>
  <c r="BC12" i="37"/>
  <c r="BE12" i="37"/>
  <c r="BG12" i="37"/>
  <c r="BW12" i="37"/>
  <c r="CD12" i="37"/>
  <c r="CF12" i="37"/>
  <c r="CO12" i="37"/>
  <c r="CQ12" i="37"/>
  <c r="DF12" i="37"/>
  <c r="DH12" i="37"/>
  <c r="DJ12" i="37"/>
  <c r="E13" i="37"/>
  <c r="G13" i="37"/>
  <c r="I13" i="37"/>
  <c r="AC13" i="37"/>
  <c r="AE13" i="37"/>
  <c r="AG13" i="37"/>
  <c r="BC13" i="37"/>
  <c r="BE13" i="37"/>
  <c r="BG13" i="37"/>
  <c r="BW13" i="37"/>
  <c r="CD13" i="37"/>
  <c r="CF13" i="37"/>
  <c r="CO13" i="37"/>
  <c r="CQ13" i="37"/>
  <c r="DF13" i="37"/>
  <c r="DH13" i="37"/>
  <c r="DJ13" i="37"/>
  <c r="E14" i="37"/>
  <c r="G14" i="37"/>
  <c r="I14" i="37"/>
  <c r="AC14" i="37"/>
  <c r="AE14" i="37"/>
  <c r="AG14" i="37"/>
  <c r="BC14" i="37"/>
  <c r="BE14" i="37"/>
  <c r="BG14" i="37"/>
  <c r="BW14" i="37"/>
  <c r="CD14" i="37"/>
  <c r="CF14" i="37"/>
  <c r="CO14" i="37"/>
  <c r="CQ14" i="37"/>
  <c r="DF14" i="37"/>
  <c r="DH14" i="37"/>
  <c r="DJ14" i="37"/>
  <c r="E15" i="37"/>
  <c r="G15" i="37"/>
  <c r="I15" i="37"/>
  <c r="AC15" i="37"/>
  <c r="AE15" i="37"/>
  <c r="AG15" i="37"/>
  <c r="BC15" i="37"/>
  <c r="BE15" i="37"/>
  <c r="BG15" i="37"/>
  <c r="BW15" i="37"/>
  <c r="CD15" i="37"/>
  <c r="CF15" i="37"/>
  <c r="CO15" i="37"/>
  <c r="CQ15" i="37"/>
  <c r="DF15" i="37"/>
  <c r="DH15" i="37"/>
  <c r="DJ15" i="37"/>
  <c r="E16" i="37"/>
  <c r="G16" i="37"/>
  <c r="I16" i="37"/>
  <c r="AC16" i="37"/>
  <c r="AE16" i="37"/>
  <c r="AG16" i="37"/>
  <c r="BC16" i="37"/>
  <c r="BE16" i="37"/>
  <c r="BG16" i="37"/>
  <c r="BW16" i="37"/>
  <c r="CD16" i="37"/>
  <c r="CF16" i="37"/>
  <c r="CO16" i="37"/>
  <c r="CQ16" i="37"/>
  <c r="DF16" i="37"/>
  <c r="DH16" i="37"/>
  <c r="DJ16" i="37"/>
  <c r="E17" i="37"/>
  <c r="G17" i="37"/>
  <c r="I17" i="37"/>
  <c r="AC17" i="37"/>
  <c r="AE17" i="37"/>
  <c r="AG17" i="37"/>
  <c r="BC17" i="37"/>
  <c r="BE17" i="37"/>
  <c r="BG17" i="37"/>
  <c r="BW17" i="37"/>
  <c r="CD17" i="37"/>
  <c r="CF17" i="37"/>
  <c r="CO17" i="37"/>
  <c r="CQ17" i="37"/>
  <c r="DF17" i="37"/>
  <c r="DH17" i="37"/>
  <c r="DJ17" i="37"/>
  <c r="E18" i="37"/>
  <c r="G18" i="37"/>
  <c r="I18" i="37"/>
  <c r="AC18" i="37"/>
  <c r="AE18" i="37"/>
  <c r="AG18" i="37"/>
  <c r="BC18" i="37"/>
  <c r="BE18" i="37"/>
  <c r="BG18" i="37"/>
  <c r="BW18" i="37"/>
  <c r="CD18" i="37"/>
  <c r="CF18" i="37"/>
  <c r="CO18" i="37"/>
  <c r="CQ18" i="37"/>
  <c r="DF18" i="37"/>
  <c r="DH18" i="37"/>
  <c r="DJ18" i="37"/>
  <c r="E19" i="37"/>
  <c r="G19" i="37"/>
  <c r="I19" i="37"/>
  <c r="AC19" i="37"/>
  <c r="AE19" i="37"/>
  <c r="AG19" i="37"/>
  <c r="BC19" i="37"/>
  <c r="BE19" i="37"/>
  <c r="BG19" i="37"/>
  <c r="BW19" i="37"/>
  <c r="CD19" i="37"/>
  <c r="CF19" i="37"/>
  <c r="CO19" i="37"/>
  <c r="CQ19" i="37"/>
  <c r="DF19" i="37"/>
  <c r="DH19" i="37"/>
  <c r="DJ19" i="37"/>
  <c r="E20" i="37"/>
  <c r="G20" i="37"/>
  <c r="I20" i="37"/>
  <c r="AC20" i="37"/>
  <c r="AE20" i="37"/>
  <c r="AG20" i="37"/>
  <c r="BC20" i="37"/>
  <c r="BE20" i="37"/>
  <c r="BG20" i="37"/>
  <c r="BW20" i="37"/>
  <c r="CD20" i="37"/>
  <c r="CF20" i="37"/>
  <c r="CO20" i="37"/>
  <c r="CQ20" i="37"/>
  <c r="DF20" i="37"/>
  <c r="DH20" i="37"/>
  <c r="DJ20" i="37"/>
  <c r="E21" i="37"/>
  <c r="G21" i="37"/>
  <c r="I21" i="37"/>
  <c r="AC21" i="37"/>
  <c r="AE21" i="37"/>
  <c r="AG21" i="37"/>
  <c r="BC21" i="37"/>
  <c r="BE21" i="37"/>
  <c r="BG21" i="37"/>
  <c r="BW21" i="37"/>
  <c r="CD21" i="37"/>
  <c r="CF21" i="37"/>
  <c r="CO21" i="37"/>
  <c r="CQ21" i="37"/>
  <c r="DF21" i="37"/>
  <c r="DH21" i="37"/>
  <c r="DJ21" i="37"/>
  <c r="E22" i="37"/>
  <c r="G22" i="37"/>
  <c r="I22" i="37"/>
  <c r="AC22" i="37"/>
  <c r="AE22" i="37"/>
  <c r="AG22" i="37"/>
  <c r="BC22" i="37"/>
  <c r="BE22" i="37"/>
  <c r="BG22" i="37"/>
  <c r="BW22" i="37"/>
  <c r="CD22" i="37"/>
  <c r="CF22" i="37"/>
  <c r="CO22" i="37"/>
  <c r="CQ22" i="37"/>
  <c r="DF22" i="37"/>
  <c r="DH22" i="37"/>
  <c r="DJ22" i="37"/>
  <c r="E23" i="37"/>
  <c r="G23" i="37"/>
  <c r="I23" i="37"/>
  <c r="AC23" i="37"/>
  <c r="AE23" i="37"/>
  <c r="AG23" i="37"/>
  <c r="BC23" i="37"/>
  <c r="BE23" i="37"/>
  <c r="BG23" i="37"/>
  <c r="BW23" i="37"/>
  <c r="CD23" i="37"/>
  <c r="CF23" i="37"/>
  <c r="CO23" i="37"/>
  <c r="CQ23" i="37"/>
  <c r="DF23" i="37"/>
  <c r="DH23" i="37"/>
  <c r="DJ23" i="37"/>
  <c r="E24" i="37"/>
  <c r="G24" i="37"/>
  <c r="I24" i="37"/>
  <c r="AC24" i="37"/>
  <c r="AE24" i="37"/>
  <c r="AG24" i="37"/>
  <c r="BC24" i="37"/>
  <c r="BE24" i="37"/>
  <c r="BG24" i="37"/>
  <c r="BW24" i="37"/>
  <c r="CD24" i="37"/>
  <c r="CF24" i="37"/>
  <c r="CO24" i="37"/>
  <c r="CQ24" i="37"/>
  <c r="DF24" i="37"/>
  <c r="DH24" i="37"/>
  <c r="DJ24" i="37"/>
  <c r="AC25" i="37"/>
  <c r="AE25" i="37"/>
  <c r="AG25" i="37"/>
  <c r="CA33" i="37"/>
  <c r="CB33" i="37"/>
  <c r="CC33" i="37"/>
  <c r="CD33" i="37"/>
  <c r="CE33" i="37"/>
  <c r="CF33" i="37" s="1"/>
  <c r="AA34" i="37"/>
  <c r="AB34" i="37"/>
  <c r="AC34" i="37"/>
  <c r="AD34" i="37"/>
  <c r="AE34" i="37"/>
  <c r="AF34" i="37"/>
  <c r="AG34" i="37" s="1"/>
  <c r="CD34" i="37"/>
  <c r="CF34" i="37"/>
  <c r="AC35" i="37"/>
  <c r="AE35" i="37"/>
  <c r="AG35" i="37"/>
  <c r="CD35" i="37"/>
  <c r="CF35" i="37"/>
  <c r="CK35" i="37"/>
  <c r="CL35" i="37"/>
  <c r="CM35" i="37"/>
  <c r="CN35" i="37"/>
  <c r="CO35" i="37"/>
  <c r="CP35" i="37"/>
  <c r="CQ35" i="37"/>
  <c r="DD35" i="37"/>
  <c r="DE35" i="37"/>
  <c r="DF35" i="37"/>
  <c r="DG35" i="37"/>
  <c r="DH35" i="37" s="1"/>
  <c r="DI35" i="37"/>
  <c r="DJ35" i="37" s="1"/>
  <c r="AC36" i="37"/>
  <c r="AE36" i="37"/>
  <c r="AG36" i="37"/>
  <c r="CD36" i="37"/>
  <c r="CF36" i="37"/>
  <c r="CO36" i="37"/>
  <c r="CQ36" i="37"/>
  <c r="DF36" i="37"/>
  <c r="DH36" i="37"/>
  <c r="DJ36" i="37"/>
  <c r="AC37" i="37"/>
  <c r="AE37" i="37"/>
  <c r="AG37" i="37"/>
  <c r="AZ37" i="37"/>
  <c r="BA37" i="37"/>
  <c r="BC37" i="37"/>
  <c r="BE37" i="37"/>
  <c r="BF37" i="37"/>
  <c r="BG37" i="37" s="1"/>
  <c r="BM37" i="37"/>
  <c r="BN37" i="37"/>
  <c r="BO37" i="37"/>
  <c r="BP37" i="37"/>
  <c r="BQ37" i="37" s="1"/>
  <c r="BR37" i="37"/>
  <c r="BS37" i="37"/>
  <c r="BT37" i="37"/>
  <c r="BU37" i="37"/>
  <c r="CD37" i="37"/>
  <c r="CF37" i="37"/>
  <c r="CO37" i="37"/>
  <c r="CQ37" i="37"/>
  <c r="DF37" i="37"/>
  <c r="DH37" i="37"/>
  <c r="DJ37" i="37"/>
  <c r="B38" i="37"/>
  <c r="C38" i="37"/>
  <c r="D38" i="37"/>
  <c r="E38" i="37"/>
  <c r="F38" i="37"/>
  <c r="G38" i="37"/>
  <c r="H38" i="37"/>
  <c r="I38" i="37" s="1"/>
  <c r="J38" i="37"/>
  <c r="K38" i="37" s="1"/>
  <c r="AC38" i="37"/>
  <c r="AE38" i="37"/>
  <c r="AG38" i="37"/>
  <c r="BC38" i="37"/>
  <c r="BE38" i="37"/>
  <c r="BG38" i="37"/>
  <c r="BQ38" i="37"/>
  <c r="BS38" i="37"/>
  <c r="BU38" i="37"/>
  <c r="CD38" i="37"/>
  <c r="CF38" i="37"/>
  <c r="CO38" i="37"/>
  <c r="CQ38" i="37"/>
  <c r="DF38" i="37"/>
  <c r="DH38" i="37"/>
  <c r="DJ38" i="37"/>
  <c r="E39" i="37"/>
  <c r="G39" i="37"/>
  <c r="I39" i="37"/>
  <c r="K39" i="37"/>
  <c r="AC39" i="37"/>
  <c r="AE39" i="37"/>
  <c r="AG39" i="37"/>
  <c r="BC39" i="37"/>
  <c r="BE39" i="37"/>
  <c r="BG39" i="37"/>
  <c r="BQ39" i="37"/>
  <c r="BS39" i="37"/>
  <c r="BU39" i="37"/>
  <c r="CD39" i="37"/>
  <c r="CF39" i="37"/>
  <c r="CO39" i="37"/>
  <c r="CQ39" i="37"/>
  <c r="DF39" i="37"/>
  <c r="DH39" i="37"/>
  <c r="DJ39" i="37"/>
  <c r="E40" i="37"/>
  <c r="G40" i="37"/>
  <c r="I40" i="37"/>
  <c r="K40" i="37"/>
  <c r="AC40" i="37"/>
  <c r="AE40" i="37"/>
  <c r="AG40" i="37"/>
  <c r="BC40" i="37"/>
  <c r="BE40" i="37"/>
  <c r="BG40" i="37"/>
  <c r="BQ40" i="37"/>
  <c r="BS40" i="37"/>
  <c r="BU40" i="37"/>
  <c r="CD40" i="37"/>
  <c r="CF40" i="37"/>
  <c r="CO40" i="37"/>
  <c r="CQ40" i="37"/>
  <c r="DF40" i="37"/>
  <c r="DH40" i="37"/>
  <c r="DJ40" i="37"/>
  <c r="E41" i="37"/>
  <c r="G41" i="37"/>
  <c r="I41" i="37"/>
  <c r="K41" i="37"/>
  <c r="AC41" i="37"/>
  <c r="AE41" i="37"/>
  <c r="AG41" i="37"/>
  <c r="BC41" i="37"/>
  <c r="BE41" i="37"/>
  <c r="BG41" i="37"/>
  <c r="BQ41" i="37"/>
  <c r="BS41" i="37"/>
  <c r="BU41" i="37"/>
  <c r="CD41" i="37"/>
  <c r="CF41" i="37"/>
  <c r="CO41" i="37"/>
  <c r="CQ41" i="37"/>
  <c r="DF41" i="37"/>
  <c r="DH41" i="37"/>
  <c r="DJ41" i="37"/>
  <c r="E42" i="37"/>
  <c r="G42" i="37"/>
  <c r="I42" i="37"/>
  <c r="K42" i="37"/>
  <c r="AC42" i="37"/>
  <c r="AE42" i="37"/>
  <c r="AG42" i="37"/>
  <c r="BC42" i="37"/>
  <c r="BE42" i="37"/>
  <c r="BG42" i="37"/>
  <c r="BQ42" i="37"/>
  <c r="BS42" i="37"/>
  <c r="BU42" i="37"/>
  <c r="CD42" i="37"/>
  <c r="CF42" i="37"/>
  <c r="CO42" i="37"/>
  <c r="CQ42" i="37"/>
  <c r="DF42" i="37"/>
  <c r="DH42" i="37"/>
  <c r="DJ42" i="37"/>
  <c r="E43" i="37"/>
  <c r="G43" i="37"/>
  <c r="I43" i="37"/>
  <c r="K43" i="37"/>
  <c r="AC43" i="37"/>
  <c r="AE43" i="37"/>
  <c r="AG43" i="37"/>
  <c r="BC43" i="37"/>
  <c r="BE43" i="37"/>
  <c r="BG43" i="37"/>
  <c r="BQ43" i="37"/>
  <c r="BS43" i="37"/>
  <c r="BU43" i="37"/>
  <c r="CD43" i="37"/>
  <c r="CF43" i="37"/>
  <c r="CO43" i="37"/>
  <c r="CQ43" i="37"/>
  <c r="DF43" i="37"/>
  <c r="DH43" i="37"/>
  <c r="DJ43" i="37"/>
  <c r="E44" i="37"/>
  <c r="G44" i="37"/>
  <c r="I44" i="37"/>
  <c r="K44" i="37"/>
  <c r="AC44" i="37"/>
  <c r="AE44" i="37"/>
  <c r="AG44" i="37"/>
  <c r="BC44" i="37"/>
  <c r="BE44" i="37"/>
  <c r="BG44" i="37"/>
  <c r="BQ44" i="37"/>
  <c r="BS44" i="37"/>
  <c r="BU44" i="37"/>
  <c r="CD44" i="37"/>
  <c r="CF44" i="37"/>
  <c r="CO44" i="37"/>
  <c r="CQ44" i="37"/>
  <c r="DF44" i="37"/>
  <c r="DH44" i="37"/>
  <c r="DJ44" i="37"/>
  <c r="E45" i="37"/>
  <c r="G45" i="37"/>
  <c r="I45" i="37"/>
  <c r="K45" i="37"/>
  <c r="AC45" i="37"/>
  <c r="AE45" i="37"/>
  <c r="AG45" i="37"/>
  <c r="BC45" i="37"/>
  <c r="BE45" i="37"/>
  <c r="BG45" i="37"/>
  <c r="BQ45" i="37"/>
  <c r="BS45" i="37"/>
  <c r="BU45" i="37"/>
  <c r="CD45" i="37"/>
  <c r="CF45" i="37"/>
  <c r="CO45" i="37"/>
  <c r="CQ45" i="37"/>
  <c r="DF45" i="37"/>
  <c r="DH45" i="37"/>
  <c r="DJ45" i="37"/>
  <c r="E46" i="37"/>
  <c r="G46" i="37"/>
  <c r="I46" i="37"/>
  <c r="K46" i="37"/>
  <c r="AC46" i="37"/>
  <c r="AE46" i="37"/>
  <c r="AG46" i="37"/>
  <c r="BC46" i="37"/>
  <c r="BE46" i="37"/>
  <c r="BG46" i="37"/>
  <c r="BQ46" i="37"/>
  <c r="BS46" i="37"/>
  <c r="BU46" i="37"/>
  <c r="CD46" i="37"/>
  <c r="CF46" i="37"/>
  <c r="CO46" i="37"/>
  <c r="CQ46" i="37"/>
  <c r="DF46" i="37"/>
  <c r="DH46" i="37"/>
  <c r="DJ46" i="37"/>
  <c r="E47" i="37"/>
  <c r="G47" i="37"/>
  <c r="I47" i="37"/>
  <c r="K47" i="37"/>
  <c r="AC47" i="37"/>
  <c r="AE47" i="37"/>
  <c r="AG47" i="37"/>
  <c r="BC47" i="37"/>
  <c r="BE47" i="37"/>
  <c r="BG47" i="37"/>
  <c r="BQ47" i="37"/>
  <c r="BS47" i="37"/>
  <c r="BU47" i="37"/>
  <c r="CD47" i="37"/>
  <c r="CF47" i="37"/>
  <c r="CO47" i="37"/>
  <c r="CQ47" i="37"/>
  <c r="DF47" i="37"/>
  <c r="DH47" i="37"/>
  <c r="DJ47" i="37"/>
  <c r="E48" i="37"/>
  <c r="G48" i="37"/>
  <c r="I48" i="37"/>
  <c r="K48" i="37"/>
  <c r="AC48" i="37"/>
  <c r="AE48" i="37"/>
  <c r="AG48" i="37"/>
  <c r="BC48" i="37"/>
  <c r="BE48" i="37"/>
  <c r="BG48" i="37"/>
  <c r="BQ48" i="37"/>
  <c r="BS48" i="37"/>
  <c r="BU48" i="37"/>
  <c r="CD48" i="37"/>
  <c r="CF48" i="37"/>
  <c r="CO48" i="37"/>
  <c r="CQ48" i="37"/>
  <c r="DF48" i="37"/>
  <c r="DH48" i="37"/>
  <c r="DJ48" i="37"/>
  <c r="E49" i="37"/>
  <c r="G49" i="37"/>
  <c r="I49" i="37"/>
  <c r="K49" i="37"/>
  <c r="AC49" i="37"/>
  <c r="AE49" i="37"/>
  <c r="AG49" i="37"/>
  <c r="BC49" i="37"/>
  <c r="BE49" i="37"/>
  <c r="BG49" i="37"/>
  <c r="BQ49" i="37"/>
  <c r="BS49" i="37"/>
  <c r="BU49" i="37"/>
  <c r="CD49" i="37"/>
  <c r="CF49" i="37"/>
  <c r="CO49" i="37"/>
  <c r="CQ49" i="37"/>
  <c r="DF49" i="37"/>
  <c r="DH49" i="37"/>
  <c r="DJ49" i="37"/>
  <c r="E50" i="37"/>
  <c r="G50" i="37"/>
  <c r="I50" i="37"/>
  <c r="K50" i="37"/>
  <c r="AC50" i="37"/>
  <c r="AE50" i="37"/>
  <c r="AG50" i="37"/>
  <c r="BC50" i="37"/>
  <c r="BE50" i="37"/>
  <c r="BG50" i="37"/>
  <c r="BQ50" i="37"/>
  <c r="BS50" i="37"/>
  <c r="BU50" i="37"/>
  <c r="CD50" i="37"/>
  <c r="CF50" i="37"/>
  <c r="CO50" i="37"/>
  <c r="CQ50" i="37"/>
  <c r="DF50" i="37"/>
  <c r="DH50" i="37"/>
  <c r="DJ50" i="37"/>
  <c r="E51" i="37"/>
  <c r="G51" i="37"/>
  <c r="I51" i="37"/>
  <c r="K51" i="37"/>
  <c r="AC51" i="37"/>
  <c r="AE51" i="37"/>
  <c r="AG51" i="37"/>
  <c r="BC51" i="37"/>
  <c r="BE51" i="37"/>
  <c r="BG51" i="37"/>
  <c r="BQ51" i="37"/>
  <c r="BS51" i="37"/>
  <c r="BU51" i="37"/>
  <c r="CD51" i="37"/>
  <c r="CF51" i="37"/>
  <c r="CO51" i="37"/>
  <c r="CQ51" i="37"/>
  <c r="DF51" i="37"/>
  <c r="DH51" i="37"/>
  <c r="DJ51" i="37"/>
  <c r="E52" i="37"/>
  <c r="G52" i="37"/>
  <c r="I52" i="37"/>
  <c r="K52" i="37"/>
  <c r="AC52" i="37"/>
  <c r="AE52" i="37"/>
  <c r="AG52" i="37"/>
  <c r="BC52" i="37"/>
  <c r="BE52" i="37"/>
  <c r="BG52" i="37"/>
  <c r="BQ52" i="37"/>
  <c r="BS52" i="37"/>
  <c r="BU52" i="37"/>
  <c r="CD52" i="37"/>
  <c r="CF52" i="37"/>
  <c r="CO52" i="37"/>
  <c r="CQ52" i="37"/>
  <c r="DF52" i="37"/>
  <c r="DH52" i="37"/>
  <c r="DJ52" i="37"/>
  <c r="E53" i="37"/>
  <c r="G53" i="37"/>
  <c r="I53" i="37"/>
  <c r="K53" i="37"/>
  <c r="AC53" i="37"/>
  <c r="AE53" i="37"/>
  <c r="AG53" i="37"/>
  <c r="BC53" i="37"/>
  <c r="BE53" i="37"/>
  <c r="BG53" i="37"/>
  <c r="BQ53" i="37"/>
  <c r="BS53" i="37"/>
  <c r="BU53" i="37"/>
  <c r="CO53" i="37"/>
  <c r="CQ53" i="37"/>
  <c r="DF53" i="37"/>
  <c r="DH53" i="37"/>
  <c r="DJ53" i="37"/>
  <c r="E54" i="37"/>
  <c r="G54" i="37"/>
  <c r="I54" i="37"/>
  <c r="K54" i="37"/>
  <c r="BC54" i="37"/>
  <c r="BE54" i="37"/>
  <c r="BG54" i="37"/>
  <c r="BQ54" i="37"/>
  <c r="BS54" i="37"/>
  <c r="BU54" i="37"/>
  <c r="CO54" i="37"/>
  <c r="CQ54" i="37"/>
  <c r="DF54" i="37"/>
  <c r="DH54" i="37"/>
  <c r="DJ54" i="37"/>
  <c r="E55" i="37"/>
  <c r="G55" i="37"/>
  <c r="I55" i="37"/>
  <c r="K55" i="37"/>
  <c r="BC55" i="37"/>
  <c r="BE55" i="37"/>
  <c r="BG55" i="37"/>
  <c r="BQ55" i="37"/>
  <c r="BS55" i="37"/>
  <c r="BU55" i="37"/>
  <c r="E56" i="37"/>
  <c r="G56" i="37"/>
  <c r="I56" i="37"/>
  <c r="K56" i="37"/>
  <c r="BC56" i="37"/>
  <c r="BE56" i="37"/>
  <c r="BG56" i="37"/>
  <c r="BQ56" i="37"/>
  <c r="BS56" i="37"/>
  <c r="BU56" i="37"/>
  <c r="E57" i="37"/>
  <c r="G57" i="37"/>
  <c r="I57" i="37"/>
  <c r="K57" i="37"/>
  <c r="CA62" i="37"/>
  <c r="CB62" i="37"/>
  <c r="CC62" i="37"/>
  <c r="CD62" i="37"/>
  <c r="CE62" i="37"/>
  <c r="CF62" i="37" s="1"/>
  <c r="CD63" i="37"/>
  <c r="CF63" i="37"/>
  <c r="CD64" i="37"/>
  <c r="CF64" i="37"/>
  <c r="CO64" i="37"/>
  <c r="CQ64" i="37"/>
  <c r="CS64" i="37"/>
  <c r="CU64" i="37"/>
  <c r="AB65" i="37"/>
  <c r="AD65" i="37"/>
  <c r="AF65" i="37"/>
  <c r="CD65" i="37"/>
  <c r="CF65" i="37"/>
  <c r="CO65" i="37"/>
  <c r="CQ65" i="37"/>
  <c r="CS65" i="37"/>
  <c r="CU65" i="37"/>
  <c r="DD65" i="37"/>
  <c r="DE65" i="37"/>
  <c r="DF65" i="37"/>
  <c r="DG65" i="37"/>
  <c r="DH65" i="37" s="1"/>
  <c r="DI65" i="37"/>
  <c r="DJ65" i="37" s="1"/>
  <c r="AA66" i="37"/>
  <c r="AG66" i="37" s="1"/>
  <c r="AC66" i="37"/>
  <c r="AE66" i="37"/>
  <c r="CD66" i="37"/>
  <c r="CF66" i="37"/>
  <c r="CO66" i="37"/>
  <c r="CQ66" i="37"/>
  <c r="CS66" i="37"/>
  <c r="CU66" i="37"/>
  <c r="DF66" i="37"/>
  <c r="DH66" i="37"/>
  <c r="DJ66" i="37"/>
  <c r="AA67" i="37"/>
  <c r="AE67" i="37" s="1"/>
  <c r="AC67" i="37"/>
  <c r="AG67" i="37"/>
  <c r="CD67" i="37"/>
  <c r="CF67" i="37"/>
  <c r="CO67" i="37"/>
  <c r="CQ67" i="37"/>
  <c r="CS67" i="37"/>
  <c r="CU67" i="37"/>
  <c r="DF67" i="37"/>
  <c r="DH67" i="37"/>
  <c r="DJ67" i="37"/>
  <c r="AA68" i="37"/>
  <c r="AE68" i="37" s="1"/>
  <c r="AC68" i="37"/>
  <c r="CD68" i="37"/>
  <c r="CF68" i="37"/>
  <c r="CO68" i="37"/>
  <c r="CQ68" i="37"/>
  <c r="CS68" i="37"/>
  <c r="CU68" i="37"/>
  <c r="DF68" i="37"/>
  <c r="DH68" i="37"/>
  <c r="DJ68" i="37"/>
  <c r="AA69" i="37"/>
  <c r="AC69" i="37"/>
  <c r="AE69" i="37"/>
  <c r="AG69" i="37"/>
  <c r="CD69" i="37"/>
  <c r="CF69" i="37"/>
  <c r="CO69" i="37"/>
  <c r="CQ69" i="37"/>
  <c r="CS69" i="37"/>
  <c r="CU69" i="37"/>
  <c r="DF69" i="37"/>
  <c r="DH69" i="37"/>
  <c r="DJ69" i="37"/>
  <c r="B70" i="37"/>
  <c r="C70" i="37"/>
  <c r="D70" i="37"/>
  <c r="E70" i="37" s="1"/>
  <c r="F70" i="37"/>
  <c r="G70" i="37"/>
  <c r="H70" i="37"/>
  <c r="I70" i="37"/>
  <c r="AA70" i="37"/>
  <c r="AG70" i="37" s="1"/>
  <c r="AE70" i="37"/>
  <c r="CD70" i="37"/>
  <c r="CF70" i="37"/>
  <c r="CO70" i="37"/>
  <c r="CQ70" i="37"/>
  <c r="CS70" i="37"/>
  <c r="CU70" i="37"/>
  <c r="DF70" i="37"/>
  <c r="DH70" i="37"/>
  <c r="DJ70" i="37"/>
  <c r="E71" i="37"/>
  <c r="G71" i="37"/>
  <c r="I71" i="37"/>
  <c r="AA71" i="37"/>
  <c r="AG71" i="37" s="1"/>
  <c r="AE71" i="37"/>
  <c r="CD71" i="37"/>
  <c r="CF71" i="37"/>
  <c r="CO71" i="37"/>
  <c r="CQ71" i="37"/>
  <c r="CS71" i="37"/>
  <c r="CU71" i="37"/>
  <c r="DF71" i="37"/>
  <c r="DH71" i="37"/>
  <c r="DJ71" i="37"/>
  <c r="E72" i="37"/>
  <c r="G72" i="37"/>
  <c r="I72" i="37"/>
  <c r="AA72" i="37"/>
  <c r="AG72" i="37" s="1"/>
  <c r="AE72" i="37"/>
  <c r="CD72" i="37"/>
  <c r="CF72" i="37"/>
  <c r="CO72" i="37"/>
  <c r="CQ72" i="37"/>
  <c r="CS72" i="37"/>
  <c r="CU72" i="37"/>
  <c r="DF72" i="37"/>
  <c r="DH72" i="37"/>
  <c r="DJ72" i="37"/>
  <c r="E73" i="37"/>
  <c r="G73" i="37"/>
  <c r="I73" i="37"/>
  <c r="AA73" i="37"/>
  <c r="AG73" i="37" s="1"/>
  <c r="AE73" i="37"/>
  <c r="CD73" i="37"/>
  <c r="CF73" i="37"/>
  <c r="CO73" i="37"/>
  <c r="CQ73" i="37"/>
  <c r="CS73" i="37"/>
  <c r="CU73" i="37"/>
  <c r="DF73" i="37"/>
  <c r="DH73" i="37"/>
  <c r="DJ73" i="37"/>
  <c r="E74" i="37"/>
  <c r="G74" i="37"/>
  <c r="I74" i="37"/>
  <c r="AA74" i="37"/>
  <c r="AG74" i="37" s="1"/>
  <c r="AE74" i="37"/>
  <c r="CD74" i="37"/>
  <c r="CF74" i="37"/>
  <c r="CO74" i="37"/>
  <c r="CQ74" i="37"/>
  <c r="CS74" i="37"/>
  <c r="CU74" i="37"/>
  <c r="DF74" i="37"/>
  <c r="DH74" i="37"/>
  <c r="DJ74" i="37"/>
  <c r="E75" i="37"/>
  <c r="G75" i="37"/>
  <c r="I75" i="37"/>
  <c r="AA75" i="37"/>
  <c r="AG75" i="37" s="1"/>
  <c r="AE75" i="37"/>
  <c r="CD75" i="37"/>
  <c r="CF75" i="37"/>
  <c r="CO75" i="37"/>
  <c r="CQ75" i="37"/>
  <c r="CS75" i="37"/>
  <c r="CU75" i="37"/>
  <c r="DF75" i="37"/>
  <c r="DH75" i="37"/>
  <c r="DJ75" i="37"/>
  <c r="E76" i="37"/>
  <c r="G76" i="37"/>
  <c r="I76" i="37"/>
  <c r="AA76" i="37"/>
  <c r="AG76" i="37" s="1"/>
  <c r="AE76" i="37"/>
  <c r="CD76" i="37"/>
  <c r="CF76" i="37"/>
  <c r="CO76" i="37"/>
  <c r="CQ76" i="37"/>
  <c r="CS76" i="37"/>
  <c r="CU76" i="37"/>
  <c r="DF76" i="37"/>
  <c r="DH76" i="37"/>
  <c r="DJ76" i="37"/>
  <c r="E77" i="37"/>
  <c r="G77" i="37"/>
  <c r="I77" i="37"/>
  <c r="AA77" i="37"/>
  <c r="AG77" i="37" s="1"/>
  <c r="AE77" i="37"/>
  <c r="CD77" i="37"/>
  <c r="CF77" i="37"/>
  <c r="CO77" i="37"/>
  <c r="CQ77" i="37"/>
  <c r="CS77" i="37"/>
  <c r="CU77" i="37"/>
  <c r="DF77" i="37"/>
  <c r="DH77" i="37"/>
  <c r="DJ77" i="37"/>
  <c r="E78" i="37"/>
  <c r="G78" i="37"/>
  <c r="I78" i="37"/>
  <c r="AA78" i="37"/>
  <c r="AG78" i="37" s="1"/>
  <c r="AE78" i="37"/>
  <c r="CD78" i="37"/>
  <c r="CF78" i="37"/>
  <c r="CO78" i="37"/>
  <c r="CQ78" i="37"/>
  <c r="CS78" i="37"/>
  <c r="CU78" i="37"/>
  <c r="DF78" i="37"/>
  <c r="DH78" i="37"/>
  <c r="DJ78" i="37"/>
  <c r="E79" i="37"/>
  <c r="G79" i="37"/>
  <c r="I79" i="37"/>
  <c r="AA79" i="37"/>
  <c r="AG79" i="37" s="1"/>
  <c r="AE79" i="37"/>
  <c r="CD79" i="37"/>
  <c r="CF79" i="37"/>
  <c r="CO79" i="37"/>
  <c r="CQ79" i="37"/>
  <c r="CS79" i="37"/>
  <c r="CU79" i="37"/>
  <c r="DF79" i="37"/>
  <c r="DH79" i="37"/>
  <c r="DJ79" i="37"/>
  <c r="E80" i="37"/>
  <c r="G80" i="37"/>
  <c r="I80" i="37"/>
  <c r="AA80" i="37"/>
  <c r="AG80" i="37" s="1"/>
  <c r="AE80" i="37"/>
  <c r="CD80" i="37"/>
  <c r="CF80" i="37"/>
  <c r="CO80" i="37"/>
  <c r="CQ80" i="37"/>
  <c r="CS80" i="37"/>
  <c r="CU80" i="37"/>
  <c r="DF80" i="37"/>
  <c r="DH80" i="37"/>
  <c r="DJ80" i="37"/>
  <c r="E81" i="37"/>
  <c r="G81" i="37"/>
  <c r="I81" i="37"/>
  <c r="AA81" i="37"/>
  <c r="AG81" i="37" s="1"/>
  <c r="AE81" i="37"/>
  <c r="CD81" i="37"/>
  <c r="CF81" i="37"/>
  <c r="CO81" i="37"/>
  <c r="CQ81" i="37"/>
  <c r="CS81" i="37"/>
  <c r="CU81" i="37"/>
  <c r="DF81" i="37"/>
  <c r="DH81" i="37"/>
  <c r="DJ81" i="37"/>
  <c r="E82" i="37"/>
  <c r="G82" i="37"/>
  <c r="I82" i="37"/>
  <c r="AA82" i="37"/>
  <c r="AG82" i="37" s="1"/>
  <c r="AE82" i="37"/>
  <c r="CO82" i="37"/>
  <c r="CQ82" i="37"/>
  <c r="CS82" i="37"/>
  <c r="CU82" i="37"/>
  <c r="DF82" i="37"/>
  <c r="DH82" i="37"/>
  <c r="DJ82" i="37"/>
  <c r="E83" i="37"/>
  <c r="G83" i="37"/>
  <c r="I83" i="37"/>
  <c r="AA83" i="37"/>
  <c r="AG83" i="37" s="1"/>
  <c r="AC83" i="37"/>
  <c r="AE83" i="37"/>
  <c r="CO83" i="37"/>
  <c r="CQ83" i="37"/>
  <c r="CS83" i="37"/>
  <c r="CU83" i="37"/>
  <c r="DF83" i="37"/>
  <c r="DH83" i="37"/>
  <c r="DJ83" i="37"/>
  <c r="E84" i="37"/>
  <c r="G84" i="37"/>
  <c r="I84" i="37"/>
  <c r="AA84" i="37"/>
  <c r="AE84" i="37" s="1"/>
  <c r="AC84" i="37"/>
  <c r="AG84" i="37"/>
  <c r="DF84" i="37"/>
  <c r="DH84" i="37"/>
  <c r="DJ84" i="37"/>
  <c r="E85" i="37"/>
  <c r="G85" i="37"/>
  <c r="I85" i="37"/>
  <c r="E86" i="37"/>
  <c r="G86" i="37"/>
  <c r="I86" i="37"/>
  <c r="E87" i="37"/>
  <c r="G87" i="37"/>
  <c r="I87" i="37"/>
  <c r="E88" i="37"/>
  <c r="G88" i="37"/>
  <c r="I88" i="37"/>
  <c r="E89" i="37"/>
  <c r="G89" i="37"/>
  <c r="I89" i="37"/>
  <c r="DD95" i="37"/>
  <c r="DF95" i="37" s="1"/>
  <c r="DE95" i="37"/>
  <c r="DG95" i="37"/>
  <c r="DH95" i="37" s="1"/>
  <c r="DI95" i="37"/>
  <c r="DF96" i="37"/>
  <c r="DH96" i="37"/>
  <c r="DJ96" i="37"/>
  <c r="DF97" i="37"/>
  <c r="DH97" i="37"/>
  <c r="DJ97" i="37"/>
  <c r="DF98" i="37"/>
  <c r="DH98" i="37"/>
  <c r="DJ98" i="37"/>
  <c r="DF99" i="37"/>
  <c r="DH99" i="37"/>
  <c r="DJ99" i="37"/>
  <c r="DF100" i="37"/>
  <c r="DH100" i="37"/>
  <c r="DJ100" i="37"/>
  <c r="B101" i="37"/>
  <c r="C101" i="37"/>
  <c r="D101" i="37"/>
  <c r="E101" i="37" s="1"/>
  <c r="F101" i="37"/>
  <c r="G101" i="37"/>
  <c r="H101" i="37"/>
  <c r="I101" i="37"/>
  <c r="J101" i="37"/>
  <c r="K101" i="37" s="1"/>
  <c r="DF101" i="37"/>
  <c r="DH101" i="37"/>
  <c r="DJ101" i="37"/>
  <c r="E102" i="37"/>
  <c r="G102" i="37"/>
  <c r="I102" i="37"/>
  <c r="DF102" i="37"/>
  <c r="DH102" i="37"/>
  <c r="DJ102" i="37"/>
  <c r="E103" i="37"/>
  <c r="G103" i="37"/>
  <c r="I103" i="37"/>
  <c r="DF103" i="37"/>
  <c r="DH103" i="37"/>
  <c r="DJ103" i="37"/>
  <c r="E104" i="37"/>
  <c r="G104" i="37"/>
  <c r="I104" i="37"/>
  <c r="DF104" i="37"/>
  <c r="DH104" i="37"/>
  <c r="DJ104" i="37"/>
  <c r="E105" i="37"/>
  <c r="G105" i="37"/>
  <c r="I105" i="37"/>
  <c r="DF105" i="37"/>
  <c r="DH105" i="37"/>
  <c r="DJ105" i="37"/>
  <c r="E106" i="37"/>
  <c r="G106" i="37"/>
  <c r="I106" i="37"/>
  <c r="DF106" i="37"/>
  <c r="DH106" i="37"/>
  <c r="DJ106" i="37"/>
  <c r="E107" i="37"/>
  <c r="G107" i="37"/>
  <c r="I107" i="37"/>
  <c r="DF107" i="37"/>
  <c r="DH107" i="37"/>
  <c r="DJ107" i="37"/>
  <c r="E108" i="37"/>
  <c r="G108" i="37"/>
  <c r="I108" i="37"/>
  <c r="DF108" i="37"/>
  <c r="DH108" i="37"/>
  <c r="DJ108" i="37"/>
  <c r="E109" i="37"/>
  <c r="G109" i="37"/>
  <c r="I109" i="37"/>
  <c r="DF109" i="37"/>
  <c r="DH109" i="37"/>
  <c r="DJ109" i="37"/>
  <c r="E110" i="37"/>
  <c r="G110" i="37"/>
  <c r="I110" i="37"/>
  <c r="DF110" i="37"/>
  <c r="DH110" i="37"/>
  <c r="DJ110" i="37"/>
  <c r="E111" i="37"/>
  <c r="G111" i="37"/>
  <c r="I111" i="37"/>
  <c r="DF111" i="37"/>
  <c r="DH111" i="37"/>
  <c r="DJ111" i="37"/>
  <c r="E112" i="37"/>
  <c r="G112" i="37"/>
  <c r="I112" i="37"/>
  <c r="DF112" i="37"/>
  <c r="DH112" i="37"/>
  <c r="DJ112" i="37"/>
  <c r="E113" i="37"/>
  <c r="G113" i="37"/>
  <c r="I113" i="37"/>
  <c r="DF113" i="37"/>
  <c r="DH113" i="37"/>
  <c r="DJ113" i="37"/>
  <c r="E114" i="37"/>
  <c r="G114" i="37"/>
  <c r="I114" i="37"/>
  <c r="DF114" i="37"/>
  <c r="DH114" i="37"/>
  <c r="DJ114" i="37"/>
  <c r="E115" i="37"/>
  <c r="G115" i="37"/>
  <c r="I115" i="37"/>
  <c r="E116" i="37"/>
  <c r="G116" i="37"/>
  <c r="I116" i="37"/>
  <c r="E117" i="37"/>
  <c r="G117" i="37"/>
  <c r="I117" i="37"/>
  <c r="E118" i="37"/>
  <c r="G118" i="37"/>
  <c r="I118" i="37"/>
  <c r="E119" i="37"/>
  <c r="G119" i="37"/>
  <c r="I119" i="37"/>
  <c r="E120" i="37"/>
  <c r="G120" i="37"/>
  <c r="I120" i="37"/>
  <c r="DD125" i="37"/>
  <c r="DE125" i="37"/>
  <c r="DF125" i="37" s="1"/>
  <c r="DG125" i="37"/>
  <c r="DH125" i="37" s="1"/>
  <c r="DI125" i="37"/>
  <c r="DJ125" i="37" s="1"/>
  <c r="DF126" i="37"/>
  <c r="DH126" i="37"/>
  <c r="DJ126" i="37"/>
  <c r="DF127" i="37"/>
  <c r="DH127" i="37"/>
  <c r="DJ127" i="37"/>
  <c r="DF128" i="37"/>
  <c r="DH128" i="37"/>
  <c r="DJ128" i="37"/>
  <c r="DF129" i="37"/>
  <c r="DH129" i="37"/>
  <c r="DJ129" i="37"/>
  <c r="DF130" i="37"/>
  <c r="DH130" i="37"/>
  <c r="DJ130" i="37"/>
  <c r="DF131" i="37"/>
  <c r="DH131" i="37"/>
  <c r="DJ131" i="37"/>
  <c r="DF132" i="37"/>
  <c r="DH132" i="37"/>
  <c r="DJ132" i="37"/>
  <c r="DF133" i="37"/>
  <c r="DH133" i="37"/>
  <c r="DJ133" i="37"/>
  <c r="DF134" i="37"/>
  <c r="DH134" i="37"/>
  <c r="DJ134" i="37"/>
  <c r="DF135" i="37"/>
  <c r="DH135" i="37"/>
  <c r="DJ135" i="37"/>
  <c r="DF136" i="37"/>
  <c r="DH136" i="37"/>
  <c r="DJ136" i="37"/>
  <c r="DF137" i="37"/>
  <c r="DH137" i="37"/>
  <c r="DJ137" i="37"/>
  <c r="DF138" i="37"/>
  <c r="DH138" i="37"/>
  <c r="DJ138" i="37"/>
  <c r="DF139" i="37"/>
  <c r="DH139" i="37"/>
  <c r="DJ139" i="37"/>
  <c r="DF140" i="37"/>
  <c r="DH140" i="37"/>
  <c r="DJ140" i="37"/>
  <c r="DF141" i="37"/>
  <c r="DH141" i="37"/>
  <c r="DJ141" i="37"/>
  <c r="DF142" i="37"/>
  <c r="DH142" i="37"/>
  <c r="DJ142" i="37"/>
  <c r="DF143" i="37"/>
  <c r="DH143" i="37"/>
  <c r="DJ143" i="37"/>
  <c r="DF144" i="37"/>
  <c r="DH144" i="37"/>
  <c r="DJ144" i="37"/>
  <c r="DD154" i="37"/>
  <c r="DE154" i="37"/>
  <c r="DF154" i="37" s="1"/>
  <c r="DG154" i="37"/>
  <c r="DH154" i="37" s="1"/>
  <c r="DI154" i="37"/>
  <c r="DJ154" i="37" s="1"/>
  <c r="DF155" i="37"/>
  <c r="DH155" i="37"/>
  <c r="DJ155" i="37"/>
  <c r="FY155" i="37"/>
  <c r="FY185" i="37" s="1"/>
  <c r="DF156" i="37"/>
  <c r="DH156" i="37"/>
  <c r="DJ156" i="37"/>
  <c r="FY156" i="37"/>
  <c r="DF157" i="37"/>
  <c r="DH157" i="37"/>
  <c r="DJ157" i="37"/>
  <c r="FY157" i="37"/>
  <c r="DF158" i="37"/>
  <c r="DH158" i="37"/>
  <c r="DJ158" i="37"/>
  <c r="FY158" i="37"/>
  <c r="DF159" i="37"/>
  <c r="DH159" i="37"/>
  <c r="DJ159" i="37"/>
  <c r="FY159" i="37"/>
  <c r="DF160" i="37"/>
  <c r="DH160" i="37"/>
  <c r="DJ160" i="37"/>
  <c r="FY160" i="37"/>
  <c r="DF161" i="37"/>
  <c r="DH161" i="37"/>
  <c r="DJ161" i="37"/>
  <c r="FY161" i="37"/>
  <c r="DF162" i="37"/>
  <c r="DH162" i="37"/>
  <c r="DJ162" i="37"/>
  <c r="FY162" i="37"/>
  <c r="DF163" i="37"/>
  <c r="DH163" i="37"/>
  <c r="DJ163" i="37"/>
  <c r="FY163" i="37"/>
  <c r="DF164" i="37"/>
  <c r="DH164" i="37"/>
  <c r="DJ164" i="37"/>
  <c r="FY164" i="37"/>
  <c r="DF165" i="37"/>
  <c r="DH165" i="37"/>
  <c r="DJ165" i="37"/>
  <c r="FY165" i="37"/>
  <c r="DF166" i="37"/>
  <c r="DH166" i="37"/>
  <c r="DJ166" i="37"/>
  <c r="FY166" i="37"/>
  <c r="DF167" i="37"/>
  <c r="DH167" i="37"/>
  <c r="DJ167" i="37"/>
  <c r="FY167" i="37"/>
  <c r="DF168" i="37"/>
  <c r="DH168" i="37"/>
  <c r="DJ168" i="37"/>
  <c r="FY168" i="37"/>
  <c r="DF169" i="37"/>
  <c r="DH169" i="37"/>
  <c r="DJ169" i="37"/>
  <c r="FY169" i="37"/>
  <c r="DF170" i="37"/>
  <c r="DH170" i="37"/>
  <c r="DJ170" i="37"/>
  <c r="FY170" i="37"/>
  <c r="DF171" i="37"/>
  <c r="DH171" i="37"/>
  <c r="DJ171" i="37"/>
  <c r="FY171" i="37"/>
  <c r="DF172" i="37"/>
  <c r="DH172" i="37"/>
  <c r="DJ172" i="37"/>
  <c r="FY172" i="37"/>
  <c r="DF173" i="37"/>
  <c r="DH173" i="37"/>
  <c r="DJ173" i="37"/>
  <c r="FY173" i="37"/>
  <c r="FY174" i="37"/>
  <c r="FY175" i="37"/>
  <c r="FY176" i="37"/>
  <c r="FY177" i="37"/>
  <c r="FY178" i="37"/>
  <c r="FY179" i="37"/>
  <c r="FY180" i="37"/>
  <c r="FY181" i="37"/>
  <c r="FY182" i="37"/>
  <c r="FY183" i="37"/>
  <c r="DD184" i="37"/>
  <c r="DF184" i="37" s="1"/>
  <c r="DE184" i="37"/>
  <c r="DG184" i="37"/>
  <c r="DH184" i="37" s="1"/>
  <c r="DI184" i="37"/>
  <c r="FY184" i="37"/>
  <c r="DF185" i="37"/>
  <c r="DH185" i="37"/>
  <c r="DJ185" i="37"/>
  <c r="FK185" i="37"/>
  <c r="FW185" i="37" s="1"/>
  <c r="FL185" i="37"/>
  <c r="FM185" i="37"/>
  <c r="FN185" i="37"/>
  <c r="FO185" i="37"/>
  <c r="FP185" i="37"/>
  <c r="FQ185" i="37"/>
  <c r="FR185" i="37"/>
  <c r="FS185" i="37"/>
  <c r="FT185" i="37"/>
  <c r="FU185" i="37"/>
  <c r="FV185" i="37"/>
  <c r="DF186" i="37"/>
  <c r="DH186" i="37"/>
  <c r="DJ186" i="37"/>
  <c r="DF187" i="37"/>
  <c r="DH187" i="37"/>
  <c r="DJ187" i="37"/>
  <c r="DF188" i="37"/>
  <c r="DH188" i="37"/>
  <c r="DJ188" i="37"/>
  <c r="DF189" i="37"/>
  <c r="DH189" i="37"/>
  <c r="DJ189" i="37"/>
  <c r="DF190" i="37"/>
  <c r="DH190" i="37"/>
  <c r="DJ190" i="37"/>
  <c r="DF191" i="37"/>
  <c r="DH191" i="37"/>
  <c r="DJ191" i="37"/>
  <c r="FW191" i="37"/>
  <c r="DF192" i="37"/>
  <c r="DH192" i="37"/>
  <c r="DJ192" i="37"/>
  <c r="FW192" i="37"/>
  <c r="DF193" i="37"/>
  <c r="DH193" i="37"/>
  <c r="DJ193" i="37"/>
  <c r="FW193" i="37"/>
  <c r="DF194" i="37"/>
  <c r="DH194" i="37"/>
  <c r="DJ194" i="37"/>
  <c r="FW194" i="37"/>
  <c r="DF195" i="37"/>
  <c r="DH195" i="37"/>
  <c r="DJ195" i="37"/>
  <c r="FW195" i="37"/>
  <c r="DF196" i="37"/>
  <c r="DH196" i="37"/>
  <c r="DJ196" i="37"/>
  <c r="FW196" i="37"/>
  <c r="DF197" i="37"/>
  <c r="DH197" i="37"/>
  <c r="DJ197" i="37"/>
  <c r="FW197" i="37"/>
  <c r="DF198" i="37"/>
  <c r="DH198" i="37"/>
  <c r="DJ198" i="37"/>
  <c r="FW198" i="37"/>
  <c r="DF199" i="37"/>
  <c r="DH199" i="37"/>
  <c r="DJ199" i="37"/>
  <c r="FW199" i="37"/>
  <c r="DF200" i="37"/>
  <c r="DH200" i="37"/>
  <c r="DJ200" i="37"/>
  <c r="FW200" i="37"/>
  <c r="DF201" i="37"/>
  <c r="DH201" i="37"/>
  <c r="DJ201" i="37"/>
  <c r="FW201" i="37"/>
  <c r="DF202" i="37"/>
  <c r="DH202" i="37"/>
  <c r="DJ202" i="37"/>
  <c r="FW202" i="37"/>
  <c r="DF203" i="37"/>
  <c r="DH203" i="37"/>
  <c r="DJ203" i="37"/>
  <c r="FW203" i="37"/>
  <c r="FW204" i="37"/>
  <c r="FW205" i="37"/>
  <c r="FW206" i="37"/>
  <c r="FW207" i="37"/>
  <c r="FW208" i="37"/>
  <c r="FW209" i="37"/>
  <c r="FW210" i="37"/>
  <c r="FW211" i="37"/>
  <c r="FW212" i="37"/>
  <c r="FW213" i="37"/>
  <c r="DD214" i="37"/>
  <c r="DE214" i="37"/>
  <c r="DF214" i="37"/>
  <c r="DG214" i="37"/>
  <c r="DH214" i="37"/>
  <c r="DI214" i="37"/>
  <c r="DJ214" i="37" s="1"/>
  <c r="FW214" i="37"/>
  <c r="DF215" i="37"/>
  <c r="DH215" i="37"/>
  <c r="DJ215" i="37"/>
  <c r="FW215" i="37"/>
  <c r="DF216" i="37"/>
  <c r="DH216" i="37"/>
  <c r="DJ216" i="37"/>
  <c r="FW216" i="37"/>
  <c r="DF217" i="37"/>
  <c r="DH217" i="37"/>
  <c r="DJ217" i="37"/>
  <c r="FW217" i="37"/>
  <c r="DF218" i="37"/>
  <c r="DH218" i="37"/>
  <c r="DJ218" i="37"/>
  <c r="FW218" i="37"/>
  <c r="DF219" i="37"/>
  <c r="DH219" i="37"/>
  <c r="DJ219" i="37"/>
  <c r="FW219" i="37"/>
  <c r="DF220" i="37"/>
  <c r="DH220" i="37"/>
  <c r="DJ220" i="37"/>
  <c r="FW220" i="37"/>
  <c r="DF221" i="37"/>
  <c r="DH221" i="37"/>
  <c r="DJ221" i="37"/>
  <c r="FK221" i="37"/>
  <c r="FL221" i="37"/>
  <c r="FW221" i="37" s="1"/>
  <c r="FM221" i="37"/>
  <c r="FN221" i="37"/>
  <c r="FO221" i="37"/>
  <c r="FP221" i="37"/>
  <c r="FQ221" i="37"/>
  <c r="FR221" i="37"/>
  <c r="FS221" i="37"/>
  <c r="FT221" i="37"/>
  <c r="FU221" i="37"/>
  <c r="FV221" i="37"/>
  <c r="DF222" i="37"/>
  <c r="DH222" i="37"/>
  <c r="DJ222" i="37"/>
  <c r="DF223" i="37"/>
  <c r="DH223" i="37"/>
  <c r="DJ223" i="37"/>
  <c r="DF224" i="37"/>
  <c r="DH224" i="37"/>
  <c r="DJ224" i="37"/>
  <c r="DF225" i="37"/>
  <c r="DH225" i="37"/>
  <c r="DJ225" i="37"/>
  <c r="DF226" i="37"/>
  <c r="DH226" i="37"/>
  <c r="DJ226" i="37"/>
  <c r="DF227" i="37"/>
  <c r="DH227" i="37"/>
  <c r="DJ227" i="37"/>
  <c r="DF228" i="37"/>
  <c r="DH228" i="37"/>
  <c r="DJ228" i="37"/>
  <c r="DF229" i="37"/>
  <c r="DH229" i="37"/>
  <c r="DJ229" i="37"/>
  <c r="DF230" i="37"/>
  <c r="DH230" i="37"/>
  <c r="DJ230" i="37"/>
  <c r="DF231" i="37"/>
  <c r="DH231" i="37"/>
  <c r="DJ231" i="37"/>
  <c r="DF232" i="37"/>
  <c r="DH232" i="37"/>
  <c r="DJ232" i="37"/>
  <c r="DF233" i="37"/>
  <c r="DH233" i="37"/>
  <c r="DJ233" i="37"/>
  <c r="DD244" i="37"/>
  <c r="DE244" i="37"/>
  <c r="DF244" i="37" s="1"/>
  <c r="DG244" i="37"/>
  <c r="DH244" i="37" s="1"/>
  <c r="DI244" i="37"/>
  <c r="DJ244" i="37"/>
  <c r="DF245" i="37"/>
  <c r="DH245" i="37"/>
  <c r="DJ245" i="37"/>
  <c r="DF246" i="37"/>
  <c r="DH246" i="37"/>
  <c r="DJ246" i="37"/>
  <c r="DF247" i="37"/>
  <c r="DH247" i="37"/>
  <c r="DJ247" i="37"/>
  <c r="DF248" i="37"/>
  <c r="DH248" i="37"/>
  <c r="DJ248" i="37"/>
  <c r="DF249" i="37"/>
  <c r="DH249" i="37"/>
  <c r="DJ249" i="37"/>
  <c r="DF250" i="37"/>
  <c r="DH250" i="37"/>
  <c r="DJ250" i="37"/>
  <c r="DF251" i="37"/>
  <c r="DH251" i="37"/>
  <c r="DJ251" i="37"/>
  <c r="DF252" i="37"/>
  <c r="DH252" i="37"/>
  <c r="DJ252" i="37"/>
  <c r="DF253" i="37"/>
  <c r="DH253" i="37"/>
  <c r="DJ253" i="37"/>
  <c r="DF254" i="37"/>
  <c r="DH254" i="37"/>
  <c r="DJ254" i="37"/>
  <c r="DF255" i="37"/>
  <c r="DH255" i="37"/>
  <c r="DJ255" i="37"/>
  <c r="DF256" i="37"/>
  <c r="DH256" i="37"/>
  <c r="DJ256" i="37"/>
  <c r="DF257" i="37"/>
  <c r="DH257" i="37"/>
  <c r="DJ257" i="37"/>
  <c r="DF258" i="37"/>
  <c r="DH258" i="37"/>
  <c r="DJ258" i="37"/>
  <c r="DF259" i="37"/>
  <c r="DH259" i="37"/>
  <c r="DJ259" i="37"/>
  <c r="DF260" i="37"/>
  <c r="DH260" i="37"/>
  <c r="DJ260" i="37"/>
  <c r="DF261" i="37"/>
  <c r="DH261" i="37"/>
  <c r="DJ261" i="37"/>
  <c r="DF262" i="37"/>
  <c r="DH262" i="37"/>
  <c r="DJ262" i="37"/>
  <c r="DF263" i="37"/>
  <c r="DH263" i="37"/>
  <c r="DJ263" i="37"/>
  <c r="DD274" i="37"/>
  <c r="DE274" i="37"/>
  <c r="DF274" i="37" s="1"/>
  <c r="DG274" i="37"/>
  <c r="DH274" i="37" s="1"/>
  <c r="DI274" i="37"/>
  <c r="DJ274" i="37"/>
  <c r="DF275" i="37"/>
  <c r="DH275" i="37"/>
  <c r="DJ275" i="37"/>
  <c r="DF276" i="37"/>
  <c r="DH276" i="37"/>
  <c r="DJ276" i="37"/>
  <c r="DF277" i="37"/>
  <c r="DH277" i="37"/>
  <c r="DJ277" i="37"/>
  <c r="DF278" i="37"/>
  <c r="DH278" i="37"/>
  <c r="DJ278" i="37"/>
  <c r="DF279" i="37"/>
  <c r="DH279" i="37"/>
  <c r="DJ279" i="37"/>
  <c r="DF280" i="37"/>
  <c r="DH280" i="37"/>
  <c r="DJ280" i="37"/>
  <c r="DF281" i="37"/>
  <c r="DH281" i="37"/>
  <c r="DJ281" i="37"/>
  <c r="DF282" i="37"/>
  <c r="DH282" i="37"/>
  <c r="DJ282" i="37"/>
  <c r="DF283" i="37"/>
  <c r="DH283" i="37"/>
  <c r="DJ283" i="37"/>
  <c r="DF284" i="37"/>
  <c r="DH284" i="37"/>
  <c r="DJ284" i="37"/>
  <c r="DF285" i="37"/>
  <c r="DH285" i="37"/>
  <c r="DJ285" i="37"/>
  <c r="DF286" i="37"/>
  <c r="DH286" i="37"/>
  <c r="DJ286" i="37"/>
  <c r="DF287" i="37"/>
  <c r="DH287" i="37"/>
  <c r="DJ287" i="37"/>
  <c r="DF288" i="37"/>
  <c r="DH288" i="37"/>
  <c r="DJ288" i="37"/>
  <c r="DF289" i="37"/>
  <c r="DH289" i="37"/>
  <c r="DJ289" i="37"/>
  <c r="DF290" i="37"/>
  <c r="DH290" i="37"/>
  <c r="DJ290" i="37"/>
  <c r="DF291" i="37"/>
  <c r="DH291" i="37"/>
  <c r="DJ291" i="37"/>
  <c r="DF292" i="37"/>
  <c r="DH292" i="37"/>
  <c r="DJ292" i="37"/>
  <c r="DF293" i="37"/>
  <c r="DH293" i="37"/>
  <c r="DJ293" i="37"/>
  <c r="DD306" i="37"/>
  <c r="DE306" i="37"/>
  <c r="DF306" i="37" s="1"/>
  <c r="DG306" i="37"/>
  <c r="DH306" i="37" s="1"/>
  <c r="DI306" i="37"/>
  <c r="DJ306" i="37"/>
  <c r="DF307" i="37"/>
  <c r="DH307" i="37"/>
  <c r="DJ307" i="37"/>
  <c r="DF308" i="37"/>
  <c r="DH308" i="37"/>
  <c r="DJ308" i="37"/>
  <c r="DF309" i="37"/>
  <c r="DH309" i="37"/>
  <c r="DJ309" i="37"/>
  <c r="DF310" i="37"/>
  <c r="DH310" i="37"/>
  <c r="DJ310" i="37"/>
  <c r="DF311" i="37"/>
  <c r="DH311" i="37"/>
  <c r="DJ311" i="37"/>
  <c r="DF312" i="37"/>
  <c r="DH312" i="37"/>
  <c r="DJ312" i="37"/>
  <c r="DF313" i="37"/>
  <c r="DH313" i="37"/>
  <c r="DJ313" i="37"/>
  <c r="DF314" i="37"/>
  <c r="DH314" i="37"/>
  <c r="DJ314" i="37"/>
  <c r="DF315" i="37"/>
  <c r="DH315" i="37"/>
  <c r="DJ315" i="37"/>
  <c r="DF316" i="37"/>
  <c r="DH316" i="37"/>
  <c r="DJ316" i="37"/>
  <c r="DF317" i="37"/>
  <c r="DH317" i="37"/>
  <c r="DJ317" i="37"/>
  <c r="DF318" i="37"/>
  <c r="DH318" i="37"/>
  <c r="DJ318" i="37"/>
  <c r="DF319" i="37"/>
  <c r="DH319" i="37"/>
  <c r="DJ319" i="37"/>
  <c r="DF320" i="37"/>
  <c r="DH320" i="37"/>
  <c r="DJ320" i="37"/>
  <c r="DF321" i="37"/>
  <c r="DH321" i="37"/>
  <c r="DJ321" i="37"/>
  <c r="DF322" i="37"/>
  <c r="DH322" i="37"/>
  <c r="DJ322" i="37"/>
  <c r="DF323" i="37"/>
  <c r="DH323" i="37"/>
  <c r="DJ323" i="37"/>
  <c r="DF324" i="37"/>
  <c r="DH324" i="37"/>
  <c r="DJ324" i="37"/>
  <c r="DF325" i="37"/>
  <c r="DH325" i="37"/>
  <c r="DJ325" i="37"/>
  <c r="DD336" i="37"/>
  <c r="DE336" i="37"/>
  <c r="DF336" i="37" s="1"/>
  <c r="DG336" i="37"/>
  <c r="DH336" i="37" s="1"/>
  <c r="DI336" i="37"/>
  <c r="DJ336" i="37"/>
  <c r="DF337" i="37"/>
  <c r="DH337" i="37"/>
  <c r="DJ337" i="37"/>
  <c r="DF338" i="37"/>
  <c r="DH338" i="37"/>
  <c r="DJ338" i="37"/>
  <c r="DF339" i="37"/>
  <c r="DH339" i="37"/>
  <c r="DJ339" i="37"/>
  <c r="DF340" i="37"/>
  <c r="DH340" i="37"/>
  <c r="DJ340" i="37"/>
  <c r="DF341" i="37"/>
  <c r="DH341" i="37"/>
  <c r="DJ341" i="37"/>
  <c r="DF342" i="37"/>
  <c r="DH342" i="37"/>
  <c r="DJ342" i="37"/>
  <c r="DF343" i="37"/>
  <c r="DH343" i="37"/>
  <c r="DJ343" i="37"/>
  <c r="DF344" i="37"/>
  <c r="DH344" i="37"/>
  <c r="DJ344" i="37"/>
  <c r="DF345" i="37"/>
  <c r="DH345" i="37"/>
  <c r="DJ345" i="37"/>
  <c r="DF346" i="37"/>
  <c r="DH346" i="37"/>
  <c r="DJ346" i="37"/>
  <c r="DF347" i="37"/>
  <c r="DH347" i="37"/>
  <c r="DJ347" i="37"/>
  <c r="DF348" i="37"/>
  <c r="DH348" i="37"/>
  <c r="DJ348" i="37"/>
  <c r="DF349" i="37"/>
  <c r="DH349" i="37"/>
  <c r="DJ349" i="37"/>
  <c r="DF350" i="37"/>
  <c r="DH350" i="37"/>
  <c r="DJ350" i="37"/>
  <c r="DF351" i="37"/>
  <c r="DH351" i="37"/>
  <c r="DJ351" i="37"/>
  <c r="DF352" i="37"/>
  <c r="DH352" i="37"/>
  <c r="DJ352" i="37"/>
  <c r="DF353" i="37"/>
  <c r="DH353" i="37"/>
  <c r="DJ353" i="37"/>
  <c r="DF354" i="37"/>
  <c r="DH354" i="37"/>
  <c r="DJ354" i="37"/>
  <c r="DF355" i="37"/>
  <c r="DH355" i="37"/>
  <c r="DJ355" i="37"/>
  <c r="DD366" i="37"/>
  <c r="DE366" i="37"/>
  <c r="DF366" i="37" s="1"/>
  <c r="DG366" i="37"/>
  <c r="DH366" i="37" s="1"/>
  <c r="DI366" i="37"/>
  <c r="DJ366" i="37"/>
  <c r="DF367" i="37"/>
  <c r="DH367" i="37"/>
  <c r="DJ367" i="37"/>
  <c r="DF368" i="37"/>
  <c r="DH368" i="37"/>
  <c r="DJ368" i="37"/>
  <c r="DF369" i="37"/>
  <c r="DH369" i="37"/>
  <c r="DJ369" i="37"/>
  <c r="DF370" i="37"/>
  <c r="DH370" i="37"/>
  <c r="DJ370" i="37"/>
  <c r="DF371" i="37"/>
  <c r="DH371" i="37"/>
  <c r="DJ371" i="37"/>
  <c r="DF372" i="37"/>
  <c r="DH372" i="37"/>
  <c r="DJ372" i="37"/>
  <c r="DF373" i="37"/>
  <c r="DH373" i="37"/>
  <c r="DJ373" i="37"/>
  <c r="DF374" i="37"/>
  <c r="DH374" i="37"/>
  <c r="DJ374" i="37"/>
  <c r="DF375" i="37"/>
  <c r="DH375" i="37"/>
  <c r="DJ375" i="37"/>
  <c r="DF376" i="37"/>
  <c r="DH376" i="37"/>
  <c r="DJ376" i="37"/>
  <c r="DF377" i="37"/>
  <c r="DH377" i="37"/>
  <c r="DJ377" i="37"/>
  <c r="DF378" i="37"/>
  <c r="DH378" i="37"/>
  <c r="DJ378" i="37"/>
  <c r="DF379" i="37"/>
  <c r="DH379" i="37"/>
  <c r="DJ379" i="37"/>
  <c r="DF380" i="37"/>
  <c r="DH380" i="37"/>
  <c r="DJ380" i="37"/>
  <c r="DF381" i="37"/>
  <c r="DH381" i="37"/>
  <c r="DJ381" i="37"/>
  <c r="DF382" i="37"/>
  <c r="DH382" i="37"/>
  <c r="DJ382" i="37"/>
  <c r="DF383" i="37"/>
  <c r="DH383" i="37"/>
  <c r="DJ383" i="37"/>
  <c r="DF384" i="37"/>
  <c r="DH384" i="37"/>
  <c r="DJ384" i="37"/>
  <c r="DF385" i="37"/>
  <c r="DH385" i="37"/>
  <c r="DJ385" i="37"/>
  <c r="DD396" i="37"/>
  <c r="DE396" i="37"/>
  <c r="DF396" i="37" s="1"/>
  <c r="DG396" i="37"/>
  <c r="DH396" i="37" s="1"/>
  <c r="DI396" i="37"/>
  <c r="DJ396" i="37"/>
  <c r="DF397" i="37"/>
  <c r="DH397" i="37"/>
  <c r="DJ397" i="37"/>
  <c r="DF398" i="37"/>
  <c r="DH398" i="37"/>
  <c r="DJ398" i="37"/>
  <c r="DF399" i="37"/>
  <c r="DH399" i="37"/>
  <c r="DJ399" i="37"/>
  <c r="DF400" i="37"/>
  <c r="DH400" i="37"/>
  <c r="DJ400" i="37"/>
  <c r="DF401" i="37"/>
  <c r="DH401" i="37"/>
  <c r="DJ401" i="37"/>
  <c r="DF402" i="37"/>
  <c r="DH402" i="37"/>
  <c r="DJ402" i="37"/>
  <c r="DF403" i="37"/>
  <c r="DH403" i="37"/>
  <c r="DJ403" i="37"/>
  <c r="DF404" i="37"/>
  <c r="DH404" i="37"/>
  <c r="DJ404" i="37"/>
  <c r="DF405" i="37"/>
  <c r="DH405" i="37"/>
  <c r="DJ405" i="37"/>
  <c r="DF406" i="37"/>
  <c r="DH406" i="37"/>
  <c r="DJ406" i="37"/>
  <c r="DF407" i="37"/>
  <c r="DH407" i="37"/>
  <c r="DJ407" i="37"/>
  <c r="DF408" i="37"/>
  <c r="DH408" i="37"/>
  <c r="DJ408" i="37"/>
  <c r="DF409" i="37"/>
  <c r="DH409" i="37"/>
  <c r="DJ409" i="37"/>
  <c r="DF410" i="37"/>
  <c r="DH410" i="37"/>
  <c r="DJ410" i="37"/>
  <c r="DF411" i="37"/>
  <c r="DH411" i="37"/>
  <c r="DJ411" i="37"/>
  <c r="DF412" i="37"/>
  <c r="DH412" i="37"/>
  <c r="DJ412" i="37"/>
  <c r="DF413" i="37"/>
  <c r="DH413" i="37"/>
  <c r="DJ413" i="37"/>
  <c r="DF414" i="37"/>
  <c r="DH414" i="37"/>
  <c r="DJ414" i="37"/>
  <c r="DF415" i="37"/>
  <c r="DH415" i="37"/>
  <c r="DJ415" i="37"/>
  <c r="DD426" i="37"/>
  <c r="DE426" i="37"/>
  <c r="DF426" i="37" s="1"/>
  <c r="DG426" i="37"/>
  <c r="DH426" i="37" s="1"/>
  <c r="DI426" i="37"/>
  <c r="DJ426" i="37"/>
  <c r="DF427" i="37"/>
  <c r="DH427" i="37"/>
  <c r="DJ427" i="37"/>
  <c r="DF428" i="37"/>
  <c r="DH428" i="37"/>
  <c r="DJ428" i="37"/>
  <c r="DF429" i="37"/>
  <c r="DH429" i="37"/>
  <c r="DJ429" i="37"/>
  <c r="DF430" i="37"/>
  <c r="DH430" i="37"/>
  <c r="DJ430" i="37"/>
  <c r="DF431" i="37"/>
  <c r="DH431" i="37"/>
  <c r="DJ431" i="37"/>
  <c r="DF432" i="37"/>
  <c r="DH432" i="37"/>
  <c r="DJ432" i="37"/>
  <c r="DF433" i="37"/>
  <c r="DH433" i="37"/>
  <c r="DJ433" i="37"/>
  <c r="DF434" i="37"/>
  <c r="DH434" i="37"/>
  <c r="DJ434" i="37"/>
  <c r="DF435" i="37"/>
  <c r="DH435" i="37"/>
  <c r="DJ435" i="37"/>
  <c r="DF436" i="37"/>
  <c r="DH436" i="37"/>
  <c r="DJ436" i="37"/>
  <c r="DF437" i="37"/>
  <c r="DH437" i="37"/>
  <c r="DJ437" i="37"/>
  <c r="DF438" i="37"/>
  <c r="DH438" i="37"/>
  <c r="DJ438" i="37"/>
  <c r="DF439" i="37"/>
  <c r="DH439" i="37"/>
  <c r="DJ439" i="37"/>
  <c r="DF440" i="37"/>
  <c r="DH440" i="37"/>
  <c r="DJ440" i="37"/>
  <c r="DF441" i="37"/>
  <c r="DH441" i="37"/>
  <c r="DJ441" i="37"/>
  <c r="DF442" i="37"/>
  <c r="DH442" i="37"/>
  <c r="DJ442" i="37"/>
  <c r="DF443" i="37"/>
  <c r="DH443" i="37"/>
  <c r="DJ443" i="37"/>
  <c r="DF444" i="37"/>
  <c r="DH444" i="37"/>
  <c r="DJ444" i="37"/>
  <c r="DF445" i="37"/>
  <c r="DH445" i="37"/>
  <c r="DJ445" i="37"/>
  <c r="BW33" i="21"/>
  <c r="CV33" i="21"/>
  <c r="DH33" i="21"/>
  <c r="S53" i="36"/>
  <c r="S52" i="36"/>
  <c r="S51" i="36"/>
  <c r="S50" i="36"/>
  <c r="S49" i="36"/>
  <c r="S48" i="36"/>
  <c r="S47" i="36"/>
  <c r="S46" i="36"/>
  <c r="S45" i="36"/>
  <c r="S44" i="36"/>
  <c r="S43" i="36"/>
  <c r="S42" i="36"/>
  <c r="S40" i="36"/>
  <c r="S33" i="36"/>
  <c r="S31" i="36"/>
  <c r="S30" i="36"/>
  <c r="S27" i="36"/>
  <c r="S26" i="36"/>
  <c r="S25" i="36"/>
  <c r="S23" i="36"/>
  <c r="S22" i="36"/>
  <c r="S21" i="36"/>
  <c r="S20" i="36"/>
  <c r="S19" i="36"/>
  <c r="AG18" i="36"/>
  <c r="X18" i="36"/>
  <c r="W18" i="36"/>
  <c r="S18" i="36"/>
  <c r="AG17" i="36"/>
  <c r="S17" i="36"/>
  <c r="AG16" i="36"/>
  <c r="S16" i="36"/>
  <c r="AG15" i="36"/>
  <c r="S15" i="36"/>
  <c r="AG14" i="36"/>
  <c r="S14" i="36"/>
  <c r="AG13" i="36"/>
  <c r="AG12" i="36"/>
  <c r="S12" i="36"/>
  <c r="AG11" i="36"/>
  <c r="AA11" i="36"/>
  <c r="Z11" i="36"/>
  <c r="Y11" i="36"/>
  <c r="X11" i="36"/>
  <c r="W11" i="36"/>
  <c r="S11" i="36"/>
  <c r="AG10" i="36"/>
  <c r="BQ9" i="36"/>
  <c r="AG9" i="36"/>
  <c r="AA9" i="36"/>
  <c r="Z9" i="36"/>
  <c r="Y9" i="36"/>
  <c r="X9" i="36"/>
  <c r="W9" i="36"/>
  <c r="S9" i="36"/>
  <c r="AG8" i="36"/>
  <c r="AA8" i="36"/>
  <c r="Z8" i="36"/>
  <c r="Y8" i="36"/>
  <c r="X8" i="36"/>
  <c r="W8" i="36"/>
  <c r="S8" i="36"/>
  <c r="BQ7" i="36"/>
  <c r="BK7" i="36"/>
  <c r="AG7" i="36"/>
  <c r="AA7" i="36"/>
  <c r="Z7" i="36"/>
  <c r="Y7" i="36"/>
  <c r="X7" i="36"/>
  <c r="W7" i="36"/>
  <c r="S7" i="36"/>
  <c r="BQ6" i="36"/>
  <c r="BK6" i="36"/>
  <c r="AG6" i="36"/>
  <c r="AA6" i="36"/>
  <c r="Z6" i="36"/>
  <c r="Y6" i="36"/>
  <c r="X6" i="36"/>
  <c r="W6" i="36"/>
  <c r="S6" i="36"/>
  <c r="BQ5" i="36"/>
  <c r="BK5" i="36"/>
  <c r="AG5" i="36"/>
  <c r="AA5" i="36"/>
  <c r="Z5" i="36"/>
  <c r="Y5" i="36"/>
  <c r="X5" i="36"/>
  <c r="W5" i="36"/>
  <c r="S5" i="36"/>
  <c r="M5" i="36"/>
  <c r="L5" i="36"/>
  <c r="K5" i="36"/>
  <c r="J5" i="36"/>
  <c r="I5" i="36"/>
  <c r="BQ4" i="36"/>
  <c r="BK4" i="36"/>
  <c r="AG4" i="36"/>
  <c r="S4" i="36"/>
  <c r="M4" i="36"/>
  <c r="L4" i="36"/>
  <c r="K4" i="36"/>
  <c r="J4" i="36"/>
  <c r="I4" i="36"/>
  <c r="AG65" i="37" l="1"/>
  <c r="AC82" i="37"/>
  <c r="AC81" i="37"/>
  <c r="AC80" i="37"/>
  <c r="AC79" i="37"/>
  <c r="AC78" i="37"/>
  <c r="AC77" i="37"/>
  <c r="AC76" i="37"/>
  <c r="AC75" i="37"/>
  <c r="AC74" i="37"/>
  <c r="AC73" i="37"/>
  <c r="AC72" i="37"/>
  <c r="AC71" i="37"/>
  <c r="AC70" i="37"/>
  <c r="AG68" i="37"/>
  <c r="AA65" i="37"/>
  <c r="DJ184" i="37"/>
  <c r="DJ95" i="37"/>
  <c r="X4" i="36"/>
  <c r="W4" i="36"/>
  <c r="DH526" i="35"/>
  <c r="DH525" i="35"/>
  <c r="DH524" i="35"/>
  <c r="DH523" i="35"/>
  <c r="DH522" i="35"/>
  <c r="DH521" i="35"/>
  <c r="DH520" i="35"/>
  <c r="DH519" i="35"/>
  <c r="DH518" i="35"/>
  <c r="DH517" i="35"/>
  <c r="DH516" i="35"/>
  <c r="DH515" i="35"/>
  <c r="DH514" i="35"/>
  <c r="DH513" i="35"/>
  <c r="DH512" i="35"/>
  <c r="DH511" i="35"/>
  <c r="DH510" i="35"/>
  <c r="DH509" i="35"/>
  <c r="DH508" i="35"/>
  <c r="DH507" i="35"/>
  <c r="DH506" i="35"/>
  <c r="CD95" i="35"/>
  <c r="CD94" i="35"/>
  <c r="CD93" i="35"/>
  <c r="CD92" i="35"/>
  <c r="CD91" i="35"/>
  <c r="CD90" i="35"/>
  <c r="CD87" i="35"/>
  <c r="CD86" i="35"/>
  <c r="CD85" i="35"/>
  <c r="CD84" i="35"/>
  <c r="CD83" i="35"/>
  <c r="CD82" i="35"/>
  <c r="CD79" i="35"/>
  <c r="EO78" i="35"/>
  <c r="EL78" i="35"/>
  <c r="EJ78" i="35"/>
  <c r="EI78" i="35"/>
  <c r="CD78" i="35"/>
  <c r="EO77" i="35"/>
  <c r="CD77" i="35"/>
  <c r="FG76" i="35"/>
  <c r="FF76" i="35"/>
  <c r="FE76" i="35"/>
  <c r="FD76" i="35"/>
  <c r="FA76" i="35"/>
  <c r="EW76" i="35"/>
  <c r="EU76" i="35"/>
  <c r="ET76" i="35"/>
  <c r="EI76" i="35"/>
  <c r="CD76" i="35"/>
  <c r="ES75" i="35"/>
  <c r="EE75" i="35"/>
  <c r="ED75" i="35"/>
  <c r="EC75" i="35"/>
  <c r="EB75" i="35"/>
  <c r="EA75" i="35"/>
  <c r="DZ75" i="35"/>
  <c r="DY75" i="35"/>
  <c r="EO74" i="35"/>
  <c r="EO73" i="35"/>
  <c r="DY73" i="35"/>
  <c r="DG73" i="35"/>
  <c r="FG72" i="35"/>
  <c r="ES72" i="35" s="1"/>
  <c r="EI72" i="35"/>
  <c r="DY72" i="35"/>
  <c r="DG72" i="35"/>
  <c r="CD72" i="35"/>
  <c r="FG71" i="35"/>
  <c r="ES71" i="35" s="1"/>
  <c r="EO71" i="35"/>
  <c r="DG71" i="35"/>
  <c r="CD71" i="35"/>
  <c r="EO70" i="35"/>
  <c r="DG70" i="35"/>
  <c r="CD70" i="35"/>
  <c r="FG69" i="35"/>
  <c r="ES69" i="35" s="1"/>
  <c r="EO69" i="35"/>
  <c r="EM69" i="35"/>
  <c r="EM63" i="35" s="1"/>
  <c r="EL69" i="35"/>
  <c r="EJ69" i="35"/>
  <c r="EI69" i="35"/>
  <c r="DY69" i="35"/>
  <c r="DG69" i="35"/>
  <c r="CD69" i="35"/>
  <c r="FG68" i="35"/>
  <c r="ES68" i="35" s="1"/>
  <c r="EO68" i="35"/>
  <c r="DG68" i="35"/>
  <c r="CD68" i="35"/>
  <c r="FG67" i="35"/>
  <c r="FF67" i="35"/>
  <c r="FE67" i="35"/>
  <c r="FE61" i="35" s="1"/>
  <c r="FD67" i="35"/>
  <c r="FD61" i="35" s="1"/>
  <c r="FC67" i="35"/>
  <c r="FC61" i="35" s="1"/>
  <c r="FA67" i="35"/>
  <c r="EY67" i="35"/>
  <c r="EY61" i="35" s="1"/>
  <c r="EX67" i="35"/>
  <c r="EX61" i="35" s="1"/>
  <c r="EW67" i="35"/>
  <c r="EU67" i="35"/>
  <c r="ET67" i="35"/>
  <c r="EO67" i="35"/>
  <c r="DG67" i="35"/>
  <c r="CD67" i="35"/>
  <c r="FG66" i="35"/>
  <c r="ES66" i="35" s="1"/>
  <c r="EO66" i="35"/>
  <c r="EE66" i="35"/>
  <c r="ED66" i="35"/>
  <c r="EC66" i="35"/>
  <c r="EB66" i="35"/>
  <c r="EA66" i="35"/>
  <c r="DZ66" i="35"/>
  <c r="DY66" i="35"/>
  <c r="DG66" i="35"/>
  <c r="CD66" i="35"/>
  <c r="ES65" i="35"/>
  <c r="EO65" i="35"/>
  <c r="DC65" i="35"/>
  <c r="DB65" i="35"/>
  <c r="DA65" i="35"/>
  <c r="CZ65" i="35"/>
  <c r="CY65" i="35"/>
  <c r="CX65" i="35"/>
  <c r="CW65" i="35"/>
  <c r="CV65" i="35"/>
  <c r="CU65" i="35"/>
  <c r="CT65" i="35"/>
  <c r="FG64" i="35"/>
  <c r="ES64" i="35" s="1"/>
  <c r="EO64" i="35"/>
  <c r="FG63" i="35"/>
  <c r="ES63" i="35" s="1"/>
  <c r="EN63" i="35"/>
  <c r="FG62" i="35"/>
  <c r="ES62" i="35" s="1"/>
  <c r="AA60" i="35"/>
  <c r="X60" i="35" s="1"/>
  <c r="CD59" i="35"/>
  <c r="AA59" i="35"/>
  <c r="X59" i="35" s="1"/>
  <c r="DU58" i="35"/>
  <c r="DT58" i="35"/>
  <c r="DS58" i="35"/>
  <c r="DR58" i="35"/>
  <c r="DQ58" i="35"/>
  <c r="DP58" i="35"/>
  <c r="DO58" i="35"/>
  <c r="DN58" i="35"/>
  <c r="DM58" i="35"/>
  <c r="DL58" i="35"/>
  <c r="DK58" i="35"/>
  <c r="DJ58" i="35"/>
  <c r="DI58" i="35"/>
  <c r="DH58" i="35"/>
  <c r="AA58" i="35"/>
  <c r="X58" i="35" s="1"/>
  <c r="AA57" i="35"/>
  <c r="X57" i="35" s="1"/>
  <c r="CD56" i="35"/>
  <c r="AA56" i="35"/>
  <c r="X56" i="35"/>
  <c r="DC55" i="35"/>
  <c r="DC35" i="35" s="1"/>
  <c r="DB55" i="35"/>
  <c r="DB35" i="35" s="1"/>
  <c r="DA55" i="35"/>
  <c r="DA35" i="35" s="1"/>
  <c r="CZ55" i="35"/>
  <c r="CZ35" i="35" s="1"/>
  <c r="CY55" i="35"/>
  <c r="CX55" i="35"/>
  <c r="CW55" i="35"/>
  <c r="CW35" i="35" s="1"/>
  <c r="CV55" i="35"/>
  <c r="CV35" i="35" s="1"/>
  <c r="CU55" i="35"/>
  <c r="CU35" i="35" s="1"/>
  <c r="CT55" i="35"/>
  <c r="CT35" i="35" s="1"/>
  <c r="CD55" i="35"/>
  <c r="AA55" i="35"/>
  <c r="X55" i="35" s="1"/>
  <c r="CD54" i="35"/>
  <c r="AA54" i="35"/>
  <c r="X54" i="35" s="1"/>
  <c r="CD53" i="35"/>
  <c r="AA53" i="35"/>
  <c r="X53" i="35" s="1"/>
  <c r="CD52" i="35"/>
  <c r="AA52" i="35"/>
  <c r="X52" i="35" s="1"/>
  <c r="CD51" i="35"/>
  <c r="AA51" i="35"/>
  <c r="X51" i="35" s="1"/>
  <c r="CD50" i="35"/>
  <c r="AA50" i="35"/>
  <c r="X50" i="35" s="1"/>
  <c r="EO49" i="35"/>
  <c r="EL49" i="35"/>
  <c r="EJ49" i="35"/>
  <c r="EI49" i="35"/>
  <c r="CD49" i="35"/>
  <c r="AF49" i="35"/>
  <c r="AF48" i="35" s="1"/>
  <c r="AA49" i="35"/>
  <c r="EO48" i="35"/>
  <c r="CD48" i="35"/>
  <c r="AE48" i="35"/>
  <c r="AD48" i="35"/>
  <c r="AC48" i="35"/>
  <c r="AB48" i="35"/>
  <c r="Z48" i="35"/>
  <c r="Y48" i="35"/>
  <c r="EE47" i="35"/>
  <c r="ED47" i="35"/>
  <c r="EC47" i="35"/>
  <c r="EB47" i="35"/>
  <c r="EA47" i="35"/>
  <c r="DZ47" i="35"/>
  <c r="DY47" i="35"/>
  <c r="CD47" i="35"/>
  <c r="DU46" i="35"/>
  <c r="DQ46" i="35"/>
  <c r="DP46" i="35"/>
  <c r="DO46" i="35"/>
  <c r="DN46" i="35"/>
  <c r="DM46" i="35"/>
  <c r="DL46" i="35"/>
  <c r="DK46" i="35"/>
  <c r="DJ46" i="35"/>
  <c r="DI46" i="35"/>
  <c r="DH46" i="35"/>
  <c r="DG46" i="35"/>
  <c r="EO45" i="35"/>
  <c r="EO44" i="35"/>
  <c r="DG44" i="35"/>
  <c r="T44" i="35"/>
  <c r="S44" i="35"/>
  <c r="R44" i="35"/>
  <c r="DG43" i="35"/>
  <c r="CD43" i="35"/>
  <c r="T43" i="35"/>
  <c r="S43" i="35"/>
  <c r="R43" i="35"/>
  <c r="EO42" i="35"/>
  <c r="CD42" i="35"/>
  <c r="T42" i="35"/>
  <c r="S42" i="35"/>
  <c r="R42" i="35"/>
  <c r="EO41" i="35"/>
  <c r="CD41" i="35"/>
  <c r="T41" i="35"/>
  <c r="S41" i="35"/>
  <c r="R41" i="35"/>
  <c r="EO40" i="35"/>
  <c r="EM40" i="35"/>
  <c r="EM34" i="35" s="1"/>
  <c r="EL40" i="35"/>
  <c r="EJ40" i="35"/>
  <c r="EI40" i="35"/>
  <c r="DG40" i="35"/>
  <c r="CD40" i="35"/>
  <c r="T40" i="35"/>
  <c r="S40" i="35"/>
  <c r="R40" i="35"/>
  <c r="EO39" i="35"/>
  <c r="CD39" i="35"/>
  <c r="T39" i="35"/>
  <c r="S39" i="35"/>
  <c r="R39" i="35"/>
  <c r="EO38" i="35"/>
  <c r="EE38" i="35"/>
  <c r="ED38" i="35"/>
  <c r="EC38" i="35"/>
  <c r="EB38" i="35"/>
  <c r="EA38" i="35"/>
  <c r="DZ38" i="35"/>
  <c r="DY38" i="35"/>
  <c r="AA38" i="35"/>
  <c r="X38" i="35" s="1"/>
  <c r="T38" i="35"/>
  <c r="S38" i="35"/>
  <c r="R38" i="35"/>
  <c r="EO37" i="35"/>
  <c r="EC37" i="35"/>
  <c r="DU37" i="35"/>
  <c r="DR37" i="35"/>
  <c r="DR31" i="35" s="1"/>
  <c r="DQ37" i="35"/>
  <c r="DQ31" i="35" s="1"/>
  <c r="DP37" i="35"/>
  <c r="DP31" i="35" s="1"/>
  <c r="DO37" i="35"/>
  <c r="DO31" i="35" s="1"/>
  <c r="DN37" i="35"/>
  <c r="DN31" i="35" s="1"/>
  <c r="DM37" i="35"/>
  <c r="DM31" i="35" s="1"/>
  <c r="DL37" i="35"/>
  <c r="DL31" i="35" s="1"/>
  <c r="DK37" i="35"/>
  <c r="DK31" i="35" s="1"/>
  <c r="DJ37" i="35"/>
  <c r="DJ31" i="35" s="1"/>
  <c r="DI37" i="35"/>
  <c r="DI31" i="35" s="1"/>
  <c r="DH37" i="35"/>
  <c r="DH31" i="35" s="1"/>
  <c r="DG37" i="35"/>
  <c r="AA37" i="35"/>
  <c r="X37" i="35" s="1"/>
  <c r="T37" i="35"/>
  <c r="S37" i="35"/>
  <c r="R37" i="35"/>
  <c r="EO36" i="35"/>
  <c r="CD36" i="35"/>
  <c r="AA36" i="35"/>
  <c r="X36" i="35" s="1"/>
  <c r="T36" i="35"/>
  <c r="S36" i="35"/>
  <c r="R36" i="35"/>
  <c r="EO35" i="35"/>
  <c r="CY35" i="35"/>
  <c r="CX35" i="35"/>
  <c r="CD35" i="35"/>
  <c r="AA35" i="35"/>
  <c r="X35" i="35" s="1"/>
  <c r="T35" i="35"/>
  <c r="S35" i="35"/>
  <c r="R35" i="35"/>
  <c r="EN34" i="35"/>
  <c r="CD34" i="35"/>
  <c r="AA34" i="35"/>
  <c r="X34" i="35" s="1"/>
  <c r="T34" i="35"/>
  <c r="S34" i="35"/>
  <c r="R34" i="35"/>
  <c r="FG33" i="35"/>
  <c r="FF33" i="35"/>
  <c r="FE33" i="35"/>
  <c r="FD33" i="35"/>
  <c r="FC33" i="35"/>
  <c r="FA33" i="35"/>
  <c r="EY33" i="35"/>
  <c r="EX33" i="35"/>
  <c r="EW33" i="35"/>
  <c r="EU33" i="35"/>
  <c r="ET33" i="35"/>
  <c r="ES33" i="35"/>
  <c r="CD33" i="35"/>
  <c r="AA33" i="35"/>
  <c r="X33" i="35" s="1"/>
  <c r="T33" i="35"/>
  <c r="S33" i="35"/>
  <c r="R33" i="35"/>
  <c r="CD32" i="35"/>
  <c r="AA32" i="35"/>
  <c r="X32" i="35" s="1"/>
  <c r="Q32" i="35"/>
  <c r="P32" i="35"/>
  <c r="O32" i="35"/>
  <c r="N32" i="35"/>
  <c r="DT31" i="35"/>
  <c r="DS31" i="35"/>
  <c r="CD31" i="35"/>
  <c r="AA31" i="35"/>
  <c r="X31" i="35"/>
  <c r="CD30" i="35"/>
  <c r="AA30" i="35"/>
  <c r="X30" i="35" s="1"/>
  <c r="T30" i="35"/>
  <c r="S30" i="35"/>
  <c r="R30" i="35"/>
  <c r="CD29" i="35"/>
  <c r="AA29" i="35"/>
  <c r="X29" i="35" s="1"/>
  <c r="T29" i="35"/>
  <c r="S29" i="35"/>
  <c r="R29" i="35"/>
  <c r="CD28" i="35"/>
  <c r="AA28" i="35"/>
  <c r="X28" i="35" s="1"/>
  <c r="T28" i="35"/>
  <c r="S28" i="35"/>
  <c r="R28" i="35"/>
  <c r="AA27" i="35"/>
  <c r="X27" i="35" s="1"/>
  <c r="T27" i="35"/>
  <c r="S27" i="35"/>
  <c r="R27" i="35"/>
  <c r="AF26" i="35"/>
  <c r="AE26" i="35"/>
  <c r="AD26" i="35"/>
  <c r="AC26" i="35"/>
  <c r="AB26" i="35"/>
  <c r="Z26" i="35"/>
  <c r="Y26" i="35"/>
  <c r="T26" i="35"/>
  <c r="S26" i="35"/>
  <c r="R26" i="35"/>
  <c r="DC25" i="35"/>
  <c r="DC5" i="35" s="1"/>
  <c r="DB25" i="35"/>
  <c r="DB5" i="35" s="1"/>
  <c r="DA25" i="35"/>
  <c r="DA5" i="35" s="1"/>
  <c r="CZ25" i="35"/>
  <c r="CZ5" i="35" s="1"/>
  <c r="CY25" i="35"/>
  <c r="CY5" i="35" s="1"/>
  <c r="CX25" i="35"/>
  <c r="CX5" i="35" s="1"/>
  <c r="CW25" i="35"/>
  <c r="CW5" i="35" s="1"/>
  <c r="CV25" i="35"/>
  <c r="CV5" i="35" s="1"/>
  <c r="CU25" i="35"/>
  <c r="CT25" i="35"/>
  <c r="CT5" i="35" s="1"/>
  <c r="CD25" i="35"/>
  <c r="T25" i="35"/>
  <c r="S25" i="35"/>
  <c r="R25" i="35"/>
  <c r="CD24" i="35"/>
  <c r="BI24" i="35"/>
  <c r="BH24" i="35"/>
  <c r="BG24" i="35"/>
  <c r="BF24" i="35"/>
  <c r="BE24" i="35"/>
  <c r="T24" i="35"/>
  <c r="S24" i="35"/>
  <c r="R24" i="35"/>
  <c r="CD23" i="35"/>
  <c r="T23" i="35"/>
  <c r="S23" i="35"/>
  <c r="R23" i="35"/>
  <c r="CD22" i="35"/>
  <c r="T22" i="35"/>
  <c r="S22" i="35"/>
  <c r="R22" i="35"/>
  <c r="CD21" i="35"/>
  <c r="T21" i="35"/>
  <c r="S21" i="35"/>
  <c r="R21" i="35"/>
  <c r="FG20" i="35"/>
  <c r="ES20" i="35"/>
  <c r="EO20" i="35"/>
  <c r="EN20" i="35"/>
  <c r="EN5" i="35" s="1"/>
  <c r="EM20" i="35"/>
  <c r="EL20" i="35"/>
  <c r="EJ20" i="35"/>
  <c r="EI20" i="35"/>
  <c r="CD20" i="35"/>
  <c r="T20" i="35"/>
  <c r="S20" i="35"/>
  <c r="R20" i="35"/>
  <c r="FG19" i="35"/>
  <c r="DY19" i="35"/>
  <c r="DG19" i="35"/>
  <c r="CD19" i="35"/>
  <c r="T19" i="35"/>
  <c r="S19" i="35"/>
  <c r="R19" i="35"/>
  <c r="CD18" i="35"/>
  <c r="Q18" i="35"/>
  <c r="P18" i="35"/>
  <c r="O18" i="35"/>
  <c r="N18" i="35"/>
  <c r="CD17" i="35"/>
  <c r="FG16" i="35"/>
  <c r="CD16" i="35"/>
  <c r="AN16" i="35"/>
  <c r="AM16" i="35"/>
  <c r="AL16" i="35"/>
  <c r="AK16" i="35"/>
  <c r="AJ16" i="35"/>
  <c r="X16" i="35"/>
  <c r="Q16" i="35"/>
  <c r="P16" i="35"/>
  <c r="T16" i="35" s="1"/>
  <c r="O16" i="35"/>
  <c r="N16" i="35"/>
  <c r="FG15" i="35"/>
  <c r="X15" i="35"/>
  <c r="Q15" i="35"/>
  <c r="P15" i="35"/>
  <c r="O15" i="35"/>
  <c r="N15" i="35"/>
  <c r="X14" i="35"/>
  <c r="Q14" i="35"/>
  <c r="P14" i="35"/>
  <c r="O14" i="35"/>
  <c r="N14" i="35"/>
  <c r="FG13" i="35"/>
  <c r="CD13" i="35"/>
  <c r="X13" i="35"/>
  <c r="Q13" i="35"/>
  <c r="P13" i="35"/>
  <c r="O13" i="35"/>
  <c r="N13" i="35"/>
  <c r="FG12" i="35"/>
  <c r="CD12" i="35"/>
  <c r="X12" i="35"/>
  <c r="Q12" i="35"/>
  <c r="P12" i="35"/>
  <c r="T12" i="35" s="1"/>
  <c r="O12" i="35"/>
  <c r="N12" i="35"/>
  <c r="FG11" i="35"/>
  <c r="ES11" i="35"/>
  <c r="ES5" i="35" s="1"/>
  <c r="EO11" i="35"/>
  <c r="EO5" i="35" s="1"/>
  <c r="EN11" i="35"/>
  <c r="EM11" i="35"/>
  <c r="EL11" i="35"/>
  <c r="EJ11" i="35"/>
  <c r="EI11" i="35"/>
  <c r="CD11" i="35"/>
  <c r="X11" i="35"/>
  <c r="Q11" i="35"/>
  <c r="P11" i="35"/>
  <c r="O11" i="35"/>
  <c r="N11" i="35"/>
  <c r="I11" i="35"/>
  <c r="H11" i="35"/>
  <c r="G11" i="35"/>
  <c r="C11" i="35"/>
  <c r="FG10" i="35"/>
  <c r="DY10" i="35"/>
  <c r="DG10" i="35"/>
  <c r="CD10" i="35"/>
  <c r="X10" i="35"/>
  <c r="Q10" i="35"/>
  <c r="P10" i="35"/>
  <c r="O10" i="35"/>
  <c r="N10" i="35"/>
  <c r="FG9" i="35"/>
  <c r="CD9" i="35"/>
  <c r="X9" i="35"/>
  <c r="Q9" i="35"/>
  <c r="P9" i="35"/>
  <c r="O9" i="35"/>
  <c r="N9" i="35"/>
  <c r="FG8" i="35"/>
  <c r="CD8" i="35"/>
  <c r="X8" i="35"/>
  <c r="Q8" i="35"/>
  <c r="P8" i="35"/>
  <c r="O8" i="35"/>
  <c r="N8" i="35"/>
  <c r="FG7" i="35"/>
  <c r="CD7" i="35"/>
  <c r="X7" i="35"/>
  <c r="Q7" i="35"/>
  <c r="P7" i="35"/>
  <c r="O7" i="35"/>
  <c r="N7" i="35"/>
  <c r="FG6" i="35"/>
  <c r="CD6" i="35"/>
  <c r="X6" i="35"/>
  <c r="Q6" i="35"/>
  <c r="P6" i="35"/>
  <c r="O6" i="35"/>
  <c r="N6" i="35"/>
  <c r="I6" i="35"/>
  <c r="H6" i="35"/>
  <c r="G6" i="35"/>
  <c r="C6" i="35"/>
  <c r="GU5" i="35"/>
  <c r="GT5" i="35"/>
  <c r="GS5" i="35"/>
  <c r="GR5" i="35"/>
  <c r="GQ5" i="35"/>
  <c r="GP5" i="35"/>
  <c r="GO5" i="35"/>
  <c r="GN5" i="35"/>
  <c r="FF5" i="35"/>
  <c r="FE5" i="35"/>
  <c r="FD5" i="35"/>
  <c r="FC5" i="35"/>
  <c r="FA5" i="35"/>
  <c r="EY5" i="35"/>
  <c r="EX5" i="35"/>
  <c r="EW5" i="35"/>
  <c r="EU5" i="35"/>
  <c r="ET5" i="35"/>
  <c r="CU5" i="35"/>
  <c r="CD5" i="35"/>
  <c r="AM5" i="35"/>
  <c r="AL5" i="35"/>
  <c r="AK5" i="35"/>
  <c r="AJ5" i="35"/>
  <c r="X5" i="35"/>
  <c r="Q5" i="35"/>
  <c r="P5" i="35"/>
  <c r="O5" i="35"/>
  <c r="S5" i="35" s="1"/>
  <c r="N5" i="35"/>
  <c r="I5" i="35"/>
  <c r="EE4" i="35"/>
  <c r="ED4" i="35"/>
  <c r="EC4" i="35"/>
  <c r="EB4" i="35"/>
  <c r="EA4" i="35"/>
  <c r="DZ4" i="35"/>
  <c r="DU4" i="35"/>
  <c r="DT4" i="35"/>
  <c r="DS4" i="35"/>
  <c r="DR4" i="35"/>
  <c r="DQ4" i="35"/>
  <c r="DP4" i="35"/>
  <c r="DO4" i="35"/>
  <c r="DN4" i="35"/>
  <c r="DM4" i="35"/>
  <c r="DL4" i="35"/>
  <c r="DK4" i="35"/>
  <c r="DJ4" i="35"/>
  <c r="DI4" i="35"/>
  <c r="DH4" i="35"/>
  <c r="CD4" i="35"/>
  <c r="BI4" i="35"/>
  <c r="BH4" i="35"/>
  <c r="BG4" i="35"/>
  <c r="BF4" i="35"/>
  <c r="BE4" i="35"/>
  <c r="AF4" i="35"/>
  <c r="AE4" i="35"/>
  <c r="AD4" i="35"/>
  <c r="AC4" i="35"/>
  <c r="AB4" i="35"/>
  <c r="AA4" i="35"/>
  <c r="Z4" i="35"/>
  <c r="Y4" i="35"/>
  <c r="J3" i="35"/>
  <c r="F3" i="35"/>
  <c r="E3" i="35"/>
  <c r="D3" i="35"/>
  <c r="B3" i="35"/>
  <c r="Y187" i="34"/>
  <c r="X187" i="34"/>
  <c r="W187" i="34"/>
  <c r="V187" i="34"/>
  <c r="U187" i="34"/>
  <c r="T187" i="34"/>
  <c r="Y175" i="34"/>
  <c r="X175" i="34"/>
  <c r="W175" i="34"/>
  <c r="V175" i="34"/>
  <c r="U175" i="34"/>
  <c r="T175" i="34"/>
  <c r="Y162" i="34"/>
  <c r="X162" i="34"/>
  <c r="W162" i="34"/>
  <c r="V162" i="34"/>
  <c r="U162" i="34"/>
  <c r="T162" i="34"/>
  <c r="Y150" i="34"/>
  <c r="X150" i="34"/>
  <c r="W150" i="34"/>
  <c r="V150" i="34"/>
  <c r="U150" i="34"/>
  <c r="T150" i="34"/>
  <c r="Y139" i="34"/>
  <c r="X139" i="34"/>
  <c r="W139" i="34"/>
  <c r="V139" i="34"/>
  <c r="U139" i="34"/>
  <c r="T139" i="34"/>
  <c r="Y128" i="34"/>
  <c r="X128" i="34"/>
  <c r="W128" i="34"/>
  <c r="V128" i="34"/>
  <c r="U128" i="34"/>
  <c r="T128" i="34"/>
  <c r="U118" i="34"/>
  <c r="T118" i="34"/>
  <c r="Y108" i="34"/>
  <c r="X108" i="34"/>
  <c r="W108" i="34"/>
  <c r="V108" i="34"/>
  <c r="U108" i="34"/>
  <c r="T108" i="34"/>
  <c r="U97" i="34"/>
  <c r="T97" i="34"/>
  <c r="Y89" i="34"/>
  <c r="Y87" i="34"/>
  <c r="X87" i="34"/>
  <c r="W87" i="34"/>
  <c r="V87" i="34"/>
  <c r="U87" i="34"/>
  <c r="T87" i="34"/>
  <c r="V80" i="34"/>
  <c r="V79" i="34"/>
  <c r="U78" i="34"/>
  <c r="T78" i="34"/>
  <c r="Y70" i="34"/>
  <c r="Y68" i="34" s="1"/>
  <c r="X68" i="34"/>
  <c r="W68" i="34"/>
  <c r="V68" i="34"/>
  <c r="U68" i="34"/>
  <c r="T68" i="34"/>
  <c r="T57" i="34"/>
  <c r="G48" i="34"/>
  <c r="F48" i="34"/>
  <c r="E48" i="34"/>
  <c r="D48" i="34"/>
  <c r="C48" i="34"/>
  <c r="B48" i="34"/>
  <c r="Y48" i="34"/>
  <c r="Y46" i="34" s="1"/>
  <c r="X46" i="34"/>
  <c r="W46" i="34"/>
  <c r="V46" i="34"/>
  <c r="U46" i="34"/>
  <c r="T46" i="34"/>
  <c r="G39" i="34"/>
  <c r="F39" i="34"/>
  <c r="E39" i="34"/>
  <c r="D39" i="34"/>
  <c r="C39" i="34"/>
  <c r="B39" i="34"/>
  <c r="X35" i="34"/>
  <c r="W35" i="34"/>
  <c r="V35" i="34"/>
  <c r="U35" i="34"/>
  <c r="T35" i="34"/>
  <c r="K28" i="34"/>
  <c r="Y25" i="34"/>
  <c r="X25" i="34"/>
  <c r="W25" i="34"/>
  <c r="V25" i="34"/>
  <c r="U25" i="34"/>
  <c r="T25" i="34"/>
  <c r="L23" i="34"/>
  <c r="K23" i="34"/>
  <c r="AG21" i="34"/>
  <c r="AF21" i="34"/>
  <c r="AE21" i="34"/>
  <c r="AD21" i="34"/>
  <c r="AC21" i="34"/>
  <c r="G21" i="34"/>
  <c r="F21" i="34"/>
  <c r="E21" i="34"/>
  <c r="D21" i="34"/>
  <c r="C21" i="34"/>
  <c r="B21" i="34"/>
  <c r="U15" i="34"/>
  <c r="T15" i="34"/>
  <c r="P9" i="34"/>
  <c r="O9" i="34"/>
  <c r="N9" i="34"/>
  <c r="M9" i="34"/>
  <c r="L9" i="34"/>
  <c r="K9" i="34"/>
  <c r="AH4" i="34"/>
  <c r="AG4" i="34"/>
  <c r="AF4" i="34"/>
  <c r="AE4" i="34"/>
  <c r="AD4" i="34"/>
  <c r="AC4" i="34"/>
  <c r="Y4" i="34"/>
  <c r="X4" i="34"/>
  <c r="W4" i="34"/>
  <c r="V4" i="34"/>
  <c r="U4" i="34"/>
  <c r="T4" i="34"/>
  <c r="P4" i="34"/>
  <c r="O4" i="34"/>
  <c r="N4" i="34"/>
  <c r="M4" i="34"/>
  <c r="L4" i="34"/>
  <c r="K4" i="34"/>
  <c r="G3" i="34"/>
  <c r="F3" i="34"/>
  <c r="E3" i="34"/>
  <c r="D3" i="34"/>
  <c r="C3" i="34"/>
  <c r="B3" i="34"/>
  <c r="BT244" i="33"/>
  <c r="BS244" i="33"/>
  <c r="BR202" i="33"/>
  <c r="BQ202" i="33"/>
  <c r="BP202" i="33"/>
  <c r="BO202" i="33"/>
  <c r="BR161" i="33"/>
  <c r="BQ161" i="33"/>
  <c r="BP161" i="33"/>
  <c r="BO161" i="33"/>
  <c r="BD140" i="33"/>
  <c r="BC140" i="33"/>
  <c r="BR120" i="33"/>
  <c r="BQ120" i="33"/>
  <c r="BP120" i="33"/>
  <c r="BO120" i="33"/>
  <c r="AP92" i="33"/>
  <c r="AO92" i="33"/>
  <c r="AN92" i="33"/>
  <c r="AM92" i="33"/>
  <c r="BD94" i="33"/>
  <c r="BC94" i="33"/>
  <c r="BB94" i="33"/>
  <c r="BA94" i="33"/>
  <c r="BR82" i="33"/>
  <c r="BQ82" i="33"/>
  <c r="BP82" i="33"/>
  <c r="BO82" i="33"/>
  <c r="EA85" i="33"/>
  <c r="DZ85" i="33"/>
  <c r="DX85" i="33"/>
  <c r="DV85" i="33"/>
  <c r="AW82" i="33"/>
  <c r="AV82" i="33"/>
  <c r="AU82" i="33"/>
  <c r="AT82" i="33"/>
  <c r="EA76" i="33"/>
  <c r="DZ76" i="33"/>
  <c r="EA75" i="33"/>
  <c r="DZ75" i="33"/>
  <c r="EA74" i="33"/>
  <c r="DZ74" i="33"/>
  <c r="EA73" i="33"/>
  <c r="DZ73" i="33"/>
  <c r="EA72" i="33"/>
  <c r="DZ72" i="33"/>
  <c r="EA71" i="33"/>
  <c r="DZ71" i="33"/>
  <c r="EA70" i="33"/>
  <c r="DZ70" i="33"/>
  <c r="EA69" i="33"/>
  <c r="DZ69" i="33"/>
  <c r="EA68" i="33"/>
  <c r="DZ68" i="33"/>
  <c r="DH69" i="33"/>
  <c r="EA67" i="33"/>
  <c r="DZ67" i="33"/>
  <c r="AP65" i="33"/>
  <c r="AO65" i="33"/>
  <c r="AN65" i="33"/>
  <c r="AM65" i="33"/>
  <c r="EA66" i="33"/>
  <c r="DZ66" i="33"/>
  <c r="EA65" i="33"/>
  <c r="DZ65" i="33"/>
  <c r="BK63" i="33"/>
  <c r="BJ63" i="33"/>
  <c r="BI63" i="33"/>
  <c r="BH63" i="33"/>
  <c r="EA64" i="33"/>
  <c r="DZ64" i="33"/>
  <c r="EA63" i="33"/>
  <c r="DZ63" i="33"/>
  <c r="AP61" i="33"/>
  <c r="AO61" i="33"/>
  <c r="AN61" i="33"/>
  <c r="AM61" i="33"/>
  <c r="EA62" i="33"/>
  <c r="DZ62" i="33"/>
  <c r="EA61" i="33"/>
  <c r="DZ61" i="33"/>
  <c r="BK59" i="33"/>
  <c r="BJ59" i="33"/>
  <c r="BI59" i="33"/>
  <c r="BH59" i="33"/>
  <c r="EA60" i="33"/>
  <c r="DZ60" i="33"/>
  <c r="EA59" i="33"/>
  <c r="DZ59" i="33"/>
  <c r="DX58" i="33"/>
  <c r="DW58" i="33"/>
  <c r="DV58" i="33"/>
  <c r="EC49" i="33"/>
  <c r="EB49" i="33"/>
  <c r="DH51" i="33"/>
  <c r="DH47" i="33" s="1"/>
  <c r="EC48" i="33"/>
  <c r="EB48" i="33"/>
  <c r="EC47" i="33"/>
  <c r="EB47" i="33"/>
  <c r="EC46" i="33"/>
  <c r="EB46" i="33"/>
  <c r="BD49" i="33"/>
  <c r="BC49" i="33"/>
  <c r="BB49" i="33"/>
  <c r="BA49" i="33"/>
  <c r="EC45" i="33"/>
  <c r="EB45" i="33"/>
  <c r="BR43" i="33"/>
  <c r="BQ43" i="33"/>
  <c r="BP43" i="33"/>
  <c r="BO43" i="33"/>
  <c r="EC44" i="33"/>
  <c r="EB44" i="33"/>
  <c r="EC43" i="33"/>
  <c r="EB43" i="33"/>
  <c r="AW43" i="33"/>
  <c r="AV43" i="33"/>
  <c r="AU43" i="33"/>
  <c r="AT43" i="33"/>
  <c r="EC42" i="33"/>
  <c r="EB42" i="33"/>
  <c r="EC41" i="33"/>
  <c r="EB41" i="33"/>
  <c r="EC40" i="33"/>
  <c r="EB40" i="33"/>
  <c r="EC39" i="33"/>
  <c r="EB39" i="33"/>
  <c r="CE39" i="33"/>
  <c r="CD39" i="33"/>
  <c r="CC39" i="33"/>
  <c r="CB39" i="33"/>
  <c r="CA39" i="33"/>
  <c r="BZ39" i="33"/>
  <c r="BY39" i="33"/>
  <c r="BX39" i="33"/>
  <c r="BW39" i="33"/>
  <c r="BV39" i="33"/>
  <c r="EC38" i="33"/>
  <c r="EB38" i="33"/>
  <c r="EC37" i="33"/>
  <c r="EB37" i="33"/>
  <c r="EC36" i="33"/>
  <c r="EB36" i="33"/>
  <c r="AP36" i="33"/>
  <c r="AO36" i="33"/>
  <c r="AN36" i="33"/>
  <c r="AM36" i="33"/>
  <c r="EC35" i="33"/>
  <c r="EB35" i="33"/>
  <c r="BK35" i="33"/>
  <c r="BJ35" i="33"/>
  <c r="BI35" i="33"/>
  <c r="BH35" i="33"/>
  <c r="EC34" i="33"/>
  <c r="EB34" i="33"/>
  <c r="EC33" i="33"/>
  <c r="EB33" i="33"/>
  <c r="EC32" i="33"/>
  <c r="EB32" i="33"/>
  <c r="AP32" i="33"/>
  <c r="AO32" i="33"/>
  <c r="AN32" i="33"/>
  <c r="AM32" i="33"/>
  <c r="EC31" i="33"/>
  <c r="EB31" i="33"/>
  <c r="CM30" i="33"/>
  <c r="DO23" i="33"/>
  <c r="EC22" i="33"/>
  <c r="EB22" i="33"/>
  <c r="EC21" i="33"/>
  <c r="EB21" i="33"/>
  <c r="EC20" i="33"/>
  <c r="EB20" i="33"/>
  <c r="EC19" i="33"/>
  <c r="EB19" i="33"/>
  <c r="EC18" i="33"/>
  <c r="EB18" i="33"/>
  <c r="EC17" i="33"/>
  <c r="EB17" i="33"/>
  <c r="DB17" i="33"/>
  <c r="EC16" i="33"/>
  <c r="EB16" i="33"/>
  <c r="DB16" i="33"/>
  <c r="AC16" i="33"/>
  <c r="AB16" i="33"/>
  <c r="EC15" i="33"/>
  <c r="EB15" i="33"/>
  <c r="EC14" i="33"/>
  <c r="EB14" i="33"/>
  <c r="EC13" i="33"/>
  <c r="EB13" i="33"/>
  <c r="EC12" i="33"/>
  <c r="EB12" i="33"/>
  <c r="EC11" i="33"/>
  <c r="EB11" i="33"/>
  <c r="CR11" i="33"/>
  <c r="EC10" i="33"/>
  <c r="EB10" i="33"/>
  <c r="CE10" i="33"/>
  <c r="CD10" i="33"/>
  <c r="CC10" i="33"/>
  <c r="CB10" i="33"/>
  <c r="CA10" i="33"/>
  <c r="BZ10" i="33"/>
  <c r="BY10" i="33"/>
  <c r="BX10" i="33"/>
  <c r="BW10" i="33"/>
  <c r="BV10" i="33"/>
  <c r="EC9" i="33"/>
  <c r="EB9" i="33"/>
  <c r="DQ9" i="33"/>
  <c r="DP9" i="33"/>
  <c r="DO9" i="33"/>
  <c r="DN9" i="33"/>
  <c r="EC8" i="33"/>
  <c r="EB8" i="33"/>
  <c r="BK8" i="33"/>
  <c r="BJ8" i="33"/>
  <c r="BI8" i="33"/>
  <c r="BH8" i="33"/>
  <c r="AP8" i="33"/>
  <c r="AO8" i="33"/>
  <c r="AN8" i="33"/>
  <c r="AM8" i="33"/>
  <c r="EC7" i="33"/>
  <c r="EB7" i="33"/>
  <c r="DP7" i="33"/>
  <c r="DO7" i="33"/>
  <c r="CR7" i="33"/>
  <c r="EC6" i="33"/>
  <c r="EB6" i="33"/>
  <c r="DD6" i="33"/>
  <c r="CZ6" i="33"/>
  <c r="EC5" i="33"/>
  <c r="EB5" i="33"/>
  <c r="DD5" i="33"/>
  <c r="CZ5" i="33"/>
  <c r="EA4" i="33"/>
  <c r="DZ4" i="33"/>
  <c r="DY4" i="33"/>
  <c r="DX4" i="33"/>
  <c r="DW4" i="33"/>
  <c r="DV4" i="33"/>
  <c r="DA4" i="33"/>
  <c r="DB5" i="33" s="1"/>
  <c r="BR4" i="33"/>
  <c r="BQ4" i="33"/>
  <c r="BP4" i="33"/>
  <c r="BO4" i="33"/>
  <c r="BD4" i="33"/>
  <c r="BC4" i="33"/>
  <c r="BB4" i="33"/>
  <c r="BA4" i="33"/>
  <c r="AW4" i="33"/>
  <c r="AV4" i="33"/>
  <c r="AU4" i="33"/>
  <c r="AT4" i="33"/>
  <c r="AM4" i="33"/>
  <c r="DH3" i="33"/>
  <c r="AE65" i="37" l="1"/>
  <c r="AC65" i="37"/>
  <c r="R8" i="35"/>
  <c r="S18" i="35"/>
  <c r="R6" i="35"/>
  <c r="T8" i="35"/>
  <c r="EL5" i="35"/>
  <c r="DZ60" i="35"/>
  <c r="T9" i="35"/>
  <c r="R12" i="35"/>
  <c r="S10" i="35"/>
  <c r="T5" i="35"/>
  <c r="S12" i="35"/>
  <c r="R15" i="35"/>
  <c r="FA61" i="35"/>
  <c r="R5" i="35"/>
  <c r="X49" i="35"/>
  <c r="X48" i="35" s="1"/>
  <c r="EI5" i="35"/>
  <c r="EA32" i="35"/>
  <c r="EJ5" i="35"/>
  <c r="DG31" i="35"/>
  <c r="EJ34" i="35"/>
  <c r="EL34" i="35"/>
  <c r="ED32" i="35"/>
  <c r="EL63" i="35"/>
  <c r="DY32" i="35"/>
  <c r="EO34" i="35"/>
  <c r="R14" i="35"/>
  <c r="DU31" i="35"/>
  <c r="T7" i="35"/>
  <c r="T11" i="35"/>
  <c r="H3" i="35"/>
  <c r="S15" i="35"/>
  <c r="EI63" i="35"/>
  <c r="X4" i="35"/>
  <c r="N4" i="35"/>
  <c r="EC32" i="35"/>
  <c r="EJ63" i="35"/>
  <c r="T13" i="35"/>
  <c r="O4" i="35"/>
  <c r="T6" i="35"/>
  <c r="EA60" i="35"/>
  <c r="EB60" i="35"/>
  <c r="EC60" i="35"/>
  <c r="ED60" i="35"/>
  <c r="DZ32" i="35"/>
  <c r="S8" i="35"/>
  <c r="DG4" i="35"/>
  <c r="EM5" i="35"/>
  <c r="T15" i="35"/>
  <c r="FG5" i="35"/>
  <c r="DY4" i="35"/>
  <c r="R7" i="35"/>
  <c r="T18" i="35"/>
  <c r="ES67" i="35"/>
  <c r="ES61" i="35" s="1"/>
  <c r="R9" i="35"/>
  <c r="R16" i="35"/>
  <c r="S7" i="35"/>
  <c r="C3" i="35"/>
  <c r="P4" i="35"/>
  <c r="G3" i="35"/>
  <c r="S11" i="35"/>
  <c r="Q4" i="35"/>
  <c r="S32" i="35"/>
  <c r="EE32" i="35"/>
  <c r="I3" i="35"/>
  <c r="ES76" i="35"/>
  <c r="EI34" i="35"/>
  <c r="EW61" i="35"/>
  <c r="S6" i="35"/>
  <c r="T10" i="35"/>
  <c r="EB32" i="35"/>
  <c r="EE60" i="35"/>
  <c r="FF61" i="35"/>
  <c r="DY60" i="35"/>
  <c r="T32" i="35"/>
  <c r="EO63" i="35"/>
  <c r="S13" i="35"/>
  <c r="AA26" i="35"/>
  <c r="DG58" i="35"/>
  <c r="V78" i="34"/>
  <c r="EA58" i="33"/>
  <c r="EB4" i="33"/>
  <c r="DO3" i="33"/>
  <c r="DZ58" i="33"/>
  <c r="EC4" i="33"/>
  <c r="X26" i="35"/>
  <c r="R18" i="35"/>
  <c r="S9" i="35"/>
  <c r="T14" i="35"/>
  <c r="S16" i="35"/>
  <c r="ET61" i="35"/>
  <c r="AA48" i="35"/>
  <c r="EU61" i="35"/>
  <c r="S14" i="35"/>
  <c r="R32" i="35"/>
  <c r="R13" i="35"/>
  <c r="R10" i="35"/>
  <c r="R11" i="35"/>
  <c r="FG61" i="35"/>
  <c r="DB6" i="33"/>
  <c r="R4" i="35" l="1"/>
  <c r="T4" i="35"/>
  <c r="S4" i="35"/>
  <c r="DQ29" i="29"/>
  <c r="T25" i="29"/>
  <c r="R25" i="29" s="1"/>
  <c r="T24" i="29"/>
  <c r="R24" i="29" s="1"/>
  <c r="T23" i="29"/>
  <c r="R23" i="29" s="1"/>
  <c r="T22" i="29"/>
  <c r="R22" i="29" s="1"/>
  <c r="T21" i="29"/>
  <c r="R21" i="29" s="1"/>
  <c r="T20" i="29"/>
  <c r="R20" i="29" s="1"/>
  <c r="T14" i="29"/>
  <c r="R14" i="29" s="1"/>
  <c r="E14" i="29"/>
  <c r="D14" i="29"/>
  <c r="C14" i="29"/>
  <c r="B14" i="29"/>
  <c r="T13" i="29"/>
  <c r="T12" i="29"/>
  <c r="DQ8" i="29"/>
  <c r="T5" i="29"/>
  <c r="AU4" i="29"/>
  <c r="M4" i="29"/>
  <c r="L4" i="29"/>
  <c r="K4" i="29"/>
  <c r="J4" i="29"/>
  <c r="I4" i="29"/>
  <c r="H4" i="29"/>
  <c r="G4" i="29"/>
  <c r="P43" i="27"/>
  <c r="O43" i="27"/>
  <c r="N43" i="27"/>
  <c r="M43" i="27"/>
  <c r="P24" i="27"/>
  <c r="O24" i="27"/>
  <c r="N24" i="27"/>
  <c r="M24" i="27"/>
  <c r="BW5" i="27"/>
  <c r="BV5" i="27"/>
  <c r="BU5" i="27"/>
  <c r="BT5" i="27"/>
  <c r="BP5" i="27"/>
  <c r="AU5" i="27"/>
  <c r="AT5" i="27"/>
  <c r="AS5" i="27"/>
  <c r="AR5" i="27"/>
  <c r="P5" i="27"/>
  <c r="O5" i="27"/>
  <c r="N5" i="27"/>
  <c r="M5" i="27"/>
  <c r="AY51" i="26"/>
  <c r="AX51" i="26"/>
  <c r="AW51" i="26"/>
  <c r="AZ50" i="26"/>
  <c r="AY50" i="26"/>
  <c r="AV49" i="26"/>
  <c r="AV48" i="26"/>
  <c r="BA43" i="26"/>
  <c r="AZ43" i="26"/>
  <c r="AY43" i="26"/>
  <c r="AY48" i="26" s="1"/>
  <c r="AX43" i="26"/>
  <c r="AX48" i="26" s="1"/>
  <c r="AW43" i="26"/>
  <c r="BA38" i="26"/>
  <c r="AZ38" i="26"/>
  <c r="AY38" i="26"/>
  <c r="AX38" i="26"/>
  <c r="AW38" i="26"/>
  <c r="BA36" i="26"/>
  <c r="BA51" i="26" s="1"/>
  <c r="AZ36" i="26"/>
  <c r="AZ51" i="26" s="1"/>
  <c r="AY36" i="26"/>
  <c r="AX36" i="26"/>
  <c r="AW36" i="26"/>
  <c r="BA35" i="26"/>
  <c r="AZ35" i="26"/>
  <c r="AY35" i="26"/>
  <c r="AX35" i="26"/>
  <c r="AW35" i="26"/>
  <c r="AW33" i="26" s="1"/>
  <c r="BA34" i="26"/>
  <c r="BA49" i="26" s="1"/>
  <c r="AZ34" i="26"/>
  <c r="AZ49" i="26" s="1"/>
  <c r="AY34" i="26"/>
  <c r="AY33" i="26" s="1"/>
  <c r="AX34" i="26"/>
  <c r="AX33" i="26" s="1"/>
  <c r="AW34" i="26"/>
  <c r="AW49" i="26" s="1"/>
  <c r="AP34" i="26"/>
  <c r="AL34" i="26"/>
  <c r="AP33" i="26"/>
  <c r="AL33" i="26"/>
  <c r="AP32" i="26"/>
  <c r="AL32" i="26"/>
  <c r="AP31" i="26"/>
  <c r="AL31" i="26"/>
  <c r="AP30" i="26"/>
  <c r="AL30" i="26"/>
  <c r="AP29" i="26"/>
  <c r="AL29" i="26"/>
  <c r="AP28" i="26"/>
  <c r="AL28" i="26"/>
  <c r="AP27" i="26"/>
  <c r="AL27" i="26"/>
  <c r="AP26" i="26"/>
  <c r="AL26" i="26"/>
  <c r="AP25" i="26"/>
  <c r="AL25" i="26"/>
  <c r="AP24" i="26"/>
  <c r="AL24" i="26"/>
  <c r="AP23" i="26"/>
  <c r="AL23" i="26"/>
  <c r="AP22" i="26"/>
  <c r="AL22" i="26"/>
  <c r="BA21" i="26"/>
  <c r="AZ21" i="26"/>
  <c r="AY21" i="26"/>
  <c r="AX21" i="26"/>
  <c r="AV21" i="26"/>
  <c r="AU21" i="26"/>
  <c r="AP21" i="26"/>
  <c r="AL21" i="26"/>
  <c r="AZ20" i="26"/>
  <c r="AX20" i="26"/>
  <c r="AP20" i="26"/>
  <c r="AL20" i="26"/>
  <c r="BA19" i="26"/>
  <c r="AZ19" i="26"/>
  <c r="AY19" i="26"/>
  <c r="AX19" i="26"/>
  <c r="AV19" i="26"/>
  <c r="AU19" i="26"/>
  <c r="AP19" i="26"/>
  <c r="AL19" i="26"/>
  <c r="BA18" i="26"/>
  <c r="AZ18" i="26"/>
  <c r="AY18" i="26"/>
  <c r="AV18" i="26"/>
  <c r="AU18" i="26"/>
  <c r="AP18" i="26"/>
  <c r="AL18" i="26"/>
  <c r="Y18" i="26"/>
  <c r="AP17" i="26"/>
  <c r="AL17" i="26"/>
  <c r="AP16" i="26"/>
  <c r="AL16" i="26"/>
  <c r="AP15" i="26"/>
  <c r="AL15" i="26"/>
  <c r="AP14" i="26"/>
  <c r="AL14" i="26"/>
  <c r="Y14" i="26"/>
  <c r="AX13" i="26"/>
  <c r="AP13" i="26"/>
  <c r="AL13" i="26"/>
  <c r="Y13" i="26"/>
  <c r="AP12" i="26"/>
  <c r="AL12" i="26"/>
  <c r="AP11" i="26"/>
  <c r="AL11" i="26"/>
  <c r="AP10" i="26"/>
  <c r="AL10" i="26"/>
  <c r="AP9" i="26"/>
  <c r="AL9" i="26"/>
  <c r="Y9" i="26"/>
  <c r="AX8" i="26"/>
  <c r="AP8" i="26"/>
  <c r="AL8" i="26"/>
  <c r="Y8" i="26"/>
  <c r="AP7" i="26"/>
  <c r="AL7" i="26"/>
  <c r="AX6" i="26"/>
  <c r="AL6" i="26"/>
  <c r="Y6" i="26"/>
  <c r="AX5" i="26"/>
  <c r="AX3" i="26" s="1"/>
  <c r="AX4" i="26"/>
  <c r="X4" i="26"/>
  <c r="Y15" i="26" s="1"/>
  <c r="F3" i="25"/>
  <c r="K3" i="25"/>
  <c r="AJ3" i="25"/>
  <c r="AM3" i="25"/>
  <c r="AN3" i="25"/>
  <c r="AO3" i="25"/>
  <c r="AP3" i="25"/>
  <c r="AQ3" i="25"/>
  <c r="BA3" i="25"/>
  <c r="BB3" i="25"/>
  <c r="BC3" i="25"/>
  <c r="BD3" i="25"/>
  <c r="BE3" i="25"/>
  <c r="BF3" i="25"/>
  <c r="BS3" i="25"/>
  <c r="BT3" i="25"/>
  <c r="BO6" i="25"/>
  <c r="BO3" i="25" s="1"/>
  <c r="BQ6" i="25"/>
  <c r="BR6" i="25"/>
  <c r="BS6" i="25"/>
  <c r="BT6" i="25"/>
  <c r="D7" i="25"/>
  <c r="I7" i="25"/>
  <c r="J7" i="25"/>
  <c r="K7" i="25"/>
  <c r="BL16" i="25"/>
  <c r="BO16" i="25"/>
  <c r="BQ16" i="25"/>
  <c r="BR16" i="25"/>
  <c r="BS16" i="25"/>
  <c r="BT16" i="25"/>
  <c r="K23" i="24"/>
  <c r="D23" i="24"/>
  <c r="C23" i="24"/>
  <c r="B23" i="24"/>
  <c r="AV13" i="24"/>
  <c r="AV12" i="24"/>
  <c r="AV11" i="24"/>
  <c r="AV10" i="24"/>
  <c r="AV9" i="24"/>
  <c r="W9" i="24"/>
  <c r="V9" i="24"/>
  <c r="U9" i="24"/>
  <c r="U3" i="24" s="1"/>
  <c r="T9" i="24"/>
  <c r="AK8" i="24"/>
  <c r="AK3" i="24" s="1"/>
  <c r="AJ8" i="24"/>
  <c r="AJ3" i="24" s="1"/>
  <c r="AI8" i="24"/>
  <c r="AH8" i="24"/>
  <c r="AG8" i="24"/>
  <c r="AV7" i="24"/>
  <c r="AV6" i="24"/>
  <c r="AV5" i="24"/>
  <c r="AV4" i="24"/>
  <c r="AR4" i="24"/>
  <c r="AQ4" i="24"/>
  <c r="AP4" i="24"/>
  <c r="AO4" i="24"/>
  <c r="AI3" i="24"/>
  <c r="AH3" i="24"/>
  <c r="AG3" i="24"/>
  <c r="AE3" i="24"/>
  <c r="AD3" i="24"/>
  <c r="AC3" i="24"/>
  <c r="AB3" i="24"/>
  <c r="X3" i="24"/>
  <c r="W3" i="24"/>
  <c r="V3" i="24"/>
  <c r="T3" i="24"/>
  <c r="R3" i="24"/>
  <c r="Q3" i="24"/>
  <c r="P3" i="24"/>
  <c r="O3" i="24"/>
  <c r="K3" i="24"/>
  <c r="J3" i="24"/>
  <c r="I3" i="24"/>
  <c r="H3" i="24"/>
  <c r="G3" i="24"/>
  <c r="E3" i="24"/>
  <c r="D3" i="24"/>
  <c r="C3" i="24"/>
  <c r="B3" i="24"/>
  <c r="AK3" i="23"/>
  <c r="AJ3" i="23"/>
  <c r="AI3" i="23"/>
  <c r="AH3" i="23"/>
  <c r="AG3" i="23"/>
  <c r="AE3" i="23"/>
  <c r="AD3" i="23"/>
  <c r="AC3" i="23"/>
  <c r="AB3" i="23"/>
  <c r="X3" i="23"/>
  <c r="W3" i="23"/>
  <c r="V3" i="23"/>
  <c r="U3" i="23"/>
  <c r="T3" i="23"/>
  <c r="R3" i="23"/>
  <c r="Q3" i="23"/>
  <c r="P3" i="23"/>
  <c r="O3" i="23"/>
  <c r="K3" i="23"/>
  <c r="J3" i="23"/>
  <c r="I3" i="23"/>
  <c r="H3" i="23"/>
  <c r="G3" i="23"/>
  <c r="E3" i="23"/>
  <c r="D3" i="23"/>
  <c r="C3" i="23"/>
  <c r="B3" i="23"/>
  <c r="O25" i="22"/>
  <c r="O3" i="22"/>
  <c r="BV67" i="21"/>
  <c r="DH53" i="21"/>
  <c r="CV53" i="21"/>
  <c r="DH52" i="21"/>
  <c r="CV52" i="21"/>
  <c r="DH51" i="21"/>
  <c r="CV51" i="21"/>
  <c r="DH50" i="21"/>
  <c r="CV50" i="21"/>
  <c r="DH49" i="21"/>
  <c r="CV49" i="21"/>
  <c r="DH48" i="21"/>
  <c r="CV48" i="21"/>
  <c r="DH47" i="21"/>
  <c r="CV47" i="21"/>
  <c r="DH46" i="21"/>
  <c r="CV46" i="21"/>
  <c r="DH45" i="21"/>
  <c r="CV45" i="21"/>
  <c r="BV45" i="21"/>
  <c r="DH44" i="21"/>
  <c r="CV44" i="21"/>
  <c r="DH43" i="21"/>
  <c r="CV43" i="21"/>
  <c r="DH42" i="21"/>
  <c r="CV42" i="21"/>
  <c r="DH41" i="21"/>
  <c r="CV41" i="21"/>
  <c r="DH40" i="21"/>
  <c r="CV40" i="21"/>
  <c r="DH39" i="21"/>
  <c r="CV39" i="21"/>
  <c r="DH38" i="21"/>
  <c r="CV38" i="21"/>
  <c r="DH37" i="21"/>
  <c r="CV37" i="21"/>
  <c r="BW37" i="21"/>
  <c r="DH36" i="21"/>
  <c r="CV36" i="21"/>
  <c r="DH35" i="21"/>
  <c r="CV35" i="21"/>
  <c r="BW35" i="21"/>
  <c r="DH34" i="21"/>
  <c r="CV34" i="21"/>
  <c r="BW34" i="21"/>
  <c r="DH32" i="21"/>
  <c r="CV32" i="21"/>
  <c r="BW32" i="21"/>
  <c r="DH31" i="21"/>
  <c r="CV31" i="21"/>
  <c r="BW31" i="21"/>
  <c r="DH30" i="21"/>
  <c r="CV30" i="21"/>
  <c r="BW30" i="21"/>
  <c r="DH29" i="21"/>
  <c r="CV29" i="21"/>
  <c r="BW29" i="21"/>
  <c r="DH28" i="21"/>
  <c r="CV28" i="21"/>
  <c r="BW28" i="21"/>
  <c r="DH27" i="21"/>
  <c r="CV27" i="21"/>
  <c r="BW27" i="21"/>
  <c r="DH26" i="21"/>
  <c r="CV26" i="21"/>
  <c r="BW26" i="21"/>
  <c r="DH25" i="21"/>
  <c r="CV25" i="21"/>
  <c r="DH24" i="21"/>
  <c r="CV24" i="21"/>
  <c r="DH23" i="21"/>
  <c r="CV23" i="21"/>
  <c r="DH22" i="21"/>
  <c r="CV22" i="21"/>
  <c r="DH21" i="21"/>
  <c r="CV21" i="21"/>
  <c r="DH20" i="21"/>
  <c r="CV20" i="21"/>
  <c r="DH19" i="21"/>
  <c r="CV19" i="21"/>
  <c r="AQ19" i="21"/>
  <c r="AP19" i="21"/>
  <c r="AN19" i="21"/>
  <c r="DH18" i="21"/>
  <c r="CV18" i="21"/>
  <c r="DH17" i="21"/>
  <c r="CV17" i="21"/>
  <c r="AQ17" i="21"/>
  <c r="AP17" i="21"/>
  <c r="AN17" i="21"/>
  <c r="DH16" i="21"/>
  <c r="CV16" i="21"/>
  <c r="DH15" i="21"/>
  <c r="CV15" i="21"/>
  <c r="AD15" i="21"/>
  <c r="AD3" i="21" s="1"/>
  <c r="AC15" i="21"/>
  <c r="DH14" i="21"/>
  <c r="CV14" i="21"/>
  <c r="DH13" i="21"/>
  <c r="CV13" i="21"/>
  <c r="DH12" i="21"/>
  <c r="CV12" i="21"/>
  <c r="DH11" i="21"/>
  <c r="CV11" i="21"/>
  <c r="DH10" i="21"/>
  <c r="CV10" i="21"/>
  <c r="DH9" i="21"/>
  <c r="CV9" i="21"/>
  <c r="DH8" i="21"/>
  <c r="CV8" i="21"/>
  <c r="DH7" i="21"/>
  <c r="CV7" i="21"/>
  <c r="DH6" i="21"/>
  <c r="CV6" i="21"/>
  <c r="DH5" i="21"/>
  <c r="CV5" i="21"/>
  <c r="DH4" i="21"/>
  <c r="CV4" i="21"/>
  <c r="BW4" i="21"/>
  <c r="DH3" i="21"/>
  <c r="CV3" i="21"/>
  <c r="BQ3" i="21"/>
  <c r="BP3" i="21"/>
  <c r="BM3" i="21"/>
  <c r="BI3" i="21"/>
  <c r="BH3" i="21"/>
  <c r="BG3" i="21"/>
  <c r="BF3" i="21"/>
  <c r="BE3" i="21"/>
  <c r="AG3" i="21"/>
  <c r="AC3" i="21"/>
  <c r="Y3" i="21"/>
  <c r="V3" i="21"/>
  <c r="U3" i="21"/>
  <c r="BW25" i="21" l="1"/>
  <c r="AX18" i="26"/>
  <c r="BA48" i="26"/>
  <c r="AW48" i="26"/>
  <c r="AZ48" i="26"/>
  <c r="Y5" i="26"/>
  <c r="Y4" i="26" s="1"/>
  <c r="AZ33" i="26"/>
  <c r="Y16" i="26"/>
  <c r="Y11" i="26"/>
  <c r="BA33" i="26"/>
  <c r="Y12" i="26"/>
  <c r="AX49" i="26"/>
  <c r="AY49" i="26"/>
  <c r="Y7" i="26"/>
  <c r="Y17" i="26"/>
  <c r="Y10" i="26"/>
  <c r="BJ276" i="20"/>
  <c r="BJ275" i="20"/>
  <c r="BJ274" i="20"/>
  <c r="BJ273" i="20"/>
  <c r="BJ272" i="20"/>
  <c r="BJ271" i="20"/>
  <c r="BL264" i="20"/>
  <c r="BK264" i="20"/>
  <c r="BJ264" i="20" s="1"/>
  <c r="AV268" i="20"/>
  <c r="AV267" i="20"/>
  <c r="BJ262" i="20"/>
  <c r="AV266" i="20"/>
  <c r="BJ261" i="20"/>
  <c r="AV265" i="20"/>
  <c r="BJ260" i="20"/>
  <c r="AV264" i="20"/>
  <c r="BJ259" i="20"/>
  <c r="AV263" i="20"/>
  <c r="BJ258" i="20"/>
  <c r="AV262" i="20"/>
  <c r="BJ257" i="20"/>
  <c r="AV261" i="20"/>
  <c r="BJ256" i="20"/>
  <c r="AV260" i="20"/>
  <c r="AV259" i="20"/>
  <c r="AV258" i="20"/>
  <c r="AV257" i="20"/>
  <c r="BE256" i="20"/>
  <c r="BD256" i="20"/>
  <c r="BC256" i="20"/>
  <c r="BB256" i="20"/>
  <c r="BA256" i="20"/>
  <c r="AZ256" i="20"/>
  <c r="AY256" i="20"/>
  <c r="AX256" i="20"/>
  <c r="AW256" i="20"/>
  <c r="BL250" i="20"/>
  <c r="BJ250" i="20" s="1"/>
  <c r="BK250" i="20"/>
  <c r="BJ248" i="20"/>
  <c r="BJ247" i="20"/>
  <c r="BJ246" i="20"/>
  <c r="BJ245" i="20"/>
  <c r="BJ244" i="20"/>
  <c r="AV248" i="20"/>
  <c r="BJ243" i="20"/>
  <c r="AV247" i="20"/>
  <c r="BJ242" i="20"/>
  <c r="AV246" i="20"/>
  <c r="AV245" i="20"/>
  <c r="AV244" i="20"/>
  <c r="AV243" i="20"/>
  <c r="BL236" i="20"/>
  <c r="BJ236" i="20" s="1"/>
  <c r="BK236" i="20"/>
  <c r="BE236" i="20"/>
  <c r="BD236" i="20"/>
  <c r="BC236" i="20"/>
  <c r="BB236" i="20"/>
  <c r="BA236" i="20"/>
  <c r="AZ236" i="20"/>
  <c r="AY236" i="20"/>
  <c r="AX236" i="20"/>
  <c r="AW236" i="20"/>
  <c r="AV234" i="20"/>
  <c r="AV233" i="20"/>
  <c r="AV232" i="20"/>
  <c r="BJ227" i="20"/>
  <c r="AV231" i="20"/>
  <c r="BJ226" i="20"/>
  <c r="AV230" i="20"/>
  <c r="BJ225" i="20"/>
  <c r="AV229" i="20"/>
  <c r="BJ224" i="20"/>
  <c r="AV228" i="20"/>
  <c r="BJ223" i="20"/>
  <c r="BJ222" i="20"/>
  <c r="BJ221" i="20"/>
  <c r="BJ220" i="20"/>
  <c r="BJ219" i="20"/>
  <c r="BJ218" i="20"/>
  <c r="BE222" i="20"/>
  <c r="BD222" i="20"/>
  <c r="BC222" i="20"/>
  <c r="BB222" i="20"/>
  <c r="BA222" i="20"/>
  <c r="AZ222" i="20"/>
  <c r="AY222" i="20"/>
  <c r="AX222" i="20"/>
  <c r="AW222" i="20"/>
  <c r="BJ217" i="20"/>
  <c r="AV220" i="20"/>
  <c r="BL215" i="20"/>
  <c r="BK215" i="20"/>
  <c r="BJ215" i="20"/>
  <c r="AV219" i="20"/>
  <c r="AV218" i="20"/>
  <c r="AV217" i="20"/>
  <c r="AV216" i="20"/>
  <c r="AV215" i="20"/>
  <c r="AV214" i="20"/>
  <c r="BJ206" i="20"/>
  <c r="BJ205" i="20"/>
  <c r="BJ204" i="20"/>
  <c r="BE208" i="20"/>
  <c r="BD208" i="20"/>
  <c r="BC208" i="20"/>
  <c r="BB208" i="20"/>
  <c r="BA208" i="20"/>
  <c r="AZ208" i="20"/>
  <c r="AY208" i="20"/>
  <c r="AX208" i="20"/>
  <c r="AW208" i="20"/>
  <c r="BJ203" i="20"/>
  <c r="BJ202" i="20"/>
  <c r="BJ201" i="20"/>
  <c r="AV200" i="20"/>
  <c r="AV199" i="20"/>
  <c r="BL194" i="20"/>
  <c r="BK194" i="20"/>
  <c r="BJ194" i="20" s="1"/>
  <c r="AV198" i="20"/>
  <c r="AV197" i="20"/>
  <c r="BJ192" i="20"/>
  <c r="AV196" i="20"/>
  <c r="BJ191" i="20"/>
  <c r="AV195" i="20"/>
  <c r="BJ190" i="20"/>
  <c r="AV194" i="20"/>
  <c r="BJ189" i="20"/>
  <c r="AV193" i="20"/>
  <c r="BJ188" i="20"/>
  <c r="AV192" i="20"/>
  <c r="BJ187" i="20"/>
  <c r="AV191" i="20"/>
  <c r="AV190" i="20"/>
  <c r="BE188" i="20"/>
  <c r="BD188" i="20"/>
  <c r="BC188" i="20"/>
  <c r="BB188" i="20"/>
  <c r="BA188" i="20"/>
  <c r="AZ188" i="20"/>
  <c r="AY188" i="20"/>
  <c r="AX188" i="20"/>
  <c r="AW188" i="20"/>
  <c r="BL180" i="20"/>
  <c r="BK180" i="20"/>
  <c r="BJ178" i="20"/>
  <c r="BJ177" i="20"/>
  <c r="BJ176" i="20"/>
  <c r="AV180" i="20"/>
  <c r="BJ175" i="20"/>
  <c r="AV179" i="20"/>
  <c r="BJ174" i="20"/>
  <c r="AV178" i="20"/>
  <c r="BJ173" i="20"/>
  <c r="AV177" i="20"/>
  <c r="AV176" i="20"/>
  <c r="AV175" i="20"/>
  <c r="BL166" i="20"/>
  <c r="BK166" i="20"/>
  <c r="BE168" i="20"/>
  <c r="BD168" i="20"/>
  <c r="BC168" i="20"/>
  <c r="BB168" i="20"/>
  <c r="BA168" i="20"/>
  <c r="AZ168" i="20"/>
  <c r="AY168" i="20"/>
  <c r="AX168" i="20"/>
  <c r="AW168" i="20"/>
  <c r="AV166" i="20"/>
  <c r="AV165" i="20"/>
  <c r="AV164" i="20"/>
  <c r="AV163" i="20"/>
  <c r="AV162" i="20"/>
  <c r="BJ157" i="20"/>
  <c r="AV161" i="20"/>
  <c r="BJ156" i="20"/>
  <c r="BJ155" i="20"/>
  <c r="BJ154" i="20"/>
  <c r="BJ153" i="20"/>
  <c r="BJ152" i="20"/>
  <c r="BJ151" i="20"/>
  <c r="BJ150" i="20"/>
  <c r="BE154" i="20"/>
  <c r="BD154" i="20"/>
  <c r="BC154" i="20"/>
  <c r="BB154" i="20"/>
  <c r="BA154" i="20"/>
  <c r="AZ154" i="20"/>
  <c r="AY154" i="20"/>
  <c r="AX154" i="20"/>
  <c r="AW154" i="20"/>
  <c r="BJ149" i="20"/>
  <c r="BJ148" i="20"/>
  <c r="AV152" i="20"/>
  <c r="BJ147" i="20"/>
  <c r="AV151" i="20"/>
  <c r="AV150" i="20"/>
  <c r="BL145" i="20"/>
  <c r="BK145" i="20"/>
  <c r="AV149" i="20"/>
  <c r="AV148" i="20"/>
  <c r="AV147" i="20"/>
  <c r="BQ136" i="20"/>
  <c r="BJ136" i="20"/>
  <c r="BE140" i="20"/>
  <c r="BD140" i="20"/>
  <c r="BC140" i="20"/>
  <c r="BB140" i="20"/>
  <c r="BA140" i="20"/>
  <c r="AZ140" i="20"/>
  <c r="AY140" i="20"/>
  <c r="AX140" i="20"/>
  <c r="AW140" i="20"/>
  <c r="BQ135" i="20"/>
  <c r="BJ135" i="20"/>
  <c r="BQ134" i="20"/>
  <c r="BJ134" i="20"/>
  <c r="BQ133" i="20"/>
  <c r="BJ133" i="20"/>
  <c r="BQ132" i="20"/>
  <c r="BJ132" i="20"/>
  <c r="BQ131" i="20"/>
  <c r="BJ131" i="20"/>
  <c r="BQ130" i="20"/>
  <c r="BQ129" i="20"/>
  <c r="BQ128" i="20"/>
  <c r="AV132" i="20"/>
  <c r="BQ127" i="20"/>
  <c r="AV131" i="20"/>
  <c r="AV130" i="20"/>
  <c r="AV129" i="20"/>
  <c r="BZ124" i="20"/>
  <c r="BY124" i="20"/>
  <c r="BX124" i="20"/>
  <c r="BW124" i="20"/>
  <c r="BV124" i="20"/>
  <c r="BU124" i="20"/>
  <c r="BT124" i="20"/>
  <c r="BS124" i="20"/>
  <c r="BR124" i="20"/>
  <c r="BL124" i="20"/>
  <c r="BK124" i="20"/>
  <c r="AV128" i="20"/>
  <c r="AV127" i="20"/>
  <c r="BQ122" i="20"/>
  <c r="BJ122" i="20"/>
  <c r="AV126" i="20"/>
  <c r="BQ121" i="20"/>
  <c r="BJ121" i="20"/>
  <c r="AV125" i="20"/>
  <c r="BQ120" i="20"/>
  <c r="BJ120" i="20"/>
  <c r="AV124" i="20"/>
  <c r="BQ119" i="20"/>
  <c r="BJ119" i="20"/>
  <c r="AV123" i="20"/>
  <c r="BQ118" i="20"/>
  <c r="BJ118" i="20"/>
  <c r="AV122" i="20"/>
  <c r="BQ117" i="20"/>
  <c r="BJ117" i="20"/>
  <c r="AV121" i="20"/>
  <c r="BQ116" i="20"/>
  <c r="BE120" i="20"/>
  <c r="BD120" i="20"/>
  <c r="BC120" i="20"/>
  <c r="BB120" i="20"/>
  <c r="BA120" i="20"/>
  <c r="AZ120" i="20"/>
  <c r="AY120" i="20"/>
  <c r="AX120" i="20"/>
  <c r="AW120" i="20"/>
  <c r="BQ115" i="20"/>
  <c r="BQ114" i="20"/>
  <c r="BQ113" i="20"/>
  <c r="BQ112" i="20"/>
  <c r="BZ110" i="20"/>
  <c r="BY110" i="20"/>
  <c r="BX110" i="20"/>
  <c r="BW110" i="20"/>
  <c r="BV110" i="20"/>
  <c r="BU110" i="20"/>
  <c r="BT110" i="20"/>
  <c r="BS110" i="20"/>
  <c r="BR110" i="20"/>
  <c r="BL110" i="20"/>
  <c r="BK110" i="20"/>
  <c r="BJ108" i="20"/>
  <c r="AV112" i="20"/>
  <c r="BJ107" i="20"/>
  <c r="AV111" i="20"/>
  <c r="BJ106" i="20"/>
  <c r="AV110" i="20"/>
  <c r="BJ105" i="20"/>
  <c r="AV109" i="20"/>
  <c r="BJ104" i="20"/>
  <c r="AV108" i="20"/>
  <c r="BJ103" i="20"/>
  <c r="AV107" i="20"/>
  <c r="AV106" i="20"/>
  <c r="BQ101" i="20"/>
  <c r="AV105" i="20"/>
  <c r="BQ100" i="20"/>
  <c r="AV104" i="20"/>
  <c r="BQ99" i="20"/>
  <c r="AV103" i="20"/>
  <c r="BQ98" i="20"/>
  <c r="AV102" i="20"/>
  <c r="BQ97" i="20"/>
  <c r="AV101" i="20"/>
  <c r="BQ96" i="20"/>
  <c r="BL96" i="20"/>
  <c r="BK96" i="20"/>
  <c r="BE100" i="20"/>
  <c r="BD100" i="20"/>
  <c r="BC100" i="20"/>
  <c r="BB100" i="20"/>
  <c r="BA100" i="20"/>
  <c r="AZ100" i="20"/>
  <c r="AY100" i="20"/>
  <c r="AX100" i="20"/>
  <c r="AW100" i="20"/>
  <c r="BQ95" i="20"/>
  <c r="BQ94" i="20"/>
  <c r="AV98" i="20"/>
  <c r="BQ93" i="20"/>
  <c r="AV97" i="20"/>
  <c r="BQ92" i="20"/>
  <c r="AV96" i="20"/>
  <c r="AV95" i="20"/>
  <c r="AV94" i="20"/>
  <c r="BZ89" i="20"/>
  <c r="BY89" i="20"/>
  <c r="BX89" i="20"/>
  <c r="BW89" i="20"/>
  <c r="BV89" i="20"/>
  <c r="BU89" i="20"/>
  <c r="BT89" i="20"/>
  <c r="BS89" i="20"/>
  <c r="BR89" i="20"/>
  <c r="AV93" i="20"/>
  <c r="AV92" i="20"/>
  <c r="BQ87" i="20"/>
  <c r="BJ87" i="20"/>
  <c r="AV91" i="20"/>
  <c r="BQ86" i="20"/>
  <c r="BJ86" i="20"/>
  <c r="AV90" i="20"/>
  <c r="BQ85" i="20"/>
  <c r="BJ85" i="20"/>
  <c r="AV89" i="20"/>
  <c r="BQ84" i="20"/>
  <c r="BJ84" i="20"/>
  <c r="AV88" i="20"/>
  <c r="BQ83" i="20"/>
  <c r="BJ83" i="20"/>
  <c r="AV87" i="20"/>
  <c r="BQ82" i="20"/>
  <c r="BJ82" i="20"/>
  <c r="BE86" i="20"/>
  <c r="BD86" i="20"/>
  <c r="BC86" i="20"/>
  <c r="BB86" i="20"/>
  <c r="BA86" i="20"/>
  <c r="AZ86" i="20"/>
  <c r="AY86" i="20"/>
  <c r="AX86" i="20"/>
  <c r="AW86" i="20"/>
  <c r="BQ81" i="20"/>
  <c r="BJ81" i="20"/>
  <c r="BQ80" i="20"/>
  <c r="BJ80" i="20"/>
  <c r="AV84" i="20"/>
  <c r="BQ79" i="20"/>
  <c r="BJ79" i="20"/>
  <c r="AV83" i="20"/>
  <c r="BQ78" i="20"/>
  <c r="BJ78" i="20"/>
  <c r="AV82" i="20"/>
  <c r="BJ77" i="20"/>
  <c r="AV81" i="20"/>
  <c r="AV80" i="20"/>
  <c r="BZ75" i="20"/>
  <c r="BY75" i="20"/>
  <c r="BX75" i="20"/>
  <c r="BW75" i="20"/>
  <c r="BV75" i="20"/>
  <c r="BU75" i="20"/>
  <c r="BT75" i="20"/>
  <c r="BS75" i="20"/>
  <c r="BR75" i="20"/>
  <c r="BL75" i="20"/>
  <c r="BK75" i="20"/>
  <c r="AV79" i="20"/>
  <c r="AV78" i="20"/>
  <c r="AV77" i="20"/>
  <c r="AV76" i="20"/>
  <c r="AV75" i="20"/>
  <c r="AV74" i="20"/>
  <c r="AV73" i="20"/>
  <c r="BE72" i="20"/>
  <c r="BD72" i="20"/>
  <c r="BC72" i="20"/>
  <c r="BB72" i="20"/>
  <c r="BA72" i="20"/>
  <c r="AZ72" i="20"/>
  <c r="AY72" i="20"/>
  <c r="AX72" i="20"/>
  <c r="AW72" i="20"/>
  <c r="BJ66" i="20"/>
  <c r="BQ65" i="20"/>
  <c r="BJ65" i="20"/>
  <c r="BQ64" i="20"/>
  <c r="BJ64" i="20"/>
  <c r="BQ63" i="20"/>
  <c r="BJ63" i="20"/>
  <c r="BQ62" i="20"/>
  <c r="BJ62" i="20"/>
  <c r="BQ61" i="20"/>
  <c r="BJ61" i="20"/>
  <c r="BQ60" i="20"/>
  <c r="AV64" i="20"/>
  <c r="BQ59" i="20"/>
  <c r="AV63" i="20"/>
  <c r="BQ58" i="20"/>
  <c r="AV62" i="20"/>
  <c r="BQ57" i="20"/>
  <c r="AV61" i="20"/>
  <c r="AV60" i="20"/>
  <c r="CK55" i="20"/>
  <c r="CH55" i="20"/>
  <c r="CE55" i="20"/>
  <c r="AV59" i="20"/>
  <c r="CK54" i="20"/>
  <c r="CH54" i="20"/>
  <c r="CE54" i="20"/>
  <c r="BZ54" i="20"/>
  <c r="BY54" i="20"/>
  <c r="BX54" i="20"/>
  <c r="BW54" i="20"/>
  <c r="BV54" i="20"/>
  <c r="BU54" i="20"/>
  <c r="BT54" i="20"/>
  <c r="BS54" i="20"/>
  <c r="BR54" i="20"/>
  <c r="BL54" i="20"/>
  <c r="BK54" i="20"/>
  <c r="AV58" i="20"/>
  <c r="CK53" i="20"/>
  <c r="CH53" i="20"/>
  <c r="CE53" i="20"/>
  <c r="AV57" i="20"/>
  <c r="CK52" i="20"/>
  <c r="CH52" i="20"/>
  <c r="CE52" i="20"/>
  <c r="BQ52" i="20"/>
  <c r="BJ52" i="20"/>
  <c r="AV56" i="20"/>
  <c r="CK51" i="20"/>
  <c r="CH51" i="20"/>
  <c r="CE51" i="20"/>
  <c r="BQ51" i="20"/>
  <c r="BJ51" i="20"/>
  <c r="AV55" i="20"/>
  <c r="CK50" i="20"/>
  <c r="CH50" i="20"/>
  <c r="CE50" i="20"/>
  <c r="BQ50" i="20"/>
  <c r="BJ50" i="20"/>
  <c r="AV54" i="20"/>
  <c r="CK49" i="20"/>
  <c r="CH49" i="20"/>
  <c r="CE49" i="20"/>
  <c r="BQ49" i="20"/>
  <c r="BJ49" i="20"/>
  <c r="AV53" i="20"/>
  <c r="F53" i="20"/>
  <c r="B53" i="20"/>
  <c r="CK48" i="20"/>
  <c r="CH48" i="20"/>
  <c r="CE48" i="20"/>
  <c r="BQ48" i="20"/>
  <c r="BJ48" i="20"/>
  <c r="BE52" i="20"/>
  <c r="BD52" i="20"/>
  <c r="BC52" i="20"/>
  <c r="BB52" i="20"/>
  <c r="BA52" i="20"/>
  <c r="AZ52" i="20"/>
  <c r="AY52" i="20"/>
  <c r="AX52" i="20"/>
  <c r="AW52" i="20"/>
  <c r="AE52" i="20"/>
  <c r="AD52" i="20"/>
  <c r="AC52" i="20"/>
  <c r="AB52" i="20"/>
  <c r="AA52" i="20"/>
  <c r="Z52" i="20"/>
  <c r="Y52" i="20"/>
  <c r="F52" i="20"/>
  <c r="B52" i="20"/>
  <c r="CK47" i="20"/>
  <c r="CH47" i="20"/>
  <c r="CE47" i="20"/>
  <c r="BQ47" i="20"/>
  <c r="BJ47" i="20"/>
  <c r="Q51" i="20"/>
  <c r="M51" i="20"/>
  <c r="F51" i="20"/>
  <c r="B51" i="20"/>
  <c r="CK46" i="20"/>
  <c r="CH46" i="20"/>
  <c r="CE46" i="20"/>
  <c r="BQ46" i="20"/>
  <c r="Q50" i="20"/>
  <c r="M50" i="20"/>
  <c r="F50" i="20"/>
  <c r="B50" i="20"/>
  <c r="CK45" i="20"/>
  <c r="CH45" i="20"/>
  <c r="CE45" i="20"/>
  <c r="BQ45" i="20"/>
  <c r="Q49" i="20"/>
  <c r="M49" i="20"/>
  <c r="F49" i="20"/>
  <c r="B49" i="20"/>
  <c r="CM44" i="20"/>
  <c r="CL44" i="20"/>
  <c r="CL5" i="20" s="1"/>
  <c r="CJ44" i="20"/>
  <c r="CI44" i="20"/>
  <c r="CH44" i="20" s="1"/>
  <c r="CG44" i="20"/>
  <c r="CF44" i="20"/>
  <c r="BQ44" i="20"/>
  <c r="Q48" i="20"/>
  <c r="M48" i="20"/>
  <c r="F48" i="20"/>
  <c r="B48" i="20"/>
  <c r="BQ43" i="20"/>
  <c r="Q47" i="20"/>
  <c r="M47" i="20"/>
  <c r="F47" i="20"/>
  <c r="B47" i="20"/>
  <c r="CK42" i="20"/>
  <c r="CH42" i="20"/>
  <c r="CE42" i="20"/>
  <c r="Q46" i="20"/>
  <c r="M46" i="20"/>
  <c r="F46" i="20"/>
  <c r="B46" i="20"/>
  <c r="CK41" i="20"/>
  <c r="CH41" i="20"/>
  <c r="CE41" i="20"/>
  <c r="Q45" i="20"/>
  <c r="M45" i="20"/>
  <c r="F45" i="20"/>
  <c r="B45" i="20"/>
  <c r="CK40" i="20"/>
  <c r="CH40" i="20"/>
  <c r="CE40" i="20"/>
  <c r="BZ40" i="20"/>
  <c r="BY40" i="20"/>
  <c r="BX40" i="20"/>
  <c r="BW40" i="20"/>
  <c r="BV40" i="20"/>
  <c r="BU40" i="20"/>
  <c r="BT40" i="20"/>
  <c r="BS40" i="20"/>
  <c r="BR40" i="20"/>
  <c r="BL40" i="20"/>
  <c r="BK40" i="20"/>
  <c r="BJ40" i="20" s="1"/>
  <c r="AV44" i="20"/>
  <c r="Q44" i="20"/>
  <c r="M44" i="20"/>
  <c r="F44" i="20"/>
  <c r="B44" i="20"/>
  <c r="CK39" i="20"/>
  <c r="CH39" i="20"/>
  <c r="CE39" i="20"/>
  <c r="AV43" i="20"/>
  <c r="Q43" i="20"/>
  <c r="M43" i="20"/>
  <c r="F43" i="20"/>
  <c r="B43" i="20"/>
  <c r="CK38" i="20"/>
  <c r="CH38" i="20"/>
  <c r="CE38" i="20"/>
  <c r="BJ38" i="20"/>
  <c r="AV42" i="20"/>
  <c r="Q42" i="20"/>
  <c r="M42" i="20"/>
  <c r="F42" i="20"/>
  <c r="B42" i="20"/>
  <c r="CK37" i="20"/>
  <c r="CH37" i="20"/>
  <c r="CE37" i="20"/>
  <c r="BJ37" i="20"/>
  <c r="AV41" i="20"/>
  <c r="Q41" i="20"/>
  <c r="M41" i="20"/>
  <c r="F41" i="20"/>
  <c r="B41" i="20"/>
  <c r="CE36" i="20"/>
  <c r="BJ36" i="20"/>
  <c r="AV40" i="20"/>
  <c r="AE40" i="20"/>
  <c r="AD40" i="20"/>
  <c r="AC40" i="20"/>
  <c r="AB40" i="20"/>
  <c r="AA40" i="20"/>
  <c r="Z40" i="20"/>
  <c r="Y40" i="20"/>
  <c r="Q40" i="20"/>
  <c r="M40" i="20"/>
  <c r="F40" i="20"/>
  <c r="B40" i="20"/>
  <c r="CE35" i="20"/>
  <c r="BJ35" i="20"/>
  <c r="AV39" i="20"/>
  <c r="Q39" i="20"/>
  <c r="M39" i="20"/>
  <c r="F39" i="20"/>
  <c r="B39" i="20"/>
  <c r="CE34" i="20"/>
  <c r="BJ34" i="20"/>
  <c r="AV38" i="20"/>
  <c r="Q38" i="20"/>
  <c r="M38" i="20"/>
  <c r="F38" i="20"/>
  <c r="B38" i="20"/>
  <c r="CE33" i="20"/>
  <c r="BJ33" i="20"/>
  <c r="AV37" i="20"/>
  <c r="Q37" i="20"/>
  <c r="M37" i="20"/>
  <c r="F37" i="20"/>
  <c r="B37" i="20"/>
  <c r="CE32" i="20"/>
  <c r="AV36" i="20"/>
  <c r="Q36" i="20"/>
  <c r="M36" i="20"/>
  <c r="F36" i="20"/>
  <c r="B36" i="20"/>
  <c r="CM31" i="20"/>
  <c r="CK31" i="20" s="1"/>
  <c r="CL31" i="20"/>
  <c r="CJ31" i="20"/>
  <c r="CI31" i="20"/>
  <c r="CH31" i="20" s="1"/>
  <c r="CG31" i="20"/>
  <c r="CF31" i="20"/>
  <c r="AV35" i="20"/>
  <c r="AE35" i="20"/>
  <c r="AD35" i="20"/>
  <c r="AC35" i="20"/>
  <c r="AC34" i="20" s="1"/>
  <c r="AB35" i="20"/>
  <c r="AB34" i="20" s="1"/>
  <c r="AA35" i="20"/>
  <c r="AA34" i="20" s="1"/>
  <c r="Z35" i="20"/>
  <c r="Y35" i="20"/>
  <c r="Q35" i="20"/>
  <c r="M35" i="20"/>
  <c r="F35" i="20"/>
  <c r="B35" i="20"/>
  <c r="BQ30" i="20"/>
  <c r="AV34" i="20"/>
  <c r="Q34" i="20"/>
  <c r="M34" i="20"/>
  <c r="F34" i="20"/>
  <c r="B34" i="20"/>
  <c r="CK29" i="20"/>
  <c r="CH29" i="20"/>
  <c r="CE29" i="20"/>
  <c r="BQ29" i="20"/>
  <c r="AV33" i="20"/>
  <c r="Q33" i="20"/>
  <c r="M33" i="20"/>
  <c r="F33" i="20"/>
  <c r="B33" i="20"/>
  <c r="CK28" i="20"/>
  <c r="CH28" i="20"/>
  <c r="CE28" i="20"/>
  <c r="BQ28" i="20"/>
  <c r="BE32" i="20"/>
  <c r="BD32" i="20"/>
  <c r="BC32" i="20"/>
  <c r="BB32" i="20"/>
  <c r="BA32" i="20"/>
  <c r="AZ32" i="20"/>
  <c r="AY32" i="20"/>
  <c r="AX32" i="20"/>
  <c r="AW32" i="20"/>
  <c r="Q32" i="20"/>
  <c r="M32" i="20"/>
  <c r="F32" i="20"/>
  <c r="B32" i="20"/>
  <c r="CK27" i="20"/>
  <c r="CH27" i="20"/>
  <c r="CE27" i="20"/>
  <c r="BQ27" i="20"/>
  <c r="Q31" i="20"/>
  <c r="M31" i="20"/>
  <c r="F31" i="20"/>
  <c r="B31" i="20"/>
  <c r="CK26" i="20"/>
  <c r="CH26" i="20"/>
  <c r="CE26" i="20"/>
  <c r="BQ26" i="20"/>
  <c r="BL26" i="20"/>
  <c r="BK26" i="20"/>
  <c r="AV30" i="20"/>
  <c r="Q30" i="20"/>
  <c r="M30" i="20"/>
  <c r="F30" i="20"/>
  <c r="B30" i="20"/>
  <c r="CK25" i="20"/>
  <c r="CH25" i="20"/>
  <c r="CE25" i="20"/>
  <c r="BQ25" i="20"/>
  <c r="AV29" i="20"/>
  <c r="Q29" i="20"/>
  <c r="M29" i="20"/>
  <c r="F29" i="20"/>
  <c r="B29" i="20"/>
  <c r="CK24" i="20"/>
  <c r="CH24" i="20"/>
  <c r="CE24" i="20"/>
  <c r="BQ24" i="20"/>
  <c r="AV28" i="20"/>
  <c r="Q28" i="20"/>
  <c r="M28" i="20"/>
  <c r="F28" i="20"/>
  <c r="B28" i="20"/>
  <c r="CE23" i="20"/>
  <c r="BQ23" i="20"/>
  <c r="AV27" i="20"/>
  <c r="Q27" i="20"/>
  <c r="M27" i="20"/>
  <c r="F27" i="20"/>
  <c r="B27" i="20"/>
  <c r="CE22" i="20"/>
  <c r="AV26" i="20"/>
  <c r="Q26" i="20"/>
  <c r="M26" i="20"/>
  <c r="F26" i="20"/>
  <c r="B26" i="20"/>
  <c r="CE21" i="20"/>
  <c r="AV25" i="20"/>
  <c r="Q25" i="20"/>
  <c r="M25" i="20"/>
  <c r="F25" i="20"/>
  <c r="B25" i="20"/>
  <c r="CE20" i="20"/>
  <c r="AV24" i="20"/>
  <c r="Q24" i="20"/>
  <c r="M24" i="20"/>
  <c r="F24" i="20"/>
  <c r="B24" i="20"/>
  <c r="CE19" i="20"/>
  <c r="BZ19" i="20"/>
  <c r="BY19" i="20"/>
  <c r="BX19" i="20"/>
  <c r="BW19" i="20"/>
  <c r="BV19" i="20"/>
  <c r="BU19" i="20"/>
  <c r="BT19" i="20"/>
  <c r="BS19" i="20"/>
  <c r="BR19" i="20"/>
  <c r="AV23" i="20"/>
  <c r="Q23" i="20"/>
  <c r="M23" i="20"/>
  <c r="F23" i="20"/>
  <c r="B23" i="20"/>
  <c r="CM18" i="20"/>
  <c r="CL18" i="20"/>
  <c r="CK18" i="20" s="1"/>
  <c r="CJ18" i="20"/>
  <c r="CI18" i="20"/>
  <c r="CG18" i="20"/>
  <c r="CF18" i="20"/>
  <c r="AV22" i="20"/>
  <c r="Q22" i="20"/>
  <c r="M22" i="20"/>
  <c r="F22" i="20"/>
  <c r="B22" i="20"/>
  <c r="BQ17" i="20"/>
  <c r="BJ17" i="20"/>
  <c r="AV21" i="20"/>
  <c r="Q21" i="20"/>
  <c r="M21" i="20"/>
  <c r="F21" i="20"/>
  <c r="B21" i="20"/>
  <c r="CM16" i="20"/>
  <c r="CL16" i="20"/>
  <c r="CJ16" i="20"/>
  <c r="CI16" i="20"/>
  <c r="CH16" i="20" s="1"/>
  <c r="CG16" i="20"/>
  <c r="CF16" i="20"/>
  <c r="BQ16" i="20"/>
  <c r="BJ16" i="20"/>
  <c r="AV20" i="20"/>
  <c r="Q20" i="20"/>
  <c r="M20" i="20"/>
  <c r="F20" i="20"/>
  <c r="B20" i="20"/>
  <c r="CM15" i="20"/>
  <c r="CL15" i="20"/>
  <c r="CJ15" i="20"/>
  <c r="CI15" i="20"/>
  <c r="CH15" i="20" s="1"/>
  <c r="CG15" i="20"/>
  <c r="CF15" i="20"/>
  <c r="BQ15" i="20"/>
  <c r="BJ15" i="20"/>
  <c r="AV19" i="20"/>
  <c r="AF19" i="20"/>
  <c r="AD19" i="20"/>
  <c r="AB19" i="20"/>
  <c r="Z19" i="20"/>
  <c r="Q19" i="20"/>
  <c r="M19" i="20"/>
  <c r="F19" i="20"/>
  <c r="B19" i="20"/>
  <c r="CM14" i="20"/>
  <c r="CL14" i="20"/>
  <c r="CJ14" i="20"/>
  <c r="CI14" i="20"/>
  <c r="CG14" i="20"/>
  <c r="CF14" i="20"/>
  <c r="BQ14" i="20"/>
  <c r="BJ14" i="20"/>
  <c r="BE18" i="20"/>
  <c r="BD18" i="20"/>
  <c r="BC18" i="20"/>
  <c r="BB18" i="20"/>
  <c r="BA18" i="20"/>
  <c r="AZ18" i="20"/>
  <c r="AY18" i="20"/>
  <c r="AX18" i="20"/>
  <c r="AW18" i="20"/>
  <c r="Q18" i="20"/>
  <c r="M18" i="20"/>
  <c r="F18" i="20"/>
  <c r="B18" i="20"/>
  <c r="CM13" i="20"/>
  <c r="CL13" i="20"/>
  <c r="CJ13" i="20"/>
  <c r="CI13" i="20"/>
  <c r="CG13" i="20"/>
  <c r="CF13" i="20"/>
  <c r="CE13" i="20" s="1"/>
  <c r="BQ13" i="20"/>
  <c r="BJ13" i="20"/>
  <c r="Q17" i="20"/>
  <c r="M17" i="20"/>
  <c r="F17" i="20"/>
  <c r="B17" i="20"/>
  <c r="CM12" i="20"/>
  <c r="CL12" i="20"/>
  <c r="CK12" i="20" s="1"/>
  <c r="CJ12" i="20"/>
  <c r="CI12" i="20"/>
  <c r="CG12" i="20"/>
  <c r="CF12" i="20"/>
  <c r="BQ12" i="20"/>
  <c r="BJ12" i="20"/>
  <c r="AV16" i="20"/>
  <c r="Q16" i="20"/>
  <c r="M16" i="20"/>
  <c r="F16" i="20"/>
  <c r="B16" i="20"/>
  <c r="CM11" i="20"/>
  <c r="CL11" i="20"/>
  <c r="CJ11" i="20"/>
  <c r="CI11" i="20"/>
  <c r="CG11" i="20"/>
  <c r="CF11" i="20"/>
  <c r="CE11" i="20" s="1"/>
  <c r="BQ11" i="20"/>
  <c r="BJ11" i="20"/>
  <c r="AV15" i="20"/>
  <c r="Q15" i="20"/>
  <c r="M15" i="20"/>
  <c r="F15" i="20"/>
  <c r="B15" i="20"/>
  <c r="CM10" i="20"/>
  <c r="CL10" i="20"/>
  <c r="CK10" i="20"/>
  <c r="CJ10" i="20"/>
  <c r="CI10" i="20"/>
  <c r="CG10" i="20"/>
  <c r="CF10" i="20"/>
  <c r="CE10" i="20" s="1"/>
  <c r="BQ10" i="20"/>
  <c r="BJ10" i="20"/>
  <c r="AV14" i="20"/>
  <c r="Q14" i="20"/>
  <c r="M14" i="20"/>
  <c r="F14" i="20"/>
  <c r="B14" i="20"/>
  <c r="CM9" i="20"/>
  <c r="CL9" i="20"/>
  <c r="CJ9" i="20"/>
  <c r="CI9" i="20"/>
  <c r="CG9" i="20"/>
  <c r="CE9" i="20" s="1"/>
  <c r="CF9" i="20"/>
  <c r="BQ9" i="20"/>
  <c r="BJ9" i="20"/>
  <c r="AV13" i="20"/>
  <c r="Q13" i="20"/>
  <c r="M13" i="20"/>
  <c r="F13" i="20"/>
  <c r="B13" i="20"/>
  <c r="CM8" i="20"/>
  <c r="CL8" i="20"/>
  <c r="CK8" i="20" s="1"/>
  <c r="CJ8" i="20"/>
  <c r="CI8" i="20"/>
  <c r="CG8" i="20"/>
  <c r="CF8" i="20"/>
  <c r="CE8" i="20"/>
  <c r="BQ8" i="20"/>
  <c r="BJ8" i="20"/>
  <c r="AV12" i="20"/>
  <c r="Q12" i="20"/>
  <c r="M12" i="20"/>
  <c r="F12" i="20"/>
  <c r="B12" i="20"/>
  <c r="CM7" i="20"/>
  <c r="CK7" i="20" s="1"/>
  <c r="CL7" i="20"/>
  <c r="CJ7" i="20"/>
  <c r="CI7" i="20"/>
  <c r="CG7" i="20"/>
  <c r="CF7" i="20"/>
  <c r="CE7" i="20" s="1"/>
  <c r="BJ7" i="20"/>
  <c r="AV11" i="20"/>
  <c r="AF11" i="20"/>
  <c r="AD11" i="20"/>
  <c r="AB11" i="20"/>
  <c r="Z11" i="20"/>
  <c r="Q11" i="20"/>
  <c r="M11" i="20"/>
  <c r="F11" i="20"/>
  <c r="B11" i="20"/>
  <c r="CM6" i="20"/>
  <c r="CL6" i="20"/>
  <c r="CJ6" i="20"/>
  <c r="CI6" i="20"/>
  <c r="CH6" i="20" s="1"/>
  <c r="CG6" i="20"/>
  <c r="CF6" i="20"/>
  <c r="BJ6" i="20"/>
  <c r="AV10" i="20"/>
  <c r="Q10" i="20"/>
  <c r="M10" i="20"/>
  <c r="F10" i="20"/>
  <c r="B10" i="20"/>
  <c r="BZ5" i="20"/>
  <c r="BY5" i="20"/>
  <c r="BX5" i="20"/>
  <c r="BW5" i="20"/>
  <c r="BV5" i="20"/>
  <c r="BU5" i="20"/>
  <c r="BT5" i="20"/>
  <c r="BS5" i="20"/>
  <c r="BR5" i="20"/>
  <c r="BL5" i="20"/>
  <c r="BK5" i="20"/>
  <c r="AV9" i="20"/>
  <c r="Q9" i="20"/>
  <c r="M9" i="20"/>
  <c r="F9" i="20"/>
  <c r="B9" i="20"/>
  <c r="AV8" i="20"/>
  <c r="Q8" i="20"/>
  <c r="M8" i="20"/>
  <c r="F8" i="20"/>
  <c r="B8" i="20"/>
  <c r="AV7" i="20"/>
  <c r="Q7" i="20"/>
  <c r="M7" i="20"/>
  <c r="F7" i="20"/>
  <c r="B7" i="20"/>
  <c r="AV6" i="20"/>
  <c r="Q6" i="20"/>
  <c r="M6" i="20"/>
  <c r="F6" i="20"/>
  <c r="B6" i="20"/>
  <c r="AV5" i="20"/>
  <c r="T5" i="20"/>
  <c r="S5" i="20"/>
  <c r="R5" i="20"/>
  <c r="P5" i="20"/>
  <c r="O5" i="20"/>
  <c r="N5" i="20"/>
  <c r="I5" i="20"/>
  <c r="H5" i="20"/>
  <c r="G5" i="20"/>
  <c r="E5" i="20"/>
  <c r="D5" i="20"/>
  <c r="C5" i="20"/>
  <c r="BE4" i="20"/>
  <c r="BD4" i="20"/>
  <c r="BC4" i="20"/>
  <c r="BB4" i="20"/>
  <c r="BA4" i="20"/>
  <c r="AZ4" i="20"/>
  <c r="AY4" i="20"/>
  <c r="AX4" i="20"/>
  <c r="AW4" i="20"/>
  <c r="AF3" i="20"/>
  <c r="AE3" i="20"/>
  <c r="AD3" i="20"/>
  <c r="AC3" i="20"/>
  <c r="AB3" i="20"/>
  <c r="AA3" i="20"/>
  <c r="Z3" i="20"/>
  <c r="Y3" i="20"/>
  <c r="CK44" i="20" l="1"/>
  <c r="CE12" i="20"/>
  <c r="BJ26" i="20"/>
  <c r="AE34" i="20"/>
  <c r="CE44" i="20"/>
  <c r="CK15" i="20"/>
  <c r="CK9" i="20"/>
  <c r="BJ180" i="20"/>
  <c r="CK13" i="20"/>
  <c r="BJ54" i="20"/>
  <c r="BQ19" i="20"/>
  <c r="CE15" i="20"/>
  <c r="AV168" i="20"/>
  <c r="CK11" i="20"/>
  <c r="CK14" i="20"/>
  <c r="BJ75" i="20"/>
  <c r="CH9" i="20"/>
  <c r="BJ145" i="20"/>
  <c r="AV52" i="20"/>
  <c r="CH7" i="20"/>
  <c r="CK6" i="20"/>
  <c r="AV222" i="20"/>
  <c r="AV72" i="20"/>
  <c r="F5" i="20"/>
  <c r="AV18" i="20"/>
  <c r="BQ54" i="20"/>
  <c r="M5" i="20"/>
  <c r="AV154" i="20"/>
  <c r="BJ166" i="20"/>
  <c r="BJ5" i="20"/>
  <c r="CH13" i="20"/>
  <c r="BQ75" i="20"/>
  <c r="AV100" i="20"/>
  <c r="Y34" i="20"/>
  <c r="Q5" i="20"/>
  <c r="CG5" i="20"/>
  <c r="CH11" i="20"/>
  <c r="CE14" i="20"/>
  <c r="CE16" i="20"/>
  <c r="Z34" i="20"/>
  <c r="AV86" i="20"/>
  <c r="AV188" i="20"/>
  <c r="BJ96" i="20"/>
  <c r="AV256" i="20"/>
  <c r="CF5" i="20"/>
  <c r="BQ89" i="20"/>
  <c r="CH10" i="20"/>
  <c r="CI5" i="20"/>
  <c r="BQ110" i="20"/>
  <c r="BQ124" i="20"/>
  <c r="AV140" i="20"/>
  <c r="AV120" i="20"/>
  <c r="BQ5" i="20"/>
  <c r="CH8" i="20"/>
  <c r="AV208" i="20"/>
  <c r="AV32" i="20"/>
  <c r="CE18" i="20"/>
  <c r="CH12" i="20"/>
  <c r="CK16" i="20"/>
  <c r="CH18" i="20"/>
  <c r="AD34" i="20"/>
  <c r="BJ124" i="20"/>
  <c r="B5" i="20"/>
  <c r="AV4" i="20"/>
  <c r="BQ40" i="20"/>
  <c r="BJ110" i="20"/>
  <c r="AV236" i="20"/>
  <c r="CM5" i="20"/>
  <c r="CK5" i="20" s="1"/>
  <c r="CE31" i="20"/>
  <c r="CH14" i="20"/>
  <c r="CE6" i="20"/>
  <c r="CJ5" i="20"/>
  <c r="CH5" i="20" l="1"/>
  <c r="CE5" i="20"/>
  <c r="BQ60" i="19"/>
  <c r="BL60" i="19"/>
  <c r="BK59" i="19"/>
  <c r="CB57" i="19"/>
  <c r="BQ57" i="19"/>
  <c r="BN57" i="19"/>
  <c r="BM57" i="19"/>
  <c r="BG57" i="19"/>
  <c r="BF57" i="19"/>
  <c r="BD57" i="19"/>
  <c r="BC57" i="19"/>
  <c r="BB57" i="19"/>
  <c r="AI57" i="19"/>
  <c r="AH57" i="19"/>
  <c r="AG57" i="19"/>
  <c r="AF57" i="19"/>
  <c r="BU56" i="19"/>
  <c r="BA56" i="19"/>
  <c r="BK55" i="19"/>
  <c r="BA55" i="19"/>
  <c r="AK55" i="19"/>
  <c r="AJ55" i="19"/>
  <c r="AG55" i="19"/>
  <c r="AF55" i="19"/>
  <c r="AA55" i="19"/>
  <c r="Z55" i="19"/>
  <c r="X55" i="19"/>
  <c r="W55" i="19"/>
  <c r="V55" i="19"/>
  <c r="CC54" i="19"/>
  <c r="CA54" i="19"/>
  <c r="BZ54" i="19"/>
  <c r="BX54" i="19"/>
  <c r="BW54" i="19"/>
  <c r="BV54" i="19"/>
  <c r="BK54" i="19"/>
  <c r="BG54" i="19"/>
  <c r="BE54" i="19"/>
  <c r="BD54" i="19"/>
  <c r="BC54" i="19"/>
  <c r="BB54" i="19"/>
  <c r="AW54" i="19"/>
  <c r="AR54" i="19"/>
  <c r="AP54" i="19"/>
  <c r="AE54" i="19"/>
  <c r="U54" i="19"/>
  <c r="BU53" i="19"/>
  <c r="BK53" i="19"/>
  <c r="BA53" i="19"/>
  <c r="AE53" i="19"/>
  <c r="U53" i="19"/>
  <c r="BU52" i="19"/>
  <c r="BK52" i="19"/>
  <c r="BA52" i="19"/>
  <c r="AW52" i="19"/>
  <c r="AV52" i="19"/>
  <c r="AQ52" i="19"/>
  <c r="AP52" i="19"/>
  <c r="BU51" i="19"/>
  <c r="BA51" i="19"/>
  <c r="AO51" i="19"/>
  <c r="AE51" i="19"/>
  <c r="U51" i="19"/>
  <c r="BU50" i="19"/>
  <c r="AO50" i="19"/>
  <c r="AE50" i="19"/>
  <c r="U50" i="19"/>
  <c r="BU49" i="19"/>
  <c r="BQ49" i="19"/>
  <c r="BO49" i="19"/>
  <c r="BL49" i="19"/>
  <c r="BF49" i="19"/>
  <c r="BC49" i="19"/>
  <c r="U49" i="19"/>
  <c r="BG48" i="19"/>
  <c r="BE48" i="19"/>
  <c r="BE49" i="19" s="1"/>
  <c r="BD48" i="19"/>
  <c r="BC48" i="19"/>
  <c r="BB48" i="19"/>
  <c r="AO48" i="19"/>
  <c r="AO47" i="19"/>
  <c r="O47" i="19"/>
  <c r="N47" i="19"/>
  <c r="CC46" i="19"/>
  <c r="CA46" i="19"/>
  <c r="BZ46" i="19"/>
  <c r="BY46" i="19"/>
  <c r="BX46" i="19"/>
  <c r="BW46" i="19"/>
  <c r="BV46" i="19"/>
  <c r="BK46" i="19"/>
  <c r="BA46" i="19"/>
  <c r="AO46" i="19"/>
  <c r="AG46" i="19"/>
  <c r="BA45" i="19"/>
  <c r="BU44" i="19"/>
  <c r="BK44" i="19"/>
  <c r="AA44" i="19"/>
  <c r="BU43" i="19"/>
  <c r="BK43" i="19"/>
  <c r="BA43" i="19"/>
  <c r="AW43" i="19"/>
  <c r="AT43" i="19"/>
  <c r="AE43" i="19"/>
  <c r="U43" i="19"/>
  <c r="BA42" i="19"/>
  <c r="AE42" i="19"/>
  <c r="U42" i="19"/>
  <c r="BU41" i="19"/>
  <c r="BA41" i="19"/>
  <c r="AO41" i="19"/>
  <c r="BU40" i="19"/>
  <c r="BK40" i="19"/>
  <c r="BA40" i="19"/>
  <c r="AI40" i="19"/>
  <c r="AI46" i="19" s="1"/>
  <c r="AH40" i="19"/>
  <c r="AH46" i="19" s="1"/>
  <c r="AF40" i="19"/>
  <c r="AF46" i="19" s="1"/>
  <c r="AA40" i="19"/>
  <c r="Y40" i="19"/>
  <c r="Y46" i="19" s="1"/>
  <c r="X40" i="19"/>
  <c r="X46" i="19" s="1"/>
  <c r="W40" i="19"/>
  <c r="W46" i="19" s="1"/>
  <c r="V40" i="19"/>
  <c r="V46" i="19" s="1"/>
  <c r="BU39" i="19"/>
  <c r="BK39" i="19"/>
  <c r="BA39" i="19"/>
  <c r="AW39" i="19"/>
  <c r="AU39" i="19"/>
  <c r="AU43" i="19" s="1"/>
  <c r="AT39" i="19"/>
  <c r="AS39" i="19"/>
  <c r="AS43" i="19" s="1"/>
  <c r="AR39" i="19"/>
  <c r="AR43" i="19" s="1"/>
  <c r="AQ39" i="19"/>
  <c r="AQ43" i="19" s="1"/>
  <c r="AP39" i="19"/>
  <c r="AP43" i="19" s="1"/>
  <c r="BU38" i="19"/>
  <c r="BK38" i="19"/>
  <c r="BA38" i="19"/>
  <c r="AE38" i="19"/>
  <c r="U38" i="19"/>
  <c r="Q38" i="19"/>
  <c r="P38" i="19"/>
  <c r="O38" i="19"/>
  <c r="N38" i="19"/>
  <c r="BU37" i="19"/>
  <c r="BK37" i="19"/>
  <c r="BA37" i="19"/>
  <c r="AO37" i="19"/>
  <c r="AE37" i="19"/>
  <c r="U37" i="19"/>
  <c r="BU36" i="19"/>
  <c r="BK36" i="19"/>
  <c r="BA36" i="19"/>
  <c r="AO36" i="19"/>
  <c r="AE36" i="19"/>
  <c r="U36" i="19"/>
  <c r="BU35" i="19"/>
  <c r="BK35" i="19"/>
  <c r="BA35" i="19"/>
  <c r="AO35" i="19"/>
  <c r="AE35" i="19"/>
  <c r="U35" i="19"/>
  <c r="BU34" i="19"/>
  <c r="BK34" i="19"/>
  <c r="BA34" i="19"/>
  <c r="AO34" i="19"/>
  <c r="AE34" i="19"/>
  <c r="U34" i="19"/>
  <c r="BU33" i="19"/>
  <c r="BK33" i="19"/>
  <c r="BA33" i="19"/>
  <c r="AO33" i="19"/>
  <c r="AE33" i="19"/>
  <c r="U33" i="19"/>
  <c r="BU32" i="19"/>
  <c r="BK32" i="19"/>
  <c r="BA32" i="19"/>
  <c r="AO32" i="19"/>
  <c r="AE32" i="19"/>
  <c r="U32" i="19"/>
  <c r="BU31" i="19"/>
  <c r="BK31" i="19"/>
  <c r="BA31" i="19"/>
  <c r="AO31" i="19"/>
  <c r="AE31" i="19"/>
  <c r="U31" i="19"/>
  <c r="BU30" i="19"/>
  <c r="BK30" i="19"/>
  <c r="BA30" i="19"/>
  <c r="AO30" i="19"/>
  <c r="AE30" i="19"/>
  <c r="U30" i="19"/>
  <c r="BU29" i="19"/>
  <c r="BK29" i="19"/>
  <c r="BA29" i="19"/>
  <c r="AO29" i="19"/>
  <c r="AE29" i="19"/>
  <c r="U29" i="19"/>
  <c r="U40" i="19" s="1"/>
  <c r="BU28" i="19"/>
  <c r="BK28" i="19"/>
  <c r="BA28" i="19"/>
  <c r="AO28" i="19"/>
  <c r="BU27" i="19"/>
  <c r="BK27" i="19"/>
  <c r="BA27" i="19"/>
  <c r="BU26" i="19"/>
  <c r="BK26" i="19"/>
  <c r="BA26" i="19"/>
  <c r="AJ26" i="19"/>
  <c r="AJ57" i="19" s="1"/>
  <c r="AH26" i="19"/>
  <c r="AA26" i="19"/>
  <c r="Z26" i="19"/>
  <c r="Z57" i="19" s="1"/>
  <c r="Y26" i="19"/>
  <c r="Y57" i="19" s="1"/>
  <c r="X26" i="19"/>
  <c r="W26" i="19"/>
  <c r="W57" i="19" s="1"/>
  <c r="V26" i="19"/>
  <c r="V57" i="19" s="1"/>
  <c r="BU25" i="19"/>
  <c r="BK25" i="19"/>
  <c r="BA25" i="19"/>
  <c r="AW25" i="19"/>
  <c r="AV25" i="19"/>
  <c r="AV54" i="19" s="1"/>
  <c r="AU25" i="19"/>
  <c r="AU54" i="19" s="1"/>
  <c r="AT25" i="19"/>
  <c r="AT54" i="19" s="1"/>
  <c r="AS25" i="19"/>
  <c r="AS54" i="19" s="1"/>
  <c r="AR25" i="19"/>
  <c r="AQ25" i="19"/>
  <c r="AQ54" i="19" s="1"/>
  <c r="AP25" i="19"/>
  <c r="BU24" i="19"/>
  <c r="BA24" i="19"/>
  <c r="AE24" i="19"/>
  <c r="U24" i="19"/>
  <c r="BU23" i="19"/>
  <c r="BA23" i="19"/>
  <c r="AO23" i="19"/>
  <c r="AE23" i="19"/>
  <c r="U23" i="19"/>
  <c r="Q23" i="19"/>
  <c r="P23" i="19"/>
  <c r="O23" i="19"/>
  <c r="N23" i="19"/>
  <c r="BU22" i="19"/>
  <c r="BA22" i="19"/>
  <c r="AO22" i="19"/>
  <c r="BU21" i="19"/>
  <c r="BA21" i="19"/>
  <c r="U21" i="19"/>
  <c r="BU20" i="19"/>
  <c r="BK20" i="19"/>
  <c r="BA20" i="19"/>
  <c r="AO20" i="19"/>
  <c r="AE20" i="19"/>
  <c r="U20" i="19"/>
  <c r="ES19" i="19"/>
  <c r="ER19" i="19"/>
  <c r="EQ19" i="19"/>
  <c r="EP19" i="19"/>
  <c r="EO19" i="19"/>
  <c r="EN19" i="19"/>
  <c r="EM19" i="19"/>
  <c r="BU19" i="19"/>
  <c r="BK19" i="19"/>
  <c r="BA19" i="19"/>
  <c r="AO19" i="19"/>
  <c r="AE19" i="19"/>
  <c r="U19" i="19"/>
  <c r="AO18" i="19"/>
  <c r="AE18" i="19"/>
  <c r="U18" i="19"/>
  <c r="CC17" i="19"/>
  <c r="CC47" i="19" s="1"/>
  <c r="CB17" i="19"/>
  <c r="CB47" i="19" s="1"/>
  <c r="CA17" i="19"/>
  <c r="BZ17" i="19"/>
  <c r="BZ47" i="19" s="1"/>
  <c r="BY17" i="19"/>
  <c r="BX17" i="19"/>
  <c r="BW17" i="19"/>
  <c r="BV17" i="19"/>
  <c r="BV47" i="19" s="1"/>
  <c r="BQ17" i="19"/>
  <c r="BQ50" i="19" s="1"/>
  <c r="BP17" i="19"/>
  <c r="BP50" i="19" s="1"/>
  <c r="BO17" i="19"/>
  <c r="BN17" i="19"/>
  <c r="BN50" i="19" s="1"/>
  <c r="BM17" i="19"/>
  <c r="BM50" i="19" s="1"/>
  <c r="BL17" i="19"/>
  <c r="BL50" i="19" s="1"/>
  <c r="BG17" i="19"/>
  <c r="BG49" i="19" s="1"/>
  <c r="BE17" i="19"/>
  <c r="BD17" i="19"/>
  <c r="BD49" i="19" s="1"/>
  <c r="BC17" i="19"/>
  <c r="BB17" i="19"/>
  <c r="AO17" i="19"/>
  <c r="AE17" i="19"/>
  <c r="U17" i="19"/>
  <c r="AO16" i="19"/>
  <c r="U16" i="19"/>
  <c r="BU15" i="19"/>
  <c r="BK15" i="19"/>
  <c r="BA15" i="19"/>
  <c r="AO15" i="19"/>
  <c r="AE15" i="19"/>
  <c r="U15" i="19"/>
  <c r="BU14" i="19"/>
  <c r="BK14" i="19"/>
  <c r="BA14" i="19"/>
  <c r="AO14" i="19"/>
  <c r="AE14" i="19"/>
  <c r="U14" i="19"/>
  <c r="DB13" i="19"/>
  <c r="DA13" i="19"/>
  <c r="CZ13" i="19"/>
  <c r="CY13" i="19"/>
  <c r="CX13" i="19"/>
  <c r="BU13" i="19"/>
  <c r="BA13" i="19"/>
  <c r="AO13" i="19"/>
  <c r="U13" i="19"/>
  <c r="BU12" i="19"/>
  <c r="BK12" i="19"/>
  <c r="BA12" i="19"/>
  <c r="AO12" i="19"/>
  <c r="AE12" i="19"/>
  <c r="U12" i="19"/>
  <c r="BU11" i="19"/>
  <c r="BK11" i="19"/>
  <c r="BA11" i="19"/>
  <c r="BU10" i="19"/>
  <c r="BA10" i="19"/>
  <c r="AO10" i="19"/>
  <c r="AE10" i="19"/>
  <c r="U10" i="19"/>
  <c r="U26" i="19" s="1"/>
  <c r="BU9" i="19"/>
  <c r="BA9" i="19"/>
  <c r="AO9" i="19"/>
  <c r="AE9" i="19"/>
  <c r="U9" i="19"/>
  <c r="ES8" i="19"/>
  <c r="ES4" i="19" s="1"/>
  <c r="ER8" i="19"/>
  <c r="ER4" i="19" s="1"/>
  <c r="EQ8" i="19"/>
  <c r="EP8" i="19"/>
  <c r="EO8" i="19"/>
  <c r="EN8" i="19"/>
  <c r="EM8" i="19"/>
  <c r="BU8" i="19"/>
  <c r="BK8" i="19"/>
  <c r="BA8" i="19"/>
  <c r="AO8" i="19"/>
  <c r="AO25" i="19" s="1"/>
  <c r="AO54" i="19" s="1"/>
  <c r="AE8" i="19"/>
  <c r="U8" i="19"/>
  <c r="EQ5" i="19"/>
  <c r="EP5" i="19"/>
  <c r="EO5" i="19"/>
  <c r="EN5" i="19"/>
  <c r="DY4" i="19"/>
  <c r="DX4" i="19"/>
  <c r="DW4" i="19"/>
  <c r="DV4" i="19"/>
  <c r="DU4" i="19"/>
  <c r="DT4" i="19"/>
  <c r="DP4" i="19"/>
  <c r="DO4" i="19"/>
  <c r="DN4" i="19"/>
  <c r="DM4" i="19"/>
  <c r="DB4" i="19"/>
  <c r="DA4" i="19"/>
  <c r="DA3" i="19" s="1"/>
  <c r="CZ4" i="19"/>
  <c r="CZ3" i="19" s="1"/>
  <c r="CY4" i="19"/>
  <c r="CX4" i="19"/>
  <c r="DB3" i="19"/>
  <c r="CY3" i="19"/>
  <c r="U55" i="19" l="1"/>
  <c r="AA46" i="19"/>
  <c r="AA57" i="19" s="1"/>
  <c r="N49" i="19"/>
  <c r="BA17" i="19"/>
  <c r="BK49" i="19"/>
  <c r="BU17" i="19"/>
  <c r="BU46" i="19"/>
  <c r="AO52" i="19"/>
  <c r="BW47" i="19"/>
  <c r="BU47" i="19" s="1"/>
  <c r="CA47" i="19"/>
  <c r="O49" i="19"/>
  <c r="BA48" i="19"/>
  <c r="CC55" i="19"/>
  <c r="CC57" i="19" s="1"/>
  <c r="BK17" i="19"/>
  <c r="BX47" i="19"/>
  <c r="BB49" i="19"/>
  <c r="U44" i="19"/>
  <c r="BU54" i="19"/>
  <c r="BA57" i="19"/>
  <c r="U46" i="19"/>
  <c r="U57" i="19" s="1"/>
  <c r="AE55" i="19"/>
  <c r="BV55" i="19"/>
  <c r="BK50" i="19"/>
  <c r="AO39" i="19"/>
  <c r="AO43" i="19" s="1"/>
  <c r="X57" i="19"/>
  <c r="BA54" i="19"/>
  <c r="BK57" i="19"/>
  <c r="BV57" i="19"/>
  <c r="BW55" i="19" l="1"/>
  <c r="BA49" i="19"/>
  <c r="BI23" i="18"/>
  <c r="AS18" i="18"/>
  <c r="AR18" i="18"/>
  <c r="AQ18" i="18"/>
  <c r="AP18" i="18"/>
  <c r="AO18" i="18"/>
  <c r="AN18" i="18"/>
  <c r="G15" i="18"/>
  <c r="F15" i="18"/>
  <c r="E15" i="18"/>
  <c r="C15" i="18"/>
  <c r="B15" i="18"/>
  <c r="P14" i="18"/>
  <c r="O14" i="18"/>
  <c r="N14" i="18"/>
  <c r="M14" i="18"/>
  <c r="L14" i="18"/>
  <c r="K14" i="18"/>
  <c r="BB13" i="18"/>
  <c r="BA13" i="18"/>
  <c r="AZ13" i="18"/>
  <c r="AY13" i="18"/>
  <c r="AX13" i="18"/>
  <c r="AW13" i="18"/>
  <c r="G4" i="18"/>
  <c r="F4" i="18"/>
  <c r="E4" i="18"/>
  <c r="BB3" i="18"/>
  <c r="BA3" i="18"/>
  <c r="AZ3" i="18"/>
  <c r="AY3" i="18"/>
  <c r="AX3" i="18"/>
  <c r="AW3" i="18"/>
  <c r="AS3" i="18"/>
  <c r="AR3" i="18"/>
  <c r="AQ3" i="18"/>
  <c r="AP3" i="18"/>
  <c r="AO3" i="18"/>
  <c r="AN3" i="18"/>
  <c r="P3" i="18"/>
  <c r="O3" i="18"/>
  <c r="N3" i="18"/>
  <c r="M3" i="18"/>
  <c r="L3" i="18"/>
  <c r="K3" i="18"/>
  <c r="BW57" i="19" l="1"/>
  <c r="BU57" i="19" s="1"/>
  <c r="BU55" i="19"/>
  <c r="BT96" i="17"/>
  <c r="BS96" i="17"/>
  <c r="BR96" i="17"/>
  <c r="BQ96" i="17"/>
  <c r="BP96" i="17"/>
  <c r="BO96" i="17"/>
  <c r="BT72" i="17"/>
  <c r="BS72" i="17"/>
  <c r="BR72" i="17"/>
  <c r="BQ72" i="17"/>
  <c r="BP72" i="17"/>
  <c r="BO72" i="17"/>
  <c r="AA46" i="17"/>
  <c r="Y46" i="17"/>
  <c r="Z38" i="17"/>
  <c r="Y38" i="17"/>
  <c r="X38" i="17"/>
  <c r="W38" i="17"/>
  <c r="V38" i="17"/>
  <c r="AA32" i="17"/>
  <c r="Z32" i="17"/>
  <c r="Y32" i="17"/>
  <c r="X32" i="17"/>
  <c r="X31" i="17" s="1"/>
  <c r="X46" i="17" s="1"/>
  <c r="W32" i="17"/>
  <c r="W31" i="17" s="1"/>
  <c r="W46" i="17" s="1"/>
  <c r="V32" i="17"/>
  <c r="V31" i="17" s="1"/>
  <c r="V46" i="17" s="1"/>
  <c r="AA31" i="17"/>
  <c r="Z31" i="17"/>
  <c r="Z46" i="17" s="1"/>
  <c r="Y31" i="17"/>
  <c r="BV29" i="17"/>
  <c r="BU29" i="17"/>
  <c r="BT29" i="17"/>
  <c r="BS29" i="17"/>
  <c r="BR29" i="17"/>
  <c r="BJ25" i="17"/>
  <c r="BI25" i="17"/>
  <c r="BH25" i="17"/>
  <c r="BF25" i="17"/>
  <c r="BK25" i="17" s="1"/>
  <c r="AX25" i="17"/>
  <c r="AW25" i="17"/>
  <c r="AV25" i="17"/>
  <c r="AU25" i="17"/>
  <c r="AS25" i="17"/>
  <c r="BK24" i="17"/>
  <c r="BJ24" i="17"/>
  <c r="BI24" i="17"/>
  <c r="BH24" i="17"/>
  <c r="BF24" i="17"/>
  <c r="AW24" i="17"/>
  <c r="AV24" i="17"/>
  <c r="AU24" i="17"/>
  <c r="AS24" i="17"/>
  <c r="AX24" i="17" s="1"/>
  <c r="BK23" i="17"/>
  <c r="BJ23" i="17"/>
  <c r="BI23" i="17"/>
  <c r="BH23" i="17"/>
  <c r="BF23" i="17"/>
  <c r="AX23" i="17"/>
  <c r="AW23" i="17"/>
  <c r="AV23" i="17"/>
  <c r="AU23" i="17"/>
  <c r="AS23" i="17"/>
  <c r="BJ22" i="17"/>
  <c r="BI22" i="17"/>
  <c r="BH22" i="17"/>
  <c r="BF22" i="17"/>
  <c r="BK22" i="17" s="1"/>
  <c r="AX22" i="17"/>
  <c r="AW22" i="17"/>
  <c r="AV22" i="17"/>
  <c r="AU22" i="17"/>
  <c r="AS22" i="17"/>
  <c r="BK21" i="17"/>
  <c r="BJ21" i="17"/>
  <c r="BI21" i="17"/>
  <c r="BH21" i="17"/>
  <c r="BF21" i="17"/>
  <c r="AW21" i="17"/>
  <c r="AV21" i="17"/>
  <c r="AU21" i="17"/>
  <c r="AS21" i="17"/>
  <c r="AX21" i="17" s="1"/>
  <c r="BJ20" i="17"/>
  <c r="BI20" i="17"/>
  <c r="BH20" i="17"/>
  <c r="BF20" i="17"/>
  <c r="BK20" i="17" s="1"/>
  <c r="AX20" i="17"/>
  <c r="AW20" i="17"/>
  <c r="AV20" i="17"/>
  <c r="AU20" i="17"/>
  <c r="AS20" i="17"/>
  <c r="BJ19" i="17"/>
  <c r="BI19" i="17"/>
  <c r="BH19" i="17"/>
  <c r="BF19" i="17"/>
  <c r="BK19" i="17" s="1"/>
  <c r="AW19" i="17"/>
  <c r="AV19" i="17"/>
  <c r="AU19" i="17"/>
  <c r="AS19" i="17"/>
  <c r="AX19" i="17" s="1"/>
  <c r="Q19" i="17"/>
  <c r="Q3" i="17" s="1"/>
  <c r="P19" i="17"/>
  <c r="P3" i="17" s="1"/>
  <c r="O19" i="17"/>
  <c r="N19" i="17"/>
  <c r="BK18" i="17"/>
  <c r="BJ18" i="17"/>
  <c r="BI18" i="17"/>
  <c r="BH18" i="17"/>
  <c r="BF18" i="17"/>
  <c r="AW18" i="17"/>
  <c r="AV18" i="17"/>
  <c r="AU18" i="17"/>
  <c r="AS18" i="17"/>
  <c r="AX18" i="17" s="1"/>
  <c r="Z18" i="17"/>
  <c r="Y18" i="17"/>
  <c r="BT17" i="17"/>
  <c r="BS17" i="17"/>
  <c r="BJ17" i="17"/>
  <c r="BI17" i="17"/>
  <c r="BH17" i="17"/>
  <c r="BF17" i="17"/>
  <c r="BK17" i="17" s="1"/>
  <c r="AW17" i="17"/>
  <c r="AV17" i="17"/>
  <c r="AU17" i="17"/>
  <c r="AS17" i="17"/>
  <c r="AX17" i="17" s="1"/>
  <c r="BK16" i="17"/>
  <c r="BJ16" i="17"/>
  <c r="BI16" i="17"/>
  <c r="BH16" i="17"/>
  <c r="BF16" i="17"/>
  <c r="AW16" i="17"/>
  <c r="AV16" i="17"/>
  <c r="AU16" i="17"/>
  <c r="AS16" i="17"/>
  <c r="AX16" i="17" s="1"/>
  <c r="AJ16" i="17"/>
  <c r="AH16" i="17"/>
  <c r="BJ15" i="17"/>
  <c r="BI15" i="17"/>
  <c r="BH15" i="17"/>
  <c r="BF15" i="17"/>
  <c r="BK15" i="17" s="1"/>
  <c r="AX15" i="17"/>
  <c r="AW15" i="17"/>
  <c r="AV15" i="17"/>
  <c r="AU15" i="17"/>
  <c r="AS15" i="17"/>
  <c r="AJ15" i="17"/>
  <c r="AH15" i="17"/>
  <c r="BJ14" i="17"/>
  <c r="BI14" i="17"/>
  <c r="BH14" i="17"/>
  <c r="BF14" i="17"/>
  <c r="BK14" i="17" s="1"/>
  <c r="AX14" i="17"/>
  <c r="AW14" i="17"/>
  <c r="AV14" i="17"/>
  <c r="AU14" i="17"/>
  <c r="AS14" i="17"/>
  <c r="AJ14" i="17"/>
  <c r="AH14" i="17"/>
  <c r="BK13" i="17"/>
  <c r="BJ13" i="17"/>
  <c r="BI13" i="17"/>
  <c r="BH13" i="17"/>
  <c r="BF13" i="17"/>
  <c r="AW13" i="17"/>
  <c r="AV13" i="17"/>
  <c r="AU13" i="17"/>
  <c r="AS13" i="17"/>
  <c r="AX13" i="17" s="1"/>
  <c r="AJ13" i="17"/>
  <c r="AH13" i="17"/>
  <c r="BK12" i="17"/>
  <c r="BJ12" i="17"/>
  <c r="BI12" i="17"/>
  <c r="BH12" i="17"/>
  <c r="BF12" i="17"/>
  <c r="AW12" i="17"/>
  <c r="AV12" i="17"/>
  <c r="AU12" i="17"/>
  <c r="AS12" i="17"/>
  <c r="AX12" i="17" s="1"/>
  <c r="AJ12" i="17"/>
  <c r="AH12" i="17"/>
  <c r="BJ11" i="17"/>
  <c r="BI11" i="17"/>
  <c r="BH11" i="17"/>
  <c r="BF11" i="17"/>
  <c r="BK11" i="17" s="1"/>
  <c r="AX11" i="17"/>
  <c r="AW11" i="17"/>
  <c r="AV11" i="17"/>
  <c r="AU11" i="17"/>
  <c r="AS11" i="17"/>
  <c r="AJ11" i="17"/>
  <c r="AH11" i="17"/>
  <c r="Q11" i="17"/>
  <c r="P11" i="17"/>
  <c r="O11" i="17"/>
  <c r="N11" i="17"/>
  <c r="BJ10" i="17"/>
  <c r="BI10" i="17"/>
  <c r="BH10" i="17"/>
  <c r="BF10" i="17"/>
  <c r="BK10" i="17" s="1"/>
  <c r="AX10" i="17"/>
  <c r="AW10" i="17"/>
  <c r="AV10" i="17"/>
  <c r="AU10" i="17"/>
  <c r="AS10" i="17"/>
  <c r="AJ10" i="17"/>
  <c r="AH10" i="17"/>
  <c r="AA10" i="17"/>
  <c r="Z10" i="17"/>
  <c r="Y10" i="17"/>
  <c r="X10" i="17"/>
  <c r="W10" i="17"/>
  <c r="V10" i="17"/>
  <c r="BK9" i="17"/>
  <c r="BJ9" i="17"/>
  <c r="BI9" i="17"/>
  <c r="BH9" i="17"/>
  <c r="BF9" i="17"/>
  <c r="AX9" i="17"/>
  <c r="AW9" i="17"/>
  <c r="AV9" i="17"/>
  <c r="AU9" i="17"/>
  <c r="AS9" i="17"/>
  <c r="AJ9" i="17"/>
  <c r="AH9" i="17"/>
  <c r="BJ8" i="17"/>
  <c r="BI8" i="17"/>
  <c r="BH8" i="17"/>
  <c r="BF8" i="17"/>
  <c r="BK8" i="17" s="1"/>
  <c r="AX8" i="17"/>
  <c r="AW8" i="17"/>
  <c r="AV8" i="17"/>
  <c r="AU8" i="17"/>
  <c r="AS8" i="17"/>
  <c r="BK7" i="17"/>
  <c r="BJ7" i="17"/>
  <c r="BI7" i="17"/>
  <c r="BH7" i="17"/>
  <c r="BF7" i="17"/>
  <c r="AW7" i="17"/>
  <c r="AV7" i="17"/>
  <c r="AU7" i="17"/>
  <c r="AS7" i="17"/>
  <c r="AX7" i="17" s="1"/>
  <c r="BJ6" i="17"/>
  <c r="BI6" i="17"/>
  <c r="BH6" i="17"/>
  <c r="BE6" i="17"/>
  <c r="BD6" i="17"/>
  <c r="BF6" i="17" s="1"/>
  <c r="BK6" i="17" s="1"/>
  <c r="BC6" i="17"/>
  <c r="AR6" i="17"/>
  <c r="AW6" i="17" s="1"/>
  <c r="AQ6" i="17"/>
  <c r="AV6" i="17" s="1"/>
  <c r="AP6" i="17"/>
  <c r="AU6" i="17" s="1"/>
  <c r="AO6" i="17"/>
  <c r="AS6" i="17" s="1"/>
  <c r="AX6" i="17" s="1"/>
  <c r="BT4" i="17"/>
  <c r="BS4" i="17"/>
  <c r="AA4" i="17"/>
  <c r="AA3" i="17" s="1"/>
  <c r="AA18" i="17" s="1"/>
  <c r="Z4" i="17"/>
  <c r="Y4" i="17"/>
  <c r="X4" i="17"/>
  <c r="W4" i="17"/>
  <c r="V4" i="17"/>
  <c r="Q4" i="17"/>
  <c r="P4" i="17"/>
  <c r="O4" i="17"/>
  <c r="N4" i="17"/>
  <c r="Z3" i="17"/>
  <c r="Y3" i="17"/>
  <c r="X3" i="17"/>
  <c r="X18" i="17" s="1"/>
  <c r="W3" i="17"/>
  <c r="W18" i="17" s="1"/>
  <c r="V3" i="17"/>
  <c r="V18" i="17" s="1"/>
  <c r="O3" i="17"/>
  <c r="N3" i="17"/>
  <c r="I213" i="16"/>
  <c r="G213" i="16"/>
  <c r="E213" i="16"/>
  <c r="I212" i="16"/>
  <c r="G212" i="16"/>
  <c r="E212" i="16"/>
  <c r="I211" i="16"/>
  <c r="G211" i="16"/>
  <c r="E211" i="16"/>
  <c r="I210" i="16"/>
  <c r="G210" i="16"/>
  <c r="E210" i="16"/>
  <c r="I209" i="16"/>
  <c r="G209" i="16"/>
  <c r="E209" i="16"/>
  <c r="I208" i="16"/>
  <c r="G208" i="16"/>
  <c r="E208" i="16"/>
  <c r="I207" i="16"/>
  <c r="G207" i="16"/>
  <c r="E207" i="16"/>
  <c r="I206" i="16"/>
  <c r="G206" i="16"/>
  <c r="E206" i="16"/>
  <c r="I205" i="16"/>
  <c r="G205" i="16"/>
  <c r="E205" i="16"/>
  <c r="I204" i="16"/>
  <c r="G204" i="16"/>
  <c r="E204" i="16"/>
  <c r="I203" i="16"/>
  <c r="G203" i="16"/>
  <c r="E203" i="16"/>
  <c r="I202" i="16"/>
  <c r="G202" i="16"/>
  <c r="E202" i="16"/>
  <c r="I201" i="16"/>
  <c r="G201" i="16"/>
  <c r="E201" i="16"/>
  <c r="I200" i="16"/>
  <c r="G200" i="16"/>
  <c r="E200" i="16"/>
  <c r="I199" i="16"/>
  <c r="G199" i="16"/>
  <c r="E199" i="16"/>
  <c r="I198" i="16"/>
  <c r="G198" i="16"/>
  <c r="E198" i="16"/>
  <c r="I197" i="16"/>
  <c r="G197" i="16"/>
  <c r="E197" i="16"/>
  <c r="I196" i="16"/>
  <c r="G196" i="16"/>
  <c r="E196" i="16"/>
  <c r="I195" i="16"/>
  <c r="G195" i="16"/>
  <c r="E195" i="16"/>
  <c r="H194" i="16"/>
  <c r="F194" i="16"/>
  <c r="G194" i="16" s="1"/>
  <c r="D194" i="16"/>
  <c r="C194" i="16"/>
  <c r="B194" i="16"/>
  <c r="I186" i="16"/>
  <c r="G186" i="16"/>
  <c r="E186" i="16"/>
  <c r="I185" i="16"/>
  <c r="G185" i="16"/>
  <c r="E185" i="16"/>
  <c r="I184" i="16"/>
  <c r="G184" i="16"/>
  <c r="E184" i="16"/>
  <c r="I183" i="16"/>
  <c r="G183" i="16"/>
  <c r="E183" i="16"/>
  <c r="I182" i="16"/>
  <c r="G182" i="16"/>
  <c r="E182" i="16"/>
  <c r="I181" i="16"/>
  <c r="G181" i="16"/>
  <c r="E181" i="16"/>
  <c r="I180" i="16"/>
  <c r="G180" i="16"/>
  <c r="E180" i="16"/>
  <c r="I179" i="16"/>
  <c r="G179" i="16"/>
  <c r="E179" i="16"/>
  <c r="I178" i="16"/>
  <c r="G178" i="16"/>
  <c r="E178" i="16"/>
  <c r="I177" i="16"/>
  <c r="G177" i="16"/>
  <c r="E177" i="16"/>
  <c r="I176" i="16"/>
  <c r="G176" i="16"/>
  <c r="E176" i="16"/>
  <c r="I175" i="16"/>
  <c r="G175" i="16"/>
  <c r="E175" i="16"/>
  <c r="I174" i="16"/>
  <c r="G174" i="16"/>
  <c r="E174" i="16"/>
  <c r="I173" i="16"/>
  <c r="G173" i="16"/>
  <c r="E173" i="16"/>
  <c r="I172" i="16"/>
  <c r="G172" i="16"/>
  <c r="E172" i="16"/>
  <c r="I171" i="16"/>
  <c r="G171" i="16"/>
  <c r="E171" i="16"/>
  <c r="I170" i="16"/>
  <c r="G170" i="16"/>
  <c r="E170" i="16"/>
  <c r="I169" i="16"/>
  <c r="G169" i="16"/>
  <c r="E169" i="16"/>
  <c r="I168" i="16"/>
  <c r="G168" i="16"/>
  <c r="E168" i="16"/>
  <c r="H167" i="16"/>
  <c r="F167" i="16"/>
  <c r="D167" i="16"/>
  <c r="C167" i="16"/>
  <c r="B167" i="16"/>
  <c r="K158" i="16"/>
  <c r="I158" i="16"/>
  <c r="G158" i="16"/>
  <c r="E158" i="16"/>
  <c r="K157" i="16"/>
  <c r="I157" i="16"/>
  <c r="G157" i="16"/>
  <c r="E157" i="16"/>
  <c r="K156" i="16"/>
  <c r="I156" i="16"/>
  <c r="G156" i="16"/>
  <c r="E156" i="16"/>
  <c r="K155" i="16"/>
  <c r="I155" i="16"/>
  <c r="G155" i="16"/>
  <c r="E155" i="16"/>
  <c r="K154" i="16"/>
  <c r="I154" i="16"/>
  <c r="G154" i="16"/>
  <c r="E154" i="16"/>
  <c r="K153" i="16"/>
  <c r="I153" i="16"/>
  <c r="G153" i="16"/>
  <c r="E153" i="16"/>
  <c r="K152" i="16"/>
  <c r="I152" i="16"/>
  <c r="G152" i="16"/>
  <c r="E152" i="16"/>
  <c r="K151" i="16"/>
  <c r="I151" i="16"/>
  <c r="G151" i="16"/>
  <c r="E151" i="16"/>
  <c r="K150" i="16"/>
  <c r="I150" i="16"/>
  <c r="G150" i="16"/>
  <c r="E150" i="16"/>
  <c r="K149" i="16"/>
  <c r="I149" i="16"/>
  <c r="G149" i="16"/>
  <c r="E149" i="16"/>
  <c r="K148" i="16"/>
  <c r="I148" i="16"/>
  <c r="G148" i="16"/>
  <c r="E148" i="16"/>
  <c r="K147" i="16"/>
  <c r="I147" i="16"/>
  <c r="G147" i="16"/>
  <c r="E147" i="16"/>
  <c r="K146" i="16"/>
  <c r="I146" i="16"/>
  <c r="G146" i="16"/>
  <c r="E146" i="16"/>
  <c r="K145" i="16"/>
  <c r="I145" i="16"/>
  <c r="G145" i="16"/>
  <c r="E145" i="16"/>
  <c r="K144" i="16"/>
  <c r="I144" i="16"/>
  <c r="G144" i="16"/>
  <c r="E144" i="16"/>
  <c r="K143" i="16"/>
  <c r="I143" i="16"/>
  <c r="G143" i="16"/>
  <c r="E143" i="16"/>
  <c r="K142" i="16"/>
  <c r="I142" i="16"/>
  <c r="G142" i="16"/>
  <c r="E142" i="16"/>
  <c r="K141" i="16"/>
  <c r="I141" i="16"/>
  <c r="G141" i="16"/>
  <c r="E141" i="16"/>
  <c r="K140" i="16"/>
  <c r="I140" i="16"/>
  <c r="G140" i="16"/>
  <c r="E140" i="16"/>
  <c r="J139" i="16"/>
  <c r="K139" i="16" s="1"/>
  <c r="H139" i="16"/>
  <c r="F139" i="16"/>
  <c r="D139" i="16"/>
  <c r="C139" i="16"/>
  <c r="E139" i="16" s="1"/>
  <c r="B139" i="16"/>
  <c r="I131" i="16"/>
  <c r="G131" i="16"/>
  <c r="E131" i="16"/>
  <c r="I130" i="16"/>
  <c r="G130" i="16"/>
  <c r="E130" i="16"/>
  <c r="I129" i="16"/>
  <c r="G129" i="16"/>
  <c r="E129" i="16"/>
  <c r="I128" i="16"/>
  <c r="G128" i="16"/>
  <c r="E128" i="16"/>
  <c r="I127" i="16"/>
  <c r="G127" i="16"/>
  <c r="E127" i="16"/>
  <c r="I126" i="16"/>
  <c r="G126" i="16"/>
  <c r="E126" i="16"/>
  <c r="I125" i="16"/>
  <c r="G125" i="16"/>
  <c r="E125" i="16"/>
  <c r="I124" i="16"/>
  <c r="G124" i="16"/>
  <c r="E124" i="16"/>
  <c r="I123" i="16"/>
  <c r="G123" i="16"/>
  <c r="E123" i="16"/>
  <c r="I122" i="16"/>
  <c r="G122" i="16"/>
  <c r="E122" i="16"/>
  <c r="I121" i="16"/>
  <c r="G121" i="16"/>
  <c r="E121" i="16"/>
  <c r="I120" i="16"/>
  <c r="G120" i="16"/>
  <c r="E120" i="16"/>
  <c r="I119" i="16"/>
  <c r="G119" i="16"/>
  <c r="E119" i="16"/>
  <c r="I118" i="16"/>
  <c r="G118" i="16"/>
  <c r="E118" i="16"/>
  <c r="I117" i="16"/>
  <c r="G117" i="16"/>
  <c r="E117" i="16"/>
  <c r="I116" i="16"/>
  <c r="G116" i="16"/>
  <c r="E116" i="16"/>
  <c r="I115" i="16"/>
  <c r="G115" i="16"/>
  <c r="E115" i="16"/>
  <c r="I114" i="16"/>
  <c r="G114" i="16"/>
  <c r="E114" i="16"/>
  <c r="I113" i="16"/>
  <c r="G113" i="16"/>
  <c r="E113" i="16"/>
  <c r="H112" i="16"/>
  <c r="I112" i="16" s="1"/>
  <c r="F112" i="16"/>
  <c r="G112" i="16" s="1"/>
  <c r="D112" i="16"/>
  <c r="E112" i="16" s="1"/>
  <c r="B112" i="16"/>
  <c r="I105" i="16"/>
  <c r="G105" i="16"/>
  <c r="E105" i="16"/>
  <c r="I104" i="16"/>
  <c r="G104" i="16"/>
  <c r="E104" i="16"/>
  <c r="I103" i="16"/>
  <c r="G103" i="16"/>
  <c r="E103" i="16"/>
  <c r="I102" i="16"/>
  <c r="G102" i="16"/>
  <c r="E102" i="16"/>
  <c r="I101" i="16"/>
  <c r="G101" i="16"/>
  <c r="E101" i="16"/>
  <c r="I100" i="16"/>
  <c r="G100" i="16"/>
  <c r="E100" i="16"/>
  <c r="I99" i="16"/>
  <c r="G99" i="16"/>
  <c r="E99" i="16"/>
  <c r="I98" i="16"/>
  <c r="G98" i="16"/>
  <c r="E98" i="16"/>
  <c r="I97" i="16"/>
  <c r="G97" i="16"/>
  <c r="E97" i="16"/>
  <c r="I96" i="16"/>
  <c r="G96" i="16"/>
  <c r="E96" i="16"/>
  <c r="I95" i="16"/>
  <c r="G95" i="16"/>
  <c r="E95" i="16"/>
  <c r="I94" i="16"/>
  <c r="G94" i="16"/>
  <c r="E94" i="16"/>
  <c r="I93" i="16"/>
  <c r="G93" i="16"/>
  <c r="E93" i="16"/>
  <c r="I92" i="16"/>
  <c r="G92" i="16"/>
  <c r="E92" i="16"/>
  <c r="I91" i="16"/>
  <c r="G91" i="16"/>
  <c r="E91" i="16"/>
  <c r="I90" i="16"/>
  <c r="G90" i="16"/>
  <c r="E90" i="16"/>
  <c r="I89" i="16"/>
  <c r="G89" i="16"/>
  <c r="E89" i="16"/>
  <c r="I88" i="16"/>
  <c r="G88" i="16"/>
  <c r="E88" i="16"/>
  <c r="I87" i="16"/>
  <c r="G87" i="16"/>
  <c r="E87" i="16"/>
  <c r="H86" i="16"/>
  <c r="I86" i="16" s="1"/>
  <c r="F86" i="16"/>
  <c r="G86" i="16" s="1"/>
  <c r="D86" i="16"/>
  <c r="E86" i="16" s="1"/>
  <c r="B86" i="16"/>
  <c r="I78" i="16"/>
  <c r="G78" i="16"/>
  <c r="E78" i="16"/>
  <c r="I77" i="16"/>
  <c r="G77" i="16"/>
  <c r="E77" i="16"/>
  <c r="I76" i="16"/>
  <c r="G76" i="16"/>
  <c r="E76" i="16"/>
  <c r="I75" i="16"/>
  <c r="G75" i="16"/>
  <c r="E75" i="16"/>
  <c r="I74" i="16"/>
  <c r="G74" i="16"/>
  <c r="E74" i="16"/>
  <c r="I73" i="16"/>
  <c r="G73" i="16"/>
  <c r="E73" i="16"/>
  <c r="I72" i="16"/>
  <c r="G72" i="16"/>
  <c r="E72" i="16"/>
  <c r="I71" i="16"/>
  <c r="G71" i="16"/>
  <c r="E71" i="16"/>
  <c r="I70" i="16"/>
  <c r="G70" i="16"/>
  <c r="E70" i="16"/>
  <c r="I69" i="16"/>
  <c r="G69" i="16"/>
  <c r="E69" i="16"/>
  <c r="I68" i="16"/>
  <c r="G68" i="16"/>
  <c r="E68" i="16"/>
  <c r="I67" i="16"/>
  <c r="G67" i="16"/>
  <c r="E67" i="16"/>
  <c r="I66" i="16"/>
  <c r="G66" i="16"/>
  <c r="E66" i="16"/>
  <c r="I65" i="16"/>
  <c r="G65" i="16"/>
  <c r="E65" i="16"/>
  <c r="I64" i="16"/>
  <c r="G64" i="16"/>
  <c r="E64" i="16"/>
  <c r="I63" i="16"/>
  <c r="G63" i="16"/>
  <c r="E63" i="16"/>
  <c r="I62" i="16"/>
  <c r="G62" i="16"/>
  <c r="E62" i="16"/>
  <c r="I61" i="16"/>
  <c r="G61" i="16"/>
  <c r="E61" i="16"/>
  <c r="I60" i="16"/>
  <c r="G60" i="16"/>
  <c r="E60" i="16"/>
  <c r="H59" i="16"/>
  <c r="I59" i="16" s="1"/>
  <c r="F59" i="16"/>
  <c r="G59" i="16" s="1"/>
  <c r="D59" i="16"/>
  <c r="E59" i="16" s="1"/>
  <c r="B59" i="16"/>
  <c r="S58" i="16"/>
  <c r="R58" i="16"/>
  <c r="Q58" i="16"/>
  <c r="P58" i="16"/>
  <c r="O58" i="16"/>
  <c r="I51" i="16"/>
  <c r="G51" i="16"/>
  <c r="E51" i="16"/>
  <c r="I50" i="16"/>
  <c r="G50" i="16"/>
  <c r="E50" i="16"/>
  <c r="I49" i="16"/>
  <c r="G49" i="16"/>
  <c r="E49" i="16"/>
  <c r="I48" i="16"/>
  <c r="G48" i="16"/>
  <c r="E48" i="16"/>
  <c r="I47" i="16"/>
  <c r="G47" i="16"/>
  <c r="E47" i="16"/>
  <c r="I46" i="16"/>
  <c r="G46" i="16"/>
  <c r="E46" i="16"/>
  <c r="I45" i="16"/>
  <c r="G45" i="16"/>
  <c r="E45" i="16"/>
  <c r="I44" i="16"/>
  <c r="G44" i="16"/>
  <c r="E44" i="16"/>
  <c r="I43" i="16"/>
  <c r="G43" i="16"/>
  <c r="E43" i="16"/>
  <c r="I42" i="16"/>
  <c r="G42" i="16"/>
  <c r="E42" i="16"/>
  <c r="AK41" i="16"/>
  <c r="AI41" i="16"/>
  <c r="I41" i="16"/>
  <c r="G41" i="16"/>
  <c r="E41" i="16"/>
  <c r="AK40" i="16"/>
  <c r="AI40" i="16"/>
  <c r="I40" i="16"/>
  <c r="G40" i="16"/>
  <c r="E40" i="16"/>
  <c r="AK39" i="16"/>
  <c r="AI39" i="16"/>
  <c r="I39" i="16"/>
  <c r="G39" i="16"/>
  <c r="E39" i="16"/>
  <c r="AK38" i="16"/>
  <c r="AI38" i="16"/>
  <c r="I38" i="16"/>
  <c r="G38" i="16"/>
  <c r="E38" i="16"/>
  <c r="AK37" i="16"/>
  <c r="AI37" i="16"/>
  <c r="I37" i="16"/>
  <c r="G37" i="16"/>
  <c r="E37" i="16"/>
  <c r="AK36" i="16"/>
  <c r="AI36" i="16"/>
  <c r="I36" i="16"/>
  <c r="G36" i="16"/>
  <c r="E36" i="16"/>
  <c r="AK35" i="16"/>
  <c r="AI35" i="16"/>
  <c r="I35" i="16"/>
  <c r="G35" i="16"/>
  <c r="E35" i="16"/>
  <c r="AK34" i="16"/>
  <c r="AI34" i="16"/>
  <c r="I34" i="16"/>
  <c r="G34" i="16"/>
  <c r="E34" i="16"/>
  <c r="AK33" i="16"/>
  <c r="AI33" i="16"/>
  <c r="I33" i="16"/>
  <c r="G33" i="16"/>
  <c r="E33" i="16"/>
  <c r="AK32" i="16"/>
  <c r="AI32" i="16"/>
  <c r="H32" i="16"/>
  <c r="F32" i="16"/>
  <c r="D32" i="16"/>
  <c r="C32" i="16"/>
  <c r="B32" i="16"/>
  <c r="AK31" i="16"/>
  <c r="AI31" i="16"/>
  <c r="AC31" i="16"/>
  <c r="AB31" i="16"/>
  <c r="AA31" i="16"/>
  <c r="Z31" i="16"/>
  <c r="X31" i="16"/>
  <c r="S31" i="16"/>
  <c r="R31" i="16"/>
  <c r="Q31" i="16"/>
  <c r="P31" i="16"/>
  <c r="O31" i="16"/>
  <c r="AK30" i="16"/>
  <c r="AI30" i="16"/>
  <c r="AK29" i="16"/>
  <c r="AI29" i="16"/>
  <c r="AK28" i="16"/>
  <c r="AI28" i="16"/>
  <c r="AK27" i="16"/>
  <c r="AI27" i="16"/>
  <c r="AK26" i="16"/>
  <c r="AI26" i="16"/>
  <c r="AK25" i="16"/>
  <c r="AI25" i="16"/>
  <c r="AK24" i="16"/>
  <c r="AI24" i="16"/>
  <c r="I24" i="16"/>
  <c r="G24" i="16"/>
  <c r="E24" i="16"/>
  <c r="AK23" i="16"/>
  <c r="AI23" i="16"/>
  <c r="I23" i="16"/>
  <c r="G23" i="16"/>
  <c r="E23" i="16"/>
  <c r="AK22" i="16"/>
  <c r="AI22" i="16"/>
  <c r="I22" i="16"/>
  <c r="G22" i="16"/>
  <c r="E22" i="16"/>
  <c r="AK21" i="16"/>
  <c r="AI21" i="16"/>
  <c r="I21" i="16"/>
  <c r="G21" i="16"/>
  <c r="E21" i="16"/>
  <c r="AK20" i="16"/>
  <c r="AI20" i="16"/>
  <c r="I20" i="16"/>
  <c r="G20" i="16"/>
  <c r="E20" i="16"/>
  <c r="AK19" i="16"/>
  <c r="AI19" i="16"/>
  <c r="I19" i="16"/>
  <c r="G19" i="16"/>
  <c r="E19" i="16"/>
  <c r="AK18" i="16"/>
  <c r="AI18" i="16"/>
  <c r="I18" i="16"/>
  <c r="G18" i="16"/>
  <c r="E18" i="16"/>
  <c r="AK17" i="16"/>
  <c r="AI17" i="16"/>
  <c r="I17" i="16"/>
  <c r="G17" i="16"/>
  <c r="E17" i="16"/>
  <c r="AK16" i="16"/>
  <c r="AI16" i="16"/>
  <c r="I16" i="16"/>
  <c r="G16" i="16"/>
  <c r="E16" i="16"/>
  <c r="AK15" i="16"/>
  <c r="AI15" i="16"/>
  <c r="I15" i="16"/>
  <c r="G15" i="16"/>
  <c r="E15" i="16"/>
  <c r="AK14" i="16"/>
  <c r="AI14" i="16"/>
  <c r="I14" i="16"/>
  <c r="G14" i="16"/>
  <c r="E14" i="16"/>
  <c r="AK13" i="16"/>
  <c r="AI13" i="16"/>
  <c r="I13" i="16"/>
  <c r="G13" i="16"/>
  <c r="E13" i="16"/>
  <c r="AK12" i="16"/>
  <c r="AI12" i="16"/>
  <c r="I12" i="16"/>
  <c r="G12" i="16"/>
  <c r="E12" i="16"/>
  <c r="AK11" i="16"/>
  <c r="AI11" i="16"/>
  <c r="I11" i="16"/>
  <c r="G11" i="16"/>
  <c r="E11" i="16"/>
  <c r="AK10" i="16"/>
  <c r="AI10" i="16"/>
  <c r="I10" i="16"/>
  <c r="G10" i="16"/>
  <c r="E10" i="16"/>
  <c r="AK9" i="16"/>
  <c r="AI9" i="16"/>
  <c r="I9" i="16"/>
  <c r="G9" i="16"/>
  <c r="E9" i="16"/>
  <c r="AK8" i="16"/>
  <c r="AI8" i="16"/>
  <c r="I8" i="16"/>
  <c r="G8" i="16"/>
  <c r="E8" i="16"/>
  <c r="AK7" i="16"/>
  <c r="AI7" i="16"/>
  <c r="I7" i="16"/>
  <c r="G7" i="16"/>
  <c r="E7" i="16"/>
  <c r="I6" i="16"/>
  <c r="G6" i="16"/>
  <c r="E6" i="16"/>
  <c r="AK5" i="16"/>
  <c r="AI5" i="16"/>
  <c r="H5" i="16"/>
  <c r="I5" i="16" s="1"/>
  <c r="F5" i="16"/>
  <c r="D5" i="16"/>
  <c r="C5" i="16"/>
  <c r="B5" i="16"/>
  <c r="AJ4" i="16"/>
  <c r="AK4" i="16" s="1"/>
  <c r="AI4" i="16"/>
  <c r="AC4" i="16"/>
  <c r="AB4" i="16"/>
  <c r="AA4" i="16"/>
  <c r="Z4" i="16"/>
  <c r="Y4" i="16"/>
  <c r="T4" i="16"/>
  <c r="S4" i="16"/>
  <c r="R4" i="16"/>
  <c r="Q4" i="16"/>
  <c r="P4" i="16"/>
  <c r="O4" i="16"/>
  <c r="AD161" i="15"/>
  <c r="AB161" i="15"/>
  <c r="AD160" i="15"/>
  <c r="AB160" i="15"/>
  <c r="AD159" i="15"/>
  <c r="AB159" i="15"/>
  <c r="AD158" i="15"/>
  <c r="AB158" i="15"/>
  <c r="AD157" i="15"/>
  <c r="AB157" i="15"/>
  <c r="AD156" i="15"/>
  <c r="AB156" i="15"/>
  <c r="AD155" i="15"/>
  <c r="AB155" i="15"/>
  <c r="AD154" i="15"/>
  <c r="AB154" i="15"/>
  <c r="AD153" i="15"/>
  <c r="AB153" i="15"/>
  <c r="AD152" i="15"/>
  <c r="AB152" i="15"/>
  <c r="AD151" i="15"/>
  <c r="AB151" i="15"/>
  <c r="AD150" i="15"/>
  <c r="AB150" i="15"/>
  <c r="AD149" i="15"/>
  <c r="AB149" i="15"/>
  <c r="AD148" i="15"/>
  <c r="AB148" i="15"/>
  <c r="AD147" i="15"/>
  <c r="AB147" i="15"/>
  <c r="AD146" i="15"/>
  <c r="AB146" i="15"/>
  <c r="AD145" i="15"/>
  <c r="AB145" i="15"/>
  <c r="AD144" i="15"/>
  <c r="AB144" i="15"/>
  <c r="AD143" i="15"/>
  <c r="AB143" i="15"/>
  <c r="AC142" i="15"/>
  <c r="AA142" i="15"/>
  <c r="AB142" i="15" s="1"/>
  <c r="Z142" i="15"/>
  <c r="AD142" i="15" s="1"/>
  <c r="Y142" i="15"/>
  <c r="AF135" i="15"/>
  <c r="AD135" i="15"/>
  <c r="AB135" i="15"/>
  <c r="AF134" i="15"/>
  <c r="AD134" i="15"/>
  <c r="AB134" i="15"/>
  <c r="AF133" i="15"/>
  <c r="AD133" i="15"/>
  <c r="AB133" i="15"/>
  <c r="AF132" i="15"/>
  <c r="AD132" i="15"/>
  <c r="AB132" i="15"/>
  <c r="AF131" i="15"/>
  <c r="AD131" i="15"/>
  <c r="AB131" i="15"/>
  <c r="AF130" i="15"/>
  <c r="AD130" i="15"/>
  <c r="AB130" i="15"/>
  <c r="AF129" i="15"/>
  <c r="AD129" i="15"/>
  <c r="AB129" i="15"/>
  <c r="AF128" i="15"/>
  <c r="AD128" i="15"/>
  <c r="AB128" i="15"/>
  <c r="AF127" i="15"/>
  <c r="AD127" i="15"/>
  <c r="AB127" i="15"/>
  <c r="AF126" i="15"/>
  <c r="AD126" i="15"/>
  <c r="AB126" i="15"/>
  <c r="AF125" i="15"/>
  <c r="AD125" i="15"/>
  <c r="AB125" i="15"/>
  <c r="AF124" i="15"/>
  <c r="AD124" i="15"/>
  <c r="AB124" i="15"/>
  <c r="AF123" i="15"/>
  <c r="AD123" i="15"/>
  <c r="AB123" i="15"/>
  <c r="AF122" i="15"/>
  <c r="AD122" i="15"/>
  <c r="AB122" i="15"/>
  <c r="AF121" i="15"/>
  <c r="AD121" i="15"/>
  <c r="AB121" i="15"/>
  <c r="AF120" i="15"/>
  <c r="AD120" i="15"/>
  <c r="AB120" i="15"/>
  <c r="AF119" i="15"/>
  <c r="AD119" i="15"/>
  <c r="AB119" i="15"/>
  <c r="AF118" i="15"/>
  <c r="AD118" i="15"/>
  <c r="AB118" i="15"/>
  <c r="AF117" i="15"/>
  <c r="AD117" i="15"/>
  <c r="AB117" i="15"/>
  <c r="AE116" i="15"/>
  <c r="AF116" i="15" s="1"/>
  <c r="AC116" i="15"/>
  <c r="AD116" i="15" s="1"/>
  <c r="AA116" i="15"/>
  <c r="AB116" i="15" s="1"/>
  <c r="Z116" i="15"/>
  <c r="Y116" i="15"/>
  <c r="AF107" i="15"/>
  <c r="AD107" i="15"/>
  <c r="AB107" i="15"/>
  <c r="AF106" i="15"/>
  <c r="AD106" i="15"/>
  <c r="AB106" i="15"/>
  <c r="AF105" i="15"/>
  <c r="AD105" i="15"/>
  <c r="AB105" i="15"/>
  <c r="AF104" i="15"/>
  <c r="AD104" i="15"/>
  <c r="AB104" i="15"/>
  <c r="AF103" i="15"/>
  <c r="AD103" i="15"/>
  <c r="AB103" i="15"/>
  <c r="AF102" i="15"/>
  <c r="AD102" i="15"/>
  <c r="AB102" i="15"/>
  <c r="AF101" i="15"/>
  <c r="AD101" i="15"/>
  <c r="AB101" i="15"/>
  <c r="AF100" i="15"/>
  <c r="AD100" i="15"/>
  <c r="AB100" i="15"/>
  <c r="AF99" i="15"/>
  <c r="AD99" i="15"/>
  <c r="AB99" i="15"/>
  <c r="AF98" i="15"/>
  <c r="AD98" i="15"/>
  <c r="AB98" i="15"/>
  <c r="AF97" i="15"/>
  <c r="AD97" i="15"/>
  <c r="AB97" i="15"/>
  <c r="AF96" i="15"/>
  <c r="AD96" i="15"/>
  <c r="AB96" i="15"/>
  <c r="AF95" i="15"/>
  <c r="AD95" i="15"/>
  <c r="AB95" i="15"/>
  <c r="AF94" i="15"/>
  <c r="AD94" i="15"/>
  <c r="AB94" i="15"/>
  <c r="AF93" i="15"/>
  <c r="AD93" i="15"/>
  <c r="AB93" i="15"/>
  <c r="AF92" i="15"/>
  <c r="AD92" i="15"/>
  <c r="AB92" i="15"/>
  <c r="AF91" i="15"/>
  <c r="AD91" i="15"/>
  <c r="AB91" i="15"/>
  <c r="AF90" i="15"/>
  <c r="AD90" i="15"/>
  <c r="AB90" i="15"/>
  <c r="AF89" i="15"/>
  <c r="AD89" i="15"/>
  <c r="AB89" i="15"/>
  <c r="AF88" i="15"/>
  <c r="AE88" i="15"/>
  <c r="AC88" i="15"/>
  <c r="AD88" i="15" s="1"/>
  <c r="AB88" i="15"/>
  <c r="AA88" i="15"/>
  <c r="Y88" i="15"/>
  <c r="AF79" i="15"/>
  <c r="AD79" i="15"/>
  <c r="AB79" i="15"/>
  <c r="AF78" i="15"/>
  <c r="AD78" i="15"/>
  <c r="AB78" i="15"/>
  <c r="AF77" i="15"/>
  <c r="AD77" i="15"/>
  <c r="AB77" i="15"/>
  <c r="AF76" i="15"/>
  <c r="AD76" i="15"/>
  <c r="AB76" i="15"/>
  <c r="AF75" i="15"/>
  <c r="AD75" i="15"/>
  <c r="AB75" i="15"/>
  <c r="AF74" i="15"/>
  <c r="AD74" i="15"/>
  <c r="AB74" i="15"/>
  <c r="AF73" i="15"/>
  <c r="AD73" i="15"/>
  <c r="AB73" i="15"/>
  <c r="AF72" i="15"/>
  <c r="AD72" i="15"/>
  <c r="AB72" i="15"/>
  <c r="AF71" i="15"/>
  <c r="AD71" i="15"/>
  <c r="AB71" i="15"/>
  <c r="AF70" i="15"/>
  <c r="AD70" i="15"/>
  <c r="AB70" i="15"/>
  <c r="AF69" i="15"/>
  <c r="AD69" i="15"/>
  <c r="AB69" i="15"/>
  <c r="AF68" i="15"/>
  <c r="AD68" i="15"/>
  <c r="AB68" i="15"/>
  <c r="AF67" i="15"/>
  <c r="AD67" i="15"/>
  <c r="AB67" i="15"/>
  <c r="AF66" i="15"/>
  <c r="AD66" i="15"/>
  <c r="AB66" i="15"/>
  <c r="AF65" i="15"/>
  <c r="AD65" i="15"/>
  <c r="AB65" i="15"/>
  <c r="AF64" i="15"/>
  <c r="AD64" i="15"/>
  <c r="AB64" i="15"/>
  <c r="AF63" i="15"/>
  <c r="AD63" i="15"/>
  <c r="AB63" i="15"/>
  <c r="AF62" i="15"/>
  <c r="AD62" i="15"/>
  <c r="AB62" i="15"/>
  <c r="AF61" i="15"/>
  <c r="AD61" i="15"/>
  <c r="AB61" i="15"/>
  <c r="AF60" i="15"/>
  <c r="AE60" i="15"/>
  <c r="AC60" i="15"/>
  <c r="AD60" i="15" s="1"/>
  <c r="AB60" i="15"/>
  <c r="AA60" i="15"/>
  <c r="Y60" i="15"/>
  <c r="H57" i="15"/>
  <c r="H54" i="15"/>
  <c r="L53" i="15"/>
  <c r="AD51" i="15"/>
  <c r="AB51" i="15"/>
  <c r="AD50" i="15"/>
  <c r="AB50" i="15"/>
  <c r="H50" i="15"/>
  <c r="AD49" i="15"/>
  <c r="AB49" i="15"/>
  <c r="L49" i="15"/>
  <c r="AD48" i="15"/>
  <c r="AB48" i="15"/>
  <c r="L48" i="15"/>
  <c r="AD47" i="15"/>
  <c r="AB47" i="15"/>
  <c r="AD46" i="15"/>
  <c r="AB46" i="15"/>
  <c r="H46" i="15"/>
  <c r="AD45" i="15"/>
  <c r="AB45" i="15"/>
  <c r="H45" i="15"/>
  <c r="AD44" i="15"/>
  <c r="AB44" i="15"/>
  <c r="L44" i="15"/>
  <c r="AD43" i="15"/>
  <c r="AB43" i="15"/>
  <c r="AD42" i="15"/>
  <c r="AB42" i="15"/>
  <c r="H42" i="15"/>
  <c r="AD41" i="15"/>
  <c r="AB41" i="15"/>
  <c r="L41" i="15"/>
  <c r="H41" i="15"/>
  <c r="AD40" i="15"/>
  <c r="AB40" i="15"/>
  <c r="L40" i="15"/>
  <c r="AD39" i="15"/>
  <c r="AB39" i="15"/>
  <c r="AD38" i="15"/>
  <c r="AB38" i="15"/>
  <c r="AD37" i="15"/>
  <c r="AB37" i="15"/>
  <c r="H37" i="15"/>
  <c r="AD36" i="15"/>
  <c r="AB36" i="15"/>
  <c r="L36" i="15"/>
  <c r="H36" i="15"/>
  <c r="AD35" i="15"/>
  <c r="AB35" i="15"/>
  <c r="L35" i="15"/>
  <c r="AD34" i="15"/>
  <c r="AB34" i="15"/>
  <c r="AD33" i="15"/>
  <c r="AB33" i="15"/>
  <c r="AC32" i="15"/>
  <c r="AD32" i="15" s="1"/>
  <c r="AB32" i="15"/>
  <c r="AA32" i="15"/>
  <c r="Z32" i="15"/>
  <c r="Y32" i="15"/>
  <c r="H32" i="15"/>
  <c r="L31" i="15"/>
  <c r="H29" i="15"/>
  <c r="L28" i="15"/>
  <c r="H25" i="15"/>
  <c r="AF24" i="15"/>
  <c r="AD24" i="15"/>
  <c r="AB24" i="15"/>
  <c r="L24" i="15"/>
  <c r="H24" i="15"/>
  <c r="AF23" i="15"/>
  <c r="AD23" i="15"/>
  <c r="AB23" i="15"/>
  <c r="AF22" i="15"/>
  <c r="AD22" i="15"/>
  <c r="AB22" i="15"/>
  <c r="AF21" i="15"/>
  <c r="AD21" i="15"/>
  <c r="AB21" i="15"/>
  <c r="H21" i="15"/>
  <c r="AF20" i="15"/>
  <c r="AD20" i="15"/>
  <c r="AB20" i="15"/>
  <c r="L20" i="15"/>
  <c r="H20" i="15"/>
  <c r="AF19" i="15"/>
  <c r="AD19" i="15"/>
  <c r="AB19" i="15"/>
  <c r="AF18" i="15"/>
  <c r="AD18" i="15"/>
  <c r="AB18" i="15"/>
  <c r="AF17" i="15"/>
  <c r="AD17" i="15"/>
  <c r="AB17" i="15"/>
  <c r="AF16" i="15"/>
  <c r="AD16" i="15"/>
  <c r="AB16" i="15"/>
  <c r="L16" i="15"/>
  <c r="H16" i="15"/>
  <c r="AF15" i="15"/>
  <c r="AD15" i="15"/>
  <c r="AB15" i="15"/>
  <c r="L15" i="15"/>
  <c r="AF14" i="15"/>
  <c r="AD14" i="15"/>
  <c r="AB14" i="15"/>
  <c r="AF13" i="15"/>
  <c r="AD13" i="15"/>
  <c r="AB13" i="15"/>
  <c r="AF12" i="15"/>
  <c r="AD12" i="15"/>
  <c r="AB12" i="15"/>
  <c r="H12" i="15"/>
  <c r="AF11" i="15"/>
  <c r="AD11" i="15"/>
  <c r="AB11" i="15"/>
  <c r="L11" i="15"/>
  <c r="H11" i="15"/>
  <c r="AF10" i="15"/>
  <c r="AD10" i="15"/>
  <c r="AB10" i="15"/>
  <c r="AF9" i="15"/>
  <c r="AD9" i="15"/>
  <c r="AB9" i="15"/>
  <c r="AF8" i="15"/>
  <c r="AD8" i="15"/>
  <c r="AB8" i="15"/>
  <c r="AF7" i="15"/>
  <c r="AD7" i="15"/>
  <c r="AB7" i="15"/>
  <c r="L7" i="15"/>
  <c r="H7" i="15"/>
  <c r="C7" i="15"/>
  <c r="AF6" i="15"/>
  <c r="AD6" i="15"/>
  <c r="AB6" i="15"/>
  <c r="AF5" i="15"/>
  <c r="AE5" i="15"/>
  <c r="AD5" i="15"/>
  <c r="AC5" i="15"/>
  <c r="AB5" i="15"/>
  <c r="AA5" i="15"/>
  <c r="Z5" i="15"/>
  <c r="Y5" i="15"/>
  <c r="C5" i="15"/>
  <c r="B4" i="15"/>
  <c r="C10" i="15" s="1"/>
  <c r="U284" i="13"/>
  <c r="U283" i="13"/>
  <c r="U282" i="13"/>
  <c r="U281" i="13"/>
  <c r="U280" i="13"/>
  <c r="U279" i="13"/>
  <c r="U278" i="13"/>
  <c r="U277" i="13"/>
  <c r="U276" i="13"/>
  <c r="U275" i="13"/>
  <c r="AJ274" i="13"/>
  <c r="AI274" i="13"/>
  <c r="AH274" i="13"/>
  <c r="AG274" i="13"/>
  <c r="AF274" i="13"/>
  <c r="AE274" i="13"/>
  <c r="AE236" i="13" s="1"/>
  <c r="AD274" i="13"/>
  <c r="AC274" i="13"/>
  <c r="AB274" i="13"/>
  <c r="AA274" i="13"/>
  <c r="Z274" i="13"/>
  <c r="Y274" i="13"/>
  <c r="X274" i="13"/>
  <c r="W274" i="13"/>
  <c r="V274" i="13"/>
  <c r="U272" i="13"/>
  <c r="U271" i="13"/>
  <c r="U270" i="13"/>
  <c r="U269" i="13"/>
  <c r="U268" i="13"/>
  <c r="U267" i="13"/>
  <c r="U266" i="13"/>
  <c r="U265" i="13"/>
  <c r="U264" i="13"/>
  <c r="U263" i="13"/>
  <c r="AJ262" i="13"/>
  <c r="AI262" i="13"/>
  <c r="AH262" i="13"/>
  <c r="AG262" i="13"/>
  <c r="AF262" i="13"/>
  <c r="AE262" i="13"/>
  <c r="AD262" i="13"/>
  <c r="AC262" i="13"/>
  <c r="AB262" i="13"/>
  <c r="AA262" i="13"/>
  <c r="Z262" i="13"/>
  <c r="Y262" i="13"/>
  <c r="X262" i="13"/>
  <c r="W262" i="13"/>
  <c r="V262" i="13"/>
  <c r="U260" i="13"/>
  <c r="U259" i="13"/>
  <c r="U258" i="13"/>
  <c r="U257" i="13"/>
  <c r="U256" i="13"/>
  <c r="U255" i="13"/>
  <c r="U254" i="13"/>
  <c r="AJ253" i="13"/>
  <c r="AI253" i="13"/>
  <c r="AH253" i="13"/>
  <c r="AG253" i="13"/>
  <c r="AF253" i="13"/>
  <c r="AE253" i="13"/>
  <c r="AD253" i="13"/>
  <c r="AC253" i="13"/>
  <c r="AB253" i="13"/>
  <c r="AA253" i="13"/>
  <c r="Z253" i="13"/>
  <c r="Y253" i="13"/>
  <c r="X253" i="13"/>
  <c r="W253" i="13"/>
  <c r="V253" i="13"/>
  <c r="U251" i="13"/>
  <c r="U250" i="13"/>
  <c r="U249" i="13"/>
  <c r="U248" i="13"/>
  <c r="U247" i="13"/>
  <c r="U246" i="13"/>
  <c r="U245" i="13"/>
  <c r="U244" i="13"/>
  <c r="U243" i="13"/>
  <c r="U242" i="13"/>
  <c r="U241" i="13"/>
  <c r="U240" i="13"/>
  <c r="U239" i="13"/>
  <c r="U238" i="13"/>
  <c r="AJ237" i="13"/>
  <c r="AJ236" i="13" s="1"/>
  <c r="AI237" i="13"/>
  <c r="AH237" i="13"/>
  <c r="AG237" i="13"/>
  <c r="AF237" i="13"/>
  <c r="AE237" i="13"/>
  <c r="AD237" i="13"/>
  <c r="AC237" i="13"/>
  <c r="AB237" i="13"/>
  <c r="AA237" i="13"/>
  <c r="Z237" i="13"/>
  <c r="Y237" i="13"/>
  <c r="X237" i="13"/>
  <c r="W237" i="13"/>
  <c r="V237" i="13"/>
  <c r="AC236" i="13"/>
  <c r="U226" i="13"/>
  <c r="U225" i="13"/>
  <c r="U224" i="13"/>
  <c r="U223" i="13"/>
  <c r="U222" i="13"/>
  <c r="U221" i="13"/>
  <c r="U220" i="13"/>
  <c r="U219" i="13"/>
  <c r="U218" i="13"/>
  <c r="U217" i="13"/>
  <c r="AJ216" i="13"/>
  <c r="AI216" i="13"/>
  <c r="AH216" i="13"/>
  <c r="AG216" i="13"/>
  <c r="AF216" i="13"/>
  <c r="AE216" i="13"/>
  <c r="AD216" i="13"/>
  <c r="AC216" i="13"/>
  <c r="AB216" i="13"/>
  <c r="AA216" i="13"/>
  <c r="Z216" i="13"/>
  <c r="Y216" i="13"/>
  <c r="X216" i="13"/>
  <c r="W216" i="13"/>
  <c r="V216" i="13"/>
  <c r="U214" i="13"/>
  <c r="U213" i="13"/>
  <c r="U212" i="13"/>
  <c r="U211" i="13"/>
  <c r="U210" i="13"/>
  <c r="U209" i="13"/>
  <c r="U208" i="13"/>
  <c r="U207" i="13"/>
  <c r="U206" i="13"/>
  <c r="U205" i="13"/>
  <c r="AJ204" i="13"/>
  <c r="AI204" i="13"/>
  <c r="AH204" i="13"/>
  <c r="AG204" i="13"/>
  <c r="AF204" i="13"/>
  <c r="AE204" i="13"/>
  <c r="AD204" i="13"/>
  <c r="AC204" i="13"/>
  <c r="AB204" i="13"/>
  <c r="AA204" i="13"/>
  <c r="Z204" i="13"/>
  <c r="Y204" i="13"/>
  <c r="X204" i="13"/>
  <c r="W204" i="13"/>
  <c r="V204" i="13"/>
  <c r="U202" i="13"/>
  <c r="U201" i="13"/>
  <c r="U200" i="13"/>
  <c r="U199" i="13"/>
  <c r="U198" i="13"/>
  <c r="U197" i="13"/>
  <c r="U196" i="13"/>
  <c r="AJ195" i="13"/>
  <c r="AI195" i="13"/>
  <c r="AH195" i="13"/>
  <c r="AG195" i="13"/>
  <c r="AF195" i="13"/>
  <c r="AE195" i="13"/>
  <c r="AD195" i="13"/>
  <c r="AD178" i="13" s="1"/>
  <c r="AC195" i="13"/>
  <c r="AB195" i="13"/>
  <c r="AA195" i="13"/>
  <c r="Z195" i="13"/>
  <c r="Y195" i="13"/>
  <c r="X195" i="13"/>
  <c r="W195" i="13"/>
  <c r="V195" i="13"/>
  <c r="U193" i="13"/>
  <c r="U192" i="13"/>
  <c r="U191" i="13"/>
  <c r="U190" i="13"/>
  <c r="U189" i="13"/>
  <c r="U188" i="13"/>
  <c r="U187" i="13"/>
  <c r="U186" i="13"/>
  <c r="U185" i="13"/>
  <c r="U184" i="13"/>
  <c r="U183" i="13"/>
  <c r="U182" i="13"/>
  <c r="U181" i="13"/>
  <c r="U180" i="13"/>
  <c r="AJ179" i="13"/>
  <c r="AI179" i="13"/>
  <c r="AH179" i="13"/>
  <c r="AG179" i="13"/>
  <c r="AF179" i="13"/>
  <c r="AE179" i="13"/>
  <c r="AD179" i="13"/>
  <c r="AC179" i="13"/>
  <c r="AB179" i="13"/>
  <c r="AA179" i="13"/>
  <c r="Z179" i="13"/>
  <c r="Y179" i="13"/>
  <c r="X179" i="13"/>
  <c r="W179" i="13"/>
  <c r="V179" i="13"/>
  <c r="U168" i="13"/>
  <c r="U167" i="13"/>
  <c r="U166" i="13"/>
  <c r="U165" i="13"/>
  <c r="U164" i="13"/>
  <c r="U163" i="13"/>
  <c r="U162" i="13"/>
  <c r="U161" i="13"/>
  <c r="U160" i="13"/>
  <c r="U159" i="13"/>
  <c r="AJ158" i="13"/>
  <c r="AI158" i="13"/>
  <c r="AH158" i="13"/>
  <c r="AG158" i="13"/>
  <c r="AF158" i="13"/>
  <c r="AE158" i="13"/>
  <c r="AD158" i="13"/>
  <c r="AC158" i="13"/>
  <c r="AB158" i="13"/>
  <c r="AA158" i="13"/>
  <c r="Z158" i="13"/>
  <c r="Y158" i="13"/>
  <c r="X158" i="13"/>
  <c r="W158" i="13"/>
  <c r="V158" i="13"/>
  <c r="U156" i="13"/>
  <c r="U155" i="13"/>
  <c r="U154" i="13"/>
  <c r="U153" i="13"/>
  <c r="U152" i="13"/>
  <c r="U151" i="13"/>
  <c r="U150" i="13"/>
  <c r="U149" i="13"/>
  <c r="U148" i="13"/>
  <c r="U147" i="13"/>
  <c r="AJ146" i="13"/>
  <c r="AI146" i="13"/>
  <c r="AH146" i="13"/>
  <c r="AG146" i="13"/>
  <c r="AF146" i="13"/>
  <c r="AE146" i="13"/>
  <c r="AD146" i="13"/>
  <c r="AC146" i="13"/>
  <c r="AB146" i="13"/>
  <c r="AA146" i="13"/>
  <c r="Z146" i="13"/>
  <c r="Y146" i="13"/>
  <c r="X146" i="13"/>
  <c r="W146" i="13"/>
  <c r="V146" i="13"/>
  <c r="U144" i="13"/>
  <c r="U143" i="13"/>
  <c r="U142" i="13"/>
  <c r="U141" i="13"/>
  <c r="U140" i="13"/>
  <c r="U139" i="13"/>
  <c r="U138" i="13"/>
  <c r="AJ137" i="13"/>
  <c r="AI137" i="13"/>
  <c r="AH137" i="13"/>
  <c r="AG137" i="13"/>
  <c r="AF137" i="13"/>
  <c r="AE137" i="13"/>
  <c r="AD137" i="13"/>
  <c r="AC137" i="13"/>
  <c r="AB137" i="13"/>
  <c r="AA137" i="13"/>
  <c r="Z137" i="13"/>
  <c r="Y137" i="13"/>
  <c r="X137" i="13"/>
  <c r="W137" i="13"/>
  <c r="V137" i="13"/>
  <c r="U135" i="13"/>
  <c r="U134" i="13"/>
  <c r="U133" i="13"/>
  <c r="U132" i="13"/>
  <c r="U131" i="13"/>
  <c r="U130" i="13"/>
  <c r="U129" i="13"/>
  <c r="U128" i="13"/>
  <c r="U127" i="13"/>
  <c r="U126" i="13"/>
  <c r="U125" i="13"/>
  <c r="U124" i="13"/>
  <c r="U123" i="13"/>
  <c r="U122" i="13"/>
  <c r="AJ121" i="13"/>
  <c r="AI121" i="13"/>
  <c r="AH121" i="13"/>
  <c r="AG121" i="13"/>
  <c r="AF121" i="13"/>
  <c r="AE121" i="13"/>
  <c r="AD121" i="13"/>
  <c r="AC121" i="13"/>
  <c r="AB121" i="13"/>
  <c r="AA121" i="13"/>
  <c r="Z121" i="13"/>
  <c r="Y121" i="13"/>
  <c r="X121" i="13"/>
  <c r="W121" i="13"/>
  <c r="V121" i="13"/>
  <c r="U110" i="13"/>
  <c r="U109" i="13"/>
  <c r="U108" i="13"/>
  <c r="U107" i="13"/>
  <c r="U106" i="13"/>
  <c r="U105" i="13"/>
  <c r="U104" i="13"/>
  <c r="U103" i="13"/>
  <c r="U102" i="13"/>
  <c r="U101" i="13"/>
  <c r="AJ100" i="13"/>
  <c r="AI100" i="13"/>
  <c r="AH100" i="13"/>
  <c r="AG100" i="13"/>
  <c r="AF100" i="13"/>
  <c r="AE100" i="13"/>
  <c r="AD100" i="13"/>
  <c r="AC100" i="13"/>
  <c r="AB100" i="13"/>
  <c r="AA100" i="13"/>
  <c r="Z100" i="13"/>
  <c r="Y100" i="13"/>
  <c r="X100" i="13"/>
  <c r="W100" i="13"/>
  <c r="V100" i="13"/>
  <c r="U98" i="13"/>
  <c r="U97" i="13"/>
  <c r="U96" i="13"/>
  <c r="U95" i="13"/>
  <c r="U94" i="13"/>
  <c r="U93" i="13"/>
  <c r="U92" i="13"/>
  <c r="U91" i="13"/>
  <c r="U90" i="13"/>
  <c r="U89" i="13"/>
  <c r="AJ88" i="13"/>
  <c r="AI88" i="13"/>
  <c r="AH88" i="13"/>
  <c r="AG88" i="13"/>
  <c r="AF88" i="13"/>
  <c r="AE88" i="13"/>
  <c r="AD88" i="13"/>
  <c r="AC88" i="13"/>
  <c r="AB88" i="13"/>
  <c r="AA88" i="13"/>
  <c r="Z88" i="13"/>
  <c r="Y88" i="13"/>
  <c r="X88" i="13"/>
  <c r="W88" i="13"/>
  <c r="V88" i="13"/>
  <c r="U86" i="13"/>
  <c r="EQ85" i="13"/>
  <c r="EP85" i="13"/>
  <c r="EO85" i="13"/>
  <c r="EN85" i="13"/>
  <c r="EM85" i="13"/>
  <c r="EL85" i="13"/>
  <c r="EJ85" i="13"/>
  <c r="EK105" i="13" s="1"/>
  <c r="U85" i="13"/>
  <c r="U84" i="13"/>
  <c r="U83" i="13"/>
  <c r="U82" i="13"/>
  <c r="U81" i="13"/>
  <c r="U80" i="13"/>
  <c r="AJ79" i="13"/>
  <c r="AI79" i="13"/>
  <c r="AH79" i="13"/>
  <c r="AG79" i="13"/>
  <c r="AF79" i="13"/>
  <c r="AE79" i="13"/>
  <c r="AD79" i="13"/>
  <c r="AC79" i="13"/>
  <c r="AB79" i="13"/>
  <c r="AA79" i="13"/>
  <c r="Z79" i="13"/>
  <c r="Y79" i="13"/>
  <c r="X79" i="13"/>
  <c r="W79" i="13"/>
  <c r="V79" i="13"/>
  <c r="U77" i="13"/>
  <c r="U76" i="13"/>
  <c r="U75" i="13"/>
  <c r="U74" i="13"/>
  <c r="EK73" i="13"/>
  <c r="U73" i="13"/>
  <c r="U72" i="13"/>
  <c r="U71" i="13"/>
  <c r="U70" i="13"/>
  <c r="U69" i="13"/>
  <c r="U68" i="13"/>
  <c r="U67" i="13"/>
  <c r="U66" i="13"/>
  <c r="U65" i="13"/>
  <c r="U64" i="13"/>
  <c r="AJ63" i="13"/>
  <c r="AI63" i="13"/>
  <c r="AH63" i="13"/>
  <c r="AG63" i="13"/>
  <c r="AF63" i="13"/>
  <c r="AE63" i="13"/>
  <c r="AD63" i="13"/>
  <c r="AC63" i="13"/>
  <c r="AB63" i="13"/>
  <c r="AA63" i="13"/>
  <c r="Z63" i="13"/>
  <c r="Y63" i="13"/>
  <c r="X63" i="13"/>
  <c r="W63" i="13"/>
  <c r="V63" i="13"/>
  <c r="DL62" i="13"/>
  <c r="DK62" i="13"/>
  <c r="DJ62" i="13"/>
  <c r="DI62" i="13"/>
  <c r="DH62" i="13"/>
  <c r="DG62" i="13"/>
  <c r="DF62" i="13"/>
  <c r="DE62" i="13"/>
  <c r="DD62" i="13"/>
  <c r="DC62" i="13"/>
  <c r="GQ59" i="13"/>
  <c r="GP59" i="13"/>
  <c r="GO59" i="13"/>
  <c r="GN59" i="13"/>
  <c r="GM59" i="13"/>
  <c r="FY56" i="13"/>
  <c r="FX56" i="13"/>
  <c r="FW56" i="13"/>
  <c r="FV56" i="13"/>
  <c r="FU56" i="13"/>
  <c r="FT56" i="13"/>
  <c r="EQ52" i="13"/>
  <c r="EP52" i="13"/>
  <c r="EO52" i="13"/>
  <c r="EN52" i="13"/>
  <c r="EM52" i="13"/>
  <c r="EL52" i="13"/>
  <c r="EJ52" i="13"/>
  <c r="EK72" i="13" s="1"/>
  <c r="DL52" i="13"/>
  <c r="DK52" i="13"/>
  <c r="DJ52" i="13"/>
  <c r="DI52" i="13"/>
  <c r="DH52" i="13"/>
  <c r="DG52" i="13"/>
  <c r="DF52" i="13"/>
  <c r="DE52" i="13"/>
  <c r="DD52" i="13"/>
  <c r="DD51" i="13" s="1"/>
  <c r="DC52" i="13"/>
  <c r="DC51" i="13" s="1"/>
  <c r="U52" i="13"/>
  <c r="U51" i="13"/>
  <c r="U50" i="13"/>
  <c r="U49" i="13"/>
  <c r="U48" i="13"/>
  <c r="U47" i="13"/>
  <c r="U46" i="13"/>
  <c r="U45" i="13"/>
  <c r="EJ44" i="13"/>
  <c r="U44" i="13"/>
  <c r="EJ43" i="13"/>
  <c r="U43" i="13"/>
  <c r="P43" i="13"/>
  <c r="O43" i="13"/>
  <c r="N43" i="13"/>
  <c r="M43" i="13"/>
  <c r="L43" i="13"/>
  <c r="G43" i="13"/>
  <c r="G41" i="13" s="1"/>
  <c r="F43" i="13"/>
  <c r="E43" i="13"/>
  <c r="D43" i="13"/>
  <c r="C43" i="13"/>
  <c r="B43" i="13"/>
  <c r="EJ42" i="13"/>
  <c r="AJ42" i="13"/>
  <c r="AI42" i="13"/>
  <c r="AH42" i="13"/>
  <c r="AG42" i="13"/>
  <c r="AF42" i="13"/>
  <c r="AE42" i="13"/>
  <c r="AD42" i="13"/>
  <c r="AC42" i="13"/>
  <c r="AB42" i="13"/>
  <c r="AA42" i="13"/>
  <c r="Z42" i="13"/>
  <c r="Y42" i="13"/>
  <c r="X42" i="13"/>
  <c r="W42" i="13"/>
  <c r="V42" i="13"/>
  <c r="F42" i="13"/>
  <c r="E42" i="13"/>
  <c r="D42" i="13"/>
  <c r="B42" i="13"/>
  <c r="B41" i="13" s="1"/>
  <c r="EJ41" i="13"/>
  <c r="EJ40" i="13"/>
  <c r="DL40" i="13"/>
  <c r="DK40" i="13"/>
  <c r="DJ40" i="13"/>
  <c r="DI40" i="13"/>
  <c r="DH40" i="13"/>
  <c r="DG40" i="13"/>
  <c r="DF40" i="13"/>
  <c r="DE40" i="13"/>
  <c r="DD40" i="13"/>
  <c r="DC40" i="13"/>
  <c r="U40" i="13"/>
  <c r="GQ39" i="13"/>
  <c r="GP39" i="13"/>
  <c r="GO39" i="13"/>
  <c r="GN39" i="13"/>
  <c r="GM39" i="13"/>
  <c r="EJ39" i="13"/>
  <c r="U39" i="13"/>
  <c r="EJ38" i="13"/>
  <c r="U38" i="13"/>
  <c r="EJ37" i="13"/>
  <c r="U37" i="13"/>
  <c r="EQ36" i="13"/>
  <c r="EP36" i="13"/>
  <c r="EO36" i="13"/>
  <c r="EN36" i="13"/>
  <c r="EM36" i="13"/>
  <c r="EL36" i="13"/>
  <c r="U36" i="13"/>
  <c r="CX35" i="13"/>
  <c r="CW35" i="13"/>
  <c r="CV35" i="13"/>
  <c r="CU35" i="13"/>
  <c r="CT35" i="13"/>
  <c r="CS35" i="13"/>
  <c r="CR35" i="13"/>
  <c r="CQ35" i="13"/>
  <c r="CP35" i="13"/>
  <c r="CO35" i="13"/>
  <c r="U35" i="13"/>
  <c r="U34" i="13"/>
  <c r="U33" i="13"/>
  <c r="P33" i="13"/>
  <c r="O33" i="13"/>
  <c r="N33" i="13"/>
  <c r="M33" i="13"/>
  <c r="L33" i="13"/>
  <c r="C33" i="13"/>
  <c r="U32" i="13"/>
  <c r="C32" i="13"/>
  <c r="CX31" i="13"/>
  <c r="CW31" i="13"/>
  <c r="CV31" i="13"/>
  <c r="CU31" i="13"/>
  <c r="CT31" i="13"/>
  <c r="CS31" i="13"/>
  <c r="CR31" i="13"/>
  <c r="CQ31" i="13"/>
  <c r="CP31" i="13"/>
  <c r="CO31" i="13"/>
  <c r="U31" i="13"/>
  <c r="C31" i="13"/>
  <c r="AJ30" i="13"/>
  <c r="AI30" i="13"/>
  <c r="AH30" i="13"/>
  <c r="AG30" i="13"/>
  <c r="AF30" i="13"/>
  <c r="AE30" i="13"/>
  <c r="AD30" i="13"/>
  <c r="AC30" i="13"/>
  <c r="AB30" i="13"/>
  <c r="AA30" i="13"/>
  <c r="Z30" i="13"/>
  <c r="Y30" i="13"/>
  <c r="X30" i="13"/>
  <c r="W30" i="13"/>
  <c r="V30" i="13"/>
  <c r="G30" i="13"/>
  <c r="F30" i="13"/>
  <c r="E30" i="13"/>
  <c r="D30" i="13"/>
  <c r="B30" i="13"/>
  <c r="EY29" i="13"/>
  <c r="EX29" i="13"/>
  <c r="EW29" i="13"/>
  <c r="EV29" i="13"/>
  <c r="EU29" i="13"/>
  <c r="DL29" i="13"/>
  <c r="DK29" i="13"/>
  <c r="DJ29" i="13"/>
  <c r="DI29" i="13"/>
  <c r="DH29" i="13"/>
  <c r="DG29" i="13"/>
  <c r="DF29" i="13"/>
  <c r="DE29" i="13"/>
  <c r="DD29" i="13"/>
  <c r="DD28" i="13" s="1"/>
  <c r="DC29" i="13"/>
  <c r="CK29" i="13"/>
  <c r="CJ29" i="13"/>
  <c r="CI29" i="13"/>
  <c r="CH29" i="13"/>
  <c r="CG29" i="13"/>
  <c r="CF29" i="13"/>
  <c r="EJ28" i="13"/>
  <c r="U28" i="13"/>
  <c r="EJ27" i="13"/>
  <c r="CX27" i="13"/>
  <c r="CW27" i="13"/>
  <c r="CV27" i="13"/>
  <c r="CU27" i="13"/>
  <c r="CT27" i="13"/>
  <c r="CS27" i="13"/>
  <c r="CR27" i="13"/>
  <c r="CQ27" i="13"/>
  <c r="CP27" i="13"/>
  <c r="CO27" i="13"/>
  <c r="U27" i="13"/>
  <c r="EJ26" i="13"/>
  <c r="U26" i="13"/>
  <c r="HA25" i="13"/>
  <c r="GZ25" i="13"/>
  <c r="GY25" i="13"/>
  <c r="GX25" i="13"/>
  <c r="GW25" i="13"/>
  <c r="GV25" i="13"/>
  <c r="EJ25" i="13"/>
  <c r="U25" i="13"/>
  <c r="EJ24" i="13"/>
  <c r="BZ24" i="13"/>
  <c r="CA28" i="13" s="1"/>
  <c r="BX24" i="13"/>
  <c r="BY25" i="13" s="1"/>
  <c r="BV24" i="13"/>
  <c r="BW25" i="13" s="1"/>
  <c r="U24" i="13"/>
  <c r="F24" i="13"/>
  <c r="E24" i="13"/>
  <c r="D24" i="13"/>
  <c r="C24" i="13"/>
  <c r="B24" i="13"/>
  <c r="EJ23" i="13"/>
  <c r="U23" i="13"/>
  <c r="EY22" i="13"/>
  <c r="EX22" i="13"/>
  <c r="EW22" i="13"/>
  <c r="EV22" i="13"/>
  <c r="EU22" i="13"/>
  <c r="EJ22" i="13"/>
  <c r="U22" i="13"/>
  <c r="EJ21" i="13"/>
  <c r="AJ21" i="13"/>
  <c r="AI21" i="13"/>
  <c r="AH21" i="13"/>
  <c r="AG21" i="13"/>
  <c r="AF21" i="13"/>
  <c r="AE21" i="13"/>
  <c r="AD21" i="13"/>
  <c r="AC21" i="13"/>
  <c r="AB21" i="13"/>
  <c r="AA21" i="13"/>
  <c r="Z21" i="13"/>
  <c r="Y21" i="13"/>
  <c r="X21" i="13"/>
  <c r="W21" i="13"/>
  <c r="V21" i="13"/>
  <c r="FD20" i="13"/>
  <c r="FF20" i="13" s="1"/>
  <c r="EQ20" i="13"/>
  <c r="EP20" i="13"/>
  <c r="EO20" i="13"/>
  <c r="EN20" i="13"/>
  <c r="EM20" i="13"/>
  <c r="EL20" i="13"/>
  <c r="AZ20" i="13"/>
  <c r="AY20" i="13"/>
  <c r="U19" i="13"/>
  <c r="U18" i="13"/>
  <c r="G18" i="13"/>
  <c r="F18" i="13"/>
  <c r="E18" i="13"/>
  <c r="D18" i="13"/>
  <c r="C18" i="13"/>
  <c r="B18" i="13"/>
  <c r="GH17" i="13"/>
  <c r="GG17" i="13"/>
  <c r="GF17" i="13"/>
  <c r="GE17" i="13"/>
  <c r="GD17" i="13"/>
  <c r="FD17" i="13"/>
  <c r="FF17" i="13" s="1"/>
  <c r="DL17" i="13"/>
  <c r="DK17" i="13"/>
  <c r="DJ17" i="13"/>
  <c r="DI17" i="13"/>
  <c r="DH17" i="13"/>
  <c r="DG17" i="13"/>
  <c r="DF17" i="13"/>
  <c r="DE17" i="13"/>
  <c r="DD17" i="13"/>
  <c r="DC17" i="13"/>
  <c r="CK17" i="13"/>
  <c r="CJ17" i="13"/>
  <c r="CI17" i="13"/>
  <c r="CH17" i="13"/>
  <c r="CG17" i="13"/>
  <c r="CF17" i="13"/>
  <c r="AT17" i="13"/>
  <c r="AS17" i="13"/>
  <c r="AR17" i="13"/>
  <c r="AQ17" i="13"/>
  <c r="AP17" i="13"/>
  <c r="AO17" i="13"/>
  <c r="U17" i="13"/>
  <c r="FD16" i="13"/>
  <c r="FN16" i="13" s="1"/>
  <c r="U16" i="13"/>
  <c r="FD15" i="13"/>
  <c r="FN15" i="13" s="1"/>
  <c r="EY15" i="13"/>
  <c r="EX15" i="13"/>
  <c r="EW15" i="13"/>
  <c r="EV15" i="13"/>
  <c r="EU15" i="13"/>
  <c r="U15" i="13"/>
  <c r="FD14" i="13"/>
  <c r="FN14" i="13" s="1"/>
  <c r="U14" i="13"/>
  <c r="GQ13" i="13"/>
  <c r="GP13" i="13"/>
  <c r="GO13" i="13"/>
  <c r="GN13" i="13"/>
  <c r="GM13" i="13"/>
  <c r="FD13" i="13"/>
  <c r="FN13" i="13" s="1"/>
  <c r="U13" i="13"/>
  <c r="FD12" i="13"/>
  <c r="FJ12" i="13" s="1"/>
  <c r="EJ12" i="13"/>
  <c r="U12" i="13"/>
  <c r="G12" i="13"/>
  <c r="F12" i="13"/>
  <c r="E12" i="13"/>
  <c r="D12" i="13"/>
  <c r="C12" i="13"/>
  <c r="B12" i="13"/>
  <c r="FD11" i="13"/>
  <c r="FN11" i="13" s="1"/>
  <c r="EJ11" i="13"/>
  <c r="AT11" i="13"/>
  <c r="AS11" i="13"/>
  <c r="AR11" i="13"/>
  <c r="AQ11" i="13"/>
  <c r="AP11" i="13"/>
  <c r="AO11" i="13"/>
  <c r="U11" i="13"/>
  <c r="FN10" i="13"/>
  <c r="FJ10" i="13"/>
  <c r="FH10" i="13"/>
  <c r="FF10" i="13"/>
  <c r="EJ10" i="13"/>
  <c r="CX10" i="13"/>
  <c r="CW10" i="13"/>
  <c r="CV10" i="13"/>
  <c r="CU10" i="13"/>
  <c r="CT10" i="13"/>
  <c r="CS10" i="13"/>
  <c r="CR10" i="13"/>
  <c r="CQ10" i="13"/>
  <c r="CP10" i="13"/>
  <c r="CO10" i="13"/>
  <c r="U10" i="13"/>
  <c r="C10" i="13"/>
  <c r="C42" i="13" s="1"/>
  <c r="HA9" i="13"/>
  <c r="GZ9" i="13"/>
  <c r="GY9" i="13"/>
  <c r="GX9" i="13"/>
  <c r="GW9" i="13"/>
  <c r="GV9" i="13"/>
  <c r="FN9" i="13"/>
  <c r="FJ9" i="13"/>
  <c r="FH9" i="13"/>
  <c r="FF9" i="13"/>
  <c r="EJ9" i="13"/>
  <c r="U9" i="13"/>
  <c r="GQ8" i="13"/>
  <c r="GP8" i="13"/>
  <c r="GO8" i="13"/>
  <c r="GN8" i="13"/>
  <c r="GM8" i="13"/>
  <c r="FY8" i="13"/>
  <c r="FX8" i="13"/>
  <c r="FW8" i="13"/>
  <c r="FV8" i="13"/>
  <c r="FU8" i="13"/>
  <c r="FT8" i="13"/>
  <c r="FN8" i="13"/>
  <c r="FJ8" i="13"/>
  <c r="FH8" i="13"/>
  <c r="FF8" i="13"/>
  <c r="EJ8" i="13"/>
  <c r="CK8" i="13"/>
  <c r="CJ8" i="13"/>
  <c r="CI8" i="13"/>
  <c r="CH8" i="13"/>
  <c r="CG8" i="13"/>
  <c r="CF8" i="13"/>
  <c r="U8" i="13"/>
  <c r="FN7" i="13"/>
  <c r="FJ7" i="13"/>
  <c r="FH7" i="13"/>
  <c r="FF7" i="13"/>
  <c r="EJ7" i="13"/>
  <c r="U7" i="13"/>
  <c r="B7" i="13"/>
  <c r="B6" i="13" s="1"/>
  <c r="FN6" i="13"/>
  <c r="FL6" i="13"/>
  <c r="FJ6" i="13"/>
  <c r="FH6" i="13"/>
  <c r="FF6" i="13"/>
  <c r="EJ6" i="13"/>
  <c r="DL6" i="13"/>
  <c r="DK6" i="13"/>
  <c r="DJ6" i="13"/>
  <c r="DI6" i="13"/>
  <c r="DH6" i="13"/>
  <c r="DG6" i="13"/>
  <c r="DF6" i="13"/>
  <c r="DE6" i="13"/>
  <c r="DD6" i="13"/>
  <c r="DC6" i="13"/>
  <c r="CX6" i="13"/>
  <c r="CW6" i="13"/>
  <c r="CV6" i="13"/>
  <c r="CU6" i="13"/>
  <c r="CT6" i="13"/>
  <c r="CT4" i="13" s="1"/>
  <c r="CS6" i="13"/>
  <c r="CS4" i="13" s="1"/>
  <c r="CR6" i="13"/>
  <c r="CR4" i="13" s="1"/>
  <c r="CQ6" i="13"/>
  <c r="CQ4" i="13" s="1"/>
  <c r="CP6" i="13"/>
  <c r="CO6" i="13"/>
  <c r="BF6" i="13"/>
  <c r="BE6" i="13"/>
  <c r="BB6" i="13"/>
  <c r="AZ6" i="13"/>
  <c r="AY6" i="13"/>
  <c r="U6" i="13"/>
  <c r="F6" i="13"/>
  <c r="E6" i="13"/>
  <c r="D6" i="13"/>
  <c r="C6" i="13"/>
  <c r="HA5" i="13"/>
  <c r="GZ5" i="13"/>
  <c r="GY5" i="13"/>
  <c r="GX5" i="13"/>
  <c r="GW5" i="13"/>
  <c r="GV5" i="13"/>
  <c r="FY5" i="13"/>
  <c r="FX5" i="13"/>
  <c r="FW5" i="13"/>
  <c r="FV5" i="13"/>
  <c r="FV4" i="13" s="1"/>
  <c r="FU5" i="13"/>
  <c r="FT5" i="13"/>
  <c r="EJ5" i="13"/>
  <c r="DI5" i="13"/>
  <c r="AS5" i="13"/>
  <c r="AR5" i="13"/>
  <c r="AQ5" i="13"/>
  <c r="AP5" i="13"/>
  <c r="AO5" i="13"/>
  <c r="AJ5" i="13"/>
  <c r="AI5" i="13"/>
  <c r="AH5" i="13"/>
  <c r="AG5" i="13"/>
  <c r="AF5" i="13"/>
  <c r="AE5" i="13"/>
  <c r="AD5" i="13"/>
  <c r="AC5" i="13"/>
  <c r="AB5" i="13"/>
  <c r="AA5" i="13"/>
  <c r="Z5" i="13"/>
  <c r="Y5" i="13"/>
  <c r="X5" i="13"/>
  <c r="W5" i="13"/>
  <c r="V5" i="13"/>
  <c r="P5" i="13"/>
  <c r="O5" i="13"/>
  <c r="N5" i="13"/>
  <c r="M5" i="13"/>
  <c r="L5" i="13"/>
  <c r="GH4" i="13"/>
  <c r="GG4" i="13"/>
  <c r="GF4" i="13"/>
  <c r="GE4" i="13"/>
  <c r="GD4" i="13"/>
  <c r="EY4" i="13"/>
  <c r="EX4" i="13"/>
  <c r="EW4" i="13"/>
  <c r="EV4" i="13"/>
  <c r="EU4" i="13"/>
  <c r="EQ4" i="13"/>
  <c r="EP4" i="13"/>
  <c r="EO4" i="13"/>
  <c r="EN4" i="13"/>
  <c r="EM4" i="13"/>
  <c r="EL4" i="13"/>
  <c r="EC4" i="13"/>
  <c r="EB4" i="13"/>
  <c r="EA4" i="13"/>
  <c r="DZ4" i="13"/>
  <c r="DY4" i="13"/>
  <c r="DX4" i="13"/>
  <c r="DW4" i="13"/>
  <c r="DV4" i="13"/>
  <c r="DU4" i="13"/>
  <c r="DT4" i="13"/>
  <c r="CP4" i="13"/>
  <c r="CO4" i="13"/>
  <c r="CK4" i="13"/>
  <c r="CJ4" i="13"/>
  <c r="CI4" i="13"/>
  <c r="CH4" i="13"/>
  <c r="CG4" i="13"/>
  <c r="CF4" i="13"/>
  <c r="BZ4" i="13"/>
  <c r="CA10" i="13" s="1"/>
  <c r="BX4" i="13"/>
  <c r="BY14" i="13" s="1"/>
  <c r="BV4" i="13"/>
  <c r="BW10" i="13" s="1"/>
  <c r="G5" i="16" l="1"/>
  <c r="E32" i="16"/>
  <c r="E167" i="16"/>
  <c r="G167" i="16"/>
  <c r="I32" i="16"/>
  <c r="E5" i="16"/>
  <c r="G139" i="16"/>
  <c r="I139" i="16"/>
  <c r="E194" i="16"/>
  <c r="G32" i="16"/>
  <c r="I194" i="16"/>
  <c r="I167" i="16"/>
  <c r="EK90" i="13"/>
  <c r="FT4" i="13"/>
  <c r="DE5" i="13"/>
  <c r="D41" i="13"/>
  <c r="DK5" i="13"/>
  <c r="AB120" i="13"/>
  <c r="CP25" i="13"/>
  <c r="EK56" i="13"/>
  <c r="AC178" i="13"/>
  <c r="FW4" i="13"/>
  <c r="DE51" i="13"/>
  <c r="W120" i="13"/>
  <c r="AS4" i="13"/>
  <c r="Y4" i="13"/>
  <c r="FU4" i="13"/>
  <c r="DF28" i="13"/>
  <c r="L4" i="13"/>
  <c r="DF51" i="13"/>
  <c r="AE120" i="13"/>
  <c r="V4" i="13"/>
  <c r="CQ25" i="13"/>
  <c r="AE62" i="13"/>
  <c r="AC120" i="13"/>
  <c r="U274" i="13"/>
  <c r="U137" i="13"/>
  <c r="AG178" i="13"/>
  <c r="V120" i="13"/>
  <c r="DG5" i="13"/>
  <c r="AJ62" i="13"/>
  <c r="O4" i="13"/>
  <c r="DJ51" i="13"/>
  <c r="AH4" i="13"/>
  <c r="DH51" i="13"/>
  <c r="P4" i="13"/>
  <c r="DI28" i="13"/>
  <c r="EK65" i="13"/>
  <c r="AA62" i="13"/>
  <c r="AA236" i="13"/>
  <c r="DH5" i="13"/>
  <c r="DI51" i="13"/>
  <c r="AP4" i="13"/>
  <c r="CA8" i="13"/>
  <c r="FJ17" i="13"/>
  <c r="X62" i="13"/>
  <c r="AB236" i="13"/>
  <c r="DF5" i="13"/>
  <c r="AJ178" i="13"/>
  <c r="C30" i="13"/>
  <c r="C4" i="13" s="1"/>
  <c r="G4" i="13"/>
  <c r="DL28" i="13"/>
  <c r="Z62" i="13"/>
  <c r="AD120" i="13"/>
  <c r="X120" i="13"/>
  <c r="CA5" i="13"/>
  <c r="W4" i="13"/>
  <c r="AQ4" i="13"/>
  <c r="BW6" i="13"/>
  <c r="CR25" i="13"/>
  <c r="EK61" i="13"/>
  <c r="AH62" i="13"/>
  <c r="X236" i="13"/>
  <c r="X4" i="13"/>
  <c r="AC4" i="13"/>
  <c r="V236" i="13"/>
  <c r="DC28" i="13"/>
  <c r="DK28" i="13"/>
  <c r="EK97" i="13"/>
  <c r="AI236" i="13"/>
  <c r="Z4" i="13"/>
  <c r="BW5" i="13"/>
  <c r="BW8" i="13"/>
  <c r="BW14" i="13"/>
  <c r="CU25" i="13"/>
  <c r="CV25" i="13"/>
  <c r="AT4" i="13"/>
  <c r="AD62" i="13"/>
  <c r="EK102" i="13"/>
  <c r="AE178" i="13"/>
  <c r="U216" i="13"/>
  <c r="DG28" i="13"/>
  <c r="V178" i="13"/>
  <c r="AD4" i="13"/>
  <c r="GN4" i="13"/>
  <c r="DH28" i="13"/>
  <c r="AG62" i="13"/>
  <c r="C41" i="13"/>
  <c r="AF62" i="13"/>
  <c r="EK103" i="13"/>
  <c r="AE4" i="13"/>
  <c r="GO4" i="13"/>
  <c r="F41" i="13"/>
  <c r="U88" i="13"/>
  <c r="FN12" i="13"/>
  <c r="AJ120" i="13"/>
  <c r="X178" i="13"/>
  <c r="AA178" i="13"/>
  <c r="AB178" i="13"/>
  <c r="AO4" i="13"/>
  <c r="DD5" i="13"/>
  <c r="DD4" i="13" s="1"/>
  <c r="DC5" i="13"/>
  <c r="AG120" i="13"/>
  <c r="AJ4" i="13"/>
  <c r="FJ20" i="13"/>
  <c r="EJ20" i="13"/>
  <c r="EK25" i="13" s="1"/>
  <c r="AH236" i="13"/>
  <c r="FF16" i="13"/>
  <c r="CT25" i="13"/>
  <c r="CW25" i="13"/>
  <c r="EK89" i="13"/>
  <c r="EK99" i="13"/>
  <c r="U100" i="13"/>
  <c r="AA120" i="13"/>
  <c r="W236" i="13"/>
  <c r="AF4" i="13"/>
  <c r="E4" i="13"/>
  <c r="FH16" i="13"/>
  <c r="V62" i="13"/>
  <c r="U79" i="13"/>
  <c r="W178" i="13"/>
  <c r="D4" i="13"/>
  <c r="CX25" i="13"/>
  <c r="W62" i="13"/>
  <c r="U158" i="13"/>
  <c r="AH178" i="13"/>
  <c r="M4" i="13"/>
  <c r="AI178" i="13"/>
  <c r="N4" i="13"/>
  <c r="AI4" i="13"/>
  <c r="FH14" i="13"/>
  <c r="Y62" i="13"/>
  <c r="EK93" i="13"/>
  <c r="EK104" i="13"/>
  <c r="Z178" i="13"/>
  <c r="U195" i="13"/>
  <c r="GP4" i="13"/>
  <c r="U30" i="13"/>
  <c r="AH120" i="13"/>
  <c r="U179" i="13"/>
  <c r="AD236" i="13"/>
  <c r="U237" i="13"/>
  <c r="U5" i="13"/>
  <c r="B4" i="13"/>
  <c r="GQ4" i="13"/>
  <c r="BW15" i="13"/>
  <c r="DJ5" i="13"/>
  <c r="U21" i="13"/>
  <c r="CA26" i="13"/>
  <c r="E41" i="13"/>
  <c r="DG51" i="13"/>
  <c r="EK94" i="13"/>
  <c r="U121" i="13"/>
  <c r="Y120" i="13"/>
  <c r="U204" i="13"/>
  <c r="Y236" i="13"/>
  <c r="U63" i="13"/>
  <c r="FL12" i="13"/>
  <c r="F4" i="13"/>
  <c r="DJ28" i="13"/>
  <c r="AB62" i="13"/>
  <c r="EK106" i="13"/>
  <c r="Z120" i="13"/>
  <c r="Z236" i="13"/>
  <c r="U262" i="13"/>
  <c r="AI120" i="13"/>
  <c r="BW7" i="13"/>
  <c r="DL5" i="13"/>
  <c r="FX4" i="13"/>
  <c r="AC62" i="13"/>
  <c r="EK95" i="13"/>
  <c r="AG236" i="13"/>
  <c r="AR4" i="13"/>
  <c r="CO25" i="13"/>
  <c r="FY4" i="13"/>
  <c r="EK107" i="13"/>
  <c r="Y178" i="13"/>
  <c r="AG4" i="13"/>
  <c r="BW13" i="13"/>
  <c r="FH17" i="13"/>
  <c r="CA25" i="13"/>
  <c r="AA4" i="13"/>
  <c r="CS25" i="13"/>
  <c r="DE28" i="13"/>
  <c r="DK51" i="13"/>
  <c r="U146" i="13"/>
  <c r="AF178" i="13"/>
  <c r="DL51" i="13"/>
  <c r="GM4" i="13"/>
  <c r="FL17" i="13"/>
  <c r="AB4" i="13"/>
  <c r="FL11" i="13"/>
  <c r="FJ15" i="13"/>
  <c r="FN17" i="13"/>
  <c r="EJ36" i="13"/>
  <c r="EK42" i="13" s="1"/>
  <c r="U42" i="13"/>
  <c r="AI62" i="13"/>
  <c r="EK86" i="13"/>
  <c r="EK98" i="13"/>
  <c r="EK110" i="13"/>
  <c r="AF120" i="13"/>
  <c r="U253" i="13"/>
  <c r="AF236" i="13"/>
  <c r="C8" i="15"/>
  <c r="C9" i="15"/>
  <c r="C6" i="15"/>
  <c r="FF15" i="13"/>
  <c r="BY5" i="13"/>
  <c r="BY8" i="13"/>
  <c r="BY13" i="13"/>
  <c r="FF14" i="13"/>
  <c r="FH15" i="13"/>
  <c r="FH20" i="13"/>
  <c r="EK55" i="13"/>
  <c r="EK60" i="13"/>
  <c r="EK91" i="13"/>
  <c r="EK100" i="13"/>
  <c r="EK108" i="13"/>
  <c r="FF13" i="13"/>
  <c r="FJ14" i="13"/>
  <c r="FL15" i="13"/>
  <c r="FL20" i="13"/>
  <c r="EK92" i="13"/>
  <c r="EK101" i="13"/>
  <c r="EK109" i="13"/>
  <c r="FH13" i="13"/>
  <c r="FL14" i="13"/>
  <c r="FN20" i="13"/>
  <c r="BW26" i="13"/>
  <c r="EK66" i="13"/>
  <c r="EK74" i="13"/>
  <c r="FJ13" i="13"/>
  <c r="BY26" i="13"/>
  <c r="CA11" i="13"/>
  <c r="CA12" i="13"/>
  <c r="FL13" i="13"/>
  <c r="EK67" i="13"/>
  <c r="EK75" i="13"/>
  <c r="BY7" i="13"/>
  <c r="BW30" i="13"/>
  <c r="CA7" i="13"/>
  <c r="BY15" i="13"/>
  <c r="EK68" i="13"/>
  <c r="EK76" i="13"/>
  <c r="BY6" i="13"/>
  <c r="BW29" i="13"/>
  <c r="EK57" i="13"/>
  <c r="CA15" i="13"/>
  <c r="EJ4" i="13"/>
  <c r="EK9" i="13" s="1"/>
  <c r="FF11" i="13"/>
  <c r="FF12" i="13"/>
  <c r="FL16" i="13"/>
  <c r="BW27" i="13"/>
  <c r="BW28" i="13"/>
  <c r="BY29" i="13"/>
  <c r="EK58" i="13"/>
  <c r="EK69" i="13"/>
  <c r="EK77" i="13"/>
  <c r="EK87" i="13"/>
  <c r="FJ16" i="13"/>
  <c r="BW9" i="13"/>
  <c r="FH11" i="13"/>
  <c r="FH12" i="13"/>
  <c r="BY27" i="13"/>
  <c r="BY28" i="13"/>
  <c r="CA29" i="13"/>
  <c r="EK59" i="13"/>
  <c r="EK88" i="13"/>
  <c r="EK96" i="13"/>
  <c r="CA6" i="13"/>
  <c r="BY9" i="13"/>
  <c r="FJ11" i="13"/>
  <c r="CA27" i="13"/>
  <c r="EK70" i="13"/>
  <c r="CA9" i="13"/>
  <c r="BY10" i="13"/>
  <c r="EK62" i="13"/>
  <c r="EK63" i="13"/>
  <c r="EK71" i="13"/>
  <c r="EK53" i="13"/>
  <c r="EK54" i="13"/>
  <c r="EK64" i="13"/>
  <c r="DF4" i="13" l="1"/>
  <c r="DK4" i="13"/>
  <c r="DI4" i="13"/>
  <c r="EK11" i="13"/>
  <c r="EK22" i="13"/>
  <c r="EK26" i="13"/>
  <c r="EK38" i="13"/>
  <c r="U4" i="13"/>
  <c r="EK41" i="13"/>
  <c r="EK39" i="13"/>
  <c r="EK43" i="13"/>
  <c r="EK40" i="13"/>
  <c r="EK27" i="13"/>
  <c r="EK44" i="13"/>
  <c r="DE4" i="13"/>
  <c r="EK24" i="13"/>
  <c r="EK23" i="13"/>
  <c r="CA4" i="13"/>
  <c r="DC4" i="13"/>
  <c r="DH4" i="13"/>
  <c r="EK37" i="13"/>
  <c r="EK21" i="13"/>
  <c r="EK12" i="13"/>
  <c r="U62" i="13"/>
  <c r="BW4" i="13"/>
  <c r="U236" i="13"/>
  <c r="DG4" i="13"/>
  <c r="U178" i="13"/>
  <c r="EK6" i="13"/>
  <c r="EK10" i="13"/>
  <c r="EK28" i="13"/>
  <c r="DJ4" i="13"/>
  <c r="U120" i="13"/>
  <c r="DL4" i="13"/>
  <c r="BY4" i="13"/>
  <c r="EK5" i="13"/>
  <c r="EK7" i="13"/>
  <c r="EK8" i="13"/>
  <c r="E185" i="12" l="1"/>
  <c r="E187" i="12" s="1"/>
  <c r="E175" i="12"/>
  <c r="E164" i="12"/>
  <c r="E151" i="12"/>
  <c r="E142" i="12"/>
  <c r="E128" i="12"/>
  <c r="E116" i="12"/>
  <c r="E104" i="12"/>
  <c r="E92" i="12"/>
  <c r="E84" i="12"/>
  <c r="K79" i="12"/>
  <c r="E75" i="12"/>
  <c r="K69" i="12"/>
  <c r="K62" i="12"/>
  <c r="E54" i="12"/>
  <c r="O50" i="12"/>
  <c r="K47" i="12"/>
  <c r="E46" i="12"/>
  <c r="K38" i="12"/>
  <c r="E38" i="12"/>
  <c r="O34" i="12"/>
  <c r="E33" i="12"/>
  <c r="K29" i="12"/>
  <c r="E28" i="12"/>
  <c r="E23" i="12"/>
  <c r="K20" i="12"/>
  <c r="O18" i="12"/>
  <c r="E18" i="12"/>
  <c r="E13" i="12"/>
  <c r="X9" i="12"/>
  <c r="K9" i="12"/>
  <c r="K80" i="12" s="1"/>
  <c r="E6" i="12"/>
  <c r="W5" i="12"/>
  <c r="X6" i="12" s="1"/>
  <c r="T5" i="12"/>
  <c r="U9" i="12" s="1"/>
  <c r="O3" i="12"/>
  <c r="BI22" i="11"/>
  <c r="BE22" i="11"/>
  <c r="BI21" i="11"/>
  <c r="BE21" i="11"/>
  <c r="BG20" i="11"/>
  <c r="BG22" i="11" s="1"/>
  <c r="BG16" i="11"/>
  <c r="BE16" i="11"/>
  <c r="BG15" i="11"/>
  <c r="BE15" i="11"/>
  <c r="BI14" i="11"/>
  <c r="BG14" i="11"/>
  <c r="BE14" i="11"/>
  <c r="BG13" i="11"/>
  <c r="BE13" i="11"/>
  <c r="BG12" i="11"/>
  <c r="BE12" i="11"/>
  <c r="BG11" i="11"/>
  <c r="BE11" i="11"/>
  <c r="BG10" i="11"/>
  <c r="BE10" i="11"/>
  <c r="BG9" i="11"/>
  <c r="BE9" i="11"/>
  <c r="BG8" i="11"/>
  <c r="BE8" i="11"/>
  <c r="BI6" i="11"/>
  <c r="BG6" i="11"/>
  <c r="BE6" i="11"/>
  <c r="O6" i="11"/>
  <c r="N6" i="11"/>
  <c r="M6" i="11"/>
  <c r="L6" i="11"/>
  <c r="K6" i="11"/>
  <c r="BI5" i="11"/>
  <c r="BG5" i="11"/>
  <c r="BE5" i="11"/>
  <c r="AB5" i="11"/>
  <c r="AA5" i="11"/>
  <c r="Z5" i="11"/>
  <c r="AT4" i="11"/>
  <c r="AS4" i="11"/>
  <c r="AR4" i="11"/>
  <c r="AP4" i="11"/>
  <c r="AK4" i="11"/>
  <c r="AJ4" i="11"/>
  <c r="AI4" i="11"/>
  <c r="AH4" i="11"/>
  <c r="AG4" i="11"/>
  <c r="E188" i="12" l="1"/>
  <c r="U7" i="12"/>
  <c r="X7" i="12"/>
  <c r="X8" i="12"/>
  <c r="U6" i="12"/>
  <c r="U8" i="12"/>
  <c r="A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Monica</author>
  </authors>
  <commentList>
    <comment ref="FW36" authorId="0" shapeId="0" xr:uid="{CFC38025-4A16-443E-BC79-28D6537D3E4C}">
      <text>
        <r>
          <rPr>
            <b/>
            <sz val="8"/>
            <color indexed="81"/>
            <rFont val="Tahoma"/>
            <family val="2"/>
          </rPr>
          <t>Tally 1 night + Day Trip</t>
        </r>
      </text>
    </comment>
    <comment ref="FW41" authorId="0" shapeId="0" xr:uid="{3D41CA4B-53A5-465B-9325-0165F0D5CDDD}">
      <text>
        <r>
          <rPr>
            <b/>
            <sz val="8"/>
            <color indexed="81"/>
            <rFont val="Tahoma"/>
            <family val="2"/>
          </rPr>
          <t>Tally only 1 night or more.  Do not include not reported in Total.</t>
        </r>
      </text>
    </comment>
    <comment ref="FW48" authorId="0" shapeId="0" xr:uid="{84FD47D7-1D77-4027-8560-450C37EA6637}">
      <text>
        <r>
          <rPr>
            <b/>
            <sz val="8"/>
            <color indexed="81"/>
            <rFont val="Tahoma"/>
            <family val="2"/>
          </rPr>
          <t>Tally 1 night + Day Trip</t>
        </r>
      </text>
    </comment>
    <comment ref="FW53" authorId="0" shapeId="0" xr:uid="{04F00365-327D-4DBF-AD74-F733D42D98E5}">
      <text>
        <r>
          <rPr>
            <b/>
            <sz val="8"/>
            <color indexed="81"/>
            <rFont val="Tahoma"/>
            <family val="2"/>
          </rPr>
          <t>Tally only 1 night or more.  Do not include not reported in Total.</t>
        </r>
      </text>
    </comment>
    <comment ref="FW76" authorId="0" shapeId="0" xr:uid="{71206FC6-69D6-4060-A32D-4D251AB36D20}">
      <text>
        <r>
          <rPr>
            <b/>
            <sz val="8"/>
            <color indexed="81"/>
            <rFont val="Tahoma"/>
            <family val="2"/>
          </rPr>
          <t>Tally 1 night + Day Trip</t>
        </r>
      </text>
    </comment>
    <comment ref="FW81" authorId="0" shapeId="0" xr:uid="{5FC37DCF-4CF6-4901-813F-488A9276F63F}">
      <text>
        <r>
          <rPr>
            <b/>
            <sz val="8"/>
            <color indexed="81"/>
            <rFont val="Tahoma"/>
            <family val="2"/>
          </rPr>
          <t>Tally only 1 night or more.  Do not include not reported in Total.</t>
        </r>
      </text>
    </comment>
    <comment ref="FW88" authorId="0" shapeId="0" xr:uid="{112FBD6D-B26F-4943-BD08-6A8D6F65C3C7}">
      <text>
        <r>
          <rPr>
            <b/>
            <sz val="8"/>
            <color indexed="81"/>
            <rFont val="Tahoma"/>
            <family val="2"/>
          </rPr>
          <t>Tally 1 night + Day Trip</t>
        </r>
      </text>
    </comment>
    <comment ref="FW93" authorId="0" shapeId="0" xr:uid="{9FD39A24-760A-42C4-9FFD-0A6BD3149256}">
      <text>
        <r>
          <rPr>
            <b/>
            <sz val="8"/>
            <color indexed="81"/>
            <rFont val="Tahoma"/>
            <family val="2"/>
          </rPr>
          <t>Tally only 1 night or more.  Do not include not reported in Total.</t>
        </r>
      </text>
    </comment>
    <comment ref="FW115" authorId="0" shapeId="0" xr:uid="{8B5C7F57-2297-48C7-B4AA-5F0E444F4C00}">
      <text>
        <r>
          <rPr>
            <b/>
            <sz val="8"/>
            <color indexed="81"/>
            <rFont val="Tahoma"/>
            <family val="2"/>
          </rPr>
          <t>Tally 1 night + Day Trip</t>
        </r>
      </text>
    </comment>
    <comment ref="FW120" authorId="0" shapeId="0" xr:uid="{9F35036A-E5DD-48F3-86D6-A309F7DB4BC0}">
      <text>
        <r>
          <rPr>
            <b/>
            <sz val="8"/>
            <color indexed="81"/>
            <rFont val="Tahoma"/>
            <family val="2"/>
          </rPr>
          <t>Tally only 1 night or more.  Do not include not reported in Total.</t>
        </r>
      </text>
    </comment>
    <comment ref="FW127" authorId="0" shapeId="0" xr:uid="{CF0037C3-C741-47DC-86A6-293EB73F5FBF}">
      <text>
        <r>
          <rPr>
            <b/>
            <sz val="8"/>
            <color indexed="81"/>
            <rFont val="Tahoma"/>
            <family val="2"/>
          </rPr>
          <t>Tally 1 night + Day Trip</t>
        </r>
      </text>
    </comment>
    <comment ref="FW132" authorId="0" shapeId="0" xr:uid="{002AAAAA-1A46-4459-8563-59DFDF2C1DAE}">
      <text>
        <r>
          <rPr>
            <b/>
            <sz val="8"/>
            <color indexed="81"/>
            <rFont val="Tahoma"/>
            <family val="2"/>
          </rPr>
          <t>Tally only 1 night or more.  Do not include not reported in Total.</t>
        </r>
      </text>
    </comment>
    <comment ref="FW154" authorId="0" shapeId="0" xr:uid="{05A9D731-CD88-46FD-A9FC-13351A366DC5}">
      <text>
        <r>
          <rPr>
            <b/>
            <sz val="8"/>
            <color indexed="81"/>
            <rFont val="Tahoma"/>
            <family val="2"/>
          </rPr>
          <t>Tally 1 night + Day Trip</t>
        </r>
      </text>
    </comment>
    <comment ref="FW159" authorId="0" shapeId="0" xr:uid="{2DF309B7-F339-47F3-84BF-6B42843D62C3}">
      <text>
        <r>
          <rPr>
            <b/>
            <sz val="8"/>
            <color indexed="81"/>
            <rFont val="Tahoma"/>
            <family val="2"/>
          </rPr>
          <t>Tally only 1 night or more.  Do not include not reported in Total.</t>
        </r>
      </text>
    </comment>
    <comment ref="FW166" authorId="0" shapeId="0" xr:uid="{23FCFFD3-59D2-40A3-A326-5938AA742960}">
      <text>
        <r>
          <rPr>
            <b/>
            <sz val="8"/>
            <color indexed="81"/>
            <rFont val="Tahoma"/>
            <family val="2"/>
          </rPr>
          <t>Tally 1 night + Day Trip</t>
        </r>
      </text>
    </comment>
    <comment ref="FW171" authorId="0" shapeId="0" xr:uid="{990A61E4-D1ED-453A-AADF-E662E6CB0C35}">
      <text>
        <r>
          <rPr>
            <b/>
            <sz val="8"/>
            <color indexed="81"/>
            <rFont val="Tahoma"/>
            <family val="2"/>
          </rPr>
          <t>Tally only 1 night or more.  Do not include not reported in Total.</t>
        </r>
      </text>
    </comment>
    <comment ref="FW193" authorId="0" shapeId="0" xr:uid="{839C1FF3-CCF8-4F7C-BA70-9AB0253CF925}">
      <text>
        <r>
          <rPr>
            <b/>
            <sz val="8"/>
            <color indexed="81"/>
            <rFont val="Tahoma"/>
            <family val="2"/>
          </rPr>
          <t>Tally 1 night + Day Trip</t>
        </r>
      </text>
    </comment>
    <comment ref="FW198" authorId="0" shapeId="0" xr:uid="{DBA2352E-0823-4F00-A0F4-EC3777A4A049}">
      <text>
        <r>
          <rPr>
            <b/>
            <sz val="8"/>
            <color indexed="81"/>
            <rFont val="Tahoma"/>
            <family val="2"/>
          </rPr>
          <t>Tally only 1 night or more.  Do not include not reported in Total.</t>
        </r>
      </text>
    </comment>
    <comment ref="FW205" authorId="0" shapeId="0" xr:uid="{D6E858DC-F82D-445E-8067-D50E85BF227B}">
      <text>
        <r>
          <rPr>
            <b/>
            <sz val="8"/>
            <color indexed="81"/>
            <rFont val="Tahoma"/>
            <family val="2"/>
          </rPr>
          <t>Tally 1 night + Day Trip</t>
        </r>
      </text>
    </comment>
    <comment ref="FW210" authorId="0" shapeId="0" xr:uid="{48CF08FB-C1A5-41E7-A805-73D2C88B7609}">
      <text>
        <r>
          <rPr>
            <b/>
            <sz val="8"/>
            <color indexed="81"/>
            <rFont val="Tahoma"/>
            <family val="2"/>
          </rPr>
          <t>Tally only 1 night or more.  Do not include not reported in Total.</t>
        </r>
      </text>
    </comment>
  </commentList>
</comments>
</file>

<file path=xl/sharedStrings.xml><?xml version="1.0" encoding="utf-8"?>
<sst xmlns="http://schemas.openxmlformats.org/spreadsheetml/2006/main" count="34466" uniqueCount="8761">
  <si>
    <t>Table 5-01 . Consumer Price Index, Guam: Calendar Years 2023 to 2024</t>
  </si>
  <si>
    <t>[Base Period: 4th Quarter 2007 = 100.00]</t>
  </si>
  <si>
    <t>Calendar Year 2024</t>
  </si>
  <si>
    <t>Calendar Year 2023</t>
  </si>
  <si>
    <t>Items</t>
  </si>
  <si>
    <t>1st Qtr</t>
  </si>
  <si>
    <t>2nd Qtr</t>
  </si>
  <si>
    <t>3rd Qtr</t>
  </si>
  <si>
    <t xml:space="preserve">4th Qtr </t>
  </si>
  <si>
    <t>2nd Qtr R</t>
  </si>
  <si>
    <t>3rd Qtr R</t>
  </si>
  <si>
    <t>ALL ITEMS</t>
  </si>
  <si>
    <t>Food</t>
  </si>
  <si>
    <t>Housing</t>
  </si>
  <si>
    <t>Apparel and Upkeep</t>
  </si>
  <si>
    <t>Transportation</t>
  </si>
  <si>
    <t>Medical Care</t>
  </si>
  <si>
    <t>Recreation</t>
  </si>
  <si>
    <t>Education and Communication</t>
  </si>
  <si>
    <t>Other Goods &amp; Services</t>
  </si>
  <si>
    <t>SPECIAL INDEXES</t>
  </si>
  <si>
    <t>All Items Less Food</t>
  </si>
  <si>
    <t>Energy 1/</t>
  </si>
  <si>
    <t>All Items Less Food and Energy</t>
  </si>
  <si>
    <t>Commodities Less Food</t>
  </si>
  <si>
    <t>Services</t>
  </si>
  <si>
    <t>All Items Less Hospital &amp; Related Services</t>
  </si>
  <si>
    <t>Purchase Power of Consumer</t>
  </si>
  <si>
    <t>Dollar (3rd Qtr 1996 = 100.00)</t>
  </si>
  <si>
    <t>Dollar (4th Qtr. 2007 = 100.00)</t>
  </si>
  <si>
    <t>Source: Cost of Living Section, Business and Economic Statistics Program, Bureau of Statistics and Plans, Government of Guam</t>
  </si>
  <si>
    <t>1/ Index items selected by the Guam Energy Office.</t>
  </si>
  <si>
    <t>R= revised</t>
  </si>
  <si>
    <t>Table 5-02 . Consumer Price Index, Guam: Calendar Years 2020 to 2021</t>
  </si>
  <si>
    <t>Calendar Year 2022</t>
  </si>
  <si>
    <t>Calendar Year 2021</t>
  </si>
  <si>
    <t>137..2</t>
  </si>
  <si>
    <t>144..6</t>
  </si>
  <si>
    <t>SPECIAL GROUP</t>
  </si>
  <si>
    <t>Purchase Power of Consumer Dollar</t>
  </si>
  <si>
    <t>Table 5-03 . Consumer Price Index Quarterly Comparison by Item Classifications, Guam: Calendar Year 2024</t>
  </si>
  <si>
    <t>[Base Period: 4th Qtr. 2007 = 100.00]</t>
  </si>
  <si>
    <t>1st Quarter</t>
  </si>
  <si>
    <t>2nd Quarter</t>
  </si>
  <si>
    <t>3rd Quarter</t>
  </si>
  <si>
    <t>4th Quarter</t>
  </si>
  <si>
    <t>Cereals and Cereal Products</t>
  </si>
  <si>
    <t>Bakery Products</t>
  </si>
  <si>
    <t>Beef</t>
  </si>
  <si>
    <t>Pork</t>
  </si>
  <si>
    <t>Other Meats</t>
  </si>
  <si>
    <t>Poultry</t>
  </si>
  <si>
    <t>Fish and Seafood</t>
  </si>
  <si>
    <t>Eggs</t>
  </si>
  <si>
    <t>Dairy Products</t>
  </si>
  <si>
    <t>Fresh Fruits</t>
  </si>
  <si>
    <t>Fresh Vegetables</t>
  </si>
  <si>
    <t>Juice and Non-alcoholic Drinks</t>
  </si>
  <si>
    <t>Sugar and Sweets</t>
  </si>
  <si>
    <t>Fats and Oils</t>
  </si>
  <si>
    <t>Other Foods</t>
  </si>
  <si>
    <t>Meals Away from Home</t>
  </si>
  <si>
    <t>Alcoholic Beverages</t>
  </si>
  <si>
    <t>Rent and Lodging</t>
  </si>
  <si>
    <t>Home Fuel</t>
  </si>
  <si>
    <t>Electricity</t>
  </si>
  <si>
    <t>Water, Sewer and Trash</t>
  </si>
  <si>
    <t>Floor Coverings</t>
  </si>
  <si>
    <t>Furniture and Bedding</t>
  </si>
  <si>
    <t>Appliances</t>
  </si>
  <si>
    <t>Tools, Hardware, Outdoor Equip</t>
  </si>
  <si>
    <t>Housekeeping Supplies</t>
  </si>
  <si>
    <t>Housekeeping Operations</t>
  </si>
  <si>
    <t>Men's Apparel</t>
  </si>
  <si>
    <t>Boy's Apparel</t>
  </si>
  <si>
    <t>Women's Apparel</t>
  </si>
  <si>
    <t>Girl's Apparel</t>
  </si>
  <si>
    <t>Footwear</t>
  </si>
  <si>
    <t>Infant's and Toddler's Apparel</t>
  </si>
  <si>
    <t>Jewelry</t>
  </si>
  <si>
    <t>New Cars</t>
  </si>
  <si>
    <t>Motor Fuel</t>
  </si>
  <si>
    <t>Car Maintenance</t>
  </si>
  <si>
    <t>Car Insurance</t>
  </si>
  <si>
    <t>Prescription Drugs</t>
  </si>
  <si>
    <t>Physician Services</t>
  </si>
  <si>
    <t>Other Medical Practitioner Costs</t>
  </si>
  <si>
    <t>Hospital and Related Services</t>
  </si>
  <si>
    <t>Audio and Video</t>
  </si>
  <si>
    <t>Pet and Pet Products</t>
  </si>
  <si>
    <t>Sporting Goods</t>
  </si>
  <si>
    <t>Educational Books and Supplies</t>
  </si>
  <si>
    <t>Tuition and Other School Fees</t>
  </si>
  <si>
    <t>Telephone Services</t>
  </si>
  <si>
    <t>Computers</t>
  </si>
  <si>
    <t>Internet Services</t>
  </si>
  <si>
    <t>Other Goods and Services</t>
  </si>
  <si>
    <t>Tobacco Products</t>
  </si>
  <si>
    <t>Personal Care Products</t>
  </si>
  <si>
    <t>Personal Care Services</t>
  </si>
  <si>
    <t>Miscellaneous Personal Services</t>
  </si>
  <si>
    <t>Funeral Expenses</t>
  </si>
  <si>
    <t>Financial Services</t>
  </si>
  <si>
    <t>Other Special Occasions</t>
  </si>
  <si>
    <t>Symbol "…" indicates not available.</t>
  </si>
  <si>
    <t>Table 5-04 . Consumer Price Index Quarterly Comparison by Item Classifications, Guam: Calendar Year 2023</t>
  </si>
  <si>
    <t xml:space="preserve">   ALL ITEMS</t>
  </si>
  <si>
    <t>Table 5-05 . Consumer Price Index Quarterly Comparison by Item Classifications, Guam: Calendar Year 2022</t>
  </si>
  <si>
    <t>Table 5-06 . Consumer Price Index Quarterly Comparison by Item Classifications, Guam: Calendar Year 2021</t>
  </si>
  <si>
    <t>89..5</t>
  </si>
  <si>
    <t>Table 5-07 . Consumer Price Index Quarterly Comparison by Item Classifications, Guam: Calendar Year 2020</t>
  </si>
  <si>
    <t>Calendar Year 2020</t>
  </si>
  <si>
    <t>141..3</t>
  </si>
  <si>
    <t>Table 5-08 . Consumer Price Index (CPI), Guam: Calendar Years 2000 to 2024</t>
  </si>
  <si>
    <t>Calendar</t>
  </si>
  <si>
    <t>1st</t>
  </si>
  <si>
    <t>2nd</t>
  </si>
  <si>
    <t>3rd</t>
  </si>
  <si>
    <t>4th</t>
  </si>
  <si>
    <t>Annual</t>
  </si>
  <si>
    <t>Avg Annual</t>
  </si>
  <si>
    <t>Year</t>
  </si>
  <si>
    <t>Quarter</t>
  </si>
  <si>
    <t>Average</t>
  </si>
  <si>
    <t>% Change</t>
  </si>
  <si>
    <t>Numbers in parentheses ( ) denote negative.</t>
  </si>
  <si>
    <t>Avg = Average</t>
  </si>
  <si>
    <t>[Thousands of Dollars]</t>
  </si>
  <si>
    <t>Transit</t>
  </si>
  <si>
    <t>Total</t>
  </si>
  <si>
    <t>Imports by Air</t>
  </si>
  <si>
    <t>Imports by Ship</t>
  </si>
  <si>
    <t>Source: External Trade Section, Business and Economic Statistics Program,</t>
  </si>
  <si>
    <t>Bureau of Statistics and Plans,Government of Guam</t>
  </si>
  <si>
    <t>Table 19-02.1 . Imports by Commodity Group, Guam: Calendar Year 2023</t>
  </si>
  <si>
    <t>Code</t>
  </si>
  <si>
    <t>Commodity Group</t>
  </si>
  <si>
    <t>FOOD &amp; NON-ALCOHOLIC BEVERAGE'S</t>
  </si>
  <si>
    <t>Meat of bovine animals, fresh or chilled</t>
  </si>
  <si>
    <t>Meat of swine, fresh, chilled or frozen</t>
  </si>
  <si>
    <t>Meat and edible offal of poultry, fresh, chilled or frozen</t>
  </si>
  <si>
    <t>Fish, fresh, frozen or chilled</t>
  </si>
  <si>
    <t>Fish, dried, salted or in brine; Smoked fish</t>
  </si>
  <si>
    <t>Crustaceans, whether in shell or not</t>
  </si>
  <si>
    <t>Mollusks, whether in shell or not</t>
  </si>
  <si>
    <t>Milk and cream, not concentrated nor containing sugar</t>
  </si>
  <si>
    <t>Butter and fats derived from milk; Dairy spreads</t>
  </si>
  <si>
    <t>Cheese and curd</t>
  </si>
  <si>
    <t>Birds' eggs, in shell, fresh, preserved or cooked</t>
  </si>
  <si>
    <t>Edible vegetables and certain roots and tubers</t>
  </si>
  <si>
    <t>Edible fruits and nuts</t>
  </si>
  <si>
    <t>Rice</t>
  </si>
  <si>
    <t>Wheat or meslin flour</t>
  </si>
  <si>
    <t>Animal, vegetable or microbial fats and oils</t>
  </si>
  <si>
    <t>Prepared or preserved meat, offal, blood or insects</t>
  </si>
  <si>
    <t>Prepared or preserved fish; Caviar and substitutes</t>
  </si>
  <si>
    <t>Prepared or preserved crustaceans, mollusks</t>
  </si>
  <si>
    <t>Sugar and sugar confectionary</t>
  </si>
  <si>
    <t>Cocoa and cocoa preparations</t>
  </si>
  <si>
    <t>Preparations of cereals, flour, or starch; Bakers' wares</t>
  </si>
  <si>
    <t>Pasta, whether or not cooked or stuffed</t>
  </si>
  <si>
    <t>Tapioca and substitutes therefor prepared from starch</t>
  </si>
  <si>
    <t>Cereals</t>
  </si>
  <si>
    <t>Bread, pastry, cakes, biscuits and other bakers' wares</t>
  </si>
  <si>
    <t>Preparations of vegetables</t>
  </si>
  <si>
    <t>Preparations of fruit and other edible parts of plants</t>
  </si>
  <si>
    <t>Fruit or nut juices and vegetable juices</t>
  </si>
  <si>
    <t>Extracts, essences, concentrate of coffee, tea or mate</t>
  </si>
  <si>
    <t>Sauces, mixes, condiments, and seasoning</t>
  </si>
  <si>
    <t>Soups and broths</t>
  </si>
  <si>
    <t>Ice cream and other edible ice</t>
  </si>
  <si>
    <t>Food preparations not elsewhere specified or included</t>
  </si>
  <si>
    <t>Waters not containing added sugar nor flavored</t>
  </si>
  <si>
    <t>Waters containing added sugar or flavored</t>
  </si>
  <si>
    <t>Source: External Trade Section, Business and Economic Statistics Program, Bureau of Statistics and Plans, Government of Guam</t>
  </si>
  <si>
    <t>Symbol "-" indicates data for that commodity was not collected for that timeframe.</t>
  </si>
  <si>
    <t>Table 19-02.2 . Imports by Commodity Group, Guam: Calendar Year 2023 - (continuation)</t>
  </si>
  <si>
    <t>ALCOHOLIC BEVERAGES</t>
  </si>
  <si>
    <t>Beer made from malt</t>
  </si>
  <si>
    <t>Wine of fresh grapes</t>
  </si>
  <si>
    <t>Spirits, liqueurs and other spirituous beverages</t>
  </si>
  <si>
    <t>MEN &amp; WOMEN APPAREL</t>
  </si>
  <si>
    <t>Men's or boys' apparel</t>
  </si>
  <si>
    <t>Women's or girl's apparel</t>
  </si>
  <si>
    <t>Clothing accessories; Parts of garments</t>
  </si>
  <si>
    <t>PLASTICS, LEATHER AND PAPER</t>
  </si>
  <si>
    <t>Articles of plastics</t>
  </si>
  <si>
    <t>Articles of leather</t>
  </si>
  <si>
    <t>Articles of paper pulp, of paper or of paperboard</t>
  </si>
  <si>
    <t>Footwear, gaiters and the like</t>
  </si>
  <si>
    <t>TRANSPORTATION &amp; PARTS</t>
  </si>
  <si>
    <t>New pneumatic tires of rubber</t>
  </si>
  <si>
    <t>Motor vehicles for transport of persons 10,</t>
  </si>
  <si>
    <t>Motor vehicles for transport of goods</t>
  </si>
  <si>
    <t>Parts and accessories of motor vehicles</t>
  </si>
  <si>
    <t>HOME APPLIANCES, EQUIPMENT &amp; OTHERS</t>
  </si>
  <si>
    <t>Electric heaters, appliances and parts thereof</t>
  </si>
  <si>
    <t>Image and sound equipment and parts thereof</t>
  </si>
  <si>
    <t>Furniture and parts thereof</t>
  </si>
  <si>
    <t>Lamps and lighting fittings and parts thereof</t>
  </si>
  <si>
    <t>Table 19-02.3 . Imports by Commodity Group, Guam: Calendar Year 2023 - (continuation)</t>
  </si>
  <si>
    <t>CONSTRUCTION MATERIALS</t>
  </si>
  <si>
    <t>Plastering materials, lime and cement</t>
  </si>
  <si>
    <t>Paints and varnishes</t>
  </si>
  <si>
    <t>Tubes, pipes, hoses and fittings of plastics</t>
  </si>
  <si>
    <t>Wood and articles of wood; wood charcoal</t>
  </si>
  <si>
    <t>Articles of stone, plaster or similar materials</t>
  </si>
  <si>
    <t>Ceramic articles and products</t>
  </si>
  <si>
    <t>Glass and glassware</t>
  </si>
  <si>
    <t>Iron and steel</t>
  </si>
  <si>
    <t>Copper tubes and pipes</t>
  </si>
  <si>
    <t>Aluminum and articles thereof</t>
  </si>
  <si>
    <t>Miscellaneous articles of base metal</t>
  </si>
  <si>
    <t>OTHER IMPORTS</t>
  </si>
  <si>
    <t>Cut flowers and flower buds</t>
  </si>
  <si>
    <t>Tobacco and tobacco substitutes</t>
  </si>
  <si>
    <t>Mineral fuels, oils and their products</t>
  </si>
  <si>
    <t>Pharmaceutical goods and products</t>
  </si>
  <si>
    <t>Fertilizers</t>
  </si>
  <si>
    <t>Tanning or dyeing extracts</t>
  </si>
  <si>
    <t>Perfumery, cosmetic or toilet preparations</t>
  </si>
  <si>
    <t>Soaps</t>
  </si>
  <si>
    <t>Modified starches, glues, and enzymes</t>
  </si>
  <si>
    <t>Miscellaneous chemical products</t>
  </si>
  <si>
    <t>Printed books and products of printing</t>
  </si>
  <si>
    <t>Carpets and other textile products</t>
  </si>
  <si>
    <t>Bed, table, toilet and kitchen linen</t>
  </si>
  <si>
    <t>Headgear and parts thereof</t>
  </si>
  <si>
    <t>Umbrellas, walking sticks and parts thereof</t>
  </si>
  <si>
    <t>Articles of jewelry and parts thereof</t>
  </si>
  <si>
    <t>Parts and accessories for use with machines</t>
  </si>
  <si>
    <t>Primary cells and primary batteries</t>
  </si>
  <si>
    <t>Spectacles, goggles and the like</t>
  </si>
  <si>
    <t>Photographic cameras and parts thereof</t>
  </si>
  <si>
    <t>Watches with case of precious metal</t>
  </si>
  <si>
    <t>Musical instruments and parts thereof</t>
  </si>
  <si>
    <t>Arms and ammunition and parts thereof</t>
  </si>
  <si>
    <t>Prefabricated buildings</t>
  </si>
  <si>
    <t>Toys</t>
  </si>
  <si>
    <t>Games and sports equipment and parts thereof</t>
  </si>
  <si>
    <t>Pens, markers, pencils, and similar items</t>
  </si>
  <si>
    <t>Cigarette lighters and other lighters</t>
  </si>
  <si>
    <t>Annual Estimate ($)</t>
  </si>
  <si>
    <t>Table 19-03.1 . Imports by Commodity Group, Guam: Calendar Year 2022</t>
  </si>
  <si>
    <t>FOOD &amp; NON-ALCOHOLIC BEVERAGES</t>
  </si>
  <si>
    <t>Meat &amp; Edible Offal of Beef</t>
  </si>
  <si>
    <t>Meat and Edible Offal of Pork</t>
  </si>
  <si>
    <t>Meat and Edible Offal of Poultry</t>
  </si>
  <si>
    <t>Fish, Fresh, Chilled or Frozen</t>
  </si>
  <si>
    <t>Fish, Dried, Salted or in Brine and Smoked</t>
  </si>
  <si>
    <t>Crustacean, in shell or not</t>
  </si>
  <si>
    <t>Mollusks, Live, Fresh, Chilled, Frozen, Dried &amp; Salted</t>
  </si>
  <si>
    <t>Milk &amp; Cream, not Containing Sugar</t>
  </si>
  <si>
    <t>Butter</t>
  </si>
  <si>
    <t>Cheese</t>
  </si>
  <si>
    <t>Bird's Eggs, not in shell, Egg Yolk</t>
  </si>
  <si>
    <t>Vegetables</t>
  </si>
  <si>
    <t>Fruits</t>
  </si>
  <si>
    <t>Flour</t>
  </si>
  <si>
    <t>Oils</t>
  </si>
  <si>
    <t>Prepared or Preserved Meat or Blood</t>
  </si>
  <si>
    <t>Prepared or Preserved Fish, Caviar &amp; Caviar Substitutes</t>
  </si>
  <si>
    <t>Crustaceans, Mollusks &amp; Aquatic Invertebrates</t>
  </si>
  <si>
    <t>Sugar</t>
  </si>
  <si>
    <t>Chocolate &amp; Other Food Preparations Containing Cocoa</t>
  </si>
  <si>
    <t>Malt Extracts, Flour</t>
  </si>
  <si>
    <t>Pasta whether or not Cooked</t>
  </si>
  <si>
    <t>Tapioca</t>
  </si>
  <si>
    <t>Bread, Pastry, Cakes &amp; Other Bakery Products</t>
  </si>
  <si>
    <t>Vegetables, Prepared</t>
  </si>
  <si>
    <t>Fruits, Nuts, &amp; Other Edible Parts of Plants</t>
  </si>
  <si>
    <t>Fruit &amp; Vegetables Juices, not Containing Added Spirit</t>
  </si>
  <si>
    <t>Extracts, Essences, Concentrate of Coffee, Tea or Mate</t>
  </si>
  <si>
    <t>Sauces, Mixed Condiments, Seasoning</t>
  </si>
  <si>
    <t>Soups and Broths</t>
  </si>
  <si>
    <t>Ice Cream &amp; Other Edible Ice</t>
  </si>
  <si>
    <t>Other Food Preparations</t>
  </si>
  <si>
    <t>Water, not Containing Sugar</t>
  </si>
  <si>
    <t>Water, Containing Sugar</t>
  </si>
  <si>
    <t>Table 19-03.2 . Imports by Commodity Group, Guam: Calendar Year 2022 (Continuation)</t>
  </si>
  <si>
    <t>Beer Made From Malt</t>
  </si>
  <si>
    <t>Wine</t>
  </si>
  <si>
    <t>Liquor</t>
  </si>
  <si>
    <t>Apparel and Clothing of Leather</t>
  </si>
  <si>
    <t>Suits, Ensembles, Jackets for Boys</t>
  </si>
  <si>
    <t>Women's or Girl's Apparel</t>
  </si>
  <si>
    <t>Apparel and Clothing Accessories</t>
  </si>
  <si>
    <t>Other Articles of Plastic</t>
  </si>
  <si>
    <t>Composition of Leather</t>
  </si>
  <si>
    <t>Other Articles of Leather</t>
  </si>
  <si>
    <t>Paper Towels, Toilet Paper or Napkins</t>
  </si>
  <si>
    <t>Footwear of Rubber or Plastics</t>
  </si>
  <si>
    <t>New Pneumatic Tires</t>
  </si>
  <si>
    <t>Motor Vehicles for Transport of Persons</t>
  </si>
  <si>
    <t>Motor Vehicle for Transport of Goods</t>
  </si>
  <si>
    <t>Motor Vehicle Parts</t>
  </si>
  <si>
    <t>Stoves, Ranges &amp; Other Electric Appliances</t>
  </si>
  <si>
    <t>Electrical Machinery, Equipment &amp; Parts</t>
  </si>
  <si>
    <t>Wrist-Watches, Pocket Watches or Other</t>
  </si>
  <si>
    <t>Furniture and Parts</t>
  </si>
  <si>
    <t>Lamps and Light Fittings</t>
  </si>
  <si>
    <t>Table 19-03.3 . Imports by Commodity Group, Guam: Calendar Year 2022 (Continuation)</t>
  </si>
  <si>
    <t>Cement</t>
  </si>
  <si>
    <t>Paints &amp; Varnishes</t>
  </si>
  <si>
    <t>Tubes, Pipes, Hoses &amp; Fittings of Plastics</t>
  </si>
  <si>
    <t>Other Wooden Articles</t>
  </si>
  <si>
    <t>Stone, Plaster or Asbestos</t>
  </si>
  <si>
    <t>Ceramic Tableware and Products</t>
  </si>
  <si>
    <t>Glassware, Paving Blocks &amp; Fibers</t>
  </si>
  <si>
    <t>Iron and Steel</t>
  </si>
  <si>
    <t>Copper Tubes and Pipes</t>
  </si>
  <si>
    <t>Aluminum, Articles</t>
  </si>
  <si>
    <t>Miscellaneous Products of Base Metals</t>
  </si>
  <si>
    <t>Cut Flowers</t>
  </si>
  <si>
    <t>Food Industries, Residues and Wastes Thereof</t>
  </si>
  <si>
    <t>Cigars, Cheroots, Cigarillos and Cigarettes</t>
  </si>
  <si>
    <t>Petroleum Oils &amp; Gases</t>
  </si>
  <si>
    <t>Pharmaceutical Products</t>
  </si>
  <si>
    <t>Tanning or Dyeing Extracts</t>
  </si>
  <si>
    <t>Perfumes and Toilet Waters</t>
  </si>
  <si>
    <t>Soap &amp; Organic Surface Active Products</t>
  </si>
  <si>
    <t>Modified Starches, Glues, Enzymes</t>
  </si>
  <si>
    <t>Chemical Products, N.E.S.</t>
  </si>
  <si>
    <t>Printed Books, Brochures, &amp; Other Print</t>
  </si>
  <si>
    <t>Carpets &amp; Other Textiles</t>
  </si>
  <si>
    <t>Bed, Table, Toilet and Kitchen Linen</t>
  </si>
  <si>
    <t>Headgear and Parts Thereof</t>
  </si>
  <si>
    <t>Umbrellas and Walking Sticks</t>
  </si>
  <si>
    <t>Jewelry Articles of Precious Metal</t>
  </si>
  <si>
    <t>Automatic Data Processing Machines</t>
  </si>
  <si>
    <t>Automatic Data Processing Parts</t>
  </si>
  <si>
    <t>Cells and Batteries</t>
  </si>
  <si>
    <t>Sunglasses, Spectacles, Corrective or Protective</t>
  </si>
  <si>
    <t>Musical Instruments; Parts and Accessories</t>
  </si>
  <si>
    <t>Bedding and Mattresses</t>
  </si>
  <si>
    <t>Games and Sports Requisites &amp; Accessories</t>
  </si>
  <si>
    <t>Pens, Ballpoints, Fountain Pens</t>
  </si>
  <si>
    <t>0201</t>
  </si>
  <si>
    <t>0203</t>
  </si>
  <si>
    <t>0207</t>
  </si>
  <si>
    <t>0302</t>
  </si>
  <si>
    <t>0305</t>
  </si>
  <si>
    <t>0306</t>
  </si>
  <si>
    <t>0307</t>
  </si>
  <si>
    <t>0401</t>
  </si>
  <si>
    <t>0405</t>
  </si>
  <si>
    <t>0406</t>
  </si>
  <si>
    <t>0407</t>
  </si>
  <si>
    <t>0709</t>
  </si>
  <si>
    <t>0810</t>
  </si>
  <si>
    <t>0603</t>
  </si>
  <si>
    <t>Table 19-04.1 . Imports by Commodity Group, Guam: Calendar Year 2021</t>
  </si>
  <si>
    <t>FOOD AND NON-ALCOHOLIC BEVERAGES</t>
  </si>
  <si>
    <t>Meat and Edible Offal of Beef</t>
  </si>
  <si>
    <t>Fish, Chilled, Fresh, Frozen</t>
  </si>
  <si>
    <r>
      <t xml:space="preserve">Milk and Cream, </t>
    </r>
    <r>
      <rPr>
        <i/>
        <sz val="10"/>
        <color rgb="FF000000"/>
        <rFont val="Arial"/>
        <family val="2"/>
      </rPr>
      <t>Not</t>
    </r>
    <r>
      <rPr>
        <sz val="10"/>
        <color rgb="FF000000"/>
        <rFont val="Arial"/>
        <family val="2"/>
      </rPr>
      <t xml:space="preserve"> Containing Sugar</t>
    </r>
  </si>
  <si>
    <t>Sausages</t>
  </si>
  <si>
    <t>Prepared or Preserved Fish, Caviar and Caviar Substitutes</t>
  </si>
  <si>
    <t>Sugar and other sugar added</t>
  </si>
  <si>
    <t>Tapioca, prepared from starch</t>
  </si>
  <si>
    <t>Fruit &amp; Vegetalbes Juices, not Containing Added Spirit</t>
  </si>
  <si>
    <t>Ice Cream and Other Edible Ice</t>
  </si>
  <si>
    <r>
      <t xml:space="preserve">Water, </t>
    </r>
    <r>
      <rPr>
        <i/>
        <sz val="10"/>
        <color rgb="FF000000"/>
        <rFont val="Arial"/>
        <family val="2"/>
      </rPr>
      <t>Not</t>
    </r>
    <r>
      <rPr>
        <sz val="10"/>
        <color rgb="FF000000"/>
        <rFont val="Arial"/>
        <family val="2"/>
      </rPr>
      <t xml:space="preserve"> Containing Sugar</t>
    </r>
  </si>
  <si>
    <t>Table 19-04.2 . Imports by Commodity Group, Guam: Calendar Year 2021 - (continuation)</t>
  </si>
  <si>
    <t>Beer Made from Malt</t>
  </si>
  <si>
    <t>Ethyl Alcohol, Undenatured, Liqueurs &amp; Other</t>
  </si>
  <si>
    <t>TRANSPORTATION AND PARTS</t>
  </si>
  <si>
    <t>Vehicles for Transport of Goods</t>
  </si>
  <si>
    <t>MEN AND WOMEN APPAREL</t>
  </si>
  <si>
    <t>PLASTICS, LEATHERS &amp; PAPERS</t>
  </si>
  <si>
    <t>Table 19-04.3 . Imports by Commodity Group, Guam: Calendar Year 2021 - (continuation)</t>
  </si>
  <si>
    <t>Ceramic Tablewares and Products</t>
  </si>
  <si>
    <t>Miscelaneous Products of Base Metals</t>
  </si>
  <si>
    <t>Cigars, Cheroots, Cigarillos and Cigarettes; of Tobacco</t>
  </si>
  <si>
    <t>Tanning or Dying Extracts</t>
  </si>
  <si>
    <t>Camera and Photographics</t>
  </si>
  <si>
    <t>Musical Instuments, Parts &amp; Accessories</t>
  </si>
  <si>
    <t>Cigarette Lighters</t>
  </si>
  <si>
    <t>Table 19-05.1 . Imports by Commodity Group, Guam: Calendar Year 2020</t>
  </si>
  <si>
    <t>Malt Extracts, Flour (Cake Mixes)</t>
  </si>
  <si>
    <t>Table 19-05.2 . Imports by Commodity Group, Guam: Calendar Year 2020 - (continuation)</t>
  </si>
  <si>
    <t>Table 19-05.3 . Imports by Commodity Group, Guam: Calendar Year 2020 - (continuation)</t>
  </si>
  <si>
    <t>Arms &amp; Ammunition; Parts &amp; Accessories</t>
  </si>
  <si>
    <t>Annual Estimate (4)</t>
  </si>
  <si>
    <t>Table 19-06 . Top Twenty-Five Imported Commodities by Top Six Country of Origin, Guam: March 2023</t>
  </si>
  <si>
    <t>% of</t>
  </si>
  <si>
    <t>Country of Origin</t>
  </si>
  <si>
    <t>Top 25 Imported Commodities</t>
  </si>
  <si>
    <t>United States</t>
  </si>
  <si>
    <t>Singapore</t>
  </si>
  <si>
    <t>Korea</t>
  </si>
  <si>
    <t>Switzerland</t>
  </si>
  <si>
    <t>Japan</t>
  </si>
  <si>
    <t>Hong Kong</t>
  </si>
  <si>
    <t>All Others</t>
  </si>
  <si>
    <t>Motor vehicles for transport of persons</t>
  </si>
  <si>
    <t>Table 19-07 . Top Twenty-Five Imported Commodities by Top Six Country of Origin, Guam: March 2022</t>
  </si>
  <si>
    <t>Philippines</t>
  </si>
  <si>
    <t>China</t>
  </si>
  <si>
    <t>Taiwan</t>
  </si>
  <si>
    <t>Motor Cars and other Motor Vehicles</t>
  </si>
  <si>
    <t>Soaps and other Organic Surface Pro</t>
  </si>
  <si>
    <t>Stoves, Ranges &amp; Other Electric App</t>
  </si>
  <si>
    <t>Bread, Pastry, Cakes &amp; Other Bakery</t>
  </si>
  <si>
    <t>Miscellaneous Products of Base Meta</t>
  </si>
  <si>
    <t>Fruits, Nuts, &amp; Other Edible Parts</t>
  </si>
  <si>
    <t>Table 19-08 . Top Twenty-Five Imported Commodities by Top Six Country of Origin, Guam: December 2021</t>
  </si>
  <si>
    <t>Stoves, Refrigerator, Air Conditioner, Water Heaters</t>
  </si>
  <si>
    <t>Pharmaceutical Products (Viamins and Medicaments)</t>
  </si>
  <si>
    <t>Iron &amp; Steel</t>
  </si>
  <si>
    <t>Other Aricles of Leather</t>
  </si>
  <si>
    <t>Petrolium Oils &amp; Gases</t>
  </si>
  <si>
    <t>Perfumes &amp; Toilet Waters; Hygiene Preparation</t>
  </si>
  <si>
    <t>Meat &amp; Edible Offal of Poultry</t>
  </si>
  <si>
    <t>Fish, Chilled, Fresh, Frozen, Dried &amp; Salted</t>
  </si>
  <si>
    <t>Milk &amp; Cream with or not containing sugar</t>
  </si>
  <si>
    <t>Authomatic Data Processing Machines</t>
  </si>
  <si>
    <t>Table 19-09 . Top Twenty-Five Imported Commodities by Top Six Country of Origin, Guam: October 2020</t>
  </si>
  <si>
    <t>Phillippines</t>
  </si>
  <si>
    <t>Paper Towels, Toilet Paper, or Napkins</t>
  </si>
  <si>
    <t>Food Industries, Residues &amp; Wastes Thereof</t>
  </si>
  <si>
    <t>Furniture &amp; Parts</t>
  </si>
  <si>
    <t>Beer Made from Malts</t>
  </si>
  <si>
    <t>Motor Vehicles for Transport of Goods</t>
  </si>
  <si>
    <t>Soaps &amp; Organic Surface Products</t>
  </si>
  <si>
    <t>Aluminum Articles</t>
  </si>
  <si>
    <t>Table 19-10 . Top Twenty-Five Imported Commodities by Top Six Country of Origin, Guam: November 2019</t>
  </si>
  <si>
    <t>Italy</t>
  </si>
  <si>
    <t>Men's or Boys' Apparel</t>
  </si>
  <si>
    <t>Electrical Machinery Equipment and Parts</t>
  </si>
  <si>
    <t>Beer made from Malt</t>
  </si>
  <si>
    <t>Women's or Girls' Apparel</t>
  </si>
  <si>
    <t>Perfumes &amp; Toilet Waters</t>
  </si>
  <si>
    <t>Wrist-watches, Pocket-watches or Others</t>
  </si>
  <si>
    <t>Extracts, Essences, Concentrates of Coffee, Tea</t>
  </si>
  <si>
    <t>Fish; Fresh, Frozen or Chilled</t>
  </si>
  <si>
    <t>Water, containng Sugar</t>
  </si>
  <si>
    <t>Chocolate &amp; other Food preparations containing Cocoa</t>
  </si>
  <si>
    <t>Jewelry articles</t>
  </si>
  <si>
    <t>Meat and Edible offal, of Poultry</t>
  </si>
  <si>
    <t>Table 19-11 . Top Twenty-Five Imported Commodities by Top Six Country of Origin, Guam: January 2019</t>
  </si>
  <si>
    <t>France</t>
  </si>
  <si>
    <t>Switerland</t>
  </si>
  <si>
    <t>Water, containing Sugar</t>
  </si>
  <si>
    <t>Wrist-Watch, Pocket-watches or Others</t>
  </si>
  <si>
    <t>Home Appliances, Equipment &amp; Others</t>
  </si>
  <si>
    <t>Jewelry Article</t>
  </si>
  <si>
    <t>Men's or Boy's Apparel</t>
  </si>
  <si>
    <t>Footwear of Rubbers or Plastic</t>
  </si>
  <si>
    <t>Tyres of Rubber</t>
  </si>
  <si>
    <t>Medicaments</t>
  </si>
  <si>
    <t>Oct-20 Dollars</t>
  </si>
  <si>
    <r>
      <t>Water,</t>
    </r>
    <r>
      <rPr>
        <i/>
        <sz val="10"/>
        <color rgb="FF000000"/>
        <rFont val="Arial"/>
        <family val="2"/>
      </rPr>
      <t xml:space="preserve"> </t>
    </r>
    <r>
      <rPr>
        <sz val="10"/>
        <color rgb="FF000000"/>
        <rFont val="Arial"/>
        <family val="2"/>
      </rPr>
      <t>Containing Sugar</t>
    </r>
  </si>
  <si>
    <t>% of Total</t>
  </si>
  <si>
    <t>Mar-23 Dollars</t>
  </si>
  <si>
    <t>Mar-22 Dollars</t>
  </si>
  <si>
    <t>21-Oct Dollars</t>
  </si>
  <si>
    <t>% of Toital</t>
  </si>
  <si>
    <t>19-Nov Dollars</t>
  </si>
  <si>
    <t>19-Jan Dollars</t>
  </si>
  <si>
    <t>Table 19-12 . Top Twenty Imports by Country of Origin, Guam: March 2023</t>
  </si>
  <si>
    <t>Dollars ($)</t>
  </si>
  <si>
    <t>United States of America</t>
  </si>
  <si>
    <t>Republic of Korea</t>
  </si>
  <si>
    <t>Hong Kong (Special Administrative Region)</t>
  </si>
  <si>
    <t>New Zealand</t>
  </si>
  <si>
    <t>Vietnam</t>
  </si>
  <si>
    <t>Thailand</t>
  </si>
  <si>
    <t>Australia</t>
  </si>
  <si>
    <t>Norway</t>
  </si>
  <si>
    <t>Brazil</t>
  </si>
  <si>
    <t>Malaysia</t>
  </si>
  <si>
    <t>United Kingdom</t>
  </si>
  <si>
    <t>CNMI</t>
  </si>
  <si>
    <t>Table 19-13 . Top Twenty Imports by Country of Origin, Guam: March 2022</t>
  </si>
  <si>
    <t>China - People's Republic of</t>
  </si>
  <si>
    <t>Germany</t>
  </si>
  <si>
    <t>Macau (Special Administrative Region)</t>
  </si>
  <si>
    <t>Great Britain</t>
  </si>
  <si>
    <t>Northern Mariana Islands</t>
  </si>
  <si>
    <t>Table 19-14 . Top Twenty Imports by Country of Origin, Guam: December 2021</t>
  </si>
  <si>
    <t>Sinapore</t>
  </si>
  <si>
    <t>China- People Republic of</t>
  </si>
  <si>
    <t>Viet Nam</t>
  </si>
  <si>
    <t>Federated States of Micronesia</t>
  </si>
  <si>
    <t>Canada</t>
  </si>
  <si>
    <t>Indonesia</t>
  </si>
  <si>
    <t>Ukraine</t>
  </si>
  <si>
    <t>Northen Mariana Islands</t>
  </si>
  <si>
    <t>Bureau of Statistics and Plans, Government of Guam</t>
  </si>
  <si>
    <t>Table 19-15 . Top Twenty Imports by Country of Origin, Guam: October 2020</t>
  </si>
  <si>
    <t>Marshall Islands</t>
  </si>
  <si>
    <t>Table 19-16 . Top Twenty Imports by Country of Origin, Guam: November 2019</t>
  </si>
  <si>
    <t>China- Peoples Republic of</t>
  </si>
  <si>
    <t>Honk Kong (Special Administrative Region)</t>
  </si>
  <si>
    <t>Austrailia</t>
  </si>
  <si>
    <t>Spain</t>
  </si>
  <si>
    <t>Romania</t>
  </si>
  <si>
    <t>Table 19-17 . Top Twenty Imports by Country of Origin, Guam: January 2019</t>
  </si>
  <si>
    <t>Nauru</t>
  </si>
  <si>
    <t>Table 19-18 . Exports by Country, Guam: Calendar Years 2019 to 2024</t>
  </si>
  <si>
    <t>Country</t>
  </si>
  <si>
    <t>CY2024</t>
  </si>
  <si>
    <t>CY2023</t>
  </si>
  <si>
    <t>CY2022</t>
  </si>
  <si>
    <t>CY 2021</t>
  </si>
  <si>
    <t>CY 2020</t>
  </si>
  <si>
    <t>CY 2019</t>
  </si>
  <si>
    <t>Azerbaijan</t>
  </si>
  <si>
    <t>Belgium</t>
  </si>
  <si>
    <t>Benin</t>
  </si>
  <si>
    <t>Cambodia</t>
  </si>
  <si>
    <t>Ecuador</t>
  </si>
  <si>
    <t>England</t>
  </si>
  <si>
    <t>Federated States of Micronesia (FSM)</t>
  </si>
  <si>
    <t>Fiji</t>
  </si>
  <si>
    <t>Finland</t>
  </si>
  <si>
    <t>Guinea</t>
  </si>
  <si>
    <t>India</t>
  </si>
  <si>
    <t>Iran</t>
  </si>
  <si>
    <t>Jordan</t>
  </si>
  <si>
    <t>Kuwait</t>
  </si>
  <si>
    <t>Mongolia</t>
  </si>
  <si>
    <t>Morocco</t>
  </si>
  <si>
    <t>New Caledonia</t>
  </si>
  <si>
    <t>Nigeria</t>
  </si>
  <si>
    <t>Northern Marianas Islands</t>
  </si>
  <si>
    <t>Pakistan</t>
  </si>
  <si>
    <t>Palau</t>
  </si>
  <si>
    <t>Panama</t>
  </si>
  <si>
    <t>Russia</t>
  </si>
  <si>
    <t>Solomon Islands</t>
  </si>
  <si>
    <t>South Africa</t>
  </si>
  <si>
    <t>Syria</t>
  </si>
  <si>
    <t>United Arab Emirates</t>
  </si>
  <si>
    <t>Vanuatu</t>
  </si>
  <si>
    <t>Venezuela</t>
  </si>
  <si>
    <t>R = Revised</t>
  </si>
  <si>
    <t>Totals may not sum due to rounding.</t>
  </si>
  <si>
    <t>Table 19-19.1 . Exports by Commodity Group, Guam: Calendar Year 2024</t>
  </si>
  <si>
    <t>Oct-Dec</t>
  </si>
  <si>
    <t>Jul-Sept</t>
  </si>
  <si>
    <t>Apr-Jun</t>
  </si>
  <si>
    <t>Jan-Mar</t>
  </si>
  <si>
    <t>Total ($)</t>
  </si>
  <si>
    <t>TOTAL</t>
  </si>
  <si>
    <t>-</t>
  </si>
  <si>
    <t>Meat of swine (pork), fresh, chilled, or frozen</t>
  </si>
  <si>
    <t>Other meat and edible offal of meat</t>
  </si>
  <si>
    <t>Fish, fresh or chilled</t>
  </si>
  <si>
    <t>Mollusks, in shell or not</t>
  </si>
  <si>
    <t>Milk and cream not containing sugar</t>
  </si>
  <si>
    <t>Milk and cream, concentrated or containing sugar</t>
  </si>
  <si>
    <t>Cheese and urd</t>
  </si>
  <si>
    <t>Birds' Eggs, in Shell; Fresh, preserved or cooked</t>
  </si>
  <si>
    <t>Coffee, whether or not roasted or decaffeinated</t>
  </si>
  <si>
    <t>Tea</t>
  </si>
  <si>
    <t>Prepared or Preserved Meat</t>
  </si>
  <si>
    <t>Sugar confectionary</t>
  </si>
  <si>
    <t>Malt extract; food preparations of flour</t>
  </si>
  <si>
    <t>Pasta</t>
  </si>
  <si>
    <t>Bread, Pastry, and other Baked Products</t>
  </si>
  <si>
    <t>Sauces, condiments, and seasonings</t>
  </si>
  <si>
    <t>Water</t>
  </si>
  <si>
    <t>Water Containing Sugars</t>
  </si>
  <si>
    <t>Wine of fresh grapes, including fortified wines</t>
  </si>
  <si>
    <t>Liquor, spirits, and other spiritous beverages</t>
  </si>
  <si>
    <t>New Pneumatic Tires or Rubber</t>
  </si>
  <si>
    <t>Rolling stock and parts thereof</t>
  </si>
  <si>
    <t>Motor Cars for Transport of Persons</t>
  </si>
  <si>
    <t>Motor Cars for Transport of Goods</t>
  </si>
  <si>
    <t>Motor Vehicles, Parts and Accessories</t>
  </si>
  <si>
    <t>Tractors, Trailers and semi0trailers and parts thereof</t>
  </si>
  <si>
    <t>Ships, boats, and floating structures</t>
  </si>
  <si>
    <t>Household and Toilet Articles of PlastIcs</t>
  </si>
  <si>
    <t>Air Conditioning Machines and parts thereof</t>
  </si>
  <si>
    <t>Refrigerators, freezers and parts thereof</t>
  </si>
  <si>
    <t>Household or laundry-type washing machines</t>
  </si>
  <si>
    <t>Machines for additive manufacturing</t>
  </si>
  <si>
    <t>Electric, water, and immersion heaters, appliances and parts thereof</t>
  </si>
  <si>
    <t>Sound recording or reproducing apparatus</t>
  </si>
  <si>
    <t>Line Telephony or Line Telegraphy Apparatus</t>
  </si>
  <si>
    <t>Electrical Machinery and Equipment and Parts</t>
  </si>
  <si>
    <t>PLASTICS LEATHERS &amp; PAPERS</t>
  </si>
  <si>
    <t>Articles for packing of goods of plastics</t>
  </si>
  <si>
    <t>Household, hygienic or toilet articles of plastics</t>
  </si>
  <si>
    <t>Plastics and Articles thereof</t>
  </si>
  <si>
    <t>Trunks, suitcases and similar bags of leather</t>
  </si>
  <si>
    <t>Articles of Paper; Household, Sanitary</t>
  </si>
  <si>
    <t>Cartons nd other packing containers of paper</t>
  </si>
  <si>
    <t>Other articles of paper pulp, paper, paperboard</t>
  </si>
  <si>
    <t>Footwear of Leather</t>
  </si>
  <si>
    <t>T-Shirts</t>
  </si>
  <si>
    <t>Shawls, scarves, veils and thelike</t>
  </si>
  <si>
    <t>Cement, limne and plastering materials</t>
  </si>
  <si>
    <t>Paints and Varnishes</t>
  </si>
  <si>
    <t>Tubes, pipes, and fitting of plastics</t>
  </si>
  <si>
    <t>Plywood and similar laminated wood</t>
  </si>
  <si>
    <t>Builders joinery and carpentry of wood</t>
  </si>
  <si>
    <t>Articles of stone, cement, or similar materials</t>
  </si>
  <si>
    <t>Ceramic flags and paving</t>
  </si>
  <si>
    <t>Other ceramic articles</t>
  </si>
  <si>
    <t>Tube or pipe fittings of iron or steel</t>
  </si>
  <si>
    <t>Structures of Iron and Steel</t>
  </si>
  <si>
    <t>Cloth, Grill, or Netting of Iron or Steel Wire</t>
  </si>
  <si>
    <t>Articles of Iron and Steel</t>
  </si>
  <si>
    <t>Copper waste and scrap</t>
  </si>
  <si>
    <t>Aluminum Waste and Scrap</t>
  </si>
  <si>
    <t>Aluminum sturctures and parts thereof</t>
  </si>
  <si>
    <t>Other articles of iron or aluminum</t>
  </si>
  <si>
    <t>Other base metals; Cermets</t>
  </si>
  <si>
    <t>Lead and Articles thereof</t>
  </si>
  <si>
    <t>Tools, implements, and cutlery of base metal</t>
  </si>
  <si>
    <t>Miscellaneous Base Metals</t>
  </si>
  <si>
    <t>OTHER EXPORTS</t>
  </si>
  <si>
    <t>Food Industries, Residue and Waste thereof</t>
  </si>
  <si>
    <t>Tobacco, Cigars, Cigarettes &amp; Cigarillos</t>
  </si>
  <si>
    <t>Manufactured Tobacco &amp; Tobacco Substitute</t>
  </si>
  <si>
    <t>Petroleum Oils and Gases</t>
  </si>
  <si>
    <t>Inorganic chemicals</t>
  </si>
  <si>
    <t>Organic Compounds</t>
  </si>
  <si>
    <t>Medicaments for therapeutic or prophylactic uses</t>
  </si>
  <si>
    <t>Organic surface-active agents</t>
  </si>
  <si>
    <t>Photograpic or cinematographic goods</t>
  </si>
  <si>
    <t>Chemical Products</t>
  </si>
  <si>
    <t>Trunk, suitcases, and similar cntainers</t>
  </si>
  <si>
    <t>Man-Made Staple Fibers</t>
  </si>
  <si>
    <t>Twine, Cordage, Ropes and Cables and Articles Thereof</t>
  </si>
  <si>
    <t>Textile Articles of a Kind Suitable for Industrial Use</t>
  </si>
  <si>
    <t>Other clothing accessories</t>
  </si>
  <si>
    <t>Articles made of feathers; Artificial flowers</t>
  </si>
  <si>
    <t>Imitation Jewelry</t>
  </si>
  <si>
    <t>Parts and accessories for machines or appliances</t>
  </si>
  <si>
    <t>Other furniture and parts thereof</t>
  </si>
  <si>
    <t>Lamps and light fittings and parts thereof</t>
  </si>
  <si>
    <t>Miscellaneous manufactured articles</t>
  </si>
  <si>
    <t>Works of Art</t>
  </si>
  <si>
    <t>1/ See http://www.pifsc.noaa.gov/wpacfin/guam/doc/Pages/gdoc_data_menu.php for Guam's Fishery statistics.</t>
  </si>
  <si>
    <t xml:space="preserve">Source: External Trade Section, Business and Economic Statistics Program, </t>
  </si>
  <si>
    <t>Table 19-20.1 . Exports by Commodity Group, Guam: Calendar Year 2023</t>
  </si>
  <si>
    <t>Meat and Edible Offal of Swine</t>
  </si>
  <si>
    <t>Crustaceans, in Shell or not</t>
  </si>
  <si>
    <t>Molluscs, in shell or not</t>
  </si>
  <si>
    <t>Milk and Cream,</t>
  </si>
  <si>
    <t>Milk and Cream, Concentrated</t>
  </si>
  <si>
    <t>Birds' Eggs, not in shell; Fresh, Preserved or Cooked</t>
  </si>
  <si>
    <t>Coffee</t>
  </si>
  <si>
    <t>Sausages and similar Products of Meat, meat Offal</t>
  </si>
  <si>
    <t>Prepared or Preserved meat or Blood</t>
  </si>
  <si>
    <t>Prepared or Preserved Fish</t>
  </si>
  <si>
    <t>Malt Extract Products</t>
  </si>
  <si>
    <t>Vegetable, Prepared</t>
  </si>
  <si>
    <t>Vinegar</t>
  </si>
  <si>
    <t>Rubber and articles thereof</t>
  </si>
  <si>
    <t>Motor Cars Designed for Transport of Persons</t>
  </si>
  <si>
    <t>Vehicles; for the Transport of Goods</t>
  </si>
  <si>
    <t>Vehicles other than Rail or Tram, Parts and Acc</t>
  </si>
  <si>
    <t>Air Conditioning Machines</t>
  </si>
  <si>
    <t>Stroves, Regrigerator, Air Conditioner, Water Heaters &amp; Other Electrical Appliances</t>
  </si>
  <si>
    <t>Refrigerators</t>
  </si>
  <si>
    <t>Washing Machines</t>
  </si>
  <si>
    <t>Nuclear Reactors, Boilers, machinery and Mech</t>
  </si>
  <si>
    <t>Paints, Varnishes</t>
  </si>
  <si>
    <t>Stone, Plaster, Cement</t>
  </si>
  <si>
    <t>Ceramic Products</t>
  </si>
  <si>
    <t>Glassware, Paving Blocks ^&amp; Fivers</t>
  </si>
  <si>
    <t>Structures of Iron or Steel</t>
  </si>
  <si>
    <t>Cloth,. Grill, or Netting of Iron or Steel Wire</t>
  </si>
  <si>
    <t>Iron or Steel</t>
  </si>
  <si>
    <t>Cooper, Waste and Scrap</t>
  </si>
  <si>
    <t>Cooper Tubes and Pipes</t>
  </si>
  <si>
    <t>Aluminum, Structures</t>
  </si>
  <si>
    <t>Lead</t>
  </si>
  <si>
    <t>Cermet Metals and articles thereof</t>
  </si>
  <si>
    <t>Tools Made of Base Metals</t>
  </si>
  <si>
    <t>Miscellaneous Base Metals and Machine Tools</t>
  </si>
  <si>
    <t>Plastic articles for Conveyance or Packing</t>
  </si>
  <si>
    <t>Trunks and Sililar Cases</t>
  </si>
  <si>
    <t>Other Article of Leather</t>
  </si>
  <si>
    <t>Paper; Articles of Paper Pulp</t>
  </si>
  <si>
    <t>Cotton</t>
  </si>
  <si>
    <t>Fabrics; Special Woven</t>
  </si>
  <si>
    <t>Women or Girl Apparel</t>
  </si>
  <si>
    <t>Footwear of Rubber of Plastics</t>
  </si>
  <si>
    <t>Pharmaceutical Products (Vitamins &amp; Medicaments)</t>
  </si>
  <si>
    <t>Perfumes &amp; Toiltet Waters, Hygience Preparation</t>
  </si>
  <si>
    <t>Soaps &amp; Organic Surface Active Products</t>
  </si>
  <si>
    <t>Other Organic Surface-Active Agents</t>
  </si>
  <si>
    <t>Chemical Products, N.E.S</t>
  </si>
  <si>
    <t>Bed Linen, Table Linen, Toilet Linen and Kitchen Linen</t>
  </si>
  <si>
    <t>Footwear of Rubber, Plastics and Leather</t>
  </si>
  <si>
    <t>Headgear and Parts thereof</t>
  </si>
  <si>
    <t>Jewelry Articles of Precious Metals</t>
  </si>
  <si>
    <t>Wrist-Watches, Pocket Watches or Other Clocks</t>
  </si>
  <si>
    <t>Bedding, Mattresses and Pillows</t>
  </si>
  <si>
    <t>Gymnastics or other Athletic Equipment</t>
  </si>
  <si>
    <t>Games and Sports, Requisites &amp; Accessories</t>
  </si>
  <si>
    <t>Pens, Pencils, and Crayons</t>
  </si>
  <si>
    <t>0208</t>
  </si>
  <si>
    <t>0402</t>
  </si>
  <si>
    <t>0901</t>
  </si>
  <si>
    <t>0902</t>
  </si>
  <si>
    <t>Table 19-19.2 . Exports by Commodity Group, Guam: Calendar Year 2024 (continuation)</t>
  </si>
  <si>
    <t>Table 19-20.2 . Exports by Commodity Group, Guam: Calendar Year 2023 (continuation)</t>
  </si>
  <si>
    <t>Table 19-21.1 . Exports by Commodity Group, Guam: Calendar Year 2022</t>
  </si>
  <si>
    <t>Meat and Edible Meat Offal</t>
  </si>
  <si>
    <t>Milk and Cream, not Concentrated</t>
  </si>
  <si>
    <t>Sugar Confectionery</t>
  </si>
  <si>
    <t>Fruits, Nuts, and Other Edible Parts of Plants</t>
  </si>
  <si>
    <t>Ships, Boats and Floating Structures</t>
  </si>
  <si>
    <t>Inorganic Chemical</t>
  </si>
  <si>
    <t>Plywood</t>
  </si>
  <si>
    <t>Tube or Pipe Fittings of Iron or Steel</t>
  </si>
  <si>
    <t>Aluminum Waste, Scraps, Tubes or Fittings</t>
  </si>
  <si>
    <t>Symbol "-" indicates data was not collected during that quarter.</t>
  </si>
  <si>
    <t>Note: 4th Quarter is not released at the time of publication.</t>
  </si>
  <si>
    <t>Table 19-21.2 . Exports by Commodity Group, Guam: Calendar Year 2022-- (continuation)</t>
  </si>
  <si>
    <t>Paper or Paperboard</t>
  </si>
  <si>
    <t>Footwear of Rubber, Plastics &amp; Leather</t>
  </si>
  <si>
    <t>Food Industries, Residues and Wastes thereof</t>
  </si>
  <si>
    <t>Provitamins, Vitamins</t>
  </si>
  <si>
    <t>Apparel &amp; Clothing Accessories</t>
  </si>
  <si>
    <t>Note: 4th Quarter not released at the time of publication.</t>
  </si>
  <si>
    <t>Table 19-22.1 . Exports by Commodity Group, Guam: Calendar Year 2021</t>
  </si>
  <si>
    <t>Jan-mar</t>
  </si>
  <si>
    <t>Meat and Edible Offal of Offal</t>
  </si>
  <si>
    <t>Mollusks, whether in Shell or not</t>
  </si>
  <si>
    <t>Milk &amp; Cream, not containing Sugar</t>
  </si>
  <si>
    <t>Milk &amp; Cream</t>
  </si>
  <si>
    <t>Cocoa</t>
  </si>
  <si>
    <t>Pasta whether or not cooked</t>
  </si>
  <si>
    <t>Fruit Juices and Vegetable Juice, unfermented</t>
  </si>
  <si>
    <t>Extracts, Essences, Concentrates of Coffee</t>
  </si>
  <si>
    <t>Prepared Baking Powders</t>
  </si>
  <si>
    <t>Sauces</t>
  </si>
  <si>
    <t>Other Food prepartions</t>
  </si>
  <si>
    <t>Mechanical Traffic Equipment</t>
  </si>
  <si>
    <t>Vehicles, Parts and Accessories</t>
  </si>
  <si>
    <t>Aircraft, Spacecraft and Parts</t>
  </si>
  <si>
    <t>T-shirts</t>
  </si>
  <si>
    <t>Shawls, Scarves, and Veils</t>
  </si>
  <si>
    <t>Refrigerators, Freesers, &amp; Similar Equipment</t>
  </si>
  <si>
    <t>Mechanical Appliances</t>
  </si>
  <si>
    <t>Sound Reproducing Apparatus</t>
  </si>
  <si>
    <t>Televisions</t>
  </si>
  <si>
    <t>Plastics articles for the Conveyance or Packing</t>
  </si>
  <si>
    <t>Other Household Articles of Plastic</t>
  </si>
  <si>
    <t>Rubber</t>
  </si>
  <si>
    <t>Trunks, Suitcases and other Similar Bags</t>
  </si>
  <si>
    <t>Articles of Leather</t>
  </si>
  <si>
    <t>Articles of Paper Pulp, of Paper or Paperboard</t>
  </si>
  <si>
    <t>Carpentry of Wood</t>
  </si>
  <si>
    <t>Articles of Wood</t>
  </si>
  <si>
    <t>Tube or Pipe Fittings</t>
  </si>
  <si>
    <t>Copper, Waste &amp; Scrap</t>
  </si>
  <si>
    <t>Aluminum Structures</t>
  </si>
  <si>
    <t>Parts thereof, of Base Metal</t>
  </si>
  <si>
    <t>Manufactured Tobacco &amp; Tobaco Substitute</t>
  </si>
  <si>
    <t>Other Mineral Fuels</t>
  </si>
  <si>
    <t>Inorganic Chemicals</t>
  </si>
  <si>
    <t>Oral or dental hygiene preparations</t>
  </si>
  <si>
    <t>Perfumes</t>
  </si>
  <si>
    <t>Other Organic Surface-active Agents</t>
  </si>
  <si>
    <t>Man-made Staple Fibres</t>
  </si>
  <si>
    <t>Wadding, Felt, Nonwovens and articles thereof</t>
  </si>
  <si>
    <t>Textile Articles</t>
  </si>
  <si>
    <t>Glass and Glassware</t>
  </si>
  <si>
    <t>Computer Parts</t>
  </si>
  <si>
    <t>Spectacles, Goggles, Frames &amp; Mountings</t>
  </si>
  <si>
    <t>Optical, Photograhic, Parts and Accessories</t>
  </si>
  <si>
    <t>Lamps, Light Fittings</t>
  </si>
  <si>
    <t>Bedding</t>
  </si>
  <si>
    <t>Pens, Pencils, Crayons</t>
  </si>
  <si>
    <t>Cigarette Lighters and other Lighters</t>
  </si>
  <si>
    <t>Guam Miscellaneous Provisions</t>
  </si>
  <si>
    <t>Table 19-22.3 . Exports by Commodity Group, Guam: Calendar Year 2021-- (continuation)</t>
  </si>
  <si>
    <t>Table 19-22.2 . Exports by Commodity Group, Guam: Calendar Year 2021 (continuation)</t>
  </si>
  <si>
    <t>Table 19-23.1 . Exports by Commodity Group, Guam: Calendar Year 2020</t>
  </si>
  <si>
    <t>Milk &amp; Cream, Containing Sugar</t>
  </si>
  <si>
    <t>Cheese and Curd</t>
  </si>
  <si>
    <t>Birds' Eggs, not in shell, Egg Yolk</t>
  </si>
  <si>
    <t>Oil</t>
  </si>
  <si>
    <t>Caviar and Substitutes</t>
  </si>
  <si>
    <t>Shawls, Scarves and Veils</t>
  </si>
  <si>
    <t>Ties, Bow Ties and Cravats</t>
  </si>
  <si>
    <t>Television Receivers</t>
  </si>
  <si>
    <t>Scrap of Paper or Paperboard</t>
  </si>
  <si>
    <t>Paper and Paperboard</t>
  </si>
  <si>
    <t>Printed Books, Newspaper and other Products</t>
  </si>
  <si>
    <t>Footwear; Gaiters</t>
  </si>
  <si>
    <t>Table 19-23.2 . Exports by Commodity Group, Guam: Calendar Year 2020-- (continuation)</t>
  </si>
  <si>
    <t>Odoriferous Substances &amp; Mixtures</t>
  </si>
  <si>
    <t>Wood Sawn or Chipped</t>
  </si>
  <si>
    <t>Carpentry Wood</t>
  </si>
  <si>
    <t>Wood Charcoal</t>
  </si>
  <si>
    <t>Aluminum</t>
  </si>
  <si>
    <t>Tin</t>
  </si>
  <si>
    <t>Metal</t>
  </si>
  <si>
    <t>Miscellaneous Products of Base Metal</t>
  </si>
  <si>
    <t>Prepared Animal Fodder</t>
  </si>
  <si>
    <t>Photograhic or Cinematographic Goods</t>
  </si>
  <si>
    <t>Cameras</t>
  </si>
  <si>
    <t>Musical Instruments Parts and Accessories</t>
  </si>
  <si>
    <t>Gymnastics, Athletics, other Sports or Outdoor</t>
  </si>
  <si>
    <t>Works of Art, Collectors' Pieces and Antiques</t>
  </si>
  <si>
    <t>Table 19-24.1 . Exports by Commodity Group, Guam: Calendar Year 2019</t>
  </si>
  <si>
    <t>Vegetables and Certain Roots and Tubers, Edible</t>
  </si>
  <si>
    <t>Extracts and Juices</t>
  </si>
  <si>
    <t>Other Cereals</t>
  </si>
  <si>
    <t>Cocoa, Chocolate and Food Containing Cocoa</t>
  </si>
  <si>
    <t>Malt Extract; Flour, Meal, Starch or Malt Extract</t>
  </si>
  <si>
    <t>Water, Not Containing Sugar</t>
  </si>
  <si>
    <t>Tractors</t>
  </si>
  <si>
    <t>Yacths, Boats &amp; other Vessels and Parts</t>
  </si>
  <si>
    <t>Shawls, Scarves, Mufflers</t>
  </si>
  <si>
    <t>Machines, Dryers, Spraying Liquids</t>
  </si>
  <si>
    <t>Musical Instruments</t>
  </si>
  <si>
    <t>Articles for the Conveyance of Plastics</t>
  </si>
  <si>
    <t>Carton Boxes of Paper</t>
  </si>
  <si>
    <t>Table 19-24.2 . Exports by Commodity Group, Guam: Calendar Year 2019-- (continuation)</t>
  </si>
  <si>
    <t>Chemicals Organic or Inorganic Compound</t>
  </si>
  <si>
    <t>Wood Sawn or Chipped Lumber</t>
  </si>
  <si>
    <t>Stone, Plaster or Similar Materials</t>
  </si>
  <si>
    <t>Ceramic Tableswares and Products</t>
  </si>
  <si>
    <t>Ferrous Waste &amp; Scrap of Iron or Steel</t>
  </si>
  <si>
    <t>Copper, Stranded Wire, Waste &amp; Scrap</t>
  </si>
  <si>
    <t>Aluminum Structures, Doors, Windows &amp; Frames</t>
  </si>
  <si>
    <t>Lead, Waste &amp; Scrap</t>
  </si>
  <si>
    <t>Boilers, Machinery and Mechanical</t>
  </si>
  <si>
    <t>Slide Fastener &amp; Parts</t>
  </si>
  <si>
    <t>Printed Books, Brochures &amp; Other</t>
  </si>
  <si>
    <t>Wadding, Felts and Nonwovens</t>
  </si>
  <si>
    <t>Carpets and other Textile Floor Coverings</t>
  </si>
  <si>
    <t>Feathers and Down, Artificial Hair</t>
  </si>
  <si>
    <t>Musical Instruments, Parts &amp; Accessories</t>
  </si>
  <si>
    <t>Bedding, Mattresses and Pillow</t>
  </si>
  <si>
    <t>Gymnastics, Athletics, other Sports or Outdorr</t>
  </si>
  <si>
    <t>Toys, Games and Sports Requisites</t>
  </si>
  <si>
    <r>
      <t xml:space="preserve">Fish, Live, Chilled or Frozen </t>
    </r>
    <r>
      <rPr>
        <sz val="11"/>
        <rFont val="Arial"/>
        <family val="2"/>
      </rPr>
      <t>1/</t>
    </r>
  </si>
  <si>
    <t>Table 19-25.1 . Top Twenty Exported Commodities by Country of Destination, Guam: October - December 2024</t>
  </si>
  <si>
    <t>Oct - Dec 2024</t>
  </si>
  <si>
    <t>Percent of</t>
  </si>
  <si>
    <t>Country of Destination</t>
  </si>
  <si>
    <t>Top Twenty Exported Commodities</t>
  </si>
  <si>
    <t>Dollars</t>
  </si>
  <si>
    <t>FSM</t>
  </si>
  <si>
    <t>USA</t>
  </si>
  <si>
    <t>Marshall Isl.</t>
  </si>
  <si>
    <t>Cigars, cigarillos, and cigarettes of tobacco</t>
  </si>
  <si>
    <t>Waters containing added sugar</t>
  </si>
  <si>
    <t>Motor vehicles for the transport o persons</t>
  </si>
  <si>
    <t>Trunks and Similar Bags of Leather</t>
  </si>
  <si>
    <t>Cartonsand other packing containers of paper</t>
  </si>
  <si>
    <t>Structures of iron and steel and parts thereof</t>
  </si>
  <si>
    <t>Aluminum waste and scrap</t>
  </si>
  <si>
    <t>Petroleum oils and oils other than curde</t>
  </si>
  <si>
    <t>Paints and varnishessss</t>
  </si>
  <si>
    <t>FSM = Federated States of Micronesia</t>
  </si>
  <si>
    <t>All other commodities included in the Total</t>
  </si>
  <si>
    <t>Table 19-25.2 . Top Twenty Exported Commodities by Country of Destination, Guam: July - September 2024</t>
  </si>
  <si>
    <t>Jul - Sep 2024</t>
  </si>
  <si>
    <t>Motor vehicles for the transport of persons</t>
  </si>
  <si>
    <t>Motor vehicles for the transport of goods</t>
  </si>
  <si>
    <t>Cartons and other packing containers of paper</t>
  </si>
  <si>
    <t>Electrical equipment and parts thereof</t>
  </si>
  <si>
    <t>Trailers and parts thereof</t>
  </si>
  <si>
    <t>Tubes, pipes, hoses,m and fittings of plastics</t>
  </si>
  <si>
    <t>Wine of fresh grapes,m including fortified wines</t>
  </si>
  <si>
    <t>Air conditioning machines and parts thereof</t>
  </si>
  <si>
    <t>Sturctures and parts of structures of iron or steel</t>
  </si>
  <si>
    <t>Table 19-25.3 . Top Twenty Exported Commodities by Country of Destination, Guam: April - June 2024</t>
  </si>
  <si>
    <t>Apr - Jun 2024</t>
  </si>
  <si>
    <t>Cigars, cheroots, cigarillos and cigarettes of tobacco</t>
  </si>
  <si>
    <t>Motor cars for transport of persons</t>
  </si>
  <si>
    <t>Portland cement and similar hydraulic cement</t>
  </si>
  <si>
    <t>Cosmetics, toilet preparatins, perfumes, toilet &amp; hair preparations</t>
  </si>
  <si>
    <t>Waters containg added sugar</t>
  </si>
  <si>
    <t>Trunks &amp; similar bags; mainly covered by leather</t>
  </si>
  <si>
    <t>Aluminum; waste and scrap</t>
  </si>
  <si>
    <t>Copper; waste and scrap</t>
  </si>
  <si>
    <t>Manufactured tobacco &amp; tobacco substitute</t>
  </si>
  <si>
    <t>Petroleum products</t>
  </si>
  <si>
    <t>Paper towels and similar articles of paper</t>
  </si>
  <si>
    <t>Cells and batteries; primary</t>
  </si>
  <si>
    <t>Waters not containing added sugar</t>
  </si>
  <si>
    <t>Metal; miscellaneous products of base metals</t>
  </si>
  <si>
    <t>Structures of Iron or steel and parts thereof</t>
  </si>
  <si>
    <t>Jan - Mar 2024</t>
  </si>
  <si>
    <t>Tobacco, cigars, cigarettes &amp; cigarillos</t>
  </si>
  <si>
    <t>Water containing sugars</t>
  </si>
  <si>
    <t>Air conditioning machines</t>
  </si>
  <si>
    <t>Imitation jewelry</t>
  </si>
  <si>
    <t>Motor vehicles, parts and accessories</t>
  </si>
  <si>
    <t>Motor cars for transport of goods</t>
  </si>
  <si>
    <t>Petroleum oils and gases</t>
  </si>
  <si>
    <t>Cells and batteries</t>
  </si>
  <si>
    <t>Birds' eggs, in shell; fresh, preserved or cooked</t>
  </si>
  <si>
    <t>Refrigeratiors</t>
  </si>
  <si>
    <t>Table 19-25.4 . Top Twenty Exported Commodities by Country of Destination, Guam: January - March 2024</t>
  </si>
  <si>
    <t>Table 19-26.1 . Top Twenty Exported Commodities by Country of Destination, Guam: October - December 2023</t>
  </si>
  <si>
    <t>Oct - Dec 2023</t>
  </si>
  <si>
    <t>March Isl.</t>
  </si>
  <si>
    <t>Trunks or Similar Bags made of Leather</t>
  </si>
  <si>
    <t>Stone, Plaster, Cement, or Similar Materials</t>
  </si>
  <si>
    <t>Electric Water, Soil Heater</t>
  </si>
  <si>
    <t>Watches</t>
  </si>
  <si>
    <t>Table 19-26.2 . Top Twenty Exported Commodities by Country of Destination, Guam: July - September 2023</t>
  </si>
  <si>
    <t>Jul - Sep 2023</t>
  </si>
  <si>
    <t>Marshall Isl,.</t>
  </si>
  <si>
    <t>Motor Vehicles; Parts and Accessories</t>
  </si>
  <si>
    <t>Cigars, Cheroots, Cigarillos, and Cigarettes</t>
  </si>
  <si>
    <t>Waters containing added Sugar</t>
  </si>
  <si>
    <t>Aluminium and Articles thereof</t>
  </si>
  <si>
    <t>Copper Waste and Scrap</t>
  </si>
  <si>
    <t>Manufactured Tobacco and Substitutes</t>
  </si>
  <si>
    <t>Table 19-26.3 . Top Twenty Exported Commodities by Country of Destination, Guam: April - June 2023</t>
  </si>
  <si>
    <t>Apr - Jun 2023</t>
  </si>
  <si>
    <t>Stoves, Refrigerator, Air Conditioner, Water</t>
  </si>
  <si>
    <t>Ethyl Alcohol, Undernatured, Liquors &amp; Other</t>
  </si>
  <si>
    <t>Computer parts</t>
  </si>
  <si>
    <t>Games, Sports, Requisites and accessories and gymnastics</t>
  </si>
  <si>
    <t>Pasta, whether or not cooked</t>
  </si>
  <si>
    <t>Table 19-26.4 . Top Twenty Exported Commodities by Country of Destination, Guam: January - March 2023</t>
  </si>
  <si>
    <t>Jan - Mar 2023</t>
  </si>
  <si>
    <t>Motor Vehicles Parts</t>
  </si>
  <si>
    <t>Miscellaneous Base Metal and Machine Tools</t>
  </si>
  <si>
    <t>Phone, Video Recording, Turntable, Radio, TV</t>
  </si>
  <si>
    <t>Table 19-27.1 . Top Twenty Exported Commodities by Country of Destination, Guam: October - December 2022</t>
  </si>
  <si>
    <t>Oct-Dec 2022</t>
  </si>
  <si>
    <t>Suits, Ensembles, Blouses, Jackets &amp; Dresses</t>
  </si>
  <si>
    <t>Fish, chilled, fresh, frozen, dried &amp; salted</t>
  </si>
  <si>
    <t>Table 19-27.2 . Top Twenty Exported Commodities by Country of Destination, Guam: July - September 2022</t>
  </si>
  <si>
    <t>Jul-Sept 2022</t>
  </si>
  <si>
    <t>Motor Cars Designated for Transport of Persons</t>
  </si>
  <si>
    <t>Stoves, Refrigerator, Air Conditioner, Water Heater</t>
  </si>
  <si>
    <t>Electrical Machinery &amp; Equipment &amp; Parts</t>
  </si>
  <si>
    <t>Auminum, Articles</t>
  </si>
  <si>
    <t>Petroluem Oils and Gases</t>
  </si>
  <si>
    <t>New Pnumatic Tires</t>
  </si>
  <si>
    <t>Table 19-27.3 . Top Twenty Exported Commodities by Country of Destination, Guam: April - June 2022</t>
  </si>
  <si>
    <t>Apr-Jun 2022</t>
  </si>
  <si>
    <t>Marshall Isl</t>
  </si>
  <si>
    <t>Phamaceutical Products, n.e.s. in Chapter 30</t>
  </si>
  <si>
    <t>Waters, Containing Sugar</t>
  </si>
  <si>
    <t>Petroluem Products</t>
  </si>
  <si>
    <t>Jewelry Articles</t>
  </si>
  <si>
    <t>Manufactured Tobacco and Tobacco Substitute</t>
  </si>
  <si>
    <t>Electric Water, Space, and Soil Heaters</t>
  </si>
  <si>
    <t>Birds' Eggs, in Shell; Fresh, Preserved or Cooked</t>
  </si>
  <si>
    <t>Copper; Waste and Scrap</t>
  </si>
  <si>
    <t>Fish;Fresh, Frozen or Chilled</t>
  </si>
  <si>
    <t>Table 19-27.4 . Top Twenty Exported Commodities by Country of Destination, Guam: January - March 2022</t>
  </si>
  <si>
    <t>Jan-Mar 2022</t>
  </si>
  <si>
    <t>Motor Vehicles</t>
  </si>
  <si>
    <t>Line Telephony</t>
  </si>
  <si>
    <t>Trunks and Similar Cases</t>
  </si>
  <si>
    <t>Copper</t>
  </si>
  <si>
    <t>Electrical Machinery &amp; Equipment</t>
  </si>
  <si>
    <t>Miscellaneous Metals and Machine Tools</t>
  </si>
  <si>
    <t>Petroleum Products</t>
  </si>
  <si>
    <t>Articles of Paper</t>
  </si>
  <si>
    <t>Cosmetics and Toilet Waters, Hygiene Prep</t>
  </si>
  <si>
    <t>Motor Vehicle Parts and Accessories</t>
  </si>
  <si>
    <t>Wrist-watches and other watches; with case of precious metals</t>
  </si>
  <si>
    <t>Table 19-28.1 . Top Twenty Exported Commodities by Country of Destination, Guam: October - December 2021</t>
  </si>
  <si>
    <t>Oct-Dec 2021</t>
  </si>
  <si>
    <t>Cell and Batteries</t>
  </si>
  <si>
    <t>Tubes and Fittings</t>
  </si>
  <si>
    <t>Copper, Waste and Scrap</t>
  </si>
  <si>
    <t>Table 19-28.2 . Top Twenty Exported Commodities by Country of Destination, Guam: July - September 2021</t>
  </si>
  <si>
    <t>Jul-Sept 2021</t>
  </si>
  <si>
    <t>Aluminum Waste and Scraps</t>
  </si>
  <si>
    <t>Water containing Sugars</t>
  </si>
  <si>
    <t>Table 19-28.3 . Top Twenty Exported Commodities by Country of Destination, Guam: April - June 2021</t>
  </si>
  <si>
    <t>Apr-Jun 2021</t>
  </si>
  <si>
    <t>Motor Vehicles for Transport or Persons</t>
  </si>
  <si>
    <t>Refrigerators, Freezers and other Equipment</t>
  </si>
  <si>
    <t>Waters containing Sugar</t>
  </si>
  <si>
    <t>Spectacles, Goggles, Frames &amp; Mounting</t>
  </si>
  <si>
    <t>Electric Water, Space, Sold Heaters</t>
  </si>
  <si>
    <t>Table 19-28.4 . Top Twenty Exported Commodities by Country of Destination, Guam: January - March 2021</t>
  </si>
  <si>
    <t>Jan-Mar 2021</t>
  </si>
  <si>
    <t>Aluminum Waste, Scraps, Tubes or Fitting</t>
  </si>
  <si>
    <t>Other Electric Appliances</t>
  </si>
  <si>
    <t>Table 19-29.1 . Top Twenty Exported Commodities by Country of Destination, Guam: October - December 2020</t>
  </si>
  <si>
    <t>Oct-Dec 2020</t>
  </si>
  <si>
    <t>Tobacco, Cigarsm Cigarettes &amp; Cigarillos</t>
  </si>
  <si>
    <t>Electric Machinery and Equipment and Parts</t>
  </si>
  <si>
    <t>Other Articles of Plastics</t>
  </si>
  <si>
    <t>Table 19-29.2 . Top Twenty Exported Commodities by Country of Destination, Guam: July - September 2020</t>
  </si>
  <si>
    <t>Jul-Sept 2020</t>
  </si>
  <si>
    <t>Beer made of Malt</t>
  </si>
  <si>
    <t>Works of Art; Collectors' Pieces and Antiques</t>
  </si>
  <si>
    <t>Paint and Varnish</t>
  </si>
  <si>
    <t>Ethyl Alcohol, Undenatured, Liquers &amp; Other</t>
  </si>
  <si>
    <t>Printed Books, Newspaper and Other Products</t>
  </si>
  <si>
    <t>Table 19-29.3 . Top Twenty Exported Commodities by Country of Destination, Guam: April - June 2020</t>
  </si>
  <si>
    <t>Wrist-watches, Pockets watches or other</t>
  </si>
  <si>
    <t>Fish, Live, Chilled or Frozen</t>
  </si>
  <si>
    <t>Shawls, Scarbes and Veils</t>
  </si>
  <si>
    <t>Trunks, Suitcasesand Other Similar Bags</t>
  </si>
  <si>
    <t>Aluminum Waste, Scraps, Tubers or Fitting</t>
  </si>
  <si>
    <t>Ties, Bow Ties, and Cravats</t>
  </si>
  <si>
    <t>Vehicles for the Transport of Goods</t>
  </si>
  <si>
    <t>Table 19-29.4 . Top Twenty Exported Commodities by Country of Destination, Guam: January - March 2020</t>
  </si>
  <si>
    <t>Jan-Mar 2020</t>
  </si>
  <si>
    <t>Ethyl Alcohol, Undenatured, Liqueurs &amp; Others</t>
  </si>
  <si>
    <t>Optical, Photographic, Parts and Accessories</t>
  </si>
  <si>
    <t>Table 19-30. 1 Shipments from U.S. Possessions to the United States by HTSUSA Commodity, Guam: Calendar Year 2024</t>
  </si>
  <si>
    <t>Vessel</t>
  </si>
  <si>
    <t xml:space="preserve">Air
</t>
  </si>
  <si>
    <t>Unit</t>
  </si>
  <si>
    <t>Shipping</t>
  </si>
  <si>
    <t>of</t>
  </si>
  <si>
    <t>Net</t>
  </si>
  <si>
    <t>Value</t>
  </si>
  <si>
    <t>Weight</t>
  </si>
  <si>
    <t>Schedule B</t>
  </si>
  <si>
    <t>Commodity Description</t>
  </si>
  <si>
    <t>Quantity</t>
  </si>
  <si>
    <t>(Thousands)</t>
  </si>
  <si>
    <t>GUAM TOTAL</t>
  </si>
  <si>
    <t>ANIMAL &amp; VEGETABLE FATS/OILS, CHEMICALLY MODIFIED</t>
  </si>
  <si>
    <t>KG</t>
  </si>
  <si>
    <t>WHISKIES, NESOI, CONTAINERS NOT OVER 4 LITERS EACH</t>
  </si>
  <si>
    <t>PFL</t>
  </si>
  <si>
    <t>ANTINEOPLASTIC AND IMMUNOSUPRESSIVE MEDICAMENTS</t>
  </si>
  <si>
    <t>MEDS(MIX/UMIX)MEAS DOSES FOR RETAIL SALE, NESOI</t>
  </si>
  <si>
    <t>WASTE FROM THE CHEMICAL OR ALLIED INDUSTRY, NESOI</t>
  </si>
  <si>
    <t>POLYURETHANES,CEMENTS</t>
  </si>
  <si>
    <t>SILICONES IN PRIMARY FORMS</t>
  </si>
  <si>
    <t>BLINDS(INCLUDING VENETIAN BLINDS)OF PLASTIC</t>
  </si>
  <si>
    <t>NO</t>
  </si>
  <si>
    <t>ARTICLES OF PLASTICS ETC, NESOI</t>
  </si>
  <si>
    <t>PLATES OF VULCANIZED RUB, OF NONCELLULAR RUBBER</t>
  </si>
  <si>
    <t>PIPE, REINFORCED/COMBINE W/ METAL ONLY, W/O FITTING</t>
  </si>
  <si>
    <t>O-RINGS EXCEPT USED IN AUTO GOODS OF CHAPT 87</t>
  </si>
  <si>
    <t>TRUNKS,SUITCASE,VANITY CASE, ETC,SURF TEXTILE,NESOI</t>
  </si>
  <si>
    <t>HANDBAGS,WITH OUTER SURFACE OF PLASTIC SHEETING</t>
  </si>
  <si>
    <t>ART AND PICTORIAL BOOKS VALUED $5 OR MORE EACH</t>
  </si>
  <si>
    <t>PRINTED MATTER NESOI 49 OR MORE PAGES EA EX COVERS</t>
  </si>
  <si>
    <t>UNUSED POSTAGE; BANKNOTES; CHECK FORMS; STOCK, ETC</t>
  </si>
  <si>
    <t>MADE UP FISH NET NESOI OF MANMADE TEXTILE MATERIAL</t>
  </si>
  <si>
    <t>GIRLS' T-SHIRTS EXCEPT UNDERWEAR OF COTTON, KNIT</t>
  </si>
  <si>
    <t>DOZ</t>
  </si>
  <si>
    <t>ACCESSORIES OF MANMADE FIBERS, NOT KNIT OR CROCHTD</t>
  </si>
  <si>
    <t>NONINDUSTRIAL DIAMONDS WEIGHING &gt; 0.5CT EACH</t>
  </si>
  <si>
    <t>CAR</t>
  </si>
  <si>
    <t>WST&amp;SCRAP OF PREC MTL/MTL CLAD W/PREC MTL, NESOI</t>
  </si>
  <si>
    <t>GM</t>
  </si>
  <si>
    <t>GOLD JEWELRY AND PARTS THEREOF, NESOI</t>
  </si>
  <si>
    <t>NO 1 HEAVY MELTING STEEL SCRAP</t>
  </si>
  <si>
    <t>T</t>
  </si>
  <si>
    <t>OTHER FERROUS SCRAP</t>
  </si>
  <si>
    <t>SPNT ANDS WST/SCRP U 94 P CU, BRASS 0.3 OR UN LEAD</t>
  </si>
  <si>
    <t>Source: U.S. Trade with Puerto Rico and (FT895/24), U.S. Census Bureau</t>
  </si>
  <si>
    <t>HTSUSA = Harmonized Tariff Schedule of the United States Annotated</t>
  </si>
  <si>
    <t>Table 19-30. 2 Shipments from U.S. Possessions to the United States by HTSUSA Commodity, Guam: Calendar Year 2024</t>
  </si>
  <si>
    <t>ALUMINUM STRUCTURES AND PARTS NESOI</t>
  </si>
  <si>
    <t>ZINC ARTICLES, NESOI</t>
  </si>
  <si>
    <t>SCKT WRNCHS W/WO HNDLS,DRVS,A EXTNSNS,PTS, BS MTL</t>
  </si>
  <si>
    <t>MASONRY DRILLS W CUTTING PART OF SPEC METAL CNTNTS</t>
  </si>
  <si>
    <t>OTH MNTNGS FTTNGS ETC NESOI IOS ZN ALUM, PTS THERF</t>
  </si>
  <si>
    <t>STATUETTES A OTH ORNMNTS A PRTS, BS METL NT PM PLT</t>
  </si>
  <si>
    <t>CENT PMP LIQ,SING-STG,SING-SUC, CLOS-COUP,OV 5.08CM</t>
  </si>
  <si>
    <t>PARTS OF PUMPS FOR LIQUIDS, NESOI</t>
  </si>
  <si>
    <t>FANS, NESOI</t>
  </si>
  <si>
    <t>IND MAC,PLANT, EQUIP,TREAT RUB, PLAST,TEMP CHG,NES</t>
  </si>
  <si>
    <t>BUCKETS, SHOVELS, GRABS AND GRIPS, NESOI</t>
  </si>
  <si>
    <t>PTS OF BORING,SINKNG MAC OF SUBHD 8430.41,8430.49</t>
  </si>
  <si>
    <t>PTS OF HOUSEHOLD OR LNDRY-TYP WASH MAC, NESOI</t>
  </si>
  <si>
    <t>PORT DGTL ADP MACH,&lt; 10 KG,AT LEAST CPU,KBRD,DSPLY</t>
  </si>
  <si>
    <t>PROC UNT IN HOUS W/ EITHER STOR, IN&amp;OUTPUT,W/O CRT</t>
  </si>
  <si>
    <t>HARD DISK DRIVE UNT, NESOI, W/ OUT EXTNL POWR SUPLY</t>
  </si>
  <si>
    <t>OTHER STORAGE UNITS, NESOI</t>
  </si>
  <si>
    <t>MACHINES AND UNITS THEREOF FOR PROCESS DATA, NESOI</t>
  </si>
  <si>
    <t>PTS &amp; ACCESSORIES OF MACH OF HEADING OF 8471,NESOI</t>
  </si>
  <si>
    <t>MACHINERY, NESOI, FOR PUBLIC WRKS, BUILDING,ETC</t>
  </si>
  <si>
    <t>PARTS OF MACHINES &amp; MECHANICAL APPLIANCES, NESOI</t>
  </si>
  <si>
    <t>UNIVERSAL AC/DC ELEC MOTORS GT 37.5W BUT LT=74.6 W</t>
  </si>
  <si>
    <t>AC GENERATORS (ALTERNATORS), OUTPUT LT=75 KVA</t>
  </si>
  <si>
    <t>AC GENERATORS (ALTERNATORS) EXCEEDING 40,000 KVA</t>
  </si>
  <si>
    <t>POWR SUPPLS FR INC INTO ADP MACH/UNITS, GT 500 W</t>
  </si>
  <si>
    <t>STATIC CONVERTERS, NESOI</t>
  </si>
  <si>
    <t>ELECTRIC TEA MAKERS,DOMESTIC</t>
  </si>
  <si>
    <t>ELECTRIC HEATING RESISTORS, NESOI</t>
  </si>
  <si>
    <t>Table 19-30. 3 Shipments from U.S. Possessions to the United States by HTSUSA Commodity, Guam: Calendar Year 2024</t>
  </si>
  <si>
    <t>SMARTPHONES</t>
  </si>
  <si>
    <t>TELEPHONES FOR CELL/OTHER WIRELESS NETWORKS, NESOI</t>
  </si>
  <si>
    <t>MACH FOR RECP/CONVER ETC OF VOICE/IMAGE/DATA NESOI</t>
  </si>
  <si>
    <t>PART PHONE/OTH APPARAT TRANS/ RECEPT VOICE,IMG,DATA</t>
  </si>
  <si>
    <t>RECORDED/UNRECORD MEDIA FOR SOUND, ETC., NESOI</t>
  </si>
  <si>
    <t>STILL IMAGE VIDEO CAMERA,VDEO CAMERA RECORDR,NESOI</t>
  </si>
  <si>
    <t>RADIO NAVIGATIONAL AID APPARATUS,RECEPTION ONLY</t>
  </si>
  <si>
    <t>RADIOBROADCAST RECEIVER COMBINATIONS, BTY, NESOI</t>
  </si>
  <si>
    <t>RECEPTION APPARATUS FOR RADIOBROADCASTING</t>
  </si>
  <si>
    <t>SIGNALING APPARATUS, ELECTRIC, NESOI</t>
  </si>
  <si>
    <t>SIGNAL GENERATORS</t>
  </si>
  <si>
    <t>–</t>
  </si>
  <si>
    <t>ELECTRICAL MACHINES AND APPARATUS, NESOI</t>
  </si>
  <si>
    <t>INSULATED ELEC CONDUC LT=1000V, W/CONNECTRS,TELECOM</t>
  </si>
  <si>
    <t>SPENT PRMRY CELLS &amp; BATTRS, RECRY OF PB, LEAD-ACID</t>
  </si>
  <si>
    <t>USED VEHICLES, ONLY SK IG (1500-3000 CC), NESOI</t>
  </si>
  <si>
    <t>MOT VEH FOR TRNSPRT OF GOODS, GVW &lt; 2.5 MET TONS</t>
  </si>
  <si>
    <t>PARTS,NESOI,OF MV,NESOI, HDS 8701-8705</t>
  </si>
  <si>
    <t>TRAILERS AND SEMI-TR, NESOI, FOR VEH OF HD 8703</t>
  </si>
  <si>
    <t>RC UNMANNED AIRCRAFT MAX TAKE- OFF WT 250G - 7KG</t>
  </si>
  <si>
    <t>RC UNMANNED AIRCRAFT MAX TAKE- OFF WT 7KG - 25KG</t>
  </si>
  <si>
    <t>OTH PRTS OF ARPLNS/HLCPTRS, NESOI,NT FR DOD OR USCG</t>
  </si>
  <si>
    <t>SURVEYING, HYDROGRAPHIC, ETC. INST &amp;APPLN, NESOI</t>
  </si>
  <si>
    <t>INST &amp; APPLIANCES FOR DENTAL SCIENCES &amp; PTS, NESOI</t>
  </si>
  <si>
    <t>OTH ARTIFICAL PTS OF THE BODY &amp; PTS &amp; ACCESSORIES</t>
  </si>
  <si>
    <t>MACHINE&amp;APPLIANCE,TEST HARDNESS,STRENGTH,ETC,NESOI</t>
  </si>
  <si>
    <t>INST&amp; APPARATUS, MEASURING/ CHECKING PRESSURE,NESOI</t>
  </si>
  <si>
    <t>GAS OR SMOKE ANALYSIS APPARATUS, NESOI</t>
  </si>
  <si>
    <t>OTHER CHEMICAL ANALYSIS INSTRUMENTS, NESOI</t>
  </si>
  <si>
    <t>Table 19-30. 4 Shipments from U.S. Possessions to the United States by HTSUSA Commodity, Guam: Calendar Year 2024</t>
  </si>
  <si>
    <t>ELECTRICITY METERS</t>
  </si>
  <si>
    <t>INST FOR MEASURING/DETECTING IONIZING RADIATIONS</t>
  </si>
  <si>
    <t>OTH INST, SPECIALLY DESIGNED FOR TELECOMMUNICATION</t>
  </si>
  <si>
    <t>INSTRUMENTS &amp; APPARATUS W/O RECORDING DEVICE NESOI</t>
  </si>
  <si>
    <t>MEASURE/CHECK INST, APPLN&amp;MACHINES,NESOI IN CHAP 90</t>
  </si>
  <si>
    <t>PROCESS CONTROL INST&amp;APPRTS FOR COMPLETE SYSTEMS</t>
  </si>
  <si>
    <t>PARTS FOR GAMES, COIN-OR TOKEN- OPERATED</t>
  </si>
  <si>
    <t>WATER-SPORT EQUIP, PARTS &amp; ACCESS, NESOI</t>
  </si>
  <si>
    <t>PAINTINGS, DRAWINGS AND PASTELS NOT OVER 100 YEARS</t>
  </si>
  <si>
    <t>GOODS OF CHAPTER 28 RETURNED AFTER BEING EXPORTED</t>
  </si>
  <si>
    <t>US GOODS OF CHPTR 30 RETURNED AFTER BEING EXPORTED</t>
  </si>
  <si>
    <t>U.S. GOODS IN CH 71 RETURING AFTER EXPORT</t>
  </si>
  <si>
    <t>X</t>
  </si>
  <si>
    <t>US GOODS IN CHPTR 82 RETURNED AFTER BEING EXPORTED</t>
  </si>
  <si>
    <t>US GOODS HEADG 8407.10,8409.10, 8411,8412.10 RETURN</t>
  </si>
  <si>
    <t>US GOODS HEADGS 8419.33, 8419.34,8424.41,ETC RETURN</t>
  </si>
  <si>
    <t>US GOODS OF HEADINGS 8469-8473 RETURNING AFTER EXP</t>
  </si>
  <si>
    <t>US GOODS IN CHAPTER 84, NESOI, RETURNING AFTER EXP</t>
  </si>
  <si>
    <t>US GOODS IN HEADINGS 8501-8503 RETURNING AFTER EXP</t>
  </si>
  <si>
    <t>U.S. GOODS IN HEADING 8504 RETURNING AFTER EXPORT</t>
  </si>
  <si>
    <t>US GOODS RETURNED HEADNGS 8517, 8520,8525,8527,8529</t>
  </si>
  <si>
    <t>US GOODS IN CHAPTER 85, NESOI, RETURNING AFTER EXP</t>
  </si>
  <si>
    <t>GOODS IN CHAPTER 86, RETURNED AFTER BEING EXPORTED</t>
  </si>
  <si>
    <t>GOODS IN HEADING 8701 RETURNED AFTER BEING EXPORTD</t>
  </si>
  <si>
    <t>GOODS IN HEADING 8703 RETURNED AFTER BEING EXPORTD</t>
  </si>
  <si>
    <t>US GOODS IN HEAD 8704, RETURNING AFTER EXP</t>
  </si>
  <si>
    <t>GOODS IN HEADINGS 8706-8708 RETURNING AFTER EXPORT</t>
  </si>
  <si>
    <t>US GOODS IN CHAPTER 87, NESOI, RETURNING AFTER EXP</t>
  </si>
  <si>
    <t>GOODS IN HEADINGS 8801-8802 RETURNING AFTER EXPORT</t>
  </si>
  <si>
    <t>Table 19-30. 5 Shipments from U.S. Possessions to the United States by HTSUSA Commodity, Guam: Calendar Year 2024</t>
  </si>
  <si>
    <t>HEADINGS 8804 RETURNING AFTER EXPORT</t>
  </si>
  <si>
    <t>HDG 8805-8807 RETURND AFTER BEING EXPORTD</t>
  </si>
  <si>
    <t>CHAPTER 89, RETURNED AFTER BEING EXPORTED</t>
  </si>
  <si>
    <t>IN CHPTR 90 RETURNED AFTER BEING EXPORTED</t>
  </si>
  <si>
    <t>HEADINGS 9401-9403 RETURNING AFTER EXPORT</t>
  </si>
  <si>
    <t>IN CHAPTER 94, NESOI, RETURNING AFTER EXP</t>
  </si>
  <si>
    <t>OF U.S. RETURNED AFTER BEING EXPORT,NESOI</t>
  </si>
  <si>
    <t>PREV IMPORTED W/O BEING ADVAN FREE, CBER</t>
  </si>
  <si>
    <t>EIMPORTED WHICH DUTY WAS PAID...</t>
  </si>
  <si>
    <t>FOR NASA AND ARTICLS IMPRTD FOR INTNL PRG</t>
  </si>
  <si>
    <t>All Methods of Transportation</t>
  </si>
  <si>
    <t>Table 19-31.1 Shipments from U.S. Possessions to the United States by HTSUSA Commodity, Guam: Calendar Year 2023</t>
  </si>
  <si>
    <t>COFFEE, ARABICA, NOT ORGANIC NOT DECAF NOT ROASTED</t>
  </si>
  <si>
    <t>ANIMAL &amp;VEGETABLE FATS/OILS, CHEMICALLY MODIFIED</t>
  </si>
  <si>
    <t>WHISKIES, SCOTCH &amp; IRISH, CNTRS NOT OVER 4 LITERS</t>
  </si>
  <si>
    <t>GLAZERS' PUTTY,ETC, NESOI</t>
  </si>
  <si>
    <t>CLEANING PREPARATIONS</t>
  </si>
  <si>
    <t>WASTE OF ORGANIC SOLVENTS, NESOI</t>
  </si>
  <si>
    <t>WASTES, AS SPECIFIED IN NOTE 6 TO CHAP 38, NESOI</t>
  </si>
  <si>
    <t>BIODIESEL AND MIXTURES THEREOF, NESOI</t>
  </si>
  <si>
    <t>PLATES,SHEETS,ETC OF POLYMRS OF VNYL CHLOR, NESOI</t>
  </si>
  <si>
    <t>GLOVES,SEAMLESS,EXCP SURG &amp; MEDICAL,NOT DISP,PLAST</t>
  </si>
  <si>
    <t>DPR</t>
  </si>
  <si>
    <t>ART OF APPAREL &amp; CLOTHING ACCESSORIES,PLAST,NESOI</t>
  </si>
  <si>
    <t>PIPE, NT REINFORCED/COMBINE W/ MATERIAL, W/O FITTIN</t>
  </si>
  <si>
    <t>GLOVES SEAMLESS EXCEPT DISPOSABLE</t>
  </si>
  <si>
    <t>GLOVES OF APPAREL AND CLOTHING ACCESSORIES</t>
  </si>
  <si>
    <t>TRUNKS, SUITCASES, VANITY CSES &amp; SMLR CTNS,PLASTIC</t>
  </si>
  <si>
    <t>HANDBAGS,OUTER SURFACE OF LEATHER,VAL OVER $20 EA</t>
  </si>
  <si>
    <t>GLOVES HORSEHIDE OR COWHIDE, NOT ALL LEATHER,NESOI</t>
  </si>
  <si>
    <t>TROPICAL WOOD, SAWN LENGTHWISE, GT 6MM THICK NESOI</t>
  </si>
  <si>
    <t>M3</t>
  </si>
  <si>
    <t>PALLETS, BOX-PALLETS, LOAD BOARDS, OF WOOD, NESOI</t>
  </si>
  <si>
    <t>FLDNG CRTNS/BOXES/CASES OF NON- CORRUGATED PR NESOI</t>
  </si>
  <si>
    <t>WOMEN'S DRESSES OF ARTIF FIB LT 23% WOOL, KNIT</t>
  </si>
  <si>
    <t>GLVS IMPREG PLAS/RBR W/OUT 4CHTTS SUBJ MMF RES, KT</t>
  </si>
  <si>
    <t>MEN'S SUIT JCKT/BLZR ART FIB N GT 36% WOOL,N KT</t>
  </si>
  <si>
    <t>WOM DRESS OF COT CON LT 36% WT FLAX FIB, NT K/CROC</t>
  </si>
  <si>
    <t>W DRESSES OF OT ART FIB LT 36% BY WT W/FAH NT KT</t>
  </si>
  <si>
    <t>MADE UP TEXTILE ARTICLES, NESOI</t>
  </si>
  <si>
    <t>Source: U.S. Trade with Puerto Rico and (FT85), U.S. Census Bureau</t>
  </si>
  <si>
    <t>Table 19-31.2 Shipments from U.S. Possessions to the United States by HTSUSA Commodity, Guam: Calendar Year 2023</t>
  </si>
  <si>
    <t>WATERPROOF FTWR SOLES/UPPERS POLYVINYL CHLORIDE</t>
  </si>
  <si>
    <t>PRS</t>
  </si>
  <si>
    <t>MEN'S FTWR RUBR/PLS OUTR SOL &amp; UPR GT $12/PR NESOI</t>
  </si>
  <si>
    <t>FTWR SOL RB/PL UPPER LTHR OTH FTWR FOR YOUTHS/BOYS</t>
  </si>
  <si>
    <t>SPRT FTWEAR TXTLE UPPER VAL GT $12/PR,WOMEN,NESOI</t>
  </si>
  <si>
    <t>GOLD WASTE/SCRAP; INCLUDING METAL CLAD WITH GOLD</t>
  </si>
  <si>
    <t>GOLD ROPE NECKLACES AND NECK CHAINS, NESOI</t>
  </si>
  <si>
    <t>GOLD NECKLACES AND NECK CHAINS, NESOI</t>
  </si>
  <si>
    <t>OTHR IMIT JWLRY OV $.20 PR DZ PCS O PRTS</t>
  </si>
  <si>
    <t>STAINLESS STEEL WASTE AND SCRAP</t>
  </si>
  <si>
    <t>BLTS, BLTS W NUTS/WSHRS IR/ST THRFDS 6MM OM NESOI</t>
  </si>
  <si>
    <t>SPENT ANODES OF REFINED COPPER</t>
  </si>
  <si>
    <t>PTS OF PRESS,STAMP,PUNCH TLS, NT SUIT FOR CUT METAL</t>
  </si>
  <si>
    <t>OTH INTCHBL TLS NT ROUTER BTS O CUTTRHDS NT HNDTLS</t>
  </si>
  <si>
    <t>PARTS FR COMP-IG PST ENG FR RD TR,BUS,AUTO,TRUCKS</t>
  </si>
  <si>
    <t>PARTS FOR COMP-IG INT COMB PST ENGINES, NESOI</t>
  </si>
  <si>
    <t>FUEL-INJECTION PUMPS FOR COMPRESSION-IGNITION ENGS</t>
  </si>
  <si>
    <t>LUBRICATING PUMPS FOR INTERNAL COMBUSTION PST ENGS</t>
  </si>
  <si>
    <t>COOLING MEDIUM PUMPS FOR INTERNAL COMB PISTON ENGS</t>
  </si>
  <si>
    <t>PARTS,FUEL,LUBRIC OR COOL MED PUMPS,EXC FUEL-INJET</t>
  </si>
  <si>
    <t>AIR COMPRESSORS,TURBOCHARGERS &amp; SUPERCHARGERS</t>
  </si>
  <si>
    <t>AIR COMPRESSORS,NESOI,STTNRY, RCPRCTNG,746W-4.48KW</t>
  </si>
  <si>
    <t>PARTS OF OTHER COMPRESSORS, NESOI</t>
  </si>
  <si>
    <t>PARTS OF AIR CONDITIONING MACHINES, NESOI</t>
  </si>
  <si>
    <t>REFRIG/FREEZING EQUIP, NESOI</t>
  </si>
  <si>
    <t>PARTS,MACH,PLANT EQUIP,TREAT MATERL,TEMP CHG,NESOI</t>
  </si>
  <si>
    <t>Table 19-31.3 Shipments from U.S. Possessions to the United States by HTSUSA Commodity, Guam: Calendar Year 2023</t>
  </si>
  <si>
    <t>CATALYTIC CONVERTERS</t>
  </si>
  <si>
    <t>POINT-OF-SALE TERMINAL TYPE CASH REGISTERS</t>
  </si>
  <si>
    <t>COMB INPUT/OUTPUT UNITS W/OUT CATHODE RAY TB,NESOI</t>
  </si>
  <si>
    <t>UNITS,NESOI,FOR INCORPORATION INTO ADP MACHINES</t>
  </si>
  <si>
    <t>PRTS&amp;ACCES OF PRINTED CIRCUIT ASSEMBLIES HEAD 8471</t>
  </si>
  <si>
    <t>PTS &amp; ACCESS = SUIT F/USE W/2 HEAD 8469-8472,NESOI</t>
  </si>
  <si>
    <t>OTHER TAPS, COCKS, VALVES, ETC., NESOI</t>
  </si>
  <si>
    <t>CAMSHAFTS AND CRANKSHAFTS, NESOI</t>
  </si>
  <si>
    <t>DC MOTORS GT=746 W BUT LT=750 W, NESOI</t>
  </si>
  <si>
    <t>LEAD ACID STORGE BATT,AS SRC OF PWR FOR 8703.40-80</t>
  </si>
  <si>
    <t>STARTER MOTORS AND DUAL PURPOSE STARTER-GENERATORS</t>
  </si>
  <si>
    <t>GENERATORS FOR INTERNAL COMBUSTION ENGINES, NESOI</t>
  </si>
  <si>
    <t>APPS FOR TRANSMISS/RECP OF VOICE/IMAGE/DATA,NESOI</t>
  </si>
  <si>
    <t>LOUDSPEAKERS, NESOI</t>
  </si>
  <si>
    <t>SMART CARDS, RECORDED</t>
  </si>
  <si>
    <t>TELEVISION TRANSMISSION APPARATUS, NESOI</t>
  </si>
  <si>
    <t>RADIO REMOTE CONTROL APPARATUS, NESOI</t>
  </si>
  <si>
    <t>ELECTRICAL DISTRIBUTION DUCTS, NOT EXCEEDING 1000 V</t>
  </si>
  <si>
    <t>PANEL BOARDS &amp; DISTRIBUTION BOARDS; LT=1,000 VOLTS</t>
  </si>
  <si>
    <t>PROGRAMABLE CONTROLLERS, LT=1, 000 VOLTS</t>
  </si>
  <si>
    <t>AMPLIFIERS</t>
  </si>
  <si>
    <t>Table 19-31.4 Shipments from U.S. Possessions to the United States by HTSUSA Commodity, Guam: Calendar Year 2023</t>
  </si>
  <si>
    <t>ELECTRICAL MACHINE PARTS, NESOI</t>
  </si>
  <si>
    <t>CONTAINERS FOR ONE OR MORE MODES OF TRANSPORT</t>
  </si>
  <si>
    <t>FOUR WHEEL OFF-ROAD VEHICLES, LT=1000 CC, NESOI</t>
  </si>
  <si>
    <t>PASS MTR VEH, ONLY SPARK IGN, GT 3000 CC, USED</t>
  </si>
  <si>
    <t>USED VHCLS, SPRK AND ELCTC ENGN 1500-3000 CC NESOI</t>
  </si>
  <si>
    <t>USED VEHICLES,SPK/ELEC(1500- 3000 CC), NESOI</t>
  </si>
  <si>
    <t>PARTS OF TRACTORS FOR AGRIC USE: NESOI OF HDG 8701</t>
  </si>
  <si>
    <t>WORKS TRUCKS,EXC ELEC,EXC OP RIDE,W/O LIFT EQP</t>
  </si>
  <si>
    <t>FRAMES AND MOUNTINGS OF PLASTICS</t>
  </si>
  <si>
    <t>PARTS AND ACCESSORIES FOR PHOTOGRAPHIC CAMERAS</t>
  </si>
  <si>
    <t>GEOPHYSICAL INSTRUMENTS AND APPLIANCES, NESOI</t>
  </si>
  <si>
    <t>GAUGES FOR MEASURING LENGTH</t>
  </si>
  <si>
    <t>DENTAL DRILL ENGINES AND PARTS AND ACCESSORIES</t>
  </si>
  <si>
    <t>DENTAL HAND INSTRUMENTS AND PARTS AND ACCESSORIES</t>
  </si>
  <si>
    <t>OTHER OPHTHALMIC INSTRUMENTS &amp; APPLIANCES &amp; PARTS</t>
  </si>
  <si>
    <t>OPTICAL INSTRUMENTS AND APPLIANCES AND PARTS,NESOI</t>
  </si>
  <si>
    <t>THERMOMETERS, NOT COMBINED W OTHER INSTRUMENTS NES</t>
  </si>
  <si>
    <t>ELEC CHEMICAL ANALYSIS INST, EXC USE OPT RADIATIONS</t>
  </si>
  <si>
    <t>ELEC PHYSICAL ANALYSIS INST, EXC USE OPT RADIATIONS</t>
  </si>
  <si>
    <t>COORDINATE-MEASURING MACH FOR OPTICAL INST &amp; APPL</t>
  </si>
  <si>
    <t>OTHER OPTICAL INSTRUMENTS AND APPLIANCES,NESOI</t>
  </si>
  <si>
    <t>Table 19-31.5 Shipments from U.S. Possessions to the United States by HTSUSA Commodity, Guam: Calendar Year 2023</t>
  </si>
  <si>
    <t>PTS,MEASURE/CHECK INST/ APPLN&amp;MACH, NESOI</t>
  </si>
  <si>
    <t>SEATS OF A KIND USED FOR AIRCRAFT, NESOI</t>
  </si>
  <si>
    <t>STL RACKS OTH TH THOSE IN 9403.20.0075</t>
  </si>
  <si>
    <t>WELDED WIRE RACK DECKING</t>
  </si>
  <si>
    <t>CHESS, CHECKERS, ETC. PKG AS UNIT USE IN RETL SALE</t>
  </si>
  <si>
    <t>GOLF CLUBS, COMPLETE</t>
  </si>
  <si>
    <t>TRAVELING CIRCUSES AND TRAVELING MANAGERIES</t>
  </si>
  <si>
    <t>ORIG ENGRAV, PRINTS AND LITHOGRAPHS NOT OV 100 YRS</t>
  </si>
  <si>
    <t>MEAT &amp; POULTRY OF U.S. RETURNED AFTER EXPORT</t>
  </si>
  <si>
    <t>US GOODS IN CHPTR 37 RETURNED AFTER BEING EXPORTED</t>
  </si>
  <si>
    <t>GOODS IN HEADINGS 8804 RETURNING AFTER EXPORT</t>
  </si>
  <si>
    <t>Table 19-31.6 Shipments from U.S. Possessions to the United States by HTSUSA Commodity, Guam: Calendar Year 2023</t>
  </si>
  <si>
    <t>GOODS IN HDG 8805-8807 RETURND AFTER BEING EXPORTD</t>
  </si>
  <si>
    <t>GOODS IN CHAPTER 89, RETURNED AFTER BEING EXPORTED</t>
  </si>
  <si>
    <t>US GOODS IN CHPTR 90 RETURNED AFTER BEING EXPORTED</t>
  </si>
  <si>
    <t>GOODS IN HEADINGS 9401-9403 RETURNING AFTER EXPORT</t>
  </si>
  <si>
    <t>US GOODS IN CHAPTER 94, NESOI, RETURNING AFTER EXP</t>
  </si>
  <si>
    <t>PRODUCTS OF U.S. RETURNED AFTER BEING EXPORT,NESOI</t>
  </si>
  <si>
    <t>ARTCLS REIMPORTED WHICH DUTY WAS PAID...</t>
  </si>
  <si>
    <t>REIMPORTS OF EXPORTED GOODS FOR PERSONAL USE</t>
  </si>
  <si>
    <t>ARTICLES FOR NASA AND ARTICLS IMPRTD FOR INTNL PRG</t>
  </si>
  <si>
    <t xml:space="preserve">Table 19-32.1 Shipments from U.S. Possessions to the United States by HTSUSA Commodity, Guam: Calendar Year 2022
</t>
  </si>
  <si>
    <t>DOGS, LIVE</t>
  </si>
  <si>
    <t>VEGETABLE FATS &amp; OILS NESOI HYDROGENATED NT PREPAR</t>
  </si>
  <si>
    <t>BEER MADE FRM MALT IN GLASS CNTR NT OV 4 LITERS EA</t>
  </si>
  <si>
    <t>L</t>
  </si>
  <si>
    <t>PEBBLES &amp; GRAVEL</t>
  </si>
  <si>
    <t>WASTES OF LUBRICATING OILS</t>
  </si>
  <si>
    <t>BBL</t>
  </si>
  <si>
    <t>OTHER GASKETS AND WASHERS &amp; OTHER SEALS</t>
  </si>
  <si>
    <t>SEAMLESS, DISPOSABLE GLOVE, VULCANIZED RUBBER</t>
  </si>
  <si>
    <t>BOAT/DOCK FENDER, INFLATABLE/ NT, OF VULCANIZED RUB</t>
  </si>
  <si>
    <t>HANDBAGS,NESOI</t>
  </si>
  <si>
    <t>ARTICLES FOR POCKET OR HANDBAG, LEATHER,NOT REPTILE</t>
  </si>
  <si>
    <t>TWINE CORDAGE ROPE BRAIDED OF TEXTILE FIBERS NESOI</t>
  </si>
  <si>
    <t>TEXT CARPETS, TUFTED, OF WOOL OR FAH, HAND-HOOKED</t>
  </si>
  <si>
    <t>M2</t>
  </si>
  <si>
    <t>M/B SUITS OF WOOL/FINE ANIMAL HAIR, KNIT</t>
  </si>
  <si>
    <t>WOMEN'S DRESSES OF OTHER SYNTHETIC FIBERS, KNIT</t>
  </si>
  <si>
    <t>W/G OTHER GARMENTS OF MANMADE FIBERS, KNIT</t>
  </si>
  <si>
    <t>GLVS IMPREG PLAS N 4CHTT LT 50% COT MMF VEG FIB</t>
  </si>
  <si>
    <t>SHAWLS SCARVES MUFFLERS ETC TEX MATL NESOI, KNIT</t>
  </si>
  <si>
    <t>M/B SUIT-TYPE JACKET CON GT=70% SLK/SLK WST, NT KT</t>
  </si>
  <si>
    <t>TARPAULIN, AWNINGS &amp; SUNBLINDS OF SYNTHETIC FIBERS</t>
  </si>
  <si>
    <t>FTWR RUBPLAS SOL 10%OROV, FOR WOMEN, NESOI</t>
  </si>
  <si>
    <t>FOOTWEAR RUBPLAS SOL NESOI OV $12 MEN</t>
  </si>
  <si>
    <t>FOOTWEAR RUBPLAS SOL NESOI OV$12 WOMEN</t>
  </si>
  <si>
    <t>HOUSEHOLD ARTICLES OF PORCELAIN OR CHINA, NESOI</t>
  </si>
  <si>
    <t>PLATINUM EARRINGS</t>
  </si>
  <si>
    <t>PCS</t>
  </si>
  <si>
    <t>COIN OTHER THAN GOLD OR PLATINUM</t>
  </si>
  <si>
    <t>OTHER WASTE AND SCRAP OF BRASS NT OV .3 PCT LEAD</t>
  </si>
  <si>
    <t>OTHER WASTE A SCRAP OF OTHER COPPER ALLOYS</t>
  </si>
  <si>
    <t>ALUMINUM DOORS</t>
  </si>
  <si>
    <t>COMP-IGN INT COMB PST ENG, NESOI,EXCEEDING 1,119 KW</t>
  </si>
  <si>
    <t>PARTS, INC REGULATORS, FOR HYDRAULIC TURB &amp; WTR WH</t>
  </si>
  <si>
    <t>PARTS OF TURBOJET/TURBOPROP AIRCRAFT ENGINES NESOI</t>
  </si>
  <si>
    <t>AIR OR VACUUM PUMPS, NESOI</t>
  </si>
  <si>
    <t>WATER FILTERING OR PURIFYING MACHINERY &amp; APPARATUS</t>
  </si>
  <si>
    <t>WEIGHING MACHINES, NESOI</t>
  </si>
  <si>
    <t>PRINTING MACHINERY, NESOI</t>
  </si>
  <si>
    <t>PARTS AND ACCESSORIES OF PRINTERS, NESOI</t>
  </si>
  <si>
    <t>SHAP OR SLOT MAC,MTL REMOV,EXC N/C,UNDER $3025,NEW</t>
  </si>
  <si>
    <t>MACH TLS FOR WKNG HRD MTRLS, (NOT WOOD),NESOI</t>
  </si>
  <si>
    <t>DGTAL ADP MCH W CPU &amp; INPT/ OUTPT UNT,W/O CRT,NESOI</t>
  </si>
  <si>
    <t>DGTL ADP, NOT IN HOUS W/ CPU OR IN/OUTPT DVC,NESOI</t>
  </si>
  <si>
    <t>See the explanation of statistics for information on coverage, definition of F.A.S. Export value, and sources of error in the data.</t>
  </si>
  <si>
    <t>A dash "-" represents zero or a derived measure that rounds to less than 0.1.</t>
  </si>
  <si>
    <t>Abbreviations for Units of Quantity: DOZ-Dozen GM-Gram KG-Kilogram M3-Cubic Meters NO-Number PRS-Pairs T-Metric Tons X-No First Unit of Quantity</t>
  </si>
  <si>
    <t>Table 19-32.2 . Shipments from U.S. Possessions to the United States by HTSUSA Commodity, Guam: Calendar Year 2022 -- (continuation)</t>
  </si>
  <si>
    <t>OPTICAL SCANNERS &amp; MAGNETIC INK RECOGNITION DEVICE</t>
  </si>
  <si>
    <t>ADP INPUT/OUTPUT UNITS, NESOI</t>
  </si>
  <si>
    <t>PARTS OF INJECTION-MOLDING MACHINES</t>
  </si>
  <si>
    <t>PARTS OF MACH WORKING RUBBER OR PLASTICS ETC NESOI</t>
  </si>
  <si>
    <t>MIXING, KNEADING OR STIRRING MACHINES, NESOI</t>
  </si>
  <si>
    <t>PRIMARY CELLS AND BATTERIES, NESOI</t>
  </si>
  <si>
    <t>VACUUM CLEANER PARTS</t>
  </si>
  <si>
    <t>SWITCHING AND ROUTING APPARATUS</t>
  </si>
  <si>
    <t>RADIO BROADCAST TRANSMITTERS</t>
  </si>
  <si>
    <t>RADAR APPARATUS,EXC FOR BOAT OR SHIP INSTALLATION</t>
  </si>
  <si>
    <t>RADIO NAVIGATIONAL AID APPARATUS, NESOI</t>
  </si>
  <si>
    <t>ANTENNAS &amp; PARTS, FOR HEAD 8525-8528, NESOI</t>
  </si>
  <si>
    <t>ELECTRICAL SIGNALING OR TRAFFIC CONTROL EQPT,NESOI</t>
  </si>
  <si>
    <t>INDICATOR PANELS INCORPORATING LED'S</t>
  </si>
  <si>
    <t>FIXED CAPACITORS, ALUMINUM ELECTROLYTIC LT=18 MM</t>
  </si>
  <si>
    <t>TERMINALS,ELECTR SPLICES &amp; COUPLINGS,WAFER PROBERS</t>
  </si>
  <si>
    <t>ELEC INTEGRATED CIRCUITS, MEMORY, NESOI</t>
  </si>
  <si>
    <t>ELEC SYNCH TRANSDCRS DEFRSTRS ETC FOR AIRCRF, NESO</t>
  </si>
  <si>
    <t>ELECTRICAL PARTS OF MACHINERY OF CHAPTER 85, NESOI</t>
  </si>
  <si>
    <t>PASS MOTOR VEHICLES LT=1000 CC ONLY SPARK IG NESOI</t>
  </si>
  <si>
    <t>MOUNTED BRAKE LININGS, VEH, NESOI, 8701 TO 8705</t>
  </si>
  <si>
    <t>SUSPENSION SHOCK ABSORBERS FOR VEHICLES, NESOI</t>
  </si>
  <si>
    <t>WORKS TRUCKS, EXC ELEC, OPERATOR RIDE,W/O LIFT EQP</t>
  </si>
  <si>
    <t>MOTORCYCLES EXCEEDING 970 CC</t>
  </si>
  <si>
    <t>BICYCLES, NESOI</t>
  </si>
  <si>
    <t>PARACHUTES(ALSO DIRIGIBLE CHUTES)&amp;ROTOCHUTES&amp;PRTS</t>
  </si>
  <si>
    <t>SPECTACLE LENSES OF OTHER MATERIALS, UNMOUNTED</t>
  </si>
  <si>
    <t>CAMERAS FOR UNDERWATER, AERIAL SURVEY, MEDICAL ETC</t>
  </si>
  <si>
    <t>CAMERAS OTHER THAN FIXED FOCUS VALUED OVER $10 EA.</t>
  </si>
  <si>
    <t>OPTICAL MIRRORS AND REFLECTORS</t>
  </si>
  <si>
    <t>INST &amp; APPLIANCES FOR MEDICAL, SURGICAL, ETC,NESOI</t>
  </si>
  <si>
    <t>OZONE,OXYGEN,ETC THERAPY, RESPIRATION APPARATUS,PT</t>
  </si>
  <si>
    <t>HEARING AIDS, EXCLUDING PARTS AND ACCESSORIES</t>
  </si>
  <si>
    <t>Table 19-32.3 . Shipments from U.S. Possessions to the United States by HTSUSA Commodity, Guam: Calendar Year 2022 -- (continuation)</t>
  </si>
  <si>
    <t>PTS OF APPARATUS BASED ON THE USE OF X-RAYS</t>
  </si>
  <si>
    <t>PYROMETERS NOT COMBINED WITH OTHER INSTRUMENTS</t>
  </si>
  <si>
    <t>FLOW METERS</t>
  </si>
  <si>
    <t>INST&amp;APPTS,MEASURING/CHECKING LEVELS OF LIQ, NESOI</t>
  </si>
  <si>
    <t>PTS, INST&amp;APPTS,MEASURE/CHECK VARIABLE,LIQ,NESOI</t>
  </si>
  <si>
    <t>ELECTRICAL GAS OR SMOKE ANALYSIS APPARATUS</t>
  </si>
  <si>
    <t>SPECTROPHOTOMETERS, ELECTRICAL</t>
  </si>
  <si>
    <t>CHEM ANALYSIS INST/APPT, OPTICAL RADIATON, NESOI</t>
  </si>
  <si>
    <t>INST&amp;APPRTS,PHYSICAL,ELEC, OPTICAL RADIATION,NESOI</t>
  </si>
  <si>
    <t>INST,PHYSICAL,EXC ELEC,USING OPT RADIATIONS,NESOI</t>
  </si>
  <si>
    <t>OTH INST, MEASURING/CHECKING VISCOSITY ETC,NESOI</t>
  </si>
  <si>
    <t>PTS &amp; ACCES,NON-ELEC,EXCEPT OPTICAL INSTRU,NESOI</t>
  </si>
  <si>
    <t>INST/APP FOR MEAS/CHECK VOLT/ CURR/PWR W/O REC NES</t>
  </si>
  <si>
    <t>PTS&amp;ACCESS FOR HARMONIUMS AND SIMILAR KEYBOARD INS</t>
  </si>
  <si>
    <t>SHOTGUNS, NESOI</t>
  </si>
  <si>
    <t>LED ILLUMINTD SIGNS, ILLUMINTD NAMEPLATE EXC BRASS</t>
  </si>
  <si>
    <t>ILLUMINATED SIGNS, ILLUMINATED NAMEPLATES, NESOI</t>
  </si>
  <si>
    <t>GYMANASIUM, OR OTH EXERCISE ART &amp; EQUP &amp; PTS,NESOI</t>
  </si>
  <si>
    <t>ARTICLES &amp; EQUIP FOR GYMNASTICS, NESOI</t>
  </si>
  <si>
    <t>FISHING REELS VALUED OVER $8.45 EACH</t>
  </si>
  <si>
    <t>FISHING LINE PUT UP AND PACKAGED FOR RETAIL SALE</t>
  </si>
  <si>
    <t>GOODS IN HEADINGS 8705 OR 8709 RETURNING AFTER EXP</t>
  </si>
  <si>
    <t>U.S. GOODS IN CH 97 RETURING AFTER EXPORT</t>
  </si>
  <si>
    <t xml:space="preserve">Table 19-33. 1 . Shipments from U.S. Possessions to the United States by HTSUSA Commodity, Guam: Calendar Year 2021
</t>
  </si>
  <si>
    <t>FISH, ORNAMENTAL, LIVE, NESOI</t>
  </si>
  <si>
    <t>FRUITS OF GENUS PIMENTA INC ALLSPICE, DRIED</t>
  </si>
  <si>
    <t>DIAGNOSTIC OR LABORATORY REAGENTS, NESOI</t>
  </si>
  <si>
    <t>MIX OF PCB, PCT, PBB, CHLOR, NT HALOGD HYDROCARBN</t>
  </si>
  <si>
    <t>BOXES, CASES, CRATES &amp; SIMILAR ARTC, OF PLASTIC NESOI</t>
  </si>
  <si>
    <t>BAGS OF POLYETHYLENE WITH SLIDER TO OPEN AND CLOSE</t>
  </si>
  <si>
    <t>THS</t>
  </si>
  <si>
    <t>STOPPERS, LIDS, CAPS, &amp; OTHER CLOSURES, OF PLASTIC</t>
  </si>
  <si>
    <t>GASKETS/ WASHER/ SEALS, FOR AUTO GOODS CHAPT 87, NESOI</t>
  </si>
  <si>
    <t>HANDBAGS, OUTER SURFACE OF LEATHER, VAL OVER $20 EA</t>
  </si>
  <si>
    <t>ARTICLES FOR POCKET OR HANDBAG, LEATHER, NOT REPTILE</t>
  </si>
  <si>
    <t>PAPER/ PPRBOARD LABELS OF ALL KINDS, PRINTED, NESOI</t>
  </si>
  <si>
    <t>PRINTED MATTER NESOI, IN SINGLE SHEETS</t>
  </si>
  <si>
    <t>TEXTBOOKS</t>
  </si>
  <si>
    <t>PRINTED MATTER NESOI ON PAPER LITHOGRAPHIC PROCESS</t>
  </si>
  <si>
    <t>WOVEN LABELS, SIMI ART TEX MAT, NOT EMBROID, MMF</t>
  </si>
  <si>
    <t>GLVS IMPREG PLAS/RUR W/OUT 4CHTTS SUBJ MMF RES, KT</t>
  </si>
  <si>
    <t>M/B GARMENTS NESOI RUBBERIZED MAN-MADE FIBERS N KT</t>
  </si>
  <si>
    <t>FTWR SOL R/P/L/C-L UPPER LEATHER OTH PROT TOE-CAP</t>
  </si>
  <si>
    <t>OTH FTWEAR W UPPERS LEATHER/ COMPOSITION LEATHER WM</t>
  </si>
  <si>
    <t>WST &amp; SCRAP OF PREC MTL/MTL CLAD W/ PREC MTL, NESOI</t>
  </si>
  <si>
    <t>PLATINUM RINGS</t>
  </si>
  <si>
    <t>TUBE, PIPE, SMLS, NESOI, 38.1 LT=114.3WALGT 12.7MM</t>
  </si>
  <si>
    <t>STUDS OF STAINLESS STEEL, THREADED</t>
  </si>
  <si>
    <t>OTHER LOCKS OF BASE METAL, NESOI</t>
  </si>
  <si>
    <t>SP-IG REC PST ENG FOR VEH (250-1000CC), NESOI, USED</t>
  </si>
  <si>
    <t>PARTS FR COMP-IG PST ENG FR RD TR, BUS, AUTO, TRUCKS</t>
  </si>
  <si>
    <t>PARTS FR COMPT-IG INT COMB PST ENGINES, NESOI</t>
  </si>
  <si>
    <t>PARTS OF NONAIRCRAFT GAS TURBINES, NESOI</t>
  </si>
  <si>
    <t>PARTS OF ENGINES AND MOTORS, NESOI</t>
  </si>
  <si>
    <t>HYDRAULIC FLUID POWER PUMPS, NESOI</t>
  </si>
  <si>
    <t>FANS, AXIAL, NOT FOR USE W/ MOTOR VEHICLES, NESOI</t>
  </si>
  <si>
    <t>AIR COMPRESSORS, TURBOCHARGERS &amp; SUPERCHARGERS</t>
  </si>
  <si>
    <t>PTS OF FANS INC BLOWERS (OF SUBHEARDING 8414.51.00)</t>
  </si>
  <si>
    <t>CENTRAL STATION AIR HANDLRS USED WITH WATER CHILLER</t>
  </si>
  <si>
    <t>HEAT EXCHANGE UNITS, NESOI</t>
  </si>
  <si>
    <t>PARTS OF MACHINES OF HEADING 8428, NESOI</t>
  </si>
  <si>
    <t>PARTS OF MACH OF HEADING 8426, 8429 OR 8430, NESOI</t>
  </si>
  <si>
    <t>MACH PRFM GT=2 FUNCT PRINT/CPY/FAX; USE W/ ATP/NTW</t>
  </si>
  <si>
    <t>COPY/FAX MACH, ABLE TO CONNECT TO ADP/NETWORK, NES</t>
  </si>
  <si>
    <t>JET, POWER LOOMS, FABRIC WID GT 30CM, SHUTTLELESS</t>
  </si>
  <si>
    <t>PARTS OF MECHANICAL TRANSFER PRESSES EXC CAST-IRON</t>
  </si>
  <si>
    <t>PARTS FR MECHANICAL TRANSFER PRESS, EXCL CAST-IRON</t>
  </si>
  <si>
    <t>PORT DGTL ADP MACH, &lt;10 KG, AT LEAST CPU, KBRD, DSPLY</t>
  </si>
  <si>
    <t>Table 19-33. 2 . Shipments from U.S. Possessions to the United States by HTSUSA Commodity, Guam: Calendar Year 2021 -- (continuation)</t>
  </si>
  <si>
    <t>DGTAL ADP MCH W CPU &amp; INPT/OUTPT UNT, W/O CRT, NESOI</t>
  </si>
  <si>
    <t>DGTAL ADP, NOT IN HOUS W/ CPU OR IN/OUTPT DVC, NESOI</t>
  </si>
  <si>
    <t>COMB INPUT/OUTPUT UNITS W/OUT CATHODE RAY TB, NESOI</t>
  </si>
  <si>
    <t>HARD MAGNET DISK DRIVE UNITS, NESOI</t>
  </si>
  <si>
    <t>PRTS &amp; ACCES OF PRINTED CIRCUIT ASSEMBLIES HEAD 8471</t>
  </si>
  <si>
    <t>PTS &amp; ACCESSORIES OF MACH OF HEADING OF 8471, NESOI</t>
  </si>
  <si>
    <t>PRTS &amp; ACCES OF PRINT CIRC ASSEMBLIES HEAD 8469-8472</t>
  </si>
  <si>
    <t>PARTS OF TAPS, COCKS, VALVES ETC, NESOI</t>
  </si>
  <si>
    <t>PTS CLTCHS, PLY, UNVRSL JTS, ETC; NESOI</t>
  </si>
  <si>
    <t>AC GENERATORS (ALTERNATORS), OUTPUT LT=75 KVA.NESO</t>
  </si>
  <si>
    <t>AC GENERATORS (ALTERNATOR) GT 75 KVA BUT LT= 375KVA</t>
  </si>
  <si>
    <t>AC GENERATORS (ALTERNATOR) GT 375 KVA BUT LT= 750KVA</t>
  </si>
  <si>
    <t>GENERATING SETS, ELECTRIC, NESOI</t>
  </si>
  <si>
    <t>BALLASTS FOR DISCHARGE LAMPS OR TUBES</t>
  </si>
  <si>
    <t>NICKEL CADMIUM STORAGE BATTERIES, SEALED</t>
  </si>
  <si>
    <t>LITHIUM-ION STORAGE BATTERIES, NESOI</t>
  </si>
  <si>
    <t>CELLULAR RADIOTELEPHONES FOR PCRS</t>
  </si>
  <si>
    <t>MODEMS OF A KIND USED WITH DATA PRCSG MCH OF 8471</t>
  </si>
  <si>
    <t>APPS FOR TRANSMISS/RECP OF VOICE/IMAGE/DATA, NESOI</t>
  </si>
  <si>
    <t>HEADPHONES, EARPHONES, MICROPHONE/SPEAKER, NESOI</t>
  </si>
  <si>
    <t>DISCS FOR LASER READING SYSTEMS, NESOI</t>
  </si>
  <si>
    <t>TRANSMISSION APPTS INCORPORATING RECEIVERS, NESOI</t>
  </si>
  <si>
    <t>STILL IMAGE VIDEO CAMERA, VDEO CAMERA RECORDER, NESOI</t>
  </si>
  <si>
    <t>VIDEO MONITORS, COLOR, W/ DISP GT 34.29 CM, NESOI</t>
  </si>
  <si>
    <t>RADAR, RADIO NAVIGAT AID ANTENNAS &amp; PARTS</t>
  </si>
  <si>
    <t>ANTENNAS &amp; PARTS, FOR HEAD 825-8528, NESOI</t>
  </si>
  <si>
    <t>INDICATOR PANELS INCORPORATING LCD'S</t>
  </si>
  <si>
    <t>PROGRAMMABLE CONTROLLERS, LT=1,000 VOLTS</t>
  </si>
  <si>
    <t>ELEC SYNCH TRANSDCRS DEFRSTRS ETS FOR AIRCRF, NESO</t>
  </si>
  <si>
    <t>FOUR WHEEL OFF-ROAD VEHICLES, LT=1000 CC. NESOI</t>
  </si>
  <si>
    <t>PASS MOTOR VEHICLES LT+1000 CC ONLY SPARK IGN, GT 3000 CC, USED</t>
  </si>
  <si>
    <t>USED VEHICLES, ONLY SK IG (1500-3--- CC), NESOI</t>
  </si>
  <si>
    <t>MOT VEH FOR TRNSPRT OF GOODS, GVW &lt;2.5 MET TONS</t>
  </si>
  <si>
    <t>MOT VEH FOR TRNSPRT OF GOODS, GVW (2.5-5) METRIC TONS</t>
  </si>
  <si>
    <t>VESSELS, NESOI</t>
  </si>
  <si>
    <t>OPTICAL ELEMENTS, NESOI</t>
  </si>
  <si>
    <t>SUNGLASSES</t>
  </si>
  <si>
    <t>ELECTRICAL THEODOLITES AND TACHYMETERS</t>
  </si>
  <si>
    <t>SEISMOGRAPHS</t>
  </si>
  <si>
    <t>Table 19-33. 3 . Shipments from U.S. Possessions to the United States by HTSUSA Commodity, Guam: Calendar Year 2021 -- (continuation)</t>
  </si>
  <si>
    <t>SURVEYING, HYDROGRAPHIC, ETC. INST &amp; APPLN, NESOI</t>
  </si>
  <si>
    <t>ELECTRO-SURGICAL INSTRUMENTS &amp; APPLIANCES &amp; PARTS</t>
  </si>
  <si>
    <t>INST &amp; APPLIANCES FOR MEDICAL, SURGICAL, ETC, NESOI</t>
  </si>
  <si>
    <t>ELEC HYDROMETERS, THEROMETERS, PYROMETERS, ETC</t>
  </si>
  <si>
    <t>OTH INST, RECORDING OR NOT, ANY COMBINATION OF THESE</t>
  </si>
  <si>
    <t>INST &amp; APPARATUS, MEASURING/ CHECKING PRESSURE, NESOI</t>
  </si>
  <si>
    <t>INST, PHYSICAL, EXC ELEC, USING OPT RADIATIONS, NESOI</t>
  </si>
  <si>
    <t>OSCILLOSCOPES AND OSCILLOGRAPHS, EXCEPT TELECOMM</t>
  </si>
  <si>
    <t>INST/APP FOR MEAS/CHECK VOLT/CURR/PWR W/O REC NES</t>
  </si>
  <si>
    <t>INSTRUMENTS &amp; APPARATUS WITH RECORDING DEVICE NESOI</t>
  </si>
  <si>
    <t>MEASURE/CHECK INST, APPLN &amp; MACHINES, NESOI IN CHAP 90</t>
  </si>
  <si>
    <t>PTS, MEASURE/CHECK INST/ APPLN &amp; MACH, NESOI</t>
  </si>
  <si>
    <t>THERMOSTATS, NESOI</t>
  </si>
  <si>
    <t>CONTL INST, AIR COND, REFG/ HEATING SYSTEMS, NESOI</t>
  </si>
  <si>
    <t>PROCESS CONTROL INST &amp; APPTS FOR TEMPERATURE CONTROL</t>
  </si>
  <si>
    <t>AUTOMATIC REGULATIN/ CONTROLLING INSTRUMENTS, NESOI</t>
  </si>
  <si>
    <t>CSE FOR WRST WTCH, NT BTY, BSE MT CSE, AUTO WD, OV17JW</t>
  </si>
  <si>
    <t>GUITARS, NESOI</t>
  </si>
  <si>
    <t>BRASS-WIND INSTRUMENTS VALUED OVER $10 EACH</t>
  </si>
  <si>
    <t>SAXOPHONES</t>
  </si>
  <si>
    <t>METAL FURNITURES, EXCL OFFICE &amp; HOUSEHOLD, NESOI</t>
  </si>
  <si>
    <t>FURNITURE PARTS, NESOI</t>
  </si>
  <si>
    <t>ELECTRIC LAMPS &amp; LIGHTING BASE METAL, NESOI</t>
  </si>
  <si>
    <t>FISHING RODS</t>
  </si>
  <si>
    <t>GOLD NUMISMATIC (COLLECTORS') COINS, GT=250 YRS</t>
  </si>
  <si>
    <t>GOLD NUMISMATIC (COLLECTORS') COINS, NESOI</t>
  </si>
  <si>
    <t>US GOODS OF CHPTR 37 RETURNED AFTER BEING EXPORTED</t>
  </si>
  <si>
    <t>US GOODS OF CHPTR 71 RETURNED AFTER EXPORTED</t>
  </si>
  <si>
    <t>US GOODS OF CHPTR 82 RETURNED AFTER BEING EXPORTED</t>
  </si>
  <si>
    <t>US GOODS HEADG 8407.10, 8409.10, 8411, 8412.10 RETURN</t>
  </si>
  <si>
    <t>US GOODS HEADGS 8419.31, 8424.81, 8424.90, ETC RETURN</t>
  </si>
  <si>
    <t>US GOODS HEADINGS 8469-8473 RETURNING AFTER EXP</t>
  </si>
  <si>
    <t>US GOODS IN HEADING 8504 RETURNING AFTER EXPORT</t>
  </si>
  <si>
    <t>US GOODS RETURNED HEADNGS 8517, 8525, 8527, 8529</t>
  </si>
  <si>
    <t>GOODS IN HEADING 8701 RETURNED AFTER BEING EXPORTED</t>
  </si>
  <si>
    <t>GOODS IN HEADING 8703 RETURNED AFTER BEING EXPORTED</t>
  </si>
  <si>
    <t>GOODS IN HEADING 8706-8708 RETURNING AFTER BEING EXPORTED</t>
  </si>
  <si>
    <t>GOODS IN HEADINGS 8803-8804 RETURNING AFTER EXPORT</t>
  </si>
  <si>
    <t>GOODS IN HEADING 880 RETURNED AGTER BEING EXPORTED</t>
  </si>
  <si>
    <t>GOODS IN CHAPTER 90, RETURNED AFTER BEING EXPORTED</t>
  </si>
  <si>
    <t>US GOODS IN CH 97 RETURNING AFTER EXPORT</t>
  </si>
  <si>
    <t>PRODUCTS OF US RETURNED AFTER BEING EXPORT, NESOI</t>
  </si>
  <si>
    <t>ARTCLS REIMPORTED WHICH DUTY WAS PAID…</t>
  </si>
  <si>
    <t xml:space="preserve">Table 19-34. 1 . Shipments from U.S. Possessions to the United States by HTSUSA Commodity, Guam: Calendar Year 2020
</t>
  </si>
  <si>
    <t>PEAS RAW/COOK IN BOILING WATER ENTRY 10/1-6/30 FZN</t>
  </si>
  <si>
    <t>FIXED VEGETABLE FATS &amp; OILS NESOI NT CHEM MODIFIED</t>
  </si>
  <si>
    <t>CRUSHED OR BROKEN STONE NESOI</t>
  </si>
  <si>
    <t>MINERAL SUBSTANCES NESOI</t>
  </si>
  <si>
    <t>PRINTING INK, SOLID BLACK, NESOI</t>
  </si>
  <si>
    <t>MUNICIPAL WASTE</t>
  </si>
  <si>
    <t>TUBES,PIPE &amp; HOSE,NOT RIGID, NOT REIN W METAL,NESOI</t>
  </si>
  <si>
    <t>SELF-ADHS PLATE,SHEET,STRIP, ETC OF PLASTICS,NESOI</t>
  </si>
  <si>
    <t>BOXES,CASES,CRATES&amp;SIMILAR ARTC,OF PLASTIC NESOI</t>
  </si>
  <si>
    <t>FITTINGS FOR FURNITURE, COACHWORK,ETC,PLASTIC,NESOI</t>
  </si>
  <si>
    <t>O-RINGS</t>
  </si>
  <si>
    <t>LABORATORY WARE</t>
  </si>
  <si>
    <t>OTHER ARTICLES OF PLASTIC, NESOI</t>
  </si>
  <si>
    <t>PROFILE SHAPES, OF NONCELLULAR RUBBER</t>
  </si>
  <si>
    <t>USED PNEUMATIC AIRPLANE TIRE FOR CIVIL AIRCRAFT</t>
  </si>
  <si>
    <t>USED PNEU TIRE,EX FOR TRAC 8701.90.10,TRANS PASS/G</t>
  </si>
  <si>
    <t>SURGICAL GLOVE, VULCANIZE RUBBER, NESOI</t>
  </si>
  <si>
    <t>FLOOR COVERING &amp; MAT, VULCANIZE RUB, EXC HARD RUB</t>
  </si>
  <si>
    <t>O-RINGS OF A KIND USED IN AUTO GOODS OF CHAPT 87</t>
  </si>
  <si>
    <t>Table 19-34. 2 . Shipments from U.S. Possessions to the United States by HTSUSA Commodity, Guam: Calendar Year 2020 -- (continuation)</t>
  </si>
  <si>
    <t>GASKETS/WASHER/SEALS,FOR AUTO GOODS CHAPT 87,NESOI</t>
  </si>
  <si>
    <t>GASKETS/WASHER/SEAL,EX FOR AUTO GOODS,CHAP 87,NESO</t>
  </si>
  <si>
    <t>OTHER ARTICLE VULCANIZED RUB, EXC HARD RUB, NESOI</t>
  </si>
  <si>
    <t>BVN&amp;EQN,UPHLSTRY LTHR NESOI, SPLT GRN,WHL,FURTHPREP</t>
  </si>
  <si>
    <t>TECHNICAL, SCIENTIFIC AND PROFESSIONAL BOOKS</t>
  </si>
  <si>
    <t>TRADE ADVERTISING MATERIAL, PRINTED, NESOI</t>
  </si>
  <si>
    <t>ARTICLE OF YARN, STRIP, TWN, NES, TEXT MATL NESII</t>
  </si>
  <si>
    <t>TEX FABRIC NESOI PU BOND MMF FAB OTH OV 60% PLASTC</t>
  </si>
  <si>
    <t>KNITTED/CROCHETED FABRICS OF OTHER TEXT MAT, NESOI</t>
  </si>
  <si>
    <t>GLV GT=50% COT MMF TEX MT KT IMPREG W 4CHETT MMFRS</t>
  </si>
  <si>
    <t>GLV NESOI FIB IMP GT 50% PLAS/ RBR W/OUT 4CHTTS NT</t>
  </si>
  <si>
    <t>NATIONAL FLAGS OF THE UNITED STATES</t>
  </si>
  <si>
    <t>FACE MASKS OF TEXTILES, OTHER THAN DISPOSABLE</t>
  </si>
  <si>
    <t>OTHER MADE-UP ARTICLES NESOI</t>
  </si>
  <si>
    <t>OTH TUBE AND PIPE FITTINGS, STAINLESS STEEL, NESOI</t>
  </si>
  <si>
    <t>ANCHORS, GRAPNELS AND PARTS THEREOF, OF IRON/STEEL</t>
  </si>
  <si>
    <t>OTHER ARTICLES OF COPPER, NESOI</t>
  </si>
  <si>
    <t>OTH MOUNTNGS FITTINGS FOR FURNITURE; OF IOS ZN AL</t>
  </si>
  <si>
    <t>OTH MNTGS FTTGS; AIR VESS OTH NT MV IOS ZN AL, PTS</t>
  </si>
  <si>
    <t>Table 19-34. 3 . Shipments from U.S. Possessions to the United States by HTSUSA Commodity, Guam: Calendar Year 2020 -- (continuation)</t>
  </si>
  <si>
    <t>PNEUM PWR ENG &amp; MTRS UNLIM ROTARY ACTNG</t>
  </si>
  <si>
    <t>PUMPS FOR LIQUIDS, NESOI</t>
  </si>
  <si>
    <t>PARTS OF FUEL-INJECTION PUMPS FOR COMP-IGNIT PUMPS</t>
  </si>
  <si>
    <t>CENTRL STATION AIR HANDLRS USED WITH WATER CHILLER</t>
  </si>
  <si>
    <t>PARTS OF MACHINERY OF HEADING 8426 NESOI</t>
  </si>
  <si>
    <t>PRINTERS, INK JET</t>
  </si>
  <si>
    <t>PRINTERS, OTHER, NESOI</t>
  </si>
  <si>
    <t>PARTS AND ACCESSORIES OF PRINTING MACH, NESOI</t>
  </si>
  <si>
    <t>JIGS &amp; FIXTURES HOLDERS,FOR MACHINE TOOLS,NESOI</t>
  </si>
  <si>
    <t>CASH REGISTERS,EXCEPT POINT-OF- SALE TERMINALS</t>
  </si>
  <si>
    <t>CONTROL OR ADAPTER UNITS FOR ADP MACHINES</t>
  </si>
  <si>
    <t>Table 19-34. 4 . Shipments from U.S. Possessions to the United States by HTSUSA Commodity, Guam: Calendar Year 2020 -- (continuation)</t>
  </si>
  <si>
    <t>PTS ADP MCH, NT INCPTNG CRT, PRT CRT ASSEM.;NESOI</t>
  </si>
  <si>
    <t>MACHINES AND MECHANICAL APPLIANCES, NESOI</t>
  </si>
  <si>
    <t>PARTS OF INDUSTRIAL ROBOTS, NESOI</t>
  </si>
  <si>
    <t>SAFETY OR RELIEF VALVES</t>
  </si>
  <si>
    <t>GEARS, EXC TRANSMISSION ELEMENTS, ENTERED SEPARATE</t>
  </si>
  <si>
    <t>PTS CLTCHS,PLY,UNVRSL JTS, ETC;NESOI</t>
  </si>
  <si>
    <t>TRANSFORMERS, LESS THAN 40 VA, NESOI</t>
  </si>
  <si>
    <t>RECTIFIERS &amp; RECTIFYING APPARATUS, NESOI</t>
  </si>
  <si>
    <t>PRIMARY BATTERIES, LITHIUM</t>
  </si>
  <si>
    <t>PARTS OF ELECTRIC HAIR CLIPPERS, NESOI</t>
  </si>
  <si>
    <t>LIGHTG.EQUIP. FOR 8701.20, 8702-8705 OR 8711</t>
  </si>
  <si>
    <t>SINGLE LINE TELEPHONE SETS</t>
  </si>
  <si>
    <t>PARTS OR APPS FOR TRASMISIT/ RECP OF VOICE/IMG/DATA</t>
  </si>
  <si>
    <t>TRANSMISSION APPARATUS FOR RADIOBROADCASTING,NESOI</t>
  </si>
  <si>
    <t>LCD VID MNTR,CLR,FLT PNL SCR, GT 34.29 CM, NESOI</t>
  </si>
  <si>
    <t>RADIO REMOTE CONTROL APPARATUS PARTS, NESOI</t>
  </si>
  <si>
    <t>Table 19-34. 5 . Shipments from U.S. Possessions to the United States by HTSUSA Commodity, Guam: Calendar Year 2020 -- (continuation)</t>
  </si>
  <si>
    <t>SMOKE DETECTORS, NESOI</t>
  </si>
  <si>
    <t>BURGLAR OR FIRE ALARMS AND SIMILAR APPARATUS,NESOI</t>
  </si>
  <si>
    <t>FLIGHT DATA RECORDERS</t>
  </si>
  <si>
    <t>INSULATED WIRING SETS FOR VEHICLES SHIPS AIRCRAFT</t>
  </si>
  <si>
    <t>INSULATD ELEC CONDCTR LT=1000V, W/ CONNECTRS, NESOI</t>
  </si>
  <si>
    <t>OTHER PTS AND ACC,NESOI,OF BODIES HDG 8701,8705</t>
  </si>
  <si>
    <t>PARTS &amp; ACCESSORIES F WHEELS F VEH O/T TRAC. NESOI</t>
  </si>
  <si>
    <t>PARTS,NESOI,OF TRACTORS,NESOI, OF HEADING 8701,8705</t>
  </si>
  <si>
    <t>OTHER BREATHING APPLIANCES AND GAS MASKS</t>
  </si>
  <si>
    <t>PACEMAKERS FOR STIMULATING HEART MUSCLES, EXC PTS</t>
  </si>
  <si>
    <t>RADIATION GENERATOR UNITS</t>
  </si>
  <si>
    <t>INST, APPTS&amp;MODELS,FOR DEMONSTRATIONAL USE&amp; PARTS</t>
  </si>
  <si>
    <t>ELE INST&amp; APPARATUS, MEASURING/ CHECKING PRESSURE</t>
  </si>
  <si>
    <t>Table 19-34. 6 . Shipments from U.S. Possessions to the United States by HTSUSA Commodity, Guam: Calendar Year 2020 -- (continuation)</t>
  </si>
  <si>
    <t>MULTIMETERS WITHOUT A RECORDING DEVICE</t>
  </si>
  <si>
    <t>PARTS &amp; ACCESS FOR ARTICLES OF SUBHDG 9030, NESOI</t>
  </si>
  <si>
    <t>OTHER PROCESS CONTROL INST &amp; APPARATUS, NESOI</t>
  </si>
  <si>
    <t>AUTOMATIC REGULATING/ CONTROLLING INSTRUMENTS,NESOI</t>
  </si>
  <si>
    <t>SEAT PARTS OF A KIND USED FOR MOTOR VEHICLES,NESOI</t>
  </si>
  <si>
    <t>CHANDELIER, CEILING LGT BASE MT,EXC HSHLD, NESOI</t>
  </si>
  <si>
    <t>LAMPS PARTS OF PLASTICS</t>
  </si>
  <si>
    <t>LAMP PARTS &amp; PARTS OF LIGHTING FITTINGS ETC, NESOI</t>
  </si>
  <si>
    <t>PLAYING CARDS</t>
  </si>
  <si>
    <t>PK</t>
  </si>
  <si>
    <t>US GOODS HEADGS 8419.31, 8424.81,8424.90,ETC RETURN</t>
  </si>
  <si>
    <t>Table 19-34.7 . Shipments from U.S. Possessions to the United States by HTSUSA Commodity, Guam: Calendar Year 2020 -- (continuation)</t>
  </si>
  <si>
    <t>GOODS IN HEADING 8805 RETURNED AFTER BEING EXPORTD</t>
  </si>
  <si>
    <t>ARTICLES PREV IMPORTED W/O BEING ADVAN FREE, CBER</t>
  </si>
  <si>
    <t>Table 19-01 . Import Dollars by Type of Transit, Guam: Calendar Year 2019 to 2023</t>
  </si>
  <si>
    <t>Table 2-01 . Farms, Land in Farms, and Land Use, Guam: 1998 to 2023</t>
  </si>
  <si>
    <t>Farms</t>
  </si>
  <si>
    <t>Acres</t>
  </si>
  <si>
    <t>Land Use</t>
  </si>
  <si>
    <t>Total cropland</t>
  </si>
  <si>
    <t>Harvested cropland</t>
  </si>
  <si>
    <t>Other cropland</t>
  </si>
  <si>
    <t>Pastureland</t>
  </si>
  <si>
    <t>Woodland</t>
  </si>
  <si>
    <t>Other land</t>
  </si>
  <si>
    <t>Proportion of all land in farms</t>
  </si>
  <si>
    <t>...</t>
  </si>
  <si>
    <t>…</t>
  </si>
  <si>
    <t>Source: Guam Censuses of Agriculture</t>
  </si>
  <si>
    <t>Symbol "…" indicates not applicable</t>
  </si>
  <si>
    <t>Table 2-02 . Farms and Land in Farms by Size of Farm, Guam: 2023</t>
  </si>
  <si>
    <t>Farm Size</t>
  </si>
  <si>
    <t>Less than 1 acre</t>
  </si>
  <si>
    <t>1 to 2.9 acres</t>
  </si>
  <si>
    <t>3 to 4.9 acres</t>
  </si>
  <si>
    <t>5 to 7.9acres</t>
  </si>
  <si>
    <t>8 to 9.9 acres</t>
  </si>
  <si>
    <t>10 to 19.9 acres</t>
  </si>
  <si>
    <t>20 acres or more</t>
  </si>
  <si>
    <t>Table 2-03 . Farms and Land in Farms by Size of Farm, Guam: 1992-2018</t>
  </si>
  <si>
    <t>1/</t>
  </si>
  <si>
    <t>1 to 2 acres</t>
  </si>
  <si>
    <t>3 to 4 acres</t>
  </si>
  <si>
    <t>5 to 7 acres</t>
  </si>
  <si>
    <t>8 to 9 acres</t>
  </si>
  <si>
    <t>10 to 19 acres</t>
  </si>
  <si>
    <t>1/ Data suppressed for various reasons -- see Agriculture Census reports</t>
  </si>
  <si>
    <t>Table 2-04 . Farms and Land in Farms by Tenure and Main Occupation of Operator Guam: 1998 to 2023</t>
  </si>
  <si>
    <t>Characteristic</t>
  </si>
  <si>
    <t>Full owners</t>
  </si>
  <si>
    <t>Part owners</t>
  </si>
  <si>
    <t>Tenants</t>
  </si>
  <si>
    <t>Main occupation: agriculture</t>
  </si>
  <si>
    <t>Main occupation: other</t>
  </si>
  <si>
    <t>1. Producers may report more than one race.</t>
  </si>
  <si>
    <t>2. Asian and Native Hawaiian or Other Pacific Islander will represent respondents that checked any one of the subcategories listed below.</t>
  </si>
  <si>
    <t>3. Multiple producers per farm may be reported</t>
  </si>
  <si>
    <t>Table 2-05 . Farms and Land in Farms by Type of Land Ownership and Irrigation, Guam: 1998 to 2023</t>
  </si>
  <si>
    <t>Owned</t>
  </si>
  <si>
    <t>Rented from others</t>
  </si>
  <si>
    <t>Rented to others</t>
  </si>
  <si>
    <t>Total irrigated</t>
  </si>
  <si>
    <t>Private system</t>
  </si>
  <si>
    <t>Public system</t>
  </si>
  <si>
    <t>Table 2-06 . Characteristics of Operators, Guam: 2018 to 2023</t>
  </si>
  <si>
    <t>Number</t>
  </si>
  <si>
    <t>Percent</t>
  </si>
  <si>
    <t>Operators</t>
  </si>
  <si>
    <t>Place of residence:</t>
  </si>
  <si>
    <t>Lived on farm operated</t>
  </si>
  <si>
    <t>Not on farm operated</t>
  </si>
  <si>
    <t>Years on present farm:</t>
  </si>
  <si>
    <t>2 years or less</t>
  </si>
  <si>
    <t>3 to 4 years</t>
  </si>
  <si>
    <t>5 to 9 years</t>
  </si>
  <si>
    <t>10 years or more</t>
  </si>
  <si>
    <t>Age group:</t>
  </si>
  <si>
    <t>Under 35 years</t>
  </si>
  <si>
    <t>35 to 44 years</t>
  </si>
  <si>
    <t>45 to 54 years</t>
  </si>
  <si>
    <t>55 to 64 years</t>
  </si>
  <si>
    <t>65 years and over</t>
  </si>
  <si>
    <t>Average age</t>
  </si>
  <si>
    <t>Days of work off farm:</t>
  </si>
  <si>
    <t>None</t>
  </si>
  <si>
    <t>Some</t>
  </si>
  <si>
    <t>1 to 49 days</t>
  </si>
  <si>
    <t>50 to 99 days</t>
  </si>
  <si>
    <t>100 to 149 days</t>
  </si>
  <si>
    <t>150 to 199 days</t>
  </si>
  <si>
    <t>200 days or more</t>
  </si>
  <si>
    <t>Race:</t>
  </si>
  <si>
    <t>American Indian or Alaska Native</t>
  </si>
  <si>
    <t>Asian</t>
  </si>
  <si>
    <t>Asian Indian</t>
  </si>
  <si>
    <t>Chinese</t>
  </si>
  <si>
    <t>Filipino</t>
  </si>
  <si>
    <t>Japanese</t>
  </si>
  <si>
    <t>Korean</t>
  </si>
  <si>
    <t>Vietnamese</t>
  </si>
  <si>
    <t>Other Asian</t>
  </si>
  <si>
    <t>Black or African American</t>
  </si>
  <si>
    <t>Native Hawaiian or Other Pacific Islander</t>
  </si>
  <si>
    <t>Native Hawaiian</t>
  </si>
  <si>
    <t>Carolinian</t>
  </si>
  <si>
    <t>Chamorro</t>
  </si>
  <si>
    <t>Samoan</t>
  </si>
  <si>
    <t>Other Pacific Islander</t>
  </si>
  <si>
    <t>White</t>
  </si>
  <si>
    <t>Other</t>
  </si>
  <si>
    <t>Sex:</t>
  </si>
  <si>
    <t>Male</t>
  </si>
  <si>
    <t>Female</t>
  </si>
  <si>
    <t>Table 2-07 . Characteristics of Operators, Guam: 1992-2007</t>
  </si>
  <si>
    <t>Less than 2 years</t>
  </si>
  <si>
    <t>2 to 4 years</t>
  </si>
  <si>
    <t>Table 2-08 . Root Crops Harvested for Sale, Guam: 2007, 2018 and 2023</t>
  </si>
  <si>
    <t>Pounds</t>
  </si>
  <si>
    <t>Crop</t>
  </si>
  <si>
    <t>Harvested</t>
  </si>
  <si>
    <t>Cassava (tapioca)</t>
  </si>
  <si>
    <t>Gado</t>
  </si>
  <si>
    <t>Ginger</t>
  </si>
  <si>
    <t>Jicama</t>
  </si>
  <si>
    <t>NA</t>
  </si>
  <si>
    <t>Peanuts</t>
  </si>
  <si>
    <t>Sweet potatoes</t>
  </si>
  <si>
    <t>Taro</t>
  </si>
  <si>
    <t>Yams</t>
  </si>
  <si>
    <t>Other Root Crops</t>
  </si>
  <si>
    <t>NA = Not Available</t>
  </si>
  <si>
    <t>Table 2-09 . Vegetables and Melons Harvested for Sale, Guam: 2007, 2018 and 2023</t>
  </si>
  <si>
    <t>Alfalfa and/or bean sprouts</t>
  </si>
  <si>
    <t>Beans, winged</t>
  </si>
  <si>
    <t>Beans, yard long</t>
  </si>
  <si>
    <t>Beans, all others</t>
  </si>
  <si>
    <t>Bittermelons</t>
  </si>
  <si>
    <t>Cabbage, Chinese</t>
  </si>
  <si>
    <t>Cabbage, head</t>
  </si>
  <si>
    <t>Cantaloupes</t>
  </si>
  <si>
    <t>Corn</t>
  </si>
  <si>
    <t>Cucumbers</t>
  </si>
  <si>
    <t>Eggplant</t>
  </si>
  <si>
    <t>Herbs</t>
  </si>
  <si>
    <t>Muskmelons and pepinos</t>
  </si>
  <si>
    <t>Okra</t>
  </si>
  <si>
    <t>Onions, green</t>
  </si>
  <si>
    <t>Peppers, hot</t>
  </si>
  <si>
    <t>Peppers, sweet</t>
  </si>
  <si>
    <t>Pumpkins and squash</t>
  </si>
  <si>
    <t>Radishes</t>
  </si>
  <si>
    <t>Tomatoes</t>
  </si>
  <si>
    <t>Watermelons</t>
  </si>
  <si>
    <t>Other vegetables &amp; melons</t>
  </si>
  <si>
    <t>Symbol "NA" indicates not available</t>
  </si>
  <si>
    <t>Table 2-10 . Fruits and Nuts Harvested for Sale, Guam: 2007, 2018 and 2023</t>
  </si>
  <si>
    <t>Trees not</t>
  </si>
  <si>
    <t>Trees of</t>
  </si>
  <si>
    <t>of bearing</t>
  </si>
  <si>
    <t>bearing</t>
  </si>
  <si>
    <t>Fruits and nuts</t>
  </si>
  <si>
    <t>age</t>
  </si>
  <si>
    <t>harvested</t>
  </si>
  <si>
    <t>Avocados</t>
  </si>
  <si>
    <t>Bananas (all types)</t>
  </si>
  <si>
    <t>Betelnuts</t>
  </si>
  <si>
    <t>Breadfruits</t>
  </si>
  <si>
    <t>Coconuts</t>
  </si>
  <si>
    <t>Dragon Fruit</t>
  </si>
  <si>
    <t>Grapefruit</t>
  </si>
  <si>
    <t>Guavas</t>
  </si>
  <si>
    <t>Lemons and limes</t>
  </si>
  <si>
    <t>Mangos</t>
  </si>
  <si>
    <t>Oranges</t>
  </si>
  <si>
    <t>Papayas</t>
  </si>
  <si>
    <t>Pineapples</t>
  </si>
  <si>
    <t>Soursops</t>
  </si>
  <si>
    <t>Starfruits</t>
  </si>
  <si>
    <t>Sweetsops</t>
  </si>
  <si>
    <t>Tangerines</t>
  </si>
  <si>
    <t>Other fruits and nuts</t>
  </si>
  <si>
    <t>Table 2-11 . Livestock, Poultry, Aquaculture and their Products, Guam: 2007, 2018 and 2023</t>
  </si>
  <si>
    <t>Inventory</t>
  </si>
  <si>
    <t>Sales</t>
  </si>
  <si>
    <t>Numbers</t>
  </si>
  <si>
    <t>LIVESTOCK</t>
  </si>
  <si>
    <t>Carabaos</t>
  </si>
  <si>
    <t>Cattle and calves</t>
  </si>
  <si>
    <t>Milk cows</t>
  </si>
  <si>
    <t>All other cattle</t>
  </si>
  <si>
    <t>Hogs and pigs</t>
  </si>
  <si>
    <t>Goats and kids</t>
  </si>
  <si>
    <t>Horses, mules, and colts</t>
  </si>
  <si>
    <t>Other Livestock</t>
  </si>
  <si>
    <t>POULTRY</t>
  </si>
  <si>
    <t>Chicken hens 4+ months</t>
  </si>
  <si>
    <t>Commercial layers</t>
  </si>
  <si>
    <t>Other chicken hens</t>
  </si>
  <si>
    <t>Chickens 0-3 months</t>
  </si>
  <si>
    <t>Chicken under 4 months old</t>
  </si>
  <si>
    <t>Roosters and pullets</t>
  </si>
  <si>
    <t>Fighting roosters</t>
  </si>
  <si>
    <t>Ducks</t>
  </si>
  <si>
    <t>Pigeons</t>
  </si>
  <si>
    <t>Chicken eggs</t>
  </si>
  <si>
    <t>Other poultry</t>
  </si>
  <si>
    <t>Fish and other aquaculture</t>
  </si>
  <si>
    <t>Table 2-12 . Annual Number of Registered Bonafide Farmers, Guam: 2019 to 2024</t>
  </si>
  <si>
    <t>Method</t>
  </si>
  <si>
    <t>[Metric Tons]</t>
  </si>
  <si>
    <t>Description</t>
  </si>
  <si>
    <t>Offshore Fisheries</t>
  </si>
  <si>
    <t>Trolling</t>
  </si>
  <si>
    <t>Bottomfishing</t>
  </si>
  <si>
    <t>Nighttime Jigging</t>
  </si>
  <si>
    <t>Spearfishing</t>
  </si>
  <si>
    <t>Hand/Gill Net Fishing</t>
  </si>
  <si>
    <t>Inshore Fisheries</t>
  </si>
  <si>
    <t>Hook and Line</t>
  </si>
  <si>
    <t>Castnet</t>
  </si>
  <si>
    <t>Gillnet</t>
  </si>
  <si>
    <t>Surround/Drag Net</t>
  </si>
  <si>
    <t>Hooks and Gaffs</t>
  </si>
  <si>
    <t>Source: Division of Aquatic and Wildlife Resources, Department of Agriculture, Government of Guam</t>
  </si>
  <si>
    <t>Note: The Department of Agriculture reported extremely low inshore fisheries data due to the COVID-19 shutdown in 2020.</t>
  </si>
  <si>
    <t>Table 2-14 . Estimated Commercial Landings, Guam: 2023</t>
  </si>
  <si>
    <t>Species</t>
  </si>
  <si>
    <t>Jacks</t>
  </si>
  <si>
    <t>Groupers, Serranidae (Family)</t>
  </si>
  <si>
    <t>Tapiro</t>
  </si>
  <si>
    <t>Mullets</t>
  </si>
  <si>
    <t>Sailfish</t>
  </si>
  <si>
    <t>Dolphinfish</t>
  </si>
  <si>
    <t>Marlin, Blue</t>
  </si>
  <si>
    <t>Scad, Bigeye</t>
  </si>
  <si>
    <t>Squirrelfish</t>
  </si>
  <si>
    <t>Snapper, Pink</t>
  </si>
  <si>
    <t>Snapper, Ruby</t>
  </si>
  <si>
    <t>Tuna, Dogtooth</t>
  </si>
  <si>
    <t>Tuna, Skipjack</t>
  </si>
  <si>
    <t>Lobsters, Spiny</t>
  </si>
  <si>
    <t>Runner, Rainbow</t>
  </si>
  <si>
    <t>Tuna, Yellowfin</t>
  </si>
  <si>
    <t>Snapper, IronJaw</t>
  </si>
  <si>
    <t>Signaus Punctatus</t>
  </si>
  <si>
    <t>Sanapper, Binghams</t>
  </si>
  <si>
    <t>Amberjack, Greater</t>
  </si>
  <si>
    <t>Fishes, Ray-Finned</t>
  </si>
  <si>
    <t>Spearfish, Shortbill</t>
  </si>
  <si>
    <t>Sharks, Small Coastal</t>
  </si>
  <si>
    <t>Snapper, Von Siebolds</t>
  </si>
  <si>
    <t>Bottomfishes (Unknown)</t>
  </si>
  <si>
    <t>Red Snapper, Longtailed</t>
  </si>
  <si>
    <t>Barracudas, Sphraena (Genus)</t>
  </si>
  <si>
    <t>Wahoo</t>
  </si>
  <si>
    <t>Source: Pacific Islands Fisheries Science Center</t>
  </si>
  <si>
    <t>Note: No price/lbs was available</t>
  </si>
  <si>
    <t>Table 2-15 . Estimated Commercial Landings, Guam: 2022</t>
  </si>
  <si>
    <t>Price/Lb.</t>
  </si>
  <si>
    <t>Animalia</t>
  </si>
  <si>
    <t>Barracudas, Sphyraena (Genus)</t>
  </si>
  <si>
    <t>Emperors</t>
  </si>
  <si>
    <t>Fishes, Bony</t>
  </si>
  <si>
    <t>Goatfishes</t>
  </si>
  <si>
    <t>Jack, Black</t>
  </si>
  <si>
    <t>Jobfish, Green/Uku</t>
  </si>
  <si>
    <t>Parrotfishes</t>
  </si>
  <si>
    <t>Pomfrets</t>
  </si>
  <si>
    <t>Rabbitfish, Forktail</t>
  </si>
  <si>
    <t>Rabbitfish, Scribbled</t>
  </si>
  <si>
    <t>Rudderfishes</t>
  </si>
  <si>
    <t>Snapper, Binghams</t>
  </si>
  <si>
    <t>Snappers, Lutjanidae (Family)</t>
  </si>
  <si>
    <t>Squid</t>
  </si>
  <si>
    <t>Surgeonfishes (Naso spp.)</t>
  </si>
  <si>
    <t>Surgeonfishes (Acanthuridae)</t>
  </si>
  <si>
    <t>Thunnini</t>
  </si>
  <si>
    <t>Unicorn Fish, Orangespine</t>
  </si>
  <si>
    <t>Table 2-16 . Estimated Commercial Landings, Guam: 2021</t>
  </si>
  <si>
    <t>Aku; Bonito, Atu, Skipjack tuna, Otado, Otaru, Katsuo</t>
  </si>
  <si>
    <t>Akule; Atulai, Atule, Lengo, Rengo</t>
  </si>
  <si>
    <t>Barracudas; unspecified</t>
  </si>
  <si>
    <t>Bluelined surgeonfish; Sailfin/White spotted surgeonfish, Maiko, Gaitolama</t>
  </si>
  <si>
    <t>Bottomfish; Deep bottomfish, Assorted bottomfish</t>
  </si>
  <si>
    <t>Crabs; Io, Panglao, Pa'a, Kupa, unspecified</t>
  </si>
  <si>
    <t>Dogtooth tuna; White tuna, Kitsune, Tagi, Owel</t>
  </si>
  <si>
    <t>Eel (freshwater)</t>
  </si>
  <si>
    <t>Ehu; Palu malau, Buninas agaga, Squirrelfish snapper</t>
  </si>
  <si>
    <t>Filoa; Mafute, Emperors</t>
  </si>
  <si>
    <t>Gindai; Flower snapper, Buninas rayao amaríyu, Tai, Kindai, Kentai, Shimachibiki</t>
  </si>
  <si>
    <t>Groupers; Gådao, Gatala/Gakala (unspecified)</t>
  </si>
  <si>
    <t>Kahala; Greater amberjack, Boogaman</t>
  </si>
  <si>
    <t>Kalekale; Kalikali, Lavender jobfish, Pink snapper</t>
  </si>
  <si>
    <t>Lehi; Deep silvermouth, Yelloweye opakapaka</t>
  </si>
  <si>
    <t>Mahimahi; Masimasi, Dorado, Equiset, Dorito</t>
  </si>
  <si>
    <t>Marlin; unspecified</t>
  </si>
  <si>
    <t>Milkfish; Awa, Safole, Bangos</t>
  </si>
  <si>
    <t>Miscellaneous; Seafood</t>
  </si>
  <si>
    <t>Monchong; Wonder Woman, Yohando, Mu kau</t>
  </si>
  <si>
    <t>Onaga; Palu loa, Longtail snapper, Buninas, Ulaula ko'ae</t>
  </si>
  <si>
    <t>Ono; Wahoo, Toson, Saowara, Paāla</t>
  </si>
  <si>
    <t>Opakapaka; Pink snapper, Crimson jobfish</t>
  </si>
  <si>
    <t>Parrotfish; Uhu, Palakse', Laggua (unspecified)</t>
  </si>
  <si>
    <t>Rainbow runner; Kamano, Hawaiian salmon</t>
  </si>
  <si>
    <t>Reef fishes; unspecified</t>
  </si>
  <si>
    <t>Salmoneti; Goatfishes, unspecified</t>
  </si>
  <si>
    <t>Tuna; Ahi, Unspecified</t>
  </si>
  <si>
    <t>Uku; Gogunafon, Aiwe, "Hi-Way" [sic], Gray jobfish</t>
  </si>
  <si>
    <t>Ulua; Lupoka, Tarakiton, Jacks unspecified</t>
  </si>
  <si>
    <t>Yellowfin tuna; Ahi, Shibiko, Koshibi, Aki (juv), Allison</t>
  </si>
  <si>
    <t>Table 2-17 . Annual Boat Based Total Landings by Method, Guam: 2019 to 2024</t>
  </si>
  <si>
    <t>[Thousand Pounds]</t>
  </si>
  <si>
    <t>Source: Division of Aquatic and Wildlife Resources, Department of Agriculture</t>
  </si>
  <si>
    <t>Table 2-18 . Annual Boat Based Hours Fished by Method, Guam: 2019 to 2024</t>
  </si>
  <si>
    <t>[Thousand Hours]</t>
  </si>
  <si>
    <t>Table 2-19 . Annual Pounds Per Hour Fished by Method, Guam: 2019 to 2024</t>
  </si>
  <si>
    <t>[Pounds/Hour Fished]</t>
  </si>
  <si>
    <t>Table 2-20 . Annual Number of Boat Based Trips by Method, Guam: 2019 to 2024</t>
  </si>
  <si>
    <t>Note: Other includes Atulai fishing, jigging, talaya, and spincasting</t>
  </si>
  <si>
    <t>Number Gear</t>
  </si>
  <si>
    <t>Pounds Caught</t>
  </si>
  <si>
    <t>Cast Net</t>
  </si>
  <si>
    <t>Gill Net</t>
  </si>
  <si>
    <t>Surround net</t>
  </si>
  <si>
    <t>Snorkel Spear</t>
  </si>
  <si>
    <t>Scuba Spear</t>
  </si>
  <si>
    <t>Drag Net</t>
  </si>
  <si>
    <t>Other Methods</t>
  </si>
  <si>
    <t>1/ Method was observed, but no count was done</t>
  </si>
  <si>
    <t>"-" Data unavailable</t>
  </si>
  <si>
    <t>- Data unavailable</t>
  </si>
  <si>
    <t>Agency</t>
  </si>
  <si>
    <t>Category</t>
  </si>
  <si>
    <t>Department of Youth Affairs</t>
  </si>
  <si>
    <t>Guam Memorial Hospital Authority</t>
  </si>
  <si>
    <t>Department of Corrections</t>
  </si>
  <si>
    <t>Type</t>
  </si>
  <si>
    <t>Table 2-22 . Annual Number of Shore Based Fishing by Method, Guam: 2015 to 2019</t>
  </si>
  <si>
    <t>Table 2-21 . Annual Number of Shore Based Fishing by Method, Guam: 2020 to 2024</t>
  </si>
  <si>
    <t>Table 2-13 . Annual Offshore and Inshore Creel Survey, Guam: Fiscal Years 2015 to 2024</t>
  </si>
  <si>
    <t>[Degrees Farenheit]</t>
  </si>
  <si>
    <t>2022 R</t>
  </si>
  <si>
    <t>2021 R</t>
  </si>
  <si>
    <t>2020 R</t>
  </si>
  <si>
    <t>January</t>
  </si>
  <si>
    <t>February</t>
  </si>
  <si>
    <t>March</t>
  </si>
  <si>
    <t>April</t>
  </si>
  <si>
    <t>May</t>
  </si>
  <si>
    <t>June</t>
  </si>
  <si>
    <t>July</t>
  </si>
  <si>
    <t>August</t>
  </si>
  <si>
    <t>September</t>
  </si>
  <si>
    <t>October</t>
  </si>
  <si>
    <t>November</t>
  </si>
  <si>
    <t>December</t>
  </si>
  <si>
    <t>Maximum</t>
  </si>
  <si>
    <t>Minimum</t>
  </si>
  <si>
    <t>Source: National Oceanic and Atmospheric Administration (NOAA) National Weather Service</t>
  </si>
  <si>
    <t>R = revised</t>
  </si>
  <si>
    <t>[Inches]</t>
  </si>
  <si>
    <t>Total Rainfall</t>
  </si>
  <si>
    <t>Table 1-01 . Monthly Average Temperature, Guam: Calendar Years 2020 to 2024</t>
  </si>
  <si>
    <t xml:space="preserve">     Temperature</t>
  </si>
  <si>
    <t xml:space="preserve">     Average Temperature</t>
  </si>
  <si>
    <t>Table 1-03 . Coastal Raw Data Summary by Insular Areas, Calendar Years 2023-2024</t>
  </si>
  <si>
    <t>Debris</t>
  </si>
  <si>
    <t>Guam</t>
  </si>
  <si>
    <t>Virgin Islands</t>
  </si>
  <si>
    <t>Item</t>
  </si>
  <si>
    <t>Grocery bags (plastic)</t>
  </si>
  <si>
    <t>Other bags (plastic)</t>
  </si>
  <si>
    <t>Beverage bottles (glass)</t>
  </si>
  <si>
    <t>Beverage bottles (plastic)</t>
  </si>
  <si>
    <t>Beverage cans</t>
  </si>
  <si>
    <t>Beverage sachets/pouches</t>
  </si>
  <si>
    <t>Bottle caps (metal)</t>
  </si>
  <si>
    <t>Bottle caps (plastic)</t>
  </si>
  <si>
    <t>Cigarette butts</t>
  </si>
  <si>
    <t>Cups, Plates (foam)</t>
  </si>
  <si>
    <t>Cups, Plates (paper)</t>
  </si>
  <si>
    <t>Cups, Plates (plastic)</t>
  </si>
  <si>
    <t>Food containers (foam)</t>
  </si>
  <si>
    <t>Food containers (plastic)</t>
  </si>
  <si>
    <t>Food wrappers (candy, chips, etc.)</t>
  </si>
  <si>
    <t>Lids (plastic)</t>
  </si>
  <si>
    <t>Straws/stirrers (plastic)</t>
  </si>
  <si>
    <t>Utensils (plastic)</t>
  </si>
  <si>
    <t>Lines, nets, traps, ropes, etc.</t>
  </si>
  <si>
    <t>Foam dock pieces</t>
  </si>
  <si>
    <t>Appliances (refrigerators, washers, etc.)</t>
  </si>
  <si>
    <t>Construction materials</t>
  </si>
  <si>
    <t>Tires</t>
  </si>
  <si>
    <t>6-Pack holders</t>
  </si>
  <si>
    <t>Foam packaging</t>
  </si>
  <si>
    <t>Other plastic bottles (oil, bleach, etc.)</t>
  </si>
  <si>
    <t>Strapping bands</t>
  </si>
  <si>
    <t>Balloons</t>
  </si>
  <si>
    <t>Clothing</t>
  </si>
  <si>
    <t>E-cigarettes</t>
  </si>
  <si>
    <t>Electronic waste (phones, batteries)</t>
  </si>
  <si>
    <t>Footwear (shoes/slippers)</t>
  </si>
  <si>
    <t>Paper bags</t>
  </si>
  <si>
    <t>Tobacco products (lighters, cigar tips, wrap)</t>
  </si>
  <si>
    <t>Other plastic waste</t>
  </si>
  <si>
    <t>Other waste (metal, paper, etc.)</t>
  </si>
  <si>
    <t>Condoms</t>
  </si>
  <si>
    <t>Cotton bud sticks (swabs)</t>
  </si>
  <si>
    <t>Diapers</t>
  </si>
  <si>
    <t>Gloves &amp; masks (PPE)</t>
  </si>
  <si>
    <t>Syringes</t>
  </si>
  <si>
    <t>Tampons &amp; applicators</t>
  </si>
  <si>
    <t>Plastic/foam pieces</t>
  </si>
  <si>
    <t>Plastic film pieces (macro)</t>
  </si>
  <si>
    <t>Plastic foam pieces (macro)</t>
  </si>
  <si>
    <t>Plastic fragments (macro)</t>
  </si>
  <si>
    <t>Plastic pellets (micro)</t>
  </si>
  <si>
    <t>Plastic film pieces (micro)</t>
  </si>
  <si>
    <t>Plastic foam pieces (micro)</t>
  </si>
  <si>
    <t>Plastic fragments (micro)</t>
  </si>
  <si>
    <t>Plastic other (micro)</t>
  </si>
  <si>
    <t>Source: The Ocean Conservancy</t>
  </si>
  <si>
    <t>CNMI = Commonwealth of the Northern Mariana Islands</t>
  </si>
  <si>
    <t>Table 1-04 . Coastal Raw Data Summary by Insular Areas, Calendar Years 2019 to 2022</t>
  </si>
  <si>
    <t>Bags</t>
  </si>
  <si>
    <t>Beverage Bottles (Plastic) 2 Liters or Less</t>
  </si>
  <si>
    <t>Beverage Bottles (Glass)</t>
  </si>
  <si>
    <t>Beverage Cans</t>
  </si>
  <si>
    <t>Beverage Sachets/Pouches</t>
  </si>
  <si>
    <t>Caps/Lids (Plastic &amp; Metal)</t>
  </si>
  <si>
    <t>Clothing/Shoes</t>
  </si>
  <si>
    <t>Cups/Plates/Forks/Knives/Spoons</t>
  </si>
  <si>
    <t>Food Wrappers/Take Out/Away Containers</t>
  </si>
  <si>
    <t>Gloves &amp; Masks (PPE)</t>
  </si>
  <si>
    <t>Pull Tabs</t>
  </si>
  <si>
    <t>Six-Pack Holders</t>
  </si>
  <si>
    <t>Shotgun Shells/Wadding</t>
  </si>
  <si>
    <t>Straws/Stirrers</t>
  </si>
  <si>
    <t>Fireworks</t>
  </si>
  <si>
    <t>Plastic &amp; Foam Pieces</t>
  </si>
  <si>
    <t>Glass Pieces</t>
  </si>
  <si>
    <t>Other Plastic Waste</t>
  </si>
  <si>
    <t>Other Waste (Metal, Paper, etc.)</t>
  </si>
  <si>
    <t>Bait Containers/Other Plastic/Foam Packaging</t>
  </si>
  <si>
    <t>Fishing Buoys, Pots &amp; Traps</t>
  </si>
  <si>
    <t>Crab/Lobster/Fish Traps</t>
  </si>
  <si>
    <t>Crates</t>
  </si>
  <si>
    <t>Fishing Gear (Clean Swell)</t>
  </si>
  <si>
    <t>Fishing Lines (1 yard/meter = 1 piece)</t>
  </si>
  <si>
    <t>Fishing Lures/Light Sticks</t>
  </si>
  <si>
    <t>Fishing Nets &amp; Pieces</t>
  </si>
  <si>
    <t>Light Bulbs/Tubes</t>
  </si>
  <si>
    <t>Other Plastic Bottles (oil, bleach, etc.)</t>
  </si>
  <si>
    <t>Rope (1 yard/meter = 1 piece)</t>
  </si>
  <si>
    <t>Strapping Bands</t>
  </si>
  <si>
    <t>Cigarettes/Cigarette Filters/Cigarette Butts</t>
  </si>
  <si>
    <t>Tobacco Products (Lighters, Cigar Tips, Wrap)</t>
  </si>
  <si>
    <t>E-Cigarettes</t>
  </si>
  <si>
    <t>Tobacco Packaging/Wrappers</t>
  </si>
  <si>
    <t>Other Packaging (Clean Swell)</t>
  </si>
  <si>
    <t>Other Tobacco (Packaging, lighter, etc.)</t>
  </si>
  <si>
    <t>Appliances (Refigerators, Washers, etc.)</t>
  </si>
  <si>
    <t>Electronic Waste (Phones, Batteries)</t>
  </si>
  <si>
    <t>Building/Construction Materials</t>
  </si>
  <si>
    <t>Car/Car Parts</t>
  </si>
  <si>
    <t>55-Gallon Drums</t>
  </si>
  <si>
    <t>Other Trash (Clean Swell)</t>
  </si>
  <si>
    <t>Tampons/Tampon Applicators</t>
  </si>
  <si>
    <t>Cotton Bud Sticks (swabs)</t>
  </si>
  <si>
    <t>Personal Hygiene (Clean Swell)</t>
  </si>
  <si>
    <t>* = No data provided due to COVID 19.</t>
  </si>
  <si>
    <t xml:space="preserve">     Shoreline &amp; Recreational Activities</t>
  </si>
  <si>
    <t xml:space="preserve">     Ocean/Waterway Activities</t>
  </si>
  <si>
    <t xml:space="preserve">     Smoking - Related Activities</t>
  </si>
  <si>
    <t xml:space="preserve">     Dumping Activities</t>
  </si>
  <si>
    <t xml:space="preserve">     Medical/Personal Hygiene</t>
  </si>
  <si>
    <t xml:space="preserve">   Plastic bag (Grocery and Other Plastic Bags)</t>
  </si>
  <si>
    <t xml:space="preserve">   Paper bag</t>
  </si>
  <si>
    <t>Table 1-05 . Top Ten Debris Found on Land and Underwater, Guam: Calendar Years 2020 to 2024</t>
  </si>
  <si>
    <t>Type of Debris</t>
  </si>
  <si>
    <t>Cigarette Butts</t>
  </si>
  <si>
    <t>Beverage Bottles (Plastic)</t>
  </si>
  <si>
    <t>Plastic/Foam Pieces</t>
  </si>
  <si>
    <t>Food Wrappers (Candy, Chips, Etc.)</t>
  </si>
  <si>
    <t>Bottle Caps (Plastic)</t>
  </si>
  <si>
    <t>Other Waste (Metal, Paper, Etc.)</t>
  </si>
  <si>
    <t>Bottle Caps (Metal)</t>
  </si>
  <si>
    <t>Plastic Pieces</t>
  </si>
  <si>
    <t>Grocery Bags (Plastic)</t>
  </si>
  <si>
    <t>Beverage Sachets/ Pouches</t>
  </si>
  <si>
    <t>Food Wrappers (candy, chips, etc.)</t>
  </si>
  <si>
    <t>Lids (Plastic)</t>
  </si>
  <si>
    <t>Stapping Bands</t>
  </si>
  <si>
    <t>Table 1-06 . Guam International Coastal Cleanup by Area, Guam: Calendar Years 2024</t>
  </si>
  <si>
    <t>CY 2024</t>
  </si>
  <si>
    <t>Guam Coastal</t>
  </si>
  <si>
    <t>Est. Debris</t>
  </si>
  <si>
    <t>Areas</t>
  </si>
  <si>
    <t>in Lbs.</t>
  </si>
  <si>
    <t>Volunteers</t>
  </si>
  <si>
    <t>Adacao, Guam</t>
  </si>
  <si>
    <t>Andersen AFB, Guam</t>
  </si>
  <si>
    <t>Apotgan, 96913, Guam</t>
  </si>
  <si>
    <t>Apra Harbor, Guam</t>
  </si>
  <si>
    <t>Asan, Guam</t>
  </si>
  <si>
    <t>Barrigada Heights, Guam</t>
  </si>
  <si>
    <t>Chalan Pago, Guam</t>
  </si>
  <si>
    <t>Dededo, Guam</t>
  </si>
  <si>
    <t>Finegayan Station, Guam</t>
  </si>
  <si>
    <t>Hågat, Guam</t>
  </si>
  <si>
    <t>Hagåtña, Guam</t>
  </si>
  <si>
    <t>Ipan, Guam</t>
  </si>
  <si>
    <t>Liguan, Guam</t>
  </si>
  <si>
    <t>Machananao East, Guam</t>
  </si>
  <si>
    <t>Macheche, Guam</t>
  </si>
  <si>
    <t>Malesso', Guam</t>
  </si>
  <si>
    <t>Malojloj, Guam</t>
  </si>
  <si>
    <t>Mangilao, Guam</t>
  </si>
  <si>
    <t>Mogfog, Guam</t>
  </si>
  <si>
    <t>Naval Hospital, 96910, Guam</t>
  </si>
  <si>
    <t>North Gayinero, Guam</t>
  </si>
  <si>
    <t>Oka, 96913, Guam</t>
  </si>
  <si>
    <t>Piti, Guam</t>
  </si>
  <si>
    <t>Sånta Rita-Sumai, Guam</t>
  </si>
  <si>
    <t>South Gayinero, Guam</t>
  </si>
  <si>
    <t>Tamuning, 96913, Guam</t>
  </si>
  <si>
    <t>Tumon, Guam</t>
  </si>
  <si>
    <t>University of Guam, Guam</t>
  </si>
  <si>
    <t>Windward Hills, Guam</t>
  </si>
  <si>
    <t>Wusstig, Guam</t>
  </si>
  <si>
    <t>Yigo, Guam</t>
  </si>
  <si>
    <t>Yona, Guam</t>
  </si>
  <si>
    <t>(blank)</t>
  </si>
  <si>
    <t>Source: Guam Coastal Management Program, Bureau of Statistics and Plans</t>
  </si>
  <si>
    <t>Est = Estimated</t>
  </si>
  <si>
    <t>Lbs = pounds</t>
  </si>
  <si>
    <t>Symbol "-" indicates not reported</t>
  </si>
  <si>
    <t>Table 1-07 . Guam International Coastal Cleanup by Area, Guam: Calendar Years 2023</t>
  </si>
  <si>
    <t>CY 2023</t>
  </si>
  <si>
    <t>Adelup Shore - (Gov's Complex to Paseo)</t>
  </si>
  <si>
    <t>Agat Shore and Agat Cemetary</t>
  </si>
  <si>
    <t>Alupang, East Hagatna Bay - (Onward to Paseo)</t>
  </si>
  <si>
    <t>Apaca Point to Agat</t>
  </si>
  <si>
    <t>Asan Shore &amp; War in the Pacific Park</t>
  </si>
  <si>
    <t>Dive Site- Asan Cut</t>
  </si>
  <si>
    <t>Fisheye to Piti Shoreline</t>
  </si>
  <si>
    <t>Hensa (Ensa) Beach, South Shore Pago Bay</t>
  </si>
  <si>
    <t>Humatak Bay Shoreline (Humatak Bay to Humatak</t>
  </si>
  <si>
    <t>Cemetary)</t>
  </si>
  <si>
    <t>Inalahan Bay - Agfayan Bay to Swimming Pool</t>
  </si>
  <si>
    <t>Ipan Beach Park</t>
  </si>
  <si>
    <t>Malesso'</t>
  </si>
  <si>
    <t>Nimitz Beach Park</t>
  </si>
  <si>
    <t>Okkodo Pipeline (Dededo)</t>
  </si>
  <si>
    <t>Pago Bay (Francisco Perez Beach)</t>
  </si>
  <si>
    <t>Paseo De Susana, Hagatna (Adelup to Paseo)</t>
  </si>
  <si>
    <t>Tagachang Beach Park (Yona)</t>
  </si>
  <si>
    <t>Talofofo Bay</t>
  </si>
  <si>
    <t>Tanguisson Beach Park (Harmon)</t>
  </si>
  <si>
    <t>Tarague Beach, Scout Beach</t>
  </si>
  <si>
    <t>Tumon Beach- (Hilton/Ypao to Matapang Beach)</t>
  </si>
  <si>
    <t>Tumon Beach- (Nana's Café - Matapang Beach)</t>
  </si>
  <si>
    <t>Turtle Cove, Yona</t>
  </si>
  <si>
    <t>Unknown Locations</t>
  </si>
  <si>
    <t>Table 1-08 . Guam International Coastal Cleanup by Area, Guam: Calendar Years 2017 to 2022</t>
  </si>
  <si>
    <t>CY 2022</t>
  </si>
  <si>
    <t>CY 2018</t>
  </si>
  <si>
    <t>CY 2017</t>
  </si>
  <si>
    <t>Adelup/Hagatna</t>
  </si>
  <si>
    <t>Agat/Agat Shore/Cemetary</t>
  </si>
  <si>
    <t>Alupang</t>
  </si>
  <si>
    <t>Anao (Yigo)</t>
  </si>
  <si>
    <t>Asan/Asan Shore</t>
  </si>
  <si>
    <t>Asan Cut - Underwater</t>
  </si>
  <si>
    <t>Cemetery Wall, Agat</t>
  </si>
  <si>
    <t>Chalan Pago</t>
  </si>
  <si>
    <t>Dadi Beach</t>
  </si>
  <si>
    <t>Dededo</t>
  </si>
  <si>
    <t>Dungca's</t>
  </si>
  <si>
    <t>Eagle's Field</t>
  </si>
  <si>
    <t>Gun Beach</t>
  </si>
  <si>
    <t>Harmon</t>
  </si>
  <si>
    <t>Hilton to Pacific Star</t>
  </si>
  <si>
    <t>Inarajan Bay</t>
  </si>
  <si>
    <t>Ipan (Talofofo Bay)</t>
  </si>
  <si>
    <t>Mangilao</t>
  </si>
  <si>
    <t>Marbo</t>
  </si>
  <si>
    <t>Marine Lab</t>
  </si>
  <si>
    <t>Matapang Beach</t>
  </si>
  <si>
    <t>Oka Point</t>
  </si>
  <si>
    <t>Okkodo Pipeline</t>
  </si>
  <si>
    <t>Francisco Perez Beach (Pago Bay)</t>
  </si>
  <si>
    <t>Pago Bay II - Ensa Beach</t>
  </si>
  <si>
    <t>Paseo</t>
  </si>
  <si>
    <t>Pauliluc Bay, Nomna (Inarajan)</t>
  </si>
  <si>
    <t>Piti</t>
  </si>
  <si>
    <t>Piti Santos Memorial Park</t>
  </si>
  <si>
    <t>Rizal Beach</t>
  </si>
  <si>
    <t>Santa Rita</t>
  </si>
  <si>
    <t>Sirena &amp; Scout Beach</t>
  </si>
  <si>
    <t>Tagachang</t>
  </si>
  <si>
    <t>Talofofo</t>
  </si>
  <si>
    <t>Tamuning</t>
  </si>
  <si>
    <t>Tanguisson</t>
  </si>
  <si>
    <t>Tarague/Pati Point</t>
  </si>
  <si>
    <t>Turtle Cove</t>
  </si>
  <si>
    <t>Umatac Bay</t>
  </si>
  <si>
    <t>War in the Pacific Park</t>
  </si>
  <si>
    <t>Yigo</t>
  </si>
  <si>
    <t>Yona</t>
  </si>
  <si>
    <t>Ypao</t>
  </si>
  <si>
    <t>Delta/Echo</t>
  </si>
  <si>
    <t>Note: The 2020 &amp; 2021 Guam Coastal Cleanup did not take place due to the COVID-19 pandemic.</t>
  </si>
  <si>
    <t>The number of bags in 2016, 2017 and 2018 not available.</t>
  </si>
  <si>
    <t>The number of volunteers in 2017 and 2018 not available.</t>
  </si>
  <si>
    <t>Table 1-09 . Guam Coastal Cleanup, People, Pounds and Miles, Guam: Calendar Years 2018 to 2024</t>
  </si>
  <si>
    <t>People</t>
  </si>
  <si>
    <t>Miles</t>
  </si>
  <si>
    <t xml:space="preserve">     Land/Underwater/Watercraft (Total)</t>
  </si>
  <si>
    <t xml:space="preserve">     Land (Total)</t>
  </si>
  <si>
    <t xml:space="preserve">     Underwater/Watercraft (Total)</t>
  </si>
  <si>
    <t>Table 1-10 . Guam Recycling and Disposal Data (In Tons): Calendar Years 2019 to 2024</t>
  </si>
  <si>
    <t>Guam Recycling Rate</t>
  </si>
  <si>
    <t>Material Recycled</t>
  </si>
  <si>
    <t>All Paper</t>
  </si>
  <si>
    <t>Cardboard</t>
  </si>
  <si>
    <t>Mixed Paper</t>
  </si>
  <si>
    <t>All Metal</t>
  </si>
  <si>
    <t>Mixed Metals</t>
  </si>
  <si>
    <t>Ferrous (Steel)</t>
  </si>
  <si>
    <t>Other Non-Ferrous</t>
  </si>
  <si>
    <t>Plastics</t>
  </si>
  <si>
    <t>Batteries</t>
  </si>
  <si>
    <t>Electronics</t>
  </si>
  <si>
    <t>Mulched and Composted wood and Green Waste</t>
  </si>
  <si>
    <t>Composting</t>
  </si>
  <si>
    <t>Mulch Green Materials</t>
  </si>
  <si>
    <t>Mulched Wood</t>
  </si>
  <si>
    <t>Total Recycled and Composted</t>
  </si>
  <si>
    <t>Material Disposed</t>
  </si>
  <si>
    <t>Wood Waste Hardfilled</t>
  </si>
  <si>
    <t>Green Waste Hardfilled</t>
  </si>
  <si>
    <t>Municipal Solid Waste Landfilled</t>
  </si>
  <si>
    <t>Municipal Solid Waste Incinerated</t>
  </si>
  <si>
    <t>Total Disposed (Landfilled, Hardfilled &amp; Incinerated)</t>
  </si>
  <si>
    <t>Total Materials Generated</t>
  </si>
  <si>
    <t>Source: Guam Environmental Protection Agency</t>
  </si>
  <si>
    <t>Table 17-01 . Land Parcels by Election District, Guam: Assessment Years 2020 to 2023</t>
  </si>
  <si>
    <t>[Number]</t>
  </si>
  <si>
    <t>Municipality</t>
  </si>
  <si>
    <t>Hagåtña (Agana)</t>
  </si>
  <si>
    <t>Agana Heights</t>
  </si>
  <si>
    <t>Asan-Maina</t>
  </si>
  <si>
    <t>Barrigada</t>
  </si>
  <si>
    <t>Chalan Pago-Ordot</t>
  </si>
  <si>
    <t>Hagat</t>
  </si>
  <si>
    <t>Humatak</t>
  </si>
  <si>
    <t>Inalahan</t>
  </si>
  <si>
    <t>Machanao</t>
  </si>
  <si>
    <t>Malesso</t>
  </si>
  <si>
    <t>Mongmong-Toto-Maite</t>
  </si>
  <si>
    <t>Sinajana</t>
  </si>
  <si>
    <t>Sumay</t>
  </si>
  <si>
    <t>Talo'fofo</t>
  </si>
  <si>
    <t>Tamuning/Tumon</t>
  </si>
  <si>
    <t>Source: Department of Revenue and Taxation, Government of Guam</t>
  </si>
  <si>
    <t>Note: A land parcel is any piece of registered land, regardless of size.</t>
  </si>
  <si>
    <t>Assessment Year is equivalent to Tax Year.</t>
  </si>
  <si>
    <t>Legal municipal division created by Executive Order.</t>
  </si>
  <si>
    <t>2016-2022- Tamuning is included in Dededo</t>
  </si>
  <si>
    <t>2016-2022- Mangilao is included in Barrigada</t>
  </si>
  <si>
    <t>2016-2022- Agana Heights, Chalan Pago/Ordot and Mongmong/Toto/Maite are included in Sinajana</t>
  </si>
  <si>
    <t>2023- Sumay is part of Piti, and Machanao is part of Dededo</t>
  </si>
  <si>
    <t>Table 17-02 . Appraised Value of Land Parcels by Election District, Guam: Assessment Years 2020 to 2024</t>
  </si>
  <si>
    <t>[Ten Thousands of Dollars]</t>
  </si>
  <si>
    <t>Humatac</t>
  </si>
  <si>
    <t>Inarajan</t>
  </si>
  <si>
    <t>Appraised value is an amount at which property would be taken in payment of a just debt from a solvent debtor.</t>
  </si>
  <si>
    <t>90 percent of the Appraised Value for Assessment Years 2016-2023.</t>
  </si>
  <si>
    <t>Table 17-03 . Assessed Value and Appraised Value of Real Estate and Real Estate Tax Valuation, Guam:</t>
  </si>
  <si>
    <t>Assessment Years 2020 to 2024</t>
  </si>
  <si>
    <t>[Ten Million Dollars]</t>
  </si>
  <si>
    <t>Assessed Value (Total)</t>
  </si>
  <si>
    <t>Land</t>
  </si>
  <si>
    <t>Building</t>
  </si>
  <si>
    <t>Appraised Value (Total)</t>
  </si>
  <si>
    <t>Real Estate Tax Valuation (Total)</t>
  </si>
  <si>
    <t>Assessed Value:</t>
  </si>
  <si>
    <t>90 percent of the Appraised Value for Assessment Years 2009 - 2011.</t>
  </si>
  <si>
    <t>100 percent of the Appraised Value for Assessment Years 2012-2015.</t>
  </si>
  <si>
    <t>90 percent of the Appraised Value for Assessment Years 2016-Current.</t>
  </si>
  <si>
    <t>Tax Valuation includes additional building taxes (PL35-1) for Assessment Years 2019-Current.</t>
  </si>
  <si>
    <t>Home Exemption, Senior Citizen Tax Credit, Farm Exemption, Disability Tax Credit, and VA Exemption have also been applied.</t>
  </si>
  <si>
    <t>Totals may vary slightly due to rounding.</t>
  </si>
  <si>
    <t>Inalajan</t>
  </si>
  <si>
    <t>Note: Excludes Military and Government owned buildings.</t>
  </si>
  <si>
    <t>"Buildings" include residential, condominions, hotels, apartments, malls, churches and cottages.</t>
  </si>
  <si>
    <t>Legal Municipal Division created by Executive Order.</t>
  </si>
  <si>
    <t>Tamuning is included in Dededo.</t>
  </si>
  <si>
    <t>Mangilao is included in Barrigada</t>
  </si>
  <si>
    <t>Agana Heights, Chalan Pago/Ordot and Mongmong/Toto/Maite are included in Sinajana</t>
  </si>
  <si>
    <t>Table 17-05 . Appraised Value of Buildings by Election District, Guam: Assessment Years 2020 to 2024</t>
  </si>
  <si>
    <t>Appraised value is an amount atwhich property would be taken in payment of a just debt from a solvent debtor.</t>
  </si>
  <si>
    <t>Table 17-06 . Construction Permits by Type and Construction Cost, Guam: Fiscal Years 2020 to 2024</t>
  </si>
  <si>
    <t>FY2024</t>
  </si>
  <si>
    <t>FY2023</t>
  </si>
  <si>
    <t>FY2022</t>
  </si>
  <si>
    <t>FY2021R</t>
  </si>
  <si>
    <t>FY2020R</t>
  </si>
  <si>
    <t>Permit</t>
  </si>
  <si>
    <t>Construction</t>
  </si>
  <si>
    <t>Type of Construction</t>
  </si>
  <si>
    <t>($000) Value</t>
  </si>
  <si>
    <t>Grand Total</t>
  </si>
  <si>
    <t>Commerical</t>
  </si>
  <si>
    <t>N</t>
  </si>
  <si>
    <t>A</t>
  </si>
  <si>
    <t>R</t>
  </si>
  <si>
    <t>Condominiums</t>
  </si>
  <si>
    <t>Industrial</t>
  </si>
  <si>
    <t>Residential</t>
  </si>
  <si>
    <t>Government of Guam</t>
  </si>
  <si>
    <t>Miscellaneous</t>
  </si>
  <si>
    <t>Source: Department of Public Works, Government of Guam</t>
  </si>
  <si>
    <t>Other includes Warehouse/Storage, Utility/Infrastructure, Photovoltaic/Solar, Signage, Demolition, Clearing/Grading</t>
  </si>
  <si>
    <t>N= New A= Addition R= Renovation</t>
  </si>
  <si>
    <t>Note: As of FY2021, the Construction Permits by Type and Construction Cost will reflect the following:</t>
  </si>
  <si>
    <t>**(Solar/Photovoltaic, Demolition, Boring/Testing, Sign and Cleaning/Grading) are included under OTHER (New)</t>
  </si>
  <si>
    <t>**(Warehouse/Storage and Utility/Infrastructure) are included under INDUSTRIAL (New)</t>
  </si>
  <si>
    <t>**(Elevator/Escalator) are included and under COMMERCIAL (New)</t>
  </si>
  <si>
    <t>Table 17-07 . Number of Permits Issued by Area and Type of Permit, Guam: Fiscal Year 2024</t>
  </si>
  <si>
    <t>Type of Permit</t>
  </si>
  <si>
    <t>Area</t>
  </si>
  <si>
    <t>Commercial</t>
  </si>
  <si>
    <t>Government</t>
  </si>
  <si>
    <t>Warehouse/</t>
  </si>
  <si>
    <t>Utility/</t>
  </si>
  <si>
    <t>Photovoltaic/</t>
  </si>
  <si>
    <t>Installation</t>
  </si>
  <si>
    <t>Signage</t>
  </si>
  <si>
    <t>Demolition</t>
  </si>
  <si>
    <t>Clearing/</t>
  </si>
  <si>
    <t>Boring</t>
  </si>
  <si>
    <t>Storage</t>
  </si>
  <si>
    <t>Infrastructure</t>
  </si>
  <si>
    <t>Solar</t>
  </si>
  <si>
    <t>Elevator/Escalator</t>
  </si>
  <si>
    <t>Grading</t>
  </si>
  <si>
    <t>Testing</t>
  </si>
  <si>
    <t>Hagåtña / Agana Heights</t>
  </si>
  <si>
    <t>Agat / SantaRita</t>
  </si>
  <si>
    <t>Asan / Maina</t>
  </si>
  <si>
    <t>Chalan Pago/Ordot</t>
  </si>
  <si>
    <t>Merizo</t>
  </si>
  <si>
    <t>Mongomong / Toto / Maite</t>
  </si>
  <si>
    <t>Tamuning / Tumon</t>
  </si>
  <si>
    <t>Umatac</t>
  </si>
  <si>
    <t>Total Permit Fees ($000) dollars</t>
  </si>
  <si>
    <t>Plan Checking Fee ($000) dollars</t>
  </si>
  <si>
    <t>Permit Fees ($000) dollars</t>
  </si>
  <si>
    <t>Total Construction Cost ($000) dollars</t>
  </si>
  <si>
    <t>Source: Building Permits and Inspection Section, Department of Public Works, Government of Guam</t>
  </si>
  <si>
    <t>Table 17-08 . Construction Permits Issued by Type of Permit, Guam: Fiscal Year 2024</t>
  </si>
  <si>
    <t>Total Permits Issued</t>
  </si>
  <si>
    <t>Construction Value [$000]</t>
  </si>
  <si>
    <t>Bldg. Permits Value [$000]</t>
  </si>
  <si>
    <t>New</t>
  </si>
  <si>
    <t>Addition</t>
  </si>
  <si>
    <t>Reno</t>
  </si>
  <si>
    <t>Warehouse/Storage</t>
  </si>
  <si>
    <t>Utility/Infrastructure</t>
  </si>
  <si>
    <t>Photovoltaic/Solar</t>
  </si>
  <si>
    <t>Clearing/Grading</t>
  </si>
  <si>
    <t>Boring Testing</t>
  </si>
  <si>
    <t>Table 17-09 . Number of Permits Issued by Area and Type of Permit, Guam: Fiscal Year 2023</t>
  </si>
  <si>
    <t>Agat/Santa Rita</t>
  </si>
  <si>
    <t>Asan/Maina</t>
  </si>
  <si>
    <t>Mongomong/Toto/Maite</t>
  </si>
  <si>
    <t>Table 17-10 . Construction Permits Issued by Type of Permit, Guam: Fiscal Year 2023</t>
  </si>
  <si>
    <t>Table 17-07 . Number of Permits Issued by Area and Type of Permit, Guam: Fiscal Year 2025</t>
  </si>
  <si>
    <t>Table 17-11 . Number of Permits Issued by Area and Type of Permit, Guam: Fiscal Year 2022</t>
  </si>
  <si>
    <t>Agat</t>
  </si>
  <si>
    <t>Table 17-12 . Construction Permits Issued by Type of Permit, Guam: Fiscal Year 2022</t>
  </si>
  <si>
    <t>Table 17-13 . Number of Permits Issued by Area and Type of Permit, Guam: Fiscal Year 2021</t>
  </si>
  <si>
    <t>Hagåtña</t>
  </si>
  <si>
    <t>Table 17-14 . Construction Permits Issued by Type of Permit, Guam: Fiscal Year 2021</t>
  </si>
  <si>
    <t>Table 17-15 . Number of Permits Issued by Area and Type of Permit, Guam: Fiscal Year 2020</t>
  </si>
  <si>
    <t>Table 17-16 . Construction Permits Issued by Type of Permit, Guam: Fiscal Year 2020</t>
  </si>
  <si>
    <t>Clilnic</t>
  </si>
  <si>
    <t>Boring/Testing</t>
  </si>
  <si>
    <t>Table 17-17 . Occupancy Permits Issued by Type of Building, Guam: Fiscal Years 2022 to 2024</t>
  </si>
  <si>
    <t>Hotel</t>
  </si>
  <si>
    <t>4Plex/Duplex</t>
  </si>
  <si>
    <t>Condominum</t>
  </si>
  <si>
    <t>Townhouse</t>
  </si>
  <si>
    <t>Apartment Building</t>
  </si>
  <si>
    <t>Store/Shop</t>
  </si>
  <si>
    <t>Church/Chapel</t>
  </si>
  <si>
    <t>Hospital/Clinic</t>
  </si>
  <si>
    <t>School/Child Care</t>
  </si>
  <si>
    <t>Restaurant/Bar</t>
  </si>
  <si>
    <t>Source: Building Permits and Inspection Section, Department of Public Works,</t>
  </si>
  <si>
    <t>Government of Guam Occupancy Permit: Completed buildings.</t>
  </si>
  <si>
    <t>Table 17-18 . Occupancy Permits Issued by Type of Building, Guam: Fiscal Years 2018 to 2021</t>
  </si>
  <si>
    <t>Apartment and Dormitories</t>
  </si>
  <si>
    <t>Religious and Non-Profit</t>
  </si>
  <si>
    <t>Occupancy Permit: Completed buildings.</t>
  </si>
  <si>
    <t>Table 15-01 . Courts and Ministrials Division Case Filings, Guam: 2017 to 2024</t>
  </si>
  <si>
    <t>Total Case Filings</t>
  </si>
  <si>
    <t>Special Proceedings</t>
  </si>
  <si>
    <t>Criminal (Felony)</t>
  </si>
  <si>
    <t>Criminal (Misdemeanor)</t>
  </si>
  <si>
    <t>Juvenile Delinquency</t>
  </si>
  <si>
    <t>Juvenile Special Proceedings</t>
  </si>
  <si>
    <t>Juvenile Drug Court</t>
  </si>
  <si>
    <t>Probate</t>
  </si>
  <si>
    <t>Civil</t>
  </si>
  <si>
    <t>Adoption</t>
  </si>
  <si>
    <t>Domestic</t>
  </si>
  <si>
    <t>Land Registration</t>
  </si>
  <si>
    <t>Child Support</t>
  </si>
  <si>
    <t>Foreign Orders</t>
  </si>
  <si>
    <t>Protective Orders</t>
  </si>
  <si>
    <t>Small Claims</t>
  </si>
  <si>
    <t>Restitutional and Fines</t>
  </si>
  <si>
    <t>Traffic</t>
  </si>
  <si>
    <t>Source: Superior Court of Guam, Courts and Ministerial Division, Judiciary</t>
  </si>
  <si>
    <t>n/a = not applicable</t>
  </si>
  <si>
    <t>1/ Beginning January 2017, Juvenile Drug Court cases are filed as Juvenile Delinquency Cases.</t>
  </si>
  <si>
    <t>Note: Domestic- Cases that include divorce actions, and issues involving custody, paternity, visitation, and child support.</t>
  </si>
  <si>
    <t>Offenses</t>
  </si>
  <si>
    <t>2019R</t>
  </si>
  <si>
    <t>2018R</t>
  </si>
  <si>
    <t>Murder</t>
  </si>
  <si>
    <t>Forcible Rape</t>
  </si>
  <si>
    <t>Robbery</t>
  </si>
  <si>
    <t>Aggravated Assault</t>
  </si>
  <si>
    <t>Source: Guam Police Department, Government of Guam</t>
  </si>
  <si>
    <t>Burglary</t>
  </si>
  <si>
    <t>Larceny Theft</t>
  </si>
  <si>
    <t>Motor Vehicle Theft</t>
  </si>
  <si>
    <t>Arson</t>
  </si>
  <si>
    <t>Table 15-02 . Violent Crimes Reported, Guam: 2017 to 2023</t>
  </si>
  <si>
    <t>Table 15-03 . Property Crimes Reported, Guam: 2017 to 2023</t>
  </si>
  <si>
    <t>Total, Part 1</t>
  </si>
  <si>
    <t>Rape</t>
  </si>
  <si>
    <t>Total, Part 2</t>
  </si>
  <si>
    <t>Larceny-Theft</t>
  </si>
  <si>
    <t>Table 15-04 . Offenses Reported, Guam: 2020 to 2023</t>
  </si>
  <si>
    <t>Age</t>
  </si>
  <si>
    <t>Under</t>
  </si>
  <si>
    <t>18-19</t>
  </si>
  <si>
    <t>20-24</t>
  </si>
  <si>
    <t>25-29</t>
  </si>
  <si>
    <t>30-34</t>
  </si>
  <si>
    <t>35-39</t>
  </si>
  <si>
    <t>40-44</t>
  </si>
  <si>
    <t>45-49</t>
  </si>
  <si>
    <t>50-54</t>
  </si>
  <si>
    <t>55-59</t>
  </si>
  <si>
    <t>60-64</t>
  </si>
  <si>
    <t>65 yrs</t>
  </si>
  <si>
    <t>Offense</t>
  </si>
  <si>
    <t>18 yrs</t>
  </si>
  <si>
    <t>years</t>
  </si>
  <si>
    <t>and over</t>
  </si>
  <si>
    <t>Unk</t>
  </si>
  <si>
    <t>Total Part 1 Offense</t>
  </si>
  <si>
    <t>Total Part 2 Offense</t>
  </si>
  <si>
    <t>Other Assaults</t>
  </si>
  <si>
    <t>Forgery/Counterfeits</t>
  </si>
  <si>
    <t>Fraud &amp; Bad Checks</t>
  </si>
  <si>
    <t>Embezzlement</t>
  </si>
  <si>
    <t>Stolen Property</t>
  </si>
  <si>
    <t>Vandalism</t>
  </si>
  <si>
    <t>Weapons Violence</t>
  </si>
  <si>
    <t>Prostitution</t>
  </si>
  <si>
    <t>Sex Offenses</t>
  </si>
  <si>
    <t>Drug Abuse</t>
  </si>
  <si>
    <t>Gambling</t>
  </si>
  <si>
    <t>Offenses Against Family</t>
  </si>
  <si>
    <t>Driving Under Influence</t>
  </si>
  <si>
    <t>Liquor Laws</t>
  </si>
  <si>
    <t>Drunkenness</t>
  </si>
  <si>
    <t>Disorderly Conduct</t>
  </si>
  <si>
    <t>Vagrancy</t>
  </si>
  <si>
    <t>Runaways</t>
  </si>
  <si>
    <t>Suspicion</t>
  </si>
  <si>
    <t>Curfew Violations</t>
  </si>
  <si>
    <t>Human Trafficking (Coml. Sex Acts)</t>
  </si>
  <si>
    <t>All other offenses</t>
  </si>
  <si>
    <t>Source: Guam Police Department, Government of Guam.</t>
  </si>
  <si>
    <t>Table 15-06 . Arrests by Crime and Age Group, Guam: 2017</t>
  </si>
  <si>
    <t>Table 17-04 . Number of Buildings by Election District, Guam: Assessment Years 2020 to 2023</t>
  </si>
  <si>
    <t>Table 15-07 . Arrests by Crime and Age Group, Guam: 2016</t>
  </si>
  <si>
    <t>Offense Classification</t>
  </si>
  <si>
    <t>2021R</t>
  </si>
  <si>
    <t>Group "A" Crimes</t>
  </si>
  <si>
    <t>Crimes Against Persons</t>
  </si>
  <si>
    <t>Murder/Nonnegligent Manslaughter</t>
  </si>
  <si>
    <t>Negligent Manslaughter</t>
  </si>
  <si>
    <t>Kidnapping/Abduction</t>
  </si>
  <si>
    <t>Sodomy</t>
  </si>
  <si>
    <t>Sex Assault with an Object</t>
  </si>
  <si>
    <t>Fondling</t>
  </si>
  <si>
    <t>Simple Assault</t>
  </si>
  <si>
    <t>Intimidation</t>
  </si>
  <si>
    <t>Incest</t>
  </si>
  <si>
    <t>Statutory Rape</t>
  </si>
  <si>
    <t>Human Trafficking, Commercial Sex Acts</t>
  </si>
  <si>
    <t>Human Trafficking, Involuntary Servitude</t>
  </si>
  <si>
    <t>Crimes Against Property</t>
  </si>
  <si>
    <t>Extortion Blackmail</t>
  </si>
  <si>
    <t>Burglary/Breaking and Entering</t>
  </si>
  <si>
    <t>Larceny (Pocket-Picking)</t>
  </si>
  <si>
    <t>Larceny (Purse Snatching)</t>
  </si>
  <si>
    <t>Larceny (Shoplifting)</t>
  </si>
  <si>
    <t>Larceny (From a Building)</t>
  </si>
  <si>
    <t>Larceny (From a Coin Operated Device)</t>
  </si>
  <si>
    <t>Larceny (From Motor Vehicles)</t>
  </si>
  <si>
    <t>Larceny (Of Motor Vehicle Parts &amp; Accessories)</t>
  </si>
  <si>
    <t>Larceny (All Other)</t>
  </si>
  <si>
    <t>Counterfeit/Forgery</t>
  </si>
  <si>
    <t>Fraud (False Pretense, Swindle)</t>
  </si>
  <si>
    <t>Fraud (Credit/Debit Card/ATM)</t>
  </si>
  <si>
    <t>Fraud (Impersonation)</t>
  </si>
  <si>
    <t>Fraud (Welfare)</t>
  </si>
  <si>
    <t>Fraud (Wire)</t>
  </si>
  <si>
    <t>Fraud (Identity Theft)</t>
  </si>
  <si>
    <t>Fraud (Hacking/Computer Invasion)</t>
  </si>
  <si>
    <t>Vandalism/Destruction of Property, Damage</t>
  </si>
  <si>
    <t>Bribery</t>
  </si>
  <si>
    <t>Crimes Against Society</t>
  </si>
  <si>
    <t>Drugs/Narcotic Violations</t>
  </si>
  <si>
    <t>Drugs Equipment Violations</t>
  </si>
  <si>
    <t>Pornography/Obscene Material</t>
  </si>
  <si>
    <t>Gambling (Betting, Wagering)</t>
  </si>
  <si>
    <t>Gambling (Operating, Promoting)</t>
  </si>
  <si>
    <t>Gambling (Equipment Violations)</t>
  </si>
  <si>
    <t>Gambling (Sports Tampering)</t>
  </si>
  <si>
    <t>Assisting, Promoting Prostitution</t>
  </si>
  <si>
    <t>Purchasing Prostitution</t>
  </si>
  <si>
    <t>Weapons Law Violation</t>
  </si>
  <si>
    <t>Animal Cruelty</t>
  </si>
  <si>
    <t>Group "B" Crimes</t>
  </si>
  <si>
    <t>Bad Checks</t>
  </si>
  <si>
    <t>Driving Under the Influence</t>
  </si>
  <si>
    <t>Nonviolent Family Offenses</t>
  </si>
  <si>
    <t>Liquor Law Violations</t>
  </si>
  <si>
    <t>Peeping Tom</t>
  </si>
  <si>
    <t>Trespass of Real Property</t>
  </si>
  <si>
    <t>All Other Offenses</t>
  </si>
  <si>
    <t>Note: "Curfew Violations and Runaways" are juvenille offenses are not included on this table.</t>
  </si>
  <si>
    <t>1/- Not previously categorized</t>
  </si>
  <si>
    <t>Black/African</t>
  </si>
  <si>
    <t>Native Hawaiian/Pacific Islander</t>
  </si>
  <si>
    <t>American Indian or Alaskan</t>
  </si>
  <si>
    <t>Not stated/Unknown</t>
  </si>
  <si>
    <t>Source: Uniform Crime Report, Guam Police Department, Government of Guam.</t>
  </si>
  <si>
    <t>10 to 15 yrs old</t>
  </si>
  <si>
    <t>16 to 20 yrs old</t>
  </si>
  <si>
    <t>21 to 25 yrs old</t>
  </si>
  <si>
    <t>26 to 30 yrs old</t>
  </si>
  <si>
    <t>31 to 35 yrs old</t>
  </si>
  <si>
    <t>36 to 40 yrs old</t>
  </si>
  <si>
    <t>41 to 45 yrs old</t>
  </si>
  <si>
    <t>46 to 50 yrs old</t>
  </si>
  <si>
    <t>51 to 55 yrs old</t>
  </si>
  <si>
    <t>56 to 60 yrs old</t>
  </si>
  <si>
    <t>61 to 65 yrs old</t>
  </si>
  <si>
    <t>66 to 70 yrs old</t>
  </si>
  <si>
    <t>61 to 75 yrs old</t>
  </si>
  <si>
    <t>76 to 80 yrs old</t>
  </si>
  <si>
    <t>81 yrs and over</t>
  </si>
  <si>
    <t>Not Stated</t>
  </si>
  <si>
    <t>15 to 19 yrs old</t>
  </si>
  <si>
    <t>20 to 24 yrs old</t>
  </si>
  <si>
    <t>25 to 29 yrs old</t>
  </si>
  <si>
    <t>30 to 34 yrs old</t>
  </si>
  <si>
    <t>35 to 39 yrs old</t>
  </si>
  <si>
    <t>40 to 44 yrs old</t>
  </si>
  <si>
    <t>45 to 49 yrs old</t>
  </si>
  <si>
    <t>50 to 54 yrs old</t>
  </si>
  <si>
    <t>55 to 59 yrs old</t>
  </si>
  <si>
    <t>60 to 64 yrs old</t>
  </si>
  <si>
    <t>65 to 69 yrs old</t>
  </si>
  <si>
    <t>70 to 74 yrs old</t>
  </si>
  <si>
    <t>75 to 79 yrs old</t>
  </si>
  <si>
    <t>80 to 84 yrs old</t>
  </si>
  <si>
    <t>15 to 20 yrs old</t>
  </si>
  <si>
    <t>71 to 75 yrs old</t>
  </si>
  <si>
    <t>81+</t>
  </si>
  <si>
    <t>Note: No data for 2020</t>
  </si>
  <si>
    <t>Race</t>
  </si>
  <si>
    <t>Black/African American</t>
  </si>
  <si>
    <t>Asian/Pacific Islander</t>
  </si>
  <si>
    <t>American Indian/Alaskan Native</t>
  </si>
  <si>
    <t>Unknown</t>
  </si>
  <si>
    <t>Assault</t>
  </si>
  <si>
    <t>Strangulation</t>
  </si>
  <si>
    <t>Terrorizing</t>
  </si>
  <si>
    <t>Criminal Mischief</t>
  </si>
  <si>
    <t>Child Abuse</t>
  </si>
  <si>
    <t>Beyond Control</t>
  </si>
  <si>
    <t>Resisting Arrest</t>
  </si>
  <si>
    <t>Use of a Deadly Weapon in the</t>
  </si>
  <si>
    <t>Commission of a Felony</t>
  </si>
  <si>
    <t>Unlawful Restraint</t>
  </si>
  <si>
    <t>Felonious Restraint</t>
  </si>
  <si>
    <t>Criminal Sexual Conduct-1st Degree</t>
  </si>
  <si>
    <t>Public Drunkenness</t>
  </si>
  <si>
    <t>Criminal Trespass</t>
  </si>
  <si>
    <t>Harassment</t>
  </si>
  <si>
    <t>Stalking</t>
  </si>
  <si>
    <t>Violation of a Court Order</t>
  </si>
  <si>
    <t>Home Invasion</t>
  </si>
  <si>
    <t>Custodial Interference</t>
  </si>
  <si>
    <t>Aggravated Murder</t>
  </si>
  <si>
    <t>Reckless Conduct</t>
  </si>
  <si>
    <t>Discharge of a Firearm</t>
  </si>
  <si>
    <t>Abuse of the Incompetent</t>
  </si>
  <si>
    <t>Assault Against a Peace Officer</t>
  </si>
  <si>
    <t>No Driver's License</t>
  </si>
  <si>
    <t>Registration Expired</t>
  </si>
  <si>
    <t>Mandatory Insurance</t>
  </si>
  <si>
    <t>Theft of Property- All Others</t>
  </si>
  <si>
    <t>Alcohol- Minors (under 21 yrs)</t>
  </si>
  <si>
    <t>Interfering with the reporting of Family</t>
  </si>
  <si>
    <t>Violence</t>
  </si>
  <si>
    <t>Execution of Warrants</t>
  </si>
  <si>
    <t>Theft of Motor Vehicle</t>
  </si>
  <si>
    <t>Reckless Driving</t>
  </si>
  <si>
    <t>Firearm Unregistered</t>
  </si>
  <si>
    <t>Purchase without Valid ID</t>
  </si>
  <si>
    <t>Note: No data for 2021</t>
  </si>
  <si>
    <t>Larceny-theft</t>
  </si>
  <si>
    <t>Assaults - Simple</t>
  </si>
  <si>
    <t>Drug Abuse Violations</t>
  </si>
  <si>
    <t>Offenses Against Family and Children</t>
  </si>
  <si>
    <t>17 yrs and under</t>
  </si>
  <si>
    <t>18 to 19 yrs old</t>
  </si>
  <si>
    <t>60 yrs. and over</t>
  </si>
  <si>
    <t>Ethnicity</t>
  </si>
  <si>
    <t>Guamanian</t>
  </si>
  <si>
    <t>Micronesian</t>
  </si>
  <si>
    <t>Hawaiian</t>
  </si>
  <si>
    <t>Saipanese</t>
  </si>
  <si>
    <t>Yapese</t>
  </si>
  <si>
    <t>White/Caucasian</t>
  </si>
  <si>
    <t>Palauan</t>
  </si>
  <si>
    <t>Not Stated/Unknown</t>
  </si>
  <si>
    <t>Pohnpeian</t>
  </si>
  <si>
    <t>Marshallese</t>
  </si>
  <si>
    <t>Chuukese</t>
  </si>
  <si>
    <t>Kosraean</t>
  </si>
  <si>
    <t>African American</t>
  </si>
  <si>
    <t>African</t>
  </si>
  <si>
    <t>Indian</t>
  </si>
  <si>
    <t>Russian</t>
  </si>
  <si>
    <t>European</t>
  </si>
  <si>
    <t>Non-Hispanic</t>
  </si>
  <si>
    <t>Hispanic</t>
  </si>
  <si>
    <t>Table 15-17 . Family Violence Offenders by Ethnicity and Race, Guam: 2023</t>
  </si>
  <si>
    <t>Table 15-18. Family Violence Offenders by Ethnicity and Race, Guam: 2022</t>
  </si>
  <si>
    <t>Murder and Nonnegligent Manslaugther</t>
  </si>
  <si>
    <t>Human Trafficking - Commercial Sex Acts</t>
  </si>
  <si>
    <t>Human Trafficking - Involuntary Servitude</t>
  </si>
  <si>
    <t>Burglary/Breaking &amp; Entering</t>
  </si>
  <si>
    <t>Larceny From a Building)</t>
  </si>
  <si>
    <t>Larceny (Of Motor Vehicle Parts)</t>
  </si>
  <si>
    <t>Counterfeiting/Forgery</t>
  </si>
  <si>
    <t>Fraud</t>
  </si>
  <si>
    <t>Fraud (Credit Debit/Card/ATM)</t>
  </si>
  <si>
    <t>Fraud (Identify Theft)</t>
  </si>
  <si>
    <t>Fraud (Hack/Computer Invasion)</t>
  </si>
  <si>
    <t>Stolen Property Offenses</t>
  </si>
  <si>
    <t>Drug/Narcotic Violations</t>
  </si>
  <si>
    <t>Drug Equipment Violations</t>
  </si>
  <si>
    <t>Pornography/Obscene Materials</t>
  </si>
  <si>
    <t>Weapons Law Violations</t>
  </si>
  <si>
    <t>Group B Crimes</t>
  </si>
  <si>
    <t>Curfew/Loitering/Vagrancy Violations</t>
  </si>
  <si>
    <t>Offense Against the Family and Children</t>
  </si>
  <si>
    <t>Liquor Laws Violations</t>
  </si>
  <si>
    <t>Total Admissions</t>
  </si>
  <si>
    <t>1st client contact</t>
  </si>
  <si>
    <t>2 or more contacts</t>
  </si>
  <si>
    <t>Recidivism rate</t>
  </si>
  <si>
    <t>Source: Department of Youth Affairs, Government of Guam.</t>
  </si>
  <si>
    <t>2017R</t>
  </si>
  <si>
    <t>63..2</t>
  </si>
  <si>
    <t>Type of Offense</t>
  </si>
  <si>
    <t>Violation Related</t>
  </si>
  <si>
    <t>Violation of Court Order (VOC)</t>
  </si>
  <si>
    <t>Suspension</t>
  </si>
  <si>
    <t>Truancy</t>
  </si>
  <si>
    <t>Remand Order</t>
  </si>
  <si>
    <t>Curfew</t>
  </si>
  <si>
    <t>Failure to Appear</t>
  </si>
  <si>
    <t>Run Away</t>
  </si>
  <si>
    <t>House Arrest</t>
  </si>
  <si>
    <t>Other Related</t>
  </si>
  <si>
    <t>Criminal Related</t>
  </si>
  <si>
    <t>Criminal Sexual Conduct</t>
  </si>
  <si>
    <t>Family Violence</t>
  </si>
  <si>
    <t>Fighting/Riot</t>
  </si>
  <si>
    <t>Terroristic Conduct</t>
  </si>
  <si>
    <t>Stabbing</t>
  </si>
  <si>
    <t>Possession of a Deadly Weapon</t>
  </si>
  <si>
    <t>Weapon Related</t>
  </si>
  <si>
    <t>Theft</t>
  </si>
  <si>
    <t>Theft of a Motor Vehicle</t>
  </si>
  <si>
    <t>Theft of Property</t>
  </si>
  <si>
    <t>Theft of Receiving</t>
  </si>
  <si>
    <t>Armed Robbery</t>
  </si>
  <si>
    <t>Criminal Facilitation</t>
  </si>
  <si>
    <t>Crimes Against Person</t>
  </si>
  <si>
    <t>Crimes Against the Community</t>
  </si>
  <si>
    <t>Drug and Alcohol Related</t>
  </si>
  <si>
    <t>Tobacco Related</t>
  </si>
  <si>
    <t>Substance Related</t>
  </si>
  <si>
    <t>Alcohol Related</t>
  </si>
  <si>
    <t>Underage Drinking</t>
  </si>
  <si>
    <t>Driving without license</t>
  </si>
  <si>
    <t>Unauthorized Use of a Motor Vehicle</t>
  </si>
  <si>
    <t>Leaving the Scene of an Accident</t>
  </si>
  <si>
    <t>Eluding a Police Officer</t>
  </si>
  <si>
    <t>Vandalism/Graffiti</t>
  </si>
  <si>
    <t>Conspiracy</t>
  </si>
  <si>
    <t>Guilt by Complicity</t>
  </si>
  <si>
    <t>Firearms Related</t>
  </si>
  <si>
    <t>Person in Need</t>
  </si>
  <si>
    <t>Placement</t>
  </si>
  <si>
    <r>
      <t xml:space="preserve">Table 15-22.02 . Department of Youth Affairs Admissions by Type of Offense, Guam: 2022 to 2024 </t>
    </r>
    <r>
      <rPr>
        <b/>
        <sz val="10"/>
        <color rgb="FF000000"/>
        <rFont val="Arial"/>
        <family val="2"/>
      </rPr>
      <t>(continued)</t>
    </r>
  </si>
  <si>
    <t>Total Inmates</t>
  </si>
  <si>
    <t>Adult Correction Facility</t>
  </si>
  <si>
    <t>Community Corrections Center</t>
  </si>
  <si>
    <t>Hagatna Detention Facility</t>
  </si>
  <si>
    <t>Residential Substance Abuse Treatment Facility</t>
  </si>
  <si>
    <t>Women Facility</t>
  </si>
  <si>
    <t>Source: Department of Corrections, Government of Guam.</t>
  </si>
  <si>
    <t>Local Inmates are prisoners convicted locally (Superior Court of Guam) and are serving their sentence within the Department</t>
  </si>
  <si>
    <t>of Corrections (DOC).</t>
  </si>
  <si>
    <t>Local detainees are prisoners being held in the Department of Corrections custody while they await the completion of their</t>
  </si>
  <si>
    <t>trial. This also includes those committed to DOC for probation and parole violations.</t>
  </si>
  <si>
    <t>Federal holds are prisoners being held at the Department of Corrections at the contracted request of Immigration and the</t>
  </si>
  <si>
    <t>Marshals Service. They are immigrant holds, federal prisoners, and federal detainees.</t>
  </si>
  <si>
    <t>Table 15-23 . Active Local Inmates at the Department of Corrections, Guam: FY2019 to FY2024</t>
  </si>
  <si>
    <t>Table 15-24 . Active Local Detainees at the Department of Corrections, Guam: FY2019 to FY2024</t>
  </si>
  <si>
    <t>Table 15-25 . Active Federal Prisoners and Immigration Holds at the Department of Corrections, Guam: FY2019 to FY2024</t>
  </si>
  <si>
    <t>Total Fire Services</t>
  </si>
  <si>
    <t>Fire Response</t>
  </si>
  <si>
    <t>Emergency Medical Responses</t>
  </si>
  <si>
    <t>Rescue Calls</t>
  </si>
  <si>
    <t>Source: Guam Fire Department, Government of Guam.</t>
  </si>
  <si>
    <t>Table 15-26 . Fire Services by Type at the Guam Fire Department, Guam: FY2020 to FY2024</t>
  </si>
  <si>
    <t>Table 15-08 . Arrests for Persons 18 Years and Over, Guam: 2020-2023</t>
  </si>
  <si>
    <t>Table 15-09 . Drug Violation Arrests by Race, Guam: 2023-2024</t>
  </si>
  <si>
    <t>Table 15-10 . Drug Violation Arrests by Age of Offender, Guam: 2022-2023</t>
  </si>
  <si>
    <t>Table 15-11 . Driving Under the Influence by Age Group, Guam: 2022-2023</t>
  </si>
  <si>
    <t>Table 15-12 . Driving Under the Influence by Age Group, Guam: 2021</t>
  </si>
  <si>
    <t>Table 15-13 . Driving Under the Influence by Race, Guam: 2021 to 2023</t>
  </si>
  <si>
    <t>Table 15-14 . Offenses involving Family Violence, Guam: 2022</t>
  </si>
  <si>
    <t>Table 15-15 . Offenses involving Family Violence, Guam: 2018R to 2020</t>
  </si>
  <si>
    <t>Table 15-16 . Family Violence Arrests by Age, Guam: 2015 to 2017</t>
  </si>
  <si>
    <t>Table 15-19 . Juvenile Offenders by Offense, Guam: 2019 to 2023</t>
  </si>
  <si>
    <t>Table 15-20 . Client Admissions Profile at the Department of Youth Affairs, Guam: 2020 to 2024</t>
  </si>
  <si>
    <t>Table 15-21 . Client Admissions Profile at the Department of Youth Affairs, Guam: 2015 to 2019</t>
  </si>
  <si>
    <t>Table 15-22.01 . Department of Youth Affairs Admissions by Type of Offense, Guam: 2022 to 2024</t>
  </si>
  <si>
    <t xml:space="preserve">Source: Guam Department of Agriculture Guam Green Growth </t>
  </si>
  <si>
    <t>Table 3-01   .  Chamorros in the United States:  1980 to 2023</t>
  </si>
  <si>
    <t>Table 3-02   .  Chamorro Population of the United States:  2019 to 2024</t>
  </si>
  <si>
    <t>Table 3-03   .  Chamorro Population of the United States:  2020</t>
  </si>
  <si>
    <t>Table 3-04   .  Chamorro Population of the United States:  2010</t>
  </si>
  <si>
    <t>Table 3-05  .  Chamorro Population of the United States:  2015-2019 to 2019-2023 (5-Year Estimates)</t>
  </si>
  <si>
    <t>Table 3-06  .  Micronesian Population of the United States:  2015-2019 to 2019-2023 (5-Year Estimates)</t>
  </si>
  <si>
    <t>Table 3-07  .  Guamanian or Chamorro Alone by Sex and Age in the United States:  2018 to 2024 (1-Year Estimates)</t>
  </si>
  <si>
    <t>Table  3-08   .   Period of Military Service for Civilian Veterans, Chamorros in the United States and Guam</t>
  </si>
  <si>
    <t>Table  3-09   .   Period of Military Service for Civilian Veterans, Chamorros in the United States and Guam: 2000</t>
  </si>
  <si>
    <t>American Community Survey or Decennial Census by Year(s)</t>
  </si>
  <si>
    <t>Guamanian or Chamorro Alone</t>
  </si>
  <si>
    <t>Guamanian or Chamorro Alone or in Any Combination</t>
  </si>
  <si>
    <t xml:space="preserve">Guamanian or </t>
  </si>
  <si>
    <t>Alone or in combination</t>
  </si>
  <si>
    <t>Geographic Level: State
(Rank Order)</t>
  </si>
  <si>
    <t>Chamorro by State 5-year Estimate</t>
  </si>
  <si>
    <t>Micronesian Population by State 5-year Estimate</t>
  </si>
  <si>
    <t>ACS</t>
  </si>
  <si>
    <t>1-year American Community Survey (ACS)</t>
  </si>
  <si>
    <t>United States 1/</t>
  </si>
  <si>
    <t>Geographic Level:  State</t>
  </si>
  <si>
    <t>Alone or in any</t>
  </si>
  <si>
    <t>with one or more other</t>
  </si>
  <si>
    <t>2019 to 2023</t>
  </si>
  <si>
    <t>2018 to 2022</t>
  </si>
  <si>
    <t>2017 to 2021</t>
  </si>
  <si>
    <t>2016 to 2020</t>
  </si>
  <si>
    <t>2015 to 2019</t>
  </si>
  <si>
    <t>2024 ACS</t>
  </si>
  <si>
    <t>2023 ACS</t>
  </si>
  <si>
    <t>2022 ACS</t>
  </si>
  <si>
    <t>2021 ACS</t>
  </si>
  <si>
    <t>2019 ACS</t>
  </si>
  <si>
    <t>2018 ACS</t>
  </si>
  <si>
    <t>United</t>
  </si>
  <si>
    <t>Guamanian or Chamorro</t>
  </si>
  <si>
    <t>Year(s)</t>
  </si>
  <si>
    <t>Estimate</t>
  </si>
  <si>
    <t>Margin of Error (+/-)</t>
  </si>
  <si>
    <t>Chamorros by State</t>
  </si>
  <si>
    <t>(Rank Order)</t>
  </si>
  <si>
    <t>Alone [1]</t>
  </si>
  <si>
    <t>combination [2]</t>
  </si>
  <si>
    <t>categories of same race [2]</t>
  </si>
  <si>
    <t>combination [3]</t>
  </si>
  <si>
    <t>Total Population</t>
  </si>
  <si>
    <t>States</t>
  </si>
  <si>
    <t>California</t>
  </si>
  <si>
    <t>Hawaii</t>
  </si>
  <si>
    <t>Veterans</t>
  </si>
  <si>
    <t>Chamorro Alone</t>
  </si>
  <si>
    <t>Guam  2/</t>
  </si>
  <si>
    <t>combination</t>
  </si>
  <si>
    <t>Census</t>
  </si>
  <si>
    <t>(x)</t>
  </si>
  <si>
    <t>n/a</t>
  </si>
  <si>
    <t>Washington</t>
  </si>
  <si>
    <t xml:space="preserve">     Total Civilian veterans 18 years and over</t>
  </si>
  <si>
    <t>Texas</t>
  </si>
  <si>
    <t>Gulf War (9/2001 or later), no Gulf War (8/1990 to 8/2001), no Vietnam Era</t>
  </si>
  <si>
    <t>August 1990 or later</t>
  </si>
  <si>
    <t>Nevada</t>
  </si>
  <si>
    <t>Under 5 years</t>
  </si>
  <si>
    <t>Gulf War (9/2001 or later) and Gulf War (8/1990 to 8/2001), no Vietname Era</t>
  </si>
  <si>
    <t xml:space="preserve">  Served in Vietnam era</t>
  </si>
  <si>
    <t>--</t>
  </si>
  <si>
    <t>Florida</t>
  </si>
  <si>
    <t>Arkansas</t>
  </si>
  <si>
    <t>5 to 17 years</t>
  </si>
  <si>
    <t>Gulf War (8/1990 to 8/2001), and Gulf War (8/1990 to 8/2001) and Vietnam Era</t>
  </si>
  <si>
    <t xml:space="preserve">  No Vietnam service:</t>
  </si>
  <si>
    <t>North Carolina</t>
  </si>
  <si>
    <t>Arizona</t>
  </si>
  <si>
    <t>Oregon</t>
  </si>
  <si>
    <t>18 to 24 years</t>
  </si>
  <si>
    <t>Gulf War (8/1990 to 8/2001), no Vietnam Era</t>
  </si>
  <si>
    <t xml:space="preserve">    Served September 1980 or later only:</t>
  </si>
  <si>
    <t>1-year ACS</t>
  </si>
  <si>
    <t>Georgia</t>
  </si>
  <si>
    <t>25 to 34 years</t>
  </si>
  <si>
    <t>Gulf War (8/1990 to 8/2001) and Vietnam Era</t>
  </si>
  <si>
    <t xml:space="preserve">       Served under 2 years</t>
  </si>
  <si>
    <t>Oklahoma</t>
  </si>
  <si>
    <t>Vietnam Era, no Korean War, no World War II</t>
  </si>
  <si>
    <t xml:space="preserve">       Served 2 or more years</t>
  </si>
  <si>
    <t>Colorado</t>
  </si>
  <si>
    <t>Vietnam Era and Korean War, no World War II</t>
  </si>
  <si>
    <t xml:space="preserve">    Served prior to September 1980</t>
  </si>
  <si>
    <t>Virginia</t>
  </si>
  <si>
    <t>Vietnam Era and Korean War and World War II</t>
  </si>
  <si>
    <t>May 1975 t July 1990 only:</t>
  </si>
  <si>
    <t>New York</t>
  </si>
  <si>
    <t>Missouri</t>
  </si>
  <si>
    <t>65 to 74 years</t>
  </si>
  <si>
    <t>Korean War, no Vietnam Era, no World War II</t>
  </si>
  <si>
    <t xml:space="preserve">  September 1980 to July 1990 only:</t>
  </si>
  <si>
    <t>Iowa</t>
  </si>
  <si>
    <t>75 years and over</t>
  </si>
  <si>
    <t>Korean War and World War II, no Vietnam Era</t>
  </si>
  <si>
    <t>World War II, no Korean War, no Vietnam Era</t>
  </si>
  <si>
    <t>Alabama</t>
  </si>
  <si>
    <t>Kentucky</t>
  </si>
  <si>
    <t>Median Age</t>
  </si>
  <si>
    <t>Between Gulf War and Vietnam Era only</t>
  </si>
  <si>
    <t xml:space="preserve">  Other May 1975 to July 1990 service</t>
  </si>
  <si>
    <t>Maryland</t>
  </si>
  <si>
    <t>South Carolina</t>
  </si>
  <si>
    <t>Utah</t>
  </si>
  <si>
    <t>Between Vietnam Era and Korean War only</t>
  </si>
  <si>
    <t>Vietnam era, no Korean War, no World War II, no August 1990 or later</t>
  </si>
  <si>
    <t>Tennessee</t>
  </si>
  <si>
    <t>Between Korean War and World War II only</t>
  </si>
  <si>
    <t>Vietnam era and Korean War, no World War II, no August 1990 or later</t>
  </si>
  <si>
    <t>Pre-World War II only</t>
  </si>
  <si>
    <t>Vietname era, Korean War, and World War II, no August 1990 or later</t>
  </si>
  <si>
    <t>Illinois</t>
  </si>
  <si>
    <t>Ohio</t>
  </si>
  <si>
    <t>New Jersey</t>
  </si>
  <si>
    <t>Source: U.S. Census Bureau, 2006-2010 American Community Survey and 2010 Guam Census Cross Tabulations</t>
  </si>
  <si>
    <t>February 1955 to July 1964 only</t>
  </si>
  <si>
    <t>Massachusetts</t>
  </si>
  <si>
    <t>Kansas</t>
  </si>
  <si>
    <t>Source:  US Census Bureau, American Community Survey and Decennial Census</t>
  </si>
  <si>
    <t>"--" Data not available.</t>
  </si>
  <si>
    <t>Korean War, no Vietnam era, no World War II</t>
  </si>
  <si>
    <t>Minnesota</t>
  </si>
  <si>
    <t>NOTE:  Sums may not add due to rounding</t>
  </si>
  <si>
    <t>Note: 1/ 2006-2010 American Community Survey</t>
  </si>
  <si>
    <t>Korean War and World War II, no Vietnam era</t>
  </si>
  <si>
    <t>Pennsylvania</t>
  </si>
  <si>
    <t>NOTE:  "Guamanian or Chamorro Alone" includes persons who selected either "Guamanian" or "Chamorro" only.</t>
  </si>
  <si>
    <t>2/ 2010 Guam Census Cross Tabulations</t>
  </si>
  <si>
    <t>World War II, no Korean War, no Vietnam era</t>
  </si>
  <si>
    <t>Louisiana</t>
  </si>
  <si>
    <t>NOTE:  2024 ACS data reports only Chamorro alone.</t>
  </si>
  <si>
    <t>Other Service Only</t>
  </si>
  <si>
    <t>New Mexico</t>
  </si>
  <si>
    <t>NOTE:  Data includes foreign born Chamorro, primarily from Latin America (e.g., Guatamala, Guyana, etc.)</t>
  </si>
  <si>
    <t>Source: U.S. Census Bureau, Census 2000 Summary File 4, table 68</t>
  </si>
  <si>
    <t>Idaho</t>
  </si>
  <si>
    <t>Michigan</t>
  </si>
  <si>
    <t>2006-2008</t>
  </si>
  <si>
    <t>3-year ACS</t>
  </si>
  <si>
    <t>2007-2009</t>
  </si>
  <si>
    <t>Nebraska</t>
  </si>
  <si>
    <t>Alaska</t>
  </si>
  <si>
    <t>2008-2010</t>
  </si>
  <si>
    <t>Wisconsin</t>
  </si>
  <si>
    <t>Indiana</t>
  </si>
  <si>
    <t>2009-2011</t>
  </si>
  <si>
    <t>2010-2012</t>
  </si>
  <si>
    <t>2011-2013</t>
  </si>
  <si>
    <t>Mississippi</t>
  </si>
  <si>
    <t>2012-2014</t>
  </si>
  <si>
    <t>(D)</t>
  </si>
  <si>
    <t>North Dakota</t>
  </si>
  <si>
    <t>2005-2009</t>
  </si>
  <si>
    <t>5-year ACS</t>
  </si>
  <si>
    <t>2006-2010</t>
  </si>
  <si>
    <t>Rhode Island</t>
  </si>
  <si>
    <t>2007-2011</t>
  </si>
  <si>
    <t>2008-2012</t>
  </si>
  <si>
    <t>Connecticut</t>
  </si>
  <si>
    <t>2009-2013</t>
  </si>
  <si>
    <t>2010-2014</t>
  </si>
  <si>
    <t>2011-2015</t>
  </si>
  <si>
    <t>2012-2016</t>
  </si>
  <si>
    <t>2013-2017</t>
  </si>
  <si>
    <t>New Hampshire</t>
  </si>
  <si>
    <t>2014-2018</t>
  </si>
  <si>
    <t>Other States</t>
  </si>
  <si>
    <t>South Dakota</t>
  </si>
  <si>
    <t>2015-2019</t>
  </si>
  <si>
    <t>Source: U.S. Census Bureau, American Community Survey and Puerto Rico Community Survey</t>
  </si>
  <si>
    <t>2016-2020</t>
  </si>
  <si>
    <t>Data are based on a sample and are subject to sampling variability (one year estimate).</t>
  </si>
  <si>
    <t>Delaware</t>
  </si>
  <si>
    <t>Montana</t>
  </si>
  <si>
    <t>2017-2021</t>
  </si>
  <si>
    <t>Chamorros = Guamanian or Chamorro alone</t>
  </si>
  <si>
    <t>2018-2022</t>
  </si>
  <si>
    <t>NOTE 1:  "Other States" -- data can not be displayed because the number of sample cases is too small.</t>
  </si>
  <si>
    <t>Wyoming</t>
  </si>
  <si>
    <t>District of Columbia</t>
  </si>
  <si>
    <t>2019-2023</t>
  </si>
  <si>
    <t>Maine</t>
  </si>
  <si>
    <t>Source:  U.S. Census Bureau, American Community survey and Decennial Census</t>
  </si>
  <si>
    <t>(x) = not applicable</t>
  </si>
  <si>
    <t>n/a = not available or not reported</t>
  </si>
  <si>
    <t>West Virginia</t>
  </si>
  <si>
    <t>(D) = Discontinued</t>
  </si>
  <si>
    <t>NOTE:  Data includes foreign born Chamorro primarily from Latin American (e.g., Guatamala, Guyana, etc.)</t>
  </si>
  <si>
    <t>Vermont</t>
  </si>
  <si>
    <t>Puerto Rico</t>
  </si>
  <si>
    <t>Source:  U.S. Census Bureau, American Community Survey</t>
  </si>
  <si>
    <t>Source:  U.S. Census Bureau, 2020 Census.</t>
  </si>
  <si>
    <t>Source:  U.S. Census Bureau, 2010 Census.</t>
  </si>
  <si>
    <t>Dash "-":  Data cannot be displayed because the number of sample cases is too small.</t>
  </si>
  <si>
    <t>[1] One category alone (e.g., Chamorro and no other).</t>
  </si>
  <si>
    <t>NOTE:  Data area based on a sample and are submt to sampling variability (5-year estimate).</t>
  </si>
  <si>
    <t>[2] One category alone (as in footnote 1), or in combination with one or more other categories</t>
  </si>
  <si>
    <t xml:space="preserve">[2] One category alone (as in footnote 1), or in combination with one or more other categories within the same race group </t>
  </si>
  <si>
    <t>NOTE:  Chamorro = Guamanian or Chamorro alone.</t>
  </si>
  <si>
    <t>NOTE:  Micronesian include Chamorro, Chuukese, Kosraean, Pohnpeian, Yapese, Marshallese, Palauan, etc.</t>
  </si>
  <si>
    <t>within the same race group or in combination with any other race group.</t>
  </si>
  <si>
    <t>(e.g., Native Hawaiian, Samoan, and Other Pacific Islander).  Individuals are included in each category.</t>
  </si>
  <si>
    <t>NOTE:  Number of part-Chamorro (Guamanian or Chamorro alone or in any combination) not available.</t>
  </si>
  <si>
    <t>NOTE:  Number of part-Micronesian (Micronesian alone or in any combination) not available.</t>
  </si>
  <si>
    <t xml:space="preserve">[3] One category alone (as in footnote 1), or in combination with one or more other categories within the same race group </t>
  </si>
  <si>
    <t xml:space="preserve">(as in footnote 2), or in combination with any other race group (e.g., Native Hawaiian, Samoan, White, and Black or African </t>
  </si>
  <si>
    <t xml:space="preserve">American). </t>
  </si>
  <si>
    <t>Table  4-01.1   .   Compact Impact Assistance Grant Projects (P.L. 108-188), Guam:  FY 2015 to FY 2023</t>
  </si>
  <si>
    <t>Table  4-02.1  .   Compact Impact Capital Improvement Projects (P.L. 104-134), Guam:  FY 1999 to FY 2003</t>
  </si>
  <si>
    <t>Table  4-03   .   Estimate of COFA Migrants, All Jurisdictions:  2023</t>
  </si>
  <si>
    <t>Table  4-07   .   Compact Impact Funding Levels Based on the COFA Migrants, All Jurisdictions:  2003 and 2008</t>
  </si>
  <si>
    <t>Table  4-08   .   Survey of Compact of Free Association Migrants by Place of Birth, Guam:  2008</t>
  </si>
  <si>
    <t>Table  4-09   .   Survey of Compact of Free Association Migrants by Year of Arrival, Guam:  2008</t>
  </si>
  <si>
    <t>Table  4-10   .   Survey of Compact of Free Association Migrants by Age, Guam:  2008</t>
  </si>
  <si>
    <t>Table  4-11   .   Demographic Characteristics, Impact Migrants, Guam: 1990, 1997 and 2003</t>
  </si>
  <si>
    <t>Table  4-18   .   Age, Marital Status, and Children Born by Sex and State, Guam:  2012</t>
  </si>
  <si>
    <t>Table  4-19   .   FSM and US Citizenship, Birthplace, and Reason for Migration by Sex and State, Guam:  2012</t>
  </si>
  <si>
    <t>Table  4-20   .   Educational Attainment by State, Guam:  2012</t>
  </si>
  <si>
    <t>Table  4-21   .   Parents' Birthplace by State and Sex, Guam:  2012</t>
  </si>
  <si>
    <t>Grant Year</t>
  </si>
  <si>
    <t>Project</t>
  </si>
  <si>
    <t>Total Grant</t>
  </si>
  <si>
    <t>Jurisdiction</t>
  </si>
  <si>
    <t>Margin of Error</t>
  </si>
  <si>
    <t>2008  1/</t>
  </si>
  <si>
    <t>2003   2/</t>
  </si>
  <si>
    <t>Place of Birth</t>
  </si>
  <si>
    <t>Freely Associated States</t>
  </si>
  <si>
    <t>Other US Area</t>
  </si>
  <si>
    <t>COFA Migrant / Year of Arrival</t>
  </si>
  <si>
    <t>Age Group</t>
  </si>
  <si>
    <t>Demographic</t>
  </si>
  <si>
    <t>RMI</t>
  </si>
  <si>
    <t>FY 2023</t>
  </si>
  <si>
    <t>DPW / DOE</t>
  </si>
  <si>
    <t>School Leaseback Program - School Construction and</t>
  </si>
  <si>
    <t>FY 2003</t>
  </si>
  <si>
    <t>DOE</t>
  </si>
  <si>
    <t>School Repair and Equipment</t>
  </si>
  <si>
    <t>FAS</t>
  </si>
  <si>
    <t>Compact</t>
  </si>
  <si>
    <t>Micronesia (FSM)</t>
  </si>
  <si>
    <t>Other US Areas</t>
  </si>
  <si>
    <t xml:space="preserve">    Total</t>
  </si>
  <si>
    <t>Characteristics</t>
  </si>
  <si>
    <t>Chuuk</t>
  </si>
  <si>
    <t>Pohnpei</t>
  </si>
  <si>
    <t>Yap</t>
  </si>
  <si>
    <t>Kosrae</t>
  </si>
  <si>
    <t>Collateral Equipment</t>
  </si>
  <si>
    <t>Match for FEMA Category E Projects</t>
  </si>
  <si>
    <t>+/- 3,232</t>
  </si>
  <si>
    <t>Population</t>
  </si>
  <si>
    <t>Funds ($)</t>
  </si>
  <si>
    <t>Less than 5 years old</t>
  </si>
  <si>
    <t>FSM Citizenship</t>
  </si>
  <si>
    <t>Educational Attainment 25 years and over</t>
  </si>
  <si>
    <t>Mother's Birthplace</t>
  </si>
  <si>
    <t>Governor's Office</t>
  </si>
  <si>
    <t>General Operations Offset</t>
  </si>
  <si>
    <t>DPW</t>
  </si>
  <si>
    <t>School Buses</t>
  </si>
  <si>
    <t>Impact Population</t>
  </si>
  <si>
    <t>Before 1986</t>
  </si>
  <si>
    <t>5 to 14 years</t>
  </si>
  <si>
    <t>Males</t>
  </si>
  <si>
    <t>Subtotal</t>
  </si>
  <si>
    <t>GFD</t>
  </si>
  <si>
    <t>Fire Trucks (project combined with 2002 funds)</t>
  </si>
  <si>
    <t>Impact Adults</t>
  </si>
  <si>
    <t>1986 to 1993</t>
  </si>
  <si>
    <t>15 to 24 years</t>
  </si>
  <si>
    <t>Females</t>
  </si>
  <si>
    <t>0 - 4 years</t>
  </si>
  <si>
    <t>FSM citizen</t>
  </si>
  <si>
    <t>GMHA</t>
  </si>
  <si>
    <t>Facility Repair and Equipment</t>
  </si>
  <si>
    <t>American Samoa</t>
  </si>
  <si>
    <t>Impact Children</t>
  </si>
  <si>
    <t>1994 and after</t>
  </si>
  <si>
    <t xml:space="preserve">   Males per 100 females</t>
  </si>
  <si>
    <t>5 - 9 years</t>
  </si>
  <si>
    <t>Not FSM citizen</t>
  </si>
  <si>
    <t>Nursery or Kindergarten</t>
  </si>
  <si>
    <t>FY 2022</t>
  </si>
  <si>
    <t>GPD</t>
  </si>
  <si>
    <t>Police Vehicles</t>
  </si>
  <si>
    <t xml:space="preserve">Source:  U.S. Census Bureau, 2017-2019 American Community Survey (Hawaii), </t>
  </si>
  <si>
    <t>Other FAS</t>
  </si>
  <si>
    <t>Not Applicable</t>
  </si>
  <si>
    <t xml:space="preserve">Median </t>
  </si>
  <si>
    <t>10 - 14 years</t>
  </si>
  <si>
    <t>1st through 4th grade</t>
  </si>
  <si>
    <t>and 2020 Island Areas Censuses (American Samoa, CNMI, and Guam)</t>
  </si>
  <si>
    <t>Source:  2008 Survey of Compact of Free Association (COFA) Migrants</t>
  </si>
  <si>
    <t>Source: 2008 Survey of Compact of Free Association (COFA) Migrants</t>
  </si>
  <si>
    <t>15 - 19 years</t>
  </si>
  <si>
    <t>US Citizenship</t>
  </si>
  <si>
    <t>5th or 6th grade</t>
  </si>
  <si>
    <t>Note:  (x) = not applicable</t>
  </si>
  <si>
    <t xml:space="preserve">Source:  1/  2005-2007 American Community Survey (Hawaii), 2008 Survey of </t>
  </si>
  <si>
    <t>Note:  Total may not sum due to rounding</t>
  </si>
  <si>
    <t>Note: Total may not sum due to rounding.</t>
  </si>
  <si>
    <t>Less than 15 years (%)</t>
  </si>
  <si>
    <t>20 - 24 years</t>
  </si>
  <si>
    <t>7th or 8th grade</t>
  </si>
  <si>
    <t>DPR / DPW</t>
  </si>
  <si>
    <t>FY 2018 Islandwide Gyms, Rec. Centers and Restooms</t>
  </si>
  <si>
    <t>FY 2002</t>
  </si>
  <si>
    <t>Elevator and Air Conditioners at DMHSA</t>
  </si>
  <si>
    <t>Compact of Free Association (COFA) Migrants (Guam and Saipan, CNMI)</t>
  </si>
  <si>
    <t xml:space="preserve">         </t>
  </si>
  <si>
    <t>15 to 29 years (%)</t>
  </si>
  <si>
    <t>25 - 29 years</t>
  </si>
  <si>
    <t>US citizen</t>
  </si>
  <si>
    <t>9th or 10th grade</t>
  </si>
  <si>
    <t>Supplemental</t>
  </si>
  <si>
    <t>and Census 2000 (areas outside of Saipan, American Samoa)</t>
  </si>
  <si>
    <t>30 to 44 years (%)</t>
  </si>
  <si>
    <t>30 - 34 years</t>
  </si>
  <si>
    <t>Not US citizen</t>
  </si>
  <si>
    <t>11th</t>
  </si>
  <si>
    <t>Agana Heights Gym Resurfacing</t>
  </si>
  <si>
    <t>2/  2003 Census of Micronesian Migrants and 2000 Census-based estimate for American Samoa</t>
  </si>
  <si>
    <t>NOTE: Total might not sum due to rounding.</t>
  </si>
  <si>
    <t>45 to 59 years (%)</t>
  </si>
  <si>
    <t>35 - 39 years</t>
  </si>
  <si>
    <t>12th</t>
  </si>
  <si>
    <t>Road Projects</t>
  </si>
  <si>
    <t>Note:  FAS = Freely Associated States</t>
  </si>
  <si>
    <t>60 years and over (%)</t>
  </si>
  <si>
    <t>40 - 44 years</t>
  </si>
  <si>
    <t>Birthplace</t>
  </si>
  <si>
    <t>High school graduate</t>
  </si>
  <si>
    <t>FY 2021</t>
  </si>
  <si>
    <t>DOE Water Tanks</t>
  </si>
  <si>
    <t>45 - 49 years</t>
  </si>
  <si>
    <t>Some college</t>
  </si>
  <si>
    <t>Other Pacific</t>
  </si>
  <si>
    <t>Tumon Police Precinct Supplement</t>
  </si>
  <si>
    <t>Males Never Married (%)</t>
  </si>
  <si>
    <t>50 - 54 years</t>
  </si>
  <si>
    <t>AA - academic</t>
  </si>
  <si>
    <t>Ambulances</t>
  </si>
  <si>
    <t>Table  4-04   .   Estimate of COFA Migrants, All Jurisdictions:  2018 (Revised)</t>
  </si>
  <si>
    <t>Females Never Married (%)</t>
  </si>
  <si>
    <t>55 - 59 years</t>
  </si>
  <si>
    <t>AA - occupational</t>
  </si>
  <si>
    <t>Asia</t>
  </si>
  <si>
    <t>Fire Trucks</t>
  </si>
  <si>
    <t>60 - 64 years</t>
  </si>
  <si>
    <t>BA</t>
  </si>
  <si>
    <t>Others</t>
  </si>
  <si>
    <t>DOC</t>
  </si>
  <si>
    <t>Fire Alarm and Sprinkler System</t>
  </si>
  <si>
    <t xml:space="preserve">    Households </t>
  </si>
  <si>
    <t>65 - 69 years</t>
  </si>
  <si>
    <t>MS or higher</t>
  </si>
  <si>
    <t>FY 2020</t>
  </si>
  <si>
    <t>+/- 3,134</t>
  </si>
  <si>
    <t>Persons per household</t>
  </si>
  <si>
    <t>70 - 74 years</t>
  </si>
  <si>
    <t>Father's Birthplace</t>
  </si>
  <si>
    <t>+/- 3,729</t>
  </si>
  <si>
    <t xml:space="preserve">Persons per family </t>
  </si>
  <si>
    <t>Educational Attainment 18 years and over</t>
  </si>
  <si>
    <t>FY 2001</t>
  </si>
  <si>
    <t>Road Improvement</t>
  </si>
  <si>
    <t>+/- 640</t>
  </si>
  <si>
    <t>Sources: 1997 and 2003 Guam Micronesian Censuses and 1990 Decennial Census of Guam</t>
  </si>
  <si>
    <t>Median</t>
  </si>
  <si>
    <t>Library Renovation and Repair</t>
  </si>
  <si>
    <t>Note:  Palau did not have a survey conducted in 1990.</t>
  </si>
  <si>
    <t>Emergency Vehicle Repair</t>
  </si>
  <si>
    <t>Source:  U.S. Census Bureau, 2015-2017 American Community Survey (Hawaii), 2018</t>
  </si>
  <si>
    <t>FSM  =  Federated States of Micronesia</t>
  </si>
  <si>
    <t>Marital Status</t>
  </si>
  <si>
    <t>FY 2019</t>
  </si>
  <si>
    <t>Survey of Compact of Free Association (COFA) Migrants (Guam and Saipan, CNMI)</t>
  </si>
  <si>
    <t>RMI = Republic of the Marshall Islands</t>
  </si>
  <si>
    <t>GMH</t>
  </si>
  <si>
    <t>Equipment Radiology/Orthopedic</t>
  </si>
  <si>
    <t>and 2010 Census (American Samoa and area of CNMI outside of Saipan)</t>
  </si>
  <si>
    <t>Now married</t>
  </si>
  <si>
    <t>GWA</t>
  </si>
  <si>
    <t>Water Meters</t>
  </si>
  <si>
    <t>Consensually married</t>
  </si>
  <si>
    <t>Waterline Replacement</t>
  </si>
  <si>
    <t>Widowed</t>
  </si>
  <si>
    <t>Table  4-12   .   Migration Characteristics, Impact Migrants, Guam: 1990, 1997 and 2003</t>
  </si>
  <si>
    <t>DIvorced</t>
  </si>
  <si>
    <t>FY 2018</t>
  </si>
  <si>
    <t xml:space="preserve">Migration </t>
  </si>
  <si>
    <t>Separated</t>
  </si>
  <si>
    <t>Reason Migrated</t>
  </si>
  <si>
    <t>FY 2000</t>
  </si>
  <si>
    <t>Road Projects Phase 1</t>
  </si>
  <si>
    <t>Never married</t>
  </si>
  <si>
    <t>Equipment</t>
  </si>
  <si>
    <t>Employment</t>
  </si>
  <si>
    <t>Table  4-05  .   Estimate of COFA Migrants, All Jurisdictions:  2013 (Revised)</t>
  </si>
  <si>
    <t>U.S. citizen (%)</t>
  </si>
  <si>
    <t>Children ever born</t>
  </si>
  <si>
    <t>Relative of employed person</t>
  </si>
  <si>
    <t>Vehicle and Equipment Project</t>
  </si>
  <si>
    <t>Noncitizens, Permanent (%)</t>
  </si>
  <si>
    <t>Family reasons</t>
  </si>
  <si>
    <t>FY 2017</t>
  </si>
  <si>
    <t>Water Project Tract 10432 and 10433</t>
  </si>
  <si>
    <t>Moved for employment (%)</t>
  </si>
  <si>
    <t>Education</t>
  </si>
  <si>
    <t>Source: 2012 Surveys of Micronesian Migrants to CNMI, Guam, Hawaii and the U.S. Mainland</t>
  </si>
  <si>
    <t>Waterline Extension Capital Equipment</t>
  </si>
  <si>
    <t>+/- 3,293</t>
  </si>
  <si>
    <t>One</t>
  </si>
  <si>
    <t>Medical reasons</t>
  </si>
  <si>
    <t>Note: Population Estimates from 2003 Survey and interim births and migrants</t>
  </si>
  <si>
    <t>Pipes and Valves</t>
  </si>
  <si>
    <t>Persons 5 yrs and over:</t>
  </si>
  <si>
    <t>Two</t>
  </si>
  <si>
    <t>Visiting or vacation</t>
  </si>
  <si>
    <t>5 yrs ago in this house (%)</t>
  </si>
  <si>
    <t>Three</t>
  </si>
  <si>
    <t>5 yrs ago outside Area (%)</t>
  </si>
  <si>
    <t>Four</t>
  </si>
  <si>
    <t>Did not migrate</t>
  </si>
  <si>
    <t>FY 2016</t>
  </si>
  <si>
    <t>FY 1999</t>
  </si>
  <si>
    <t>DOA</t>
  </si>
  <si>
    <t>Financial Management System Phase II</t>
  </si>
  <si>
    <t>Source:  2009-2011 American Community Survey (Hawaii) and 2010 Census</t>
  </si>
  <si>
    <t>1 yr ago in this house (%)</t>
  </si>
  <si>
    <t>Five</t>
  </si>
  <si>
    <t>DOA/BOP</t>
  </si>
  <si>
    <t>Y2K Compliance Project</t>
  </si>
  <si>
    <t>(American Samoa, CNMI and Guam)</t>
  </si>
  <si>
    <t>1 yr ago outside Area (%)</t>
  </si>
  <si>
    <t>Six</t>
  </si>
  <si>
    <t>Operations Offset (Civil Case: DOC $1,974,088 &amp; MOU</t>
  </si>
  <si>
    <t>Windward Hills Waterline</t>
  </si>
  <si>
    <t>Source: U.S. Census Bureau, 1997 and 2003 Guam Micronesian Censuses and 1990 Decennial Census of Guam</t>
  </si>
  <si>
    <t>Seven or more</t>
  </si>
  <si>
    <t>with GMHA - $3,375,146)</t>
  </si>
  <si>
    <t>Operations Offset ($2M Financing and CIPs)</t>
  </si>
  <si>
    <t>Operations Offset (GMHA Operations Assessment)</t>
  </si>
  <si>
    <t>KGTF</t>
  </si>
  <si>
    <t>Tower Project</t>
  </si>
  <si>
    <t>FY 2015</t>
  </si>
  <si>
    <t>Source:  Bureau of Budget and Management Research</t>
  </si>
  <si>
    <t>Table  4-06   .   Estimate of COFA Migrants, All Jurisdictions:  2008</t>
  </si>
  <si>
    <t>Operations Offset (Inclusive of $2M for Financing)</t>
  </si>
  <si>
    <t>Table  4-13   .   Social Characteristics, Impact Migrants, Guam: 1990, 1997 and 2003</t>
  </si>
  <si>
    <t>DOE / DPW</t>
  </si>
  <si>
    <t>Operations Offset (Bus Shelters)</t>
  </si>
  <si>
    <t>Social</t>
  </si>
  <si>
    <t>DPHSS</t>
  </si>
  <si>
    <t xml:space="preserve">Operations Offset (Foster Home / Medicaid Match / </t>
  </si>
  <si>
    <t>Table  4-02.2  .  Compact Impact Capital Improvement Projects (P.L. 104-134), Guam:  FY 1996 to FY 1998</t>
  </si>
  <si>
    <t>+/- 2,736</t>
  </si>
  <si>
    <t>Operations)</t>
  </si>
  <si>
    <t xml:space="preserve">                         (continued)</t>
  </si>
  <si>
    <t>+/- 3,439</t>
  </si>
  <si>
    <t>+/- 511</t>
  </si>
  <si>
    <t>Speak English at home (%)</t>
  </si>
  <si>
    <t>FY 1998</t>
  </si>
  <si>
    <t>Financial Management System</t>
  </si>
  <si>
    <t>Other lang more than English (%)</t>
  </si>
  <si>
    <t>Agat Multi-purpose Gymnasium</t>
  </si>
  <si>
    <t xml:space="preserve">Source:  2005-2007 American Community Survey (Hawaii), 2008 Survey of </t>
  </si>
  <si>
    <t>Yigo Secondary Road Project</t>
  </si>
  <si>
    <t>Persons 3+, enrolled</t>
  </si>
  <si>
    <t>Yigo Multi-purpose Gymnasium</t>
  </si>
  <si>
    <t>Public elementary school</t>
  </si>
  <si>
    <t>Table  4-01.2   .   Compact Impact Assistance Grant Projects (P.L. 108-188), Guam:  FY 2009 to FY 2014</t>
  </si>
  <si>
    <t>Public high school</t>
  </si>
  <si>
    <t>(continued)</t>
  </si>
  <si>
    <t>Piti Asbestos Removal</t>
  </si>
  <si>
    <t>College</t>
  </si>
  <si>
    <t>Chalan LaChance Water Distribution</t>
  </si>
  <si>
    <t>FY 2014</t>
  </si>
  <si>
    <t>Persons 25 + years:</t>
  </si>
  <si>
    <t>High school Graduates (%)</t>
  </si>
  <si>
    <t>FY 1997</t>
  </si>
  <si>
    <t>Tumon Police Precinct</t>
  </si>
  <si>
    <t>Bachelor's Degrees (%)</t>
  </si>
  <si>
    <t>Operations Offset (Corrections Officers and Overtime)</t>
  </si>
  <si>
    <t>Vehicle Procurement and Road Reparis</t>
  </si>
  <si>
    <t>Mataguac Water Distribution</t>
  </si>
  <si>
    <t>Females:</t>
  </si>
  <si>
    <t>UOG</t>
  </si>
  <si>
    <t>Operations Offset - Facilities Maintenance &amp; Repair</t>
  </si>
  <si>
    <t>Lupog Water Project</t>
  </si>
  <si>
    <t>Operations Offset (20 Police Recruits)</t>
  </si>
  <si>
    <t>Chalan Pago Sewer Project</t>
  </si>
  <si>
    <t>Operations Offset (Pharmaceuticals &amp; Medical Match)</t>
  </si>
  <si>
    <t>Operations Offset (Computer Equipment)</t>
  </si>
  <si>
    <t>Operations Offset (Ambulance Procurement)</t>
  </si>
  <si>
    <t>FY 1996</t>
  </si>
  <si>
    <t>Adelup/RJB Complex and Government House</t>
  </si>
  <si>
    <t>Paseo Park &amp; Recreation Area Repairs</t>
  </si>
  <si>
    <t>Talofofo Multi-purpose Gymnasium</t>
  </si>
  <si>
    <t>GBHWC</t>
  </si>
  <si>
    <t>Operations Offset</t>
  </si>
  <si>
    <t>Yona Multi-purpose Gymnasium</t>
  </si>
  <si>
    <t>MCOG</t>
  </si>
  <si>
    <t>Emergency Road Repairs &amp; Flooding</t>
  </si>
  <si>
    <t>Table  4-14   .   Labor Force Participation of Impact Migrants, Guam: 1990, 1997 and 2003</t>
  </si>
  <si>
    <t>FY 2013</t>
  </si>
  <si>
    <t>Governor's Municipal Leasing Plan (Schools)</t>
  </si>
  <si>
    <t>Anoa Point Subdivision</t>
  </si>
  <si>
    <t>Labor Force</t>
  </si>
  <si>
    <t>School Leasing Plan - Collateral Equipment</t>
  </si>
  <si>
    <t>Operations Offset - Pharmaceutical and Equipment [2]</t>
  </si>
  <si>
    <t>Operations Offset (Police vehicles)</t>
  </si>
  <si>
    <t xml:space="preserve">GRAND TOTAL CIP FUNDS </t>
  </si>
  <si>
    <t xml:space="preserve">    Persons 16 years and over</t>
  </si>
  <si>
    <t>Bus Satellite Facility Repairs</t>
  </si>
  <si>
    <t>In labor force (%)</t>
  </si>
  <si>
    <t>BSP</t>
  </si>
  <si>
    <t>Centralized Data Center Project</t>
  </si>
  <si>
    <t>Unemployed (%)</t>
  </si>
  <si>
    <t>DISID</t>
  </si>
  <si>
    <t>Individualized Budget Program (IBP) Project</t>
  </si>
  <si>
    <t xml:space="preserve">    Females 16 years and over</t>
  </si>
  <si>
    <t>FY 2012</t>
  </si>
  <si>
    <t>Worked last year (%)</t>
  </si>
  <si>
    <t>Worked whole year (%)</t>
  </si>
  <si>
    <t>Worked full-time (%)</t>
  </si>
  <si>
    <t>Facility Renovations &amp; Repairs</t>
  </si>
  <si>
    <t>Full-time, whole year (%)</t>
  </si>
  <si>
    <t>FY 2011</t>
  </si>
  <si>
    <t>A/E School of Engineering and Student Center</t>
  </si>
  <si>
    <t>Medical Equipment</t>
  </si>
  <si>
    <t>Medical and Pharmaceutical Supplies</t>
  </si>
  <si>
    <t>Table  4-15   .   Occupation, Industry and Class of Worker of  Impact Migrants, Guam: 1990, 1997 and 2003</t>
  </si>
  <si>
    <t>Electronic Cell Locking System Upgrade</t>
  </si>
  <si>
    <t>DYA</t>
  </si>
  <si>
    <t>Facilities Improvement</t>
  </si>
  <si>
    <t>Judiciary</t>
  </si>
  <si>
    <t>Case Management System</t>
  </si>
  <si>
    <t>OCCUPATION:</t>
  </si>
  <si>
    <t>Emergency Generators</t>
  </si>
  <si>
    <t>Manag and professional (%)</t>
  </si>
  <si>
    <t>Permanent Injunction Projects</t>
  </si>
  <si>
    <t>Tech,sales and admin support  (%)</t>
  </si>
  <si>
    <t>Service (%)</t>
  </si>
  <si>
    <t>Farming, forestry, and fishing  (%)</t>
  </si>
  <si>
    <t>FY 2010</t>
  </si>
  <si>
    <t>Precision procuction, crafts (%)</t>
  </si>
  <si>
    <t>Operators, fabric &amp; laborers  (%)</t>
  </si>
  <si>
    <t>CIP and Equipment Procurement</t>
  </si>
  <si>
    <t>Pharmaceutical Supplies and Equipment</t>
  </si>
  <si>
    <t>INDUSTRY:</t>
  </si>
  <si>
    <t>DPR/GHURA</t>
  </si>
  <si>
    <t>Northern Sports Recreation Complex</t>
  </si>
  <si>
    <t>Equipment Procurement (Fire Pumper Trucks)</t>
  </si>
  <si>
    <t>Retail trade (%)</t>
  </si>
  <si>
    <t>Equipment Procurement (Patrol Vehicles)</t>
  </si>
  <si>
    <t>All Services (%)</t>
  </si>
  <si>
    <t>Pharmaceutical Supplies</t>
  </si>
  <si>
    <t>Hotels (%)</t>
  </si>
  <si>
    <t>DMHSA</t>
  </si>
  <si>
    <t>Building Renovations / Equipment</t>
  </si>
  <si>
    <t>Private Sector (%)</t>
  </si>
  <si>
    <t>FY 2009</t>
  </si>
  <si>
    <t>Building Construction Projects</t>
  </si>
  <si>
    <t>Table  4-16   .   Income Characteristics of Impact Migrants, Guam: 1990, 1997 and 2003</t>
  </si>
  <si>
    <t>Heavy Equipment (Packer Trucks)</t>
  </si>
  <si>
    <t>Income</t>
  </si>
  <si>
    <t>Fire Trucks (including repair) / Rescue Boat</t>
  </si>
  <si>
    <t>Forensic Lab Equipment</t>
  </si>
  <si>
    <r>
      <t xml:space="preserve">Operational and Feasibility Studies </t>
    </r>
    <r>
      <rPr>
        <sz val="9"/>
        <rFont val="Arial"/>
        <family val="2"/>
      </rPr>
      <t>[1]</t>
    </r>
  </si>
  <si>
    <t xml:space="preserve">Median (dollars) </t>
  </si>
  <si>
    <t xml:space="preserve">Mean (dollars) </t>
  </si>
  <si>
    <t xml:space="preserve"> </t>
  </si>
  <si>
    <t>Per capita income ($)</t>
  </si>
  <si>
    <t>Table  4-01.3   .   Compact Impact Assistance Grant Projects (P.L. 108-188), Guam:  FY 2004 to FY 2008</t>
  </si>
  <si>
    <t>Poverty Universe</t>
  </si>
  <si>
    <t>Below 50 % of poverty level (%)</t>
  </si>
  <si>
    <t>Below poverty (%)</t>
  </si>
  <si>
    <t>FY 2008</t>
  </si>
  <si>
    <t>Below 125 % poverty level (%)</t>
  </si>
  <si>
    <t>Below 185 % poverty level (%)</t>
  </si>
  <si>
    <t>Permanent Injunction</t>
  </si>
  <si>
    <t>(DOI Reserve)</t>
  </si>
  <si>
    <t>Census of Micronesians</t>
  </si>
  <si>
    <t>FY 2007</t>
  </si>
  <si>
    <t>Table  4-17   .   Age Sex and Marital Status of Impact Migrants, Guam:  1990, 1997 and 2003</t>
  </si>
  <si>
    <t>Phase II Fire Alarm/Sprinkler System</t>
  </si>
  <si>
    <t>Post &amp; Ch</t>
  </si>
  <si>
    <t>Post&amp;Ch</t>
  </si>
  <si>
    <t>Psychotropic Medications</t>
  </si>
  <si>
    <t>Vendor Payables (Latte Treatment)</t>
  </si>
  <si>
    <t>Less than 5 years</t>
  </si>
  <si>
    <t>FY 2006</t>
  </si>
  <si>
    <t>Building Improvement and Equipment</t>
  </si>
  <si>
    <t>10 to 14 years</t>
  </si>
  <si>
    <t xml:space="preserve">15 to 19 years </t>
  </si>
  <si>
    <t>Medical Personnel and Equipment</t>
  </si>
  <si>
    <t xml:space="preserve">20 to 24 years </t>
  </si>
  <si>
    <t>25 to 29 years</t>
  </si>
  <si>
    <t>Diabetes Program</t>
  </si>
  <si>
    <t xml:space="preserve">30 to 34 years </t>
  </si>
  <si>
    <t>Pharmaceuticals</t>
  </si>
  <si>
    <t xml:space="preserve">35 to 39 years </t>
  </si>
  <si>
    <t>Building Upgrade</t>
  </si>
  <si>
    <t xml:space="preserve">40 to 44 years </t>
  </si>
  <si>
    <t>Psychotropic Medication</t>
  </si>
  <si>
    <t xml:space="preserve">45 to 49 years </t>
  </si>
  <si>
    <t>AGRI</t>
  </si>
  <si>
    <t>Stray Animal Enhancement</t>
  </si>
  <si>
    <t xml:space="preserve">50 to 54 years </t>
  </si>
  <si>
    <t xml:space="preserve">55 to 59 years </t>
  </si>
  <si>
    <t xml:space="preserve">60 to 64 years </t>
  </si>
  <si>
    <t xml:space="preserve">65 to 69 years </t>
  </si>
  <si>
    <t>FY 2005</t>
  </si>
  <si>
    <t>DPW (GMLP)</t>
  </si>
  <si>
    <t xml:space="preserve">70 to 74 years </t>
  </si>
  <si>
    <t>Medicine, supplies and imaging equipment</t>
  </si>
  <si>
    <t>Pharmaceutical supplies</t>
  </si>
  <si>
    <t>Theraputic Group Home acquisition</t>
  </si>
  <si>
    <t>Permanent Injunction / Theraputic Group Home</t>
  </si>
  <si>
    <t xml:space="preserve">    Females</t>
  </si>
  <si>
    <t>Heavy equipment</t>
  </si>
  <si>
    <t>Fire Rescue Pumpers/Fire Rescue Boat</t>
  </si>
  <si>
    <t>Renovations, furniture/equip., passenger vans</t>
  </si>
  <si>
    <t>Motorcycle parking shelter and ballistic vests</t>
  </si>
  <si>
    <t>FY 2004</t>
  </si>
  <si>
    <t>Fire system</t>
  </si>
  <si>
    <t>Pharmaceuticals and medical supplies</t>
  </si>
  <si>
    <t>Renovation and equipment</t>
  </si>
  <si>
    <t>School buses</t>
  </si>
  <si>
    <t>Facilities improvement</t>
  </si>
  <si>
    <t>Facilities improvement and equipment</t>
  </si>
  <si>
    <t>Operational Feasibility Studies [1]</t>
  </si>
  <si>
    <t>FY Total</t>
  </si>
  <si>
    <t>GRAND TOTAL GRANT FUNDS</t>
  </si>
  <si>
    <t>[1]  Re-obligation of funds from closed FY2004 grant projects ($286,657)</t>
  </si>
  <si>
    <t>MARITAL STATUS</t>
  </si>
  <si>
    <t xml:space="preserve">    Males 15 years and over</t>
  </si>
  <si>
    <t xml:space="preserve">     Males Never Married (%)</t>
  </si>
  <si>
    <t xml:space="preserve">  Consensually married </t>
  </si>
  <si>
    <t xml:space="preserve">Divorced </t>
  </si>
  <si>
    <t xml:space="preserve">    Females 15 years and over</t>
  </si>
  <si>
    <t>Source: U.S. Census Bureau, Micronesian Censuses and Government Censuses</t>
  </si>
  <si>
    <t>Note:  Post &amp; Ch = Post Compact and Children</t>
  </si>
  <si>
    <t xml:space="preserve"> Palau did not have a survey conducted in 1990.</t>
  </si>
  <si>
    <t>Table 6-01  .   Fall Enrollment in Primary and Secondary Guam Schools, Guam:  School Years 2019-2020 to 2024-2025</t>
  </si>
  <si>
    <t>Table 6-02 .  Department of Education's Fall Enrollment by School, Grade Level and Village, Guam:  School Years 2020-2021 to 2024-2025</t>
  </si>
  <si>
    <t>Table 6-03  .  Department of Education's Fall Enrollment by School, Grade Level and Village, Guam:  School Year 2024-2025</t>
  </si>
  <si>
    <t>Table  6-08  .  Fall Enrollment by Grade Level and School Year, Guam:  School Years 2019-2020 to 2024-2025</t>
  </si>
  <si>
    <t xml:space="preserve">Table   6-09 .  Student Average Daily Membership, Average Daily Attendances and Attendance Rates in Guam Public School, Guam: </t>
  </si>
  <si>
    <t>Table   6-11 . Local Funds Expenditures, Fall Enrollment and Appropriation per Pupil for Public Schools, Guam:</t>
  </si>
  <si>
    <t>Table   6-12   .   Distribution of Students Enrolled in Special Programs in Guam Public Schools, Guam:   School Years 2022-2023 to 2024-2025</t>
  </si>
  <si>
    <t>Table 6-14 .  Department of Education Employee Characteristic Distribution, Guam: School Years 2019-2020 to 2024-2025</t>
  </si>
  <si>
    <t>Table 6-15 . University of Guam Enrollment by Attainment Type and Class Level, Guam: Academic Years 2020-2021 to 2024-2025</t>
  </si>
  <si>
    <t>Table 6-17  . University of Guam Enrollment by Program, Gender, and Age, Guam: Academic Years 2020-2021 to 2024-2025</t>
  </si>
  <si>
    <t>Table 6-18 . University of Guam Fall and Spring Enrollment of Freely Associated States and CNMI Students, Guam:  Academic Years 2020-2021 to 2024-2025</t>
  </si>
  <si>
    <t>Table 6-19  .  University of Guam Fall Enrollment by Ethnicity, Gender and Load, Guam:  Academic Year 2024-2025</t>
  </si>
  <si>
    <t>Table 6-24 .  University of Guam Fall Enrollment by Academic Level and Course Load and Gender, Guam:   Academic Years 2020-2021 to 2024-2025</t>
  </si>
  <si>
    <t>Table 6-25  .   University of Guam Fall Enrollment by Class Level, Guam:  Academic Years 2005-2006 to 2024-2025</t>
  </si>
  <si>
    <t>Table  6-27 . Guam Community College Postsecondary Fall Enrollment by Gender, Guam:  Academic Years 2020-2021 to 2024-2025</t>
  </si>
  <si>
    <t>Table 6-29 . Guam Community College Postsecondary Fall Enrollment by Program, Guam:  Academic Years 2020-2021 to 2024-2025</t>
  </si>
  <si>
    <t>Table 6-30  .  Guam Community College Postsecondary Fall Term Enrollment by Enrollment Status and Age Group, Guam:</t>
  </si>
  <si>
    <t>2024-</t>
  </si>
  <si>
    <t>2023-</t>
  </si>
  <si>
    <t>2022-</t>
  </si>
  <si>
    <t>2021-</t>
  </si>
  <si>
    <t>2020-</t>
  </si>
  <si>
    <t>2019-</t>
  </si>
  <si>
    <t>Head</t>
  </si>
  <si>
    <t>Pre-</t>
  </si>
  <si>
    <t>Kinder-</t>
  </si>
  <si>
    <t>5th</t>
  </si>
  <si>
    <t>6th</t>
  </si>
  <si>
    <t>7th</t>
  </si>
  <si>
    <t>8th</t>
  </si>
  <si>
    <t>9th</t>
  </si>
  <si>
    <t>10th</t>
  </si>
  <si>
    <t xml:space="preserve">                       School Years 2022-2023 to 2024-2025</t>
  </si>
  <si>
    <t xml:space="preserve">                    School Years 2019-2020 to 2024-2025</t>
  </si>
  <si>
    <t>SY2024-2025</t>
  </si>
  <si>
    <t>SY2023-2024</t>
  </si>
  <si>
    <t>SY2022-2023</t>
  </si>
  <si>
    <t>AY 2024-2025</t>
  </si>
  <si>
    <t>AY 2023-2024</t>
  </si>
  <si>
    <t>AY 2022-2023</t>
  </si>
  <si>
    <t>AY 2021-2022</t>
  </si>
  <si>
    <t>AY 2020-2021</t>
  </si>
  <si>
    <t>AY 2019-2020</t>
  </si>
  <si>
    <t>Head-</t>
  </si>
  <si>
    <t>Gender</t>
  </si>
  <si>
    <t>Load</t>
  </si>
  <si>
    <t>Academic Level</t>
  </si>
  <si>
    <t>Class Level</t>
  </si>
  <si>
    <t>Academic Years 2019-2020 to 2024-2025</t>
  </si>
  <si>
    <t>School/Grade</t>
  </si>
  <si>
    <t>Village</t>
  </si>
  <si>
    <t>School</t>
  </si>
  <si>
    <t>Village/District</t>
  </si>
  <si>
    <t>Students</t>
  </si>
  <si>
    <t>Start</t>
  </si>
  <si>
    <t>K</t>
  </si>
  <si>
    <t>garten</t>
  </si>
  <si>
    <t>Grade</t>
  </si>
  <si>
    <t>School Year 2024-2025</t>
  </si>
  <si>
    <t>School Year 2023-2024</t>
  </si>
  <si>
    <t>School Year 2022-2023</t>
  </si>
  <si>
    <t>Special Programs</t>
  </si>
  <si>
    <t>Employee Characteristic</t>
  </si>
  <si>
    <t>Fall</t>
  </si>
  <si>
    <t>Spring</t>
  </si>
  <si>
    <t>Origin / Ethnicity</t>
  </si>
  <si>
    <t>Race/Ethnicity</t>
  </si>
  <si>
    <t>count</t>
  </si>
  <si>
    <t>Enrollment</t>
  </si>
  <si>
    <t>Full-time</t>
  </si>
  <si>
    <t>Part-time</t>
  </si>
  <si>
    <t>Undergraduate</t>
  </si>
  <si>
    <t>Graduate</t>
  </si>
  <si>
    <t>Lower</t>
  </si>
  <si>
    <t>Upper</t>
  </si>
  <si>
    <t>Post-</t>
  </si>
  <si>
    <t>Degree Level</t>
  </si>
  <si>
    <t xml:space="preserve">   Major</t>
  </si>
  <si>
    <t>2024*</t>
  </si>
  <si>
    <t xml:space="preserve">     Total School [Fall Term] Enrollment </t>
  </si>
  <si>
    <t xml:space="preserve">  Total  [Kindergarten - 12th Grade]</t>
  </si>
  <si>
    <t xml:space="preserve">      Total</t>
  </si>
  <si>
    <t xml:space="preserve">       Total</t>
  </si>
  <si>
    <t>Average Daily</t>
  </si>
  <si>
    <t xml:space="preserve">Attendance </t>
  </si>
  <si>
    <t xml:space="preserve">    Gender  (Total)</t>
  </si>
  <si>
    <t xml:space="preserve">   Total</t>
  </si>
  <si>
    <t xml:space="preserve">  Total</t>
  </si>
  <si>
    <t xml:space="preserve">   Student Enrollment</t>
  </si>
  <si>
    <t>Academic Year</t>
  </si>
  <si>
    <t>(FR, SO)</t>
  </si>
  <si>
    <t>(JR, SR)</t>
  </si>
  <si>
    <t>Baccalaureate</t>
  </si>
  <si>
    <t>Non-Degree</t>
  </si>
  <si>
    <t>FTE</t>
  </si>
  <si>
    <t xml:space="preserve">        Grand Total</t>
  </si>
  <si>
    <t xml:space="preserve">      Total </t>
  </si>
  <si>
    <t xml:space="preserve">       Grand Total</t>
  </si>
  <si>
    <t xml:space="preserve">   Elementary Schools [Kinder - 5th Grade]</t>
  </si>
  <si>
    <t xml:space="preserve">    Lagu (North) Total</t>
  </si>
  <si>
    <r>
      <t xml:space="preserve">   Private </t>
    </r>
    <r>
      <rPr>
        <vertAlign val="superscript"/>
        <sz val="11"/>
        <rFont val="Arial"/>
        <family val="2"/>
      </rPr>
      <t>1/, 2/, 3/*</t>
    </r>
  </si>
  <si>
    <t xml:space="preserve">  Grade Levels</t>
  </si>
  <si>
    <t>Membership</t>
  </si>
  <si>
    <t>Attendance</t>
  </si>
  <si>
    <t>Rate</t>
  </si>
  <si>
    <t>Expenditures</t>
  </si>
  <si>
    <t>Pre Gate/Gifted &amp; Talented Education [K-5th]</t>
  </si>
  <si>
    <t xml:space="preserve"> Male</t>
  </si>
  <si>
    <t xml:space="preserve">  Undergraduate Program </t>
  </si>
  <si>
    <t>American Indian/Native Alaskan</t>
  </si>
  <si>
    <t>[Fall Term]</t>
  </si>
  <si>
    <t>(%)</t>
  </si>
  <si>
    <t xml:space="preserve"> Undergraduate Programs (Total)</t>
  </si>
  <si>
    <t xml:space="preserve">     Bachelor of Science</t>
  </si>
  <si>
    <t xml:space="preserve">   Enrollment Status (Total)</t>
  </si>
  <si>
    <r>
      <t xml:space="preserve">   Catholic Schools </t>
    </r>
    <r>
      <rPr>
        <vertAlign val="superscript"/>
        <sz val="11"/>
        <rFont val="Arial"/>
        <family val="2"/>
      </rPr>
      <t>1/</t>
    </r>
    <r>
      <rPr>
        <sz val="10"/>
        <rFont val="Arial"/>
        <family val="2"/>
      </rPr>
      <t xml:space="preserve"> (Total)</t>
    </r>
  </si>
  <si>
    <t>Adacao Elementary</t>
  </si>
  <si>
    <t>Astumbo Elementary</t>
  </si>
  <si>
    <t>Elementary  [Kindergarten - 5th]</t>
  </si>
  <si>
    <t xml:space="preserve">    Millions  ($)</t>
  </si>
  <si>
    <t>Special Education</t>
  </si>
  <si>
    <t xml:space="preserve"> Female</t>
  </si>
  <si>
    <t xml:space="preserve">   Course Load </t>
  </si>
  <si>
    <t xml:space="preserve">    Males (Total)</t>
  </si>
  <si>
    <t>2024-2025</t>
  </si>
  <si>
    <t xml:space="preserve">      Associates</t>
  </si>
  <si>
    <t>Career and Technical Education</t>
  </si>
  <si>
    <t>Full-Time</t>
  </si>
  <si>
    <t>Kindergarten to 5th Grade</t>
  </si>
  <si>
    <t>Agana Heights Elementary</t>
  </si>
  <si>
    <t>Astumbo Middle</t>
  </si>
  <si>
    <t>Middle School  [6th - 8th]</t>
  </si>
  <si>
    <t xml:space="preserve"> Elementary [Kindergarten - 5th]</t>
  </si>
  <si>
    <t>English As A Second Language [ESL]</t>
  </si>
  <si>
    <t>15 to 18 years old</t>
  </si>
  <si>
    <t>2023-2024</t>
  </si>
  <si>
    <t>Nursing</t>
  </si>
  <si>
    <t>Not Reported</t>
  </si>
  <si>
    <t>Part-Time</t>
  </si>
  <si>
    <t>6th - 8th Grade</t>
  </si>
  <si>
    <t>Finegayan</t>
  </si>
  <si>
    <t>Senior High  [9th -12th]</t>
  </si>
  <si>
    <t xml:space="preserve"> Middle School  [6th - 8th]</t>
  </si>
  <si>
    <t xml:space="preserve">Appropriation per </t>
  </si>
  <si>
    <t>Head Start</t>
  </si>
  <si>
    <t xml:space="preserve">    Age Group  (Total)</t>
  </si>
  <si>
    <t>19 to 21 years old</t>
  </si>
  <si>
    <t>Rota</t>
  </si>
  <si>
    <t>Pacific Islander</t>
  </si>
  <si>
    <t>2022-2023</t>
  </si>
  <si>
    <t xml:space="preserve">      Bachelors</t>
  </si>
  <si>
    <t>Source:  Guam Community College Fact Book</t>
  </si>
  <si>
    <t xml:space="preserve">    Associate Arts Degree (Total)</t>
  </si>
  <si>
    <t>9th - 12th Grade</t>
  </si>
  <si>
    <t>B.P. Carbullido</t>
  </si>
  <si>
    <t>Juan M. Guerrero</t>
  </si>
  <si>
    <t>High School Graduates</t>
  </si>
  <si>
    <t xml:space="preserve"> High School  [9th -12th]</t>
  </si>
  <si>
    <t xml:space="preserve">    Pupil  ($)</t>
  </si>
  <si>
    <t>Eskuelan Puengi Fall Session A</t>
  </si>
  <si>
    <t>18 - 24</t>
  </si>
  <si>
    <t>22 to 25 years old</t>
  </si>
  <si>
    <t>Saipan</t>
  </si>
  <si>
    <t>2021-2022</t>
  </si>
  <si>
    <t>Accounting</t>
  </si>
  <si>
    <t>Culinary Arts</t>
  </si>
  <si>
    <t xml:space="preserve">     Age Group (Total)</t>
  </si>
  <si>
    <t>C.L. Taitano</t>
  </si>
  <si>
    <t xml:space="preserve">Liguan </t>
  </si>
  <si>
    <t>Source: Office of Associate Superintendent, Business Affairs, Guam Department of Education, Government of Guam</t>
  </si>
  <si>
    <t>Eskuelan Puengi Fall Session B</t>
  </si>
  <si>
    <t>25 - 34</t>
  </si>
  <si>
    <t xml:space="preserve">   Class Level </t>
  </si>
  <si>
    <t>26 to 29 years old</t>
  </si>
  <si>
    <t xml:space="preserve">Tinian </t>
  </si>
  <si>
    <t>2020-2021</t>
  </si>
  <si>
    <r>
      <t xml:space="preserve">Agriculture </t>
    </r>
    <r>
      <rPr>
        <vertAlign val="superscript"/>
        <sz val="10"/>
        <rFont val="Arial"/>
        <family val="2"/>
      </rPr>
      <t>1/</t>
    </r>
  </si>
  <si>
    <t>25 &amp; Under</t>
  </si>
  <si>
    <t>Chief Brodie</t>
  </si>
  <si>
    <t>M.A. Ulloa</t>
  </si>
  <si>
    <r>
      <t xml:space="preserve">   Public </t>
    </r>
    <r>
      <rPr>
        <vertAlign val="superscript"/>
        <sz val="10"/>
        <rFont val="Arial"/>
        <family val="2"/>
      </rPr>
      <t xml:space="preserve"> 4</t>
    </r>
    <r>
      <rPr>
        <vertAlign val="superscript"/>
        <sz val="11"/>
        <rFont val="Arial"/>
        <family val="2"/>
      </rPr>
      <t>/</t>
    </r>
  </si>
  <si>
    <t>Note:  Does not include Federal expenditures or costs for transportation provided by Department of Public Works.</t>
  </si>
  <si>
    <t>Eskuelan Puengi Spring Session A</t>
  </si>
  <si>
    <t>35 - 44</t>
  </si>
  <si>
    <t>Freshmen</t>
  </si>
  <si>
    <t>30 to 39 years old</t>
  </si>
  <si>
    <t>Race or Ethnicity Unknown</t>
  </si>
  <si>
    <t>Full Time Equivalency (FTE)</t>
  </si>
  <si>
    <t>2019-2020</t>
  </si>
  <si>
    <t>Agriculture &amp; Life Sciences</t>
  </si>
  <si>
    <t xml:space="preserve">Liberal Studies </t>
  </si>
  <si>
    <t>26-31</t>
  </si>
  <si>
    <r>
      <t xml:space="preserve">   DoDEA</t>
    </r>
    <r>
      <rPr>
        <vertAlign val="superscript"/>
        <sz val="10"/>
        <rFont val="Arial"/>
        <family val="2"/>
      </rPr>
      <t xml:space="preserve"> </t>
    </r>
    <r>
      <rPr>
        <vertAlign val="superscript"/>
        <sz val="11"/>
        <rFont val="Arial"/>
        <family val="2"/>
      </rPr>
      <t>2/</t>
    </r>
    <r>
      <rPr>
        <sz val="10"/>
        <rFont val="Arial"/>
        <family val="2"/>
      </rPr>
      <t xml:space="preserve">  (Total)</t>
    </r>
  </si>
  <si>
    <t>D.L. Perez</t>
  </si>
  <si>
    <t>Okkodo High</t>
  </si>
  <si>
    <t>Eskuelan Puengi Spring Session B</t>
  </si>
  <si>
    <t>45 - 54</t>
  </si>
  <si>
    <t>Sophomores</t>
  </si>
  <si>
    <t>40 to 49 years old</t>
  </si>
  <si>
    <t>Nonresident Alien</t>
  </si>
  <si>
    <t>2018-2019</t>
  </si>
  <si>
    <t>Anthropology</t>
  </si>
  <si>
    <t>32-41</t>
  </si>
  <si>
    <t>Wettengel</t>
  </si>
  <si>
    <t>Eskuelan Puengi Spring Session C</t>
  </si>
  <si>
    <t>55 - 64</t>
  </si>
  <si>
    <t>Juniors</t>
  </si>
  <si>
    <t>50 to 59 years old</t>
  </si>
  <si>
    <t>Source:  University of Guam</t>
  </si>
  <si>
    <t>Credit Hour Production</t>
  </si>
  <si>
    <t>2017-2018</t>
  </si>
  <si>
    <t>Biology</t>
  </si>
  <si>
    <t xml:space="preserve">    Associate of Science (Total)</t>
  </si>
  <si>
    <t>42-54</t>
  </si>
  <si>
    <t>H.S. Truman</t>
  </si>
  <si>
    <t>Vicente S.A. Benevente</t>
  </si>
  <si>
    <t>Eskuelan Puengi Spring Session D</t>
  </si>
  <si>
    <t>65 - 70</t>
  </si>
  <si>
    <t>Seniors</t>
  </si>
  <si>
    <t>60+ years old</t>
  </si>
  <si>
    <t>Other Pacific Islands</t>
  </si>
  <si>
    <t>2016-2017</t>
  </si>
  <si>
    <t>Business Administration</t>
  </si>
  <si>
    <t>Table 6-28 . Guam Community College Total Students Served, Guam:  Fall Semester, Academic Years 2020-2021 to 2024-2025</t>
  </si>
  <si>
    <t>55 &amp; Older</t>
  </si>
  <si>
    <t>Table   6-10 .  Student Average Daily Membership, Average Daily Attendances and Attendance Rates in Guam Public School, Guam:</t>
  </si>
  <si>
    <t>Faneyakan Sinipok (CHamoru Immersion)</t>
  </si>
  <si>
    <t>71 +</t>
  </si>
  <si>
    <t>Graduates</t>
  </si>
  <si>
    <t xml:space="preserve">    Undergraduate Enrollment</t>
  </si>
  <si>
    <t>2015-2016</t>
  </si>
  <si>
    <t>Chamoru Language, Elemen Edu</t>
  </si>
  <si>
    <t>Automotive Service Technology - General Service Technician</t>
  </si>
  <si>
    <t>J.M. Guerrero</t>
  </si>
  <si>
    <t>F.B. Leon Guerrero</t>
  </si>
  <si>
    <t xml:space="preserve">                      School Years 2019-2020 to 2021-2022</t>
  </si>
  <si>
    <t>Source: Office of Associate Superintendent, Business Affairs, Department of Education, Government of Guam</t>
  </si>
  <si>
    <t>Non-Degree / PostGradaute</t>
  </si>
  <si>
    <t>2014-2015</t>
  </si>
  <si>
    <t>Chamoru Language, Secon Edu</t>
  </si>
  <si>
    <t xml:space="preserve"> Program</t>
  </si>
  <si>
    <t>Automotive Service Technology - Master Service Technician</t>
  </si>
  <si>
    <t>`</t>
  </si>
  <si>
    <t>J.Q. San Miguel</t>
  </si>
  <si>
    <t>Toto</t>
  </si>
  <si>
    <t>Machananao</t>
  </si>
  <si>
    <r>
      <t xml:space="preserve">   DoDEA</t>
    </r>
    <r>
      <rPr>
        <vertAlign val="superscript"/>
        <sz val="11"/>
        <rFont val="Arial"/>
        <family val="2"/>
      </rPr>
      <t xml:space="preserve"> 5/</t>
    </r>
  </si>
  <si>
    <t>School Year 2021-2022</t>
  </si>
  <si>
    <t>School Year 2020-2021</t>
  </si>
  <si>
    <t>School Year 2019-2020</t>
  </si>
  <si>
    <t>Eskuelan Puengi = Night school program.  Numbers reflect students enrolled in more than one special program.</t>
  </si>
  <si>
    <t xml:space="preserve">     Positions (Total)</t>
  </si>
  <si>
    <t xml:space="preserve">    Females (Total)</t>
  </si>
  <si>
    <t>Table 6-20  .  University of Guam Fall Enrollment by Ethnicity, Gender and Load, Guam:  Academic Year 2023-2024</t>
  </si>
  <si>
    <t>2013-2014</t>
  </si>
  <si>
    <t>Chamoru Studies</t>
  </si>
  <si>
    <t xml:space="preserve">Civil Engineering Technology </t>
  </si>
  <si>
    <r>
      <t xml:space="preserve">   Other Private Schools </t>
    </r>
    <r>
      <rPr>
        <vertAlign val="superscript"/>
        <sz val="11"/>
        <rFont val="Arial"/>
        <family val="2"/>
      </rPr>
      <t>3/</t>
    </r>
    <r>
      <rPr>
        <sz val="10"/>
        <rFont val="Arial"/>
        <family val="2"/>
      </rPr>
      <t xml:space="preserve"> (Total)</t>
    </r>
    <r>
      <rPr>
        <vertAlign val="superscript"/>
        <sz val="10"/>
        <rFont val="Arial"/>
        <family val="2"/>
      </rPr>
      <t xml:space="preserve"> </t>
    </r>
  </si>
  <si>
    <t>L.B. Johnson</t>
  </si>
  <si>
    <t>Simon Sanchez</t>
  </si>
  <si>
    <t xml:space="preserve"> Principals/Assistants</t>
  </si>
  <si>
    <t>2012-2013</t>
  </si>
  <si>
    <t>Chemistry</t>
  </si>
  <si>
    <t>Postsecondary</t>
  </si>
  <si>
    <t>Computer Networking</t>
  </si>
  <si>
    <t>Liguan</t>
  </si>
  <si>
    <t>UPI</t>
  </si>
  <si>
    <t xml:space="preserve"> Central Administrators</t>
  </si>
  <si>
    <t>2011-2012</t>
  </si>
  <si>
    <t>Civil Engineering</t>
  </si>
  <si>
    <t>Secondary</t>
  </si>
  <si>
    <t>Computer Science</t>
  </si>
  <si>
    <r>
      <t xml:space="preserve"> Teachers </t>
    </r>
    <r>
      <rPr>
        <vertAlign val="superscript"/>
        <sz val="11"/>
        <rFont val="Arial"/>
        <family val="2"/>
      </rPr>
      <t>1/</t>
    </r>
  </si>
  <si>
    <t>2010-2011</t>
  </si>
  <si>
    <t>Communication Studies</t>
  </si>
  <si>
    <t>Apprenticeship</t>
  </si>
  <si>
    <t xml:space="preserve">Criminal Justice </t>
  </si>
  <si>
    <t>M.U. Lujan</t>
  </si>
  <si>
    <t xml:space="preserve">    Luchan (East) Total</t>
  </si>
  <si>
    <t>Table   6-13   .   Distribution of Students Enrolled in Special Programs in Guam Public Schools, Guam:   School Years 2019-2020 to 2021-2022</t>
  </si>
  <si>
    <r>
      <t xml:space="preserve"> Allied Health Professional </t>
    </r>
    <r>
      <rPr>
        <vertAlign val="superscript"/>
        <sz val="10"/>
        <rFont val="Arial"/>
        <family val="2"/>
      </rPr>
      <t>2/</t>
    </r>
  </si>
  <si>
    <t>2009-2010</t>
  </si>
  <si>
    <t>Computer Information Systems</t>
  </si>
  <si>
    <t>Adult Education</t>
  </si>
  <si>
    <t>Early Childhood Education</t>
  </si>
  <si>
    <t xml:space="preserve">Table 6-31  .  Guam Community College Postsecondary Fall Term Enrollment by Ethnic Origin, Guam: </t>
  </si>
  <si>
    <t xml:space="preserve">Agana Heights </t>
  </si>
  <si>
    <t>Agana Hts</t>
  </si>
  <si>
    <t xml:space="preserve">Source:  Catholic Education Office;  Other Private Schools; Department of Education, Government of Guam, and </t>
  </si>
  <si>
    <t>SY2021 - 2022</t>
  </si>
  <si>
    <t>SY2020 - 2021</t>
  </si>
  <si>
    <t>SY2019 - 2020</t>
  </si>
  <si>
    <t xml:space="preserve"> Professional/Ancillary</t>
  </si>
  <si>
    <t>Table 6-16  .  University of Guam Enrollment by Program and Gender, Guam: Academic Years 2020-2021 to 2024-2025</t>
  </si>
  <si>
    <t xml:space="preserve">   Graduate Enrollment</t>
  </si>
  <si>
    <t>2008-2009</t>
  </si>
  <si>
    <t>Continuing Education</t>
  </si>
  <si>
    <t xml:space="preserve">Emergency Management  </t>
  </si>
  <si>
    <t>Marcial Sablan</t>
  </si>
  <si>
    <t>Jose L.G.  Rios</t>
  </si>
  <si>
    <t>Department of Defense Education Activity</t>
  </si>
  <si>
    <t xml:space="preserve"> Senior High  [9th -12th]</t>
  </si>
  <si>
    <t xml:space="preserve"> Health Counselors </t>
  </si>
  <si>
    <t>2007-2008</t>
  </si>
  <si>
    <t>Consumer &amp; Family Science</t>
  </si>
  <si>
    <t>Food &amp; Beverage Management</t>
  </si>
  <si>
    <r>
      <t xml:space="preserve">   Charter Schools </t>
    </r>
    <r>
      <rPr>
        <vertAlign val="superscript"/>
        <sz val="11"/>
        <rFont val="Arial"/>
        <family val="2"/>
      </rPr>
      <t xml:space="preserve">4/ </t>
    </r>
    <r>
      <rPr>
        <sz val="10"/>
        <rFont val="Arial"/>
        <family val="2"/>
      </rPr>
      <t>(Total)</t>
    </r>
    <r>
      <rPr>
        <vertAlign val="superscript"/>
        <sz val="10"/>
        <rFont val="Arial"/>
        <family val="2"/>
      </rPr>
      <t xml:space="preserve"> </t>
    </r>
  </si>
  <si>
    <r>
      <t>Sinaja</t>
    </r>
    <r>
      <rPr>
        <sz val="10"/>
        <rFont val="Times New Roman"/>
        <family val="1"/>
      </rPr>
      <t>ñ</t>
    </r>
    <r>
      <rPr>
        <sz val="10"/>
        <rFont val="Arial"/>
        <family val="2"/>
      </rPr>
      <t>a</t>
    </r>
  </si>
  <si>
    <t>1/  Private includes Catholics Schools and Other Private Schools.</t>
  </si>
  <si>
    <t>Source: Office of Associate Superintendent, Business Affairs, Guam Public School System, Government of Guam</t>
  </si>
  <si>
    <t xml:space="preserve"> Central School Support</t>
  </si>
  <si>
    <t>2006-2007</t>
  </si>
  <si>
    <t>Criminal Justice</t>
  </si>
  <si>
    <t>Foodservice Management 1/</t>
  </si>
  <si>
    <t>Ethnic Origin</t>
  </si>
  <si>
    <t>Ordot Chalan Pago</t>
  </si>
  <si>
    <t>Ordot</t>
  </si>
  <si>
    <t>Chief Brodie Memorial</t>
  </si>
  <si>
    <t>2/  Catholic Schools includes Dominican Child Development School; Infant of Prague Nursery &amp; Kindergarten; Maria Artero;</t>
  </si>
  <si>
    <t xml:space="preserve"> Cafeteria</t>
  </si>
  <si>
    <t>2005-2006</t>
  </si>
  <si>
    <t>Early Childhood/Elementary Edu</t>
  </si>
  <si>
    <t>Hotel Operations and Management 2/</t>
  </si>
  <si>
    <t>P.C. Lujan</t>
  </si>
  <si>
    <t xml:space="preserve">     Mercy Heights; Bishop Baumgartner; Dominican Catholic School; Our Lady of Mount Carmel; Saint Anthony; Santa </t>
  </si>
  <si>
    <t xml:space="preserve"> Custodian/Maintenance</t>
  </si>
  <si>
    <t>East Asian Studies</t>
  </si>
  <si>
    <t xml:space="preserve">Human Services </t>
  </si>
  <si>
    <t>American Indian or Alaskan Native</t>
  </si>
  <si>
    <t>Price</t>
  </si>
  <si>
    <t>John F. Kennedy</t>
  </si>
  <si>
    <t xml:space="preserve">     Barbara; Saint Francis; San Vicente; Academy of Our Lady; Father Duenas; and Notre Dame.</t>
  </si>
  <si>
    <r>
      <t xml:space="preserve"> Instructional Aides </t>
    </r>
    <r>
      <rPr>
        <vertAlign val="superscript"/>
        <sz val="11"/>
        <rFont val="Arial"/>
        <family val="2"/>
      </rPr>
      <t>3/</t>
    </r>
  </si>
  <si>
    <t xml:space="preserve">   Undergraduate Program</t>
  </si>
  <si>
    <t>FTE = Full Time Equivalency</t>
  </si>
  <si>
    <t>Elementary Education</t>
  </si>
  <si>
    <t>Information Technology</t>
  </si>
  <si>
    <t>3/  Other Private Schools includes Asmuyao Community School, Evangelical Christian Academy, Guam Adventist Academy,</t>
  </si>
  <si>
    <t xml:space="preserve">  Graduate Program </t>
  </si>
  <si>
    <t>English &amp; ESL</t>
  </si>
  <si>
    <t>International Hotel Management</t>
  </si>
  <si>
    <t xml:space="preserve">Tamuning </t>
  </si>
  <si>
    <t xml:space="preserve">      Harvest Christian Academy, Saint Paul Christian School, Southern Christian Academy, Temple Baptist Christian </t>
  </si>
  <si>
    <t>Eskuelan Puengi</t>
  </si>
  <si>
    <t xml:space="preserve">    Ethnic Origin (Total)</t>
  </si>
  <si>
    <t xml:space="preserve">    Non-Degree</t>
  </si>
  <si>
    <t>English</t>
  </si>
  <si>
    <t>Marketing</t>
  </si>
  <si>
    <t>Black</t>
  </si>
  <si>
    <t xml:space="preserve">   Guam Department of Education (Total) </t>
  </si>
  <si>
    <t xml:space="preserve">   Kattan (West) Total</t>
  </si>
  <si>
    <t xml:space="preserve">      School, and St. John's School.</t>
  </si>
  <si>
    <t>Fine Arts/Art</t>
  </si>
  <si>
    <t>Medical Assisting</t>
  </si>
  <si>
    <t>4/  Guam Department of Education (excludes Headstart) and Charter Schools.</t>
  </si>
  <si>
    <t xml:space="preserve">   Graduate Program </t>
  </si>
  <si>
    <t>Fine Arts/Music</t>
  </si>
  <si>
    <t>Office Technology</t>
  </si>
  <si>
    <t>L.P. Untalan</t>
  </si>
  <si>
    <t xml:space="preserve">5/  DoDEA = Department of Defense Education Activity </t>
  </si>
  <si>
    <t>Eskuelan Puengi = Night school program</t>
  </si>
  <si>
    <t>Asian/Pacific Islander Not Listed</t>
  </si>
  <si>
    <t>Fine Arts/Theater</t>
  </si>
  <si>
    <t>Practical Nursing</t>
  </si>
  <si>
    <t xml:space="preserve">   Middle Schools  [6th - 8th Grade]</t>
  </si>
  <si>
    <t>*Note:  Catholic School information by grade were not available at the time of publishing.  Other Private Schools information were</t>
  </si>
  <si>
    <t>Table 6-21  .  University of Guam Fall Enrollment by Ethnicity, Gender and Load, Guam:  Academic Year 2022-2023</t>
  </si>
  <si>
    <t>Health Sciences</t>
  </si>
  <si>
    <t xml:space="preserve">Pre-Architectural Drafting  </t>
  </si>
  <si>
    <t>Agueda Johnston</t>
  </si>
  <si>
    <t>Tiyan High</t>
  </si>
  <si>
    <t xml:space="preserve">             only available for five out of ten schools at the time of publishing.</t>
  </si>
  <si>
    <t>Caucasian</t>
  </si>
  <si>
    <t>Health, PE, Recreation Dance</t>
  </si>
  <si>
    <t>Supervision &amp; Management</t>
  </si>
  <si>
    <t>Public School Drop-outs</t>
  </si>
  <si>
    <t xml:space="preserve">   Non-Degree/PostGradaute</t>
  </si>
  <si>
    <t>History</t>
  </si>
  <si>
    <t xml:space="preserve">Surveying Technology  </t>
  </si>
  <si>
    <t>Hispanic or Latino</t>
  </si>
  <si>
    <t>Public School Drop-out Rate</t>
  </si>
  <si>
    <t>Interdisciplinary Arts &amp; Science</t>
  </si>
  <si>
    <t xml:space="preserve">Tourism &amp; Travel Management  </t>
  </si>
  <si>
    <r>
      <t xml:space="preserve">Cost Per Pupil </t>
    </r>
    <r>
      <rPr>
        <vertAlign val="superscript"/>
        <sz val="11"/>
        <rFont val="Arial"/>
        <family val="2"/>
      </rPr>
      <t>5/</t>
    </r>
  </si>
  <si>
    <t>George Washington</t>
  </si>
  <si>
    <t>Japanese Studies</t>
  </si>
  <si>
    <t>Visual Communications</t>
  </si>
  <si>
    <t xml:space="preserve">Pupil/Teacher Ratio </t>
  </si>
  <si>
    <t>Jose L.G. Rios</t>
  </si>
  <si>
    <t>Agueda Johnson</t>
  </si>
  <si>
    <t>Ordot/Chln Pag</t>
  </si>
  <si>
    <t xml:space="preserve">Management </t>
  </si>
  <si>
    <t>now a Business Admin concentration</t>
  </si>
  <si>
    <r>
      <t xml:space="preserve">District Cohort Graduation Rate </t>
    </r>
    <r>
      <rPr>
        <vertAlign val="superscript"/>
        <sz val="10"/>
        <rFont val="Arial"/>
        <family val="2"/>
      </rPr>
      <t>6/</t>
    </r>
    <r>
      <rPr>
        <sz val="10"/>
        <rFont val="Arial"/>
        <family val="2"/>
      </rPr>
      <t xml:space="preserve"> (%)</t>
    </r>
    <r>
      <rPr>
        <vertAlign val="superscript"/>
        <sz val="10"/>
        <rFont val="Arial"/>
        <family val="2"/>
      </rPr>
      <t xml:space="preserve"> </t>
    </r>
    <r>
      <rPr>
        <vertAlign val="superscript"/>
        <sz val="11"/>
        <rFont val="Arial"/>
        <family val="2"/>
      </rPr>
      <t xml:space="preserve"> </t>
    </r>
    <r>
      <rPr>
        <vertAlign val="superscript"/>
        <sz val="10"/>
        <rFont val="Arial"/>
        <family val="2"/>
      </rPr>
      <t xml:space="preserve"> </t>
    </r>
  </si>
  <si>
    <t>Ordot/Chalan Pago</t>
  </si>
  <si>
    <t xml:space="preserve">Marketing </t>
  </si>
  <si>
    <t xml:space="preserve">    Certificates (Total)</t>
  </si>
  <si>
    <t>Oceanview</t>
  </si>
  <si>
    <t>MTM</t>
  </si>
  <si>
    <t>Mathematics</t>
  </si>
  <si>
    <t xml:space="preserve">Automotive Service Technology </t>
  </si>
  <si>
    <t>Native Hawaiian or Pacific Islander</t>
  </si>
  <si>
    <t xml:space="preserve">   Total High School Graduates</t>
  </si>
  <si>
    <t>Vicente Benavente</t>
  </si>
  <si>
    <t xml:space="preserve">Computer Aided Design &amp; Drafting </t>
  </si>
  <si>
    <r>
      <t xml:space="preserve">Private School Graduates </t>
    </r>
    <r>
      <rPr>
        <vertAlign val="superscript"/>
        <sz val="11"/>
        <rFont val="Arial"/>
        <family val="2"/>
      </rPr>
      <t>7/</t>
    </r>
  </si>
  <si>
    <t xml:space="preserve">    Haya (South) Total</t>
  </si>
  <si>
    <t>Pacific Asian Studies Program</t>
  </si>
  <si>
    <r>
      <t xml:space="preserve">Public School Graduates </t>
    </r>
    <r>
      <rPr>
        <vertAlign val="superscript"/>
        <sz val="11"/>
        <rFont val="Arial"/>
        <family val="2"/>
      </rPr>
      <t>8/</t>
    </r>
  </si>
  <si>
    <t xml:space="preserve">   High Schools  [9th - 12th Grade]</t>
  </si>
  <si>
    <t xml:space="preserve"> Agat</t>
  </si>
  <si>
    <t>Philosophy</t>
  </si>
  <si>
    <t>Source:  Catholic Education Office; Department of Defense Education Activity  (DoDEA); Other Private Schools and Guam</t>
  </si>
  <si>
    <t>Physical Ed./School Health</t>
  </si>
  <si>
    <t>Construction Technology</t>
  </si>
  <si>
    <t>Thai</t>
  </si>
  <si>
    <t>Department of Education, Government of Guam</t>
  </si>
  <si>
    <t>JP Torres Success Academy*</t>
  </si>
  <si>
    <t>Inarajan Elementary</t>
  </si>
  <si>
    <t xml:space="preserve"> Inarajan</t>
  </si>
  <si>
    <t>Political Science</t>
  </si>
  <si>
    <t>Two or more races</t>
  </si>
  <si>
    <t>1/   For SY2018-SY2019, Our Lady of Mount Carmel enrollment numbers were not available.</t>
  </si>
  <si>
    <t>Inarajan Middle</t>
  </si>
  <si>
    <t>Psychology</t>
  </si>
  <si>
    <t xml:space="preserve">      Catholic Schools includes Dominican Child Development School; Infant of Prague Nursery &amp; Kindergarten; Maria Artero; Mercy Heights;</t>
  </si>
  <si>
    <t>Okkodo</t>
  </si>
  <si>
    <t>Merizo Martyrs</t>
  </si>
  <si>
    <t xml:space="preserve"> Merizo</t>
  </si>
  <si>
    <t>Public Administration</t>
  </si>
  <si>
    <t xml:space="preserve">      Bishop Baumgartner; Dominican Catholic School; Our Lady of Mount Carmel; Saint Anthony; Santa Barbara; Saint Francis; San Vicente;</t>
  </si>
  <si>
    <t xml:space="preserve"> Santa Rita</t>
  </si>
  <si>
    <t>LEA= Local Education Agency</t>
  </si>
  <si>
    <t>Secondary Education</t>
  </si>
  <si>
    <t xml:space="preserve">      Academy of Our Lady; Father Duenas; and Notre Dame.</t>
  </si>
  <si>
    <t>Southern High</t>
  </si>
  <si>
    <t>1/ Includes Substitute teachers, as well as Guidance Counselors and Librarians who are categorized as Teachers.</t>
  </si>
  <si>
    <t>Table 6-22  .  University of Guam Fall Enrollment by Ethnicity, Gender and Load, Guam:  Academic Year 2021-2022</t>
  </si>
  <si>
    <t>Social Studies Secondary Education</t>
  </si>
  <si>
    <t>Environmental Technician</t>
  </si>
  <si>
    <t xml:space="preserve">2/   Department of Defense Education Activity </t>
  </si>
  <si>
    <t xml:space="preserve"> Yona</t>
  </si>
  <si>
    <t>2/ Includes Licensed Practical Nurses (LPN's)</t>
  </si>
  <si>
    <t>Social Work</t>
  </si>
  <si>
    <t xml:space="preserve">Family Services </t>
  </si>
  <si>
    <t>3/   Other Private Schools includes Asmuyao Community School, Evangelical Christian Academy, Guam Adventist Academy,</t>
  </si>
  <si>
    <t>Source:  Department of Education, Government of Guam</t>
  </si>
  <si>
    <t>3/  Includes School Aides, Head Start Aides and other special program aides.</t>
  </si>
  <si>
    <t xml:space="preserve">  Non-Degree/Post Graduate </t>
  </si>
  <si>
    <t>Sociology</t>
  </si>
  <si>
    <t xml:space="preserve">Fire Science </t>
  </si>
  <si>
    <t xml:space="preserve">      Harvest Christian Academy, Saint Paul Christian School, St. John's School, Temple Baptist Christian School, and Southern Christian</t>
  </si>
  <si>
    <t>Symbol "…" indicates not applicable.</t>
  </si>
  <si>
    <t>JP Torres</t>
  </si>
  <si>
    <t xml:space="preserve">      Academy.  Southern Christian Academy renamed to Career Tech High Academy Charter School and opened</t>
  </si>
  <si>
    <t>Table does not include Head start enrollment.</t>
  </si>
  <si>
    <t>Non Resident Alien</t>
  </si>
  <si>
    <t>Tropical Agriculture - Applied Emphasis</t>
  </si>
  <si>
    <t>Medium/Heavy Truck Diesel</t>
  </si>
  <si>
    <t>in SY2020-2021.</t>
  </si>
  <si>
    <t>*JP Torres Alternative changed names in SY16-17</t>
  </si>
  <si>
    <t>School Year total includes Headstart enrollment.</t>
  </si>
  <si>
    <t>American Indian/Alaskan</t>
  </si>
  <si>
    <t>Tropical Agriculture -  Research</t>
  </si>
  <si>
    <t>4/   Includes Guahan Academy Charter School, SIFA Learning Academy Charter School, Career Tech High Academy, iLearn Academy Charter School,</t>
  </si>
  <si>
    <t>Asian-Chinese</t>
  </si>
  <si>
    <t>Sign Language Interpreting</t>
  </si>
  <si>
    <t>Business and Technology Academy Charter School (BTACS), Magalahen Hurao Chamoru Academy, and Mount Carmel Academy Charter School.</t>
  </si>
  <si>
    <t>Asian-Filipino</t>
  </si>
  <si>
    <t xml:space="preserve">       Masters</t>
  </si>
  <si>
    <t>5/   Per pupil cost (General Fund only).</t>
  </si>
  <si>
    <t>Asian-Indian</t>
  </si>
  <si>
    <t>Accountancy</t>
  </si>
  <si>
    <t>Surveying Technology</t>
  </si>
  <si>
    <t xml:space="preserve">6/   Cohort Graduation Rate:  Based on the capability of tracking the high school experience of each member of the ninth grade cohort.  </t>
  </si>
  <si>
    <t>Asian-Japanese</t>
  </si>
  <si>
    <t>Admin &amp; Supervision</t>
  </si>
  <si>
    <t xml:space="preserve">      After four years of high school, each member of the ninth grade cohort is identified as either a) a graduate; b) still in school; c)  a transfer</t>
  </si>
  <si>
    <t>Table 6-04  .  Department of Education's Fall Enrollment by School, Grade Level and Village, Guam:  School Year 2023-2024</t>
  </si>
  <si>
    <t>Asian-Korean</t>
  </si>
  <si>
    <t>Art</t>
  </si>
  <si>
    <t xml:space="preserve">   Other Programs (Total)</t>
  </si>
  <si>
    <t xml:space="preserve">      d) a dropout; or e) a withdrawal due to illness or death.  A four year cohort graduation rate may then be calculated by dividing the number</t>
  </si>
  <si>
    <t>Asian-Other</t>
  </si>
  <si>
    <t xml:space="preserve">Industry Certification in Cosmetology </t>
  </si>
  <si>
    <t xml:space="preserve">      of cohort graduates after four years of high school by the total 9th grade cohort less the number of transfers and the number of students</t>
  </si>
  <si>
    <t>Professional MBA</t>
  </si>
  <si>
    <t>Criminal Justice Certificate of Completion</t>
  </si>
  <si>
    <t xml:space="preserve">      that withdrew during the four years due to illness or death.</t>
  </si>
  <si>
    <t>Asian-Thai</t>
  </si>
  <si>
    <t>Clinical Psychology</t>
  </si>
  <si>
    <t>Nursing Assisting Industry Certificate</t>
  </si>
  <si>
    <t>7/   Catholic Schools graduate totals were not available for SY2019-2020.  DODEA number of graduates was not available for SY2018-2019 and SY2019-2020.</t>
  </si>
  <si>
    <t>Asian-Vietnamese</t>
  </si>
  <si>
    <t>Counseling</t>
  </si>
  <si>
    <t xml:space="preserve">Adult High School Diploma </t>
  </si>
  <si>
    <t xml:space="preserve">       Private school graduates includes Catholic Schools, DoDEA, and Other Private School graduates.</t>
  </si>
  <si>
    <t>Black Non-Hispanic</t>
  </si>
  <si>
    <t>Enrichment</t>
  </si>
  <si>
    <t>8/   Includes Guam Department of Education and Charter Schools.</t>
  </si>
  <si>
    <t>Chamorro-Guam</t>
  </si>
  <si>
    <t>Journeyworker Certification</t>
  </si>
  <si>
    <t>Chamorro-Saipan, Rota, Saipan</t>
  </si>
  <si>
    <t>Environmental Science</t>
  </si>
  <si>
    <t>Undeclared</t>
  </si>
  <si>
    <t>Note: Guahan Charter Academy opened doors on SY 2013-2014</t>
  </si>
  <si>
    <t>Inovations in Teaching and Learning</t>
  </si>
  <si>
    <t xml:space="preserve">         iLearn Academy Charter School was established in January 2015</t>
  </si>
  <si>
    <t>Micronesian-Chuukese</t>
  </si>
  <si>
    <t>Language &amp; Literacy</t>
  </si>
  <si>
    <t>1/   Formerly AS in Food &amp; Beverage Management.  Program revamped in December 2017.</t>
  </si>
  <si>
    <t>Micronesian-Kosraean</t>
  </si>
  <si>
    <t xml:space="preserve">Micronesian Studies </t>
  </si>
  <si>
    <t>2/   Program revamped in April of 2016 with a new title-AS in International Hotel Management; however one student remains continuously enrolled.</t>
  </si>
  <si>
    <t xml:space="preserve">        Does not include fall enrollment data for St. Paul Christian School for SY2020-2021</t>
  </si>
  <si>
    <t>Micronesian-Marshallese</t>
  </si>
  <si>
    <t>3/   Program Revamped during AY 2018-2019.</t>
  </si>
  <si>
    <t>Source:  University of Guam.</t>
  </si>
  <si>
    <t>Micronesian-Palauan</t>
  </si>
  <si>
    <t>Reading</t>
  </si>
  <si>
    <t>Micronesian-Pohnpeian</t>
  </si>
  <si>
    <t>Secondary Teaching:  Practitioner</t>
  </si>
  <si>
    <t>Micronesian-Yapese</t>
  </si>
  <si>
    <t>Secondary Teaching:  Researcher</t>
  </si>
  <si>
    <t>Secondary Education (MED)</t>
  </si>
  <si>
    <t>Pacific-Other</t>
  </si>
  <si>
    <t>Secondary Education (MAT)</t>
  </si>
  <si>
    <t>White Non Hispanic</t>
  </si>
  <si>
    <t xml:space="preserve">Social Work </t>
  </si>
  <si>
    <t>Program withdrawn</t>
  </si>
  <si>
    <t>Susatainable Agriculture, Food &amp;</t>
  </si>
  <si>
    <t xml:space="preserve">Natural Resources </t>
  </si>
  <si>
    <t>Teaching English As A Second Language</t>
  </si>
  <si>
    <t>Table 6-23  .  University of Guam Fall Enrollment by Ethnicity, Gender and Load, Guam:  Academic Year 2020-2021</t>
  </si>
  <si>
    <t>1/ See "Tropical Agriculture"</t>
  </si>
  <si>
    <t>Table 6-05  .  Department of Education's Fall Enrollment by School, Grade Level and Village, Guam:  School Year 2022-2023</t>
  </si>
  <si>
    <t>Table 6-06  .  Department of Education's Fall Enrollment by School, Grade Level and Village, Guam:  School Year 2021-2022</t>
  </si>
  <si>
    <t>Table 6-07  .  Department of Education's Fall Enrollment by School, Grade Level and Village, Guam:  School Year 2020-2021</t>
  </si>
  <si>
    <t>Table  7-01.1   .   General Election Results for the U.S. President by Election District, Guam: 2024</t>
  </si>
  <si>
    <t>Table  7-03   .   Comparative General Election Results for Governor and Lieutenant Governor of Guam, Guam:  2014, 2018, 2022</t>
  </si>
  <si>
    <t>Table  7-04   .   General Election Results for Governor and Lieutenant Governor of Guam, Guam:  2022</t>
  </si>
  <si>
    <t>Table  7-07   .   Comparative General Election Results for Delegate to the U.S. House of Representatives, Guam:  2020, 2022, and 2024</t>
  </si>
  <si>
    <t>Table  7-08   .   General Election Results for the Delegate to the U.S. House of Representatives, Guam: 2024</t>
  </si>
  <si>
    <t>Table  7-10   .   General Election Results for the Delegate to the U.S. House of Representatives, Guam: 2020</t>
  </si>
  <si>
    <t>Table  7-12  .   General Election Results for the Attorney General, Guam:  2022</t>
  </si>
  <si>
    <t xml:space="preserve">Table  7-15   .   General Election Results for the Public Auditor, Guam:  2024 </t>
  </si>
  <si>
    <t>Table  7-18   .   General Election Results for the 38th Guam Legislature, Guam:  2024</t>
  </si>
  <si>
    <t>Table  7-21.1   .   General Election Results for the 38th Guam Legislature, Guam:  2024</t>
  </si>
  <si>
    <t>HARRIS, Kamala /</t>
  </si>
  <si>
    <t>TRUMP, Donald /</t>
  </si>
  <si>
    <t>KENNEDY JR., Robert F. /</t>
  </si>
  <si>
    <t>Voted</t>
  </si>
  <si>
    <t>CAMACHO, Felix/</t>
  </si>
  <si>
    <t>LEON GUERRERO, Lourdes/</t>
  </si>
  <si>
    <t>Overvote/</t>
  </si>
  <si>
    <t>CRUZ,</t>
  </si>
  <si>
    <t>MOYLAN</t>
  </si>
  <si>
    <t>Write-In</t>
  </si>
  <si>
    <t>SAN NICOLAS,</t>
  </si>
  <si>
    <t>UNDERWOOD</t>
  </si>
  <si>
    <t>CASTRO</t>
  </si>
  <si>
    <t>CAMACHO</t>
  </si>
  <si>
    <t>Cruz, Benjamin J.F.</t>
  </si>
  <si>
    <t xml:space="preserve">Senatorial </t>
  </si>
  <si>
    <t>Party</t>
  </si>
  <si>
    <t>Votes</t>
  </si>
  <si>
    <t>TERLAJE, Therese [D]</t>
  </si>
  <si>
    <t>BARNETT, Darrel [D]</t>
  </si>
  <si>
    <t>ADA, Vincente A.B. [R]</t>
  </si>
  <si>
    <t>Election</t>
  </si>
  <si>
    <t>Registered</t>
  </si>
  <si>
    <t>WALZ, Tim [D]</t>
  </si>
  <si>
    <t>VANCE, JD [R]</t>
  </si>
  <si>
    <t>SHANAHAN, Nicole [IND]</t>
  </si>
  <si>
    <t>F. Camacho /</t>
  </si>
  <si>
    <t>L. Leon Guerrero /</t>
  </si>
  <si>
    <t>R. Tenorio /</t>
  </si>
  <si>
    <t>E. Calvo /</t>
  </si>
  <si>
    <t>C. Gutierrez /</t>
  </si>
  <si>
    <t xml:space="preserve">ADA, Anthony </t>
  </si>
  <si>
    <t>TENORIO, Joshua</t>
  </si>
  <si>
    <t>Undervote/</t>
  </si>
  <si>
    <t>MOYLAN,</t>
  </si>
  <si>
    <t>WON PAT,</t>
  </si>
  <si>
    <t>UNDERWOOD,</t>
  </si>
  <si>
    <t>CASTRO,</t>
  </si>
  <si>
    <t>Over</t>
  </si>
  <si>
    <t>Ginger  [D]</t>
  </si>
  <si>
    <t>James C. [R]</t>
  </si>
  <si>
    <t>Michael.  [D]</t>
  </si>
  <si>
    <t>Robert [D]</t>
  </si>
  <si>
    <t>William [R]</t>
  </si>
  <si>
    <t xml:space="preserve">Election </t>
  </si>
  <si>
    <t>Leevin T.</t>
  </si>
  <si>
    <t>Douglas B.</t>
  </si>
  <si>
    <t>Candidates</t>
  </si>
  <si>
    <t>Affliation</t>
  </si>
  <si>
    <t>Received</t>
  </si>
  <si>
    <t xml:space="preserve">Total </t>
  </si>
  <si>
    <t>District</t>
  </si>
  <si>
    <t>Voters</t>
  </si>
  <si>
    <t>Precinct</t>
  </si>
  <si>
    <t>A. Ada</t>
  </si>
  <si>
    <t>J. Tenorio</t>
  </si>
  <si>
    <t>R. Tenorio</t>
  </si>
  <si>
    <t>G. Gumataotao</t>
  </si>
  <si>
    <t>[Republican]</t>
  </si>
  <si>
    <t>[Democrat]</t>
  </si>
  <si>
    <t>Write-Ins</t>
  </si>
  <si>
    <t>Ginger [D]</t>
  </si>
  <si>
    <t>Judith [D]</t>
  </si>
  <si>
    <t>James [R]</t>
  </si>
  <si>
    <t>Michael [D]</t>
  </si>
  <si>
    <t>Vote</t>
  </si>
  <si>
    <t>Therese M. Terlaje</t>
  </si>
  <si>
    <t>Democrat</t>
  </si>
  <si>
    <t>Darrel Christopher Barnett</t>
  </si>
  <si>
    <t>Vincente Anthony B. Ada</t>
  </si>
  <si>
    <t>Republican</t>
  </si>
  <si>
    <t>Joe S. San Agustin</t>
  </si>
  <si>
    <t>Tina Rose Muna Barnes</t>
  </si>
  <si>
    <t>Hågat</t>
  </si>
  <si>
    <t>4, 4A, 4B</t>
  </si>
  <si>
    <t>Sabrina S. Matanane</t>
  </si>
  <si>
    <t>Sånta Rita-Sumai</t>
  </si>
  <si>
    <t>5, 5A</t>
  </si>
  <si>
    <t>Jesse Anderson Lujan</t>
  </si>
  <si>
    <t>Humåtak</t>
  </si>
  <si>
    <t>Frank Flores Blas Jr.</t>
  </si>
  <si>
    <t>7, 7A</t>
  </si>
  <si>
    <t>Shelly Calvo</t>
  </si>
  <si>
    <t>Inalåhan</t>
  </si>
  <si>
    <t>8, 8A</t>
  </si>
  <si>
    <t>William Mark Parkinson</t>
  </si>
  <si>
    <t>Talo'fo'fo</t>
  </si>
  <si>
    <t>Talo'fo'fo'</t>
  </si>
  <si>
    <t>9, 9A</t>
  </si>
  <si>
    <t>Christopher M. Duenas</t>
  </si>
  <si>
    <t>10, 10A, 10B</t>
  </si>
  <si>
    <t>Vincent A.V. Borja</t>
  </si>
  <si>
    <t>11, 11A, 11B</t>
  </si>
  <si>
    <t>Sabrina E. Perez</t>
  </si>
  <si>
    <t>12, 12A</t>
  </si>
  <si>
    <t>Telo Teresa Taitague</t>
  </si>
  <si>
    <t>13, 13A</t>
  </si>
  <si>
    <t>Eulogio Shawn Gumataotao</t>
  </si>
  <si>
    <t>Mongmong/Toto/Maite</t>
  </si>
  <si>
    <t>14, 14A</t>
  </si>
  <si>
    <t>Source:  Guam Election Commission, Government of Guam</t>
  </si>
  <si>
    <t>15, 15A-15C</t>
  </si>
  <si>
    <t>16, 16A-16C</t>
  </si>
  <si>
    <t>17, 17A-17D</t>
  </si>
  <si>
    <t>Table  7-19   .   General Election Results for the 37th Guam Legislature, Guam:  2022</t>
  </si>
  <si>
    <t>18, 18A-18L</t>
  </si>
  <si>
    <t>19, 19A-19D</t>
  </si>
  <si>
    <t>R = Republican Candidate</t>
  </si>
  <si>
    <t>GRN = Green Candidate</t>
  </si>
  <si>
    <t>D = Democratic Candidate</t>
  </si>
  <si>
    <t>Darrel Christoopher Barnett</t>
  </si>
  <si>
    <t>PRB = Prohibition Candidate</t>
  </si>
  <si>
    <t>Amanda Shelton</t>
  </si>
  <si>
    <t>LIB = Libertarian Candidate</t>
  </si>
  <si>
    <t>PRG = Progressive Candidate</t>
  </si>
  <si>
    <t>ASP = American Solidarity Candidate</t>
  </si>
  <si>
    <t>Table  7-05   .   General Election Results for Governor and Lieutenant Governor of Guam, Guam:  2018</t>
  </si>
  <si>
    <t>Table  7-13  .   General Election Results for the Attorney General, Guam:  2018</t>
  </si>
  <si>
    <t>TENORIO, Ray/</t>
  </si>
  <si>
    <t>Frank F. Blas Jr.</t>
  </si>
  <si>
    <t xml:space="preserve">Table  7-16   .   General Election Results for the Public Auditor, Guam:  2020 </t>
  </si>
  <si>
    <t>Thomas J. Fisher</t>
  </si>
  <si>
    <t>Table  7-21.2   .   General Election Results for the 38th Guam Legislature, Guam:  2024 -- (continued)</t>
  </si>
  <si>
    <t>Roy Anothony Quinata</t>
  </si>
  <si>
    <t>SAN AGUSTIN, Joe S. [D]</t>
  </si>
  <si>
    <t>MUNA BARNES, Tina [D]</t>
  </si>
  <si>
    <t>Matanane,Sabrina [R]</t>
  </si>
  <si>
    <t>Table  7-09   .   General Election Results for the Delegate to the U.S. House of Representatives, Guam: 2022</t>
  </si>
  <si>
    <t>Table  7-11   .   General Election Results for the Delegate to the U.S. House of Representatives, Guam: 2018</t>
  </si>
  <si>
    <t>Table  7-01.2   .   General Election Results for the U.S. President by Election District, Guam: 2024  -- (continued)</t>
  </si>
  <si>
    <t>WONPAT,</t>
  </si>
  <si>
    <t>BROOKS</t>
  </si>
  <si>
    <t>STEIN, Jill /</t>
  </si>
  <si>
    <t>SONSKI, Peter /</t>
  </si>
  <si>
    <t>STODDEN, Bill /</t>
  </si>
  <si>
    <t>WOOD, Michael /</t>
  </si>
  <si>
    <t>Judith  [D]</t>
  </si>
  <si>
    <t>Doris [R]</t>
  </si>
  <si>
    <t>Dwayne Thomas San Nicolas</t>
  </si>
  <si>
    <t>WARE, Butch  [GRN]</t>
  </si>
  <si>
    <t>ONAK, Lauren [AM SOL]</t>
  </si>
  <si>
    <t>CHOLENSKY, Stephanie [SOC]</t>
  </si>
  <si>
    <t>PIETROWSKI, John [PRO]</t>
  </si>
  <si>
    <t>Telo Taitague</t>
  </si>
  <si>
    <t>Joanne Marie Brown</t>
  </si>
  <si>
    <t>Table  7-20   .   General Election Results for the 36th Guam Legislature, Guam:  2020</t>
  </si>
  <si>
    <t>James C. Moylan</t>
  </si>
  <si>
    <t>Telena C. Nelson</t>
  </si>
  <si>
    <t>Mary C. Torres</t>
  </si>
  <si>
    <t>Telo T. Taitague</t>
  </si>
  <si>
    <t>Clynton E. Ridgell</t>
  </si>
  <si>
    <t>Table  7-14  .   General Election Results for the Attorney General, Guam:  2014</t>
  </si>
  <si>
    <t>BARRETT-ANDERSON</t>
  </si>
  <si>
    <t>RAPADAS</t>
  </si>
  <si>
    <t>Joanne M. Brown</t>
  </si>
  <si>
    <t>Table  7-06   .   General Election Results for Governor and Lieutenant Governor of Guam, Guam:  2014</t>
  </si>
  <si>
    <t>Elizabeth</t>
  </si>
  <si>
    <t>Leonardo M.</t>
  </si>
  <si>
    <t xml:space="preserve">Table  7-17   .   Special Election Results for the Public Auditor, Guam:  2018  </t>
  </si>
  <si>
    <t>L = Libertarian Candidate</t>
  </si>
  <si>
    <t>CALVO, Eddie B../</t>
  </si>
  <si>
    <t>GUTIERREZ, Carl T.C./</t>
  </si>
  <si>
    <t>CRISOSTOMO, Doreen</t>
  </si>
  <si>
    <t>CRUZ, Benjamin</t>
  </si>
  <si>
    <t>HECHANOVA, Yukari</t>
  </si>
  <si>
    <t>Jose T. Terlaje</t>
  </si>
  <si>
    <t>Table  7-21.3   .   General Election Results for the 38th Guam Legislature, Guam:  2024 -- (continued)</t>
  </si>
  <si>
    <t xml:space="preserve">TENORIO, Ray </t>
  </si>
  <si>
    <t>GUMATAOTAO, Gary</t>
  </si>
  <si>
    <t>LUJAN, Jesse [R]</t>
  </si>
  <si>
    <t>Blas, Frank Jr. [R]</t>
  </si>
  <si>
    <t>CALVO, Shelly [R]</t>
  </si>
  <si>
    <t>Table  7-02.1   .   General Election Results for the U.S. President by Election District, Guam: 2020</t>
  </si>
  <si>
    <t>BIDEN, Joe /</t>
  </si>
  <si>
    <t>CARROLL, Brian /</t>
  </si>
  <si>
    <t>HARRIS, Kamala [D]</t>
  </si>
  <si>
    <t>PENCE, Mike [R]</t>
  </si>
  <si>
    <t>PATEL, Amar [ASP]</t>
  </si>
  <si>
    <t>Table  7-21.4   .   General Election Results for the 38th Guam Legislature, Guam:  2024 -- (continued)</t>
  </si>
  <si>
    <t>PARKINSON, William [D]</t>
  </si>
  <si>
    <t>Duenas, Christopher [R]</t>
  </si>
  <si>
    <t>BORJA, Vincent [R]</t>
  </si>
  <si>
    <t>Table  7-02.2   .   General Election Results for the U.S. President by Election District, Guam: 2020  -- (continued)</t>
  </si>
  <si>
    <t>HUNTER, Dario /</t>
  </si>
  <si>
    <t>HAWKINS, Howie /</t>
  </si>
  <si>
    <t>JORGENSEN, Jo /</t>
  </si>
  <si>
    <t>COLLINS, Phil /</t>
  </si>
  <si>
    <t>ADAMS, Dawn  [PRG]</t>
  </si>
  <si>
    <t>WALKER, Angela [GRN]</t>
  </si>
  <si>
    <t>COHEN, Spike [LIB]</t>
  </si>
  <si>
    <t>PARKER, Billy Joe [PRB]</t>
  </si>
  <si>
    <t>Table  7-21.5   .   General Election Results for the 38th Guam Legislature, Guam:  2024 -- (continued)</t>
  </si>
  <si>
    <t>PEREZ, Sabrina [D]</t>
  </si>
  <si>
    <t>TAITAGUE, Telo [R]</t>
  </si>
  <si>
    <t>GUMATAOTAO, Eulogio [R]</t>
  </si>
  <si>
    <t>Table  7-22.1   .   General Election Results for the 37th Guam Legislature, Guam:  2022</t>
  </si>
  <si>
    <t>SHELTON, Amanda [D]</t>
  </si>
  <si>
    <t>Table  7-22.2   .   General Election Results for the 37th Guam Legislature, Guam:  2022 -- (continued)</t>
  </si>
  <si>
    <t>SAN AGUSTIN, Joe [D]</t>
  </si>
  <si>
    <t>BLAS, Frank Jr. [R]</t>
  </si>
  <si>
    <t>Table  7-22.3   .   General Election Results for the 37th Guam Legislature, Guam:  2022 -- (continued)</t>
  </si>
  <si>
    <t>FISHER, Thomas [R]</t>
  </si>
  <si>
    <t>QUINATA, Roy [D]</t>
  </si>
  <si>
    <t>Table  7-22.4   .   General Election Results for the 37th Guam Legislature, Guam:  2022 -- (continued)</t>
  </si>
  <si>
    <t>DUENAS, Christopher [R]</t>
  </si>
  <si>
    <t>SAN NICOLAS, Dwayne [D]</t>
  </si>
  <si>
    <t>Table  7-22.5   .   General Election Results for the 37th Guam Legislature, Guam:  2022 -- (continued)</t>
  </si>
  <si>
    <t>BROWN, Joanne [R]</t>
  </si>
  <si>
    <t>Table  7-23.1   .   General Election Results for the 36th Guam Legislature, Guam:  2020</t>
  </si>
  <si>
    <t>MOYLAN, James [R]</t>
  </si>
  <si>
    <t>NELSON, Telena [D]</t>
  </si>
  <si>
    <t>Table  7-23.2   .   General Election Results for the 36th Guam Legislature, Guam:  2020 -- (continued)</t>
  </si>
  <si>
    <t>TORRES, Mary [R]</t>
  </si>
  <si>
    <t>ADA, Vincente Anthony [R]</t>
  </si>
  <si>
    <t>Table  7-23.3   .   General Election Results for the 36th Guam Legislature, Guam:  2020 -- (continued)</t>
  </si>
  <si>
    <t>Table  7-23.4   .   General Election Results for the 36th Guam Legislature, Guam:  2020 -- (continued)</t>
  </si>
  <si>
    <t>MUNA-BARNES, Tina. [D]</t>
  </si>
  <si>
    <t>RIDGELL, Clynton [D]</t>
  </si>
  <si>
    <t>Table  7-23.5   .   General Election Results for the 36th Guam Legislature, Guam:  2020 -- (continued)</t>
  </si>
  <si>
    <t>BROWN,  JoAnne [R]</t>
  </si>
  <si>
    <t>TERLAJE, Jose [D]</t>
  </si>
  <si>
    <t>Table  7-24   .   Special General Election Results for Yona Mayor, Guam:  2020</t>
  </si>
  <si>
    <t>Table  7-25   .   General Election Results for the Mayors and Vice-Mayors by Election District, Guam:  2024</t>
  </si>
  <si>
    <t>Table  7-26   .   General Election Results for the Mayors and Vice-Mayors by Election District, Guam:  2020</t>
  </si>
  <si>
    <t>Table  7-27.1   .   General Election Results for the Consolidated Commission on Utilities, Guam:  2024</t>
  </si>
  <si>
    <t>DUENAS, Melvin F.</t>
  </si>
  <si>
    <t xml:space="preserve">MARTINEZ, Peter Roy </t>
  </si>
  <si>
    <t>ADA, Charles H., II</t>
  </si>
  <si>
    <t>Quenga, Bill A.  [D]</t>
  </si>
  <si>
    <t>Hagatna (Agana)</t>
  </si>
  <si>
    <t>Terlaje, Edward T. [D]</t>
  </si>
  <si>
    <t>Mayor</t>
  </si>
  <si>
    <t>Diaz, Cedric A.C. [D]</t>
  </si>
  <si>
    <t xml:space="preserve">Gumataotao, Michael Thomas [R] </t>
  </si>
  <si>
    <t xml:space="preserve">Paco, Rudy A. [D] </t>
  </si>
  <si>
    <t xml:space="preserve">Cruz, John A. [R] </t>
  </si>
  <si>
    <t>Eustaquio, Roque B. [D]</t>
  </si>
  <si>
    <t>Hiton, Franklin E. [R]</t>
  </si>
  <si>
    <t>Camacho, Ethan A. [D]</t>
  </si>
  <si>
    <t>Sånta Rita - Sumai</t>
  </si>
  <si>
    <t>Arroyo, Richard B. [D]</t>
  </si>
  <si>
    <t>Alig, Jesse L.G. [R]</t>
  </si>
  <si>
    <t>McDonald, Paul M. [R]</t>
  </si>
  <si>
    <t>Humátak</t>
  </si>
  <si>
    <t>McDonald, John Francis [R]</t>
  </si>
  <si>
    <t>Pangelinan, Jesse F. [D]</t>
  </si>
  <si>
    <t>Cabrera Frank, Jr.  [D]</t>
  </si>
  <si>
    <t>Fujikawa, Jesse M. [D]</t>
  </si>
  <si>
    <t>Inaláhan</t>
  </si>
  <si>
    <t xml:space="preserve">Alvarez, Dale E. [D] </t>
  </si>
  <si>
    <t>Salas, Frankie A. [D]</t>
  </si>
  <si>
    <t xml:space="preserve">Salvador, JanaLu L. [R] </t>
  </si>
  <si>
    <t xml:space="preserve">Lizama, Kelly A. [R] </t>
  </si>
  <si>
    <t>Taitano, Michelle H. [R]</t>
  </si>
  <si>
    <t>Gumataotao, John H. [D]</t>
  </si>
  <si>
    <t>Charfauros, Mark C. [D]</t>
  </si>
  <si>
    <t xml:space="preserve">Hofmann, Robert R. [D] </t>
  </si>
  <si>
    <t>Susuico, Kevin J.T. [R]</t>
  </si>
  <si>
    <t>Talofo'fo'</t>
  </si>
  <si>
    <t>Vice-Mayor</t>
  </si>
  <si>
    <t>Herrera, Reuben S. [D]</t>
  </si>
  <si>
    <t xml:space="preserve">Taitague, Vicente S. [D] </t>
  </si>
  <si>
    <t>Charfauros, MayAnn B. [D]</t>
  </si>
  <si>
    <t xml:space="preserve">Iriarte, Rudy D. [D] </t>
  </si>
  <si>
    <t>Fejeran, Christopher J. [R]</t>
  </si>
  <si>
    <t xml:space="preserve">Rivera, Joseph J. [R] </t>
  </si>
  <si>
    <t xml:space="preserve">Rivera, Louise C. [R] </t>
  </si>
  <si>
    <t>Reyes, Jocelyn A. [D]</t>
  </si>
  <si>
    <t>Table  7-27.2   .   General Election Results for the Consolidated Commission on Utilities, Guam:  2024 -- (continued)</t>
  </si>
  <si>
    <t xml:space="preserve">Blas, June U. [D] </t>
  </si>
  <si>
    <t>CEPEDA, Evangeline Marie</t>
  </si>
  <si>
    <t xml:space="preserve">BLAS, Nonito Vincent </t>
  </si>
  <si>
    <t xml:space="preserve">Diego, Thomas C.  [D] </t>
  </si>
  <si>
    <t xml:space="preserve">Toves, Albert M. [R] </t>
  </si>
  <si>
    <t xml:space="preserve">Atoigue, Albert S.  [D] </t>
  </si>
  <si>
    <t xml:space="preserve">Bautista, Jessie P. [D] </t>
  </si>
  <si>
    <r>
      <t>Hum</t>
    </r>
    <r>
      <rPr>
        <sz val="10"/>
        <rFont val="Calibri"/>
        <family val="2"/>
      </rPr>
      <t>å</t>
    </r>
    <r>
      <rPr>
        <sz val="10"/>
        <rFont val="Arial"/>
        <family val="2"/>
      </rPr>
      <t>tak</t>
    </r>
  </si>
  <si>
    <t xml:space="preserve">*  Certified Pursuant to 3GCA 16404 (c). </t>
  </si>
  <si>
    <t>Chalan Pago- Ordot</t>
  </si>
  <si>
    <t>Aguon, Gilbert Q. [D]</t>
  </si>
  <si>
    <t xml:space="preserve">Santos, Wayne S.N [D] </t>
  </si>
  <si>
    <t>Quinata, Johnny A. [R]</t>
  </si>
  <si>
    <t>Torrado, Alan C. [D]</t>
  </si>
  <si>
    <t xml:space="preserve">Flores, Timothy Bryan. [R] </t>
  </si>
  <si>
    <t xml:space="preserve">Gogue, Jessy C. [D] </t>
  </si>
  <si>
    <t>Lizama, Frances S. [D]</t>
  </si>
  <si>
    <t xml:space="preserve">Atalig, Javier M., Jr. [R] </t>
  </si>
  <si>
    <t xml:space="preserve">Benavente, Peter John [D] </t>
  </si>
  <si>
    <t>Sanchez, Anthony P. [R]</t>
  </si>
  <si>
    <t xml:space="preserve">Garcia, Elena Peredo. [R] </t>
  </si>
  <si>
    <t xml:space="preserve">San Agustin, Jose A. [R] </t>
  </si>
  <si>
    <t>Blas, Pedro Suzuki [D]</t>
  </si>
  <si>
    <t xml:space="preserve">Savares, Melissa R. [D] </t>
  </si>
  <si>
    <t xml:space="preserve">Leon Guerrero, Ann San Agustin. [D] </t>
  </si>
  <si>
    <t xml:space="preserve">Helit, Rene Espina [R] </t>
  </si>
  <si>
    <t>Santiago, Andy A. [D]</t>
  </si>
  <si>
    <t xml:space="preserve">Cabrera, Vincent A. [R] </t>
  </si>
  <si>
    <r>
      <t>Inal</t>
    </r>
    <r>
      <rPr>
        <sz val="10"/>
        <rFont val="Calibri"/>
        <family val="2"/>
      </rPr>
      <t>å</t>
    </r>
    <r>
      <rPr>
        <sz val="10"/>
        <rFont val="Arial"/>
        <family val="2"/>
      </rPr>
      <t>han</t>
    </r>
  </si>
  <si>
    <t>Terlaje, Brian Jess. [D]</t>
  </si>
  <si>
    <t xml:space="preserve">Benavente, Peter John S. [D] </t>
  </si>
  <si>
    <t>Lujan, Debbie P. [R]</t>
  </si>
  <si>
    <t>Chargualaf, Anthony P. Jr. [D]</t>
  </si>
  <si>
    <t>Santos, James G.  [R]</t>
  </si>
  <si>
    <t>Champaco, Franklin John Q. [D]</t>
  </si>
  <si>
    <t>Mantanona, Kenneth D. [D]</t>
  </si>
  <si>
    <t>Pascual, Peter M. [D]</t>
  </si>
  <si>
    <t>Ungacta, Allan R.G. [R]</t>
  </si>
  <si>
    <t>Guerrero, Lillian O. [D]</t>
  </si>
  <si>
    <t>Flores, Dennis D. [D]</t>
  </si>
  <si>
    <t>Table  7-28.1   .   General Election Results for the Consolidated Commission on Utilities, Guam:  2022</t>
  </si>
  <si>
    <t xml:space="preserve">Tosco, Edward J.D. [R] </t>
  </si>
  <si>
    <t>SANCHEZ, Simon A.</t>
  </si>
  <si>
    <t xml:space="preserve">LIMTIACO, Michael T. </t>
  </si>
  <si>
    <t>SANTOS, Francis E.</t>
  </si>
  <si>
    <t>Leones, Loreto V. [R]</t>
  </si>
  <si>
    <t>Flores, Sylvia A. [D]</t>
  </si>
  <si>
    <t xml:space="preserve">Duenas, Thomas J.F. [R] </t>
  </si>
  <si>
    <t>Lujan, Edward J.L. [D]</t>
  </si>
  <si>
    <t xml:space="preserve">Delgado, Kevin A.N. [D] </t>
  </si>
  <si>
    <t>Note:  Primary Election cancelled pursuant to P.L. 35-36</t>
  </si>
  <si>
    <t>Quenga, Bill A. [D]</t>
  </si>
  <si>
    <t>Chargualaf, Ernest T. [R]</t>
  </si>
  <si>
    <t>Cruz, Stephen M. [D]</t>
  </si>
  <si>
    <t>Cruz, Julie S.N. [D]</t>
  </si>
  <si>
    <t>Taijeron, John P. [D]</t>
  </si>
  <si>
    <t>Table  7-28.2   .   General Election Results for the Consolidated Commission on Utilities, Guam:  2022 -- (continued)</t>
  </si>
  <si>
    <t>UNPINGCO, Ricardo Sablan</t>
  </si>
  <si>
    <t>Table  7-29.1   .   General Election Results for the Consolidated Commission on Utilities, Guam:  2020</t>
  </si>
  <si>
    <t>GUTHERTZ, Dr. Judith P.</t>
  </si>
  <si>
    <t xml:space="preserve">DUENAS, Joseph T. </t>
  </si>
  <si>
    <t>MARTINEZ, Pedro R.</t>
  </si>
  <si>
    <t>Table  7-29.2   .   General Election Results for the Consolidated Commission on Utilities, Guam:  2020 -- (continued)</t>
  </si>
  <si>
    <t>BLAS, Nonito V.</t>
  </si>
  <si>
    <t xml:space="preserve">PEREZ, Kenneth Robert T. </t>
  </si>
  <si>
    <t>Table  7-30.1   .   General Election Results for the Guam Education Board:  2024</t>
  </si>
  <si>
    <t>Table  7-33.1   .   General Election Voter Turnout by Election District, Guam: 2014 to 2024</t>
  </si>
  <si>
    <t>Table  7-34.1   .   General Election Registered Voters by Election District, Guam:  2014 to 2024</t>
  </si>
  <si>
    <t>Table  7-35  .   General Election History of Voter Participation, Guam:  1950 to 2024</t>
  </si>
  <si>
    <t>OKADA, Dr. Mary A.Y.</t>
  </si>
  <si>
    <t>GUTHERTZ, Dr. Judith Paulette.</t>
  </si>
  <si>
    <t>SABLAN, Angel Reyes</t>
  </si>
  <si>
    <t>Total Voter Turnout</t>
  </si>
  <si>
    <t>Registered Voters</t>
  </si>
  <si>
    <t>Total Voted</t>
  </si>
  <si>
    <t>Failed to Vote</t>
  </si>
  <si>
    <t xml:space="preserve">     Total</t>
  </si>
  <si>
    <t>Sánta Rita - Sumai</t>
  </si>
  <si>
    <t xml:space="preserve">Table  7-30.2   .   General Election Results for the Guam Education Board:  2024  -- (continued) </t>
  </si>
  <si>
    <t>Table  7-34.2   .   General Election of Voters by Election District, Guam:  2014 to 2024 -- (continued)</t>
  </si>
  <si>
    <t>MCNINCH, Ronald Lewis</t>
  </si>
  <si>
    <t>ADA, Peter Alecxis D.</t>
  </si>
  <si>
    <t>GUTIERREZ, Maria Atalig</t>
  </si>
  <si>
    <t>Source:  Guam Election Commission, Government of Guam.</t>
  </si>
  <si>
    <t>Table  7-31.1   .   General Election Results for the Guam Education Board:  2022</t>
  </si>
  <si>
    <t xml:space="preserve">Table  7-31.2   .   General Election Results for the Guam Education Board:  2022  -- (continued) </t>
  </si>
  <si>
    <t>BENAVENTE, Lourdes M.</t>
  </si>
  <si>
    <t xml:space="preserve">Table  7-31.3   .   General Election Results for the Guam Education Board:  2022  -- (continued) </t>
  </si>
  <si>
    <t>ULLOA, Elaine Duenas</t>
  </si>
  <si>
    <t>SANTOS, Joseph Cruz</t>
  </si>
  <si>
    <t>CAMACHO, Raenate Santos</t>
  </si>
  <si>
    <t>Table  7-32.1   .   General Election Results for the Guam Education Board:  2020</t>
  </si>
  <si>
    <t>GUTIERREZ, Maria A.</t>
  </si>
  <si>
    <t>MENDIOLA, Mark Benny C.</t>
  </si>
  <si>
    <t xml:space="preserve">Table  7-32.2   .   General Election Results for the Guam Education Board:  2020  -- (continued) </t>
  </si>
  <si>
    <t>CRISOSTOMO, Robert A.</t>
  </si>
  <si>
    <t>ELLEN, Dr. Deborah</t>
  </si>
  <si>
    <t xml:space="preserve">Table  7-32.3   .   General Election Results for the Guam Education Board:  2020 -- (continued) </t>
  </si>
  <si>
    <t>AVILLA, Salvador J.</t>
  </si>
  <si>
    <t>DUENAS, Alexander M.</t>
  </si>
  <si>
    <t>ALCAIRO, Lawrence Jay M.</t>
  </si>
  <si>
    <t>Table  8-01  .   Historical Summary of Federal Expenditures, Guam: 2003 to 2010</t>
  </si>
  <si>
    <t>Table 8-02  .    Military Active Duty and DoD Personnel, Guam: 2021 to 2024</t>
  </si>
  <si>
    <t>Table 8-03  .    Military Active Duty and Family Members, Guam: 2014 to 2020</t>
  </si>
  <si>
    <t>Table 8-05  .     Active Duty Military And Their Family Members, Guam:  2005 to 2016</t>
  </si>
  <si>
    <t>Table  8-06   .   Active Duty Military, Military Dependents, and other Civilians by Election District, Guam: 2010</t>
  </si>
  <si>
    <t>Table  8-07   .   Active Duty Military, Military Dependents, and other Civilians by Election District, Guam: 2000</t>
  </si>
  <si>
    <t>Table  8-08    .    Military Expenditures, Guam: Fiscal Years 2003 to 2010</t>
  </si>
  <si>
    <t>[Millions of Dollars]</t>
  </si>
  <si>
    <t>Military and DoD Personnel</t>
  </si>
  <si>
    <t xml:space="preserve">Military and Family Members </t>
  </si>
  <si>
    <t>Military Personnel</t>
  </si>
  <si>
    <t>Number of</t>
  </si>
  <si>
    <t>Election District</t>
  </si>
  <si>
    <t>Military Dependents</t>
  </si>
  <si>
    <t>Total Percent</t>
  </si>
  <si>
    <t xml:space="preserve">     Total Military and DoD Personnel</t>
  </si>
  <si>
    <t xml:space="preserve">     Total Military and Dependents</t>
  </si>
  <si>
    <t>Total Military</t>
  </si>
  <si>
    <t>with Family Members</t>
  </si>
  <si>
    <t>Military Family</t>
  </si>
  <si>
    <t>Average Military</t>
  </si>
  <si>
    <t>Active</t>
  </si>
  <si>
    <t>Of Active</t>
  </si>
  <si>
    <t xml:space="preserve">           Total</t>
  </si>
  <si>
    <t>Active Duty</t>
  </si>
  <si>
    <t>Personnel</t>
  </si>
  <si>
    <t>Percent of Total</t>
  </si>
  <si>
    <t>Members</t>
  </si>
  <si>
    <t>Family Size</t>
  </si>
  <si>
    <t>Duty</t>
  </si>
  <si>
    <t>Depen-</t>
  </si>
  <si>
    <t>Total Spending</t>
  </si>
  <si>
    <t>Grants</t>
  </si>
  <si>
    <t>U.S. Air Force</t>
  </si>
  <si>
    <t>Military</t>
  </si>
  <si>
    <t>Member</t>
  </si>
  <si>
    <t>dent</t>
  </si>
  <si>
    <t>Civilians</t>
  </si>
  <si>
    <t xml:space="preserve">   Military Pay</t>
  </si>
  <si>
    <t>Salaries and Wages</t>
  </si>
  <si>
    <t>U.S. Army</t>
  </si>
  <si>
    <t xml:space="preserve">   Civilian Pay</t>
  </si>
  <si>
    <t>Direct Payments</t>
  </si>
  <si>
    <t>U.S. Coast Guard</t>
  </si>
  <si>
    <t xml:space="preserve">   Military Construction</t>
  </si>
  <si>
    <t>Procurement</t>
  </si>
  <si>
    <t>U.S. Marine Corps</t>
  </si>
  <si>
    <t>Source: U.S. Census Bureau, Consolidated Federal Funds Report - FY2003 to FY2010</t>
  </si>
  <si>
    <t>Retirement and Disability</t>
  </si>
  <si>
    <t>U.S. Navy</t>
  </si>
  <si>
    <t>Note:  Due to the termination of the Federal Financial Statistics program, data from the Consolidated Federal Funds Report is no</t>
  </si>
  <si>
    <t>U.S. Space Force</t>
  </si>
  <si>
    <t>*</t>
  </si>
  <si>
    <t>Family Members</t>
  </si>
  <si>
    <t>Asan</t>
  </si>
  <si>
    <t>longer available.  2010 is the last available data.</t>
  </si>
  <si>
    <t>Direct Loans</t>
  </si>
  <si>
    <t>National Guard / Reserve</t>
  </si>
  <si>
    <t>Guaranteed/Insured Loans</t>
  </si>
  <si>
    <t>Army National Guard</t>
  </si>
  <si>
    <t>Insurance</t>
  </si>
  <si>
    <t>Army Reserve</t>
  </si>
  <si>
    <t>Source: U.S. Census Bureau, Consolidated Federal Funds Report for Fiscal Years 2002 to 2010</t>
  </si>
  <si>
    <t>Navy Reserve</t>
  </si>
  <si>
    <t>Table 8-09   .  Federal Expenditures, Guam: Fiscal Years 2003 to 2010</t>
  </si>
  <si>
    <t>Note: Sums of details may not add due to rounding.</t>
  </si>
  <si>
    <t>Marine Corps Reserve</t>
  </si>
  <si>
    <t>Due to the termination of the Federal Financial Statistics program, data from the Consolidated Federal Funds Report is no</t>
  </si>
  <si>
    <t>Air National Guard</t>
  </si>
  <si>
    <t>Expenditures (Millions)</t>
  </si>
  <si>
    <t>Air Force Reserve</t>
  </si>
  <si>
    <t>Resident Population of Guam</t>
  </si>
  <si>
    <t>Source:  COMNAVMAR, as of September 30 unless otherwise noted.</t>
  </si>
  <si>
    <t>Mongmong Toto/Maite</t>
  </si>
  <si>
    <t xml:space="preserve">        Total</t>
  </si>
  <si>
    <t>Coast Guard Reserve</t>
  </si>
  <si>
    <t>Percent military and dependents</t>
  </si>
  <si>
    <t>Note:  Assumes "Number of Military Personnel with Family Members" represents one family.</t>
  </si>
  <si>
    <t>Department of Defense</t>
  </si>
  <si>
    <t>APF DOD Civilian</t>
  </si>
  <si>
    <t>Source: COMNAVMAR (as reported by Guam Department of Commerce and other sources)</t>
  </si>
  <si>
    <t>Data excludes Defense Logistics Agency (DLA).</t>
  </si>
  <si>
    <t>All other Federal Agencies</t>
  </si>
  <si>
    <t>Note:  Data for 2009 to 2017 from COMNAVMAR, as of September 30.  Data for 2017 is as of July (active duty</t>
  </si>
  <si>
    <t xml:space="preserve">          only, excludes reserves).  Data excludes Defense Logistics Agency (DLA).  Data not available for 2018.</t>
  </si>
  <si>
    <t xml:space="preserve">          Military dependent data not available for 2019 and 2020.</t>
  </si>
  <si>
    <t>Resident Population of Guam estimates (except 2010 and 2020 Census of Population and Housing) by the</t>
  </si>
  <si>
    <t>4th Estate (DOD)</t>
  </si>
  <si>
    <t>International Programs Center, U.S. Census Bureau; Office of Planning and Evaluation, Guam Department of</t>
  </si>
  <si>
    <t>Source:  Defense Manpower Data Center</t>
  </si>
  <si>
    <t>Public Health and Social Services</t>
  </si>
  <si>
    <t>Note:  APF = DoD Appropriated Fund.  The table includes personnel who are assigned</t>
  </si>
  <si>
    <t>Source: U.S. Bureau of the Census</t>
  </si>
  <si>
    <t>Source: U.S. Bureau of the Census 2000 PHC-4-Guam "Social, Economic and Housing Charateristics; Guam".</t>
  </si>
  <si>
    <t>Table 8-10   .   Per Capita Federal Expenditures, Guam:  Fiscal Years 2003 to 2010</t>
  </si>
  <si>
    <t>to the State Department and Embassies overseas.  The table does not include all personnel</t>
  </si>
  <si>
    <t>Note: "Other Dependents" are dependents of retired members of the Armed Forces of the United States, or</t>
  </si>
  <si>
    <t>Note: "Other Dependents" aare dependents of retired members of the Armed Forces of the United States, or</t>
  </si>
  <si>
    <t>[Dollars]</t>
  </si>
  <si>
    <t>on temporary duty, or deployed in support of contingency operations.</t>
  </si>
  <si>
    <t>of active-duty or retired memebrs of the full-time National Guard or Armed Forced Reserve.  "Other Civilians"</t>
  </si>
  <si>
    <t>Expenditures (Dollars)</t>
  </si>
  <si>
    <t>* - Space Force count included in the Air Force total.</t>
  </si>
  <si>
    <t>Table 8-04  .    Military Active Duty and Family Members, Guam: 2008 to 2013</t>
  </si>
  <si>
    <t xml:space="preserve">are those who are not active-duty membets of the Armed Forces, National Guard, or Reserve.  "Active Duty" </t>
  </si>
  <si>
    <t>does not include active-duty in the military reserves or National Guard for the 4-6 months of initial</t>
  </si>
  <si>
    <t xml:space="preserve">training or yearly summer camp. </t>
  </si>
  <si>
    <t xml:space="preserve">Table  8-11  .    Historical Summary of Grants and Other Payments by the Department of Interior, Office of Insular Affairs to State </t>
  </si>
  <si>
    <t xml:space="preserve">                       and Local Governments:  FY2005 to FY2010</t>
  </si>
  <si>
    <t>U.S. Virgin Islands</t>
  </si>
  <si>
    <t>Note:  Data for 2008 to 2013 from COMNAVMAR, as of September 30.  Data excludes Defense Logistics</t>
  </si>
  <si>
    <t>Source: U.S. Census Bureau, Federal Aid to the States - FY2005 to FY2010</t>
  </si>
  <si>
    <t xml:space="preserve">          Agency (DLA)</t>
  </si>
  <si>
    <t>Note:  Due to the termination of the Federal Financial Statistics program, data from the Federal Aid to States is no longer available.</t>
  </si>
  <si>
    <t>Resident Population of Guam estimates by the International Programs Center, U.S. Census Bureau;</t>
  </si>
  <si>
    <t>2010 is the last available data.</t>
  </si>
  <si>
    <t>Office of Planning and Evaluation, Guam Department of Public Health and Social Services</t>
  </si>
  <si>
    <t xml:space="preserve">Table  8-12  .    Historical Summary of Grants and Other Payments by the Department of Interior, Office of Insular Affairs to State </t>
  </si>
  <si>
    <t xml:space="preserve">                       of Insular Affairs to State and Local Governments:  FY2000 to FY2004</t>
  </si>
  <si>
    <t>Source: U.S. Census Bureau, Federal Aid to the States - FY2000 to FY2004</t>
  </si>
  <si>
    <t>n/a   Not available</t>
  </si>
  <si>
    <t>Table 8-13  .  Department of  Defense Contracts for Work Performed in Guam by Federal Agency, Guam:  2016 to 2021</t>
  </si>
  <si>
    <t>Federal Agency</t>
  </si>
  <si>
    <t>Navy</t>
  </si>
  <si>
    <t>DoDEA</t>
  </si>
  <si>
    <t>Defense Logistics Agency</t>
  </si>
  <si>
    <t>Defense Commissary Agency</t>
  </si>
  <si>
    <t>Army</t>
  </si>
  <si>
    <t>Air Force</t>
  </si>
  <si>
    <t>Coast Guard *</t>
  </si>
  <si>
    <t>Source:  USAspending.gov website</t>
  </si>
  <si>
    <t>NOTE:  "Other" includes U.S. Transportation Command, Special Operations Command, Defense Information Systems Agency,</t>
  </si>
  <si>
    <t>Defense Threat Reduction Agency, Federal Acquisition Service, and Public Buildings Service</t>
  </si>
  <si>
    <t>NOTE:  Only transactions with a positive dollar amount were aggregated and analyzed</t>
  </si>
  <si>
    <t>NOTE:  Those transactions with zero or negative numbers (de-obligated) in the "Amount Obligated" were not considered in the table</t>
  </si>
  <si>
    <t>NOTE:  Totals may not sum due to rounding</t>
  </si>
  <si>
    <t>*  Department of Homeland Security (Awarding Agency) FY2016 to FY2021</t>
  </si>
  <si>
    <t>Table 8-14  .  Department of Defense Contracts for Work Performed in Guam by Federal Agency, Guam:  2010 to 2015</t>
  </si>
  <si>
    <t>*  Department of Homeland Security (Awarding Agency) FY2010 to FY2015</t>
  </si>
  <si>
    <t>Table  9-01  .  Deposits at Financial Institutions, Guam: End of Year 2018 to 2023</t>
  </si>
  <si>
    <t>Table  9-03  .  Security Licenses Issued, Guam: Fiscal Years 2019 to 2024</t>
  </si>
  <si>
    <t>Table 9-05   .   Insurance Receipts and Disbursements, Guam: 2019 to 2024</t>
  </si>
  <si>
    <t>Table 9-07  .  Financial Statement of Insurance Companies Doing Business on Guam: 2019 to 2024</t>
  </si>
  <si>
    <t>Table  9-09  .  Insurance Licenses Issued, Guam: Fiscal Years 2019 to 2024</t>
  </si>
  <si>
    <t>Table  9-11 .  Home Offices of Insurance Companies Doing Business on Guam: Fiscal Years 2019 to 2024</t>
  </si>
  <si>
    <t>Table  9-13  .   Quarterly Deposits by Type of Deposit, Guam:  2016 to 2023</t>
  </si>
  <si>
    <t>Table  9-14  .  Quarterly Loans by Type of Loan, Guam:  2016 to 2023</t>
  </si>
  <si>
    <t>License</t>
  </si>
  <si>
    <t xml:space="preserve">Deposits </t>
  </si>
  <si>
    <t>Financial</t>
  </si>
  <si>
    <t>Quarterly</t>
  </si>
  <si>
    <t>Demand</t>
  </si>
  <si>
    <t>Time</t>
  </si>
  <si>
    <t>Savings</t>
  </si>
  <si>
    <r>
      <t>Consumer</t>
    </r>
    <r>
      <rPr>
        <vertAlign val="superscript"/>
        <sz val="10"/>
        <rFont val="Arial"/>
        <family val="2"/>
      </rPr>
      <t xml:space="preserve"> </t>
    </r>
    <r>
      <rPr>
        <vertAlign val="superscript"/>
        <sz val="11"/>
        <rFont val="Arial"/>
        <family val="2"/>
      </rPr>
      <t>2/</t>
    </r>
  </si>
  <si>
    <r>
      <t>Commercial</t>
    </r>
    <r>
      <rPr>
        <vertAlign val="superscript"/>
        <sz val="10"/>
        <rFont val="Arial"/>
        <family val="2"/>
      </rPr>
      <t xml:space="preserve"> </t>
    </r>
    <r>
      <rPr>
        <vertAlign val="superscript"/>
        <sz val="11"/>
        <rFont val="Arial"/>
        <family val="2"/>
      </rPr>
      <t>3/</t>
    </r>
  </si>
  <si>
    <t>Broker-Dealer</t>
  </si>
  <si>
    <t>Premiums Written</t>
  </si>
  <si>
    <t>Companies</t>
  </si>
  <si>
    <t>General agents</t>
  </si>
  <si>
    <t>U.S. Firms</t>
  </si>
  <si>
    <t>Institution</t>
  </si>
  <si>
    <t>Period</t>
  </si>
  <si>
    <t>Deposits</t>
  </si>
  <si>
    <r>
      <t>Deposits</t>
    </r>
    <r>
      <rPr>
        <sz val="11"/>
        <rFont val="Arial"/>
        <family val="2"/>
      </rPr>
      <t xml:space="preserve"> </t>
    </r>
    <r>
      <rPr>
        <vertAlign val="superscript"/>
        <sz val="11"/>
        <rFont val="Arial"/>
        <family val="2"/>
      </rPr>
      <t>2/</t>
    </r>
  </si>
  <si>
    <t>Loans</t>
  </si>
  <si>
    <t>% Sold</t>
  </si>
  <si>
    <t>Time &amp; Savings</t>
  </si>
  <si>
    <t>Agent</t>
  </si>
  <si>
    <t>Premiums Earned</t>
  </si>
  <si>
    <t>Assets</t>
  </si>
  <si>
    <t>Sub-agents</t>
  </si>
  <si>
    <t>Foreign Firms</t>
  </si>
  <si>
    <t>All</t>
  </si>
  <si>
    <t>Demand Deposits</t>
  </si>
  <si>
    <t>Investment Advisor</t>
  </si>
  <si>
    <t>Direct losses paid</t>
  </si>
  <si>
    <t>Liabilities</t>
  </si>
  <si>
    <t>Solicitors</t>
  </si>
  <si>
    <t>Guam Firms</t>
  </si>
  <si>
    <r>
      <t>Insitutions</t>
    </r>
    <r>
      <rPr>
        <vertAlign val="superscript"/>
        <sz val="10"/>
        <rFont val="Arial"/>
        <family val="2"/>
      </rPr>
      <t xml:space="preserve"> </t>
    </r>
    <r>
      <rPr>
        <vertAlign val="superscript"/>
        <sz val="11"/>
        <rFont val="Arial"/>
        <family val="2"/>
      </rPr>
      <t>1/</t>
    </r>
  </si>
  <si>
    <t>Source: Guam Bankers Association</t>
  </si>
  <si>
    <t>Direct losses incurred</t>
  </si>
  <si>
    <t>Capital</t>
  </si>
  <si>
    <t>Surplus brokers</t>
  </si>
  <si>
    <t>Note:  Time &amp; Savings Includes Time Certificates of Deposits (TCDs) held by off-island investors.</t>
  </si>
  <si>
    <t>Surplus</t>
  </si>
  <si>
    <t>Brokers</t>
  </si>
  <si>
    <t>Deposits reported as of December 31st.</t>
  </si>
  <si>
    <t>Certificate of authority</t>
  </si>
  <si>
    <t>The insurance statements filed with the Guam Insurance Commissioner are those of the parent companies.</t>
  </si>
  <si>
    <t>Adjusters</t>
  </si>
  <si>
    <t>Table  9-12 .  Home Offices of Insurance Companies Doing Business on Guam: Fiscal Years 2013 to 2018</t>
  </si>
  <si>
    <t>Table  9-02  .  Deposits at Financial Institutions, Guam: End of Year 2012 to 2017</t>
  </si>
  <si>
    <t>Table  9-04  .  Security Licenses Issued, Guam: Fiscal Years 2013 to 2018</t>
  </si>
  <si>
    <t>Symbol "…" indicates not available</t>
  </si>
  <si>
    <t>Table 9-06   .   Insurance Receipts and Disbursements, Guam: 2013 to 2018</t>
  </si>
  <si>
    <t>Table 9-08  .  Financial Statement of Insurance Companies Doing Business on Guam: 2013 to 2018</t>
  </si>
  <si>
    <t>Table  9-10  .  Insurance Licenses Issued, Guam: Fiscal Years 2013 to 2018</t>
  </si>
  <si>
    <t xml:space="preserve">Source: Economic Research Center, Department of Labor, Government of Guam and </t>
  </si>
  <si>
    <t>Guam Bankers Association</t>
  </si>
  <si>
    <t>Source:  Guam Bankers Association</t>
  </si>
  <si>
    <t>Aggregated data are provided by the following banks:  Allied Banking Corp., Bank of Guam, Bank of Hawaii, BankPacific, Citibank, First</t>
  </si>
  <si>
    <t>1/ Excludes Credit Union Banking Institutions.</t>
  </si>
  <si>
    <t>Commercial Bank, First Hawaiian Bank, Citizens Security Bank, Metro Bank and Trust Co., and Oceanic Bank.</t>
  </si>
  <si>
    <t>2/  Consumer Loans include Credit cards, personal loans, automobile loans etc.</t>
  </si>
  <si>
    <t xml:space="preserve">3/  Commercial Loans include both commercial real estate loans, e., commerical mortgages, other business loans and loans to the government, which </t>
  </si>
  <si>
    <t>2/ The Guam Bankers Association began reporting Time Deposits and Savings Deposits separately starting June 2012.</t>
  </si>
  <si>
    <t xml:space="preserve">     are not accounted for elsewhere.  Commercial loans aalso include loans sold to third parties (in whole or in part).</t>
  </si>
  <si>
    <t>Commercial mortgage lonas are for dwellings with four or more housing units, e.g., quad-plexes or larger.</t>
  </si>
  <si>
    <t>4/  Real Estate Loans includes both loans retained on the institution's books and loans that are sold to third parties.</t>
  </si>
  <si>
    <t xml:space="preserve">Note:  "Other" loans, which are primarily the temporary loans provided to good customers when they accidently and infrequently overdraw their depository </t>
  </si>
  <si>
    <t xml:space="preserve">accounts, and are not reported to the Bankers Association; that data would be available in reports provided to the FDIC (for the seven insured banks) and </t>
  </si>
  <si>
    <t>to the Guam Banking Commission at the Department of Revenue and Taxation.</t>
  </si>
  <si>
    <t>Includes mortgage loans sold to the Federal Home Loan Mortgage Corporation "Freddie Mac" or the Federal National Mortgage Association "Fannie Mae",</t>
  </si>
  <si>
    <t xml:space="preserve">as well as commerical loans that have been sold, in whole or in part to other banks, but are still serviced by Guam banks.  </t>
  </si>
  <si>
    <t xml:space="preserve">Aggregated data are provided by the following banks: Allied Banking Corp., ANZ Bank, Bank of Guam, Bank of Hawaii, BankPacific, CitiBank, First </t>
  </si>
  <si>
    <t>Commercial Bank, First Hawaiian Bank, Citizens Security Bank, Metro Bank &amp; Trust Co., and Oceanic Bank.</t>
  </si>
  <si>
    <t>Table 10-03  .   Government of Guam General Fund Balance Sheet by Years, Guam:  September 30, 2018 to September 30, 2023 [Audited]</t>
  </si>
  <si>
    <t>Table 10-04  .  Government of Guam Funds Balance Sheet, Guam [Thousands of Dollars]:  September 30, 2023 (Audited)</t>
  </si>
  <si>
    <t>Table 10-05  .  Government of Guam Funds Balance Sheet, Guam [Thousands of Dollars]:  September 30, 2022 (Audited)</t>
  </si>
  <si>
    <t>Table 10-06  .  Government of Guam Funds Balance Sheet, Guam:  September 30, 2021 (Audited)</t>
  </si>
  <si>
    <t>Table  10-07  .  Government of Guam Combined Statement of Revenues, Expenditures and Changes in Fund</t>
  </si>
  <si>
    <t>Table  10-08  .  Government of Guam Combined Statement of Revenues, Expenditures and Changes in Fund</t>
  </si>
  <si>
    <t>Table  10-09  .  Government of Guam Combined Statement of Revenues, Expenditures and Changes in Fund</t>
  </si>
  <si>
    <t>Table 10-10  .  Government of Guam Finances by Agency,Guam:  2013 to 2023 [Audited]</t>
  </si>
  <si>
    <t>Table 10-11  .  Government of Guam Revenues and Expenditures, Guam:  FY 2013 to FY 2023</t>
  </si>
  <si>
    <t>Table  10-12  .  Government Activities Tax Revenue by Source, Guam:  2018 to 2023</t>
  </si>
  <si>
    <t>Table  10-13  .  Government Activities Tax Revenue by Source, Guam:  2012  to 2017</t>
  </si>
  <si>
    <t>Table  10-14  .  Government of Guam's Capital Assets, Guam: Fiscal Year 2017 to Fiscal Year 2023</t>
  </si>
  <si>
    <t>Table  10-15  .  Government of Guam's Outstanding Debt, Guam: Fiscal Year 2017 to Fiscal Year 2023</t>
  </si>
  <si>
    <t>2022 1/</t>
  </si>
  <si>
    <t>Special Revenue</t>
  </si>
  <si>
    <t>Permanent</t>
  </si>
  <si>
    <t xml:space="preserve">  Balances, Guam [Thousands of Dollars]:  September 30, 2023 (Audited)</t>
  </si>
  <si>
    <t xml:space="preserve">  Balances, Guam [Thousands of Dollars]:  September 30, 2022 (Audited)</t>
  </si>
  <si>
    <t xml:space="preserve">  Balances, Guam:  September 30, 2021 (Audited)</t>
  </si>
  <si>
    <t>Government Agencies</t>
  </si>
  <si>
    <t>Table 10-01    .   General Fund -- History and Forecast, Guam: 2018 to 2023</t>
  </si>
  <si>
    <t>ASSETS</t>
  </si>
  <si>
    <t>Federal</t>
  </si>
  <si>
    <t>GDOE</t>
  </si>
  <si>
    <t>CARES Act</t>
  </si>
  <si>
    <t>Guam International Airport Authority</t>
  </si>
  <si>
    <t>Revenues, total</t>
  </si>
  <si>
    <t>$Mil.</t>
  </si>
  <si>
    <t>[Millions]</t>
  </si>
  <si>
    <t>ARPA</t>
  </si>
  <si>
    <t>Governmental</t>
  </si>
  <si>
    <t>Unemployment</t>
  </si>
  <si>
    <t xml:space="preserve">   Revenues</t>
  </si>
  <si>
    <t xml:space="preserve">    Taxes</t>
  </si>
  <si>
    <t>Total Tax Revenue</t>
  </si>
  <si>
    <t>General Fund</t>
  </si>
  <si>
    <t>Cash and Equivalents</t>
  </si>
  <si>
    <t>General</t>
  </si>
  <si>
    <t>Assistance</t>
  </si>
  <si>
    <t>Funds</t>
  </si>
  <si>
    <t>COVID-19</t>
  </si>
  <si>
    <t xml:space="preserve">   Capital &amp; Liabilities</t>
  </si>
  <si>
    <t xml:space="preserve">        Income taxes</t>
  </si>
  <si>
    <t>Accumulated Depreciation</t>
  </si>
  <si>
    <t>General Obligation bonds:</t>
  </si>
  <si>
    <t>Revenues (&amp; Sources)</t>
  </si>
  <si>
    <t>Time certificates of deposit</t>
  </si>
  <si>
    <t>Lands</t>
  </si>
  <si>
    <t>Port Authority of Guam</t>
  </si>
  <si>
    <t xml:space="preserve">        Gross receipts</t>
  </si>
  <si>
    <t>Gross Receipts</t>
  </si>
  <si>
    <t>2009 Series A</t>
  </si>
  <si>
    <t>Expenditures (&amp; Uses)</t>
  </si>
  <si>
    <t>Investments</t>
  </si>
  <si>
    <t>Revenues</t>
  </si>
  <si>
    <t xml:space="preserve">        Other</t>
  </si>
  <si>
    <t>Section 30 Federal income tax</t>
  </si>
  <si>
    <t>Leased Assets</t>
  </si>
  <si>
    <t>2019 Series A</t>
  </si>
  <si>
    <t>Net Change in Fund Balance (Deficit)</t>
  </si>
  <si>
    <t>Receivables, net:</t>
  </si>
  <si>
    <t xml:space="preserve">   Cash &amp; Equivalents</t>
  </si>
  <si>
    <t xml:space="preserve">   Taxes</t>
  </si>
  <si>
    <t xml:space="preserve">     Licenses, fees &amp; permits</t>
  </si>
  <si>
    <t>Property</t>
  </si>
  <si>
    <t>Limited Obligation Bonds (revenue backed):</t>
  </si>
  <si>
    <t>Fund Balance</t>
  </si>
  <si>
    <t xml:space="preserve">   Investments</t>
  </si>
  <si>
    <t>Intergovernmental</t>
  </si>
  <si>
    <t>Guam Power Authority</t>
  </si>
  <si>
    <t xml:space="preserve">     Use of money and property</t>
  </si>
  <si>
    <t>Hotel Occupancy</t>
  </si>
  <si>
    <t>Non-drepreciable</t>
  </si>
  <si>
    <t>2009 Series A Section 30</t>
  </si>
  <si>
    <t>Source: Department of Administration, Government of Guam</t>
  </si>
  <si>
    <t xml:space="preserve">   Federal Agencies</t>
  </si>
  <si>
    <t>Land and other real estate</t>
  </si>
  <si>
    <t xml:space="preserve">   Licenses and Permits</t>
  </si>
  <si>
    <t xml:space="preserve">   Revenues </t>
  </si>
  <si>
    <t xml:space="preserve">     Federal contributions</t>
  </si>
  <si>
    <t>Liquid Fuel</t>
  </si>
  <si>
    <t>2011 Series A Hotel Occupancy Tax</t>
  </si>
  <si>
    <t xml:space="preserve">   Other</t>
  </si>
  <si>
    <t xml:space="preserve">   Receivables, net:</t>
  </si>
  <si>
    <t>Charges for services</t>
  </si>
  <si>
    <t xml:space="preserve">   Customers</t>
  </si>
  <si>
    <t>No.</t>
  </si>
  <si>
    <t xml:space="preserve">     Section 30</t>
  </si>
  <si>
    <t>Tobacco</t>
  </si>
  <si>
    <t>Construction in progress</t>
  </si>
  <si>
    <t>2011 Series A Business Privilege Tax</t>
  </si>
  <si>
    <t>Due from component units</t>
  </si>
  <si>
    <t xml:space="preserve">       Taxes</t>
  </si>
  <si>
    <t>Fines and forfeits</t>
  </si>
  <si>
    <t xml:space="preserve">   KWH Consumption</t>
  </si>
  <si>
    <t>Mil.</t>
  </si>
  <si>
    <t xml:space="preserve">     Other revenues</t>
  </si>
  <si>
    <t>Beverages</t>
  </si>
  <si>
    <t>2012 Series B Business Privilege Tax</t>
  </si>
  <si>
    <t>Due from other funds</t>
  </si>
  <si>
    <t xml:space="preserve">       Federal agencies</t>
  </si>
  <si>
    <t>Interest and investment earnings</t>
  </si>
  <si>
    <t xml:space="preserve">   Island Power System</t>
  </si>
  <si>
    <t>MMWHs</t>
  </si>
  <si>
    <t>Expenditures, total</t>
  </si>
  <si>
    <t>Excise</t>
  </si>
  <si>
    <t>Depreciable</t>
  </si>
  <si>
    <t>2013 Series C Business Privilege Tax</t>
  </si>
  <si>
    <t>Due from private purpose trust funds</t>
  </si>
  <si>
    <t xml:space="preserve">       Leases</t>
  </si>
  <si>
    <t xml:space="preserve">       Other</t>
  </si>
  <si>
    <t>Contributions from component units</t>
  </si>
  <si>
    <t xml:space="preserve">     General government</t>
  </si>
  <si>
    <t>Lmited Gaming</t>
  </si>
  <si>
    <t>2015 Series D Business Privilege Tax</t>
  </si>
  <si>
    <t>Table 10-02    .   General Fund -- History and Forecast, Guam: 2012 to 2017</t>
  </si>
  <si>
    <t>Inventories</t>
  </si>
  <si>
    <t>Guam Waterworks Authority</t>
  </si>
  <si>
    <t xml:space="preserve">     Protection of life &amp; property</t>
  </si>
  <si>
    <t>Buildings</t>
  </si>
  <si>
    <t>2016 Series A Section 30</t>
  </si>
  <si>
    <t>Prepayments</t>
  </si>
  <si>
    <t xml:space="preserve">   Due from other funds</t>
  </si>
  <si>
    <t xml:space="preserve">   Water Revenues </t>
  </si>
  <si>
    <t xml:space="preserve">     Public health</t>
  </si>
  <si>
    <t>Source:  Department of Administration, Government of Guam</t>
  </si>
  <si>
    <t>Landfill</t>
  </si>
  <si>
    <t>2021 Series A Hotel Occupancy Tax</t>
  </si>
  <si>
    <t>Deposits and other assets</t>
  </si>
  <si>
    <t xml:space="preserve">   Due from private purpose trust funds</t>
  </si>
  <si>
    <t>Total Revenues</t>
  </si>
  <si>
    <t xml:space="preserve">       Customers</t>
  </si>
  <si>
    <t xml:space="preserve">     Community services</t>
  </si>
  <si>
    <t>Machinery and Equipment</t>
  </si>
  <si>
    <t>2021 Series E Business Privilege Tax</t>
  </si>
  <si>
    <t>Restricted assets:</t>
  </si>
  <si>
    <t xml:space="preserve">   Inventories</t>
  </si>
  <si>
    <t xml:space="preserve">       Consumption </t>
  </si>
  <si>
    <t>MGD</t>
  </si>
  <si>
    <t xml:space="preserve">     Recreation</t>
  </si>
  <si>
    <t>Source:  Office of the Public Auditor, Government of Guam.</t>
  </si>
  <si>
    <t>2021 Series F Business Privilege Tax</t>
  </si>
  <si>
    <t xml:space="preserve">    Cash and cash equivalents</t>
  </si>
  <si>
    <t xml:space="preserve">   Prepayments</t>
  </si>
  <si>
    <t xml:space="preserve">   General Government</t>
  </si>
  <si>
    <t xml:space="preserve">   Sewage Revenues</t>
  </si>
  <si>
    <t xml:space="preserve">     Individual &amp; collective rights</t>
  </si>
  <si>
    <t>Loans Payable:</t>
  </si>
  <si>
    <t xml:space="preserve">    Time certificates of deposit</t>
  </si>
  <si>
    <t xml:space="preserve">   Deposits &amp; Other Assets</t>
  </si>
  <si>
    <t xml:space="preserve">   Protection of Life &amp; Property</t>
  </si>
  <si>
    <t xml:space="preserve">      Customers</t>
  </si>
  <si>
    <t xml:space="preserve">     Transportation</t>
  </si>
  <si>
    <t>Guam Congress Building Loan</t>
  </si>
  <si>
    <t xml:space="preserve">    Investments</t>
  </si>
  <si>
    <t xml:space="preserve">   Restricted assets:</t>
  </si>
  <si>
    <t xml:space="preserve">   Public Health</t>
  </si>
  <si>
    <t xml:space="preserve">      Discharges</t>
  </si>
  <si>
    <t xml:space="preserve">     Education</t>
  </si>
  <si>
    <t>Judicial Building Loan</t>
  </si>
  <si>
    <t xml:space="preserve">       Cash &amp; cash equivalents</t>
  </si>
  <si>
    <t xml:space="preserve">   Community Services</t>
  </si>
  <si>
    <t xml:space="preserve">     Environmental Protection</t>
  </si>
  <si>
    <t>School Financed Purchase Obligations</t>
  </si>
  <si>
    <t>TOTAL ASSETS</t>
  </si>
  <si>
    <t xml:space="preserve">       Investments</t>
  </si>
  <si>
    <t xml:space="preserve">   Recreation</t>
  </si>
  <si>
    <t>Guam Memorial Hospital</t>
  </si>
  <si>
    <t xml:space="preserve">     Economic Development</t>
  </si>
  <si>
    <t xml:space="preserve">   Individual &amp; Collective Rights</t>
  </si>
  <si>
    <t xml:space="preserve">     Transfer to Persons</t>
  </si>
  <si>
    <t>LIABILITIES</t>
  </si>
  <si>
    <t>Public Welfare</t>
  </si>
  <si>
    <t>Capital &amp; Liabilities</t>
  </si>
  <si>
    <t xml:space="preserve">     Capital Projects</t>
  </si>
  <si>
    <t xml:space="preserve">   Transportation</t>
  </si>
  <si>
    <t>Sources:  Guam Airport Authority, Port Authority of Guam, Guam Power Authority, Guam Waterworks Authority, Guam Memorial Hospital, Ernst &amp; Young,</t>
  </si>
  <si>
    <t xml:space="preserve">     Interest</t>
  </si>
  <si>
    <t xml:space="preserve">   Accounts Payable</t>
  </si>
  <si>
    <t xml:space="preserve">   Public Education</t>
  </si>
  <si>
    <t xml:space="preserve">               Deloitte &amp; Touche LLP.</t>
  </si>
  <si>
    <t xml:space="preserve">     Principal retirement</t>
  </si>
  <si>
    <t xml:space="preserve">   Accrued Payroll and Other</t>
  </si>
  <si>
    <t xml:space="preserve">   Accounts payable</t>
  </si>
  <si>
    <t xml:space="preserve">   Environmental Protection</t>
  </si>
  <si>
    <t>MMWHs = Million Megawatt Hours</t>
  </si>
  <si>
    <t xml:space="preserve">     Debt service</t>
  </si>
  <si>
    <t xml:space="preserve">   Due to component units</t>
  </si>
  <si>
    <t xml:space="preserve">   Accrued payroll and other</t>
  </si>
  <si>
    <t xml:space="preserve">   Economic Development</t>
  </si>
  <si>
    <t>MGD = Millions of gallons a day</t>
  </si>
  <si>
    <t xml:space="preserve">     Other expenditures</t>
  </si>
  <si>
    <t xml:space="preserve">   Due to other funds</t>
  </si>
  <si>
    <t>Due to component units</t>
  </si>
  <si>
    <t>Payments to GovGuam Retirement Fund</t>
  </si>
  <si>
    <t>Source:  Deloitte &amp; Touche LLP</t>
  </si>
  <si>
    <t>Payable to federal agencies</t>
  </si>
  <si>
    <t>Payments to Guam Community College</t>
  </si>
  <si>
    <t>Note:  General Fund only.  Sums may not add due to rounding.</t>
  </si>
  <si>
    <t>Unearned revenues</t>
  </si>
  <si>
    <t xml:space="preserve">   Payable to federal agencies</t>
  </si>
  <si>
    <t>Payments to Guam Economic Development Authority</t>
  </si>
  <si>
    <t>Payments to Guam Housing Corporation</t>
  </si>
  <si>
    <t xml:space="preserve">   Provision for tax refunds</t>
  </si>
  <si>
    <t>Payments to Guam Memorial Hospital</t>
  </si>
  <si>
    <t xml:space="preserve">   Provision for economic stimulus payments</t>
  </si>
  <si>
    <t>Payments to Guam International Airport Authority</t>
  </si>
  <si>
    <t>Payments to Guam Housing and Urban Renewal Authority</t>
  </si>
  <si>
    <t>Payments to Guam Power Authority</t>
  </si>
  <si>
    <t>COLA liabiity</t>
  </si>
  <si>
    <t>Provision for economic stimulus payments</t>
  </si>
  <si>
    <t>Payments to Guam Waterworks Authority</t>
  </si>
  <si>
    <t xml:space="preserve">   Deposits and other Liabilities</t>
  </si>
  <si>
    <t>COLA liability</t>
  </si>
  <si>
    <t>Payments to Guam Preservation Trust</t>
  </si>
  <si>
    <t xml:space="preserve">   Deposits and other liabilities</t>
  </si>
  <si>
    <t>Payments to Guam Visitors Bureau</t>
  </si>
  <si>
    <t>TOTAL LIABILITIES</t>
  </si>
  <si>
    <t>Payments to Port Authority of Guam</t>
  </si>
  <si>
    <t>Payments to University of Guam</t>
  </si>
  <si>
    <t>FUND BALANCE (Deficit)</t>
  </si>
  <si>
    <t>Deferred inflows of resources:</t>
  </si>
  <si>
    <t xml:space="preserve">   Miscellaneous appropriations</t>
  </si>
  <si>
    <t>Deferred revenues</t>
  </si>
  <si>
    <t xml:space="preserve">   Capital Projects</t>
  </si>
  <si>
    <t>Non-spendable</t>
  </si>
  <si>
    <t>Leases</t>
  </si>
  <si>
    <t>Total liabilities and deferred inflows</t>
  </si>
  <si>
    <t>Debt service</t>
  </si>
  <si>
    <t>Restricted</t>
  </si>
  <si>
    <t>of resources</t>
  </si>
  <si>
    <t>Principal retirement</t>
  </si>
  <si>
    <t>Committed</t>
  </si>
  <si>
    <t>Total deferred inflows of resources</t>
  </si>
  <si>
    <t xml:space="preserve">   Bond issuance costs</t>
  </si>
  <si>
    <t>Interest and fiscal charges</t>
  </si>
  <si>
    <t>Unassigned</t>
  </si>
  <si>
    <t>Total Expenditures</t>
  </si>
  <si>
    <t>TOTAL FUND BALANCE (Deficit)</t>
  </si>
  <si>
    <t xml:space="preserve">   Excess (deficiency) of revenues over (under) expenditures</t>
  </si>
  <si>
    <t>Other financing sources (uses):</t>
  </si>
  <si>
    <t>TOTAL LIABILITIES &amp; FUND BALANCE</t>
  </si>
  <si>
    <t>Proceeds from refunded bonds issued</t>
  </si>
  <si>
    <t>Premium from refunded bonds issued</t>
  </si>
  <si>
    <t>1/ FY 2022 in Thousands of Dollars</t>
  </si>
  <si>
    <t>Special revenue funds</t>
  </si>
  <si>
    <t>Loan Proceeds</t>
  </si>
  <si>
    <t>Payment to refunding bond escrow agent</t>
  </si>
  <si>
    <t>Transfers in from other funds</t>
  </si>
  <si>
    <t>Transfers out to other funds</t>
  </si>
  <si>
    <t>TOTAL LIABILITIES AND FUND BALANCES</t>
  </si>
  <si>
    <t>Total other financing sources (uses), net</t>
  </si>
  <si>
    <t>Net change in fund balances (deficit)</t>
  </si>
  <si>
    <t>Notes:  GDOE is "Guam Department of Education"</t>
  </si>
  <si>
    <t>Fund balances (deficit) at beginning of year</t>
  </si>
  <si>
    <t>Numbers in parentheses (  ) denote negative.</t>
  </si>
  <si>
    <t>Fund balances (deficit) at end of year</t>
  </si>
  <si>
    <t>Notes:  Numbers in parentheses (  ) denote negative.</t>
  </si>
  <si>
    <t xml:space="preserve">Table 11-01  .  Government of Guam Active Employees by Agency and by Type of Retirement Plan, Guam: September 30, 2023 to </t>
  </si>
  <si>
    <t>Table 11-02  .  Government of Guam Active Employees by Agency and by Type of Retirement Plan, Guam: September 30, 2021 to</t>
  </si>
  <si>
    <t>Table  11-03  .  Government of Guam Active Employees (DB Plan), Guam:  2021 to 2024</t>
  </si>
  <si>
    <t>Table  11-06  .  Government of Guam Retired Employees and Survivors (Old DB Plan), Guam:  2018 to 2024</t>
  </si>
  <si>
    <t>Table  11-08  .  Years of Service for Government of Guam Active Employees (Old DB Plan), Guam:  2024</t>
  </si>
  <si>
    <t>GovGuam Employees</t>
  </si>
  <si>
    <t>2024 DB 1.75</t>
  </si>
  <si>
    <t>2024 Old DB</t>
  </si>
  <si>
    <t>2023 DB 1.75</t>
  </si>
  <si>
    <t>2023 Old DB</t>
  </si>
  <si>
    <t>2022 DB 1.75</t>
  </si>
  <si>
    <t>2022 Old DB</t>
  </si>
  <si>
    <t>2021 DB 1.75</t>
  </si>
  <si>
    <t>2021 Old DB</t>
  </si>
  <si>
    <t>Years of Service</t>
  </si>
  <si>
    <t>Active Employees - Total</t>
  </si>
  <si>
    <t>Total Retirees and Survivors</t>
  </si>
  <si>
    <t>Persons</t>
  </si>
  <si>
    <t>0-4</t>
  </si>
  <si>
    <t>5-9</t>
  </si>
  <si>
    <t>10-14</t>
  </si>
  <si>
    <t>15-19</t>
  </si>
  <si>
    <t>40+</t>
  </si>
  <si>
    <t>9/30/24       DC</t>
  </si>
  <si>
    <t>9/30/24          DB 1.75</t>
  </si>
  <si>
    <t xml:space="preserve">9/30/24      Old DB </t>
  </si>
  <si>
    <t>09/30/23             DC</t>
  </si>
  <si>
    <t>9/30/23           DB 1.75</t>
  </si>
  <si>
    <t xml:space="preserve">9/30/23        Old DB </t>
  </si>
  <si>
    <t>09/30/22             DC</t>
  </si>
  <si>
    <t>9/30/22           DB 1.75</t>
  </si>
  <si>
    <t xml:space="preserve">9/30/22        Old DB </t>
  </si>
  <si>
    <t>09/30/21             DC</t>
  </si>
  <si>
    <t>9/30/21       DB 1.75</t>
  </si>
  <si>
    <t>9/30/21        Old Plan</t>
  </si>
  <si>
    <t>Number vested</t>
  </si>
  <si>
    <t xml:space="preserve">   Average Age 1/</t>
  </si>
  <si>
    <t xml:space="preserve">   Active Employees - Total</t>
  </si>
  <si>
    <t>Number not vested</t>
  </si>
  <si>
    <t xml:space="preserve">   Average Benefit 1/</t>
  </si>
  <si>
    <t>Under 20</t>
  </si>
  <si>
    <t>Table  11-16 .  Age of Government of Guam Active Employees by Gender</t>
  </si>
  <si>
    <t>Table  11-24  .  Annual Benefit Level for Government of Guam Retirees, Guam:  2024</t>
  </si>
  <si>
    <t>Table  11-28  .   Government of Guam Retirees and Survivors Receiving Benefits by</t>
  </si>
  <si>
    <t>Bureau of Budget &amp; Management Research</t>
  </si>
  <si>
    <t>Average Age</t>
  </si>
  <si>
    <t>20 - 24</t>
  </si>
  <si>
    <t xml:space="preserve">                          (DB 1.75), Guam:   2024</t>
  </si>
  <si>
    <t>Annual Benefit Level</t>
  </si>
  <si>
    <t>Bureau of Statistics and Plans</t>
  </si>
  <si>
    <t>Average Service</t>
  </si>
  <si>
    <t>Service Retirees</t>
  </si>
  <si>
    <t>25 - 29</t>
  </si>
  <si>
    <t>Less than</t>
  </si>
  <si>
    <t>$5 -</t>
  </si>
  <si>
    <t>$10 -</t>
  </si>
  <si>
    <t>$15 -</t>
  </si>
  <si>
    <t>$20 -</t>
  </si>
  <si>
    <t>$25 -</t>
  </si>
  <si>
    <t>$30 -</t>
  </si>
  <si>
    <t>$40 -</t>
  </si>
  <si>
    <t>$50K</t>
  </si>
  <si>
    <t>Bureau of Women's Affairs</t>
  </si>
  <si>
    <t>Average Earnings</t>
  </si>
  <si>
    <t xml:space="preserve">   Average Age</t>
  </si>
  <si>
    <t>30 - 34</t>
  </si>
  <si>
    <t xml:space="preserve"> $5K</t>
  </si>
  <si>
    <t>$10K</t>
  </si>
  <si>
    <t>$15K</t>
  </si>
  <si>
    <t>$20K</t>
  </si>
  <si>
    <t>$25K</t>
  </si>
  <si>
    <t>$30K</t>
  </si>
  <si>
    <t>$40K</t>
  </si>
  <si>
    <t>and Over</t>
  </si>
  <si>
    <t>Chief Medical Examiner</t>
  </si>
  <si>
    <t>Average Accumulated Contributions</t>
  </si>
  <si>
    <t xml:space="preserve">   Average Benefit</t>
  </si>
  <si>
    <t>35 - 39</t>
  </si>
  <si>
    <t xml:space="preserve">   Total Active Employees</t>
  </si>
  <si>
    <t>Service Retirees - Total</t>
  </si>
  <si>
    <t xml:space="preserve"> Total </t>
  </si>
  <si>
    <t>Civil Service Commission  1/</t>
  </si>
  <si>
    <t>Customs &amp; Quarantine</t>
  </si>
  <si>
    <t>40 - 44</t>
  </si>
  <si>
    <t>Under 40</t>
  </si>
  <si>
    <t>Under 25</t>
  </si>
  <si>
    <t>Department of Administration 1/</t>
  </si>
  <si>
    <t>Active Employees - Non-Uniformed - Total</t>
  </si>
  <si>
    <t>Disabled Retirees</t>
  </si>
  <si>
    <t>45 - 49</t>
  </si>
  <si>
    <t>Department of Administration  2/</t>
  </si>
  <si>
    <t>Department of Agriculture</t>
  </si>
  <si>
    <t>50 - 54</t>
  </si>
  <si>
    <t>Department of Chamorro Affairs 2/</t>
  </si>
  <si>
    <t>55 - 59</t>
  </si>
  <si>
    <t>Department of Chamorro Affairs  3/</t>
  </si>
  <si>
    <t>60 - 64</t>
  </si>
  <si>
    <t>Department of Education</t>
  </si>
  <si>
    <t>Survivors</t>
  </si>
  <si>
    <t>65 - 69</t>
  </si>
  <si>
    <t>Department of Labor 3/</t>
  </si>
  <si>
    <t>70 and over</t>
  </si>
  <si>
    <t>Department of Labor  4/</t>
  </si>
  <si>
    <t>Department of Land Management</t>
  </si>
  <si>
    <t>70 - 74</t>
  </si>
  <si>
    <t>Department of Law</t>
  </si>
  <si>
    <t xml:space="preserve">   Active Non-Uniformed - Total</t>
  </si>
  <si>
    <t>75 - 79</t>
  </si>
  <si>
    <t>Department of Military Affairs</t>
  </si>
  <si>
    <t>Active Employees - Uniformed - Total</t>
  </si>
  <si>
    <t>Child Pensioners</t>
  </si>
  <si>
    <t>80 - 84</t>
  </si>
  <si>
    <t>Department of Parks &amp; Recreation</t>
  </si>
  <si>
    <t>85 - 89</t>
  </si>
  <si>
    <t>Department of Public Health &amp; Social Services</t>
  </si>
  <si>
    <t>90 and over</t>
  </si>
  <si>
    <t>Department of Public Works</t>
  </si>
  <si>
    <t>Source:  Government of Guam Retirement Fund</t>
  </si>
  <si>
    <t xml:space="preserve">   Service Retirees - Total</t>
  </si>
  <si>
    <t>Department of Revenue &amp; Taxation</t>
  </si>
  <si>
    <t>1/ Excludes child pensioners</t>
  </si>
  <si>
    <t xml:space="preserve">  Disabled Retirees - Total</t>
  </si>
  <si>
    <t>Note:  As of September 30.</t>
  </si>
  <si>
    <t>Government of Guam Retirement Fund</t>
  </si>
  <si>
    <t>Table  11-17 .  Age of Government of Guam Active Employees by Gender</t>
  </si>
  <si>
    <t xml:space="preserve">                          (Old DB Plan), Guam:  2024</t>
  </si>
  <si>
    <t>Guam Airport Authority</t>
  </si>
  <si>
    <t>Table  11-07  .  Government of Guam Retired Employees and Survivors (DB 1.75 Plan), Guam:  2018 to 2024</t>
  </si>
  <si>
    <t>Guam Behavioral Health and Wellness Center</t>
  </si>
  <si>
    <t>Guam Community College</t>
  </si>
  <si>
    <t>Guam Economic Development Agency</t>
  </si>
  <si>
    <t>Guam Energy Office</t>
  </si>
  <si>
    <t>Table  11-04  .  Number of Persons in the Government of Guam Retirement Fund, Guam:  FY 2018 to 2024</t>
  </si>
  <si>
    <t xml:space="preserve">   Uniformed Employees - Total</t>
  </si>
  <si>
    <t>Guam Environmental Protection Agency</t>
  </si>
  <si>
    <t>Guam Fire Department</t>
  </si>
  <si>
    <t>Guam Ethics Commission  1/</t>
  </si>
  <si>
    <t>Guam Housing &amp; Urban Renewal Authority</t>
  </si>
  <si>
    <t>Active Participants</t>
  </si>
  <si>
    <t xml:space="preserve">   Disabled Retirees - Total</t>
  </si>
  <si>
    <t xml:space="preserve">Guam Housing Corporation </t>
  </si>
  <si>
    <t xml:space="preserve">   Defined Benefit (Old DB) Plan</t>
  </si>
  <si>
    <t>Guam Legislature</t>
  </si>
  <si>
    <t xml:space="preserve">   Defined Benefit 1.75 (DB 1.75) Plan</t>
  </si>
  <si>
    <t xml:space="preserve">   Defined Contribution (DC) Plan</t>
  </si>
  <si>
    <t>Guam Police Department</t>
  </si>
  <si>
    <t>Retirees &amp; Survivors</t>
  </si>
  <si>
    <t>Table  11-25  .  Annual Benefit Level for Government of Guam Retirees, Guam:  2023</t>
  </si>
  <si>
    <t>Guam Visitors Bureau</t>
  </si>
  <si>
    <r>
      <t xml:space="preserve">    Defined Benefit (Old DB) Plan </t>
    </r>
    <r>
      <rPr>
        <vertAlign val="superscript"/>
        <sz val="10"/>
        <rFont val="Arial"/>
        <family val="2"/>
      </rPr>
      <t>1/</t>
    </r>
  </si>
  <si>
    <t xml:space="preserve">    Defined Benefit 1.75 (DB 1.75) Plan</t>
  </si>
  <si>
    <t>Judiciary of Guam</t>
  </si>
  <si>
    <t xml:space="preserve">    Defined Contribution (DC) Plan</t>
  </si>
  <si>
    <t>Source:  Government of Guam Retirement Fund and Empower Retirement</t>
  </si>
  <si>
    <t xml:space="preserve">   Total - Active Non-Uniformed  </t>
  </si>
  <si>
    <t>Lieutenant Governor's Office</t>
  </si>
  <si>
    <t>1/  Excludes child pensioners</t>
  </si>
  <si>
    <t>Mayors Council</t>
  </si>
  <si>
    <t>Office of Technology</t>
  </si>
  <si>
    <t xml:space="preserve">   Surviving Spouses &amp; Child Pensioners</t>
  </si>
  <si>
    <t>Public Auditors</t>
  </si>
  <si>
    <t xml:space="preserve">Table  11-05  .  Number of Persons in the Government of Guam Retirement Fund in the Defined Contribution </t>
  </si>
  <si>
    <t>Table  11-09  .  Years of Service for Government of Guam Active Employees (DB 1.75 Plan), Guam:  2024</t>
  </si>
  <si>
    <t>Public Defender</t>
  </si>
  <si>
    <t>* Not shown since less than 20 members</t>
  </si>
  <si>
    <t>University of Guam</t>
  </si>
  <si>
    <t>DC = Defined Contribution Plan</t>
  </si>
  <si>
    <t>Participants with a balance</t>
  </si>
  <si>
    <t>DB = Defined Benefit Plan</t>
  </si>
  <si>
    <t>DISID = Department of Integrated Services for Individuals with Disabilities</t>
  </si>
  <si>
    <t>Retirees</t>
  </si>
  <si>
    <t>KGTF = Guam Educational Telecommunications Corp.</t>
  </si>
  <si>
    <t>Source:  Empower Retirement</t>
  </si>
  <si>
    <t>1/ Previously included in the Department of Administration</t>
  </si>
  <si>
    <t>Note:  Participants with a balance include terminated employees who left balances, limited term employees waiting</t>
  </si>
  <si>
    <t xml:space="preserve">2/ The Department of Administration includes Guam Election Commission </t>
  </si>
  <si>
    <t>1/  Department of Administration includes Civil Service Commission and Guam Election</t>
  </si>
  <si>
    <t xml:space="preserve">   to be rehired, or retired individuals who choose not to take a distribution.</t>
  </si>
  <si>
    <t xml:space="preserve">   Total - Active Uniformed</t>
  </si>
  <si>
    <t xml:space="preserve">3/ The Department of Chamorro Affairs member count includes Guam CAHA, Guam Public Library, and Chamorro Land Trust </t>
  </si>
  <si>
    <t>2/  The Department of Chamorro Affairs member count includes Guam CAHA and Guam Public Library, and Chamorro Land Trust</t>
  </si>
  <si>
    <t xml:space="preserve">         Active Participants are participants receiving employer contributions.  Employer contribution are an indicator</t>
  </si>
  <si>
    <t>4/ Department of Labor includes AHRD</t>
  </si>
  <si>
    <t>3/  The Department of Labor includes AHRD</t>
  </si>
  <si>
    <t xml:space="preserve">   of a participant actively working in the government.</t>
  </si>
  <si>
    <t>For FY2021 to FY2024, payees receiving benefits under the Qualified Domestic Relations Orders (QDROs) are included in surviving spouses.</t>
  </si>
  <si>
    <t>Table  11-10  .  Years of Service for Government of Guam Active Employees (Old DB Plan), Guam:  2023</t>
  </si>
  <si>
    <t>Table  11-18 .  Age of Government of Guam Active Employees by Gender</t>
  </si>
  <si>
    <t>Table  11-26  .  Annual Benefit Level for Government of Guam Retirees, Guam:  2022</t>
  </si>
  <si>
    <t>Table  11-19 .  Age of Government of Guam Active Employees by Gender</t>
  </si>
  <si>
    <t>Table  11-27  .  Annual Benefit Level for Government of Guam Retirees, Guam:  2021</t>
  </si>
  <si>
    <t>Table  11-11  .  Years of Service for Government of Guam Active Employees (DB 1.75 Plan), Guam:  2023</t>
  </si>
  <si>
    <t>Table  11-12  .  Years of Service for Government of Guam Active Employees (Old DB Plan), Guam:  2022</t>
  </si>
  <si>
    <t>Table  11-20 .  Age of Government of Guam Active Employees by Gender</t>
  </si>
  <si>
    <t>Table  11-21 .  Age of Government of Guam Active Employees by Gender</t>
  </si>
  <si>
    <t>Table  11-13  .  Years of Service for Government of Guam Active Employees (DB 1.75 Plan), Guam:  2022</t>
  </si>
  <si>
    <t>Table  11-14  .  Years of Service for Government of Guam Active Employees (Old DB Plan), Guam:  2021</t>
  </si>
  <si>
    <t>Table  11-22 .  Age of Government of Guam Active Employees by Gender</t>
  </si>
  <si>
    <t>Table  11-23 .  Age of Government of Guam Active Employees by Gender</t>
  </si>
  <si>
    <t>Table  11-15  .  Years of Service for Government of Guam Active Employees (DB 1.75 Plan), Guam:  2021</t>
  </si>
  <si>
    <t>Table 12-01    .    Number of Hospitals, Pharmacies and Clinics, Guam:  2019 to 2024</t>
  </si>
  <si>
    <t>Table 12-02  .   Guam Memorial Hospital's General Health Services, Guam:  Fiscal Years 2020 to 2024</t>
  </si>
  <si>
    <t>Table 12-03  .   Number of Inpatients by Type of Treatment at Guam Memorial Hospital, Guam:  Fiscal Years 2020 to 2024</t>
  </si>
  <si>
    <t>Table 12-04  .  Type of Payments and Insurance Used at Guam Memorial Hospital for Health Services, Guam:  Fiscal Years 2020 to 2024</t>
  </si>
  <si>
    <t>Table 12-05   .    Vital Statistics Summary, Guam: Calendar Years 2019 to 2024</t>
  </si>
  <si>
    <t>Table 12-06   .  Teen Births and Birth Rate for Persons Aged 15 to 17 years, Guam:  2020 to 2024</t>
  </si>
  <si>
    <t>Table 12-07   .   The Number of Teen Pregnancies by Age, Guam:  2020-2024</t>
  </si>
  <si>
    <t>Table 12-08   .   The Number of Teen Pregnancies by Ethnicity, Guam:  2020-2024</t>
  </si>
  <si>
    <t>Table 12-09    .  Top Ten Causes of Death, Guam:  Calendar Year 2024</t>
  </si>
  <si>
    <t>Table 12-14.1   .   Summary of Annual Notifiable Disease, Guam: Calendar Years 2020 to 2024</t>
  </si>
  <si>
    <t>Table 12-15   .   Summary of Annual Notifiable Disease by Ethnicity, Guam: Calendar Year 2017</t>
  </si>
  <si>
    <t>Table 12-16   .   Summary of Annual Notifiable Disease by Ethnicity, Guam: Calendar Year 2016</t>
  </si>
  <si>
    <t>Table 12-17   .   Summary of Annual Notifiable Disease by Ethnicity, Guam: Calendar Year 2015</t>
  </si>
  <si>
    <t>Table 12-15.1   .   Summary of Annual Notifiable Disease by Gender, Guam: Calendar Year 2023-2024</t>
  </si>
  <si>
    <t>Table 12-16   .   Heavy Drinking by Demographic Characteristic, Guam:  2015-2019</t>
  </si>
  <si>
    <t>Table 12-17   .   Ever Diagnosed with Stroke by Demographic Characteristic, Guam:  2015-2019</t>
  </si>
  <si>
    <t>Table 12-18   .   Ever Diagnosed with Heart Attack by Demographic Characteristic, Guam:  2015-2019</t>
  </si>
  <si>
    <t>Table 12-19   .   Ever Diagnosed with Diabetes by Demographic Characteristic, Guam:  2017-2019</t>
  </si>
  <si>
    <t>Table 12-21  .   Current Smokers by Demographic Characteristic, Guam:  2017-2019</t>
  </si>
  <si>
    <t>Table 12-23  .   Overweight and Obese by Demographic Characteristic, Guam:  2018-2019</t>
  </si>
  <si>
    <t>Table 12-25   .   Binge Drinking by Demographic Characteristic, Guam:  2017-2019</t>
  </si>
  <si>
    <t>Hospital Services</t>
  </si>
  <si>
    <t>Type of Treatment</t>
  </si>
  <si>
    <t>Event</t>
  </si>
  <si>
    <t>2022R</t>
  </si>
  <si>
    <t>Type of Disease</t>
  </si>
  <si>
    <t>Disease</t>
  </si>
  <si>
    <r>
      <t xml:space="preserve">Hospitals </t>
    </r>
    <r>
      <rPr>
        <vertAlign val="superscript"/>
        <sz val="10"/>
        <rFont val="Arial"/>
        <family val="2"/>
      </rPr>
      <t>1/</t>
    </r>
  </si>
  <si>
    <t>In-patients</t>
  </si>
  <si>
    <t xml:space="preserve">      Type of Payment (Total)</t>
  </si>
  <si>
    <t>Births</t>
  </si>
  <si>
    <t>Total Live Births</t>
  </si>
  <si>
    <t>Rank</t>
  </si>
  <si>
    <t>Cause of Death</t>
  </si>
  <si>
    <t>Number of deaths</t>
  </si>
  <si>
    <t>all deaths</t>
  </si>
  <si>
    <t xml:space="preserve">     Class I Diseases</t>
  </si>
  <si>
    <r>
      <t>Acinetobacter baumannii</t>
    </r>
    <r>
      <rPr>
        <sz val="10"/>
        <rFont val="Arial"/>
        <family val="2"/>
      </rPr>
      <t xml:space="preserve"> MDR</t>
    </r>
  </si>
  <si>
    <t>Demographic Characteristic</t>
  </si>
  <si>
    <t>%</t>
  </si>
  <si>
    <t>95% C.I.</t>
  </si>
  <si>
    <t>Yes</t>
  </si>
  <si>
    <t>Yes, pregnancy-related</t>
  </si>
  <si>
    <t>Overweight</t>
  </si>
  <si>
    <t>Obese</t>
  </si>
  <si>
    <t>Phamacies</t>
  </si>
  <si>
    <t>Daypatients</t>
  </si>
  <si>
    <t>Certain infectious and parasitic diseases</t>
  </si>
  <si>
    <t>Blue Shield</t>
  </si>
  <si>
    <t>Crude Birth Rate</t>
  </si>
  <si>
    <t>Total Teen Births</t>
  </si>
  <si>
    <t>&lt;13</t>
  </si>
  <si>
    <t xml:space="preserve">   Total Deaths</t>
  </si>
  <si>
    <r>
      <t>Anthrax</t>
    </r>
    <r>
      <rPr>
        <vertAlign val="superscript"/>
        <sz val="10"/>
        <rFont val="Arial"/>
        <family val="2"/>
      </rPr>
      <t>1</t>
    </r>
  </si>
  <si>
    <t>AIDS</t>
  </si>
  <si>
    <t>(6.8-11.2)</t>
  </si>
  <si>
    <t>(5.4-9.4)</t>
  </si>
  <si>
    <t>(6.0-9.6)</t>
  </si>
  <si>
    <t>(5.9-10.7)</t>
  </si>
  <si>
    <t>(5.9-10.3)</t>
  </si>
  <si>
    <t>(1.6-3.2)</t>
  </si>
  <si>
    <t>(1.8-5.0)</t>
  </si>
  <si>
    <t>(2.2-5.0)</t>
  </si>
  <si>
    <t>(1.4-3.4)</t>
  </si>
  <si>
    <t>(1.9-3.9)</t>
  </si>
  <si>
    <t>(2.4-4.0)</t>
  </si>
  <si>
    <t>(2.9-6.1)</t>
  </si>
  <si>
    <t>(3.3-6.5)</t>
  </si>
  <si>
    <t>(2.2-4.2)</t>
  </si>
  <si>
    <t xml:space="preserve"> (2.5- 5.7)</t>
  </si>
  <si>
    <t>Demographic Characteristics</t>
  </si>
  <si>
    <t>(20.3-26.5)</t>
  </si>
  <si>
    <t>(18.8-25.0)</t>
  </si>
  <si>
    <t>(23.3-29.5)</t>
  </si>
  <si>
    <t>(15.6-20.4)</t>
  </si>
  <si>
    <t>(15.0-20.8)</t>
  </si>
  <si>
    <t>(19.8-25.6)</t>
  </si>
  <si>
    <r>
      <t xml:space="preserve">Clinics </t>
    </r>
    <r>
      <rPr>
        <vertAlign val="superscript"/>
        <sz val="10"/>
        <rFont val="Arial"/>
        <family val="2"/>
      </rPr>
      <t>2/</t>
    </r>
  </si>
  <si>
    <t xml:space="preserve">Beds Available </t>
  </si>
  <si>
    <t>Malignant neoplasm (Cancer)</t>
  </si>
  <si>
    <r>
      <t xml:space="preserve">CHAMPUS </t>
    </r>
    <r>
      <rPr>
        <vertAlign val="superscript"/>
        <sz val="10"/>
        <rFont val="Arial"/>
        <family val="2"/>
      </rPr>
      <t>1/</t>
    </r>
  </si>
  <si>
    <t>Deaths</t>
  </si>
  <si>
    <t>Teen Birth Rate</t>
  </si>
  <si>
    <t>Diseases of the Heart (I00 -I09, I11, I13, I20 - I51)</t>
  </si>
  <si>
    <r>
      <t>Botulism</t>
    </r>
    <r>
      <rPr>
        <vertAlign val="superscript"/>
        <sz val="10"/>
        <rFont val="Arial"/>
        <family val="2"/>
      </rPr>
      <t>1</t>
    </r>
  </si>
  <si>
    <t>Campylobacteriosis</t>
  </si>
  <si>
    <t>(9.9-13.5)</t>
  </si>
  <si>
    <t>(0.7-1.5)</t>
  </si>
  <si>
    <t>(11.3-16.1)</t>
  </si>
  <si>
    <t>(1.0-2.6)</t>
  </si>
  <si>
    <t>(11.5-16.3)</t>
  </si>
  <si>
    <t>(0.8-2.4)</t>
  </si>
  <si>
    <t>(31.2-37.0)</t>
  </si>
  <si>
    <t>(30.3-36.9)</t>
  </si>
  <si>
    <t>(29.1-35.7)</t>
  </si>
  <si>
    <t>(26.5-33.1)</t>
  </si>
  <si>
    <t>Source:  Guam Hospitals, Pharmacies and Clinics</t>
  </si>
  <si>
    <t xml:space="preserve">                                                                                                                                                                                                                                                                                                                                                                                                                                                                                                                                                                                                                                                                                                                                                                                                                                                                                                                                                                                                                                                                                                                                                                                                                                                                                                                                                                                                                          </t>
  </si>
  <si>
    <r>
      <t>Physicians</t>
    </r>
    <r>
      <rPr>
        <vertAlign val="superscript"/>
        <sz val="10"/>
        <rFont val="Arial"/>
        <family val="2"/>
      </rPr>
      <t xml:space="preserve"> 1</t>
    </r>
    <r>
      <rPr>
        <vertAlign val="superscript"/>
        <sz val="11"/>
        <rFont val="Arial"/>
        <family val="2"/>
      </rPr>
      <t>/</t>
    </r>
  </si>
  <si>
    <t>Diabetes mellitus</t>
  </si>
  <si>
    <r>
      <t xml:space="preserve">Commercial </t>
    </r>
    <r>
      <rPr>
        <vertAlign val="superscript"/>
        <sz val="10"/>
        <rFont val="Arial"/>
        <family val="2"/>
      </rPr>
      <t>2/</t>
    </r>
  </si>
  <si>
    <t>Crude Death Rate</t>
  </si>
  <si>
    <t>Source:  Department of Public Health and Social Services, Guam</t>
  </si>
  <si>
    <t>Malignant neoplasms (C00 - C97)</t>
  </si>
  <si>
    <r>
      <t>Hemorrhagic fevers (all forms)</t>
    </r>
    <r>
      <rPr>
        <vertAlign val="superscript"/>
        <sz val="10"/>
        <rFont val="Arial"/>
        <family val="2"/>
      </rPr>
      <t>1</t>
    </r>
  </si>
  <si>
    <t>Chickenpox</t>
  </si>
  <si>
    <t>(1.6-15.8)</t>
  </si>
  <si>
    <t>(1.3-9.5)</t>
  </si>
  <si>
    <t>(0.9-9.5)</t>
  </si>
  <si>
    <t>(0.3-5.3)</t>
  </si>
  <si>
    <t>(2.9-12.7)</t>
  </si>
  <si>
    <t>(0.0-0.9)</t>
  </si>
  <si>
    <t>(0.0-1.8)</t>
  </si>
  <si>
    <t>(0.0-4.4)</t>
  </si>
  <si>
    <t>(0.0-3.6)</t>
  </si>
  <si>
    <t>(0.0-3.4)</t>
  </si>
  <si>
    <t>N/A</t>
  </si>
  <si>
    <t xml:space="preserve">  (0.0- 1.8)</t>
  </si>
  <si>
    <t>(4.4-15.8)</t>
  </si>
  <si>
    <t>(4.4-18.2)</t>
  </si>
  <si>
    <t>(10.1-24.3)</t>
  </si>
  <si>
    <t>(11.5-27.1)</t>
  </si>
  <si>
    <t>(12.3-30.7)</t>
  </si>
  <si>
    <t>(16.3-32.7)</t>
  </si>
  <si>
    <t xml:space="preserve">1/  Includes one private hospital, one civilian hospital and one naval hospital. </t>
  </si>
  <si>
    <r>
      <t xml:space="preserve">Accident/Emergency Attendances </t>
    </r>
    <r>
      <rPr>
        <vertAlign val="superscript"/>
        <sz val="10"/>
        <rFont val="Arial"/>
        <family val="2"/>
      </rPr>
      <t>2</t>
    </r>
    <r>
      <rPr>
        <vertAlign val="superscript"/>
        <sz val="12"/>
        <rFont val="Arial"/>
        <family val="2"/>
      </rPr>
      <t>/</t>
    </r>
  </si>
  <si>
    <t>Behavior Disorders</t>
  </si>
  <si>
    <r>
      <t>Government of Guam</t>
    </r>
    <r>
      <rPr>
        <vertAlign val="superscript"/>
        <sz val="10"/>
        <rFont val="Arial"/>
        <family val="2"/>
      </rPr>
      <t xml:space="preserve"> 3/</t>
    </r>
  </si>
  <si>
    <t>Infant</t>
  </si>
  <si>
    <t>Note:  Birth rate per 1,000 population</t>
  </si>
  <si>
    <t>Cerebrovascular diseases (I60 - I69)</t>
  </si>
  <si>
    <r>
      <t>Plague</t>
    </r>
    <r>
      <rPr>
        <vertAlign val="superscript"/>
        <sz val="10"/>
        <rFont val="Arial"/>
        <family val="2"/>
      </rPr>
      <t>1</t>
    </r>
  </si>
  <si>
    <t>Chlamydia</t>
  </si>
  <si>
    <t>(6.1-16.7)</t>
  </si>
  <si>
    <t>(2.2-14.0)</t>
  </si>
  <si>
    <t>(3.5-11.3)</t>
  </si>
  <si>
    <t>(3.6-10.2)</t>
  </si>
  <si>
    <t>(3.4-16.4)</t>
  </si>
  <si>
    <t>(0.0-0.7)</t>
  </si>
  <si>
    <t>(0.0-1.0)</t>
  </si>
  <si>
    <t>(0.0-0.6)</t>
  </si>
  <si>
    <t>(0.0-2.9)</t>
  </si>
  <si>
    <t xml:space="preserve">  (0.0- 0.6)</t>
  </si>
  <si>
    <t>(0.0-1.4)</t>
  </si>
  <si>
    <t>(19.4-32.4)</t>
  </si>
  <si>
    <t>(14.4-28.6)</t>
  </si>
  <si>
    <t>(17.9-33.5)</t>
  </si>
  <si>
    <t>(22.8-39.6)</t>
  </si>
  <si>
    <t>(13.2-31.2)</t>
  </si>
  <si>
    <t>(16.4-35.2)</t>
  </si>
  <si>
    <t>(13.9-33.9)</t>
  </si>
  <si>
    <t>(19.1-31.3)</t>
  </si>
  <si>
    <t>(13.2-27.8)</t>
  </si>
  <si>
    <t>(22.9-38.5)</t>
  </si>
  <si>
    <t>2/  Includes specialized services.  Excludes eye and dental clinics.</t>
  </si>
  <si>
    <t>Source:  Guam Memorial Hospital Authority and Department of Public Health and Social Services, Government of Guam</t>
  </si>
  <si>
    <t>Epilepsy</t>
  </si>
  <si>
    <t>Medicaid</t>
  </si>
  <si>
    <t>Neonatal</t>
  </si>
  <si>
    <t>Accidents/unintentional injuries (V01-X59, Y85-Y86)</t>
  </si>
  <si>
    <r>
      <t>Smallpox</t>
    </r>
    <r>
      <rPr>
        <vertAlign val="superscript"/>
        <sz val="10"/>
        <rFont val="Arial"/>
        <family val="2"/>
      </rPr>
      <t>1</t>
    </r>
  </si>
  <si>
    <t xml:space="preserve">Cholera </t>
  </si>
  <si>
    <t>(5.3-14.7)</t>
  </si>
  <si>
    <t>(3.1-14.1)</t>
  </si>
  <si>
    <t>(4.1-11.5)</t>
  </si>
  <si>
    <t>(7.1-19.7)</t>
  </si>
  <si>
    <t>(3.1-11.3)</t>
  </si>
  <si>
    <t>(0.3-3.9)</t>
  </si>
  <si>
    <t>(0.2-11.2)</t>
  </si>
  <si>
    <t>(0.0-1.5)</t>
  </si>
  <si>
    <t>(0.0-3.0)</t>
  </si>
  <si>
    <t>(0.0-3.7)</t>
  </si>
  <si>
    <t>(0.0-2.8)</t>
  </si>
  <si>
    <t>(0.0-8.0)</t>
  </si>
  <si>
    <t>(0.1-7.9)</t>
  </si>
  <si>
    <t>(0.0-2.2)</t>
  </si>
  <si>
    <t>2.0</t>
  </si>
  <si>
    <t xml:space="preserve">  (0.0- 4.5)</t>
  </si>
  <si>
    <t>(1.1-4.7)</t>
  </si>
  <si>
    <t>(0.4-3.2)</t>
  </si>
  <si>
    <t>(0.0-4.6)</t>
  </si>
  <si>
    <t>(2.1-9.1)</t>
  </si>
  <si>
    <t>(0.0-3.9)</t>
  </si>
  <si>
    <t>(0.4-5.8)</t>
  </si>
  <si>
    <t>(23.6-39.2)</t>
  </si>
  <si>
    <t>(16.0-31.2)</t>
  </si>
  <si>
    <t>(25.5-40.3)</t>
  </si>
  <si>
    <t>(27.6-41.4)</t>
  </si>
  <si>
    <t>(31.2-45.4)</t>
  </si>
  <si>
    <t>(23.1-37.9)</t>
  </si>
  <si>
    <t>(28.0-44.0)</t>
  </si>
  <si>
    <t>(15.6-27.0)</t>
  </si>
  <si>
    <t>(11.1-24.5)</t>
  </si>
  <si>
    <t>(17.2-29.4)</t>
  </si>
  <si>
    <t>Note:  Inpatient is a person who is admitted to hospital for medical, surgical or obstetric treatment,  observation or</t>
  </si>
  <si>
    <t>Ischaemic heart disease</t>
  </si>
  <si>
    <t>Medically Indigent Program (MIP)</t>
  </si>
  <si>
    <t>Infant Mortality Rate</t>
  </si>
  <si>
    <t>Nephritis, nephrotic syndrome, and nephrosis (N00-N07, N17-N19, N25-N27)</t>
  </si>
  <si>
    <r>
      <t>Tularemia</t>
    </r>
    <r>
      <rPr>
        <vertAlign val="superscript"/>
        <sz val="10"/>
        <rFont val="Arial"/>
        <family val="2"/>
      </rPr>
      <t>1</t>
    </r>
  </si>
  <si>
    <t>Clostridium difficile</t>
  </si>
  <si>
    <t>(6.5-16.3)</t>
  </si>
  <si>
    <t>(4.7-12.1)</t>
  </si>
  <si>
    <t>(8.4-17.8)</t>
  </si>
  <si>
    <t>(4.7-18.5)</t>
  </si>
  <si>
    <t>(4.2-15.6)</t>
  </si>
  <si>
    <t>(1.1-3.9)</t>
  </si>
  <si>
    <t>(0.2-3.8)</t>
  </si>
  <si>
    <t>(2.3-10.9)</t>
  </si>
  <si>
    <t>(0.6-5.0)</t>
  </si>
  <si>
    <t>(1.1-5.9)</t>
  </si>
  <si>
    <t>(2.3-7.1)</t>
  </si>
  <si>
    <t>(1.0-7.2)</t>
  </si>
  <si>
    <t>(3.9-12.5)</t>
  </si>
  <si>
    <t>(2.1-7.9)</t>
  </si>
  <si>
    <t xml:space="preserve">  (1.0- 6.4)</t>
  </si>
  <si>
    <t>(4.8-12.2)</t>
  </si>
  <si>
    <t>(0.6-3.4)</t>
  </si>
  <si>
    <t>(4.4-17.0)</t>
  </si>
  <si>
    <t>(0.0-3.1)</t>
  </si>
  <si>
    <t>(5.1-15.7)</t>
  </si>
  <si>
    <t>(0.2-4.6)</t>
  </si>
  <si>
    <t>(19.3-33.9)</t>
  </si>
  <si>
    <t>(19.6-35.2)</t>
  </si>
  <si>
    <t>(25.4-39.6)</t>
  </si>
  <si>
    <t>(28.7-42.1)</t>
  </si>
  <si>
    <t>(31.9-46.7)</t>
  </si>
  <si>
    <t>(26.8-42.4)</t>
  </si>
  <si>
    <t>(24.1-40.5)</t>
  </si>
  <si>
    <t>(12.1-21.5)</t>
  </si>
  <si>
    <t>(13.3-23.9)</t>
  </si>
  <si>
    <t>(19.8-33.2)</t>
  </si>
  <si>
    <t>care and stays at least one night.  Includes persons if formally admitted by the hospital as "boarders", and patients</t>
  </si>
  <si>
    <t>Other forms of heart disease</t>
  </si>
  <si>
    <t>Medicare</t>
  </si>
  <si>
    <t>Maternal</t>
  </si>
  <si>
    <t>Republic of the Marshall Islands</t>
  </si>
  <si>
    <t>Intentional self-harm (suicide) (X60-X84)</t>
  </si>
  <si>
    <t>Acute flaccid paralysis or myelitis</t>
  </si>
  <si>
    <t>Conjunctivitis</t>
  </si>
  <si>
    <t>(3.3-9.5)</t>
  </si>
  <si>
    <t>(4.1-11.1)</t>
  </si>
  <si>
    <t>(3.2-10.2)</t>
  </si>
  <si>
    <t>(3.1-19.1)</t>
  </si>
  <si>
    <t>(3.9-14.5)</t>
  </si>
  <si>
    <t>(2.1-7.5)</t>
  </si>
  <si>
    <t>(0.7-15.3)</t>
  </si>
  <si>
    <t>(1.2-9.0)</t>
  </si>
  <si>
    <t>(0.8-4.4)</t>
  </si>
  <si>
    <t>(1.1-8.5)</t>
  </si>
  <si>
    <t>(3.1-9.3)</t>
  </si>
  <si>
    <t>(3.1-12.1)</t>
  </si>
  <si>
    <t>(3.3-12.7)</t>
  </si>
  <si>
    <t>(2.9-8.7)</t>
  </si>
  <si>
    <t xml:space="preserve">  (4.1-20.5)</t>
  </si>
  <si>
    <t>(11.9-21.7)</t>
  </si>
  <si>
    <t>(0.0-1.6)</t>
  </si>
  <si>
    <t>(14.3-26.5)</t>
  </si>
  <si>
    <t>(0.0-1.9)</t>
  </si>
  <si>
    <t>(15.3-27.5)</t>
  </si>
  <si>
    <t>(18.5-35.3)</t>
  </si>
  <si>
    <t>(18.7-35.9)</t>
  </si>
  <si>
    <t>(22.0-36.8)</t>
  </si>
  <si>
    <t>(28.3-41.7)</t>
  </si>
  <si>
    <t>(31.4-47.4)</t>
  </si>
  <si>
    <t>(24.4-38.6)</t>
  </si>
  <si>
    <t>(25.0-39.6)</t>
  </si>
  <si>
    <t>(8.6-16.4)</t>
  </si>
  <si>
    <t>(9.2-22.6)</t>
  </si>
  <si>
    <t>(6.2-14.4)</t>
  </si>
  <si>
    <t>who die in hospital or are transferred to another hospital on the day of admission.  Day patient is a person who is</t>
  </si>
  <si>
    <t>Cerebrovascular disease</t>
  </si>
  <si>
    <r>
      <t>Other Government</t>
    </r>
    <r>
      <rPr>
        <vertAlign val="superscript"/>
        <sz val="10"/>
        <rFont val="Arial"/>
        <family val="2"/>
      </rPr>
      <t xml:space="preserve"> 4/</t>
    </r>
  </si>
  <si>
    <r>
      <t xml:space="preserve">      Maternal Mortality Rate</t>
    </r>
    <r>
      <rPr>
        <vertAlign val="superscript"/>
        <sz val="10"/>
        <rFont val="Arial"/>
        <family val="2"/>
      </rPr>
      <t>4/</t>
    </r>
  </si>
  <si>
    <t>Septicemia (A40 - A41)</t>
  </si>
  <si>
    <t>Chikungunya</t>
  </si>
  <si>
    <t>Dengue</t>
  </si>
  <si>
    <t>65 +</t>
  </si>
  <si>
    <t>(0.5-2.9)</t>
  </si>
  <si>
    <t>(1.5-6.9)</t>
  </si>
  <si>
    <t>(1.4-6.8)</t>
  </si>
  <si>
    <t>(0.0-2.0)</t>
  </si>
  <si>
    <t>(0.2-5.0)</t>
  </si>
  <si>
    <t>(2.8-11.0)</t>
  </si>
  <si>
    <t>(3.1-9.7)</t>
  </si>
  <si>
    <t>(6.9-20.3)</t>
  </si>
  <si>
    <t>(2.9-11.9)</t>
  </si>
  <si>
    <t>(5.9-18.9)</t>
  </si>
  <si>
    <t>(5.5-12.5)</t>
  </si>
  <si>
    <t>(8.2-20.8)</t>
  </si>
  <si>
    <t>(5.9-17.7)</t>
  </si>
  <si>
    <t>(6.1-15.9)</t>
  </si>
  <si>
    <t xml:space="preserve">  (5.5-18.1)</t>
  </si>
  <si>
    <t>(16.9-29.1)</t>
  </si>
  <si>
    <t>(0.0-0.8)</t>
  </si>
  <si>
    <t>(21.2-35.8)</t>
  </si>
  <si>
    <t>(18.7-33.5)</t>
  </si>
  <si>
    <t>0.0-2.9)</t>
  </si>
  <si>
    <t>(6.8-17.0)</t>
  </si>
  <si>
    <t>(11.5-25.3)</t>
  </si>
  <si>
    <t>(6.2-17.2)</t>
  </si>
  <si>
    <t>(31.5-46.7)</t>
  </si>
  <si>
    <t>(23.5-38.7)</t>
  </si>
  <si>
    <t>(31.9-48.7)</t>
  </si>
  <si>
    <t>(21.3-33.9)</t>
  </si>
  <si>
    <t>(2.0-5.6)</t>
  </si>
  <si>
    <t>(5.2-13.0)</t>
  </si>
  <si>
    <t>(5.0-17.2)</t>
  </si>
  <si>
    <t>admitted and discharged on the same day.  Day patients do not include those patients who died in the hospital or</t>
  </si>
  <si>
    <t>Influenza and pneumonia</t>
  </si>
  <si>
    <t>Veteran's Administration</t>
  </si>
  <si>
    <t>Fetal Deaths</t>
  </si>
  <si>
    <t>Diabetes mellitus (E10 - E14)</t>
  </si>
  <si>
    <t>Cholera</t>
  </si>
  <si>
    <t>Fish poisoning (Scombroid)</t>
  </si>
  <si>
    <t>(23.7-38.5)</t>
  </si>
  <si>
    <t>(0.0-0.3)</t>
  </si>
  <si>
    <t>(26.3-39.3)</t>
  </si>
  <si>
    <t>(28.1-46.1)</t>
  </si>
  <si>
    <t>(20.8-32.6)</t>
  </si>
  <si>
    <t>(15.8-31.0)</t>
  </si>
  <si>
    <t>(26.0-39.8)</t>
  </si>
  <si>
    <t>(14.9-26.3)</t>
  </si>
  <si>
    <t>transferred to another hospital.</t>
  </si>
  <si>
    <t>Asthma</t>
  </si>
  <si>
    <t>Workers' Compensation</t>
  </si>
  <si>
    <t>Fetal Death Rate</t>
  </si>
  <si>
    <t xml:space="preserve">Source: DPHSS-Office of Vital Statistics </t>
  </si>
  <si>
    <t>Chronic lower respiratory diseases (J40 - J47)</t>
  </si>
  <si>
    <t>Food Poisoning</t>
  </si>
  <si>
    <t>Does not have complete data according to Estelle Ada from DPHSS.</t>
  </si>
  <si>
    <t>(8.7-15.3)</t>
  </si>
  <si>
    <t>(7.3-14.7)</t>
  </si>
  <si>
    <t>(7.0-12.4)</t>
  </si>
  <si>
    <t>(8.6-16.8)</t>
  </si>
  <si>
    <t>(7.9-14.1)</t>
  </si>
  <si>
    <t>(1.6-4.0)</t>
  </si>
  <si>
    <t>(1.8-6.8)</t>
  </si>
  <si>
    <t>(1.9-5.5)</t>
  </si>
  <si>
    <t>(0.4-2.4)</t>
  </si>
  <si>
    <t>(1.4-4.6)</t>
  </si>
  <si>
    <t>(2.5-4.9)</t>
  </si>
  <si>
    <t>(2.7-7.5)</t>
  </si>
  <si>
    <t>(3.4-7.8)</t>
  </si>
  <si>
    <t>(2.4-5.6)</t>
  </si>
  <si>
    <t xml:space="preserve">  (2.8- 8.2)</t>
  </si>
  <si>
    <t>(22.7-31.7)</t>
  </si>
  <si>
    <t>(23.2-33.4)</t>
  </si>
  <si>
    <t>(25.5-34.5)</t>
  </si>
  <si>
    <t>(20.3-27.7)</t>
  </si>
  <si>
    <t>(22.8-32.2)</t>
  </si>
  <si>
    <t>(25.1-33.7)</t>
  </si>
  <si>
    <t>1/  Includes licensed military physicians working part-time at Guam Memorial Hospital and Guam Regional Medical City (GRMC).</t>
  </si>
  <si>
    <t>Other Chronic obstructive pulmonary disease</t>
  </si>
  <si>
    <t>Perinatal Deaths</t>
  </si>
  <si>
    <t>Influenza and pneumonia (J09 - J18)</t>
  </si>
  <si>
    <t>Diphtheria</t>
  </si>
  <si>
    <t>Giardiasis</t>
  </si>
  <si>
    <t>(3.3-8.7)</t>
  </si>
  <si>
    <t>(2.2-5.4)</t>
  </si>
  <si>
    <t>(3.9-7.9)</t>
  </si>
  <si>
    <t>(2.1-5.3)</t>
  </si>
  <si>
    <t>(2.3-8.1)</t>
  </si>
  <si>
    <t>(1.1-2.7)</t>
  </si>
  <si>
    <t>(0.4-4.4)</t>
  </si>
  <si>
    <t>(1.6-5.6)</t>
  </si>
  <si>
    <t>(1.7-5.3)</t>
  </si>
  <si>
    <t>(1.3-4.1)</t>
  </si>
  <si>
    <t>(1.7-3.7)</t>
  </si>
  <si>
    <t>(2.2-5.8)</t>
  </si>
  <si>
    <t>(1.8-6.6)</t>
  </si>
  <si>
    <t>(1.2-3.6)</t>
  </si>
  <si>
    <t xml:space="preserve">  (1.4- 3.8)</t>
  </si>
  <si>
    <t>(10.5-15.9)</t>
  </si>
  <si>
    <t>(11.5-18.5)</t>
  </si>
  <si>
    <t>(10.3-16.5)</t>
  </si>
  <si>
    <t>(15.5-23.3)</t>
  </si>
  <si>
    <t>(11.5-18.9)</t>
  </si>
  <si>
    <t>(18.2-26.8)</t>
  </si>
  <si>
    <t>(32.8-41.4)</t>
  </si>
  <si>
    <t>(30.8-39.8)</t>
  </si>
  <si>
    <t>(31.2-40.6)</t>
  </si>
  <si>
    <t>(24.5-33.5)</t>
  </si>
  <si>
    <t>(8.8-15.0)</t>
  </si>
  <si>
    <t>(5.7-11.1)</t>
  </si>
  <si>
    <t>(12.1-19.5)</t>
  </si>
  <si>
    <t xml:space="preserve">    GRMC opened in 2015.</t>
  </si>
  <si>
    <t>Pregnancy, childbirth and the puerperium</t>
  </si>
  <si>
    <t xml:space="preserve">   Insurance Company  (Total)</t>
  </si>
  <si>
    <r>
      <t>Perinatal Death Rate</t>
    </r>
    <r>
      <rPr>
        <vertAlign val="superscript"/>
        <sz val="10"/>
        <rFont val="Arial"/>
        <family val="2"/>
      </rPr>
      <t>5/</t>
    </r>
  </si>
  <si>
    <t>Encephalitis, viral</t>
  </si>
  <si>
    <t>Gonorrhea</t>
  </si>
  <si>
    <t>(8.1-12.1)</t>
  </si>
  <si>
    <t>(1.2-3.2)</t>
  </si>
  <si>
    <t>(9.5-15.3)</t>
  </si>
  <si>
    <t>(11.0-18.0)</t>
  </si>
  <si>
    <t>(1.7-4.9)</t>
  </si>
  <si>
    <t>(26.7-34.5)</t>
  </si>
  <si>
    <t>(26.8-36.6)</t>
  </si>
  <si>
    <t>(23.9-33.3)</t>
  </si>
  <si>
    <t>(25.8-35.6)</t>
  </si>
  <si>
    <t>Congenital Malformations, deformations</t>
  </si>
  <si>
    <t>Aetna</t>
  </si>
  <si>
    <t>Marriages</t>
  </si>
  <si>
    <t>All other causes</t>
  </si>
  <si>
    <t>Measles (Rubeola)</t>
  </si>
  <si>
    <r>
      <t>H. influenzae,</t>
    </r>
    <r>
      <rPr>
        <sz val="10"/>
        <rFont val="Arial"/>
        <family val="2"/>
      </rPr>
      <t xml:space="preserve"> invasive</t>
    </r>
  </si>
  <si>
    <t>&lt; High School</t>
  </si>
  <si>
    <t>(4.2-18.8)</t>
  </si>
  <si>
    <t>(4.8-20.4)</t>
  </si>
  <si>
    <t>(4.5-15.5)</t>
  </si>
  <si>
    <t>(5.0-21.0)</t>
  </si>
  <si>
    <t>(1.9-10.5)</t>
  </si>
  <si>
    <t>(0.0-4.7)</t>
  </si>
  <si>
    <t>(1.5-15.7)</t>
  </si>
  <si>
    <t>(3.5-14.1)</t>
  </si>
  <si>
    <t>(0.0-5.4)</t>
  </si>
  <si>
    <t>(0.9-6.7)</t>
  </si>
  <si>
    <t>(2.9-15.1)</t>
  </si>
  <si>
    <t>(5.1-17.7)</t>
  </si>
  <si>
    <t>(1.0-6.0)</t>
  </si>
  <si>
    <t xml:space="preserve">  (0.9-11.9)</t>
  </si>
  <si>
    <t>(24.2-45.8)</t>
  </si>
  <si>
    <t>(26.3-48.3)</t>
  </si>
  <si>
    <t>(30.3-50.3)</t>
  </si>
  <si>
    <t>(6.3-20.5)</t>
  </si>
  <si>
    <t>(13.1-32.3)</t>
  </si>
  <si>
    <t>(14.4-31.6)</t>
  </si>
  <si>
    <t xml:space="preserve">    and chromosomal abnormalities</t>
  </si>
  <si>
    <t>NetCare</t>
  </si>
  <si>
    <t>Crude Marriage Rate</t>
  </si>
  <si>
    <t>Source: Death certificate data, Office of Vital Statistics, DPHSS; ICD-10 codes: National Vital Statistics</t>
  </si>
  <si>
    <t>Meningococcal disease</t>
  </si>
  <si>
    <t>Hand, foot and mouth disease</t>
  </si>
  <si>
    <t>H.S. or G.E.D.</t>
  </si>
  <si>
    <t>(5.9-12.5)</t>
  </si>
  <si>
    <t>(4.6-9.6)</t>
  </si>
  <si>
    <t>(4.8-9.8)</t>
  </si>
  <si>
    <t>(4.9-11.5)</t>
  </si>
  <si>
    <t>(5.4-13.2)</t>
  </si>
  <si>
    <t>(1.1-3.1)</t>
  </si>
  <si>
    <t>(0.9-3.3)</t>
  </si>
  <si>
    <t>(0.7-3.1)</t>
  </si>
  <si>
    <t>(1.3-4.9)</t>
  </si>
  <si>
    <t>(1.2-4.8)</t>
  </si>
  <si>
    <t>(1.1-3.5)</t>
  </si>
  <si>
    <t xml:space="preserve">  (1.9- 5.9)</t>
  </si>
  <si>
    <t>(7.4-18.8)</t>
  </si>
  <si>
    <t>(12.1-28.5)</t>
  </si>
  <si>
    <t>(15.2-31.6)</t>
  </si>
  <si>
    <t>(0.0-5.3)</t>
  </si>
  <si>
    <t>(21.7-30.3)</t>
  </si>
  <si>
    <t>(17.1-25.3)</t>
  </si>
  <si>
    <t>(26.3-36.1)</t>
  </si>
  <si>
    <t>(11.6-26.4)</t>
  </si>
  <si>
    <t>(31.0-53.8)</t>
  </si>
  <si>
    <t>(12.7-31.9)</t>
  </si>
  <si>
    <t>(20.0-41.6)</t>
  </si>
  <si>
    <t>(15.5-23.7)</t>
  </si>
  <si>
    <t>(14.6-23.6)</t>
  </si>
  <si>
    <t>(20.9-30.3)</t>
  </si>
  <si>
    <t>Falls</t>
  </si>
  <si>
    <t>StayWell</t>
  </si>
  <si>
    <r>
      <t>Divorces</t>
    </r>
    <r>
      <rPr>
        <vertAlign val="superscript"/>
        <sz val="12"/>
        <rFont val="Arial"/>
        <family val="2"/>
      </rPr>
      <t xml:space="preserve"> 1/</t>
    </r>
  </si>
  <si>
    <t>System, CDC</t>
  </si>
  <si>
    <t>MERS-Co Virus</t>
  </si>
  <si>
    <t>Hansen's disease</t>
  </si>
  <si>
    <t>Some post H.S.</t>
  </si>
  <si>
    <t>(4.8-11.8)</t>
  </si>
  <si>
    <t>(3.3-9.1)</t>
  </si>
  <si>
    <t>(4.9-11.1)</t>
  </si>
  <si>
    <t>(4.1-12.3)</t>
  </si>
  <si>
    <t>(6.8-15.8)</t>
  </si>
  <si>
    <t>(0.3-3.1)</t>
  </si>
  <si>
    <t>(1.3-6.1)</t>
  </si>
  <si>
    <t>(1.1-5.5)</t>
  </si>
  <si>
    <t>(1.7-7.1)</t>
  </si>
  <si>
    <t xml:space="preserve">  (1.9- 7.7)</t>
  </si>
  <si>
    <t>(9.7-15.1)</t>
  </si>
  <si>
    <t>(9.1-14.9)</t>
  </si>
  <si>
    <t>(0.7-3.9)</t>
  </si>
  <si>
    <t>(9.7-15.9)</t>
  </si>
  <si>
    <t>(0.2-2.6)</t>
  </si>
  <si>
    <t>(15.0-24.0)</t>
  </si>
  <si>
    <t>(14.3-25.3)</t>
  </si>
  <si>
    <t>(16.7-26.9)</t>
  </si>
  <si>
    <t>(29.5-39.3)</t>
  </si>
  <si>
    <t>(29.6-39.0)</t>
  </si>
  <si>
    <t>(29.3-39.9)</t>
  </si>
  <si>
    <t>(28.4-38.6)</t>
  </si>
  <si>
    <t>(10.3-19.3)</t>
  </si>
  <si>
    <t>(15.1-25.3)</t>
  </si>
  <si>
    <t>Drugs, medicaments/biological substances</t>
  </si>
  <si>
    <t>SelectCare</t>
  </si>
  <si>
    <t>Crude Divorce Rate</t>
  </si>
  <si>
    <t>Novel Influenza Virus</t>
  </si>
  <si>
    <t xml:space="preserve">Hepatitis A </t>
  </si>
  <si>
    <t>College grad</t>
  </si>
  <si>
    <t>(4.7-9.7)</t>
  </si>
  <si>
    <t>(3.6-9.4)</t>
  </si>
  <si>
    <t>(2.1-6.1)</t>
  </si>
  <si>
    <t>(0.6-9.6)</t>
  </si>
  <si>
    <t>College graduate</t>
  </si>
  <si>
    <t>(0.9-2.9)</t>
  </si>
  <si>
    <t>(0.0-1.2)</t>
  </si>
  <si>
    <t>(0.0-1.1)</t>
  </si>
  <si>
    <t>(1.5-3.9)</t>
  </si>
  <si>
    <t>(1.1-5.1)</t>
  </si>
  <si>
    <t>(0.9-4.1)</t>
  </si>
  <si>
    <t>(1.0-3.4)</t>
  </si>
  <si>
    <t xml:space="preserve">  (0.5- 2.5)</t>
  </si>
  <si>
    <t>(8.9-14.7)</t>
  </si>
  <si>
    <t>(0.8-3.2)</t>
  </si>
  <si>
    <t>(9.4-17.6)</t>
  </si>
  <si>
    <t>(0.4-4.0)</t>
  </si>
  <si>
    <t>(0.0-2.7)</t>
  </si>
  <si>
    <t>(9.0-15.6)</t>
  </si>
  <si>
    <t>(7.4-14.0)</t>
  </si>
  <si>
    <t>(7.0-14.0)</t>
  </si>
  <si>
    <t>(35.9-46.5)</t>
  </si>
  <si>
    <t>(26.4-36.2)</t>
  </si>
  <si>
    <t>(24.4-36.6)</t>
  </si>
  <si>
    <t>(14.4-22.2)</t>
  </si>
  <si>
    <t>(10.5-19.1)</t>
  </si>
  <si>
    <t>(15.5-25.3)</t>
  </si>
  <si>
    <t xml:space="preserve">    causing adverse effects in therapeutic use</t>
  </si>
  <si>
    <t>TakeCare (FHP)</t>
  </si>
  <si>
    <r>
      <t xml:space="preserve">Population </t>
    </r>
    <r>
      <rPr>
        <vertAlign val="superscript"/>
        <sz val="12"/>
        <rFont val="Arial"/>
        <family val="2"/>
      </rPr>
      <t>2/</t>
    </r>
  </si>
  <si>
    <t>Other arboviral diseases</t>
  </si>
  <si>
    <t>Hepatitis B</t>
  </si>
  <si>
    <t>(6.7-11.7)</t>
  </si>
  <si>
    <t>(7.3-13.1)</t>
  </si>
  <si>
    <t>(6.8-12.6)</t>
  </si>
  <si>
    <t>(35.1-44.5)</t>
  </si>
  <si>
    <t>(22.9-31.5)</t>
  </si>
  <si>
    <t>(29.5-40.9)</t>
  </si>
  <si>
    <t>(17.8-27.6)</t>
  </si>
  <si>
    <t>Transport accidents</t>
  </si>
  <si>
    <t>Tricare</t>
  </si>
  <si>
    <r>
      <t>Life Expectancy</t>
    </r>
    <r>
      <rPr>
        <vertAlign val="superscript"/>
        <sz val="12"/>
        <rFont val="Arial"/>
        <family val="2"/>
      </rPr>
      <t xml:space="preserve"> 3/</t>
    </r>
  </si>
  <si>
    <t>Pertussis</t>
  </si>
  <si>
    <t>Hepatitis C</t>
  </si>
  <si>
    <t>&lt; $15,000</t>
  </si>
  <si>
    <t>(1.1-12.9)</t>
  </si>
  <si>
    <t>(2.1-16.9)</t>
  </si>
  <si>
    <t>(5.2-15.8)</t>
  </si>
  <si>
    <t>(1.4-13.6)</t>
  </si>
  <si>
    <t>(2.2-12.0)</t>
  </si>
  <si>
    <t>(1.4-7.6)</t>
  </si>
  <si>
    <t>(1.2-14.2)</t>
  </si>
  <si>
    <t>(2.1-12.3)</t>
  </si>
  <si>
    <t>(2.5-8.7)</t>
  </si>
  <si>
    <t>(2.5-15.9)</t>
  </si>
  <si>
    <t>(3.0-14.4)</t>
  </si>
  <si>
    <t>(1.1-7.3)</t>
  </si>
  <si>
    <t xml:space="preserve">  (0.8- 4.8)</t>
  </si>
  <si>
    <t>(26.4-48.8)</t>
  </si>
  <si>
    <t>(25.1-47.9)</t>
  </si>
  <si>
    <t>(30.0-48.4)</t>
  </si>
  <si>
    <t>(7.2-16.2)</t>
  </si>
  <si>
    <t>(12.7-32.3)</t>
  </si>
  <si>
    <t>(15.8-32.2)</t>
  </si>
  <si>
    <t>Exposure to smoke, fire and submersion</t>
  </si>
  <si>
    <r>
      <t xml:space="preserve">Other </t>
    </r>
    <r>
      <rPr>
        <vertAlign val="superscript"/>
        <sz val="10"/>
        <rFont val="Arial"/>
        <family val="2"/>
      </rPr>
      <t>5/</t>
    </r>
  </si>
  <si>
    <t>Table 12-10    .  Top Ten Causes of Death, Guam:  Calendar Year 2023</t>
  </si>
  <si>
    <t>Poliomyelitis (acute)</t>
  </si>
  <si>
    <t>Herpes simplex, Type 2</t>
  </si>
  <si>
    <t>$15,000 - $24,999</t>
  </si>
  <si>
    <t>(3.9-14.1)</t>
  </si>
  <si>
    <t>(1.8-13.6)</t>
  </si>
  <si>
    <t>(4.7-12.9)</t>
  </si>
  <si>
    <t>(7.5-23.5)</t>
  </si>
  <si>
    <t>(3.5-11.7)</t>
  </si>
  <si>
    <t>(0.3-5.1)</t>
  </si>
  <si>
    <t>(1.2-6.6)</t>
  </si>
  <si>
    <t>(0.5-6.3)</t>
  </si>
  <si>
    <t>(1.0-5.0)</t>
  </si>
  <si>
    <t>(2.3-7.3)</t>
  </si>
  <si>
    <t>(2.2-8.0)</t>
  </si>
  <si>
    <t xml:space="preserve">  (0.9-13.5)</t>
  </si>
  <si>
    <t>(13.0-27.6)</t>
  </si>
  <si>
    <t>(15.9-33.1)</t>
  </si>
  <si>
    <t>(0.0-2.6)</t>
  </si>
  <si>
    <t>(11.8-24.8)</t>
  </si>
  <si>
    <t>(0.0-4.0)</t>
  </si>
  <si>
    <t>(20.6-35.2)</t>
  </si>
  <si>
    <t>(12.1-23.9)</t>
  </si>
  <si>
    <t>(23.9-39.5)</t>
  </si>
  <si>
    <t>(18.7-35.1)</t>
  </si>
  <si>
    <t>(25.2-46.4)</t>
  </si>
  <si>
    <t>(14.5-31.3)</t>
  </si>
  <si>
    <t>(19.7-40.9)</t>
  </si>
  <si>
    <t>(10.8-21.0)</t>
  </si>
  <si>
    <t>(11.5-26.7)</t>
  </si>
  <si>
    <t>(19.8-35.0)</t>
  </si>
  <si>
    <t>Intentional self-harm</t>
  </si>
  <si>
    <t>Source:  Guam Memorial Hospital Authority.</t>
  </si>
  <si>
    <t>Rabies</t>
  </si>
  <si>
    <t>Herpes zoster</t>
  </si>
  <si>
    <t>$25,000 - $34,999</t>
  </si>
  <si>
    <t>(1.7-13.9)</t>
  </si>
  <si>
    <t>(1.6-9.8)</t>
  </si>
  <si>
    <t>(4.5-14.3)</t>
  </si>
  <si>
    <t>(0.8-11.0)</t>
  </si>
  <si>
    <t>(1.2-7.8)</t>
  </si>
  <si>
    <t>(0.0-14.3)</t>
  </si>
  <si>
    <t>(0.0-9.4)</t>
  </si>
  <si>
    <t>(0.0-5.6)</t>
  </si>
  <si>
    <t>(1.4-9.2)</t>
  </si>
  <si>
    <t>(0.1-5.9)</t>
  </si>
  <si>
    <t>(0.6-5.6)</t>
  </si>
  <si>
    <t>(0.4-6.2)</t>
  </si>
  <si>
    <t xml:space="preserve">  (1.9-11.3)</t>
  </si>
  <si>
    <t>(8.1-15.9)</t>
  </si>
  <si>
    <t>(8.2-17.6)</t>
  </si>
  <si>
    <t>(0.3-6.9)</t>
  </si>
  <si>
    <t>(8.4-19.0)</t>
  </si>
  <si>
    <t>(16.7-35.1)</t>
  </si>
  <si>
    <t>(17.0-36.6)</t>
  </si>
  <si>
    <t>(22.3-42.7)</t>
  </si>
  <si>
    <t>(28.9-43.5)</t>
  </si>
  <si>
    <t>(26.7-41.3)</t>
  </si>
  <si>
    <t>(22.5-38.1)</t>
  </si>
  <si>
    <t>(23.1-39.9)</t>
  </si>
  <si>
    <t>(9.0-22.4)</t>
  </si>
  <si>
    <t>(7.0-20.4)</t>
  </si>
  <si>
    <t>(13.3-29.3)</t>
  </si>
  <si>
    <t xml:space="preserve">1/ Civilian Health and Medical Program of the Uniformed Services. </t>
  </si>
  <si>
    <t>Source:  Office of Vital Statistics, Department of Public Health and Social Services, Government of Guam</t>
  </si>
  <si>
    <t>Rubella (including congenital)</t>
  </si>
  <si>
    <t>HIV</t>
  </si>
  <si>
    <t>$35,000 - $49,999</t>
  </si>
  <si>
    <t>(3.6-13.4)</t>
  </si>
  <si>
    <t>(1.0-6.8)</t>
  </si>
  <si>
    <t>(3.2-11.4)</t>
  </si>
  <si>
    <t>(2.0-8.6)</t>
  </si>
  <si>
    <t>(4.4-14.2)</t>
  </si>
  <si>
    <t>(0.0-6.9)</t>
  </si>
  <si>
    <t>(0.4-5.4)</t>
  </si>
  <si>
    <t>(1.0-8.8)</t>
  </si>
  <si>
    <t>(0.4-4.8)</t>
  </si>
  <si>
    <t>(0.5-6.7)</t>
  </si>
  <si>
    <t>(1.3-6.7)</t>
  </si>
  <si>
    <t>(0.8-10.2)</t>
  </si>
  <si>
    <t>(1.2-13.8)</t>
  </si>
  <si>
    <t>(1.4-6.2)</t>
  </si>
  <si>
    <t xml:space="preserve">  (0.1- 5.1)</t>
  </si>
  <si>
    <t>(5.7-15.5)</t>
  </si>
  <si>
    <t>(0.0-2.3)</t>
  </si>
  <si>
    <t>(7.1-18.5)</t>
  </si>
  <si>
    <t>(0.7-6.5)</t>
  </si>
  <si>
    <t>(9.2-23.8)</t>
  </si>
  <si>
    <t>(15.9-30.5)</t>
  </si>
  <si>
    <t>(14.1-32.5)</t>
  </si>
  <si>
    <t>(15.1-29.3)</t>
  </si>
  <si>
    <t>(22.2-39.4)</t>
  </si>
  <si>
    <t>(23.0-42.2)</t>
  </si>
  <si>
    <t>(31.1-52.3)</t>
  </si>
  <si>
    <t>(15.5-31.5)</t>
  </si>
  <si>
    <t>(13.3-27.1)</t>
  </si>
  <si>
    <t>(9.0-22.8)</t>
  </si>
  <si>
    <t>(15.2-29.4)</t>
  </si>
  <si>
    <t>Other not specified</t>
  </si>
  <si>
    <t>2/ Includes Great National Insurance, Alpha, Cigna, etc.</t>
  </si>
  <si>
    <t>(data subject to revision)</t>
  </si>
  <si>
    <t>SARS-CoV-2/COVID-19</t>
  </si>
  <si>
    <t>HPV</t>
  </si>
  <si>
    <t>$50,000 - $74,999</t>
  </si>
  <si>
    <t>(7.2-17.4)</t>
  </si>
  <si>
    <t>(4.0-13.0)</t>
  </si>
  <si>
    <t>(0.4-11.8)</t>
  </si>
  <si>
    <t>(3.3-16.3)</t>
  </si>
  <si>
    <t>(3.2-20.4)</t>
  </si>
  <si>
    <t>(0.8-4.8)</t>
  </si>
  <si>
    <t>(0.0-1.3)</t>
  </si>
  <si>
    <t>(0.1-3.3)</t>
  </si>
  <si>
    <t xml:space="preserve">  (0.7- 4.3)</t>
  </si>
  <si>
    <t>(5.0-14.8)</t>
  </si>
  <si>
    <t>(0.0-3.5)</t>
  </si>
  <si>
    <t>(7.3-22.1)</t>
  </si>
  <si>
    <t>(0.0-2.5)</t>
  </si>
  <si>
    <t>(7.4-20.0)</t>
  </si>
  <si>
    <t>(0.0-4.3)</t>
  </si>
  <si>
    <t>$50,000 - $75,000</t>
  </si>
  <si>
    <t>(11.2-21.4)</t>
  </si>
  <si>
    <t>(14.8-30.4)</t>
  </si>
  <si>
    <t>(10.6-25.2)</t>
  </si>
  <si>
    <t>(30.1-45.3)</t>
  </si>
  <si>
    <t>(28.9-44.9)</t>
  </si>
  <si>
    <t>(24.1-41.7)</t>
  </si>
  <si>
    <t>(24.4-44.0)</t>
  </si>
  <si>
    <t>(16.4-29.4)</t>
  </si>
  <si>
    <t>(15.3-30.9)</t>
  </si>
  <si>
    <t>(11.8-28.6)</t>
  </si>
  <si>
    <t>Source:  Guam Memorial Hospital Authority, Government of Guam</t>
  </si>
  <si>
    <t>3/ Includes Guam Police Department, Department of Public Health &amp; Social Services, Guam Public School System, etc.</t>
  </si>
  <si>
    <t>Notes:  Calendar year, except as noted</t>
  </si>
  <si>
    <t>Severe Acute Respiratory Syndrome (SARS)</t>
  </si>
  <si>
    <t>HSV 2</t>
  </si>
  <si>
    <t>$75,000+</t>
  </si>
  <si>
    <t>(5.6-11.0)</t>
  </si>
  <si>
    <t>(5.5-15.3)</t>
  </si>
  <si>
    <t>(4.2-11.2)</t>
  </si>
  <si>
    <t>(3.1-17.9)</t>
  </si>
  <si>
    <t>(0.4-2.8)</t>
  </si>
  <si>
    <t>(0.0-3.2)</t>
  </si>
  <si>
    <t>(0.0-2.4)</t>
  </si>
  <si>
    <t>(0.9-2.5)</t>
  </si>
  <si>
    <t>(0.4-7.4)</t>
  </si>
  <si>
    <t>(0.6-4.2)</t>
  </si>
  <si>
    <t>(0.8-4.0)</t>
  </si>
  <si>
    <t xml:space="preserve">  (0.1- 4.9)</t>
  </si>
  <si>
    <t>(7.7-17.9)</t>
  </si>
  <si>
    <t>(6.9-17.9)</t>
  </si>
  <si>
    <t>(8.3-19.7)</t>
  </si>
  <si>
    <t>(10.3-18.1)</t>
  </si>
  <si>
    <t>(6.6-15.2)</t>
  </si>
  <si>
    <t>(10.6-20.4)</t>
  </si>
  <si>
    <t>(31.5-47.9)</t>
  </si>
  <si>
    <t>(23.9-37.3)</t>
  </si>
  <si>
    <t>(25.0-42.6)</t>
  </si>
  <si>
    <t>(23.1-40.3)</t>
  </si>
  <si>
    <t>(17.1-26.5)</t>
  </si>
  <si>
    <t>(12.4-24.2)</t>
  </si>
  <si>
    <t>(13.4-24.0)</t>
  </si>
  <si>
    <t>4/ Includes Federal States of Micronesia, Commonwealth of the Northern Marianas, etc.</t>
  </si>
  <si>
    <t>Toxic shock syndrome</t>
  </si>
  <si>
    <t>Kawasaki syndrome</t>
  </si>
  <si>
    <t>Source:  Department of Public Health and Social Services, Behavioral Risk Factor Surveillance System</t>
  </si>
  <si>
    <t>(7.7-13.9)</t>
  </si>
  <si>
    <t>(0.2-2.2)</t>
  </si>
  <si>
    <t>(5.6-13.4)</t>
  </si>
  <si>
    <t>(4.8-13.0)</t>
  </si>
  <si>
    <t>$75,000 +</t>
  </si>
  <si>
    <t>(35.2-45.8)</t>
  </si>
  <si>
    <t>(28.0-38.2)</t>
  </si>
  <si>
    <t>(28.4-43.0)</t>
  </si>
  <si>
    <t>(28.8-43.6)</t>
  </si>
  <si>
    <t xml:space="preserve">5/ Includes self pay. </t>
  </si>
  <si>
    <t>Symbol "…" indicates data not available</t>
  </si>
  <si>
    <t>Trichinosis</t>
  </si>
  <si>
    <r>
      <t xml:space="preserve">Klebsiella pneumoniae  </t>
    </r>
    <r>
      <rPr>
        <sz val="10"/>
        <rFont val="Arial"/>
        <family val="2"/>
      </rPr>
      <t>MDR</t>
    </r>
  </si>
  <si>
    <t xml:space="preserve">Note:  2011 prevalence is considered the new baseline data.  Caution must be used when comparing data prior to </t>
  </si>
  <si>
    <t xml:space="preserve">Note:  The proportion who reported consuming five or more drinks per occasion (for men) or four or more drinks </t>
  </si>
  <si>
    <t>Symbol (…) indicates not applicable.</t>
  </si>
  <si>
    <t>1/   Case filings as reported by the Judiciary of Guam (Fiscal Year); reported as "Domestic" filings</t>
  </si>
  <si>
    <t>Typhoid fever</t>
  </si>
  <si>
    <t>Influenza</t>
  </si>
  <si>
    <t>2011 because of the changes in weighting methodology and the addition of the cell phone sampling frame.</t>
  </si>
  <si>
    <t xml:space="preserve">           per occasion (for women).</t>
  </si>
  <si>
    <t>2/   U.S. Census Bureau (2010 and 2020 Guam Censuses) and Bureau of Statistics and Plans (mid-year population estimate)</t>
  </si>
  <si>
    <t>Typhus</t>
  </si>
  <si>
    <t>Leptospirosis</t>
  </si>
  <si>
    <t>3/   International Data Base, International Programs Center, U.S. Census Bureau</t>
  </si>
  <si>
    <t xml:space="preserve">Nephritis, nephrotic syndrome, and nephrosis </t>
  </si>
  <si>
    <t>Yellow fever</t>
  </si>
  <si>
    <t>Measles</t>
  </si>
  <si>
    <t>Table 12-22  .   Current Smokers by Demographic Characteristic, Guam:  2014-2016</t>
  </si>
  <si>
    <t>4/   Using CDC definition of pregnancy-associated deaths (death occurring during pregnancy or up to one year</t>
  </si>
  <si>
    <t>Intentional self-harm (X60 - X84)</t>
  </si>
  <si>
    <t>Zika</t>
  </si>
  <si>
    <t>Meningitis, aseptic</t>
  </si>
  <si>
    <t>Table 12-20   .   Ever Diagnosed with Diabetes by Demographic Characteristic, Guam:  2014-2016</t>
  </si>
  <si>
    <t>Table 12-26   .   Binge Drinking by Demographic Characteristic, Guam:  2014-2016</t>
  </si>
  <si>
    <t xml:space="preserve">         after termination of pregnancy, from any cause)</t>
  </si>
  <si>
    <t>Meningitis, other</t>
  </si>
  <si>
    <t>5/   Includes fetal deaths occurring 20+ weeks of gestational age and live births up to 7 days after</t>
  </si>
  <si>
    <t xml:space="preserve">     Class II Diseases</t>
  </si>
  <si>
    <t>MRSA</t>
  </si>
  <si>
    <t>(21.6-28.6)</t>
  </si>
  <si>
    <t xml:space="preserve"> (23.9-30.9)</t>
  </si>
  <si>
    <t>(26.5-31.9)</t>
  </si>
  <si>
    <t>Table 12-24  .   Overweight and Obese by Demographic Characteristic, Guam:  2016-2017</t>
  </si>
  <si>
    <t>Mumps</t>
  </si>
  <si>
    <t>(17.4-24.0)</t>
  </si>
  <si>
    <t xml:space="preserve"> (18.1-24.3)</t>
  </si>
  <si>
    <t>(20.5-25.5)</t>
  </si>
  <si>
    <t>Amebiasis</t>
  </si>
  <si>
    <t>(8.0-12.0)</t>
  </si>
  <si>
    <t>(0.4-1.2)</t>
  </si>
  <si>
    <t xml:space="preserve">  (9.6-14.4)</t>
  </si>
  <si>
    <t xml:space="preserve">  (0.6-1.8)</t>
  </si>
  <si>
    <t>(9.4-12.2)</t>
  </si>
  <si>
    <t>(0.5-2.1)</t>
  </si>
  <si>
    <t>(8.2-25.8)</t>
  </si>
  <si>
    <t xml:space="preserve"> (13.0-30.6)</t>
  </si>
  <si>
    <t>(16.2-30.8)</t>
  </si>
  <si>
    <t>Brucellosis</t>
  </si>
  <si>
    <t>Respiritory syncytial virus</t>
  </si>
  <si>
    <t>(17.6-33.6)</t>
  </si>
  <si>
    <t xml:space="preserve"> (18.3-34.3)</t>
  </si>
  <si>
    <t>(31.0-44.0)</t>
  </si>
  <si>
    <t>(6.1-18.3)</t>
  </si>
  <si>
    <t xml:space="preserve"> (14.2-31.4)</t>
  </si>
  <si>
    <t>(19.4-32.8)</t>
  </si>
  <si>
    <t>Rheumatic fever, active</t>
  </si>
  <si>
    <t xml:space="preserve">  (0.0- 5.9)</t>
  </si>
  <si>
    <t>(0.0-4.9)</t>
  </si>
  <si>
    <t>(27.2-44.0)</t>
  </si>
  <si>
    <t xml:space="preserve"> (28.0-43.2)</t>
  </si>
  <si>
    <t>(29.1-42.9)</t>
  </si>
  <si>
    <t>(29.6-35.8)</t>
  </si>
  <si>
    <t>(31.2-37.4)</t>
  </si>
  <si>
    <t>(32.5-39.9)</t>
  </si>
  <si>
    <t>(19.1-34.7)</t>
  </si>
  <si>
    <t xml:space="preserve"> (18.2-34.2)</t>
  </si>
  <si>
    <t>(23.6-35.0)</t>
  </si>
  <si>
    <t>Chancroid</t>
  </si>
  <si>
    <t>Salmonellosis</t>
  </si>
  <si>
    <t xml:space="preserve">  (0.0- 8.3)</t>
  </si>
  <si>
    <t xml:space="preserve">  (0.0- 3.0)</t>
  </si>
  <si>
    <t>(0.8-3.6)</t>
  </si>
  <si>
    <t>(18.1-34.5)</t>
  </si>
  <si>
    <t xml:space="preserve"> (22.0-38.4)</t>
  </si>
  <si>
    <t>(26.6-38.8)</t>
  </si>
  <si>
    <t>(23.2-40.8)</t>
  </si>
  <si>
    <t xml:space="preserve"> (13.9-25.7)</t>
  </si>
  <si>
    <t>(17.3-30.3)</t>
  </si>
  <si>
    <t>Chickenpox (varicella)</t>
  </si>
  <si>
    <t>Scabies</t>
  </si>
  <si>
    <t>(4.4-13.0)</t>
  </si>
  <si>
    <t xml:space="preserve">  (2.2- 7.2)</t>
  </si>
  <si>
    <t xml:space="preserve">  (0.3- 3.9)</t>
  </si>
  <si>
    <t>(4.5-10.3)</t>
  </si>
  <si>
    <t>(0.3-4.3)</t>
  </si>
  <si>
    <t>(19.5-38.3)</t>
  </si>
  <si>
    <t xml:space="preserve"> (23.1-41.5)</t>
  </si>
  <si>
    <t>(17.4-28.4)</t>
  </si>
  <si>
    <t>(22.0-39.2)</t>
  </si>
  <si>
    <t>(8.8-20.2)</t>
  </si>
  <si>
    <t>(13.1-30.3)</t>
  </si>
  <si>
    <t>(11.6-27.2)</t>
  </si>
  <si>
    <t xml:space="preserve"> (17.8-32.6)</t>
  </si>
  <si>
    <t>(16.5-26.7)</t>
  </si>
  <si>
    <t>Chlamydia trachomatis</t>
  </si>
  <si>
    <t>Scarlet Fever</t>
  </si>
  <si>
    <t>(6.4-17.0)</t>
  </si>
  <si>
    <t xml:space="preserve"> (10.1-21.1)</t>
  </si>
  <si>
    <t xml:space="preserve">  (0.0- 2.7)</t>
  </si>
  <si>
    <t>(11.4-19.2)</t>
  </si>
  <si>
    <t>(0.1-1.3)</t>
  </si>
  <si>
    <t xml:space="preserve">  (4.7-13.7)</t>
  </si>
  <si>
    <t>(5.7-15.1)</t>
  </si>
  <si>
    <t>(23.6-37.8)</t>
  </si>
  <si>
    <t>(34.6-51.0)</t>
  </si>
  <si>
    <t>(33.1-50.7)</t>
  </si>
  <si>
    <t>(9.4-26.2)</t>
  </si>
  <si>
    <t xml:space="preserve"> (14.0-29.6)</t>
  </si>
  <si>
    <t>(11.8-22.4)</t>
  </si>
  <si>
    <t>Table 12-11    .  Top Ten Causes of Death, Guam:  Calendar Year 2022</t>
  </si>
  <si>
    <t>Coccidioidomycosis</t>
  </si>
  <si>
    <t>Shigellosis</t>
  </si>
  <si>
    <t>(12.8-26.6)</t>
  </si>
  <si>
    <t xml:space="preserve"> (16.7-34.3)</t>
  </si>
  <si>
    <t xml:space="preserve">  (0.0- 4.1)</t>
  </si>
  <si>
    <t>(17.2-27.0)</t>
  </si>
  <si>
    <t>(26.4-41.2)</t>
  </si>
  <si>
    <t>(33.7-49.3)</t>
  </si>
  <si>
    <t>(30.7-48.7)</t>
  </si>
  <si>
    <t xml:space="preserve">  (1.6- 6.6)</t>
  </si>
  <si>
    <t>13.0</t>
  </si>
  <si>
    <t>(7.7-18.3)</t>
  </si>
  <si>
    <t>Conjunctivitis, viral or bacterial</t>
  </si>
  <si>
    <t>Streptococcal sore throat</t>
  </si>
  <si>
    <t>(21.2-37.2)</t>
  </si>
  <si>
    <t xml:space="preserve"> (26.4-45.2)</t>
  </si>
  <si>
    <t xml:space="preserve">  (0.0- 0.9)</t>
  </si>
  <si>
    <t>(19.5-30.9)</t>
  </si>
  <si>
    <t>(27.6-38.6)</t>
  </si>
  <si>
    <t xml:space="preserve"> (27.4-37.6)</t>
  </si>
  <si>
    <t>(30.3-38.5)</t>
  </si>
  <si>
    <t>(30.7-44.5)</t>
  </si>
  <si>
    <t>(32.5-46.3)</t>
  </si>
  <si>
    <t>(33.6-50.8)</t>
  </si>
  <si>
    <t>Cryptosporidiosis</t>
  </si>
  <si>
    <t>Strep disease, invasive</t>
  </si>
  <si>
    <t>(13.3-20.7)</t>
  </si>
  <si>
    <t xml:space="preserve"> (17.6-27.0)</t>
  </si>
  <si>
    <t>(20.4-27.8)</t>
  </si>
  <si>
    <t>(21.2-34.6)</t>
  </si>
  <si>
    <t>(30.5-45.7)</t>
  </si>
  <si>
    <t>(24.6-41.8)</t>
  </si>
  <si>
    <t>(24.5-35.1)</t>
  </si>
  <si>
    <t xml:space="preserve"> (26.1-35.5)</t>
  </si>
  <si>
    <t>(29.7-37.9)</t>
  </si>
  <si>
    <t>Cyclosporiasis</t>
  </si>
  <si>
    <t>Strep disease, other</t>
  </si>
  <si>
    <t>(6.6-11.6)</t>
  </si>
  <si>
    <t xml:space="preserve">  (9.1-15.3)</t>
  </si>
  <si>
    <t xml:space="preserve">     </t>
  </si>
  <si>
    <t>(7.5-11.9)</t>
  </si>
  <si>
    <t>(26.2-43.8)</t>
  </si>
  <si>
    <t>(13.7-27.1)</t>
  </si>
  <si>
    <t>(26.1-42.9)</t>
  </si>
  <si>
    <t>(7.9-14.5)</t>
  </si>
  <si>
    <t xml:space="preserve">  (7.7-15.1)</t>
  </si>
  <si>
    <t>(9.5-14.9)</t>
  </si>
  <si>
    <t>Diseases of the Heart (I00 - I09, I11, I13, I20 - I51)</t>
  </si>
  <si>
    <t xml:space="preserve">Eosinophilic meningoencephalitis </t>
  </si>
  <si>
    <t>Syphilis, Infectious</t>
  </si>
  <si>
    <t>(8.1-13.9)</t>
  </si>
  <si>
    <t>(0.7-2.7)</t>
  </si>
  <si>
    <t xml:space="preserve">  (8.3-15.3)</t>
  </si>
  <si>
    <t xml:space="preserve">  (1.1- 3.9)</t>
  </si>
  <si>
    <t>(10.0-14.0)</t>
  </si>
  <si>
    <t>(1.4-4.2)</t>
  </si>
  <si>
    <t>(29.3-50.9)</t>
  </si>
  <si>
    <t xml:space="preserve"> (32.9-54.1)</t>
  </si>
  <si>
    <t>(37.7-54.9)</t>
  </si>
  <si>
    <t>E. coli (MDR or ESBL+)</t>
  </si>
  <si>
    <t>Syphilis,  Latent</t>
  </si>
  <si>
    <t>(18.5-29.5)</t>
  </si>
  <si>
    <t xml:space="preserve"> (25.1-35.3)</t>
  </si>
  <si>
    <t>(26.3-34.5)</t>
  </si>
  <si>
    <t>(29.6-38.2)</t>
  </si>
  <si>
    <t>(32.4-41.4)</t>
  </si>
  <si>
    <t>(33.7-44.3)</t>
  </si>
  <si>
    <t xml:space="preserve">(17.9-38.3) </t>
  </si>
  <si>
    <t xml:space="preserve">  (9.0-25.0)</t>
  </si>
  <si>
    <t>(14.2-28.0)</t>
  </si>
  <si>
    <t xml:space="preserve">Enterococcus sp. VRE, vancomycin resistant </t>
  </si>
  <si>
    <t>Syphilis,  Congenital</t>
  </si>
  <si>
    <t>(5.8-18.0)</t>
  </si>
  <si>
    <t xml:space="preserve"> (13.3-30.9)</t>
  </si>
  <si>
    <t xml:space="preserve">  (0.0- 2.4)</t>
  </si>
  <si>
    <t>(5.9-13.3)</t>
  </si>
  <si>
    <t>(0.0-4.5)</t>
  </si>
  <si>
    <t>(16.9-29.5)</t>
  </si>
  <si>
    <t xml:space="preserve"> (17.2-29.0)</t>
  </si>
  <si>
    <t>(19.1-29.7)</t>
  </si>
  <si>
    <t>(27.0-36.0)</t>
  </si>
  <si>
    <t>(26.8-36.2)</t>
  </si>
  <si>
    <t>(14.2-24.0)</t>
  </si>
  <si>
    <t xml:space="preserve"> (17.4-26.8)</t>
  </si>
  <si>
    <t>(22.5-30.7)</t>
  </si>
  <si>
    <t>Covid-19 (U07.1)</t>
  </si>
  <si>
    <t>Fish poisoning (ciguatera)</t>
  </si>
  <si>
    <t>Syplliis, Unspecified stage</t>
  </si>
  <si>
    <t>(6.5-13.1)</t>
  </si>
  <si>
    <t>(0.1-2.5)</t>
  </si>
  <si>
    <t xml:space="preserve">  (6.7-12.1)</t>
  </si>
  <si>
    <t xml:space="preserve">  (0.0- 1.6)</t>
  </si>
  <si>
    <t>(9.3-17.1)</t>
  </si>
  <si>
    <t>(0.1-2.1)</t>
  </si>
  <si>
    <t>(9.6-19.0)</t>
  </si>
  <si>
    <t xml:space="preserve">  (6.8-16.6)</t>
  </si>
  <si>
    <t>(12.9-20.3)</t>
  </si>
  <si>
    <t>(17.5-30.9)</t>
  </si>
  <si>
    <t xml:space="preserve"> (22.5-35.5)</t>
  </si>
  <si>
    <t>(20.8-31.4)</t>
  </si>
  <si>
    <t>Nephritis, nephrotic syndrome, and nephrosis</t>
  </si>
  <si>
    <t>Fish poisoning (scrombroid)</t>
  </si>
  <si>
    <t>Toxoplasmosis</t>
  </si>
  <si>
    <t>(7.3-14.3)</t>
  </si>
  <si>
    <t xml:space="preserve">  (6.9-13.1)</t>
  </si>
  <si>
    <t xml:space="preserve">  (0.0- 3.2)</t>
  </si>
  <si>
    <t>(8.4-15.4)</t>
  </si>
  <si>
    <t>(16.8-34.8)</t>
  </si>
  <si>
    <t>(30.1-50.9)</t>
  </si>
  <si>
    <t>(31.6-54.4)</t>
  </si>
  <si>
    <t>(8.8-17.4)</t>
  </si>
  <si>
    <t xml:space="preserve"> (10.3-22.5)</t>
  </si>
  <si>
    <t>(12.7-20.1)</t>
  </si>
  <si>
    <t>(N00 - N07, N17 - N19, N25 - N27)</t>
  </si>
  <si>
    <t>Food poisoning</t>
  </si>
  <si>
    <t>Tuberculosis</t>
  </si>
  <si>
    <t>(5.5-10.3)</t>
  </si>
  <si>
    <t xml:space="preserve">  (5.6-11.4)</t>
  </si>
  <si>
    <t xml:space="preserve">  (0.2- 3.4)</t>
  </si>
  <si>
    <t>(0.3-1.9)</t>
  </si>
  <si>
    <t>(22.1-42.9)</t>
  </si>
  <si>
    <t xml:space="preserve"> (21.9-42.3)</t>
  </si>
  <si>
    <t>(35.1-50.3)</t>
  </si>
  <si>
    <t>(26.9-36.7)</t>
  </si>
  <si>
    <t>(30.5-40.3)</t>
  </si>
  <si>
    <r>
      <t>Vancomycin resis.</t>
    </r>
    <r>
      <rPr>
        <i/>
        <sz val="10"/>
        <rFont val="Arial"/>
        <family val="2"/>
      </rPr>
      <t xml:space="preserve"> Enterococcus</t>
    </r>
  </si>
  <si>
    <t>(21.7-39.3)</t>
  </si>
  <si>
    <t xml:space="preserve"> (29.8-47.0)</t>
  </si>
  <si>
    <t>(20.2-31.6)</t>
  </si>
  <si>
    <t>(30.5-43.1)</t>
  </si>
  <si>
    <t>(30.2-42.0)</t>
  </si>
  <si>
    <t>(28.2-41.6)</t>
  </si>
  <si>
    <t>(11.6-30.0)</t>
  </si>
  <si>
    <t xml:space="preserve">  (6.1-19.1)</t>
  </si>
  <si>
    <t>(11.0-20.8)</t>
  </si>
  <si>
    <t>Accidents/ unintentional injuries (V01-X59, Y85-Y86)</t>
  </si>
  <si>
    <t>Vibrio parahaemolyticus</t>
  </si>
  <si>
    <t>(8.4-23.0)</t>
  </si>
  <si>
    <t xml:space="preserve">  (7.2-21.8)</t>
  </si>
  <si>
    <t xml:space="preserve">  (0.0- 2.3)</t>
  </si>
  <si>
    <t>(7.6-16.2)</t>
  </si>
  <si>
    <t>(10.9-28.1)</t>
  </si>
  <si>
    <t xml:space="preserve"> (17.4-35.8)</t>
  </si>
  <si>
    <t>(26.7-43.9)</t>
  </si>
  <si>
    <t>(31.1-42.1)</t>
  </si>
  <si>
    <t>(21.3-30.7)</t>
  </si>
  <si>
    <t>(34.3-47.3)</t>
  </si>
  <si>
    <t>(18.9-36.5)</t>
  </si>
  <si>
    <t xml:space="preserve"> (19.9-35.5)</t>
  </si>
  <si>
    <t>(20.4-32.2)</t>
  </si>
  <si>
    <t>Intentional self-harm (X60-X84)</t>
  </si>
  <si>
    <t>Granuloma inguinale</t>
  </si>
  <si>
    <t>Source:  Office of Epidemiology and Research, Department of Public Health and Social Services, Annual Summary of Notificable Diseases, 2017</t>
  </si>
  <si>
    <t>Source:  Office of Epidemiology and Research, Department of Public Health and Social Services, Annual Summary of Notificable Diseases, 2016</t>
  </si>
  <si>
    <t>Source:  Office of Epidemiology and Research, Department of Public Health and Social Services, Annual Summary of Notificable Diseases, 2015</t>
  </si>
  <si>
    <t>(4.1-14.3)</t>
  </si>
  <si>
    <t xml:space="preserve">  (7.3-21.1)</t>
  </si>
  <si>
    <t xml:space="preserve"> (12.9-25.5)</t>
  </si>
  <si>
    <t>(21.0-33.2)</t>
  </si>
  <si>
    <t>(8.6-25.0)</t>
  </si>
  <si>
    <t xml:space="preserve"> (12.5-28.5)</t>
  </si>
  <si>
    <t>(19.2-35.6)</t>
  </si>
  <si>
    <t>Chronic lower respiratory diseases (J40-J47)</t>
  </si>
  <si>
    <t>Haemophilus influenzae, invasive disease</t>
  </si>
  <si>
    <t xml:space="preserve">  (6.4-19.4)</t>
  </si>
  <si>
    <t>(4.7-10.9)</t>
  </si>
  <si>
    <t>(13.6-30.8)</t>
  </si>
  <si>
    <t xml:space="preserve"> (21.5-42.3)</t>
  </si>
  <si>
    <t>(16.4-27.8)</t>
  </si>
  <si>
    <t>(20.2-35.8)</t>
  </si>
  <si>
    <t>(29.9-47.9)</t>
  </si>
  <si>
    <t>(24.7-49.1)</t>
  </si>
  <si>
    <t>(16.2-35.4)</t>
  </si>
  <si>
    <t xml:space="preserve"> (19.8-35.8)</t>
  </si>
  <si>
    <t>(17.8-29.6)</t>
  </si>
  <si>
    <t>Influenza and pneumonia (J09-J18)</t>
  </si>
  <si>
    <t>Hansen’s disease (leprosy)</t>
  </si>
  <si>
    <t>(5.7-13.5)</t>
  </si>
  <si>
    <t xml:space="preserve">  (6.3-16.1)</t>
  </si>
  <si>
    <t>(7.5-14.9)</t>
  </si>
  <si>
    <t>(10.9-22.7)</t>
  </si>
  <si>
    <t xml:space="preserve">  (9.7-24.3)</t>
  </si>
  <si>
    <t>(12.7-21.7)</t>
  </si>
  <si>
    <t>(24.2-38.4)</t>
  </si>
  <si>
    <t>(26.6-41.8)</t>
  </si>
  <si>
    <t>(23.8-41.8)</t>
  </si>
  <si>
    <t>(12.8-28.8)</t>
  </si>
  <si>
    <t xml:space="preserve"> (12.9-30.9)</t>
  </si>
  <si>
    <t>24.0</t>
  </si>
  <si>
    <t>(17.3-30.7)</t>
  </si>
  <si>
    <t>Hemolytic-uremic syndrome</t>
  </si>
  <si>
    <t>(4.5-16.3)</t>
  </si>
  <si>
    <t xml:space="preserve">  (7.6-19.0)</t>
  </si>
  <si>
    <t xml:space="preserve">  (0.0- 2.6)</t>
  </si>
  <si>
    <t>(6.4-13.8)</t>
  </si>
  <si>
    <t>(26.6-45.0)</t>
  </si>
  <si>
    <t>(18.8-35.6)</t>
  </si>
  <si>
    <t>(19.4-37.8)</t>
  </si>
  <si>
    <t>(10.7-21.7)</t>
  </si>
  <si>
    <t xml:space="preserve"> (12.3-26.9)</t>
  </si>
  <si>
    <t>23.0</t>
  </si>
  <si>
    <t>Source: Office of Epidemiology and Research, Department of Public Health and Social Services, Annual Summary of</t>
  </si>
  <si>
    <t>(7.6-15.0)</t>
  </si>
  <si>
    <t xml:space="preserve">  (4.4-10.6)</t>
  </si>
  <si>
    <t>(24.7-41.5)</t>
  </si>
  <si>
    <t>(27.0-44.2)</t>
  </si>
  <si>
    <t>(27.5-46.3)</t>
  </si>
  <si>
    <t xml:space="preserve">  Notifiable Diseases</t>
  </si>
  <si>
    <t>Source: Office of Epidemiology and Research, Department of Public Health and Social Services, Annual Summary of Notifiable Diseases</t>
  </si>
  <si>
    <t>(35.9-55.1)</t>
  </si>
  <si>
    <t>(25.9-43.5)</t>
  </si>
  <si>
    <t>(42.8-60.8)</t>
  </si>
  <si>
    <t>Note: Zero means "none reported"</t>
  </si>
  <si>
    <t>(27.5-40.1)</t>
  </si>
  <si>
    <t>(29.7-44.5)</t>
  </si>
  <si>
    <t xml:space="preserve">          per occasion (for women).</t>
  </si>
  <si>
    <r>
      <rPr>
        <sz val="8"/>
        <color theme="1"/>
        <rFont val="Arial"/>
        <family val="2"/>
      </rPr>
      <t>1</t>
    </r>
    <r>
      <rPr>
        <i/>
        <sz val="10"/>
        <color theme="1"/>
        <rFont val="Arial"/>
        <family val="2"/>
      </rPr>
      <t xml:space="preserve"> Class I diseases requiring reporting to Department of Public Health and Social Services within four hours of clinical</t>
    </r>
  </si>
  <si>
    <r>
      <rPr>
        <sz val="8"/>
        <color theme="1"/>
        <rFont val="Arial"/>
        <family val="2"/>
      </rPr>
      <t>1</t>
    </r>
    <r>
      <rPr>
        <i/>
        <sz val="10"/>
        <color theme="1"/>
        <rFont val="Arial"/>
        <family val="2"/>
      </rPr>
      <t xml:space="preserve"> Class I diseases requiring reporting to Department of Public Health and Social Services within four hours of clinical diagnosis.</t>
    </r>
  </si>
  <si>
    <t xml:space="preserve">  diagnosis.</t>
  </si>
  <si>
    <r>
      <rPr>
        <sz val="8"/>
        <color theme="1"/>
        <rFont val="Arial"/>
        <family val="2"/>
      </rPr>
      <t>2</t>
    </r>
    <r>
      <rPr>
        <i/>
        <sz val="10"/>
        <color theme="1"/>
        <rFont val="Arial"/>
        <family val="2"/>
      </rPr>
      <t xml:space="preserve"> Influenza diagnoses by age group may be found on the Guam Communicable Disease Dashboard.</t>
    </r>
  </si>
  <si>
    <r>
      <rPr>
        <sz val="8"/>
        <color theme="1"/>
        <rFont val="Arial"/>
        <family val="2"/>
      </rPr>
      <t>3</t>
    </r>
    <r>
      <rPr>
        <i/>
        <sz val="10"/>
        <color theme="1"/>
        <rFont val="Arial"/>
        <family val="2"/>
      </rPr>
      <t xml:space="preserve"> Tuberculosis case reports undergo review and finalization by the Centers for Disease Control and Prevention. Data reported in this table reflect </t>
    </r>
  </si>
  <si>
    <t>Table 12-12    .  Top Ten Causes of Death, Guam:  Calendar Year 2021</t>
  </si>
  <si>
    <r>
      <rPr>
        <sz val="8"/>
        <color theme="1"/>
        <rFont val="Arial"/>
        <family val="2"/>
      </rPr>
      <t>3</t>
    </r>
    <r>
      <rPr>
        <i/>
        <sz val="10"/>
        <color theme="1"/>
        <rFont val="Arial"/>
        <family val="2"/>
      </rPr>
      <t xml:space="preserve"> Tuberculosis case reports undergo review and finalization by the Centers for Disease Control and Prevention. Data</t>
    </r>
  </si>
  <si>
    <t xml:space="preserve">  preliminary TB case counts.</t>
  </si>
  <si>
    <t xml:space="preserve">  reported in this table reflect preliminary TB case counts.</t>
  </si>
  <si>
    <r>
      <rPr>
        <sz val="8"/>
        <color theme="1"/>
        <rFont val="Arial"/>
        <family val="2"/>
      </rPr>
      <t>4</t>
    </r>
    <r>
      <rPr>
        <i/>
        <sz val="10"/>
        <color theme="1"/>
        <rFont val="Arial"/>
        <family val="2"/>
      </rPr>
      <t xml:space="preserve"> Although not required by law, Department of Public Health and Social Services encourages continued reporting of these diseases and conditions of </t>
    </r>
  </si>
  <si>
    <r>
      <rPr>
        <sz val="8"/>
        <color theme="1"/>
        <rFont val="Arial"/>
        <family val="2"/>
      </rPr>
      <t>4</t>
    </r>
    <r>
      <rPr>
        <i/>
        <sz val="10"/>
        <color theme="1"/>
        <rFont val="Arial"/>
        <family val="2"/>
      </rPr>
      <t xml:space="preserve"> Although not required by law, Department of Public Health and Social Services encourages continued reporting of these</t>
    </r>
  </si>
  <si>
    <t xml:space="preserve">  public health concern.</t>
  </si>
  <si>
    <t xml:space="preserve">  diseases and conditions of public health concern.</t>
  </si>
  <si>
    <r>
      <rPr>
        <sz val="8"/>
        <color theme="1"/>
        <rFont val="Arial"/>
        <family val="2"/>
      </rPr>
      <t>5</t>
    </r>
    <r>
      <rPr>
        <i/>
        <sz val="10"/>
        <color theme="1"/>
        <rFont val="Arial"/>
        <family val="2"/>
      </rPr>
      <t xml:space="preserve"> Syndromic surveillance identifies illness clusters early and informs the need for public health intervention before</t>
    </r>
  </si>
  <si>
    <t xml:space="preserve">  diagnoses are confirmed. On 06/23/2024, new syndromic surveillance case definitions were implemented to improve</t>
  </si>
  <si>
    <t xml:space="preserve">  sensitivity and standardization of data reporting and analysis, therefore, counts are only available for 2024.</t>
  </si>
  <si>
    <t>Table 12-15.2   .   Summary of Annual Notifiable Disease by Gender, Guam: Calendar Year 2023-2024 -- (continued)</t>
  </si>
  <si>
    <t>Hepatitis A, acute</t>
  </si>
  <si>
    <t>Table 12-14.2   .   Summary of Annual Notifiable Disease, Guam: Calendar Years 2020 to 2024 -- (continued)</t>
  </si>
  <si>
    <t>Hepatitis B, chronic</t>
  </si>
  <si>
    <t>Hepatitis B, acute</t>
  </si>
  <si>
    <t>Hepatitis B, perinatal infection</t>
  </si>
  <si>
    <t>Certin conditions originating in the perinatal period (P00-P96)</t>
  </si>
  <si>
    <t>Hepatitis C, acute</t>
  </si>
  <si>
    <t>Hepatitis C, chronic</t>
  </si>
  <si>
    <t>Herpes simplex Type 2</t>
  </si>
  <si>
    <t>Uncoded deaths</t>
  </si>
  <si>
    <t>Source: Guam Department of Public Health and Social Services, Office of Vital Statistics Death Certificates</t>
  </si>
  <si>
    <t>Human papillomavirus (HPV)</t>
  </si>
  <si>
    <r>
      <t>Influenza</t>
    </r>
    <r>
      <rPr>
        <vertAlign val="superscript"/>
        <sz val="10"/>
        <rFont val="Arial"/>
        <family val="2"/>
      </rPr>
      <t>2</t>
    </r>
  </si>
  <si>
    <t xml:space="preserve">            Influenza A</t>
  </si>
  <si>
    <t>Table 12-13    .  Top Ten Causes of Death, Guam:  Calendar Year 2020</t>
  </si>
  <si>
    <t xml:space="preserve">            Influenza B</t>
  </si>
  <si>
    <t>Death</t>
  </si>
  <si>
    <t xml:space="preserve">            Influenza A/B</t>
  </si>
  <si>
    <t xml:space="preserve">            Influenza, unspecified</t>
  </si>
  <si>
    <t>Legionellosis</t>
  </si>
  <si>
    <t>Lyme disease</t>
  </si>
  <si>
    <t>Lymphogranuloma venereum</t>
  </si>
  <si>
    <t>Accidents/unintentional injuries (V01 - X59, Y85 - Y86)</t>
  </si>
  <si>
    <t>Malaria</t>
  </si>
  <si>
    <t>Meningitis, bacterial</t>
  </si>
  <si>
    <t>Myocarditis</t>
  </si>
  <si>
    <t>Paratyphoid fever</t>
  </si>
  <si>
    <t>Chronic liver disease and cirrhosis (K70, K73 - K74)</t>
  </si>
  <si>
    <t>Parvovirus B19 (Fifth disease)</t>
  </si>
  <si>
    <t xml:space="preserve">Rheumatic fever (active) &amp; post-streptococcal glomerulonephritis </t>
  </si>
  <si>
    <t>Rickettsial disease</t>
  </si>
  <si>
    <t>Salmonellosis (non-typhoidal)</t>
  </si>
  <si>
    <t>NOTE: Death rate per 100,000 population (population projection for 2020 was 168,489 persons)</t>
  </si>
  <si>
    <t>Scarlet fever</t>
  </si>
  <si>
    <t xml:space="preserve">Shiga toxin-producing escherichia coli (STEC) (0157:H7) </t>
  </si>
  <si>
    <t>Staphylococcus aureus (MRSA or VRSA)</t>
  </si>
  <si>
    <t>Strep. other</t>
  </si>
  <si>
    <t>Streptococcus pneumoniae, penicillin resistant (PRSP)</t>
  </si>
  <si>
    <t>Syphilis, congenital</t>
  </si>
  <si>
    <t>Syphilis, early non-primary, non-secondary</t>
  </si>
  <si>
    <t>Syphilis, primary</t>
  </si>
  <si>
    <t>Syphilis, secondary</t>
  </si>
  <si>
    <t>Syphilis, unknown duration or late</t>
  </si>
  <si>
    <t>Tetanus</t>
  </si>
  <si>
    <r>
      <t>Tuberculosis</t>
    </r>
    <r>
      <rPr>
        <vertAlign val="superscript"/>
        <sz val="10"/>
        <rFont val="Arial"/>
        <family val="2"/>
      </rPr>
      <t>3</t>
    </r>
  </si>
  <si>
    <t>Vibriosis</t>
  </si>
  <si>
    <t>Table 12-15.3   .   Summary of Annual Notifiable Disease by Gender, Guam: Calendar Year 2023-2024 -- (continued)</t>
  </si>
  <si>
    <r>
      <t xml:space="preserve">     Non-reportable Diseases</t>
    </r>
    <r>
      <rPr>
        <vertAlign val="superscript"/>
        <sz val="10"/>
        <rFont val="Arial"/>
        <family val="2"/>
      </rPr>
      <t>4</t>
    </r>
  </si>
  <si>
    <t>Acinetobacter baumanii</t>
  </si>
  <si>
    <t>Carbapenemase-Producing Organisms (CPO), clinical</t>
  </si>
  <si>
    <t>Table 12-14.3   .   Summary of Annual Notifiable Disease, Guam: Calendar Years 2020 to 2024 -- (continued)</t>
  </si>
  <si>
    <t>Hand, foot, and mouth disease</t>
  </si>
  <si>
    <t>Klebsiella pneumoniae</t>
  </si>
  <si>
    <t>Latent Tuberculosis Infection</t>
  </si>
  <si>
    <t>Norovirus</t>
  </si>
  <si>
    <t>Proteus mirabilis</t>
  </si>
  <si>
    <t>Pseudomonas aerunginosa</t>
  </si>
  <si>
    <t>Respiratory syncytial virus (RSV)</t>
  </si>
  <si>
    <t>Rotavirus</t>
  </si>
  <si>
    <t>Streptococcal disease (Group B)</t>
  </si>
  <si>
    <r>
      <t xml:space="preserve">     Syndromes</t>
    </r>
    <r>
      <rPr>
        <vertAlign val="superscript"/>
        <sz val="10"/>
        <rFont val="Arial"/>
        <family val="2"/>
      </rPr>
      <t>5</t>
    </r>
  </si>
  <si>
    <t>Prolonged Fever</t>
  </si>
  <si>
    <t>Pneumonia</t>
  </si>
  <si>
    <t>Acute Respiratory Infection</t>
  </si>
  <si>
    <t>Influenza-like Illness</t>
  </si>
  <si>
    <t>Severe Acute Respiratory Infection</t>
  </si>
  <si>
    <t>Diarrhea Only</t>
  </si>
  <si>
    <t>Vomiting</t>
  </si>
  <si>
    <t>Acute Gastroenteritis</t>
  </si>
  <si>
    <t>Acute Fever and Rash</t>
  </si>
  <si>
    <t>Acute Flaccid Paralysis</t>
  </si>
  <si>
    <t>Suspected Dengue</t>
  </si>
  <si>
    <t>Table 12-27     .   Child Abuse and Neglect Statistics, Guam:  Fiscal Years 2020 to 2024</t>
  </si>
  <si>
    <t>Table 12-28     .   Child Abuse and Neglect Statistics by Age and Sex of Victim, Guam:  Fiscal Years 2020 to 2024</t>
  </si>
  <si>
    <t>Child Protective Services (CPS) Referrals Received</t>
  </si>
  <si>
    <t xml:space="preserve">   Total Number of Children, Subject of CPS Report</t>
  </si>
  <si>
    <t>Below 1 year old</t>
  </si>
  <si>
    <t>1 year old</t>
  </si>
  <si>
    <t>CPS Referrals by Maltreatment Type (Total)</t>
  </si>
  <si>
    <t>2 years old</t>
  </si>
  <si>
    <t>Physical Abuse</t>
  </si>
  <si>
    <t>3 years old</t>
  </si>
  <si>
    <t>Sexual Abuse</t>
  </si>
  <si>
    <t>4 years old</t>
  </si>
  <si>
    <t>Emotional Abuse</t>
  </si>
  <si>
    <t>5 years old</t>
  </si>
  <si>
    <t>Neglect - Physical</t>
  </si>
  <si>
    <t>6 years old</t>
  </si>
  <si>
    <t>Neglect - Medical</t>
  </si>
  <si>
    <t>7 years old</t>
  </si>
  <si>
    <t>Neglect - Abandonment</t>
  </si>
  <si>
    <t>8 years old</t>
  </si>
  <si>
    <t>Neglect - Educational</t>
  </si>
  <si>
    <t>9 years old</t>
  </si>
  <si>
    <t>Neglect - Emotional</t>
  </si>
  <si>
    <t>10 years old</t>
  </si>
  <si>
    <t>Neglect - Lack of Adult Supervision</t>
  </si>
  <si>
    <t>11 years old</t>
  </si>
  <si>
    <t>Neglect - Deprivation of Necessities</t>
  </si>
  <si>
    <t xml:space="preserve">12 years old </t>
  </si>
  <si>
    <t>Neglect - Other</t>
  </si>
  <si>
    <t>13 years old</t>
  </si>
  <si>
    <t>Referrals involving Teen Pregnancy</t>
  </si>
  <si>
    <t>14 years old</t>
  </si>
  <si>
    <t>Referrals involving Children at-risk due to Drug use by Caretaker</t>
  </si>
  <si>
    <t>15 years old</t>
  </si>
  <si>
    <t>Referrals involving exposure to Family Violence</t>
  </si>
  <si>
    <t>16 years old</t>
  </si>
  <si>
    <t>Referrals involving Homelessness</t>
  </si>
  <si>
    <t>17 years old</t>
  </si>
  <si>
    <t>Referrals involving Alcohol Abuse by Caretakers</t>
  </si>
  <si>
    <t>18 years old</t>
  </si>
  <si>
    <t>Referrals involving Teen Suicide</t>
  </si>
  <si>
    <t>Other Rerrals involving Run-Away Youths, Custody, Court Ordered Risk Assessments,</t>
  </si>
  <si>
    <t xml:space="preserve">   Expulsion of a Child from Home, Children in Need of Services, Lack of a Guardian, etc.</t>
  </si>
  <si>
    <t>Source:  Division of Children's Wellness, Bureau of Social Services Administration, Department of Public Health and Social Services</t>
  </si>
  <si>
    <t>Definitions:</t>
  </si>
  <si>
    <t>1/ Child Abuse and Neglect:  Any recent act or failure to act on the part of a parent or caretaker which results in death or serious physical or emotional harm</t>
  </si>
  <si>
    <t xml:space="preserve">    sexual abuse or exploitation; or an act or failure to act which presents an imminent risk of serious harm.</t>
  </si>
  <si>
    <t>2/ Physical Abuse  Non-accidental injury of a child or punching, beating, kicking, biting, burning, shaking, otherwise harming a child.</t>
  </si>
  <si>
    <t xml:space="preserve">3/ Emotional Abuse:  Patterns of behavior that attacks a child's emotional development and sense of self worth; name calling, blaming, belittling, terrorizing, </t>
  </si>
  <si>
    <t xml:space="preserve">    humiliation and rejection.</t>
  </si>
  <si>
    <t>4/ Sexual Abuse:  Any act or a sexual nature upon or with a child; Fondling a child's genitals, intercourse, incest, rape sodomy, adult showing his or her</t>
  </si>
  <si>
    <t xml:space="preserve">    genital area (indecent exposure), exposure to pornographic materials and commerical exploitation through prostitution or the production or the production</t>
  </si>
  <si>
    <t xml:space="preserve">    of pornographic materials.</t>
  </si>
  <si>
    <t>5/ Physical Neglect:  Purposely failure to act on behalf of a child or to provide adequately for a child; refusual of or delay in seeking health care (medical</t>
  </si>
  <si>
    <t xml:space="preserve">    attention), abandonment, expulsion from the home, inadequate supervision (lack of adult supervision); failure to enroll a child of mandatory school age in </t>
  </si>
  <si>
    <t xml:space="preserve">    school (educational neglect); or failure to attend to a special education need and chronic truancy.</t>
  </si>
  <si>
    <t>6/ Emotional Neglect:  Purposely not providing for a child's emotional needs; or marked inattention to the child's need for affection, refusal or failure to provide</t>
  </si>
  <si>
    <t xml:space="preserve">    provide needed psychological care, spouse abuse/family violence in the child's presence, and permission of drug/alcohol use by the child.</t>
  </si>
  <si>
    <t>Source:  Division of Children's Wellness, Bureau of Social Services Administration, Department of Public Health and Social</t>
  </si>
  <si>
    <t>Social Services</t>
  </si>
  <si>
    <t>Table 12-29  .   Abortions by Patients Age, Guam:  Calendar Year 2008 to 2017</t>
  </si>
  <si>
    <t>Table 12-30   .   Abortions by Patients Marital Status, Guam:  Calendar Years 2008 to 2017</t>
  </si>
  <si>
    <t>Table 12-31   .   Abortions by Type of Procedure Performed, Guam:  Calendar Years 2008 to 2017</t>
  </si>
  <si>
    <t>CY2017</t>
  </si>
  <si>
    <t>CY2016</t>
  </si>
  <si>
    <t>CY2015</t>
  </si>
  <si>
    <t>CY2014</t>
  </si>
  <si>
    <t>CY2013</t>
  </si>
  <si>
    <t>CY2012</t>
  </si>
  <si>
    <t>CY2011</t>
  </si>
  <si>
    <t>CY2010 R</t>
  </si>
  <si>
    <t>CY2009</t>
  </si>
  <si>
    <t>CY2008</t>
  </si>
  <si>
    <t xml:space="preserve">  Marital Status</t>
  </si>
  <si>
    <t xml:space="preserve"> Type of Procedure</t>
  </si>
  <si>
    <t xml:space="preserve">   Age Group</t>
  </si>
  <si>
    <t>13 - 17 years old</t>
  </si>
  <si>
    <t>Single</t>
  </si>
  <si>
    <t>Aspiration</t>
  </si>
  <si>
    <t>18 - 22 years old</t>
  </si>
  <si>
    <t>Married</t>
  </si>
  <si>
    <t>Digoxlm Amnlo-Infusion</t>
  </si>
  <si>
    <t>23 - 27 years old</t>
  </si>
  <si>
    <t>Divorced</t>
  </si>
  <si>
    <t>Dialation Cureltage (D&amp;C)</t>
  </si>
  <si>
    <t>28 - 32 years old</t>
  </si>
  <si>
    <t>D&amp;C plus Vacuum</t>
  </si>
  <si>
    <t>33 - 37 years old</t>
  </si>
  <si>
    <t>Dialation Extraction (D&amp;E)</t>
  </si>
  <si>
    <t>38 and over</t>
  </si>
  <si>
    <t>D&amp;E plus Vacuum</t>
  </si>
  <si>
    <t>Age not provided</t>
  </si>
  <si>
    <t>Note:  The information provided are generated by physicians [clinics] required by law to report all abortion procedures.</t>
  </si>
  <si>
    <t>Misoprestol</t>
  </si>
  <si>
    <t>Kel Cardiac</t>
  </si>
  <si>
    <t>Suction Cur</t>
  </si>
  <si>
    <t>Abortifacient Agent</t>
  </si>
  <si>
    <t>Cardiac Infusion</t>
  </si>
  <si>
    <t>RU 486</t>
  </si>
  <si>
    <t>Saline Solution</t>
  </si>
  <si>
    <t>Pitocln Augm</t>
  </si>
  <si>
    <t>Methotrexate</t>
  </si>
  <si>
    <t>Thoracentesis/Digoxin</t>
  </si>
  <si>
    <t>Cardiocentesis/Prgorin</t>
  </si>
  <si>
    <t>Desoxyn Amnio</t>
  </si>
  <si>
    <t>Digoxin Amnio</t>
  </si>
  <si>
    <t>Mifi Pristone</t>
  </si>
  <si>
    <t>RC486/MTX</t>
  </si>
  <si>
    <t>Table 12-32   .    Abortions by Patients Ethnic Origin, Guam:  Calendar Years 2008 to 2017</t>
  </si>
  <si>
    <t>Table 12-33  .    Patients Admitted for Abortion Procedure with Number of Previous Pregnancy, Guam:  Calendar Years 2008 to 2017</t>
  </si>
  <si>
    <t>Table 12-34  .   Patients Admitted for Abortion Procedure with Number of Living Children, Guam:  Calendar Years 2008 to 2017</t>
  </si>
  <si>
    <t>Table 12-35   .   Patients with Number of Previously Induced Abortions, Guam:  Calendar Year 2013 to 2017</t>
  </si>
  <si>
    <t>Table 12-36   .  Number of Abortions Performed by Facility, Guam:  Calendar Years 2008 to 2017</t>
  </si>
  <si>
    <t>Ethnic Orgin</t>
  </si>
  <si>
    <t>Number of Pregnancy</t>
  </si>
  <si>
    <t>Number of Children</t>
  </si>
  <si>
    <t>Number of Previously</t>
  </si>
  <si>
    <t>Women's</t>
  </si>
  <si>
    <t>Guam Memorial</t>
  </si>
  <si>
    <t>Women's Clinic and</t>
  </si>
  <si>
    <t>Induced Abortions</t>
  </si>
  <si>
    <t xml:space="preserve">  Years</t>
  </si>
  <si>
    <t>Polyclinic</t>
  </si>
  <si>
    <t>Clinic</t>
  </si>
  <si>
    <t>Hospital Authority</t>
  </si>
  <si>
    <t>GMHA Labor Room</t>
  </si>
  <si>
    <t>0 (None)</t>
  </si>
  <si>
    <t>4 +</t>
  </si>
  <si>
    <t>5 +</t>
  </si>
  <si>
    <t>Not stated</t>
  </si>
  <si>
    <t>Source:  Guam Memorial Hospital Authority</t>
  </si>
  <si>
    <t>Mexican</t>
  </si>
  <si>
    <t>Australian</t>
  </si>
  <si>
    <t>Dominican Republic</t>
  </si>
  <si>
    <t>Taiwanese</t>
  </si>
  <si>
    <t>Solomonese</t>
  </si>
  <si>
    <t xml:space="preserve">  Chuukese</t>
  </si>
  <si>
    <t xml:space="preserve">  Korsean</t>
  </si>
  <si>
    <t xml:space="preserve">  Pohnpeian</t>
  </si>
  <si>
    <t xml:space="preserve">  Yapese</t>
  </si>
  <si>
    <t xml:space="preserve">  Other FSM</t>
  </si>
  <si>
    <t>Multiethnicity</t>
  </si>
  <si>
    <t>1/ Cutting Wound of neck, foream or wrist.</t>
  </si>
  <si>
    <t>Source: Chief Medical Examiner Office, Government of Guam.</t>
  </si>
  <si>
    <t>Other (Specify) Overdose, substance unspecified</t>
  </si>
  <si>
    <t>Other (Specify) Jumping in front of vehicle</t>
  </si>
  <si>
    <t>Other (Specify) Gun wound, anatomical site unspecified</t>
  </si>
  <si>
    <t>Includes mix-ethnic based on first reported race.</t>
  </si>
  <si>
    <t>Other (Specify) Multiple drug overdose</t>
  </si>
  <si>
    <t>FSM = Federated States of Micronesia [Chuukese, Pohnpian, Kosraen Yapese]</t>
  </si>
  <si>
    <t>Other (Specify) Self inflicted cutting &amp; stab wounds</t>
  </si>
  <si>
    <t xml:space="preserve">Source: Chief Medical Examiner Office, Government of Guam. </t>
  </si>
  <si>
    <t>Source:  Office of the Chief Medical Examiner, Government of Guam.</t>
  </si>
  <si>
    <t>Stab wound to the chest</t>
  </si>
  <si>
    <t>Referred back to hospital after examine done</t>
  </si>
  <si>
    <t>Second &amp; Third Degree Burn (95% of body)</t>
  </si>
  <si>
    <t>Persian</t>
  </si>
  <si>
    <t>Aircraft/Industrial Accident</t>
  </si>
  <si>
    <t>Poly Pharmacy</t>
  </si>
  <si>
    <t>Homicide (Autopsy performed elsewhere)</t>
  </si>
  <si>
    <t>Opiates &amp; Amphetamine Toxicity, Synergistic</t>
  </si>
  <si>
    <t>Native American</t>
  </si>
  <si>
    <t>Other Accident (Sudden or Delayed Death)</t>
  </si>
  <si>
    <t>Jumped from moving vehicle</t>
  </si>
  <si>
    <t>Near Drowning Accident (Delayed deaths)</t>
  </si>
  <si>
    <t>Jumped from Height (Multiple Blunt force injuries)</t>
  </si>
  <si>
    <t>Auto Accidents (Passenger and or Delayed death)</t>
  </si>
  <si>
    <t>Near Hanging</t>
  </si>
  <si>
    <t>Suicide (Delayed death)</t>
  </si>
  <si>
    <t>Muriatic Acid Toxicity</t>
  </si>
  <si>
    <t>Natural</t>
  </si>
  <si>
    <t>Multiple fracture &amp; internal injuries</t>
  </si>
  <si>
    <t xml:space="preserve">   Non-Autopsies performed</t>
  </si>
  <si>
    <t>Isoniazid Toxicity</t>
  </si>
  <si>
    <t>Gunshot Wound - Chest</t>
  </si>
  <si>
    <t>Source:  Incidence Data reported from Guam to Pacific Regional Central Cancer Registry, 2007-2014</t>
  </si>
  <si>
    <t>Not Determined</t>
  </si>
  <si>
    <t>Gunshot Wound - Head</t>
  </si>
  <si>
    <t xml:space="preserve">   Yapese</t>
  </si>
  <si>
    <t>Cervical Cancer, invasive</t>
  </si>
  <si>
    <t>Other Accident</t>
  </si>
  <si>
    <r>
      <t>Exanguination</t>
    </r>
    <r>
      <rPr>
        <vertAlign val="superscript"/>
        <sz val="10"/>
        <rFont val="Arial"/>
        <family val="2"/>
      </rPr>
      <t xml:space="preserve"> 1/</t>
    </r>
  </si>
  <si>
    <t xml:space="preserve">   Pohnpeian</t>
  </si>
  <si>
    <t>Stomach</t>
  </si>
  <si>
    <t>Crushed head</t>
  </si>
  <si>
    <t xml:space="preserve">September </t>
  </si>
  <si>
    <t xml:space="preserve">   Kosraen</t>
  </si>
  <si>
    <t>50 years and over</t>
  </si>
  <si>
    <t>Leukemia</t>
  </si>
  <si>
    <t>Drowning Accident</t>
  </si>
  <si>
    <t>Chemical Burns of Esophagus, Stomach &amp; Intestine</t>
  </si>
  <si>
    <t xml:space="preserve">   Chuukese</t>
  </si>
  <si>
    <t>40 - 49 years</t>
  </si>
  <si>
    <t>Uterus</t>
  </si>
  <si>
    <t>Auto Accidents (Motor Vehicle Accident)</t>
  </si>
  <si>
    <t>Car Crash</t>
  </si>
  <si>
    <t>30 - 39 years</t>
  </si>
  <si>
    <t>Thyroid</t>
  </si>
  <si>
    <t>Homicide</t>
  </si>
  <si>
    <t>Basal Skull Fracture/Crush Crest (Motor Vehicle)</t>
  </si>
  <si>
    <t>Costa Rican</t>
  </si>
  <si>
    <t>20 - 29 years</t>
  </si>
  <si>
    <t>Liver</t>
  </si>
  <si>
    <t>Suicide</t>
  </si>
  <si>
    <t>Asphyxia-Plastic Bag</t>
  </si>
  <si>
    <t>10 - 19 years</t>
  </si>
  <si>
    <t>Colon &amp; Rectum</t>
  </si>
  <si>
    <t>Anoxic Encephalopthy/Delayed Death</t>
  </si>
  <si>
    <t xml:space="preserve">   Age Group (Total)</t>
  </si>
  <si>
    <t>59..3</t>
  </si>
  <si>
    <t>Prostate</t>
  </si>
  <si>
    <t xml:space="preserve">    Autopsies performed</t>
  </si>
  <si>
    <t>Asphyxia (Carbon Monoxide/Helium Inhalation)</t>
  </si>
  <si>
    <t>Breast</t>
  </si>
  <si>
    <t>Asphyxia-Hanging</t>
  </si>
  <si>
    <t>American Samoan</t>
  </si>
  <si>
    <t>Lung &amp; Bronchus</t>
  </si>
  <si>
    <t>Presumptive Death Certificates Issued</t>
  </si>
  <si>
    <t>Acetaminophen overdose (Tylenol)</t>
  </si>
  <si>
    <t xml:space="preserve">     All Sites</t>
  </si>
  <si>
    <t xml:space="preserve">     Total Investigated</t>
  </si>
  <si>
    <t xml:space="preserve">   Gender (Total)</t>
  </si>
  <si>
    <t>US
incidence
rate</t>
  </si>
  <si>
    <t xml:space="preserve">Incidence Rate
Adj to World Std Population
</t>
  </si>
  <si>
    <t xml:space="preserve">Incidence Rate
Adj to US Std
Population </t>
  </si>
  <si>
    <t>Crude rate</t>
  </si>
  <si>
    <t>No. of Cases</t>
  </si>
  <si>
    <t>Cancers</t>
  </si>
  <si>
    <t>Categories</t>
  </si>
  <si>
    <t>CY2018</t>
  </si>
  <si>
    <t>CY2019</t>
  </si>
  <si>
    <t>CY2020</t>
  </si>
  <si>
    <t>CY2021</t>
  </si>
  <si>
    <t>Month</t>
  </si>
  <si>
    <t>Table 12-42   .     Top 10 Adult Cancers:  Guam 2007-2014</t>
  </si>
  <si>
    <t>Table 12-41   .     Autopsies and Non-Autopsies Performed by Categories of Death, Guam:  Calendar Years 2013 to 2023</t>
  </si>
  <si>
    <t>Table 12-40   .     Suicide Deaths by Type and Year, Guam:  Calendar Years 2013 to 2023</t>
  </si>
  <si>
    <t>Table 12-39   .     Suicide Deaths by Month and Year, Guam: Calendar Years 2013 to 2023</t>
  </si>
  <si>
    <t>Table 12-38   .    Suicide Deaths by Ethnicity and Sex, Guam:  Calendar Years 2019 to 2023</t>
  </si>
  <si>
    <t>Table 12-37  .    Suicide Deaths by Gender and  Age Group, Guam:  Calendar Years 2013 to 2023</t>
  </si>
  <si>
    <t>Table 13-01  .  Gross Domestic Product (GDP) Summary Statistics, Guam:  2017 to 2022</t>
  </si>
  <si>
    <t>Table 13-05  .  Percent Change from Preceding Year in Real Gross Domestic Product (GDP), Guam:  2016 to 2022</t>
  </si>
  <si>
    <t>Table 13-15  .  Numerical &amp; Percentage Distribution By Household Income On Guam, 2019</t>
  </si>
  <si>
    <t>Table 13-17  .    Numerical &amp; Percentage Per Capita Money Income, Guam: 2010</t>
  </si>
  <si>
    <t>Table 13-18  .  Bankruptcy Filings by Business and Non-Business, Guam:  2018 to 2024</t>
  </si>
  <si>
    <t>Household</t>
  </si>
  <si>
    <t>Bankruptcy Filings</t>
  </si>
  <si>
    <t>GDP (millions of dollars)</t>
  </si>
  <si>
    <t>Gross Domestic Product</t>
  </si>
  <si>
    <t>Total Filings</t>
  </si>
  <si>
    <t>Real GDP (millions of chained 2009 dollars)</t>
  </si>
  <si>
    <t>Chapter 7</t>
  </si>
  <si>
    <t>Source:  Bureau of Economic Analysis, U.S. Department of Commerce</t>
  </si>
  <si>
    <t>Personal consumption expenditures</t>
  </si>
  <si>
    <t xml:space="preserve">   Less than $2,500</t>
  </si>
  <si>
    <t>Chapter 11</t>
  </si>
  <si>
    <t>Goods</t>
  </si>
  <si>
    <t xml:space="preserve">   $2,500 - 4,999</t>
  </si>
  <si>
    <t xml:space="preserve">   No Income</t>
  </si>
  <si>
    <t>Chapter 13</t>
  </si>
  <si>
    <t xml:space="preserve">   $5,000 - 9,999</t>
  </si>
  <si>
    <t>Under $1,000</t>
  </si>
  <si>
    <t>28,000 - 28,999</t>
  </si>
  <si>
    <t xml:space="preserve">   $10,000 - 14,999</t>
  </si>
  <si>
    <t>$1,000 - 1,999</t>
  </si>
  <si>
    <t>29,000 - 29,999</t>
  </si>
  <si>
    <t>Business (Total)</t>
  </si>
  <si>
    <t>Table 13-02  .  Gross Domestic Product (GDP) Summary Statistics, Guam:  2011 to 2016</t>
  </si>
  <si>
    <t>Private fixed investment</t>
  </si>
  <si>
    <t xml:space="preserve">   $15,000 - 19,999</t>
  </si>
  <si>
    <t>$2,000 - 2,999</t>
  </si>
  <si>
    <t>30,000 - 30,999</t>
  </si>
  <si>
    <t xml:space="preserve">   $20,000 - 24,999</t>
  </si>
  <si>
    <t>$3 ,000 - 3,999</t>
  </si>
  <si>
    <t>31,000 - 31,999</t>
  </si>
  <si>
    <t>Net exports</t>
  </si>
  <si>
    <t xml:space="preserve">   $25,000 - 29,999</t>
  </si>
  <si>
    <t>$4,000 - 4,999</t>
  </si>
  <si>
    <t>32,000 - 32,999</t>
  </si>
  <si>
    <t>Exports</t>
  </si>
  <si>
    <t xml:space="preserve">   $30,000 - 39,999</t>
  </si>
  <si>
    <t>$5,000 - 5,999</t>
  </si>
  <si>
    <t>33,000 - 33,999</t>
  </si>
  <si>
    <t xml:space="preserve">   $40,000 - 49,999</t>
  </si>
  <si>
    <t>$6,000 - 6,999</t>
  </si>
  <si>
    <t>34,000 - 34,999</t>
  </si>
  <si>
    <t>Non Business (Total)</t>
  </si>
  <si>
    <t xml:space="preserve">   $50,000 - 59,999</t>
  </si>
  <si>
    <t>$7,000 - 7,999</t>
  </si>
  <si>
    <t>35,000 - 35,999</t>
  </si>
  <si>
    <t>Imports</t>
  </si>
  <si>
    <t xml:space="preserve">   $60,000 - 74,999</t>
  </si>
  <si>
    <t>$8,000 - 8,999</t>
  </si>
  <si>
    <t>36,000 - 36,999</t>
  </si>
  <si>
    <t xml:space="preserve">   $75,000 - 99,999</t>
  </si>
  <si>
    <t>$9,000 - 9,999</t>
  </si>
  <si>
    <t>37,000 - 37,999</t>
  </si>
  <si>
    <t>Table 13-03  .  Gross Domestic Product (GDP), Guam:  2016 to 2022</t>
  </si>
  <si>
    <t xml:space="preserve">   $100,000 - 124,999</t>
  </si>
  <si>
    <t>$10,000 - 10,999</t>
  </si>
  <si>
    <t>38,000 - 38,999</t>
  </si>
  <si>
    <t xml:space="preserve">   $125,000 - or more</t>
  </si>
  <si>
    <t>$11,000 - 11,999</t>
  </si>
  <si>
    <t>39,000 - 39,999</t>
  </si>
  <si>
    <t>Consumer Percent</t>
  </si>
  <si>
    <t>Government consumption expenditures</t>
  </si>
  <si>
    <t>$12,000 - 12,999</t>
  </si>
  <si>
    <t>40,000 - 40,999</t>
  </si>
  <si>
    <t>and gross investment</t>
  </si>
  <si>
    <t>$13,000 - 13,999</t>
  </si>
  <si>
    <t>41,000 - 41,999</t>
  </si>
  <si>
    <t>$14,000 - 14,999</t>
  </si>
  <si>
    <t>42,000 - 42,999</t>
  </si>
  <si>
    <t>Territorial</t>
  </si>
  <si>
    <t>Median Household Income</t>
  </si>
  <si>
    <t>$15,000 - 15,999</t>
  </si>
  <si>
    <t>43,000 - 43,999</t>
  </si>
  <si>
    <t>Source:  American Bankruptcy Institute</t>
  </si>
  <si>
    <t>$16,000 - 16,999</t>
  </si>
  <si>
    <t>44,000 - 44,999</t>
  </si>
  <si>
    <t>Note 1:  Chapter 7:    provides for the "liquididation", i.e., the sale of debtor's nonexempt property and distribution to creditors</t>
  </si>
  <si>
    <t>Note:  Parentheses ( ) denote negative</t>
  </si>
  <si>
    <t>Mean Household Income</t>
  </si>
  <si>
    <t>$17,000 - 17,999</t>
  </si>
  <si>
    <t>45,000 - 45,999</t>
  </si>
  <si>
    <t xml:space="preserve">            Chapter 11:   reorganization bankruptcy, usually involving a corporation or partnership</t>
  </si>
  <si>
    <t>Net foreign travel</t>
  </si>
  <si>
    <t>$18,000 - 18,999</t>
  </si>
  <si>
    <t>46,000 - 46,999</t>
  </si>
  <si>
    <t xml:space="preserve">            Chapter 12:   providing for the adjustment of debts of a "family farmer"</t>
  </si>
  <si>
    <t>Average Household Size</t>
  </si>
  <si>
    <t>$19,000 - 19,999</t>
  </si>
  <si>
    <t>47,000 - 47,999</t>
  </si>
  <si>
    <t xml:space="preserve">            Chapter 13:   providing for the adjustment of debts for an individual with regular income</t>
  </si>
  <si>
    <t>Source: U.S. Census Bureau</t>
  </si>
  <si>
    <t>$20,000 - 20,999</t>
  </si>
  <si>
    <t>48,000 - 48,999</t>
  </si>
  <si>
    <t>Table 13-06  .  Contributions to Percent Change in Real Gross Domestic Product (GDP), Guam:  2016 to 2022</t>
  </si>
  <si>
    <t>$21,000 - 21,999</t>
  </si>
  <si>
    <t>49,000 - 49,999</t>
  </si>
  <si>
    <t>$22,000 - 22,999</t>
  </si>
  <si>
    <t>50,000 - 59,999</t>
  </si>
  <si>
    <t>Percent change:</t>
  </si>
  <si>
    <t>$23,000 - 23,999</t>
  </si>
  <si>
    <t>60,000 - 69,999</t>
  </si>
  <si>
    <t>$24,000 - 24,999</t>
  </si>
  <si>
    <t>70,000 - 79,999</t>
  </si>
  <si>
    <t>Table 13-19  .  Bankruptcy Filings by Business and Non-Business, Guam:  2011 to 2017</t>
  </si>
  <si>
    <t>Table 13-16  .  Numerical &amp; Percentage Distribution By Household Income On Guam, 2001 to 2010</t>
  </si>
  <si>
    <t>$25,000 - 25,999</t>
  </si>
  <si>
    <t>80,000 - 89,999</t>
  </si>
  <si>
    <t>Percentage points:</t>
  </si>
  <si>
    <t>$26,000 - 26,999</t>
  </si>
  <si>
    <t>90,000 - 99,999</t>
  </si>
  <si>
    <t>$27,000 - 27,999</t>
  </si>
  <si>
    <t>100,000 &amp; Above</t>
  </si>
  <si>
    <t xml:space="preserve">   Under $3,000</t>
  </si>
  <si>
    <t xml:space="preserve">   $3,000 - 4,999</t>
  </si>
  <si>
    <t>Per Capita Income ($)</t>
  </si>
  <si>
    <t xml:space="preserve">   $5,000 - 6,999</t>
  </si>
  <si>
    <t xml:space="preserve">   $7,000 - 8,999</t>
  </si>
  <si>
    <t>Median Individual Income ($)</t>
  </si>
  <si>
    <t xml:space="preserve">   $9,000 - 10,999</t>
  </si>
  <si>
    <t xml:space="preserve">   $11,000 - 12,999</t>
  </si>
  <si>
    <t>Mean Earner's Income ($)</t>
  </si>
  <si>
    <t xml:space="preserve">   $13,000 - 14,999</t>
  </si>
  <si>
    <t>Source: Household &amp; Per Capita Income: 2010, Department of Labor, Government of Guam</t>
  </si>
  <si>
    <t xml:space="preserve">   $20,000 - 29,999</t>
  </si>
  <si>
    <t>Table 13-04  .  Real Gross Domestic Product (GDP), Chained Dollars, Guam:  2016 to 2022</t>
  </si>
  <si>
    <t>[Millions of chained (2012) Dollars]</t>
  </si>
  <si>
    <t xml:space="preserve">   $60,000 - 69,999</t>
  </si>
  <si>
    <t xml:space="preserve">   $70,000 - 79,999</t>
  </si>
  <si>
    <t xml:space="preserve">   $80,000 - 89,999</t>
  </si>
  <si>
    <t xml:space="preserve">   $90,000 - 99,999</t>
  </si>
  <si>
    <t xml:space="preserve">   $100,000 &amp; Above</t>
  </si>
  <si>
    <t>Notes:  Chapter 7:     provides for the "liquididation", i.e., the sale of debtor's nonexempt property and distribution to creditors</t>
  </si>
  <si>
    <t>Table 13-07  .  Percent Change from Preceding Year in Prices for Gross Domestic Product (GDP)</t>
  </si>
  <si>
    <t xml:space="preserve">                      and Price Indexes for Gross Domestic Product, Guam:  2016 to 2022</t>
  </si>
  <si>
    <t>Average Earners per Household</t>
  </si>
  <si>
    <t>[Index number, 2012 = 100]</t>
  </si>
  <si>
    <t>Source: Guam Department of Labor, Government of Guam</t>
  </si>
  <si>
    <t>Table 13-08  .  Gross Domestic Income, Guam:  2016 to 2022</t>
  </si>
  <si>
    <t>[Millions of dollars]</t>
  </si>
  <si>
    <t>Gross Domestic Income</t>
  </si>
  <si>
    <t>Compensation of employees</t>
  </si>
  <si>
    <t>Taxes on production and imports less subsidies</t>
  </si>
  <si>
    <t>Gross operating surplus</t>
  </si>
  <si>
    <t>Note:  Detail may not add to total because of rounding.</t>
  </si>
  <si>
    <t>Table 13-09  .  Value Added by Industry, Guam:  2015 to 2021</t>
  </si>
  <si>
    <t>Private industries</t>
  </si>
  <si>
    <t>Wholesale and Retail Trade</t>
  </si>
  <si>
    <t>Accommodations, Food Services and Amusement</t>
  </si>
  <si>
    <t>Other Private</t>
  </si>
  <si>
    <t>Table 13-10  .  Value Added by Industry as a Percentage of GDP, Guam:  2015 to 2021</t>
  </si>
  <si>
    <t>[Percent]</t>
  </si>
  <si>
    <t>Table 13-11  .  Real Value Added by Industry, Guam:  2015 to 2021</t>
  </si>
  <si>
    <t>[Millions of chained (2012) dollars]</t>
  </si>
  <si>
    <t>Table 13-12  .  Percent Changes in Real Value Added by Industry, Guam:  2015 to 2021</t>
  </si>
  <si>
    <t>Table 13-13  .  Contributions to Percent Change in Real Gross Domestic Product by Industry, Guam:  2015 to 2021</t>
  </si>
  <si>
    <t>Table 13-14  .  Compensation of Employees by Industry, Guam:  2015 to 2021</t>
  </si>
  <si>
    <t>Total compensation</t>
  </si>
  <si>
    <t>Table 14-01.1   .   Insular Areas Economic Indicators Summary</t>
  </si>
  <si>
    <t>Table 14-02   .   Age by Sex:  2020 Census</t>
  </si>
  <si>
    <t>Table 14-03   .   Relationship:  2020 Census</t>
  </si>
  <si>
    <t>Table 14-04   .   School Enrollment:  2020 Census</t>
  </si>
  <si>
    <t>Table 14-05   .   Educational Attainment:  2020 Census</t>
  </si>
  <si>
    <t>Table 14-06   .   Sex by Marital Status:  2020 Census</t>
  </si>
  <si>
    <t>Table 14-07   .   Employment Status and Subsistence Activity:  2020 Census</t>
  </si>
  <si>
    <t>Table 14-08   .   Housing Occupancy:  2020 Census</t>
  </si>
  <si>
    <t>Table 14-09   .   Housing Tenure:  2020 Census</t>
  </si>
  <si>
    <t>Table 14-10   .   Year Structure Built:  2020 Census</t>
  </si>
  <si>
    <t>Insular</t>
  </si>
  <si>
    <t>Estimated</t>
  </si>
  <si>
    <t>Average Persons</t>
  </si>
  <si>
    <t>Median HH</t>
  </si>
  <si>
    <t>Per Capita</t>
  </si>
  <si>
    <t>Universe: Total population</t>
  </si>
  <si>
    <t>Universe: Population 3 years and over enrolled in school</t>
  </si>
  <si>
    <t>Universe: Population 25 years and over</t>
  </si>
  <si>
    <t>Universe: Population 15 years and over</t>
  </si>
  <si>
    <t>Universe: Population 16 years and over</t>
  </si>
  <si>
    <t>Universe: Total Housing Units</t>
  </si>
  <si>
    <t>Universe: Occupied Housing Units</t>
  </si>
  <si>
    <t>Per Household</t>
  </si>
  <si>
    <t>American</t>
  </si>
  <si>
    <t>US Virgin</t>
  </si>
  <si>
    <r>
      <t>153,836</t>
    </r>
    <r>
      <rPr>
        <vertAlign val="superscript"/>
        <sz val="10"/>
        <rFont val="Arial"/>
        <family val="2"/>
      </rPr>
      <t xml:space="preserve"> 15/</t>
    </r>
  </si>
  <si>
    <r>
      <t xml:space="preserve">33.7 </t>
    </r>
    <r>
      <rPr>
        <vertAlign val="superscript"/>
        <sz val="10"/>
        <rFont val="Arial"/>
        <family val="2"/>
      </rPr>
      <t>15/</t>
    </r>
  </si>
  <si>
    <r>
      <t>3.4</t>
    </r>
    <r>
      <rPr>
        <vertAlign val="superscript"/>
        <sz val="10"/>
        <rFont val="Arial"/>
        <family val="2"/>
      </rPr>
      <t xml:space="preserve"> 15/</t>
    </r>
  </si>
  <si>
    <r>
      <t>$58,289</t>
    </r>
    <r>
      <rPr>
        <vertAlign val="superscript"/>
        <sz val="10"/>
        <rFont val="Arial"/>
        <family val="2"/>
      </rPr>
      <t>14/</t>
    </r>
  </si>
  <si>
    <r>
      <t xml:space="preserve">$12,864 </t>
    </r>
    <r>
      <rPr>
        <vertAlign val="superscript"/>
        <sz val="10"/>
        <rFont val="Arial"/>
        <family val="2"/>
      </rPr>
      <t>5/</t>
    </r>
  </si>
  <si>
    <t>Demographic Profile Subject</t>
  </si>
  <si>
    <t>Samoa</t>
  </si>
  <si>
    <t>Islands</t>
  </si>
  <si>
    <r>
      <t>49,710</t>
    </r>
    <r>
      <rPr>
        <vertAlign val="superscript"/>
        <sz val="10"/>
        <rFont val="Arial"/>
        <family val="2"/>
      </rPr>
      <t>15/</t>
    </r>
  </si>
  <si>
    <r>
      <t xml:space="preserve">27.7 </t>
    </r>
    <r>
      <rPr>
        <vertAlign val="superscript"/>
        <sz val="10"/>
        <rFont val="Arial"/>
        <family val="2"/>
      </rPr>
      <t>15/</t>
    </r>
  </si>
  <si>
    <r>
      <t xml:space="preserve">5.0 </t>
    </r>
    <r>
      <rPr>
        <vertAlign val="superscript"/>
        <sz val="10"/>
        <rFont val="Arial"/>
        <family val="2"/>
      </rPr>
      <t>15/</t>
    </r>
  </si>
  <si>
    <r>
      <t>$28,352</t>
    </r>
    <r>
      <rPr>
        <vertAlign val="superscript"/>
        <sz val="10"/>
        <rFont val="Arial"/>
        <family val="2"/>
      </rPr>
      <t xml:space="preserve"> 14/</t>
    </r>
  </si>
  <si>
    <r>
      <t xml:space="preserve">$6,311 </t>
    </r>
    <r>
      <rPr>
        <vertAlign val="superscript"/>
        <sz val="10"/>
        <rFont val="Arial"/>
        <family val="2"/>
      </rPr>
      <t>4/</t>
    </r>
  </si>
  <si>
    <t>Total:</t>
  </si>
  <si>
    <t>Commonwealth of the Northern Mariana Islands</t>
  </si>
  <si>
    <r>
      <t>47,329</t>
    </r>
    <r>
      <rPr>
        <vertAlign val="superscript"/>
        <sz val="10"/>
        <rFont val="Arial"/>
        <family val="2"/>
      </rPr>
      <t>15/</t>
    </r>
  </si>
  <si>
    <r>
      <t>34.4</t>
    </r>
    <r>
      <rPr>
        <vertAlign val="superscript"/>
        <sz val="10"/>
        <rFont val="Arial"/>
        <family val="2"/>
      </rPr>
      <t xml:space="preserve"> 15/</t>
    </r>
  </si>
  <si>
    <r>
      <t xml:space="preserve">3.2 </t>
    </r>
    <r>
      <rPr>
        <vertAlign val="superscript"/>
        <sz val="10"/>
        <rFont val="Arial"/>
        <family val="2"/>
      </rPr>
      <t>15/</t>
    </r>
  </si>
  <si>
    <r>
      <t>$31,362</t>
    </r>
    <r>
      <rPr>
        <vertAlign val="superscript"/>
        <sz val="10"/>
        <rFont val="Arial"/>
        <family val="2"/>
      </rPr>
      <t xml:space="preserve"> 14/</t>
    </r>
  </si>
  <si>
    <r>
      <t xml:space="preserve">$9,656 </t>
    </r>
    <r>
      <rPr>
        <vertAlign val="superscript"/>
        <sz val="10"/>
        <rFont val="Arial"/>
        <family val="2"/>
      </rPr>
      <t>4/</t>
    </r>
  </si>
  <si>
    <t>In households:</t>
  </si>
  <si>
    <t>Nursery school, preschool or pre-kindergarten</t>
  </si>
  <si>
    <t>Less than 9th grade</t>
  </si>
  <si>
    <t>In labor force</t>
  </si>
  <si>
    <t>Occupied housing units</t>
  </si>
  <si>
    <t>Owner-occupied housing units</t>
  </si>
  <si>
    <t>Built 2019 to 2020</t>
  </si>
  <si>
    <r>
      <t xml:space="preserve">102,624 </t>
    </r>
    <r>
      <rPr>
        <vertAlign val="superscript"/>
        <sz val="10"/>
        <rFont val="Arial"/>
        <family val="2"/>
      </rPr>
      <t>5/</t>
    </r>
  </si>
  <si>
    <r>
      <t xml:space="preserve">115,021 </t>
    </r>
    <r>
      <rPr>
        <vertAlign val="superscript"/>
        <sz val="10"/>
        <rFont val="Arial"/>
        <family val="2"/>
      </rPr>
      <t>15/</t>
    </r>
  </si>
  <si>
    <r>
      <t xml:space="preserve">21.5 </t>
    </r>
    <r>
      <rPr>
        <vertAlign val="superscript"/>
        <sz val="10"/>
        <rFont val="Arial"/>
        <family val="2"/>
      </rPr>
      <t>5/</t>
    </r>
  </si>
  <si>
    <r>
      <t xml:space="preserve">6.1 </t>
    </r>
    <r>
      <rPr>
        <vertAlign val="superscript"/>
        <sz val="10"/>
        <rFont val="Arial"/>
        <family val="2"/>
      </rPr>
      <t>5/</t>
    </r>
  </si>
  <si>
    <r>
      <t xml:space="preserve">$12,390 </t>
    </r>
    <r>
      <rPr>
        <vertAlign val="superscript"/>
        <sz val="10"/>
        <rFont val="Arial"/>
        <family val="2"/>
      </rPr>
      <t>1/</t>
    </r>
  </si>
  <si>
    <r>
      <t xml:space="preserve">$3,034 </t>
    </r>
    <r>
      <rPr>
        <vertAlign val="superscript"/>
        <sz val="10"/>
        <rFont val="Arial"/>
        <family val="2"/>
      </rPr>
      <t>8/</t>
    </r>
  </si>
  <si>
    <t>Householder</t>
  </si>
  <si>
    <t>Kindergarten</t>
  </si>
  <si>
    <t>9th to 12 grade, no diploma</t>
  </si>
  <si>
    <t>Civilian</t>
  </si>
  <si>
    <t>Vacant units</t>
  </si>
  <si>
    <t>Renter-occupied housing units</t>
  </si>
  <si>
    <t>Built 2010 to 2018</t>
  </si>
  <si>
    <r>
      <t>53,158</t>
    </r>
    <r>
      <rPr>
        <vertAlign val="superscript"/>
        <sz val="10"/>
        <rFont val="Arial"/>
        <family val="2"/>
      </rPr>
      <t xml:space="preserve"> 6/</t>
    </r>
  </si>
  <si>
    <r>
      <t xml:space="preserve">59,194 </t>
    </r>
    <r>
      <rPr>
        <vertAlign val="superscript"/>
        <sz val="10"/>
        <rFont val="Arial"/>
        <family val="2"/>
      </rPr>
      <t>15/</t>
    </r>
  </si>
  <si>
    <r>
      <t xml:space="preserve">20.6 </t>
    </r>
    <r>
      <rPr>
        <vertAlign val="superscript"/>
        <sz val="10"/>
        <rFont val="Arial"/>
        <family val="2"/>
      </rPr>
      <t>6/</t>
    </r>
  </si>
  <si>
    <r>
      <t xml:space="preserve">6.8 </t>
    </r>
    <r>
      <rPr>
        <vertAlign val="superscript"/>
        <sz val="10"/>
        <rFont val="Arial"/>
        <family val="2"/>
      </rPr>
      <t>6/</t>
    </r>
  </si>
  <si>
    <r>
      <t xml:space="preserve">$6,476 </t>
    </r>
    <r>
      <rPr>
        <vertAlign val="superscript"/>
        <sz val="10"/>
        <rFont val="Arial"/>
        <family val="2"/>
      </rPr>
      <t>6/</t>
    </r>
  </si>
  <si>
    <r>
      <t xml:space="preserve">$2,215 </t>
    </r>
    <r>
      <rPr>
        <vertAlign val="superscript"/>
        <sz val="10"/>
        <rFont val="Arial"/>
        <family val="2"/>
      </rPr>
      <t>2/</t>
    </r>
  </si>
  <si>
    <t>Spouse</t>
  </si>
  <si>
    <t>Elementary school (grades 1-8)</t>
  </si>
  <si>
    <t>High school graduate (includes equivalency)</t>
  </si>
  <si>
    <t>Now married (except separated)</t>
  </si>
  <si>
    <t>Employed</t>
  </si>
  <si>
    <t>For seasonal, recreational, or occasional use</t>
  </si>
  <si>
    <t>Source:  U.S. Census Bureau</t>
  </si>
  <si>
    <t>Built 2000 to 2009</t>
  </si>
  <si>
    <t>Republic of Palau</t>
  </si>
  <si>
    <r>
      <t xml:space="preserve">17,661 </t>
    </r>
    <r>
      <rPr>
        <vertAlign val="superscript"/>
        <sz val="10"/>
        <rFont val="Arial"/>
        <family val="2"/>
      </rPr>
      <t>10/</t>
    </r>
  </si>
  <si>
    <r>
      <t xml:space="preserve">18,092 </t>
    </r>
    <r>
      <rPr>
        <vertAlign val="superscript"/>
        <sz val="10"/>
        <rFont val="Arial"/>
        <family val="2"/>
      </rPr>
      <t>15/</t>
    </r>
  </si>
  <si>
    <r>
      <t xml:space="preserve">35.9 </t>
    </r>
    <r>
      <rPr>
        <vertAlign val="superscript"/>
        <sz val="10"/>
        <rFont val="Arial"/>
        <family val="2"/>
      </rPr>
      <t>10/</t>
    </r>
  </si>
  <si>
    <r>
      <t>3.5</t>
    </r>
    <r>
      <rPr>
        <vertAlign val="superscript"/>
        <sz val="10"/>
        <rFont val="Arial"/>
        <family val="2"/>
      </rPr>
      <t xml:space="preserve"> 15/</t>
    </r>
  </si>
  <si>
    <r>
      <t xml:space="preserve">$15,107 </t>
    </r>
    <r>
      <rPr>
        <vertAlign val="superscript"/>
        <sz val="10"/>
        <rFont val="Arial"/>
        <family val="2"/>
      </rPr>
      <t>1/</t>
    </r>
  </si>
  <si>
    <r>
      <t xml:space="preserve">$5,097 </t>
    </r>
    <r>
      <rPr>
        <vertAlign val="superscript"/>
        <sz val="10"/>
        <rFont val="Arial"/>
        <family val="2"/>
      </rPr>
      <t>1/</t>
    </r>
  </si>
  <si>
    <t>15 to 19 years</t>
  </si>
  <si>
    <t>Unmarried partner</t>
  </si>
  <si>
    <t>High school (grades 9-12)</t>
  </si>
  <si>
    <t>Some college, no degree</t>
  </si>
  <si>
    <t>Unemployed</t>
  </si>
  <si>
    <t>Note:  CNMI = Commonwealth of the Northern Mariana Islands</t>
  </si>
  <si>
    <t>Built 1990 to 1999</t>
  </si>
  <si>
    <r>
      <t>87,146</t>
    </r>
    <r>
      <rPr>
        <vertAlign val="superscript"/>
        <sz val="10"/>
        <rFont val="Arial"/>
        <family val="2"/>
      </rPr>
      <t>15/</t>
    </r>
  </si>
  <si>
    <r>
      <t xml:space="preserve">45.9 </t>
    </r>
    <r>
      <rPr>
        <vertAlign val="superscript"/>
        <sz val="10"/>
        <rFont val="Arial"/>
        <family val="2"/>
      </rPr>
      <t>15/</t>
    </r>
  </si>
  <si>
    <r>
      <t xml:space="preserve">2.1 </t>
    </r>
    <r>
      <rPr>
        <vertAlign val="superscript"/>
        <sz val="10"/>
        <rFont val="Arial"/>
        <family val="2"/>
      </rPr>
      <t>15/</t>
    </r>
  </si>
  <si>
    <r>
      <t xml:space="preserve">$40,408 </t>
    </r>
    <r>
      <rPr>
        <vertAlign val="superscript"/>
        <sz val="10"/>
        <rFont val="Arial"/>
        <family val="2"/>
      </rPr>
      <t>14/</t>
    </r>
  </si>
  <si>
    <r>
      <t xml:space="preserve">$23,202 </t>
    </r>
    <r>
      <rPr>
        <vertAlign val="superscript"/>
        <sz val="10"/>
        <rFont val="Arial"/>
        <family val="2"/>
      </rPr>
      <t>7/</t>
    </r>
  </si>
  <si>
    <t>20 to 24 years</t>
  </si>
  <si>
    <t>Child:</t>
  </si>
  <si>
    <t>College, graduate or professional school</t>
  </si>
  <si>
    <t>Associate's degree</t>
  </si>
  <si>
    <t>Armed Forces</t>
  </si>
  <si>
    <t>Built 1980 to 1989</t>
  </si>
  <si>
    <t>Source:  Insular areas websites; Statistical Enhancement Program, Office of Insular Affairs, Department of the Interior; Secretariat of the Pacific Community</t>
  </si>
  <si>
    <t>Under 18 years</t>
  </si>
  <si>
    <t>Bachelor's degree</t>
  </si>
  <si>
    <t>Not in labor force</t>
  </si>
  <si>
    <t>Built 1970 to 1979</t>
  </si>
  <si>
    <t xml:space="preserve">              U.S. Census Bureau, International Programs Center; International Monetary Fund; World Bank</t>
  </si>
  <si>
    <t>30 to 34 years</t>
  </si>
  <si>
    <t>18 to 26 years</t>
  </si>
  <si>
    <t>Graduate or professional degree</t>
  </si>
  <si>
    <t>Built 1960 to 1969</t>
  </si>
  <si>
    <t>HH = Household</t>
  </si>
  <si>
    <t>35 to 39 years</t>
  </si>
  <si>
    <t>Other relatives:</t>
  </si>
  <si>
    <t>Built 1950 to 1959</t>
  </si>
  <si>
    <r>
      <t xml:space="preserve"> 1/</t>
    </r>
    <r>
      <rPr>
        <sz val="11"/>
        <color theme="1"/>
        <rFont val="Calibri"/>
        <family val="2"/>
        <scheme val="minor"/>
      </rPr>
      <t xml:space="preserve"> 2005               </t>
    </r>
    <r>
      <rPr>
        <vertAlign val="superscript"/>
        <sz val="10"/>
        <rFont val="Arial"/>
        <family val="2"/>
      </rPr>
      <t>2/</t>
    </r>
    <r>
      <rPr>
        <sz val="11"/>
        <color theme="1"/>
        <rFont val="Calibri"/>
        <family val="2"/>
        <scheme val="minor"/>
      </rPr>
      <t xml:space="preserve"> 2006               </t>
    </r>
    <r>
      <rPr>
        <vertAlign val="superscript"/>
        <sz val="10"/>
        <rFont val="Arial"/>
        <family val="2"/>
      </rPr>
      <t>3/</t>
    </r>
    <r>
      <rPr>
        <sz val="11"/>
        <color theme="1"/>
        <rFont val="Calibri"/>
        <family val="2"/>
        <scheme val="minor"/>
      </rPr>
      <t xml:space="preserve"> 2007</t>
    </r>
  </si>
  <si>
    <r>
      <t xml:space="preserve">  4/</t>
    </r>
    <r>
      <rPr>
        <sz val="11"/>
        <color theme="1"/>
        <rFont val="Calibri"/>
        <family val="2"/>
        <scheme val="minor"/>
      </rPr>
      <t xml:space="preserve"> 2009</t>
    </r>
  </si>
  <si>
    <r>
      <t xml:space="preserve">  5/</t>
    </r>
    <r>
      <rPr>
        <sz val="11"/>
        <color theme="1"/>
        <rFont val="Calibri"/>
        <family val="2"/>
        <scheme val="minor"/>
      </rPr>
      <t xml:space="preserve"> 2010</t>
    </r>
  </si>
  <si>
    <r>
      <t xml:space="preserve">  6/</t>
    </r>
    <r>
      <rPr>
        <sz val="11"/>
        <color theme="1"/>
        <rFont val="Calibri"/>
        <family val="2"/>
        <scheme val="minor"/>
      </rPr>
      <t xml:space="preserve"> 2011</t>
    </r>
  </si>
  <si>
    <r>
      <t xml:space="preserve">  7/</t>
    </r>
    <r>
      <rPr>
        <sz val="11"/>
        <color theme="1"/>
        <rFont val="Calibri"/>
        <family val="2"/>
        <scheme val="minor"/>
      </rPr>
      <t xml:space="preserve"> 2012</t>
    </r>
  </si>
  <si>
    <r>
      <t xml:space="preserve">  8/</t>
    </r>
    <r>
      <rPr>
        <sz val="11"/>
        <color theme="1"/>
        <rFont val="Calibri"/>
        <family val="2"/>
        <scheme val="minor"/>
      </rPr>
      <t xml:space="preserve"> 2013</t>
    </r>
  </si>
  <si>
    <t>40 to 44 years</t>
  </si>
  <si>
    <t>Built 1940 to 1949</t>
  </si>
  <si>
    <r>
      <t>9/</t>
    </r>
    <r>
      <rPr>
        <sz val="11"/>
        <rFont val="Calibri"/>
        <family val="2"/>
      </rPr>
      <t xml:space="preserve">2014                    </t>
    </r>
    <r>
      <rPr>
        <vertAlign val="superscript"/>
        <sz val="11"/>
        <rFont val="Calibri"/>
        <family val="2"/>
      </rPr>
      <t>10/</t>
    </r>
    <r>
      <rPr>
        <sz val="11"/>
        <rFont val="Calibri"/>
        <family val="2"/>
      </rPr>
      <t xml:space="preserve">2015                   </t>
    </r>
    <r>
      <rPr>
        <vertAlign val="superscript"/>
        <sz val="11"/>
        <rFont val="Calibri"/>
        <family val="2"/>
      </rPr>
      <t>11/</t>
    </r>
    <r>
      <rPr>
        <sz val="11"/>
        <rFont val="Calibri"/>
        <family val="2"/>
      </rPr>
      <t>2016</t>
    </r>
  </si>
  <si>
    <r>
      <t>12/</t>
    </r>
    <r>
      <rPr>
        <sz val="11"/>
        <color theme="1"/>
        <rFont val="Calibri"/>
        <family val="2"/>
        <scheme val="minor"/>
      </rPr>
      <t xml:space="preserve"> 2017</t>
    </r>
  </si>
  <si>
    <r>
      <t>13/</t>
    </r>
    <r>
      <rPr>
        <sz val="11"/>
        <color theme="1"/>
        <rFont val="Calibri"/>
        <family val="2"/>
        <scheme val="minor"/>
      </rPr>
      <t xml:space="preserve"> 2018</t>
    </r>
  </si>
  <si>
    <r>
      <t>14/</t>
    </r>
    <r>
      <rPr>
        <sz val="11"/>
        <color theme="1"/>
        <rFont val="Calibri"/>
        <family val="2"/>
        <scheme val="minor"/>
      </rPr>
      <t xml:space="preserve"> 2019</t>
    </r>
  </si>
  <si>
    <r>
      <t>15/</t>
    </r>
    <r>
      <rPr>
        <sz val="11"/>
        <color theme="1"/>
        <rFont val="Calibri"/>
        <family val="2"/>
        <scheme val="minor"/>
      </rPr>
      <t xml:space="preserve"> 2020</t>
    </r>
  </si>
  <si>
    <t>45 to 49 years</t>
  </si>
  <si>
    <t xml:space="preserve">65 years and over </t>
  </si>
  <si>
    <t>Built 1939 or earlier</t>
  </si>
  <si>
    <t>50 to 54 years</t>
  </si>
  <si>
    <t>Nonrelatives:</t>
  </si>
  <si>
    <t>55 to 59 years</t>
  </si>
  <si>
    <t>60 to 64 years</t>
  </si>
  <si>
    <t>Table 14-01.2   .   Insular Areas Economic Indicators Summary</t>
  </si>
  <si>
    <t>65 to 69 years</t>
  </si>
  <si>
    <t>In group quarters:</t>
  </si>
  <si>
    <t>Nominal GDP</t>
  </si>
  <si>
    <t>Gross Business</t>
  </si>
  <si>
    <t>Inflation Rate</t>
  </si>
  <si>
    <t>70 to 74 years</t>
  </si>
  <si>
    <t>Institutionalized population:</t>
  </si>
  <si>
    <t>(Millions)</t>
  </si>
  <si>
    <t>Receipts (Millions)</t>
  </si>
  <si>
    <t>Annual Average</t>
  </si>
  <si>
    <t>75 to 79 years</t>
  </si>
  <si>
    <r>
      <t xml:space="preserve">$5,844.0 </t>
    </r>
    <r>
      <rPr>
        <vertAlign val="superscript"/>
        <sz val="10"/>
        <rFont val="Arial"/>
        <family val="2"/>
      </rPr>
      <t>15/</t>
    </r>
  </si>
  <si>
    <r>
      <t xml:space="preserve">$296.5 </t>
    </r>
    <r>
      <rPr>
        <vertAlign val="superscript"/>
        <sz val="11"/>
        <rFont val="Arial"/>
        <family val="2"/>
      </rPr>
      <t>15</t>
    </r>
    <r>
      <rPr>
        <vertAlign val="superscript"/>
        <sz val="10"/>
        <rFont val="Arial"/>
        <family val="2"/>
      </rPr>
      <t xml:space="preserve">/ </t>
    </r>
  </si>
  <si>
    <r>
      <t xml:space="preserve">$705.2 </t>
    </r>
    <r>
      <rPr>
        <vertAlign val="superscript"/>
        <sz val="10"/>
        <rFont val="Arial"/>
        <family val="2"/>
      </rPr>
      <t>10/</t>
    </r>
  </si>
  <si>
    <r>
      <t xml:space="preserve">$39.6 </t>
    </r>
    <r>
      <rPr>
        <vertAlign val="superscript"/>
        <sz val="10"/>
        <rFont val="Arial"/>
        <family val="2"/>
      </rPr>
      <t>10/</t>
    </r>
  </si>
  <si>
    <r>
      <t xml:space="preserve">4.1 </t>
    </r>
    <r>
      <rPr>
        <vertAlign val="superscript"/>
        <sz val="10"/>
        <rFont val="Arial"/>
        <family val="2"/>
      </rPr>
      <t>19/</t>
    </r>
  </si>
  <si>
    <t>80 to 84 years</t>
  </si>
  <si>
    <r>
      <t xml:space="preserve">$709.0 </t>
    </r>
    <r>
      <rPr>
        <vertAlign val="superscript"/>
        <sz val="10"/>
        <rFont val="Arial"/>
        <family val="2"/>
      </rPr>
      <t>15/</t>
    </r>
  </si>
  <si>
    <r>
      <t xml:space="preserve">$269.6 </t>
    </r>
    <r>
      <rPr>
        <vertAlign val="superscript"/>
        <sz val="10"/>
        <rFont val="Arial"/>
        <family val="2"/>
      </rPr>
      <t>8/</t>
    </r>
  </si>
  <si>
    <r>
      <t xml:space="preserve">$420.9 </t>
    </r>
    <r>
      <rPr>
        <vertAlign val="superscript"/>
        <sz val="10"/>
        <rFont val="Arial"/>
        <family val="2"/>
      </rPr>
      <t>8/</t>
    </r>
  </si>
  <si>
    <r>
      <t xml:space="preserve">11.7 </t>
    </r>
    <r>
      <rPr>
        <vertAlign val="superscript"/>
        <sz val="10"/>
        <rFont val="Arial"/>
        <family val="2"/>
      </rPr>
      <t>17/</t>
    </r>
  </si>
  <si>
    <t>85 years and over</t>
  </si>
  <si>
    <t>Noninstitutionalized population:</t>
  </si>
  <si>
    <r>
      <t xml:space="preserve">$1,182.0 </t>
    </r>
    <r>
      <rPr>
        <vertAlign val="superscript"/>
        <sz val="10"/>
        <rFont val="Arial"/>
        <family val="2"/>
      </rPr>
      <t>14/</t>
    </r>
  </si>
  <si>
    <r>
      <t xml:space="preserve">$44.8 </t>
    </r>
    <r>
      <rPr>
        <vertAlign val="superscript"/>
        <sz val="10"/>
        <rFont val="Arial"/>
        <family val="2"/>
      </rPr>
      <t>5/</t>
    </r>
  </si>
  <si>
    <r>
      <t xml:space="preserve">$540.2 </t>
    </r>
    <r>
      <rPr>
        <vertAlign val="superscript"/>
        <sz val="10"/>
        <rFont val="Arial"/>
        <family val="2"/>
      </rPr>
      <t>3/</t>
    </r>
  </si>
  <si>
    <r>
      <t xml:space="preserve">$98.2 </t>
    </r>
    <r>
      <rPr>
        <vertAlign val="superscript"/>
        <sz val="10"/>
        <rFont val="Arial"/>
        <family val="2"/>
      </rPr>
      <t>4/</t>
    </r>
  </si>
  <si>
    <r>
      <t xml:space="preserve">3.9 </t>
    </r>
    <r>
      <rPr>
        <vertAlign val="superscript"/>
        <sz val="10"/>
        <rFont val="Arial"/>
        <family val="2"/>
      </rPr>
      <t>17/</t>
    </r>
  </si>
  <si>
    <t>Male:</t>
  </si>
  <si>
    <r>
      <t xml:space="preserve">$318.0 </t>
    </r>
    <r>
      <rPr>
        <vertAlign val="superscript"/>
        <sz val="10"/>
        <rFont val="Arial"/>
        <family val="2"/>
      </rPr>
      <t>10/</t>
    </r>
  </si>
  <si>
    <r>
      <t xml:space="preserve">$18.1 </t>
    </r>
    <r>
      <rPr>
        <vertAlign val="superscript"/>
        <sz val="10"/>
        <rFont val="Arial"/>
        <family val="2"/>
      </rPr>
      <t>8/</t>
    </r>
  </si>
  <si>
    <r>
      <t xml:space="preserve">$195.3 </t>
    </r>
    <r>
      <rPr>
        <vertAlign val="superscript"/>
        <sz val="10"/>
        <rFont val="Arial"/>
        <family val="2"/>
      </rPr>
      <t>8/</t>
    </r>
  </si>
  <si>
    <r>
      <t xml:space="preserve">$45.0 </t>
    </r>
    <r>
      <rPr>
        <vertAlign val="superscript"/>
        <sz val="10"/>
        <rFont val="Arial"/>
        <family val="2"/>
      </rPr>
      <t>8/</t>
    </r>
  </si>
  <si>
    <r>
      <t xml:space="preserve">6.9 </t>
    </r>
    <r>
      <rPr>
        <vertAlign val="superscript"/>
        <sz val="10"/>
        <rFont val="Arial"/>
        <family val="2"/>
      </rPr>
      <t>17/</t>
    </r>
  </si>
  <si>
    <r>
      <t xml:space="preserve">$172.5 </t>
    </r>
    <r>
      <rPr>
        <vertAlign val="superscript"/>
        <sz val="10"/>
        <rFont val="Arial"/>
        <family val="2"/>
      </rPr>
      <t>8/</t>
    </r>
  </si>
  <si>
    <r>
      <t xml:space="preserve">6.4 </t>
    </r>
    <r>
      <rPr>
        <vertAlign val="superscript"/>
        <sz val="10"/>
        <rFont val="Arial"/>
        <family val="2"/>
      </rPr>
      <t>8/</t>
    </r>
  </si>
  <si>
    <r>
      <t xml:space="preserve">$125.0 </t>
    </r>
    <r>
      <rPr>
        <vertAlign val="superscript"/>
        <sz val="10"/>
        <rFont val="Arial"/>
        <family val="2"/>
      </rPr>
      <t>4/</t>
    </r>
  </si>
  <si>
    <r>
      <t xml:space="preserve">$132.0 </t>
    </r>
    <r>
      <rPr>
        <vertAlign val="superscript"/>
        <sz val="10"/>
        <rFont val="Arial"/>
        <family val="2"/>
      </rPr>
      <t>4/</t>
    </r>
  </si>
  <si>
    <r>
      <t xml:space="preserve">3.2 </t>
    </r>
    <r>
      <rPr>
        <vertAlign val="superscript"/>
        <sz val="10"/>
        <rFont val="Arial"/>
        <family val="2"/>
      </rPr>
      <t>17/</t>
    </r>
  </si>
  <si>
    <r>
      <t xml:space="preserve">$295.8 </t>
    </r>
    <r>
      <rPr>
        <vertAlign val="superscript"/>
        <sz val="10"/>
        <rFont val="Arial"/>
        <family val="2"/>
      </rPr>
      <t>10/</t>
    </r>
  </si>
  <si>
    <r>
      <t xml:space="preserve">$16.7 </t>
    </r>
    <r>
      <rPr>
        <vertAlign val="superscript"/>
        <sz val="10"/>
        <rFont val="Arial"/>
        <family val="2"/>
      </rPr>
      <t>8/</t>
    </r>
  </si>
  <si>
    <r>
      <t xml:space="preserve">$179.5 </t>
    </r>
    <r>
      <rPr>
        <vertAlign val="superscript"/>
        <sz val="10"/>
        <rFont val="Arial"/>
        <family val="2"/>
      </rPr>
      <t>11/</t>
    </r>
  </si>
  <si>
    <r>
      <t xml:space="preserve">$50.1 </t>
    </r>
    <r>
      <rPr>
        <vertAlign val="superscript"/>
        <sz val="10"/>
        <rFont val="Arial"/>
        <family val="2"/>
      </rPr>
      <t>4/</t>
    </r>
  </si>
  <si>
    <r>
      <t xml:space="preserve">8.5 </t>
    </r>
    <r>
      <rPr>
        <vertAlign val="superscript"/>
        <sz val="10"/>
        <rFont val="Arial"/>
        <family val="2"/>
      </rPr>
      <t>18/</t>
    </r>
  </si>
  <si>
    <r>
      <t xml:space="preserve">$4,068.0 </t>
    </r>
    <r>
      <rPr>
        <vertAlign val="superscript"/>
        <sz val="10"/>
        <rFont val="Arial"/>
        <family val="2"/>
      </rPr>
      <t>14/</t>
    </r>
  </si>
  <si>
    <r>
      <t xml:space="preserve">$3,006 </t>
    </r>
    <r>
      <rPr>
        <vertAlign val="superscript"/>
        <sz val="10"/>
        <rFont val="Arial"/>
        <family val="2"/>
      </rPr>
      <t>8/</t>
    </r>
  </si>
  <si>
    <r>
      <t xml:space="preserve">$10,289.9 </t>
    </r>
    <r>
      <rPr>
        <vertAlign val="superscript"/>
        <sz val="10"/>
        <rFont val="Arial"/>
        <family val="2"/>
      </rPr>
      <t>5/</t>
    </r>
  </si>
  <si>
    <r>
      <t xml:space="preserve">$9,728.3 </t>
    </r>
    <r>
      <rPr>
        <vertAlign val="superscript"/>
        <sz val="10"/>
        <rFont val="Arial"/>
        <family val="2"/>
      </rPr>
      <t>5/</t>
    </r>
  </si>
  <si>
    <r>
      <t xml:space="preserve">8.4 </t>
    </r>
    <r>
      <rPr>
        <vertAlign val="superscript"/>
        <sz val="10"/>
        <rFont val="Arial"/>
        <family val="2"/>
      </rPr>
      <t>18/</t>
    </r>
  </si>
  <si>
    <t>Source:  Insular areas websites; Statistical Enhancement Program, Office of Insular Affairs, Department of the Interior; Secretariat of the</t>
  </si>
  <si>
    <t xml:space="preserve">              Pacific Community; U.S. Department of Commerce, Bureau of Economic Analysis; International Monetary Fund; World Bank</t>
  </si>
  <si>
    <t xml:space="preserve">              Wikipedia; CIA Factbook</t>
  </si>
  <si>
    <t>* Represents Gross Business Receipt Taxes for Guam</t>
  </si>
  <si>
    <t>GDP = Gross Domestic Product;   -- = Not Available</t>
  </si>
  <si>
    <r>
      <t>16/</t>
    </r>
    <r>
      <rPr>
        <sz val="11"/>
        <color theme="1"/>
        <rFont val="Calibri"/>
        <family val="2"/>
        <scheme val="minor"/>
      </rPr>
      <t xml:space="preserve"> 2021</t>
    </r>
  </si>
  <si>
    <r>
      <t>17/</t>
    </r>
    <r>
      <rPr>
        <sz val="11"/>
        <rFont val="Calibri"/>
        <family val="2"/>
      </rPr>
      <t xml:space="preserve">2022                    </t>
    </r>
    <r>
      <rPr>
        <vertAlign val="superscript"/>
        <sz val="11"/>
        <rFont val="Calibri"/>
        <family val="2"/>
      </rPr>
      <t>18/</t>
    </r>
    <r>
      <rPr>
        <sz val="11"/>
        <rFont val="Calibri"/>
        <family val="2"/>
      </rPr>
      <t xml:space="preserve">2023                    </t>
    </r>
    <r>
      <rPr>
        <vertAlign val="superscript"/>
        <sz val="11"/>
        <rFont val="Calibri"/>
        <family val="2"/>
      </rPr>
      <t xml:space="preserve"> 19/</t>
    </r>
    <r>
      <rPr>
        <sz val="11"/>
        <rFont val="Calibri"/>
        <family val="2"/>
      </rPr>
      <t xml:space="preserve">2024   </t>
    </r>
  </si>
  <si>
    <t>Table 14-01.3   .   Insular Areas Economic Indicators Summary</t>
  </si>
  <si>
    <t>Visitor Arrivals</t>
  </si>
  <si>
    <r>
      <t xml:space="preserve">739.1 </t>
    </r>
    <r>
      <rPr>
        <vertAlign val="superscript"/>
        <sz val="10"/>
        <rFont val="Arial"/>
        <family val="2"/>
      </rPr>
      <t>19/</t>
    </r>
  </si>
  <si>
    <r>
      <t xml:space="preserve">68,930 </t>
    </r>
    <r>
      <rPr>
        <vertAlign val="superscript"/>
        <sz val="10"/>
        <rFont val="Arial"/>
        <family val="2"/>
      </rPr>
      <t>19/</t>
    </r>
  </si>
  <si>
    <r>
      <t xml:space="preserve">66,210 </t>
    </r>
    <r>
      <rPr>
        <vertAlign val="superscript"/>
        <sz val="10"/>
        <rFont val="Arial"/>
        <family val="2"/>
      </rPr>
      <t>19/</t>
    </r>
  </si>
  <si>
    <r>
      <t xml:space="preserve">2,720 </t>
    </r>
    <r>
      <rPr>
        <vertAlign val="superscript"/>
        <sz val="10"/>
        <rFont val="Arial"/>
        <family val="2"/>
      </rPr>
      <t>19/</t>
    </r>
  </si>
  <si>
    <r>
      <t xml:space="preserve">4.0 </t>
    </r>
    <r>
      <rPr>
        <vertAlign val="superscript"/>
        <sz val="10"/>
        <rFont val="Arial"/>
        <family val="2"/>
      </rPr>
      <t>19/</t>
    </r>
  </si>
  <si>
    <r>
      <t xml:space="preserve">27.4 </t>
    </r>
    <r>
      <rPr>
        <vertAlign val="superscript"/>
        <sz val="10"/>
        <rFont val="Arial"/>
        <family val="2"/>
      </rPr>
      <t>9/</t>
    </r>
  </si>
  <si>
    <r>
      <t xml:space="preserve">18,174 </t>
    </r>
    <r>
      <rPr>
        <vertAlign val="superscript"/>
        <sz val="10"/>
        <rFont val="Arial"/>
        <family val="2"/>
      </rPr>
      <t>15/</t>
    </r>
  </si>
  <si>
    <r>
      <t xml:space="preserve">15,780 </t>
    </r>
    <r>
      <rPr>
        <vertAlign val="superscript"/>
        <sz val="10"/>
        <rFont val="Arial"/>
        <family val="2"/>
      </rPr>
      <t>15/</t>
    </r>
  </si>
  <si>
    <r>
      <t xml:space="preserve">2,394 </t>
    </r>
    <r>
      <rPr>
        <vertAlign val="superscript"/>
        <sz val="10"/>
        <rFont val="Arial"/>
        <family val="2"/>
      </rPr>
      <t>15/</t>
    </r>
  </si>
  <si>
    <r>
      <t xml:space="preserve">13.2 </t>
    </r>
    <r>
      <rPr>
        <vertAlign val="superscript"/>
        <sz val="10"/>
        <rFont val="Arial"/>
        <family val="2"/>
      </rPr>
      <t>5/</t>
    </r>
  </si>
  <si>
    <t>Female:</t>
  </si>
  <si>
    <r>
      <t xml:space="preserve">438.9 </t>
    </r>
    <r>
      <rPr>
        <vertAlign val="superscript"/>
        <sz val="10"/>
        <rFont val="Arial"/>
        <family val="2"/>
      </rPr>
      <t>9/</t>
    </r>
  </si>
  <si>
    <r>
      <t xml:space="preserve">21,843 </t>
    </r>
    <r>
      <rPr>
        <vertAlign val="superscript"/>
        <sz val="10"/>
        <rFont val="Arial"/>
        <family val="2"/>
      </rPr>
      <t>15/</t>
    </r>
  </si>
  <si>
    <r>
      <t xml:space="preserve">18,759 </t>
    </r>
    <r>
      <rPr>
        <vertAlign val="superscript"/>
        <sz val="10"/>
        <rFont val="Arial"/>
        <family val="2"/>
      </rPr>
      <t>15/</t>
    </r>
  </si>
  <si>
    <r>
      <t xml:space="preserve">3,068 </t>
    </r>
    <r>
      <rPr>
        <vertAlign val="superscript"/>
        <sz val="10"/>
        <rFont val="Arial"/>
        <family val="2"/>
      </rPr>
      <t>15/</t>
    </r>
  </si>
  <si>
    <r>
      <t xml:space="preserve">14.1 </t>
    </r>
    <r>
      <rPr>
        <vertAlign val="superscript"/>
        <sz val="10"/>
        <rFont val="Arial"/>
        <family val="2"/>
      </rPr>
      <t>15/</t>
    </r>
  </si>
  <si>
    <r>
      <t xml:space="preserve">42.1 </t>
    </r>
    <r>
      <rPr>
        <vertAlign val="superscript"/>
        <sz val="10"/>
        <rFont val="Arial"/>
        <family val="2"/>
      </rPr>
      <t>8/</t>
    </r>
  </si>
  <si>
    <r>
      <t xml:space="preserve">37,919 </t>
    </r>
    <r>
      <rPr>
        <vertAlign val="superscript"/>
        <sz val="10"/>
        <rFont val="Arial"/>
        <family val="2"/>
      </rPr>
      <t>5/</t>
    </r>
  </si>
  <si>
    <r>
      <t xml:space="preserve">31,789 </t>
    </r>
    <r>
      <rPr>
        <vertAlign val="superscript"/>
        <sz val="10"/>
        <rFont val="Arial"/>
        <family val="2"/>
      </rPr>
      <t>5/</t>
    </r>
  </si>
  <si>
    <r>
      <t>6,130</t>
    </r>
    <r>
      <rPr>
        <vertAlign val="superscript"/>
        <sz val="10"/>
        <rFont val="Arial"/>
        <family val="2"/>
      </rPr>
      <t xml:space="preserve"> 5/</t>
    </r>
  </si>
  <si>
    <r>
      <t xml:space="preserve">16.2 </t>
    </r>
    <r>
      <rPr>
        <vertAlign val="superscript"/>
        <sz val="10"/>
        <rFont val="Arial"/>
        <family val="2"/>
      </rPr>
      <t>5/</t>
    </r>
  </si>
  <si>
    <r>
      <t>4.4</t>
    </r>
    <r>
      <rPr>
        <vertAlign val="superscript"/>
        <sz val="10"/>
        <rFont val="Arial"/>
        <family val="2"/>
      </rPr>
      <t xml:space="preserve"> 7/</t>
    </r>
  </si>
  <si>
    <r>
      <t xml:space="preserve">31,905 </t>
    </r>
    <r>
      <rPr>
        <vertAlign val="superscript"/>
        <sz val="10"/>
        <rFont val="Arial"/>
        <family val="2"/>
      </rPr>
      <t>6/</t>
    </r>
  </si>
  <si>
    <r>
      <t xml:space="preserve">13,060 </t>
    </r>
    <r>
      <rPr>
        <vertAlign val="superscript"/>
        <sz val="10"/>
        <rFont val="Arial"/>
        <family val="2"/>
      </rPr>
      <t>6/</t>
    </r>
  </si>
  <si>
    <r>
      <t xml:space="preserve">432 </t>
    </r>
    <r>
      <rPr>
        <vertAlign val="superscript"/>
        <sz val="10"/>
        <rFont val="Arial"/>
        <family val="2"/>
      </rPr>
      <t>6/</t>
    </r>
  </si>
  <si>
    <r>
      <t>3.2</t>
    </r>
    <r>
      <rPr>
        <vertAlign val="superscript"/>
        <sz val="10"/>
        <rFont val="Arial"/>
        <family val="2"/>
      </rPr>
      <t xml:space="preserve"> 6/</t>
    </r>
  </si>
  <si>
    <r>
      <t xml:space="preserve">41.2 </t>
    </r>
    <r>
      <rPr>
        <vertAlign val="superscript"/>
        <sz val="10"/>
        <rFont val="Arial"/>
        <family val="2"/>
      </rPr>
      <t>18/</t>
    </r>
  </si>
  <si>
    <r>
      <t>10,693</t>
    </r>
    <r>
      <rPr>
        <vertAlign val="superscript"/>
        <sz val="10"/>
        <rFont val="Arial"/>
        <family val="2"/>
      </rPr>
      <t xml:space="preserve"> 10/</t>
    </r>
  </si>
  <si>
    <r>
      <t xml:space="preserve">10,516 </t>
    </r>
    <r>
      <rPr>
        <vertAlign val="superscript"/>
        <sz val="10"/>
        <rFont val="Arial"/>
        <family val="2"/>
      </rPr>
      <t>10/</t>
    </r>
  </si>
  <si>
    <r>
      <t xml:space="preserve">177 </t>
    </r>
    <r>
      <rPr>
        <vertAlign val="superscript"/>
        <sz val="10"/>
        <rFont val="Arial"/>
        <family val="2"/>
      </rPr>
      <t>10/</t>
    </r>
  </si>
  <si>
    <r>
      <t xml:space="preserve">1.7 </t>
    </r>
    <r>
      <rPr>
        <vertAlign val="superscript"/>
        <sz val="10"/>
        <rFont val="Arial"/>
        <family val="2"/>
      </rPr>
      <t>10/</t>
    </r>
  </si>
  <si>
    <r>
      <t xml:space="preserve">2,701.5 </t>
    </r>
    <r>
      <rPr>
        <vertAlign val="superscript"/>
        <sz val="10"/>
        <rFont val="Arial"/>
        <family val="2"/>
      </rPr>
      <t>7/</t>
    </r>
  </si>
  <si>
    <r>
      <t xml:space="preserve">39,416 </t>
    </r>
    <r>
      <rPr>
        <vertAlign val="superscript"/>
        <sz val="10"/>
        <rFont val="Arial"/>
        <family val="2"/>
      </rPr>
      <t>15/</t>
    </r>
  </si>
  <si>
    <r>
      <t xml:space="preserve">35,610 </t>
    </r>
    <r>
      <rPr>
        <vertAlign val="superscript"/>
        <sz val="10"/>
        <rFont val="Arial"/>
        <family val="2"/>
      </rPr>
      <t>15/</t>
    </r>
  </si>
  <si>
    <r>
      <t xml:space="preserve">3,806 </t>
    </r>
    <r>
      <rPr>
        <vertAlign val="superscript"/>
        <sz val="10"/>
        <rFont val="Arial"/>
        <family val="2"/>
      </rPr>
      <t>15/</t>
    </r>
  </si>
  <si>
    <r>
      <t xml:space="preserve">9.7 </t>
    </r>
    <r>
      <rPr>
        <vertAlign val="superscript"/>
        <sz val="10"/>
        <rFont val="Arial"/>
        <family val="2"/>
      </rPr>
      <t>15/</t>
    </r>
  </si>
  <si>
    <t xml:space="preserve">Source:  Insular areas websites; Statistical Enhancement Program, Office of Insular Affairs, Department of the Interior; Secretariat of the </t>
  </si>
  <si>
    <t xml:space="preserve">              Pacific Community; International Monetary Fund; World Bank; Guam Department of Labor; Guam Visitors Bureau</t>
  </si>
  <si>
    <r>
      <t>17/</t>
    </r>
    <r>
      <rPr>
        <sz val="11"/>
        <rFont val="Calibri"/>
        <family val="2"/>
      </rPr>
      <t xml:space="preserve">2022                    </t>
    </r>
    <r>
      <rPr>
        <vertAlign val="superscript"/>
        <sz val="11"/>
        <rFont val="Calibri"/>
        <family val="2"/>
      </rPr>
      <t>18/</t>
    </r>
    <r>
      <rPr>
        <sz val="11"/>
        <rFont val="Calibri"/>
        <family val="2"/>
      </rPr>
      <t xml:space="preserve">2023                  </t>
    </r>
    <r>
      <rPr>
        <vertAlign val="superscript"/>
        <sz val="11"/>
        <rFont val="Calibri"/>
        <family val="2"/>
      </rPr>
      <t xml:space="preserve"> 19/</t>
    </r>
    <r>
      <rPr>
        <sz val="11"/>
        <rFont val="Calibri"/>
        <family val="2"/>
      </rPr>
      <t>2024</t>
    </r>
  </si>
  <si>
    <t>Table  16-01  .   Employment and Unemployment on Guam:  2015 to 2024</t>
  </si>
  <si>
    <t>Table 16-02   .   Highlights of the Employment Situation on Guam:  2023 to  2024</t>
  </si>
  <si>
    <t>Table 16-03   .   Highlights of the Employment Situation on Guam:  2021 to  2022</t>
  </si>
  <si>
    <t>Noninstitutional</t>
  </si>
  <si>
    <t>Civilian Labor Force</t>
  </si>
  <si>
    <t>Not</t>
  </si>
  <si>
    <t>in the</t>
  </si>
  <si>
    <t>Selected Categories</t>
  </si>
  <si>
    <t>Mar</t>
  </si>
  <si>
    <t>Jun</t>
  </si>
  <si>
    <t>Sep</t>
  </si>
  <si>
    <t>Dec</t>
  </si>
  <si>
    <t>16 yrs and over</t>
  </si>
  <si>
    <t>Total Civilian Population</t>
  </si>
  <si>
    <t xml:space="preserve">   16 years of age and over</t>
  </si>
  <si>
    <t xml:space="preserve">   Civilian Labor Force</t>
  </si>
  <si>
    <t xml:space="preserve">      Total Employed</t>
  </si>
  <si>
    <t xml:space="preserve">      Adult women</t>
  </si>
  <si>
    <t xml:space="preserve">      Adult men</t>
  </si>
  <si>
    <t xml:space="preserve">      Teenagers</t>
  </si>
  <si>
    <t xml:space="preserve">      Household Heads</t>
  </si>
  <si>
    <t xml:space="preserve">      Full-time workers</t>
  </si>
  <si>
    <t xml:space="preserve">      Part-time workers</t>
  </si>
  <si>
    <t xml:space="preserve">      U.S. citizens</t>
  </si>
  <si>
    <t xml:space="preserve">      Immigrant aliens</t>
  </si>
  <si>
    <t xml:space="preserve">      Veterans</t>
  </si>
  <si>
    <t xml:space="preserve">   Total Unemployed</t>
  </si>
  <si>
    <t>Not in the Labor Force</t>
  </si>
  <si>
    <t>UNEMPLOYMENT RATES</t>
  </si>
  <si>
    <t xml:space="preserve">   All Workers</t>
  </si>
  <si>
    <t xml:space="preserve">      U.S. Citizens</t>
  </si>
  <si>
    <t>Did not want job during survey period</t>
  </si>
  <si>
    <t xml:space="preserve">  Want job during survey period but</t>
  </si>
  <si>
    <t xml:space="preserve">  did not look for work:</t>
  </si>
  <si>
    <t xml:space="preserve">  Reasons:</t>
  </si>
  <si>
    <t xml:space="preserve">    Believe no job available</t>
  </si>
  <si>
    <t xml:space="preserve">    Can not find work</t>
  </si>
  <si>
    <t xml:space="preserve">    School attendance</t>
  </si>
  <si>
    <t xml:space="preserve">    Family responsibility</t>
  </si>
  <si>
    <t xml:space="preserve">    Can not arrange child care</t>
  </si>
  <si>
    <t xml:space="preserve">    Other reasons</t>
  </si>
  <si>
    <t>Source: Bureau of Labor Statistics, Guam Department of Labor, Government of Guam</t>
  </si>
  <si>
    <t>Note:  Symbol "…" indicates not available.</t>
  </si>
  <si>
    <t>Table  16-04   .   Employees by Industry Based on Payrolls, Guam: 2022 to 2024</t>
  </si>
  <si>
    <t>Table  16-06   .   Employees on Payroll, Guam:  March 2003 to March 2024</t>
  </si>
  <si>
    <t>Table  16-08   .   Nonfatal Occupational Injuries and Illnesses by State, Private Industry:  2023</t>
  </si>
  <si>
    <t>Table  16-11   .   Nonfatal Occupational Injuries and Illnesses by State, Private Industry:  2020</t>
  </si>
  <si>
    <t>Table  16-13   .   Number of Nonfatal Occupational Injuries and Illnesses involving Days Away from Work by Selected</t>
  </si>
  <si>
    <t>Table  16-14   .   Number of Nonfatal Occupational Injuries and Illnesses Involving Days Away from Work by Selected Case</t>
  </si>
  <si>
    <t xml:space="preserve">Table  16-15   .   General Statistics for Selected Industries, Guam: 1987 to 2022 </t>
  </si>
  <si>
    <t>Table  16-20   .   General Characteristics by Kind of Business, Guam: 2022</t>
  </si>
  <si>
    <t>Table  16-23  .    General Characteristics by Legal Form of Organization and Female Ownership, Guam:  2022</t>
  </si>
  <si>
    <t>Table  16-26   .   General Characteristics by Sales/Receipts/Revenue/Shipments Size of Establishments, Guam: 2022</t>
  </si>
  <si>
    <t>Table  16-29   .   General Characteristics by Employment Size of Establishment, Guam: 2022</t>
  </si>
  <si>
    <t>Table  16-32   .   General Characteristics by Election District, Guam: 2022</t>
  </si>
  <si>
    <t>Table  16-35   .   General Characteristics by Ownership Status, Guam: 2022</t>
  </si>
  <si>
    <t>Total All</t>
  </si>
  <si>
    <t>[Thousands]</t>
  </si>
  <si>
    <t xml:space="preserve">                         Case worker and Sex, Age, Occupation, Length of Service and Race, Private Industry, Guam:  2015 to 2020</t>
  </si>
  <si>
    <t xml:space="preserve">                         Worker and Number of Days Away From Work and Nature of Illness, Private Industry, Guam  1/:  2015 to 2020</t>
  </si>
  <si>
    <t>Paid</t>
  </si>
  <si>
    <t>Industry Division</t>
  </si>
  <si>
    <t>2024P</t>
  </si>
  <si>
    <t>2023P</t>
  </si>
  <si>
    <t>2022P</t>
  </si>
  <si>
    <t>Industries</t>
  </si>
  <si>
    <t>Private</t>
  </si>
  <si>
    <t>Local</t>
  </si>
  <si>
    <t>Cases with days away from work,</t>
  </si>
  <si>
    <t>Establishments 2/</t>
  </si>
  <si>
    <t>Sales/</t>
  </si>
  <si>
    <t>employees for</t>
  </si>
  <si>
    <t>Proprie-</t>
  </si>
  <si>
    <t xml:space="preserve">     All Industries</t>
  </si>
  <si>
    <t>job transfer, or restriction</t>
  </si>
  <si>
    <t>Number of Days Away from Work</t>
  </si>
  <si>
    <t>Sales and receipts ($1,000)  3/</t>
  </si>
  <si>
    <t>receipts/</t>
  </si>
  <si>
    <t>First-</t>
  </si>
  <si>
    <t>pay period</t>
  </si>
  <si>
    <t>tors</t>
  </si>
  <si>
    <t>Unpaid</t>
  </si>
  <si>
    <t>Legal form of</t>
  </si>
  <si>
    <t>Private Sector</t>
  </si>
  <si>
    <t>Cases with</t>
  </si>
  <si>
    <t xml:space="preserve">   Cases involving 1 day</t>
  </si>
  <si>
    <t>Annual payroll ($1000)</t>
  </si>
  <si>
    <t>Estab-</t>
  </si>
  <si>
    <t>revenue/</t>
  </si>
  <si>
    <t>quarter</t>
  </si>
  <si>
    <t>including</t>
  </si>
  <si>
    <t>and</t>
  </si>
  <si>
    <t>family</t>
  </si>
  <si>
    <t>organization</t>
  </si>
  <si>
    <t>Sales/receipts/</t>
  </si>
  <si>
    <t xml:space="preserve">  Agriculture</t>
  </si>
  <si>
    <t>Recordable</t>
  </si>
  <si>
    <t>days away</t>
  </si>
  <si>
    <t>job transfer</t>
  </si>
  <si>
    <t xml:space="preserve">    Male</t>
  </si>
  <si>
    <t xml:space="preserve">   Cases involving 2 days</t>
  </si>
  <si>
    <t>First quarter payroll ($1,000)</t>
  </si>
  <si>
    <t>lishments</t>
  </si>
  <si>
    <t>shipments</t>
  </si>
  <si>
    <t>payroll</t>
  </si>
  <si>
    <t>March 12</t>
  </si>
  <si>
    <t>partners</t>
  </si>
  <si>
    <t>workers</t>
  </si>
  <si>
    <t>revenue/shipments</t>
  </si>
  <si>
    <t>Ownership</t>
  </si>
  <si>
    <t xml:space="preserve">  Construction</t>
  </si>
  <si>
    <t>State</t>
  </si>
  <si>
    <t>Cases</t>
  </si>
  <si>
    <t>from work 1/</t>
  </si>
  <si>
    <t>or restriction</t>
  </si>
  <si>
    <t xml:space="preserve">    Female</t>
  </si>
  <si>
    <t xml:space="preserve">   Cases involving 3-5 days</t>
  </si>
  <si>
    <t>Paid employees for pay period ending March 12  4/</t>
  </si>
  <si>
    <t>Industry</t>
  </si>
  <si>
    <t>(number)</t>
  </si>
  <si>
    <t>Female ownership</t>
  </si>
  <si>
    <t>size of establishment</t>
  </si>
  <si>
    <t>status</t>
  </si>
  <si>
    <t xml:space="preserve">  Manufacturing</t>
  </si>
  <si>
    <t xml:space="preserve">   Cases involving 6-10 days</t>
  </si>
  <si>
    <t>Proprietors and partners   5/</t>
  </si>
  <si>
    <t xml:space="preserve">     All establishments</t>
  </si>
  <si>
    <t xml:space="preserve">  Transportation &amp; Pubic Utilities</t>
  </si>
  <si>
    <t xml:space="preserve">   Cases involving 11-20 days</t>
  </si>
  <si>
    <t>Unpaid family workers   6/</t>
  </si>
  <si>
    <t>Utilities</t>
  </si>
  <si>
    <t>Corporations</t>
  </si>
  <si>
    <t>Less than $5,000</t>
  </si>
  <si>
    <t>No paid employees</t>
  </si>
  <si>
    <t>Guam born</t>
  </si>
  <si>
    <t xml:space="preserve">  Trade</t>
  </si>
  <si>
    <t xml:space="preserve">   16 to 19</t>
  </si>
  <si>
    <t xml:space="preserve">   Cases involving 21-30 days</t>
  </si>
  <si>
    <t>Source: U.S. Census Bureau, Department of Commerce</t>
  </si>
  <si>
    <t>Cooperative associations</t>
  </si>
  <si>
    <t>$5,000 to $9,999</t>
  </si>
  <si>
    <t>1 to 4 employees</t>
  </si>
  <si>
    <t>United States  1/</t>
  </si>
  <si>
    <t xml:space="preserve">  Finance, Insurance</t>
  </si>
  <si>
    <t xml:space="preserve">   20 to 24</t>
  </si>
  <si>
    <t xml:space="preserve">   Cases involving 31 or more days</t>
  </si>
  <si>
    <t>Note: See 2007, 2012, 2017, and 2022 Economic Census Reports for Guam for explanations of footnotes</t>
  </si>
  <si>
    <t>Manufacturing</t>
  </si>
  <si>
    <t>Individual proprietorships</t>
  </si>
  <si>
    <t>$10,000 to $24,999</t>
  </si>
  <si>
    <t>5 to 9 employees</t>
  </si>
  <si>
    <t>Naturalized citizen</t>
  </si>
  <si>
    <t xml:space="preserve">     and Real Estate</t>
  </si>
  <si>
    <t xml:space="preserve">   25 to 34</t>
  </si>
  <si>
    <t xml:space="preserve">   Median days away from work  2/</t>
  </si>
  <si>
    <t>[Detail may not add to total because of rounding.]</t>
  </si>
  <si>
    <t>Wholesale trade</t>
  </si>
  <si>
    <t>Partnerships</t>
  </si>
  <si>
    <t>$25,000 to $49,999</t>
  </si>
  <si>
    <t>10 to 19 employees</t>
  </si>
  <si>
    <t>Not a U.S. citizen or national</t>
  </si>
  <si>
    <t xml:space="preserve">  Services</t>
  </si>
  <si>
    <t xml:space="preserve">   35 to 44</t>
  </si>
  <si>
    <t>Retail trade</t>
  </si>
  <si>
    <t>Status Not Reported</t>
  </si>
  <si>
    <t>$50,000 to $99,999</t>
  </si>
  <si>
    <t>20 or more employees</t>
  </si>
  <si>
    <t>Other  2/</t>
  </si>
  <si>
    <t>Public Sector</t>
  </si>
  <si>
    <t xml:space="preserve">   45 to 54</t>
  </si>
  <si>
    <t>Nature of injury or illness</t>
  </si>
  <si>
    <t>D = Withheld to avoid disclosing data for individuals companies; data are included in higher level totals</t>
  </si>
  <si>
    <t>Transport &amp; warehouse</t>
  </si>
  <si>
    <t xml:space="preserve">Other   </t>
  </si>
  <si>
    <t>$100,000 to $249,999</t>
  </si>
  <si>
    <t xml:space="preserve">   Federal Government</t>
  </si>
  <si>
    <t xml:space="preserve">   55 to 64</t>
  </si>
  <si>
    <t xml:space="preserve">   Sprains, strains</t>
  </si>
  <si>
    <t>N = Not available or not comparable</t>
  </si>
  <si>
    <t>Information</t>
  </si>
  <si>
    <t>$250,000 to $499,999</t>
  </si>
  <si>
    <t>Note: See 2022 Economic Census Reports for Guam for explanations of footnotes</t>
  </si>
  <si>
    <t>Hagatna</t>
  </si>
  <si>
    <t xml:space="preserve">   Government of Guam</t>
  </si>
  <si>
    <t xml:space="preserve">   65 and over</t>
  </si>
  <si>
    <t xml:space="preserve">   Fractures</t>
  </si>
  <si>
    <t>Finance and insurance</t>
  </si>
  <si>
    <t>Female-owned</t>
  </si>
  <si>
    <t>$500,000 to $999,999</t>
  </si>
  <si>
    <t>1/ Includes U.S. born or another U.S. Territory or Commonwealth</t>
  </si>
  <si>
    <t xml:space="preserve">   Cuts, lacerations, punctures</t>
  </si>
  <si>
    <t>Real estate/renting</t>
  </si>
  <si>
    <t>Male-owned</t>
  </si>
  <si>
    <t>$1,000,000 or more</t>
  </si>
  <si>
    <t>2/  Includes Citizenship not known / not determinable or not reported</t>
  </si>
  <si>
    <t>Note: Data includes full-time and part-time employees who worked during or received pay for any part of the pay period which included the</t>
  </si>
  <si>
    <t>Occupation</t>
  </si>
  <si>
    <t xml:space="preserve">      Cuts, lacerations</t>
  </si>
  <si>
    <t>Prof, scient., tech services</t>
  </si>
  <si>
    <t>50/50 Male/Female</t>
  </si>
  <si>
    <t>12th day of the survey months.  The Current Employment Survey (CES) counts any person employed by 2 or more establishments at each</t>
  </si>
  <si>
    <t xml:space="preserve">   Management, business, financial</t>
  </si>
  <si>
    <t xml:space="preserve">      Punctures</t>
  </si>
  <si>
    <t xml:space="preserve">Table  16-16   .   General Statistics for Construction, Guam: 1987 to 2022 </t>
  </si>
  <si>
    <t>Management of companies</t>
  </si>
  <si>
    <t>Gender not known/not reported</t>
  </si>
  <si>
    <t>Note:  See 2022 Economic Census Report for Guam for explanations and notes</t>
  </si>
  <si>
    <t>place of employment.  Proprieters, self-employed unpaid family workers, domestic servants and military personnel are excluded.</t>
  </si>
  <si>
    <t xml:space="preserve">   Professional and related</t>
  </si>
  <si>
    <t xml:space="preserve">   Bruises, contusions</t>
  </si>
  <si>
    <t>Admin &amp; support services</t>
  </si>
  <si>
    <t>R=Revised</t>
  </si>
  <si>
    <t xml:space="preserve">   Service</t>
  </si>
  <si>
    <t xml:space="preserve">   Heat burns</t>
  </si>
  <si>
    <t>Establishments  2/</t>
  </si>
  <si>
    <t>Educational services</t>
  </si>
  <si>
    <t>P=Preliminary</t>
  </si>
  <si>
    <t xml:space="preserve">   Sales and related</t>
  </si>
  <si>
    <t xml:space="preserve">   Chemical burns</t>
  </si>
  <si>
    <t>Health care &amp; soc asst</t>
  </si>
  <si>
    <t>Table  16-30   .   General Characteristics by Employment Size of Establishment, Guam: 2017</t>
  </si>
  <si>
    <t>Table  16-36   .   General Characteristics by Ownership Status, Guam: 2017</t>
  </si>
  <si>
    <t xml:space="preserve">   Office and administrative support</t>
  </si>
  <si>
    <t xml:space="preserve">   Amputations</t>
  </si>
  <si>
    <t>Entertainment</t>
  </si>
  <si>
    <t>Table  16-05   .   Employees by Industry Based on Payrolls, Guam: 2019 to 2021</t>
  </si>
  <si>
    <t xml:space="preserve">   Farming, fishing, and forestry</t>
  </si>
  <si>
    <t xml:space="preserve">   Carpal tunnel syndrome</t>
  </si>
  <si>
    <t>Accommodation and food</t>
  </si>
  <si>
    <t>Table  16-27   .   General Characteristics by Sales/Receipts/Revenue/Shipments Size of Establishments, Guam: 2017</t>
  </si>
  <si>
    <t xml:space="preserve">   Construction and extraction</t>
  </si>
  <si>
    <t xml:space="preserve">   Tendonitis</t>
  </si>
  <si>
    <t>Paid employees for pay period ending March 12 4/</t>
  </si>
  <si>
    <t>Other services (except public admin.)</t>
  </si>
  <si>
    <t>2021P</t>
  </si>
  <si>
    <t>2020P</t>
  </si>
  <si>
    <t>2019P</t>
  </si>
  <si>
    <t xml:space="preserve">   Installation, maintenance, and repair</t>
  </si>
  <si>
    <t xml:space="preserve">   Multiple traumatic injuries</t>
  </si>
  <si>
    <t>Proprietors and partners 5/</t>
  </si>
  <si>
    <t>Table  16-24  .    General Characteristics by Legal Form of Organization and Female Ownership, Guam:  2017</t>
  </si>
  <si>
    <t>Note: Data are for March of each year.</t>
  </si>
  <si>
    <t xml:space="preserve">   Production</t>
  </si>
  <si>
    <t xml:space="preserve">      With fractures</t>
  </si>
  <si>
    <t>Unpaid family workers 6/</t>
  </si>
  <si>
    <t>Note: See 2022 Economic Census Report for Guam for explanations and notes</t>
  </si>
  <si>
    <t xml:space="preserve">   Transportation and material moving</t>
  </si>
  <si>
    <t xml:space="preserve">      With sprains</t>
  </si>
  <si>
    <t xml:space="preserve">   Soreness, Pain</t>
  </si>
  <si>
    <t>Length of service with employer</t>
  </si>
  <si>
    <t xml:space="preserve">      Back pain</t>
  </si>
  <si>
    <t>Table  16-07   .   Average Hourly Earnings of Non-Supervisory Private Sector Workers, Guam: 2020 to 2024</t>
  </si>
  <si>
    <t xml:space="preserve">   Less than 3 months</t>
  </si>
  <si>
    <t xml:space="preserve">   All other</t>
  </si>
  <si>
    <t>Table  16-21   .   General Characteristics by Kind of Business, Guam: 2017</t>
  </si>
  <si>
    <t xml:space="preserve">  Transportation</t>
  </si>
  <si>
    <t xml:space="preserve">   3 months to 11 months</t>
  </si>
  <si>
    <t>Sector</t>
  </si>
  <si>
    <t xml:space="preserve">   1 year to 5 years</t>
  </si>
  <si>
    <t>Part of body affected</t>
  </si>
  <si>
    <t xml:space="preserve">   More than 5 years</t>
  </si>
  <si>
    <t xml:space="preserve">   Head</t>
  </si>
  <si>
    <t>Table  16-33   .   General Characteristics by Election District, Guam: 2017</t>
  </si>
  <si>
    <t>Agriculture</t>
  </si>
  <si>
    <t xml:space="preserve">      Eye</t>
  </si>
  <si>
    <t>Race or ethnic origin</t>
  </si>
  <si>
    <t xml:space="preserve">   Neck</t>
  </si>
  <si>
    <t>Table  16-17   .   General Statistics for Manufacturing, Guam: 1987 to 2022</t>
  </si>
  <si>
    <t>Note: See 2017 Economic Census Reports for Guam for explanations of footnotes</t>
  </si>
  <si>
    <t xml:space="preserve">   White</t>
  </si>
  <si>
    <t xml:space="preserve">   Trunk</t>
  </si>
  <si>
    <t xml:space="preserve">   Black or African American</t>
  </si>
  <si>
    <t xml:space="preserve">      Back</t>
  </si>
  <si>
    <t xml:space="preserve">   Hispanic or Latino</t>
  </si>
  <si>
    <t xml:space="preserve">      Shoulder</t>
  </si>
  <si>
    <t>Sales and receipts ($1,000)3/</t>
  </si>
  <si>
    <t>3/</t>
  </si>
  <si>
    <t xml:space="preserve">   Asian</t>
  </si>
  <si>
    <t xml:space="preserve">   Upper extremities</t>
  </si>
  <si>
    <t>Finance, Insurance</t>
  </si>
  <si>
    <t xml:space="preserve">   Native Hawaiian or other Pacific Islander</t>
  </si>
  <si>
    <t xml:space="preserve">      Arm</t>
  </si>
  <si>
    <t>Table  16-31   .   General Characteristics by Employment Size of Establishment, Guam: 2012</t>
  </si>
  <si>
    <t xml:space="preserve">   American Indian or Alaska Native</t>
  </si>
  <si>
    <t xml:space="preserve">      Finger</t>
  </si>
  <si>
    <t>Note:  See 2017 Economic Census Report for Guam for explanations and notes</t>
  </si>
  <si>
    <t xml:space="preserve">   Hispanic and other</t>
  </si>
  <si>
    <t xml:space="preserve">      Hands</t>
  </si>
  <si>
    <t>Table  16-37   .   General Characteristics by Ownership Status, Guam: 2012</t>
  </si>
  <si>
    <t xml:space="preserve">   Multi-race</t>
  </si>
  <si>
    <t xml:space="preserve">      Wrist</t>
  </si>
  <si>
    <t>Note:  As of December.</t>
  </si>
  <si>
    <t xml:space="preserve">   Not reported</t>
  </si>
  <si>
    <t xml:space="preserve">   Lower extremities</t>
  </si>
  <si>
    <t xml:space="preserve">      Knee</t>
  </si>
  <si>
    <t xml:space="preserve">      Ankle</t>
  </si>
  <si>
    <t>Note:  Days away from work include those that result in days away from work with or without job transfer or restriction.</t>
  </si>
  <si>
    <t xml:space="preserve">      Foot</t>
  </si>
  <si>
    <t xml:space="preserve">          Excludes farms with fewer than 11 employees.</t>
  </si>
  <si>
    <t xml:space="preserve">      Toe, toenail</t>
  </si>
  <si>
    <t>Table  16-28   .   General Characteristics by Sales/Receipts/Revenue/Shipments Size of Establishments, Guam: 2012</t>
  </si>
  <si>
    <t xml:space="preserve">          Because of rounding, components may not add to totals.  Dashes indicate data not available.</t>
  </si>
  <si>
    <t xml:space="preserve">   Body systems</t>
  </si>
  <si>
    <t>Table  16-25  .    General Characteristics by Legal Form of Organization and Female Ownership, Guam:  2012</t>
  </si>
  <si>
    <t xml:space="preserve">   Multiple</t>
  </si>
  <si>
    <t>Table 16-18  .   General Statistics for Wholesale Trade, Guam: 1987 to 2022</t>
  </si>
  <si>
    <t>20 to 49 employees</t>
  </si>
  <si>
    <t>50 employees or more</t>
  </si>
  <si>
    <t>1/  Days away from work include those that result in days away from work with or without job transfer or restriction.</t>
  </si>
  <si>
    <t>Other services</t>
  </si>
  <si>
    <t xml:space="preserve">1/  Days-away-from-work cases include those that result in days away from work with or without </t>
  </si>
  <si>
    <t xml:space="preserve">     Excludes farms with fewer than 11 employees.</t>
  </si>
  <si>
    <t>Note: See 2012 Economic Census Reports for Guam for explanations of footnotes</t>
  </si>
  <si>
    <t>Multiple citizenship</t>
  </si>
  <si>
    <t xml:space="preserve">     job transfer or restriction.</t>
  </si>
  <si>
    <t xml:space="preserve">     Dashes indicate data not available.</t>
  </si>
  <si>
    <t>Note: See 2017 Economic Census Report for Guam for explanations and notes</t>
  </si>
  <si>
    <t>Other  1/</t>
  </si>
  <si>
    <t>2/  Data covers all 50 states.</t>
  </si>
  <si>
    <t>2/  Median days away from work is the measure used to summarize the varying lengths of absences from work among the</t>
  </si>
  <si>
    <t>3/  Data too small to be displayed.</t>
  </si>
  <si>
    <t xml:space="preserve">     cases with days away from work.  Half the cases involved more days and half involved less days than a specified median.</t>
  </si>
  <si>
    <t>Note:  Because of rounding, components may not add to totals.  Dashes indicate data not available.</t>
  </si>
  <si>
    <t xml:space="preserve">     Median days away from work are represented in actual values.</t>
  </si>
  <si>
    <t>1/  Includes Citizenship not known / not determinable or not reported</t>
  </si>
  <si>
    <t>Table  16-22   .   General Characteristics by Kind of Business, Guam: 2012</t>
  </si>
  <si>
    <t>Note:  See 2012 Economic Census Report for Guam for explanations and notes</t>
  </si>
  <si>
    <t>Table  16-34   .   General Characteristics by Election District, Guam: 2012</t>
  </si>
  <si>
    <t>Table  16-09   .   Nonfatal Occupational Injuries and Illnesses by State, Private Industry:  2022</t>
  </si>
  <si>
    <t>Table  16-19   .   General Statistics for Retail Trade, Guam: 1987 to 2022</t>
  </si>
  <si>
    <t>Table  16-12   .   Nonfatal Occupational Injuries and Illnesses by State, Private Industry:  2019</t>
  </si>
  <si>
    <t>Private Industry  2/</t>
  </si>
  <si>
    <t>4.0</t>
  </si>
  <si>
    <t>2.7</t>
  </si>
  <si>
    <t>1.2</t>
  </si>
  <si>
    <t>3.1</t>
  </si>
  <si>
    <t>0.4</t>
  </si>
  <si>
    <t>3.3</t>
  </si>
  <si>
    <t>41.6</t>
  </si>
  <si>
    <t>23.2</t>
  </si>
  <si>
    <t>18.4</t>
  </si>
  <si>
    <t>36.5</t>
  </si>
  <si>
    <t>8.4</t>
  </si>
  <si>
    <t>7.2</t>
  </si>
  <si>
    <t>5.1</t>
  </si>
  <si>
    <t>59.7</t>
  </si>
  <si>
    <t>35.3</t>
  </si>
  <si>
    <t>24.4</t>
  </si>
  <si>
    <t>45.1</t>
  </si>
  <si>
    <t>36.4</t>
  </si>
  <si>
    <t>16.9</t>
  </si>
  <si>
    <t>19.5</t>
  </si>
  <si>
    <t>34.4</t>
  </si>
  <si>
    <t>Note: See 2012 Economic Census Report for Guam for explanations and notes</t>
  </si>
  <si>
    <t>18.6</t>
  </si>
  <si>
    <t>8.6</t>
  </si>
  <si>
    <t>10.0</t>
  </si>
  <si>
    <t>16.5</t>
  </si>
  <si>
    <t>15.0</t>
  </si>
  <si>
    <t>7.8</t>
  </si>
  <si>
    <t>13.6</t>
  </si>
  <si>
    <t>19.7</t>
  </si>
  <si>
    <t>10.8</t>
  </si>
  <si>
    <t>8.9</t>
  </si>
  <si>
    <t>18.9</t>
  </si>
  <si>
    <t>12.1</t>
  </si>
  <si>
    <t>8.7</t>
  </si>
  <si>
    <t>3.4</t>
  </si>
  <si>
    <t>12.0</t>
  </si>
  <si>
    <t>10.6</t>
  </si>
  <si>
    <t>5.5</t>
  </si>
  <si>
    <t>27.5</t>
  </si>
  <si>
    <t>19.2</t>
  </si>
  <si>
    <t>8.3</t>
  </si>
  <si>
    <t>20.0</t>
  </si>
  <si>
    <t>37.9</t>
  </si>
  <si>
    <t>31.7</t>
  </si>
  <si>
    <t>6.2</t>
  </si>
  <si>
    <t>26.8</t>
  </si>
  <si>
    <t>43.1</t>
  </si>
  <si>
    <t>22.5</t>
  </si>
  <si>
    <t>20.6</t>
  </si>
  <si>
    <t>43.0</t>
  </si>
  <si>
    <t>2/  0 to 19 employees</t>
  </si>
  <si>
    <t>32.1</t>
  </si>
  <si>
    <t>18.1</t>
  </si>
  <si>
    <t>14.0</t>
  </si>
  <si>
    <t>31.5</t>
  </si>
  <si>
    <t>28.1</t>
  </si>
  <si>
    <t>14.2</t>
  </si>
  <si>
    <t>13.9</t>
  </si>
  <si>
    <t>26.1</t>
  </si>
  <si>
    <t>5.6</t>
  </si>
  <si>
    <t>3.8</t>
  </si>
  <si>
    <t>1.8</t>
  </si>
  <si>
    <t>5.9</t>
  </si>
  <si>
    <t>4.4</t>
  </si>
  <si>
    <t>9.8</t>
  </si>
  <si>
    <t>19.9</t>
  </si>
  <si>
    <t>9.2</t>
  </si>
  <si>
    <t>10.7</t>
  </si>
  <si>
    <t>15.8</t>
  </si>
  <si>
    <t>40.9</t>
  </si>
  <si>
    <t>26.7</t>
  </si>
  <si>
    <t>6.5</t>
  </si>
  <si>
    <t>4.2</t>
  </si>
  <si>
    <t>2.3</t>
  </si>
  <si>
    <t>7.7</t>
  </si>
  <si>
    <t>78.4</t>
  </si>
  <si>
    <t>70.1</t>
  </si>
  <si>
    <t>8.2</t>
  </si>
  <si>
    <t>62.2</t>
  </si>
  <si>
    <t>36.6</t>
  </si>
  <si>
    <t>19.1</t>
  </si>
  <si>
    <t>17.5</t>
  </si>
  <si>
    <t>32.8</t>
  </si>
  <si>
    <t>46.6</t>
  </si>
  <si>
    <t>28.6</t>
  </si>
  <si>
    <t>17.9</t>
  </si>
  <si>
    <t>45.2</t>
  </si>
  <si>
    <t>30.1</t>
  </si>
  <si>
    <t>19.4</t>
  </si>
  <si>
    <t>21.2</t>
  </si>
  <si>
    <t>75.2</t>
  </si>
  <si>
    <t>40.1</t>
  </si>
  <si>
    <t>35.1</t>
  </si>
  <si>
    <t>61.8</t>
  </si>
  <si>
    <t>12.3</t>
  </si>
  <si>
    <t>12.2</t>
  </si>
  <si>
    <t>0.1</t>
  </si>
  <si>
    <t>5.3</t>
  </si>
  <si>
    <t>20.3</t>
  </si>
  <si>
    <t>11.3</t>
  </si>
  <si>
    <t>9.0</t>
  </si>
  <si>
    <t>30.8</t>
  </si>
  <si>
    <t>15.2</t>
  </si>
  <si>
    <t>15.6</t>
  </si>
  <si>
    <t>27.4</t>
  </si>
  <si>
    <t>108.7</t>
  </si>
  <si>
    <t>49.8</t>
  </si>
  <si>
    <t>58.9</t>
  </si>
  <si>
    <t>78.9</t>
  </si>
  <si>
    <t>13.4</t>
  </si>
  <si>
    <t>6.6</t>
  </si>
  <si>
    <t>6.8</t>
  </si>
  <si>
    <t>17.1</t>
  </si>
  <si>
    <t>4.3</t>
  </si>
  <si>
    <t>2.5</t>
  </si>
  <si>
    <t>4.9</t>
  </si>
  <si>
    <t>Table  16-10   .   Nonfatal Occupational Injuries and Illnesses by State, Private Industry:  2021</t>
  </si>
  <si>
    <t>0..6</t>
  </si>
  <si>
    <t>Table  16-38.1   .   State Occupational Employment and Wage Estimates, Guam:   May 2024</t>
  </si>
  <si>
    <t xml:space="preserve">Table  16-38.2   .   State Occupational Employment and Wage Estimates, Guam:   May 2024 -- (continued) </t>
  </si>
  <si>
    <t xml:space="preserve">Table  16-38.3   .   State Occupational Employment and Wage Estimates, Guam:   May 2024-- (continued) </t>
  </si>
  <si>
    <t xml:space="preserve">Table  16-38.4   .   State Occupational Employment and Wage Estimates, Guam:   May 2024 -- (continued) </t>
  </si>
  <si>
    <t xml:space="preserve">Table  16-38.5   .   State Occupational Employment and Wage Estimates, Guam:   May 2024 -- (continued) </t>
  </si>
  <si>
    <t xml:space="preserve">Table  16-38.6   .   State Occupational Employment and Wage Estimates, Guam:   May 2024  -- (continued) </t>
  </si>
  <si>
    <t xml:space="preserve">Table  16-38.7   .   State Occupational Employment and Wage Estimates, Guam:   May 2024 -- (continued) </t>
  </si>
  <si>
    <t xml:space="preserve">Mean </t>
  </si>
  <si>
    <t xml:space="preserve">Annual </t>
  </si>
  <si>
    <t>Mean</t>
  </si>
  <si>
    <t>Title</t>
  </si>
  <si>
    <t>Number  1/</t>
  </si>
  <si>
    <t>Hourly ($)</t>
  </si>
  <si>
    <t xml:space="preserve"> Mean Wage ($)  2/</t>
  </si>
  <si>
    <t>RSE (%) 3/</t>
  </si>
  <si>
    <t>Mean Wage ($)  2/</t>
  </si>
  <si>
    <t>00-0000</t>
  </si>
  <si>
    <t>All Occupations</t>
  </si>
  <si>
    <t>17-0000</t>
  </si>
  <si>
    <t>Architecture and Engineering Occupations</t>
  </si>
  <si>
    <t>29-0000</t>
  </si>
  <si>
    <t>Healthcare Practitioners and Technical Occupations</t>
  </si>
  <si>
    <t>37-0000</t>
  </si>
  <si>
    <t>Building and Grounds Cleaning and Maintenance Occupations</t>
  </si>
  <si>
    <t>43-0000</t>
  </si>
  <si>
    <t>Office and Administrative Support Occupations</t>
  </si>
  <si>
    <t>49-0000</t>
  </si>
  <si>
    <t>Installation, Maintenance, and Repair Occupations</t>
  </si>
  <si>
    <t>53-0000</t>
  </si>
  <si>
    <t>Transportation and Material Moving Occupations</t>
  </si>
  <si>
    <t>11-0000</t>
  </si>
  <si>
    <t>Management Occupations</t>
  </si>
  <si>
    <t>17-1011</t>
  </si>
  <si>
    <t>Architects, Except Landscape and Naval</t>
  </si>
  <si>
    <t>29-1051</t>
  </si>
  <si>
    <t>Pharmacists</t>
  </si>
  <si>
    <t>37-1011</t>
  </si>
  <si>
    <t>First-Line Supervisors of Housekeeping and Janitorial Workers</t>
  </si>
  <si>
    <t>43-4051</t>
  </si>
  <si>
    <t>Customer Service Representatives</t>
  </si>
  <si>
    <t>49-1011</t>
  </si>
  <si>
    <t>First-Line Supervisors of Mechanics, Installers, and Repairers</t>
  </si>
  <si>
    <t>53-1047</t>
  </si>
  <si>
    <t>First-Line Supervisors of Transportation and Material Moving Workers, Except Aircraft Cargo Handling Supervisors</t>
  </si>
  <si>
    <t>11-1011</t>
  </si>
  <si>
    <t>Chief Executives</t>
  </si>
  <si>
    <t>17-1022</t>
  </si>
  <si>
    <t>Surveyors</t>
  </si>
  <si>
    <t>29-1141</t>
  </si>
  <si>
    <t>Registered Nurses</t>
  </si>
  <si>
    <t>4/</t>
  </si>
  <si>
    <t>37-1012</t>
  </si>
  <si>
    <t>First-Line Supervisors of Landscaping, Lawn Service, and Groundskeeping Workers</t>
  </si>
  <si>
    <t>5/</t>
  </si>
  <si>
    <t>43-4061</t>
  </si>
  <si>
    <t>Eligibility Interviewers, Government Programs</t>
  </si>
  <si>
    <t>49-2011</t>
  </si>
  <si>
    <t>Computer, Automated Teller, and Office Machine Repairers</t>
  </si>
  <si>
    <t>53-2021</t>
  </si>
  <si>
    <t>Air Traffic Controllers</t>
  </si>
  <si>
    <t>11-1021</t>
  </si>
  <si>
    <t>General and Operations Managers</t>
  </si>
  <si>
    <t>17-2051</t>
  </si>
  <si>
    <t>Civil Engineers</t>
  </si>
  <si>
    <t>29-1171</t>
  </si>
  <si>
    <t>Nurse Practitioners</t>
  </si>
  <si>
    <t>37-2011</t>
  </si>
  <si>
    <t>Janitors and Cleaners, Except Maids and Housekeeping Cleaners</t>
  </si>
  <si>
    <t>43-4081</t>
  </si>
  <si>
    <t>Hotel, Motel, and Resort Desk Clerks</t>
  </si>
  <si>
    <t>49-2021</t>
  </si>
  <si>
    <t>Radio, Cellular, and Tower Equipment Installers and Repairers</t>
  </si>
  <si>
    <t>53-3031</t>
  </si>
  <si>
    <t>Driver/Sales Workers</t>
  </si>
  <si>
    <t>11-2021</t>
  </si>
  <si>
    <t>Marketing Managers</t>
  </si>
  <si>
    <t>17-2071</t>
  </si>
  <si>
    <t>Electrical Engineers</t>
  </si>
  <si>
    <t>29-1216</t>
  </si>
  <si>
    <t>General Internal Medicine Physicians</t>
  </si>
  <si>
    <t>37-2012</t>
  </si>
  <si>
    <t>Maids and Housekeeping Cleaners</t>
  </si>
  <si>
    <t>43-4171</t>
  </si>
  <si>
    <t>Receptionists and Information Clerks</t>
  </si>
  <si>
    <t>49-2098</t>
  </si>
  <si>
    <t>Security and Fire Alarm Systems Installers</t>
  </si>
  <si>
    <t>53-3032</t>
  </si>
  <si>
    <t>Heavy and Tractor-Trailer Truck Drivers</t>
  </si>
  <si>
    <t>11-2022</t>
  </si>
  <si>
    <t>Sales Managers</t>
  </si>
  <si>
    <t>17-2111</t>
  </si>
  <si>
    <t>Health and Safety Engineers, Except Mining Safety Engineers and Inspectors</t>
  </si>
  <si>
    <t>29-1292</t>
  </si>
  <si>
    <t>Dental Hygienists</t>
  </si>
  <si>
    <t>37-2021</t>
  </si>
  <si>
    <t>Pest Control Workers</t>
  </si>
  <si>
    <t>43-4199</t>
  </si>
  <si>
    <t>Information and Record Clerks, All Other</t>
  </si>
  <si>
    <t>49-3011</t>
  </si>
  <si>
    <t>Aircraft Mechanics and Service Technicians</t>
  </si>
  <si>
    <t>53-3033</t>
  </si>
  <si>
    <t>Light Truck Drivers</t>
  </si>
  <si>
    <t>11-3012</t>
  </si>
  <si>
    <t>Administrative Services Managers</t>
  </si>
  <si>
    <t>17-2141</t>
  </si>
  <si>
    <t>Mechanical Engineers</t>
  </si>
  <si>
    <t>29-2034</t>
  </si>
  <si>
    <t>Radiologic Technologists and Technicians</t>
  </si>
  <si>
    <t>37-3011</t>
  </si>
  <si>
    <t>Landscaping and Groundskeeping Workers</t>
  </si>
  <si>
    <t>43-5011</t>
  </si>
  <si>
    <t>Cargo and Freight Agents</t>
  </si>
  <si>
    <t>49-3023</t>
  </si>
  <si>
    <t>Automotive Service Technicians and Mechanics</t>
  </si>
  <si>
    <t>53-3053</t>
  </si>
  <si>
    <t>Shuttle Drivers and Chauffeurs</t>
  </si>
  <si>
    <t>11-3013</t>
  </si>
  <si>
    <t>Facilities Managers</t>
  </si>
  <si>
    <t>17-2199</t>
  </si>
  <si>
    <t>Engineers, All Other</t>
  </si>
  <si>
    <t>29-2052</t>
  </si>
  <si>
    <t>Pharmacy Technicians</t>
  </si>
  <si>
    <t>39-0000</t>
  </si>
  <si>
    <t>Personal Care and Service Occupations</t>
  </si>
  <si>
    <t>43-5021</t>
  </si>
  <si>
    <t>Couriers and Messengers</t>
  </si>
  <si>
    <t>49-3042</t>
  </si>
  <si>
    <t>Mobile Heavy Equipment Mechanics, Except Engines</t>
  </si>
  <si>
    <t>53-5021</t>
  </si>
  <si>
    <t>Captains, Mates, and Pilots of Water Vessels</t>
  </si>
  <si>
    <t>11-3031</t>
  </si>
  <si>
    <t>Financial Managers</t>
  </si>
  <si>
    <t>17-3011</t>
  </si>
  <si>
    <t>Architectural and Civil Drafters</t>
  </si>
  <si>
    <t>29-2061</t>
  </si>
  <si>
    <t>Licensed Practical and Licensed Vocational Nurses</t>
  </si>
  <si>
    <t>39-1014</t>
  </si>
  <si>
    <t>First-Line Supervisors of Entertainment and Recreation Workers, Except Gambling Services</t>
  </si>
  <si>
    <t>43-5052</t>
  </si>
  <si>
    <t>Postal Service Mail Carriers</t>
  </si>
  <si>
    <t>49-3053</t>
  </si>
  <si>
    <t>Outdoor Power Equipment and Other Small Engine Mechanics</t>
  </si>
  <si>
    <t>53-5022</t>
  </si>
  <si>
    <t>Motorboat Operators</t>
  </si>
  <si>
    <t>11-3061</t>
  </si>
  <si>
    <t>Purchasing Managers</t>
  </si>
  <si>
    <t>17-3031</t>
  </si>
  <si>
    <t>Surveying and Mapping Technicians</t>
  </si>
  <si>
    <t>29-2072</t>
  </si>
  <si>
    <t>Medical Records Specialists</t>
  </si>
  <si>
    <t>39-1022</t>
  </si>
  <si>
    <t>First-Line Supervisors of Personal Service Workers</t>
  </si>
  <si>
    <t>43-5053</t>
  </si>
  <si>
    <t>Postal Service Mail Sorters, Processors, and Processing Machine Operators</t>
  </si>
  <si>
    <t>49-3093</t>
  </si>
  <si>
    <t>Tire Repairers and Changers</t>
  </si>
  <si>
    <t>53-7021</t>
  </si>
  <si>
    <t>Crane and Tower Operators</t>
  </si>
  <si>
    <t>11-3071</t>
  </si>
  <si>
    <t>Transportation, Storage, and Distribution Managers</t>
  </si>
  <si>
    <t>19-0000</t>
  </si>
  <si>
    <t>Life, Physical, and Social Science Occupations</t>
  </si>
  <si>
    <t>31-0000</t>
  </si>
  <si>
    <t>Healthcare Support Occupations</t>
  </si>
  <si>
    <t>39-3031</t>
  </si>
  <si>
    <t>Ushers, Lobby Attendants, and Ticket Takers</t>
  </si>
  <si>
    <t>43-5061</t>
  </si>
  <si>
    <t>Production, Planning, and Expediting Clerks</t>
  </si>
  <si>
    <t>49-9021</t>
  </si>
  <si>
    <t>Heating, Air Conditioning, and Refrigeration Mechanics and Installers</t>
  </si>
  <si>
    <t>53-7051</t>
  </si>
  <si>
    <t>Industrial Truck and Tractor Operators</t>
  </si>
  <si>
    <t>11-3121</t>
  </si>
  <si>
    <t>Human Resources Managers</t>
  </si>
  <si>
    <t>19-1029</t>
  </si>
  <si>
    <t>Biological Scientists, All Other</t>
  </si>
  <si>
    <t>31-1131</t>
  </si>
  <si>
    <t>Nursing Assistants</t>
  </si>
  <si>
    <t>39-3091</t>
  </si>
  <si>
    <t>Amusement and Recreation Attendants</t>
  </si>
  <si>
    <t>43-5071</t>
  </si>
  <si>
    <t>Shipping, Receiving, and Inventory Clerks</t>
  </si>
  <si>
    <t>49-9041</t>
  </si>
  <si>
    <t>Industrial Machinery Mechanics</t>
  </si>
  <si>
    <t>53-7061</t>
  </si>
  <si>
    <t>Cleaners of Vehicles and Equipment</t>
  </si>
  <si>
    <t>11-9021</t>
  </si>
  <si>
    <t>Construction Managers</t>
  </si>
  <si>
    <t>19-2041</t>
  </si>
  <si>
    <t>Environmental Scientists and Specialists, Including Health</t>
  </si>
  <si>
    <t>31-9011</t>
  </si>
  <si>
    <t>Massage Therapists</t>
  </si>
  <si>
    <t>39-5012</t>
  </si>
  <si>
    <t>Hairdressers, Hairstylists, and Cosmetologists</t>
  </si>
  <si>
    <t>43-6011</t>
  </si>
  <si>
    <t>Executive Secretaries and Executive Administrative Assistants</t>
  </si>
  <si>
    <t>49-9043</t>
  </si>
  <si>
    <t>Maintenance Workers, Machinery</t>
  </si>
  <si>
    <t>53-7062</t>
  </si>
  <si>
    <t>Laborers and Freight, Stock, and Material Movers, Hand</t>
  </si>
  <si>
    <t>11-9032</t>
  </si>
  <si>
    <t>Education Administrators, Kindergarten through Secondary</t>
  </si>
  <si>
    <t>19-3051</t>
  </si>
  <si>
    <t>Urban and Regional Planners</t>
  </si>
  <si>
    <t>31-9091</t>
  </si>
  <si>
    <t>Dental Assistants</t>
  </si>
  <si>
    <t>39-7010</t>
  </si>
  <si>
    <t>Tour and Travel Guides</t>
  </si>
  <si>
    <t>43-6012</t>
  </si>
  <si>
    <t>Legal Secretaries and Administrative Assistants</t>
  </si>
  <si>
    <t>49-9051</t>
  </si>
  <si>
    <t>Electrical Power-Line Installers and Repairers</t>
  </si>
  <si>
    <t>53-7064</t>
  </si>
  <si>
    <t>Packers and Packagers, Hand</t>
  </si>
  <si>
    <t>11-9039</t>
  </si>
  <si>
    <t>Education Administrators, All Other</t>
  </si>
  <si>
    <t>19-4021</t>
  </si>
  <si>
    <t>Biological Technicians</t>
  </si>
  <si>
    <t>31-9092</t>
  </si>
  <si>
    <t>Medical Assistants</t>
  </si>
  <si>
    <t>39-9011</t>
  </si>
  <si>
    <t>Childcare Workers</t>
  </si>
  <si>
    <t>43-6013</t>
  </si>
  <si>
    <t>Medical Secretaries and Administrative Assistants</t>
  </si>
  <si>
    <t>49-9062</t>
  </si>
  <si>
    <t>Medical Equipment Repairers</t>
  </si>
  <si>
    <t>53-7065</t>
  </si>
  <si>
    <t>Stockers and Order Fillers</t>
  </si>
  <si>
    <t>11-9041</t>
  </si>
  <si>
    <t>Architectural and Engineering Managers</t>
  </si>
  <si>
    <t>19-5011</t>
  </si>
  <si>
    <t>Occupational Health and Safety Specialists</t>
  </si>
  <si>
    <t>31-9093</t>
  </si>
  <si>
    <t>Medical Equipment Preparers</t>
  </si>
  <si>
    <t>39-9031</t>
  </si>
  <si>
    <t>Exercise Trainers and Group Fitness Instructors</t>
  </si>
  <si>
    <t>43-6014</t>
  </si>
  <si>
    <t>Secretaries and Administrative Assistants, Except Legal, Medical, and Executive</t>
  </si>
  <si>
    <t>49-9071</t>
  </si>
  <si>
    <t>Maintenance and Repair Workers, General</t>
  </si>
  <si>
    <t>Source: Occupational Employment Statistics, Bureau of Labor Statistics, Guam Department of Labor, Government of Guam</t>
  </si>
  <si>
    <t>11-9051</t>
  </si>
  <si>
    <t>Food Service Managers</t>
  </si>
  <si>
    <t>19-5012</t>
  </si>
  <si>
    <t>Occupational Health and Safety Technicians</t>
  </si>
  <si>
    <t>33-0000</t>
  </si>
  <si>
    <t>Protective Service Occupations</t>
  </si>
  <si>
    <t>39-9032</t>
  </si>
  <si>
    <t>Recreation Workers</t>
  </si>
  <si>
    <t>43-9021</t>
  </si>
  <si>
    <t>Data Entry Keyers</t>
  </si>
  <si>
    <t>49-9092</t>
  </si>
  <si>
    <t>Commercial Divers</t>
  </si>
  <si>
    <t>1/ Estimates for detailed occupations do not sum to the totals because the totals include occupations not shown separately.</t>
  </si>
  <si>
    <t>11-9111</t>
  </si>
  <si>
    <t>Medical and Health Services Managers</t>
  </si>
  <si>
    <t>21-0000</t>
  </si>
  <si>
    <t>Community and Social Service Occupations</t>
  </si>
  <si>
    <t>33-1021</t>
  </si>
  <si>
    <t>First-Line Supervisors of Firefighting and Prevention Workers</t>
  </si>
  <si>
    <t>39-9099</t>
  </si>
  <si>
    <t>Personal Care and Service Workers, All Other</t>
  </si>
  <si>
    <t>43-9041</t>
  </si>
  <si>
    <t>Insurance Claims and Policy Processing Clerks</t>
  </si>
  <si>
    <t>49-9098</t>
  </si>
  <si>
    <t>Helpers--Installation, Maintenance, and Repair Workers</t>
  </si>
  <si>
    <t xml:space="preserve">    Estimates do not include self-employed workers.</t>
  </si>
  <si>
    <t>11-9121</t>
  </si>
  <si>
    <t>Natural Sciences Managers</t>
  </si>
  <si>
    <t>21-1012</t>
  </si>
  <si>
    <t>Educational, Guidance, and Career Counselors and Advisors</t>
  </si>
  <si>
    <t>33-1091</t>
  </si>
  <si>
    <t>First-Line Supervisors of Security Workers</t>
  </si>
  <si>
    <t>41-0000</t>
  </si>
  <si>
    <t>Sales and Related Occupations</t>
  </si>
  <si>
    <t>43-9061</t>
  </si>
  <si>
    <t>Office Clerks, General</t>
  </si>
  <si>
    <t>49-9099</t>
  </si>
  <si>
    <t>Installation, Maintenance, and Repair Workers, All Other</t>
  </si>
  <si>
    <t>2/ Annual wages have been calculated by multiplying the hourly mean wage by a "year-round, full-time" hours figure of 2,080 hours;</t>
  </si>
  <si>
    <t>11-9141</t>
  </si>
  <si>
    <t>Property, Real Estate, and Community Association Managers</t>
  </si>
  <si>
    <t>21-1021</t>
  </si>
  <si>
    <t>Child, Family, and School Social Workers</t>
  </si>
  <si>
    <t>33-9032</t>
  </si>
  <si>
    <t>Security Guards</t>
  </si>
  <si>
    <t>41-1011</t>
  </si>
  <si>
    <t>First-Line Supervisors of Retail Sales Workers</t>
  </si>
  <si>
    <t>43-9199</t>
  </si>
  <si>
    <t>Office and Administrative Support Workers, All Other</t>
  </si>
  <si>
    <t>51-0000</t>
  </si>
  <si>
    <t>Production Occupations</t>
  </si>
  <si>
    <t xml:space="preserve">    for those occupations where there is not an hourly mean wage published, the annual wage has been directly calculated from the reported</t>
  </si>
  <si>
    <t>11-9199</t>
  </si>
  <si>
    <t>Managers, All Other</t>
  </si>
  <si>
    <t>21-1022</t>
  </si>
  <si>
    <t>Healthcare Social Workers</t>
  </si>
  <si>
    <t>33-9092</t>
  </si>
  <si>
    <t>Lifeguards, Ski Patrol, and Other Recreational Protective Service Workers</t>
  </si>
  <si>
    <t>41-1012</t>
  </si>
  <si>
    <t>First-Line Supervisors of Non-Retail Sales Workers</t>
  </si>
  <si>
    <t>45-0000</t>
  </si>
  <si>
    <t>Farming, Fishing, and Forestry Occupations</t>
  </si>
  <si>
    <t>51-1011</t>
  </si>
  <si>
    <t>First-Line Supervisors of Production and Operating Workers</t>
  </si>
  <si>
    <t xml:space="preserve">   reported  survey data</t>
  </si>
  <si>
    <t>13-0000</t>
  </si>
  <si>
    <t>Business and Financial Operations Occupations</t>
  </si>
  <si>
    <t>21-1093</t>
  </si>
  <si>
    <t>Social and Human Service Assistants</t>
  </si>
  <si>
    <t>33-9093</t>
  </si>
  <si>
    <t>Transportation Security Screeners</t>
  </si>
  <si>
    <t>41-2011</t>
  </si>
  <si>
    <t>Cashiers</t>
  </si>
  <si>
    <t>47-0000</t>
  </si>
  <si>
    <t>Construction and Extraction Occupations</t>
  </si>
  <si>
    <t>51-3011</t>
  </si>
  <si>
    <t>Bakers</t>
  </si>
  <si>
    <t>3/ The relative standard error (RSE) is a measure of the reliability of a survey statistic. The smaller the relative standard error,</t>
  </si>
  <si>
    <t>13-1020</t>
  </si>
  <si>
    <t>Buyers and Purchasing Agents</t>
  </si>
  <si>
    <t>21-2011</t>
  </si>
  <si>
    <t>Clergy</t>
  </si>
  <si>
    <t>35-0000</t>
  </si>
  <si>
    <t>Food Preparation and Serving Related Occupations</t>
  </si>
  <si>
    <t>41-2021</t>
  </si>
  <si>
    <t>Counter and Rental Clerks</t>
  </si>
  <si>
    <t>47-1011</t>
  </si>
  <si>
    <t>First-Line Supervisors of Construction Trades and Extraction Workers</t>
  </si>
  <si>
    <t>51-3021</t>
  </si>
  <si>
    <t>Butchers and Meat Cutters</t>
  </si>
  <si>
    <t xml:space="preserve">     the more precise the estimate.</t>
  </si>
  <si>
    <t>13-1031</t>
  </si>
  <si>
    <t>Claims Adjusters, Examiners, and Investigators</t>
  </si>
  <si>
    <t>23-0000</t>
  </si>
  <si>
    <t>Legal Occupations</t>
  </si>
  <si>
    <t>35-1011</t>
  </si>
  <si>
    <t>Chefs and Head Cooks</t>
  </si>
  <si>
    <t>41-2022</t>
  </si>
  <si>
    <t>Parts Salespersons</t>
  </si>
  <si>
    <t>47-2031</t>
  </si>
  <si>
    <t>Carpenters</t>
  </si>
  <si>
    <t>51-3022</t>
  </si>
  <si>
    <t>Meat, Poultry, and Fish Cutters and Trimmers</t>
  </si>
  <si>
    <t>4/ Wage estimate is not available</t>
  </si>
  <si>
    <t>13-1051</t>
  </si>
  <si>
    <t>Cost Estimators</t>
  </si>
  <si>
    <t>23-1011</t>
  </si>
  <si>
    <t>Lawyers</t>
  </si>
  <si>
    <t>35-1012</t>
  </si>
  <si>
    <t>First-Line Supervisors of Food Preparation and Serving Workers</t>
  </si>
  <si>
    <t>41-2031</t>
  </si>
  <si>
    <t>Retail Salespersons</t>
  </si>
  <si>
    <t>47-2051</t>
  </si>
  <si>
    <t>Cement Masons and Concrete Finishers</t>
  </si>
  <si>
    <t>51-4121</t>
  </si>
  <si>
    <t>Welders, Cutters, Solderers, and Brazers</t>
  </si>
  <si>
    <t>5/ Employment estimate is not available</t>
  </si>
  <si>
    <t>13-1071</t>
  </si>
  <si>
    <t>Human Resources Specialists</t>
  </si>
  <si>
    <t>23-2011</t>
  </si>
  <si>
    <t>Paralegals and Legal Assistants</t>
  </si>
  <si>
    <t>35-2011</t>
  </si>
  <si>
    <t>Cooks, Fast Food</t>
  </si>
  <si>
    <t>41-3021</t>
  </si>
  <si>
    <t>Insurance Sales Agents</t>
  </si>
  <si>
    <t>47-2061</t>
  </si>
  <si>
    <t>Construction Laborers</t>
  </si>
  <si>
    <t>51-5112</t>
  </si>
  <si>
    <t>Printing Press Operators</t>
  </si>
  <si>
    <t xml:space="preserve">6/ This wage is equal to or greater than $115.00 per hour or $239,200 per year </t>
  </si>
  <si>
    <t>13-1081</t>
  </si>
  <si>
    <t>Logisticians</t>
  </si>
  <si>
    <t>25-0000</t>
  </si>
  <si>
    <t>Educational Instruction and Library Occupations</t>
  </si>
  <si>
    <t>35-2012</t>
  </si>
  <si>
    <t>Cooks, Institution and Cafeteria</t>
  </si>
  <si>
    <t>41-3041</t>
  </si>
  <si>
    <t>Travel Agents</t>
  </si>
  <si>
    <t>47-2073</t>
  </si>
  <si>
    <t>Operating Engineers and Other Construction Equipment Operators</t>
  </si>
  <si>
    <t>51-6011</t>
  </si>
  <si>
    <t>Laundry and Dry-Cleaning Workers</t>
  </si>
  <si>
    <t>13-1082</t>
  </si>
  <si>
    <t>Project Management Specialists</t>
  </si>
  <si>
    <t>25-1194</t>
  </si>
  <si>
    <t>Career/Technical Education Teachers, Postsecondary</t>
  </si>
  <si>
    <t>35-2014</t>
  </si>
  <si>
    <t>Cooks, Restaurant</t>
  </si>
  <si>
    <t>41-3091</t>
  </si>
  <si>
    <t>Sales Representatives of Services, Except Advertising, Insurance, Financial Services, and Travel</t>
  </si>
  <si>
    <t>47-2111</t>
  </si>
  <si>
    <t>Electricians</t>
  </si>
  <si>
    <t>51-8031</t>
  </si>
  <si>
    <t>Water and Wastewater Treatment Plant and System Operators</t>
  </si>
  <si>
    <t>13-1111</t>
  </si>
  <si>
    <t>Management Analysts</t>
  </si>
  <si>
    <t>25-2011</t>
  </si>
  <si>
    <t>Preschool Teachers, Except Special Education</t>
  </si>
  <si>
    <t>35-2015</t>
  </si>
  <si>
    <t>Cooks, Short Order</t>
  </si>
  <si>
    <t>41-4012</t>
  </si>
  <si>
    <t>Sales Representatives, Wholesale and Manufacturing, Except Technical and Scientific Products</t>
  </si>
  <si>
    <t>47-2141</t>
  </si>
  <si>
    <t>Painters, Construction and Maintenance</t>
  </si>
  <si>
    <t>51-9061</t>
  </si>
  <si>
    <t>Inspectors, Testers, Sorters, Samplers, and Weighers</t>
  </si>
  <si>
    <t>13-1151</t>
  </si>
  <si>
    <t>Training and Development Specialists</t>
  </si>
  <si>
    <t>25-2021</t>
  </si>
  <si>
    <t>Elementary School Teachers, Except Special Education</t>
  </si>
  <si>
    <t>35-2021</t>
  </si>
  <si>
    <t>Food Preparation Workers</t>
  </si>
  <si>
    <t>47-2152</t>
  </si>
  <si>
    <t>Plumbers, Pipefitters, and Steamfitters</t>
  </si>
  <si>
    <t>51-9198</t>
  </si>
  <si>
    <t>Helpers--Production Workers</t>
  </si>
  <si>
    <t>13-1161</t>
  </si>
  <si>
    <t>Market Research Analysts and Marketing Specialists</t>
  </si>
  <si>
    <t>25-2022</t>
  </si>
  <si>
    <t>Middle School Teachers, Except Special and Career/Technical Education</t>
  </si>
  <si>
    <t>35-3011</t>
  </si>
  <si>
    <t>Bartenders</t>
  </si>
  <si>
    <t>43-1011</t>
  </si>
  <si>
    <t>First-Line Supervisors of Office and Administrative Support Workers</t>
  </si>
  <si>
    <t>47-2171</t>
  </si>
  <si>
    <t>Reinforcing Iron and Rebar Workers</t>
  </si>
  <si>
    <t>13-1199</t>
  </si>
  <si>
    <t>Business Operations Specialists, All Other</t>
  </si>
  <si>
    <t>25-2031</t>
  </si>
  <si>
    <t>Secondary School Teachers, Except Special and Career/Technical Education</t>
  </si>
  <si>
    <t>35-3023</t>
  </si>
  <si>
    <t>Fast Food and Counter Workers</t>
  </si>
  <si>
    <t>43-3011</t>
  </si>
  <si>
    <t>Bill and Account Collectors</t>
  </si>
  <si>
    <t>47-2181</t>
  </si>
  <si>
    <t>Roofers</t>
  </si>
  <si>
    <t>13-2011</t>
  </si>
  <si>
    <t>Accountants and Auditors</t>
  </si>
  <si>
    <t>25-3099</t>
  </si>
  <si>
    <t>Teachers and Instructors, All Other</t>
  </si>
  <si>
    <t>35-3031</t>
  </si>
  <si>
    <t>Waiters and Waitresses</t>
  </si>
  <si>
    <t>43-3021</t>
  </si>
  <si>
    <t>Billing and Posting Clerks</t>
  </si>
  <si>
    <t>47-2211</t>
  </si>
  <si>
    <t>Sheet Metal Workers</t>
  </si>
  <si>
    <t>13-2053</t>
  </si>
  <si>
    <t>Insurance Underwriters</t>
  </si>
  <si>
    <t>25-9045</t>
  </si>
  <si>
    <t>Teaching Assistants, Except Postsecondary</t>
  </si>
  <si>
    <t>35-9011</t>
  </si>
  <si>
    <t>Dining Room and Cafeteria Attendants and Bartender Helpers</t>
  </si>
  <si>
    <t>43-3031</t>
  </si>
  <si>
    <t>Bookkeeping, Accounting, and Auditing Clerks</t>
  </si>
  <si>
    <t>47-2221</t>
  </si>
  <si>
    <t>Structural Iron and Steel Workers</t>
  </si>
  <si>
    <t>13-2082</t>
  </si>
  <si>
    <t>Tax Preparers</t>
  </si>
  <si>
    <t>25-9099</t>
  </si>
  <si>
    <t>Educational Instruction and Library Workers, All Other</t>
  </si>
  <si>
    <t>35-9021</t>
  </si>
  <si>
    <t>Dishwashers</t>
  </si>
  <si>
    <t>43-3051</t>
  </si>
  <si>
    <t>Payroll and Timekeeping Clerks</t>
  </si>
  <si>
    <t>47-3013</t>
  </si>
  <si>
    <t>Helpers--Electricians</t>
  </si>
  <si>
    <t xml:space="preserve">6/ This wage is equal to or greater than $100.00 per hour or $208,000 per year </t>
  </si>
  <si>
    <t>15-0000</t>
  </si>
  <si>
    <t>Computer and Mathematical Occupations</t>
  </si>
  <si>
    <t>27-0000</t>
  </si>
  <si>
    <t>Arts, Design, Entertainment, Sports, and Media Occupations</t>
  </si>
  <si>
    <t>35-9031</t>
  </si>
  <si>
    <t>Hosts and Hostesses, Restaurant, Lounge, and Coffee Shop</t>
  </si>
  <si>
    <t>43-3061</t>
  </si>
  <si>
    <t>Procurement Clerks</t>
  </si>
  <si>
    <t>47-3015</t>
  </si>
  <si>
    <t>Helpers--Pipelayers, Plumbers, Pipefitters, and Steamfitters</t>
  </si>
  <si>
    <t>15-1232</t>
  </si>
  <si>
    <t>Computer User Support Specialists</t>
  </si>
  <si>
    <t>27-1024</t>
  </si>
  <si>
    <t>Graphic Designers</t>
  </si>
  <si>
    <t>35-9099</t>
  </si>
  <si>
    <t>Food Preparation and Serving Related Workers, All Other</t>
  </si>
  <si>
    <t>47-4011</t>
  </si>
  <si>
    <t>Construction and Building Inspectors</t>
  </si>
  <si>
    <t>15-1255</t>
  </si>
  <si>
    <t>Web and Digital Interface Designers</t>
  </si>
  <si>
    <t>27-2031</t>
  </si>
  <si>
    <t>Dancers</t>
  </si>
  <si>
    <t>47-4041</t>
  </si>
  <si>
    <t>Hazardous Materials Removal Workers</t>
  </si>
  <si>
    <t>27-4099</t>
  </si>
  <si>
    <t>Media and Communication Equipment Workers, All Other</t>
  </si>
  <si>
    <t>47-4071</t>
  </si>
  <si>
    <t>Septic Tank Servicers and Sewer Pipe Cleaners</t>
  </si>
  <si>
    <t>6/ This wage is equal to or greater than $115.00 per hour or $239,200 per year</t>
  </si>
  <si>
    <t>Table  16-39.1   .   State Occupational Employment and Wage Estimates, Guam:   May 2023</t>
  </si>
  <si>
    <t xml:space="preserve">Table  16-39.2   .   State Occupational Employment and Wage Estimates, Guam:   May 2023 -- (continued) </t>
  </si>
  <si>
    <t xml:space="preserve">Table  16-39.3   .   State Occupational Employment and Wage Estimates, Guam:   May 2023-- (continued) </t>
  </si>
  <si>
    <t xml:space="preserve">Table  16-39.4   .   State Occupational Employment and Wage Estimates, Guam:   May 2023 -- (continued) </t>
  </si>
  <si>
    <t xml:space="preserve">Table  16-39.5   .   State Occupational Employment and Wage Estimates, Guam:   May 2023 -- (continued) </t>
  </si>
  <si>
    <t xml:space="preserve">Table  16-39.6   .   State Occupational Employment and Wage Estimates, Guam:   May 2023  -- (continued) </t>
  </si>
  <si>
    <t xml:space="preserve">Table  16-39.7   .   State Occupational Employment and Wage Estimates, Guam:   May 2023 -- (continued) </t>
  </si>
  <si>
    <t>15-1244</t>
  </si>
  <si>
    <t>Network and Computer Systems Administrators</t>
  </si>
  <si>
    <t>27-3031</t>
  </si>
  <si>
    <t>Public Relations Specialists</t>
  </si>
  <si>
    <t>47-3014</t>
  </si>
  <si>
    <t>Helpers--Painters, Paperhangers, Plasterers, and Stucco Masons</t>
  </si>
  <si>
    <t>29-1021</t>
  </si>
  <si>
    <t>Dentists, General</t>
  </si>
  <si>
    <t>47-3019</t>
  </si>
  <si>
    <t>Helpers, Construction Trades, All Other</t>
  </si>
  <si>
    <t>53-3051</t>
  </si>
  <si>
    <t>Bus Drivers, School</t>
  </si>
  <si>
    <t>53-3052</t>
  </si>
  <si>
    <t>Bus Drivers, Transit and Intercity</t>
  </si>
  <si>
    <t>43-3071</t>
  </si>
  <si>
    <t>Tellers</t>
  </si>
  <si>
    <t>53-5011</t>
  </si>
  <si>
    <t>Sailors and Marine Oilers</t>
  </si>
  <si>
    <t>17-3023</t>
  </si>
  <si>
    <t>Electrical and Electronic Engineering Technologists and Technicians</t>
  </si>
  <si>
    <t>29-1215</t>
  </si>
  <si>
    <t>Family Medicine Physicians</t>
  </si>
  <si>
    <t>53-6051</t>
  </si>
  <si>
    <t>Transportation Inspectors</t>
  </si>
  <si>
    <t>17-3029</t>
  </si>
  <si>
    <t>Engineering Technologists and Technicians, Except Drafters, All Other</t>
  </si>
  <si>
    <t>6/</t>
  </si>
  <si>
    <t>#</t>
  </si>
  <si>
    <t>43-4071</t>
  </si>
  <si>
    <t>File Clerks</t>
  </si>
  <si>
    <t>43-4131</t>
  </si>
  <si>
    <t>Loan Interviewers and Clerks</t>
  </si>
  <si>
    <t>11-9031</t>
  </si>
  <si>
    <t>Education and Childcare Administrators, Preschool and Daycare</t>
  </si>
  <si>
    <t>43-4141</t>
  </si>
  <si>
    <t>New Accounts Clerks</t>
  </si>
  <si>
    <t>43-4161</t>
  </si>
  <si>
    <t>Human Resources Assistants, Except Payroll and Timekeeping</t>
  </si>
  <si>
    <t>53-7081</t>
  </si>
  <si>
    <t>Refuse and Recyclable Material Collectors</t>
  </si>
  <si>
    <t>31-1120</t>
  </si>
  <si>
    <t>Home Health and Personal Care Aides</t>
  </si>
  <si>
    <t>39-2021</t>
  </si>
  <si>
    <t>Animal Caretakers</t>
  </si>
  <si>
    <t>11-9081</t>
  </si>
  <si>
    <t>Lodging Managers</t>
  </si>
  <si>
    <t>43-5051</t>
  </si>
  <si>
    <t>Postal Service Clerks</t>
  </si>
  <si>
    <t>21-1091</t>
  </si>
  <si>
    <t>Health Education Specialists</t>
  </si>
  <si>
    <t>49-9052</t>
  </si>
  <si>
    <t>Telecommunications Line Installers and Repairers</t>
  </si>
  <si>
    <t>11-9151</t>
  </si>
  <si>
    <t>Social and Community Service Managers</t>
  </si>
  <si>
    <t>13-1041</t>
  </si>
  <si>
    <t>Compliance Officers</t>
  </si>
  <si>
    <t>25-2012</t>
  </si>
  <si>
    <t>Kindergarten Teachers, Except Special Education</t>
  </si>
  <si>
    <t>25-3021</t>
  </si>
  <si>
    <t>Self-Enrichment Teachers</t>
  </si>
  <si>
    <t>41-3011</t>
  </si>
  <si>
    <t>Advertising Sales Agents</t>
  </si>
  <si>
    <t>25-3031</t>
  </si>
  <si>
    <t>Substitute Teachers, Short-Term</t>
  </si>
  <si>
    <t>25-9031</t>
  </si>
  <si>
    <t>Instructional Coordinators</t>
  </si>
  <si>
    <t>13-2072</t>
  </si>
  <si>
    <t>Loan Officers</t>
  </si>
  <si>
    <t>41-9011</t>
  </si>
  <si>
    <t>Demonstrators and Product Promoters</t>
  </si>
  <si>
    <t>13-2099</t>
  </si>
  <si>
    <t>Financial Specialists, All Other</t>
  </si>
  <si>
    <t>Table  16-40.1   .   State Occupational Employment and Wage Estimates, Guam:   May 2022</t>
  </si>
  <si>
    <t xml:space="preserve">Table  16-40.2   .   State Occupational Employment and Wage Estimates, Guam:   May 2022 -- (continued) </t>
  </si>
  <si>
    <t xml:space="preserve">Table  16-40.3   .   State Occupational Employment and Wage Estimates, Guam:   May 2022-- (continued) </t>
  </si>
  <si>
    <t xml:space="preserve">Table  16-40.4   .   State Occupational Employment and Wage Estimates, Guam:   May 2022 -- (continued) </t>
  </si>
  <si>
    <t xml:space="preserve">Table  16-40.5   .   State Occupational Employment and Wage Estimates, Guam:   May 2022 -- (continued) </t>
  </si>
  <si>
    <t xml:space="preserve">Table  16-40.6   .   State Occupational Employment and Wage Estimates, Guam:   May 2022  -- (continued) </t>
  </si>
  <si>
    <t>29-1123</t>
  </si>
  <si>
    <t>Physical Therapists</t>
  </si>
  <si>
    <t>Rec+A115:F145reation Workers</t>
  </si>
  <si>
    <t>43-5032</t>
  </si>
  <si>
    <t>Dispatchers, Except Police, Fire, and Ambulance</t>
  </si>
  <si>
    <t>29-1229</t>
  </si>
  <si>
    <t>Physicians, All Other</t>
  </si>
  <si>
    <t>39-6011</t>
  </si>
  <si>
    <t>Baggage Porters and Bellhops</t>
  </si>
  <si>
    <t>51-8093</t>
  </si>
  <si>
    <t>Petroleum Pump System Operators, Refinery Operators, and Gaugers</t>
  </si>
  <si>
    <t>39-6012</t>
  </si>
  <si>
    <t>Concierges</t>
  </si>
  <si>
    <t>5//</t>
  </si>
  <si>
    <t>33-2011</t>
  </si>
  <si>
    <t>Firefighters</t>
  </si>
  <si>
    <t>53-6031</t>
  </si>
  <si>
    <t>Automotive and Watercraft Service Attendants</t>
  </si>
  <si>
    <t>25-4031</t>
  </si>
  <si>
    <t>Library Technicians</t>
  </si>
  <si>
    <t>35-3041</t>
  </si>
  <si>
    <t>Food Servers, Nonrestaurant</t>
  </si>
  <si>
    <t>49-3031</t>
  </si>
  <si>
    <t>Bus and Truck Mechanics and Diesel Engine Specialists</t>
  </si>
  <si>
    <t>15-1231</t>
  </si>
  <si>
    <t>Computer Network Support Specialists</t>
  </si>
  <si>
    <t>15-2031</t>
  </si>
  <si>
    <t>Operations Research Analysts</t>
  </si>
  <si>
    <t>Table   18-01  .   Supplemental Nutrition Assistance Program (SNAP) Recipients and Total Bonus, Guam:  Fiscal Years 2019 to 2023</t>
  </si>
  <si>
    <t>Table 18-03  .   The Emergency Food Assistance Program (TEFAP) Total Food</t>
  </si>
  <si>
    <t>Table 18-04   .   Women, Infants and Children (WIC) Program, Guam:  Fiscal Years 2019 to 2024</t>
  </si>
  <si>
    <t>Table  18-09   .    Average Number of Recipients and Average Monthly Funds Disbursed for Public Assistance: Fiscal Years 2019 to 2023</t>
  </si>
  <si>
    <t>Table 18-12 . Medicaid Claims by Sex and Age Group, Guam:  Fiscal Year 2024</t>
  </si>
  <si>
    <t>Table 18-16  .   Medicaid Quarterly Claims by Location, Guam:  Fiscal Year 2024</t>
  </si>
  <si>
    <t>Table 18-19   .   Medicaid Quarterly Claims by Ethnicity, Guam:  Fiscal Year 2024</t>
  </si>
  <si>
    <t>Table 18-23  .   Medically Indigent Program (MIP) Claims by Sex and Age Group, Guam:  Fiscal Year 2024</t>
  </si>
  <si>
    <t>Table 18-26 .   Medically Indigent Program (MIP) Quarterly Claims by Location, Guam:  Fiscal Year 2024</t>
  </si>
  <si>
    <t>Table 18-33 .  Number of Beneficiaries under Social Security with Benefits in Current-Payment Status and Total Monthly Benefits, by Field Office and ZIP Code, Guam: December 2023</t>
  </si>
  <si>
    <t>Table 18-36   .    Social Security Statistics, Guam:  2019 to 2023</t>
  </si>
  <si>
    <t>Table 18-38  .   Homelessness by Veteran Status, Guam:  2020 to 2024</t>
  </si>
  <si>
    <t>Table 18-39  .   Homelessness by Living Area, Guam:  2022 to 2024</t>
  </si>
  <si>
    <t>Table 18-41    .     Homeless by Age, Guam (Unsheltered Persons):  2024</t>
  </si>
  <si>
    <t>Table 18-45    .     Homeless by Ethnicity, Guam (Unsheltered Persons):   2019- 2024</t>
  </si>
  <si>
    <t>Table 18-46   .     Homeless Households by Village, Guam (Unsheltered Persons):  2024</t>
  </si>
  <si>
    <t>FY2021</t>
  </si>
  <si>
    <t>FY2020</t>
  </si>
  <si>
    <t>FY2019</t>
  </si>
  <si>
    <t xml:space="preserve">  Cost, Guam:  Fiscal Years 2003 to 2024</t>
  </si>
  <si>
    <t>Fiscal Year 2024</t>
  </si>
  <si>
    <t>Total monthly benefits</t>
  </si>
  <si>
    <t>Number of OASDI beneficiaries aged 65 or older</t>
  </si>
  <si>
    <t>Beneficiaries and benefits</t>
  </si>
  <si>
    <t>Residing Areas</t>
  </si>
  <si>
    <t>Households</t>
  </si>
  <si>
    <t>Persons in Households</t>
  </si>
  <si>
    <t xml:space="preserve">    Persons</t>
  </si>
  <si>
    <t>Fiscal Year</t>
  </si>
  <si>
    <t>Food Costs ($)</t>
  </si>
  <si>
    <t xml:space="preserve">   Total Participation</t>
  </si>
  <si>
    <t>Type of Assistance</t>
  </si>
  <si>
    <t>Recipients</t>
  </si>
  <si>
    <t>Location</t>
  </si>
  <si>
    <t>(Thousands of Dollars)</t>
  </si>
  <si>
    <t xml:space="preserve">       Number of beneficiaries</t>
  </si>
  <si>
    <t>Total Homeless (Shelters &amp; Places Other than Shelters)</t>
  </si>
  <si>
    <t>Residing Area</t>
  </si>
  <si>
    <t>Count</t>
  </si>
  <si>
    <t>w/o children</t>
  </si>
  <si>
    <t>w/ only children</t>
  </si>
  <si>
    <t>w/ at least 1 adult and 1 child</t>
  </si>
  <si>
    <t xml:space="preserve">Average monthly participation </t>
  </si>
  <si>
    <t>Food Cost ($000)</t>
  </si>
  <si>
    <t xml:space="preserve">     Monthly Average (Total)</t>
  </si>
  <si>
    <t>Retired</t>
  </si>
  <si>
    <t>Disabled</t>
  </si>
  <si>
    <t>Widow(er)s</t>
  </si>
  <si>
    <t>Veteran</t>
  </si>
  <si>
    <t>Total Homeless</t>
  </si>
  <si>
    <t>0 to 5 years old</t>
  </si>
  <si>
    <t>SNAP Benefits ($000)</t>
  </si>
  <si>
    <t>Average Monthly Benefit per Person ($)</t>
  </si>
  <si>
    <t>Temporary Aid to Needy Families (TANF)</t>
  </si>
  <si>
    <t>Andersen AFB</t>
  </si>
  <si>
    <t>Field Office</t>
  </si>
  <si>
    <t>Workers</t>
  </si>
  <si>
    <t>and parents</t>
  </si>
  <si>
    <t>Spouses</t>
  </si>
  <si>
    <t>Children</t>
  </si>
  <si>
    <t>beneficiaries</t>
  </si>
  <si>
    <r>
      <t>Retired workers</t>
    </r>
    <r>
      <rPr>
        <vertAlign val="superscript"/>
        <sz val="10"/>
        <rFont val="Arial"/>
        <family val="2"/>
      </rPr>
      <t xml:space="preserve"> 1/</t>
    </r>
  </si>
  <si>
    <t>Non-Veteran</t>
  </si>
  <si>
    <t xml:space="preserve">   Residing in Shelters</t>
  </si>
  <si>
    <t>6 to 10 years old</t>
  </si>
  <si>
    <t>American Indian</t>
  </si>
  <si>
    <t>Agana</t>
  </si>
  <si>
    <t>Average monthly benefit ($)</t>
  </si>
  <si>
    <t>Source:  Food and Nutrition Service, USDA.  All data are subject to revision.</t>
  </si>
  <si>
    <t>Old Age Assistance  (OAA)</t>
  </si>
  <si>
    <r>
      <t xml:space="preserve">All areas </t>
    </r>
    <r>
      <rPr>
        <vertAlign val="superscript"/>
        <sz val="10"/>
        <rFont val="Arial"/>
        <family val="2"/>
      </rPr>
      <t>1/</t>
    </r>
  </si>
  <si>
    <t>Disabled workers</t>
  </si>
  <si>
    <t xml:space="preserve">   Residing in Places other than Shelters</t>
  </si>
  <si>
    <t>11 to 15 years old</t>
  </si>
  <si>
    <t>Agana Heights/ Sinajana</t>
  </si>
  <si>
    <t>Note:  Special Supplemental Nutrition Program for Women, Infants and Children Program (WIC)</t>
  </si>
  <si>
    <t>Aid to the Permanently and Totally Disabled (APTD)</t>
  </si>
  <si>
    <t>Anigua</t>
  </si>
  <si>
    <r>
      <t>Widow(er)s</t>
    </r>
    <r>
      <rPr>
        <vertAlign val="superscript"/>
        <sz val="10"/>
        <rFont val="Arial"/>
        <family val="2"/>
      </rPr>
      <t xml:space="preserve"> 2/</t>
    </r>
  </si>
  <si>
    <t>Residing in Shelters</t>
  </si>
  <si>
    <t>Source: U.S. Department of Housing and Urban Development</t>
  </si>
  <si>
    <t>16 to 20 years old</t>
  </si>
  <si>
    <t>Agat/ Santa Rita</t>
  </si>
  <si>
    <t xml:space="preserve">    Households</t>
  </si>
  <si>
    <t>2020R</t>
  </si>
  <si>
    <t>The above costs include certifying participant eligibility, nutrition education, breastfeeding promotion, health care</t>
  </si>
  <si>
    <t>Aid to the Blind (AB)</t>
  </si>
  <si>
    <t xml:space="preserve">Agat </t>
  </si>
  <si>
    <t xml:space="preserve">    Total, Guam</t>
  </si>
  <si>
    <r>
      <t xml:space="preserve">Spouses </t>
    </r>
    <r>
      <rPr>
        <vertAlign val="superscript"/>
        <sz val="10"/>
        <rFont val="Arial"/>
        <family val="2"/>
      </rPr>
      <t>3/</t>
    </r>
  </si>
  <si>
    <t>1/ The 2021 Unsheltered was not conducted due to COVID-19.</t>
  </si>
  <si>
    <t>21 to 24 years old</t>
  </si>
  <si>
    <t>Asan/ /Piti</t>
  </si>
  <si>
    <t>coordination and referral, drug abuse education, clinic operations, food delivery and warehousing, vendor monitoring,</t>
  </si>
  <si>
    <t>General Assistance (GA)</t>
  </si>
  <si>
    <t>Less than 5 months</t>
  </si>
  <si>
    <r>
      <t xml:space="preserve">Children </t>
    </r>
    <r>
      <rPr>
        <vertAlign val="superscript"/>
        <sz val="10"/>
        <rFont val="Arial"/>
        <family val="2"/>
      </rPr>
      <t>4/</t>
    </r>
  </si>
  <si>
    <t>25 to 30 years old</t>
  </si>
  <si>
    <t>Average monthly benefit per household ($)</t>
  </si>
  <si>
    <t>financial management program integrity, and systems development and operations.</t>
  </si>
  <si>
    <t>Source: Department of Public Health and Social Services, Government of Guam</t>
  </si>
  <si>
    <t>5 - 7 months</t>
  </si>
  <si>
    <t>Cambodian</t>
  </si>
  <si>
    <t>Apra Heights</t>
  </si>
  <si>
    <t>31 to 35 years old</t>
  </si>
  <si>
    <t>Source: Food and Nutrition Service, USDA. All data are subject to revision.</t>
  </si>
  <si>
    <t>8 - 11 months</t>
  </si>
  <si>
    <t>Canadian</t>
  </si>
  <si>
    <t>Total monthly benefits ($000)</t>
  </si>
  <si>
    <t>Residing in Places Other than Shelters</t>
  </si>
  <si>
    <t>36 to 40 years old</t>
  </si>
  <si>
    <t>Note:  The Supplemental Nutrition Assistance Program (SNAP) is formerly the Food Stamps Program</t>
  </si>
  <si>
    <t>1 year</t>
  </si>
  <si>
    <t>All beneficiaries</t>
  </si>
  <si>
    <t>Table 18-40 .   Homelessness by Living Area, Guam:  2019 to 2021</t>
  </si>
  <si>
    <t>41 to 45 years old</t>
  </si>
  <si>
    <t>Table  18-10   .    Average Number of Recipients and Average Monthly Funds Disbursed for Public Assistance: Fiscal Years 2014 to 2018</t>
  </si>
  <si>
    <t>2 - 3 years</t>
  </si>
  <si>
    <t>Chamorro (Guam) CG</t>
  </si>
  <si>
    <t>Retired workers</t>
  </si>
  <si>
    <t>46 to 50 years old</t>
  </si>
  <si>
    <t>FY2018</t>
  </si>
  <si>
    <t>FY2017</t>
  </si>
  <si>
    <t>FY2016</t>
  </si>
  <si>
    <t>FY2015</t>
  </si>
  <si>
    <t>FY2014</t>
  </si>
  <si>
    <t>4 - 5 years</t>
  </si>
  <si>
    <t>Chamorro (Rota) (CR)</t>
  </si>
  <si>
    <t xml:space="preserve">Dededo </t>
  </si>
  <si>
    <r>
      <t xml:space="preserve">Widow(er)s </t>
    </r>
    <r>
      <rPr>
        <vertAlign val="superscript"/>
        <sz val="10"/>
        <rFont val="Arial"/>
        <family val="2"/>
      </rPr>
      <t>2/</t>
    </r>
  </si>
  <si>
    <t>51 to 55 years old</t>
  </si>
  <si>
    <t>Table 18-05   .   Women, Infants and Children (WIC) Program, Guam:  Fiscal Years 2013 to 2018</t>
  </si>
  <si>
    <t>6 - 7 years</t>
  </si>
  <si>
    <t>Latte Heights</t>
  </si>
  <si>
    <t>Chamorro (Saipan) (CS)</t>
  </si>
  <si>
    <t>Living area reflects the person's "night-time" residence at the time of survey.</t>
  </si>
  <si>
    <t>56 to 60 years old</t>
  </si>
  <si>
    <t>Table   18-02 . Supplemental Nutrition Assistance Program (SNAP) Recipients and Total Bonus, Guam:   Fiscal Years 2014 to 2018</t>
  </si>
  <si>
    <t>2012</t>
  </si>
  <si>
    <t>FY2013</t>
  </si>
  <si>
    <t>8 - 11 years</t>
  </si>
  <si>
    <t>Maina</t>
  </si>
  <si>
    <t>Chamorro (Tinian) (CT)</t>
  </si>
  <si>
    <t>Beneficiaries aged 65+</t>
  </si>
  <si>
    <t>61 to 65 years old</t>
  </si>
  <si>
    <t>2011</t>
  </si>
  <si>
    <t>12 - 15 years</t>
  </si>
  <si>
    <t>Maite</t>
  </si>
  <si>
    <t>Source:  Social Security Administration, OASDI (Old-Age, Survivors, and Disability Insurance).</t>
  </si>
  <si>
    <t>66 years and above</t>
  </si>
  <si>
    <t>2010</t>
  </si>
  <si>
    <t>16 - 18 years</t>
  </si>
  <si>
    <t>Malojloj</t>
  </si>
  <si>
    <t>OASDI beneficiaries by current-payment status and total monthly benefits, December</t>
  </si>
  <si>
    <t>Source:  Guam Homeless Coalition and Guam Housing and Urban Renewal Authority</t>
  </si>
  <si>
    <t>2009</t>
  </si>
  <si>
    <t>19 - 20 years</t>
  </si>
  <si>
    <t>Cuban</t>
  </si>
  <si>
    <t>1/  Includes special age-72 beneficiaries</t>
  </si>
  <si>
    <t xml:space="preserve"> Note:  The 2021 Unsheltered was not conducted due to COVID-19.</t>
  </si>
  <si>
    <t>Tumon</t>
  </si>
  <si>
    <t>2008</t>
  </si>
  <si>
    <t>21 - 30 years</t>
  </si>
  <si>
    <t>2/  Includes nondisabled widow(er)s, disabled widow(er)s, widowed mothers and fathers, and parents receiving</t>
  </si>
  <si>
    <t>2007</t>
  </si>
  <si>
    <t>31-40 years</t>
  </si>
  <si>
    <t>Mongmong</t>
  </si>
  <si>
    <t>German</t>
  </si>
  <si>
    <t>31 - 40 years</t>
  </si>
  <si>
    <t xml:space="preserve">     payment on the record of a worker who is deceased.</t>
  </si>
  <si>
    <t>2006</t>
  </si>
  <si>
    <t xml:space="preserve">The above costs include certifying participant eligibility, nutrition education, breastfeeding promotion, health care </t>
  </si>
  <si>
    <t>41-50 years</t>
  </si>
  <si>
    <t>Naval Station</t>
  </si>
  <si>
    <t>41 - 50 years</t>
  </si>
  <si>
    <t>3/  These beneficiaries receive payment on the record of a worker who is retired or disabled.</t>
  </si>
  <si>
    <t>Mixed Ethnicity</t>
  </si>
  <si>
    <t>2005</t>
  </si>
  <si>
    <t>51 - 64 years</t>
  </si>
  <si>
    <t>Source:  Social Security Administration, Master Beneficiary Record (OASDI ZIP file).  100 percent data.</t>
  </si>
  <si>
    <t>4/  These beneficiaries receive payment on the record of a worker who is retired, deceased, or disabled.</t>
  </si>
  <si>
    <t>Table 18-42    .     Homeless by Age, Guam (Unsheltered Persons):  2023</t>
  </si>
  <si>
    <t>Other not listed</t>
  </si>
  <si>
    <t>2004</t>
  </si>
  <si>
    <t>financial management, program integrity, and systems development and operations.</t>
  </si>
  <si>
    <t>&gt; 64 years</t>
  </si>
  <si>
    <t>1/ Includes beneficiaries in foreign countries.</t>
  </si>
  <si>
    <t>Note:  The 2021 Unsheltered was not conducted due to COVID-19.</t>
  </si>
  <si>
    <t>2003</t>
  </si>
  <si>
    <t>Administrative costs not included.</t>
  </si>
  <si>
    <t>Source:  Department of Public Health and Social Services, Government of Guam</t>
  </si>
  <si>
    <t>Note:  To avoid disclosing the reason for Social Security eligibility and amounts of benefits received, a controlled rounding procedure was used for field office</t>
  </si>
  <si>
    <t>Table  18-11  .    Public Assistance - Annual Expenditure, Guam: Fiscal Years 2018 to 2023</t>
  </si>
  <si>
    <t>and ZIP Code with fewer than 15 beneficiaries.</t>
  </si>
  <si>
    <t>Note:  The Supplemental Nutrition Assistance Progam (SNAP) is formerly the Food Stamps Program</t>
  </si>
  <si>
    <t>Commodity foods are made available by the U.S. Department of Agriculture to States under the</t>
  </si>
  <si>
    <t>Table 18-37  .    Social Security Statistics, Guam:  2014 to 2018</t>
  </si>
  <si>
    <t>TEAP.  States provide the food to local agencies that have selected, usually food banks,</t>
  </si>
  <si>
    <t>Table 18-06  .   National School Lunch Program, Guam:  Fiscal Years 2019 to 2024</t>
  </si>
  <si>
    <t>Table 18-24  .   Medically Indigent Program (MIP) Claims by Sex and Age Group, Guam:  Fiscal Year 2023</t>
  </si>
  <si>
    <t>2016R</t>
  </si>
  <si>
    <t>Table 18-47   .     Homeless Households by Village, Guam (Unsheltered Persons):  2023R</t>
  </si>
  <si>
    <t>which in turn, distribute the food to soup kitchens and food pantries that directly</t>
  </si>
  <si>
    <t>Temporary Aid to Needy Families  (TANF)</t>
  </si>
  <si>
    <t>Table 18-13 . Medicaid Claims by Sex and Age Group, Guam:  Fiscal Year 2023</t>
  </si>
  <si>
    <t>Fiscal Year 2023</t>
  </si>
  <si>
    <t>Number of beneficiaries</t>
  </si>
  <si>
    <t>serve the public.</t>
  </si>
  <si>
    <t>Total Children participation</t>
  </si>
  <si>
    <t>Old Age Assistance (OAA)</t>
  </si>
  <si>
    <t>Nigerian</t>
  </si>
  <si>
    <t>Table 18-34 .  Number of Beneficiaries under Social Security with Benefits in Current-Payment Status and Total Monthly Benefits, by Field Office and ZIP Code, Guam: December 2022</t>
  </si>
  <si>
    <t>R=revised</t>
  </si>
  <si>
    <t>Total lunches served (000)</t>
  </si>
  <si>
    <t>Aid to the Permanently &amp; Totally Disabled  (APTD)</t>
  </si>
  <si>
    <t>Cash payments ($000)</t>
  </si>
  <si>
    <t>Aid to the Blind  (AB)</t>
  </si>
  <si>
    <t>General Assistance  (GA)</t>
  </si>
  <si>
    <t>Portuguese</t>
  </si>
  <si>
    <t xml:space="preserve">Notes: Payments to State agencies are based on per meal rates which are adjusted annually to offset changes </t>
  </si>
  <si>
    <t>Source: Department of Public Health and Social Services, Government of Guam.</t>
  </si>
  <si>
    <t>Unknown/Incorrect</t>
  </si>
  <si>
    <t>in food prices. Administrative costs not included.  Cash payments includes the costs of snacks served.</t>
  </si>
  <si>
    <t>Thai (TH)</t>
  </si>
  <si>
    <t>Ukrainians</t>
  </si>
  <si>
    <t>Vietnamese (VI)</t>
  </si>
  <si>
    <t>Yapese (YP)</t>
  </si>
  <si>
    <t>Other (OT)</t>
  </si>
  <si>
    <t>Table 18-07  .   School Breakfast Program, Guam:  Fiscal Years 2019 to 2024</t>
  </si>
  <si>
    <t>Table 18-17  .   Medicaid Quarterly Claims by Location, Guam:  Fiscal Year 2023</t>
  </si>
  <si>
    <t>Unknown or Incorrect</t>
  </si>
  <si>
    <t>Table 18-27 .   Medically Indigent Program (MIP) Quarterly Claims by Location, Guam:  Fiscal Year 2023</t>
  </si>
  <si>
    <t>Total breakfasts served (000)</t>
  </si>
  <si>
    <t>Table 18-20   .   Medicaid Quarterly Claims by Ethnicity, Guam:  Fiscal Year 2023</t>
  </si>
  <si>
    <t>Table 18-43   .     Homeless by Age, Guam (Unsheltered Persons):  2022</t>
  </si>
  <si>
    <t>Payments to State agencies are based on per meal rates which are adjusted annually to offset changes in food prices.</t>
  </si>
  <si>
    <t>Table 18-08  .   Child and Adult Care Food Program, Guam:  Fiscal Years 2019 to 2024</t>
  </si>
  <si>
    <t>FY2022P</t>
  </si>
  <si>
    <t>Table 18-48   .     Homeless Households by Village, Guam (Unsheltered Persons):  2022</t>
  </si>
  <si>
    <t>Average Daily Attendance</t>
  </si>
  <si>
    <t>Total meals served (000)</t>
  </si>
  <si>
    <t>without children</t>
  </si>
  <si>
    <t>with only children</t>
  </si>
  <si>
    <t>Table 18-25  .   Medically Indigent Program (MIP) Claims by Sex and Age Group, Guam:  Fiscal Year 2022</t>
  </si>
  <si>
    <t>Fiscal Year 2022</t>
  </si>
  <si>
    <t>Table 18-14 . Medicaid Claims by Sex and Age Group, Guam:  Fiscal Year 2022</t>
  </si>
  <si>
    <t>Table 18-35 .  Number of Beneficiaries under Social Security with Benefits in Current-Payment Status and Total Monthly Benefits, by Field Office and ZIP Code, Guam: December 2021</t>
  </si>
  <si>
    <t>Table 18-44    .     Homeless by Age, Guam (Unsheltered Persons):  2020</t>
  </si>
  <si>
    <t>Table 18-18  .   Medicaid Quarterly Claims by Location, Guam:  Fiscal Year 2022</t>
  </si>
  <si>
    <t>Table 18-49   .     Homeless Households by Village, Guam (Unsheltered Persons):  2020</t>
  </si>
  <si>
    <t>Table 18-28 .   Medically Indigent Program (MIP) Quarterly Claims by Location, Guam:  Fiscal Year 2022</t>
  </si>
  <si>
    <t>Table 18-15 . Medicaid Claims by Sex and Age Group, Guam:  Fiscal Year 2021</t>
  </si>
  <si>
    <t>Table 18-21   .   Medicaid Quarterly Claims by Ethnicity, Guam:  Fiscal Year 2022</t>
  </si>
  <si>
    <t>Fiscal Year 2021</t>
  </si>
  <si>
    <t>Table 18-29  .   Medically Indigent Program (MIP) Quarterly Claims by Ethnicity, Guam:  Fiscal Year 2024</t>
  </si>
  <si>
    <t>Table 18-22 . Medicaid Quarterly Expenditure by Type of Service, Guam, 4th Quarter: Fiscal Years 2021 to 2024</t>
  </si>
  <si>
    <t>[Thousand of Dollars]</t>
  </si>
  <si>
    <t>Type of Service</t>
  </si>
  <si>
    <t>Inpatient Hospital Services</t>
  </si>
  <si>
    <t>SNF Services</t>
  </si>
  <si>
    <t>Physician Assistant Services</t>
  </si>
  <si>
    <t>Nurse/Other Practitioners</t>
  </si>
  <si>
    <t>Dental Services</t>
  </si>
  <si>
    <t>Emergency Room Services</t>
  </si>
  <si>
    <t>Other Practitioner Services</t>
  </si>
  <si>
    <t>Outpatient Hospital Services</t>
  </si>
  <si>
    <t>Clinic Services (Birth Center)</t>
  </si>
  <si>
    <t>Lab and Radiology Services</t>
  </si>
  <si>
    <t>Home Health Services</t>
  </si>
  <si>
    <t>Pharmacy Services</t>
  </si>
  <si>
    <t>Other Care Services</t>
  </si>
  <si>
    <t>Other Practitioners</t>
  </si>
  <si>
    <t>Optometric Services</t>
  </si>
  <si>
    <t>Hearing Aid</t>
  </si>
  <si>
    <t>Prosthetic Devices</t>
  </si>
  <si>
    <t>Off-Island Care</t>
  </si>
  <si>
    <t>Rural Health Services</t>
  </si>
  <si>
    <t>Medical Supplies</t>
  </si>
  <si>
    <t>Lodging</t>
  </si>
  <si>
    <t>Airfare- Client Travel</t>
  </si>
  <si>
    <t>Medicare Premium- Part B</t>
  </si>
  <si>
    <t>MIP Emergency Services</t>
  </si>
  <si>
    <t>FQHC</t>
  </si>
  <si>
    <t>Note:  Expenditures includes encumbrances.</t>
  </si>
  <si>
    <t>Totals may differ slightly due to rounding.</t>
  </si>
  <si>
    <t>Table 18-30  .   Medically Indigent Program (MIP) Quarterly Claims by Ethnicity, Guam:  Fiscal Year 2023</t>
  </si>
  <si>
    <t>Table 18-31  .   Medically Indigent Program (MIP) Quarterly Claims by Ethnicity, Guam:  Fiscal Year 2022</t>
  </si>
  <si>
    <t>Table 18-32 . Medically Indigent Program (MIP) Expenditure by Type of Service, 4th Quarter, Guam: Fiscal Years 2021 to 2024</t>
  </si>
  <si>
    <t>Clinic Services</t>
  </si>
  <si>
    <t>ICF Services</t>
  </si>
  <si>
    <t>Airfare</t>
  </si>
  <si>
    <t>MIPPR</t>
  </si>
  <si>
    <t>GCAT</t>
  </si>
  <si>
    <t>Symbol ( ) denotes negative.</t>
  </si>
  <si>
    <t>Table  20-01   .    Licensed Motor Vehicles, Guam:  Fiscal Years 2019 to 2024</t>
  </si>
  <si>
    <t>Table  20-05   .      Total Cargo Movements, Guam:  Fiscal Years 2019 to 2024</t>
  </si>
  <si>
    <t>Table  20-09    .    Metered Water Consumption, Guam: Fiscal Years 2019  to 2024</t>
  </si>
  <si>
    <t>Table 20-29  .   Actual Fuel Sales by Type of Petroleum, Guam:  2018 to 2024</t>
  </si>
  <si>
    <t>Type of License</t>
  </si>
  <si>
    <t>Movement</t>
  </si>
  <si>
    <t>[Millions of Gallons]</t>
  </si>
  <si>
    <t>[Thousands of Gallons]</t>
  </si>
  <si>
    <t>SURFACE</t>
  </si>
  <si>
    <t>Water Consumption</t>
  </si>
  <si>
    <t>Type of Petroleum</t>
  </si>
  <si>
    <t xml:space="preserve">Private </t>
  </si>
  <si>
    <t>Taxicab</t>
  </si>
  <si>
    <t>Unloaded ((Import)</t>
  </si>
  <si>
    <t>Unleaded regular gasoline</t>
  </si>
  <si>
    <t>Cargo</t>
  </si>
  <si>
    <t>Loaded (Export)</t>
  </si>
  <si>
    <t>Commercial &amp; Government</t>
  </si>
  <si>
    <t>Unleaded midgrade motor gasoline</t>
  </si>
  <si>
    <t>Trailer</t>
  </si>
  <si>
    <t>Transshipped</t>
  </si>
  <si>
    <t>Agriculture &amp; Irrigation</t>
  </si>
  <si>
    <t>Premium gasoline</t>
  </si>
  <si>
    <t>Cycle</t>
  </si>
  <si>
    <t>AIR</t>
  </si>
  <si>
    <t>Source: Guam Waterworks Authority, Government of Guam</t>
  </si>
  <si>
    <t>No. 2 disel oil &lt;5% sulfur</t>
  </si>
  <si>
    <t>Dealer</t>
  </si>
  <si>
    <t>Kerosene-type jet fuel</t>
  </si>
  <si>
    <t>Bus</t>
  </si>
  <si>
    <t>Residential fuel oil &gt; 1% sulfur</t>
  </si>
  <si>
    <t>Table  20-10   .    Metered Water Consumption, Guam: Fiscal Years 2013 to 2018</t>
  </si>
  <si>
    <t>Propane, Consumer grade</t>
  </si>
  <si>
    <t xml:space="preserve">Veterans  </t>
  </si>
  <si>
    <t>Source:  Port Authority of Guam and the Guam International Airport Authority, Government of Guam.</t>
  </si>
  <si>
    <t>Source:  Guam Energy Office, Government of Guam</t>
  </si>
  <si>
    <t>Notes:  Surface measures are in "Thousand Revenue Tons"; Air measures are in "Metric Tons".</t>
  </si>
  <si>
    <t>Note:  2022 data not available.</t>
  </si>
  <si>
    <t>Transshipped cargo is cargo that has been brought in by one vessel then transferred to another vessel</t>
  </si>
  <si>
    <t>Note:  Private includes Handicapped and Personalized licenses.</t>
  </si>
  <si>
    <t>and sent to another port.  It should not be confused with loaded or unloaded cargo.</t>
  </si>
  <si>
    <t>Table 20-30  .   Actual Fuel Sales by Type of Petroleum, Guam:  2012 to 2017</t>
  </si>
  <si>
    <t>Table  20-02   .    Licensed Motor Vehicles, Guam:  Fiscal Years 2013 to 2018</t>
  </si>
  <si>
    <t>Table  20-06   .      Total Cargo Movements, Guam:  Fiscal Years 2013 to 2018</t>
  </si>
  <si>
    <t>Table   20-11   .   Water Meters in Service, Guam: Fiscal Years 2019 to 2024</t>
  </si>
  <si>
    <t>Table   20-12   .   Water Meters in Service, Guam: Fiscal Years 2013 to 2018</t>
  </si>
  <si>
    <t>Table 20-31  .   Annual Average Gas Prices, Guam:  2018 to 2024</t>
  </si>
  <si>
    <t>Self</t>
  </si>
  <si>
    <t>Regular</t>
  </si>
  <si>
    <t>Midgrade</t>
  </si>
  <si>
    <t>Premium</t>
  </si>
  <si>
    <t>Diesel</t>
  </si>
  <si>
    <t>Table  20-03   .    Drivers Licenses Issued, Guam:  Fiscal Years 2019  to 2024</t>
  </si>
  <si>
    <t>Table  20-07  .    Passenger, Cargo, and Aircraft Movement Statistics, Guam:  Fiscal Years 2019 to 2024</t>
  </si>
  <si>
    <t>PASSENGERS</t>
  </si>
  <si>
    <t>Table  20-13  .    Water Revenues, Guam: Fiscal Years 2019 to 2024</t>
  </si>
  <si>
    <t>Arrivals</t>
  </si>
  <si>
    <t>Renewal</t>
  </si>
  <si>
    <t>Departures</t>
  </si>
  <si>
    <t>Water Revenues</t>
  </si>
  <si>
    <t>Source:  Department of Revenue and Taxation, Government of Guam</t>
  </si>
  <si>
    <t>In Transit</t>
  </si>
  <si>
    <t>CARGO</t>
  </si>
  <si>
    <t>Unloaded (Metric Tons)</t>
  </si>
  <si>
    <t>Loaded (Metric Tons)</t>
  </si>
  <si>
    <t>Table  20-04   .    Drivers Licenses Issued, Guam:  Fiscal Years 2013  to 2018</t>
  </si>
  <si>
    <t>MAIL</t>
  </si>
  <si>
    <t>Incoming (Metric Tons)</t>
  </si>
  <si>
    <t>Outgoing (Metric Tons)</t>
  </si>
  <si>
    <t>AIRCRAFT MOVEMENTS</t>
  </si>
  <si>
    <t>Table  20-14   .    Water Revenues, Guam: Fiscal Years 2013 to 2018</t>
  </si>
  <si>
    <t>Gross Take Off Weight</t>
  </si>
  <si>
    <t>AIRLINE FLIGHTS</t>
  </si>
  <si>
    <t>Avg Flights Per Week</t>
  </si>
  <si>
    <t>Source:  Guam International Airport Authority, Government of Guam.</t>
  </si>
  <si>
    <t>Table  20-08  .    Passenger, Cargo, and Aircraft Movement Statistics, Guam:  Fiscal Years 2013 to 2018</t>
  </si>
  <si>
    <t>Table  20-15   .    Sewage Discharge, Guam: Fiscal Years 2019 to 2024</t>
  </si>
  <si>
    <t>Sewage Discharge</t>
  </si>
  <si>
    <t>Commercial and Government</t>
  </si>
  <si>
    <t>Table  20-16   .    Sewage Discharge, Guam: Fiscal Years 2013 to 2018</t>
  </si>
  <si>
    <t>Table  20-17   .    Customers with Sewage Services, Guam: Fiscal Years 2019 to 2024</t>
  </si>
  <si>
    <t>Number of Customers</t>
  </si>
  <si>
    <t>Table  20-18   .    Customers with Sewage Services, Guam: Fiscal Years 2013 to 2018</t>
  </si>
  <si>
    <t>Table  20-19   .    Sewage Revenues, Guam: Fiscal Years 2019 to 2024</t>
  </si>
  <si>
    <t>Sewage Revenues</t>
  </si>
  <si>
    <t>Table  20-20   .    Sewage Revenues, Guam: Fiscal Years 2013 to 2018</t>
  </si>
  <si>
    <t>Table  20-21  .    Power Consumption, Guam: Fiscal Years 2019 to 2024</t>
  </si>
  <si>
    <t>[Million Kilowatt Hours]</t>
  </si>
  <si>
    <t>Power Consumption</t>
  </si>
  <si>
    <t>Street and outdoor lighting</t>
  </si>
  <si>
    <t>United States Navy</t>
  </si>
  <si>
    <t>Source: Guam Power Authority, Government of Guam</t>
  </si>
  <si>
    <t>Table  20-22  .     Power Consumption, Guam: Fiscal Years 2013 to 2018</t>
  </si>
  <si>
    <t>Table  20-23  .    Power Users, Guam: Fiscal Years 2019 to 2024</t>
  </si>
  <si>
    <t>Power Users</t>
  </si>
  <si>
    <t>Table  20-24  .   Power Users, Guam: Fiscal Years 2013 to 2018</t>
  </si>
  <si>
    <t>Table  20-25  .    Power Revenues, Guam: Fiscal Years 2019 to 2024</t>
  </si>
  <si>
    <t>Power Revenues</t>
  </si>
  <si>
    <t>Table  20-26   .    Power Revenues, Guam: Fiscal Years 2013 to 2018</t>
  </si>
  <si>
    <t>Table  20-27    .    Average Residential Power Consumption and Revenue, Guam: Fiscal Years 2019  to 2024</t>
  </si>
  <si>
    <t>Residential Power</t>
  </si>
  <si>
    <t>KWH Consumption per Customer</t>
  </si>
  <si>
    <t>Revenue per KWH (Cents)</t>
  </si>
  <si>
    <t>Annual Revenue per Customer ($)</t>
  </si>
  <si>
    <t>Table  20-28   .    Average Residential Power Consumption and Revenue, Guam: Fiscal Years 2013  to 2018</t>
  </si>
  <si>
    <t>Revenue per Customer ($)</t>
  </si>
  <si>
    <t>Table  21-01  .   Air Visitor Arrivals by Country of Residence, Guam:  Calendar Years 2016 to 2024</t>
  </si>
  <si>
    <t>Table  21-02 .  Monthly Visitor Arrivals, Air and Sea, Guam:  2021 to 2024</t>
  </si>
  <si>
    <t>Table  21-03   .   Visitor Arrivals by Month and Country of Residence, Guam:  Calendar Year 2024</t>
  </si>
  <si>
    <t>Table  21-06   .    Visitors, Rooms Available, and Occupancy Taxes Collected, Guam: 2020 to 2024</t>
  </si>
  <si>
    <t>Table  21-08  .   Monthly Hotel Occupancy Rate, Guam: 2011 to 2020</t>
  </si>
  <si>
    <t>Table 21-10  .   Hotel Occupancy Taxes Collected, Guam: 2020 to 2024</t>
  </si>
  <si>
    <t>Table  21-12   .   Visitor Accommodations Inventory, Guam: 2013 to 2023</t>
  </si>
  <si>
    <t>Table  21-13   .   Seat Capacity by Market, Guam:  2015 to 2024</t>
  </si>
  <si>
    <t>Table  21-14    .    Place of Residence by Arrival Status, Guam: January to December 2024</t>
  </si>
  <si>
    <t>Table  21-17   .     Place of Residence by Length of Stay, Visitors only: January to December 2024</t>
  </si>
  <si>
    <t>Table  21-20  .   Place of Residence by Trip to Guam for Head of Household, Visitors only: January to December 2024</t>
  </si>
  <si>
    <t>Table  21-23   .   Place of Residence by Place of Stay While on Guam, Visitors only, Guam: January to December 2024</t>
  </si>
  <si>
    <t>Table  21-26   .   Place of Residence by Primary Reason for Trip to Guam, Visitors only: January to December 2024</t>
  </si>
  <si>
    <t>Table  21-29   .  Average Visitor Expenditures by Market by Fiscal Year (U.S. dollars), Guam:  2016 to 2020</t>
  </si>
  <si>
    <t>Table  21-30   .   Average Length of Stay for Visitors, Guam:  Calendar Year 2014 to 2024</t>
  </si>
  <si>
    <t>Table  21-31    .    Number of Admissions to Guam by Purpose of Visit, Visa Waiver Program, Guam:  Fiscal Years 2020 to 2023</t>
  </si>
  <si>
    <t>Calendar Year</t>
  </si>
  <si>
    <t>Annual Change</t>
  </si>
  <si>
    <t>Month of</t>
  </si>
  <si>
    <t>CNMI/</t>
  </si>
  <si>
    <t>Hong</t>
  </si>
  <si>
    <t>[U.S.  Dollars]</t>
  </si>
  <si>
    <t>[Number of Rooms]</t>
  </si>
  <si>
    <t>Market</t>
  </si>
  <si>
    <t>Jan</t>
  </si>
  <si>
    <t>Feb</t>
  </si>
  <si>
    <t>Apr</t>
  </si>
  <si>
    <t>Aug</t>
  </si>
  <si>
    <t>Oct</t>
  </si>
  <si>
    <t>Nov</t>
  </si>
  <si>
    <t>Visitors to Guam</t>
  </si>
  <si>
    <t>Day/overnight</t>
  </si>
  <si>
    <t>Place of</t>
  </si>
  <si>
    <t>7-10</t>
  </si>
  <si>
    <t>11-15</t>
  </si>
  <si>
    <t>16-30</t>
  </si>
  <si>
    <t>31-90</t>
  </si>
  <si>
    <t>3 months</t>
  </si>
  <si>
    <t>1-4</t>
  </si>
  <si>
    <t>5+</t>
  </si>
  <si>
    <t>Day</t>
  </si>
  <si>
    <t>Trip to Guam</t>
  </si>
  <si>
    <t>Place of Stay While on Guam</t>
  </si>
  <si>
    <t>Primary Reason for Trip to Guam</t>
  </si>
  <si>
    <r>
      <t xml:space="preserve">FY 2020 </t>
    </r>
    <r>
      <rPr>
        <vertAlign val="superscript"/>
        <sz val="12"/>
        <rFont val="Arial"/>
        <family val="2"/>
      </rPr>
      <t>1/</t>
    </r>
  </si>
  <si>
    <t xml:space="preserve">June </t>
  </si>
  <si>
    <t>Average Days</t>
  </si>
  <si>
    <t>Arrival</t>
  </si>
  <si>
    <t>Micronesia</t>
  </si>
  <si>
    <t>Kong</t>
  </si>
  <si>
    <t>Visitors</t>
  </si>
  <si>
    <t>Establishment</t>
  </si>
  <si>
    <t>Year opened</t>
  </si>
  <si>
    <t>Over-</t>
  </si>
  <si>
    <t>trip to another</t>
  </si>
  <si>
    <t>Non-</t>
  </si>
  <si>
    <t>Residence</t>
  </si>
  <si>
    <t>Night</t>
  </si>
  <si>
    <t>Nights</t>
  </si>
  <si>
    <t>to 1 yr</t>
  </si>
  <si>
    <t>yrs</t>
  </si>
  <si>
    <t>trip</t>
  </si>
  <si>
    <t>6th or more</t>
  </si>
  <si>
    <t xml:space="preserve">Place of  </t>
  </si>
  <si>
    <t>Hotel/</t>
  </si>
  <si>
    <t>Condo-</t>
  </si>
  <si>
    <t>Friends/</t>
  </si>
  <si>
    <t>On-board</t>
  </si>
  <si>
    <t>Plea-</t>
  </si>
  <si>
    <t>Busi-</t>
  </si>
  <si>
    <t>Conven-</t>
  </si>
  <si>
    <t>Honey-</t>
  </si>
  <si>
    <t>Get</t>
  </si>
  <si>
    <t>Wedding</t>
  </si>
  <si>
    <t>Employ-</t>
  </si>
  <si>
    <t>Govt/</t>
  </si>
  <si>
    <t>Medical</t>
  </si>
  <si>
    <t>Company</t>
  </si>
  <si>
    <t>Per Person</t>
  </si>
  <si>
    <t>Entire</t>
  </si>
  <si>
    <t>Country of</t>
  </si>
  <si>
    <t>Guam-CNMI Visa Waiver</t>
  </si>
  <si>
    <t xml:space="preserve">  Air and sea arrivals</t>
  </si>
  <si>
    <t>Rooms Available</t>
  </si>
  <si>
    <t>Bayview Guam</t>
  </si>
  <si>
    <t>to Guam</t>
  </si>
  <si>
    <t>nighters</t>
  </si>
  <si>
    <t>Trip</t>
  </si>
  <si>
    <t>Crew</t>
  </si>
  <si>
    <t>island</t>
  </si>
  <si>
    <t>visitor</t>
  </si>
  <si>
    <t>Motel</t>
  </si>
  <si>
    <t>minum</t>
  </si>
  <si>
    <t>Relatives</t>
  </si>
  <si>
    <t>(ship)</t>
  </si>
  <si>
    <t>sure</t>
  </si>
  <si>
    <t>ness</t>
  </si>
  <si>
    <t>Golf</t>
  </si>
  <si>
    <t>tion</t>
  </si>
  <si>
    <t>moon</t>
  </si>
  <si>
    <t>married</t>
  </si>
  <si>
    <t>&amp; Honeymoon</t>
  </si>
  <si>
    <t>ment</t>
  </si>
  <si>
    <t>Care</t>
  </si>
  <si>
    <t>Sponsored</t>
  </si>
  <si>
    <t>Travel Party</t>
  </si>
  <si>
    <t>Citizenship</t>
  </si>
  <si>
    <t>Pleasure</t>
  </si>
  <si>
    <t>Business</t>
  </si>
  <si>
    <t>Visitors/room</t>
  </si>
  <si>
    <t>Days Inn Hotel Guam</t>
  </si>
  <si>
    <t>CNMI/ Micronesia</t>
  </si>
  <si>
    <t>Occupancy Taxes ($Millions)</t>
  </si>
  <si>
    <t>Dusit Thani 1/</t>
  </si>
  <si>
    <t xml:space="preserve">   Prepaid </t>
  </si>
  <si>
    <t>Source:  Guam Visitors Bureau, Government of Guam.</t>
  </si>
  <si>
    <t>Crowne Plaza Resort 2/</t>
  </si>
  <si>
    <t xml:space="preserve">   Local (On-island)</t>
  </si>
  <si>
    <t>Brunei</t>
  </si>
  <si>
    <t>Note:  Visitors reflect Air and Sea Arrivals</t>
  </si>
  <si>
    <t>Garden Villa Hotel</t>
  </si>
  <si>
    <t xml:space="preserve">   Total Expenditures Per Person (Prepaid and On-island) </t>
  </si>
  <si>
    <t>China /a</t>
  </si>
  <si>
    <t>Grand Plaza Hotel</t>
  </si>
  <si>
    <t>Guam Airport Hotel</t>
  </si>
  <si>
    <t>Guam Aurora Resort Villa &amp; Spa  3/</t>
  </si>
  <si>
    <t>Table  21-07   .    Visitors, Rooms Available, and Occupancy Taxes Collected, Guam: 2015 to 2019</t>
  </si>
  <si>
    <t>Guam Plaza Hotel</t>
  </si>
  <si>
    <t xml:space="preserve">Australia </t>
  </si>
  <si>
    <t>CNMI/Micronesia  =  Commonwealth of the Northern Mariana Islands/Micronesia</t>
  </si>
  <si>
    <t>Guam Reef &amp; Olive Spa Hotel</t>
  </si>
  <si>
    <t>Note:  Civilian and Military Air Arrivals</t>
  </si>
  <si>
    <t>Hilton Guam Resort &amp; Spa</t>
  </si>
  <si>
    <t>Europe</t>
  </si>
  <si>
    <t>Source:  Guam Visitors Bureau</t>
  </si>
  <si>
    <t>Papua New Guinea</t>
  </si>
  <si>
    <t xml:space="preserve">November </t>
  </si>
  <si>
    <t>Source: Guam Hotel and Restaurant Association</t>
  </si>
  <si>
    <t>Holiday Resort Guam</t>
  </si>
  <si>
    <t xml:space="preserve">Hong Kong </t>
  </si>
  <si>
    <t>Samoa (Western)</t>
  </si>
  <si>
    <t>Note:  Weighted Average Occupancy.  Weighted Average Occupancy is calculated by the sum of room nights sold by total number of rooms available</t>
  </si>
  <si>
    <t>Hotel Nikko Guam</t>
  </si>
  <si>
    <t xml:space="preserve">          for sale by reporting hotels.  Data for 2021- 2023 not available.</t>
  </si>
  <si>
    <t>Sources: Department of Revenue and Taxation and Department of Administration, Government of Guam</t>
  </si>
  <si>
    <t>Hotel Santa Fe</t>
  </si>
  <si>
    <t xml:space="preserve">Vietnam </t>
  </si>
  <si>
    <t>Air arrivals</t>
  </si>
  <si>
    <t>Hyatt Regency Hotel</t>
  </si>
  <si>
    <t>South Korea</t>
  </si>
  <si>
    <t>Leo Palace Resort</t>
  </si>
  <si>
    <t>Other countries</t>
  </si>
  <si>
    <t>Other Countries</t>
  </si>
  <si>
    <t>Taiwan /b</t>
  </si>
  <si>
    <t>Lotte Hotel  4/</t>
  </si>
  <si>
    <t>Source: Guam Customs/Agriculture Declaration Form, compiled by Guam Visitors Bureau</t>
  </si>
  <si>
    <t>United Kingdom /c</t>
  </si>
  <si>
    <t>Table  21-09  .  Monthly Hotel Room Rate, Guam: 2011 to 2020</t>
  </si>
  <si>
    <t>Table 21-11  .   Hotel Occupancy Taxes Collected, Guam: 2015 to 2019</t>
  </si>
  <si>
    <t>Oceanview Guam</t>
  </si>
  <si>
    <t>Note:  Includes Civilian and Military Air Arrivals</t>
  </si>
  <si>
    <t>[U.S. Dollars]</t>
  </si>
  <si>
    <t>Onward Agana Beach Resort</t>
  </si>
  <si>
    <t>Excludes Transit, Intended and Returning Resident, and Other Crew</t>
  </si>
  <si>
    <t>Table  21-04   .   Visitor Arrivals by Month and Country of Residence, Guam:  Calendar Year 2023</t>
  </si>
  <si>
    <t>Dusit Thani Beach Resort 10/</t>
  </si>
  <si>
    <t>"Layover" and "No response" included in the totals but not in the distribution.</t>
  </si>
  <si>
    <t>"No response" included in the totals but not in the distribution.</t>
  </si>
  <si>
    <t xml:space="preserve">Source:  Yearbook of Immigration Statistics, U.S. Department of Homeland Security </t>
  </si>
  <si>
    <t>Pacific Bay Hotel   5/</t>
  </si>
  <si>
    <t>Micronesia includes Commonwealth of the Northern Mariana Islands, Federated States of Micronesia, Palau, and the Republic of the Marshall Islands</t>
  </si>
  <si>
    <t xml:space="preserve">Micronesia includes Commonwealth of the Northern Mariana Islands, Federated States of Micronesia, </t>
  </si>
  <si>
    <t>/a  China includes the People's Republic of China, Hong Kong, and Macau</t>
  </si>
  <si>
    <t>Pacific Islands Club</t>
  </si>
  <si>
    <t xml:space="preserve">    Palau, and the Republic of the Marshall Islands</t>
  </si>
  <si>
    <t>Micronesia includes Commonwealth of the Northern Mariana Islands, Federated States of Micronesia, Palau and the Republic of the Marshall Islands</t>
  </si>
  <si>
    <t>Source:  Qmark Research &amp; Polling for the Guam Visitors Bureau</t>
  </si>
  <si>
    <t>/b  Data prior to FY 2005 included admissions from People's Republic of China, which was not in the Guam Visa Waiver program</t>
  </si>
  <si>
    <t>Pacific Star  6/</t>
  </si>
  <si>
    <t>1/  FY 2020 2nd Qtr only.  Full year FY 2020 not conducted due to the COVID-19 pandemic.</t>
  </si>
  <si>
    <t>/c  Excludes Hong Kong</t>
  </si>
  <si>
    <t>Palmridge Inn  7/</t>
  </si>
  <si>
    <t>n/a is not available</t>
  </si>
  <si>
    <t>Symbol "-" indicates data withheld to limit disclosure</t>
  </si>
  <si>
    <t>PIA Resort Hotel</t>
  </si>
  <si>
    <t>Table  21-18   .     Place of Residence by Length of Stay, Visitors only: January to December 2023</t>
  </si>
  <si>
    <t>Symbol "…" is not applicable</t>
  </si>
  <si>
    <t>Note:  Admisssions represents counts of events (i.e. arrivals, not unique individuals)</t>
  </si>
  <si>
    <t>RIHGA Royal Laguna Guam Resort 8/</t>
  </si>
  <si>
    <t>Table  21-21  .   Place of Residence by Trip to Guam for Head of Household, Visitors only: January to December 2023</t>
  </si>
  <si>
    <t>Table  21-27   .   Place of Residence by Primary Reason for Trip to Guam, Visitors only: January to December 2023</t>
  </si>
  <si>
    <t>Admission totals exceed the number of nonimmigrants admitted</t>
  </si>
  <si>
    <t>Royal Orchid Guam</t>
  </si>
  <si>
    <t>Table  21-24   .   Place of Residence by Place of Stay While on Guam, Visitors only, Guam: January to December 2023</t>
  </si>
  <si>
    <t>Santa Fe on the Bay</t>
  </si>
  <si>
    <t>Table  21-15    .    Place of Residence by Arrival Status, Guam: January to December 2023</t>
  </si>
  <si>
    <t>Sea arrivals</t>
  </si>
  <si>
    <t>Starts Guam Resort Hotel</t>
  </si>
  <si>
    <t>Tamuning Plaza Hotel</t>
  </si>
  <si>
    <t>Tsubaki Towers</t>
  </si>
  <si>
    <t>Tumon Bay Capital Hotel</t>
  </si>
  <si>
    <t xml:space="preserve">    </t>
  </si>
  <si>
    <t xml:space="preserve">Verona Resort &amp; Spa </t>
  </si>
  <si>
    <t>Note:  Weighted Average Room Rate.  Weighted Average Room Rate is calculated by the sum of all room sales divided by the sum of all room nights sold</t>
  </si>
  <si>
    <t>Westin Resort Guam</t>
  </si>
  <si>
    <t xml:space="preserve">          by reporting hotels.  Data for 2021-2023 not available.</t>
  </si>
  <si>
    <t>Wyndham Garden Hotel  9/</t>
  </si>
  <si>
    <t>Source: Guam Visitors Bureau Research Department, Guam Visitors Bureau</t>
  </si>
  <si>
    <t>Symbol "…" indicate not applicable</t>
  </si>
  <si>
    <t>1/ Dusit Thani opens doors in 2015</t>
  </si>
  <si>
    <t>2/ Formerly the Fiesta Resort Hotel</t>
  </si>
  <si>
    <t>3/ Formerly the Hotel Okura Guam</t>
  </si>
  <si>
    <t>Source: Guam Visitors Bureau, Government of Guam</t>
  </si>
  <si>
    <t>Table  21-05   .   Visitor Arrivals by Month and Country of Residence, Guam:  Calendar Year 2022</t>
  </si>
  <si>
    <t>4/ Formerly Guam Aurora Villa &amp; Spa</t>
  </si>
  <si>
    <t>Note:  Includes Civilian and Military Air and Sea Arrivals</t>
  </si>
  <si>
    <t>5/ Formerly the Holiday Plaza Hotel</t>
  </si>
  <si>
    <t>6/ Formerly the Guam Marriott Resort</t>
  </si>
  <si>
    <t>7 Formerly Days Inn Guam, Barrigada</t>
  </si>
  <si>
    <t>8/ Formerly the Sheraton Laguna Guam Hotel</t>
  </si>
  <si>
    <t>9/ Formerly the Imperial Suites Hotel, Aqua Suites</t>
  </si>
  <si>
    <t>10/ Formerly Outrigger Guam Resort</t>
  </si>
  <si>
    <t>Table  21-19   .     Place of Residence by Length of Stay, Visitors only: January to December 2022</t>
  </si>
  <si>
    <t>Table  21-22  .   Place of Residence by Trip to Guam for Head of Household, Visitors only: January to December 2022</t>
  </si>
  <si>
    <t>Table  21-28   .   Place of Residence by Primary Reason for Trip to Guam, Visitors only: January to December 2022</t>
  </si>
  <si>
    <t>Table  21-25   .   Place of Residence by Place of Stay While on Guam, Visitors only, Guam: January to December 2022</t>
  </si>
  <si>
    <t>Table  21-16    .    Place of Residence by Arrival Status, Guam: January to December 2022</t>
  </si>
  <si>
    <t>United States/Hawaii</t>
  </si>
  <si>
    <t>Note:</t>
  </si>
  <si>
    <t>Excludes transit arrivals and crew</t>
  </si>
  <si>
    <t>Civilian and Military Air Arrivals</t>
  </si>
  <si>
    <t>Source:</t>
  </si>
  <si>
    <t>Guam Customs/Agriculture Declaration Form</t>
  </si>
  <si>
    <t>Compiled by:</t>
  </si>
  <si>
    <t>Table 22-01.1  .  Population and Housing by Municipality and Census Designated Place (CDP), Guam:  2010 and 2020</t>
  </si>
  <si>
    <t>Table 22-02  .  Age and Sex by Comparative Decennial Years, Guam:  1980, 1990, 2000, 2010 and 2020</t>
  </si>
  <si>
    <t>Table 22-03  .  Ethnic Origin and Place of Birth by Comparative Decennial Years, Guam:  2010 and 2020</t>
  </si>
  <si>
    <t>Table 22-04  .  Population 15 Years and Over by Marital Status and Sex by Comparative Decennial Years, Guam:  1980, 1990, 2000, 2010 and 2020</t>
  </si>
  <si>
    <t>Table 22-05  .  Household Types by Comparative Decennial Years, Guam:  2010 and 2020</t>
  </si>
  <si>
    <t>Table 22-06  .  Household and Family Characteristics by Comparative Decennial Years, Guam:  1980, 1990, 2000, 2010 and 2020</t>
  </si>
  <si>
    <t>Table 22-07  .  School Attendance, Grade Level and Educational Attainment by Comparative Decennial Years, Guam:  1980, 1990, 2000, 2010 and 2020</t>
  </si>
  <si>
    <t>Table 22-08  .  Labor Force Characteristics by Comparative Decennial Years, Guam:  1980, 1990, 2000, 2010 and 2020</t>
  </si>
  <si>
    <t>Table 22-11  .  Veteran Status by Service by Comparative Decennial Years, Guam:  2010 and 2020</t>
  </si>
  <si>
    <t>Table 22-12  .  Health Insurance Coverage Status by Comparative Decennial Years, Guam:  2010 and 2020</t>
  </si>
  <si>
    <t>Table 22-13   .  Housing Occupancy and Vacancy by Comparative Decennial Years, Guam:  1980, 1990, 2000, 2010 and 2020</t>
  </si>
  <si>
    <t>Geographic Area</t>
  </si>
  <si>
    <t>Percent Change</t>
  </si>
  <si>
    <t>Housing Units</t>
  </si>
  <si>
    <t xml:space="preserve">    Total population</t>
  </si>
  <si>
    <t>ETHNIC ORIGIN AND RACE</t>
  </si>
  <si>
    <t xml:space="preserve">   MARITAL STATUS</t>
  </si>
  <si>
    <t>HOUSEHOLDS BY TYPE</t>
  </si>
  <si>
    <t xml:space="preserve">  SCHOOL ATTENDANCE AND GRADE LEVEL</t>
  </si>
  <si>
    <t xml:space="preserve">    LABOR FORCE STATUS</t>
  </si>
  <si>
    <t>VETERAN STATUS</t>
  </si>
  <si>
    <t>HEALTH INSURANCE COVERAGE STATUS FOR THE CIVILIAN NONINSTITUTIONALIZED POPULATION</t>
  </si>
  <si>
    <t xml:space="preserve">     HOUSING UNITS TOTAL</t>
  </si>
  <si>
    <t>GUAM</t>
  </si>
  <si>
    <t xml:space="preserve">    Total Population</t>
  </si>
  <si>
    <t xml:space="preserve">   Total Population 15 Years and Over</t>
  </si>
  <si>
    <t xml:space="preserve">      Total Population 3 Years &amp; Over Enrolled in School</t>
  </si>
  <si>
    <t xml:space="preserve">         Population 16 Years and Over</t>
  </si>
  <si>
    <t xml:space="preserve"> Total Civilian population 18 years and over</t>
  </si>
  <si>
    <t>Total civilian noninstitutionalized population</t>
  </si>
  <si>
    <t xml:space="preserve">   TENURE</t>
  </si>
  <si>
    <t>One Ethnic Origin or Race</t>
  </si>
  <si>
    <t>Family households (families)</t>
  </si>
  <si>
    <t xml:space="preserve">  Householder</t>
  </si>
  <si>
    <t>Nursery School, Preschool, or Pre-Kindergarten</t>
  </si>
  <si>
    <t xml:space="preserve">*  </t>
  </si>
  <si>
    <t>In Labor Force</t>
  </si>
  <si>
    <t>Civilian veterans:</t>
  </si>
  <si>
    <t>With health insurance coverage:</t>
  </si>
  <si>
    <t xml:space="preserve">Occupied Housing Units </t>
  </si>
  <si>
    <t>Agana Heights CDP</t>
  </si>
  <si>
    <t>Native Hawaiian and Other Pacific Islander</t>
  </si>
  <si>
    <t>With own children under 18 years</t>
  </si>
  <si>
    <t xml:space="preserve">  Spouse</t>
  </si>
  <si>
    <t xml:space="preserve">   Civilian</t>
  </si>
  <si>
    <t>Has no service-connected disability rating</t>
  </si>
  <si>
    <t>With private health insurance coverage only</t>
  </si>
  <si>
    <t xml:space="preserve">    Owner-occupied housing units</t>
  </si>
  <si>
    <t>Naval  Hospital CDP</t>
  </si>
  <si>
    <t xml:space="preserve">   Total Population </t>
  </si>
  <si>
    <t>Married couple family</t>
  </si>
  <si>
    <t xml:space="preserve">  Child:</t>
  </si>
  <si>
    <t>Elementary School (Grades 1st - 8th)</t>
  </si>
  <si>
    <t xml:space="preserve">      Employed</t>
  </si>
  <si>
    <t>Has a service-connected disability rating</t>
  </si>
  <si>
    <t>With public health insurance coverage only</t>
  </si>
  <si>
    <t xml:space="preserve">    Renter-occupied housing units</t>
  </si>
  <si>
    <t xml:space="preserve">      Under 18 years</t>
  </si>
  <si>
    <t>High School (Grades 9th - 12th)</t>
  </si>
  <si>
    <t xml:space="preserve">           Also did subsistence activity</t>
  </si>
  <si>
    <t>۔</t>
  </si>
  <si>
    <t>Source:  U.S.Department of Commerce, Census Bureau</t>
  </si>
  <si>
    <t>With both private and public health insurance coverage</t>
  </si>
  <si>
    <t>Agat CDP</t>
  </si>
  <si>
    <t>Male householder, no spouse present</t>
  </si>
  <si>
    <t xml:space="preserve">      18 to 26 years</t>
  </si>
  <si>
    <t>College, Graduate or Professional School</t>
  </si>
  <si>
    <t xml:space="preserve">      Unemployed</t>
  </si>
  <si>
    <t>No health insurance coverage</t>
  </si>
  <si>
    <t xml:space="preserve">   VACANCY STATUS</t>
  </si>
  <si>
    <t xml:space="preserve">   Armed Forces</t>
  </si>
  <si>
    <t>Asan CDP</t>
  </si>
  <si>
    <t xml:space="preserve">    Male 15 Years and Over (Total)</t>
  </si>
  <si>
    <t>Female householder, no spouse present</t>
  </si>
  <si>
    <t xml:space="preserve">   EDUCATION ATTAINMENT</t>
  </si>
  <si>
    <t>Not In Labor Force</t>
  </si>
  <si>
    <t>HEALTH INSURANCE COVERAGE STATUS FOR THE CIVILIAN NONINSTITUTIONALIZED POPULATION UNDER 18 YEARS</t>
  </si>
  <si>
    <t xml:space="preserve">    For seasonal, recreational, or occasional use</t>
  </si>
  <si>
    <t>Maina CDP</t>
  </si>
  <si>
    <t xml:space="preserve">      65 years and over </t>
  </si>
  <si>
    <t xml:space="preserve">      Total Population 25 Years and Over</t>
  </si>
  <si>
    <t xml:space="preserve">          Subsistence activity only</t>
  </si>
  <si>
    <t>Total civilian noninstitutionalized population under 18 years</t>
  </si>
  <si>
    <t>Source: U.S. Census Bureau Decennial Census reports</t>
  </si>
  <si>
    <t>Nimitz Hill Annex CDP</t>
  </si>
  <si>
    <t>Nonfamily households</t>
  </si>
  <si>
    <t xml:space="preserve">Less than 9th grade </t>
  </si>
  <si>
    <t>With health insurance coverage</t>
  </si>
  <si>
    <t>Householder living alone:</t>
  </si>
  <si>
    <t>9th to 12th grade, no diploma</t>
  </si>
  <si>
    <t>Barrigada CDP</t>
  </si>
  <si>
    <t>Total civilian noninstitutionalized population under 19 years</t>
  </si>
  <si>
    <t>Barrigada Heights CDP</t>
  </si>
  <si>
    <t xml:space="preserve">      Unmarried partner</t>
  </si>
  <si>
    <t xml:space="preserve">Chalan Pago-Ordot </t>
  </si>
  <si>
    <t>Chalan Pago CDP</t>
  </si>
  <si>
    <t xml:space="preserve">   Female 15 Years and Over (Total)</t>
  </si>
  <si>
    <t xml:space="preserve">   Institutionalized population:</t>
  </si>
  <si>
    <t>Ordot CDP</t>
  </si>
  <si>
    <t>Chinese (except Taiwanese)</t>
  </si>
  <si>
    <t>Householder not living alone:</t>
  </si>
  <si>
    <t xml:space="preserve">      Male</t>
  </si>
  <si>
    <t>Table 22-09  .  Household Income for Years Prior to Decennial Year by Comparative Census Years, Guam:  1980, 1990, 2000, 2010 and 2020</t>
  </si>
  <si>
    <t>Table 22-14  .  Year House Structure was Built by Comparative Decennial Years, Guam:  1980, 1990, 2000, 2010 and 2020</t>
  </si>
  <si>
    <t xml:space="preserve">      Female</t>
  </si>
  <si>
    <t>Astumbo CDP</t>
  </si>
  <si>
    <t xml:space="preserve">   Noninstitutionalized population:</t>
  </si>
  <si>
    <t>*  Data not collected or data not comparable due to question or response choices changes</t>
  </si>
  <si>
    <t xml:space="preserve">   INCOME IN YEAR PRIOR TO DECENNIAL YEAR</t>
  </si>
  <si>
    <t>Dededo CDP</t>
  </si>
  <si>
    <t>Finegayan Station CDP</t>
  </si>
  <si>
    <t xml:space="preserve">       Households</t>
  </si>
  <si>
    <t>Liguan CDP</t>
  </si>
  <si>
    <t>Less than $2,500</t>
  </si>
  <si>
    <t>Built 2009 to March 2010</t>
  </si>
  <si>
    <t>Machananao East CDP</t>
  </si>
  <si>
    <t>$2,500 to $4,999</t>
  </si>
  <si>
    <t>Machananao West CDP</t>
  </si>
  <si>
    <t>Built 2000 to 2008</t>
  </si>
  <si>
    <t>Machanao CDP</t>
  </si>
  <si>
    <t xml:space="preserve">    Male (Total)</t>
  </si>
  <si>
    <t>$10,000 to $14,999</t>
  </si>
  <si>
    <t>Macheche CDP</t>
  </si>
  <si>
    <t>American Indian and Alaska Native</t>
  </si>
  <si>
    <t>$15,000 to $19,999</t>
  </si>
  <si>
    <t>Mogfog CDP</t>
  </si>
  <si>
    <t>$20,000 to $24,999</t>
  </si>
  <si>
    <t>Ukudu CDP</t>
  </si>
  <si>
    <t>$25,000 to $29,999</t>
  </si>
  <si>
    <t>Wusstig CDP</t>
  </si>
  <si>
    <t>Other Ethnic Origin or Race</t>
  </si>
  <si>
    <t>$30,000 to $39,999</t>
  </si>
  <si>
    <t>Y Papao CDP</t>
  </si>
  <si>
    <t>$40,000 to $49,999</t>
  </si>
  <si>
    <t>Y Sengsong CDP</t>
  </si>
  <si>
    <t>Two or More Ethnic Origins or Races</t>
  </si>
  <si>
    <t>$50,000 to $59,999</t>
  </si>
  <si>
    <t xml:space="preserve">Built 1939 or earlier </t>
  </si>
  <si>
    <t xml:space="preserve">Hagatna </t>
  </si>
  <si>
    <t>Pacific Islander and other groups</t>
  </si>
  <si>
    <t>$60,000 to $69,999</t>
  </si>
  <si>
    <t>Hagatna CDP</t>
  </si>
  <si>
    <t>Chamorro and other groups</t>
  </si>
  <si>
    <t>$60,000 to $74,999</t>
  </si>
  <si>
    <t xml:space="preserve">Inarajan </t>
  </si>
  <si>
    <t>Asian and other groups</t>
  </si>
  <si>
    <t>$70,000 to $79,999</t>
  </si>
  <si>
    <t>Inarajan CDP</t>
  </si>
  <si>
    <t>$75,000 to $99,999</t>
  </si>
  <si>
    <t>Malojloj CDP</t>
  </si>
  <si>
    <t>PLACE OF BIRTH FOR THE FOREIGN-BORN POPULATION</t>
  </si>
  <si>
    <t>$80,000 to $99,999</t>
  </si>
  <si>
    <t xml:space="preserve">Mangilao </t>
  </si>
  <si>
    <t>$100,000 or more</t>
  </si>
  <si>
    <t>Adacao CDP</t>
  </si>
  <si>
    <t>Foreign-born population</t>
  </si>
  <si>
    <t>$100,000 to $124,999</t>
  </si>
  <si>
    <t>Mangilao CDP</t>
  </si>
  <si>
    <t>$125,000 or more</t>
  </si>
  <si>
    <t>Pagat CDP</t>
  </si>
  <si>
    <t>University of Guam CDP</t>
  </si>
  <si>
    <t>Source: U.S. Census Bureau, 2010 and 2020 Census of Guam</t>
  </si>
  <si>
    <t>Note:  In 2020, households excludes people in military housing units</t>
  </si>
  <si>
    <t>Household income ranges changed in 2020 Guam Census</t>
  </si>
  <si>
    <t>Table 22-01.2  .  Population and Housing by Municipality and Census Designated Place (CDP), Guam:  2010 and 2020 -- (continuation)</t>
  </si>
  <si>
    <t xml:space="preserve">    Female (Total)</t>
  </si>
  <si>
    <t>Other Asia</t>
  </si>
  <si>
    <t>Table 22-10  .  Poverty Status of Families by Family Type, Guam:  2000, 2010 and 2020</t>
  </si>
  <si>
    <t>Oceania</t>
  </si>
  <si>
    <t>Merizo CDP</t>
  </si>
  <si>
    <t xml:space="preserve">       Total Families</t>
  </si>
  <si>
    <t>Other Oceania</t>
  </si>
  <si>
    <t>Income Below Poverty Level</t>
  </si>
  <si>
    <t>Maite CDP</t>
  </si>
  <si>
    <t>Elsewhere</t>
  </si>
  <si>
    <t>Mongmong CDP</t>
  </si>
  <si>
    <t>Other Family:</t>
  </si>
  <si>
    <t>Toto CDP</t>
  </si>
  <si>
    <t>2020 Data results from the Guam Demograpahic Profile</t>
  </si>
  <si>
    <t>Male householder, no wife present</t>
  </si>
  <si>
    <t>Female householder, no husband present</t>
  </si>
  <si>
    <t>Nimitz Hill CDP</t>
  </si>
  <si>
    <t>Income at or above poverty Level</t>
  </si>
  <si>
    <t>Piti CDP</t>
  </si>
  <si>
    <t>Married husband-wife family</t>
  </si>
  <si>
    <t>Apra Harbor CDP</t>
  </si>
  <si>
    <t>Santa Rita CDP</t>
  </si>
  <si>
    <t>Afame CDP</t>
  </si>
  <si>
    <t>Sinajana CDP</t>
  </si>
  <si>
    <t>Ipan CDP</t>
  </si>
  <si>
    <t>Source:  U.S. Department of Commerce, Bureau of the Census</t>
  </si>
  <si>
    <t>Talofofo CDP</t>
  </si>
  <si>
    <t>* Data not collected or data not comparable due to question or response choices changes.</t>
  </si>
  <si>
    <t>Apotgan CDP</t>
  </si>
  <si>
    <t>Harmon Industrial Park CDP</t>
  </si>
  <si>
    <t>Oka CDP</t>
  </si>
  <si>
    <t>Tamuning CDP</t>
  </si>
  <si>
    <t>Tumon CDP</t>
  </si>
  <si>
    <t>U[pper Tumon CDP</t>
  </si>
  <si>
    <t>Umatac CDP</t>
  </si>
  <si>
    <t>Anao CDP</t>
  </si>
  <si>
    <t>Andersen Air Forcce Base CDP</t>
  </si>
  <si>
    <t>Chaguian CDP</t>
  </si>
  <si>
    <t>Mataguac CDP</t>
  </si>
  <si>
    <t>North Gayinero CDP</t>
  </si>
  <si>
    <t>South Gayinero CDP</t>
  </si>
  <si>
    <t>Windward Hills CDP</t>
  </si>
  <si>
    <t>Yona CDP</t>
  </si>
  <si>
    <t>Table 1-02  . Monthly Rainfall, Guam:  Calendar years 2020 to 2024</t>
  </si>
  <si>
    <t xml:space="preserve">Guam Coastal </t>
  </si>
  <si>
    <t xml:space="preserve">    Career Tech High Academy Charter School opened in SY 2020-2021</t>
  </si>
  <si>
    <t>Table 6-26  .  University of Guam Number of Degrees Granted by Academic Year, Degree Level and Major, Guam:  Academic Years 2019-2020 to 2024-2025</t>
  </si>
  <si>
    <t xml:space="preserve">Table  7-33.3   .   General Election Voter Turnout by Election District for Females, Guam: 2014 to 2022 -- (continued) </t>
  </si>
  <si>
    <t xml:space="preserve">Table  7-33.2   .   General Election Voter Turnout by Election District for Males, Guam: 2014 to 2022 -- (continued) </t>
  </si>
  <si>
    <t>Note: Numbers in parentheses (   ) denote negative.</t>
  </si>
  <si>
    <t xml:space="preserve">                        September 30, 2024</t>
  </si>
  <si>
    <t xml:space="preserve">                        September 30, 2022</t>
  </si>
  <si>
    <t xml:space="preserve">                         (DC) Plan, Guam:  FY 2018 to FY 2024</t>
  </si>
  <si>
    <t xml:space="preserve">                        (Old DB Plan), Guam:  2021</t>
  </si>
  <si>
    <t xml:space="preserve">                        (DB 1.75), Guam:   2021</t>
  </si>
  <si>
    <t xml:space="preserve">                        (Old DB Plan), Guam:  2022</t>
  </si>
  <si>
    <t xml:space="preserve">                        (DB 1.75), Guam:   2022</t>
  </si>
  <si>
    <t xml:space="preserve">                        (Old DB Plan), Guam:  2023</t>
  </si>
  <si>
    <t xml:space="preserve">                        (DB 1.75), Guam:   2023</t>
  </si>
  <si>
    <t xml:space="preserve">                          Age and Gender, Guam:  2022 to 2024</t>
  </si>
  <si>
    <t>Source:  Bureau of Labor Statistics, U.S. Department of Labor, Survey of Occupational Injuries  and Illnesses</t>
  </si>
  <si>
    <t>Source:  Bureau of Labor Statistics, U.S. Department of Labor, Survey of Occupational Injuries and illnesses</t>
  </si>
  <si>
    <t xml:space="preserve">   survey data</t>
  </si>
  <si>
    <t>3/ The relative standard error (RSE) is a measure of the reliability of a survey statistic. The smaller the relative standard error, the more precise the estimate.</t>
  </si>
  <si>
    <t xml:space="preserve">     estimate</t>
  </si>
  <si>
    <t xml:space="preserve">     for those occupations where there is not an hourly mean wage published, the annual wage has been directly calculated from the reported</t>
  </si>
  <si>
    <t xml:space="preserve">    survey data</t>
  </si>
  <si>
    <t xml:space="preserve">     Estimates do not include self-employed workers.</t>
  </si>
  <si>
    <t>1/ Estimates for detailed occupations do not sum to the totals because the totals include occupations not shown separately. Estimates do not include self-emplyoyed</t>
  </si>
  <si>
    <t xml:space="preserve">    workers.</t>
  </si>
  <si>
    <t>2/ Annual wages have been calculated by multiplying the hourly mean wage by a "year-round, full-time" hours figure of 2,080 hours; calculated from the reported survey data</t>
  </si>
  <si>
    <t>3/ The relative standard error (RSE) is a measure of the reliability of a survey statistic. The smaller the relative standard error, the more precise the estimate</t>
  </si>
  <si>
    <t xml:space="preserve">2/ Annual wages have been calculated by multiplying the hourly mean wage by a "year-round, full-time" hours figure of 2,080 hours; </t>
  </si>
  <si>
    <t>1/ Estimates for detailed occupations do not sum to the totals because the totals include occupations not shown separately. Estimates do not include self-employed</t>
  </si>
  <si>
    <t xml:space="preserve">2/ Annual wages have been calculated by multiplying the hourly mean wage by a "year-round, full-time" hours figure of 2,080 hours; for those </t>
  </si>
  <si>
    <t xml:space="preserve">    occupations where there is not an hourly mean wage published, the annual wage has been directly calculated from the reported survey data.</t>
  </si>
  <si>
    <t xml:space="preserve">    for those occupations where there is not an hourly mean wage published, the annual wage has been directly calculated from the reported surevey data</t>
  </si>
  <si>
    <t>1/ Estimates for detailed occupations do not sum to the totals because the totals include occupations not shown separately. Estimates do no include self-employed workers</t>
  </si>
  <si>
    <t>2/ Annual wages have been calculated by multiplying the hourly mean wage by a "year-round, full-time" hours figure of 2,080 hours; for those occupations where there is not an</t>
  </si>
  <si>
    <t xml:space="preserve">    hourly mean wage published, the annual wage has been directly calculated from the reported survey data</t>
  </si>
  <si>
    <t xml:space="preserve">    estimate.</t>
  </si>
  <si>
    <t>3/ The relative standard error (RSE) is a measure of the reliability of a survey statistic. The smaller the relative standard error, the more preicise the estimate</t>
  </si>
  <si>
    <t>3/ The relative standard error (RSE) is a measure of the reliability of a survey statistic. The smaller the relative standard error, the more precises the estimate</t>
  </si>
  <si>
    <t xml:space="preserve">1/ Estimates for detailed occupations do not sum to the totals because the totals include occupations not shown separately. </t>
  </si>
  <si>
    <t>1/ Estimates for detailed occupations do not sum to the totals because the totals include occupations not shown separately. Estimates do not include self-employed workers.</t>
  </si>
  <si>
    <t xml:space="preserve">    for those occupations where there is not an hourly mean wage published, the annual wage has been directly calculated from the reported survey data</t>
  </si>
  <si>
    <t>3/ The relative standard error (RSE) is a measure of the reliability of a survey statistic. The smaller the relative standard error, the more percise the estimate.</t>
  </si>
  <si>
    <t>1/ Estimates for detailed occupations do not sum to the totals because the totals include occupations not shown separately. Estimates do not include</t>
  </si>
  <si>
    <t xml:space="preserve">    self-employed workers.</t>
  </si>
  <si>
    <t>costs not included.</t>
  </si>
  <si>
    <t xml:space="preserve">Payments to State agencies are based on per meal rates which are adjusted annually to offset changes in food prices.  Administrative </t>
  </si>
  <si>
    <t>attendance is not adjusted for absenteeism, unlike the participation data in the National School Lunch and School Breakfast Programs.</t>
  </si>
  <si>
    <t xml:space="preserve">Average daily attendance data are reported on a quarterly basis only (March, June, September, and December).  The average daily </t>
  </si>
  <si>
    <t>Note:  There were 9,032 people and 2,649 housing units not in a CDP in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</si>
</sst>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_(* #,##0_);_(* \(#,##0\);_(* &quot;-&quot;??_);_(@_)"/>
    <numFmt numFmtId="167" formatCode="#,##0.0"/>
    <numFmt numFmtId="168" formatCode="_(* #,##0.0_);_(* \(#,##0.0\);_(* &quot;-&quot;??_);_(@_)"/>
    <numFmt numFmtId="169" formatCode="0.0_)"/>
    <numFmt numFmtId="170" formatCode="0.00_)"/>
    <numFmt numFmtId="171" formatCode="#,##0.0_);\(#,##0.0\)"/>
    <numFmt numFmtId="172" formatCode="#,##0;[Red]#,##0"/>
    <numFmt numFmtId="173" formatCode="0.00;[Red]0.00"/>
    <numFmt numFmtId="174" formatCode="[$-409]d\-mmm\-yyyy;@"/>
    <numFmt numFmtId="175" formatCode="&quot;$&quot;#,##0"/>
    <numFmt numFmtId="176" formatCode="#,##0.0;[Red]#,##0.0"/>
    <numFmt numFmtId="177" formatCode="#,##0.0_);\(#,##0\)"/>
    <numFmt numFmtId="178" formatCode="0.0_);\(0.0\)"/>
    <numFmt numFmtId="179" formatCode="0.0;[Red]0.0"/>
    <numFmt numFmtId="180" formatCode="0.000"/>
    <numFmt numFmtId="181" formatCode="_-&quot;$&quot;* #,##0_-;\-&quot;$&quot;* #,##0_-;_-&quot;$&quot;* &quot;-&quot;_-;_-@_-"/>
    <numFmt numFmtId="182" formatCode="#,##0.0_);[Red]\(#,##0.0\)"/>
    <numFmt numFmtId="183" formatCode="0_);[Red]\(0\)"/>
    <numFmt numFmtId="184" formatCode="0.0_);[Red]\(0.0\)"/>
    <numFmt numFmtId="185" formatCode="0.00_);\(0.00\)"/>
    <numFmt numFmtId="186" formatCode="&quot;$&quot;#,##0.00"/>
    <numFmt numFmtId="187" formatCode="00000"/>
    <numFmt numFmtId="188" formatCode="0.0000"/>
    <numFmt numFmtId="189" formatCode="_-&quot;$&quot;* #,##0.00_-;\-&quot;$&quot;* #,##0.00_-;_-&quot;$&quot;* &quot;-&quot;??_-;_-@_-"/>
  </numFmts>
  <fonts count="108">
    <font>
      <sz val="11"/>
      <color theme="1"/>
      <name val="Calibri"/>
      <family val="2"/>
      <scheme val="minor"/>
    </font>
    <font>
      <sz val="10"/>
      <color theme="1"/>
      <name val="Arial"/>
      <family val="2"/>
    </font>
    <font>
      <sz val="10"/>
      <color rgb="FF000000"/>
      <name val="Arial"/>
      <family val="2"/>
    </font>
    <font>
      <b/>
      <sz val="10"/>
      <color theme="1"/>
      <name val="Arial"/>
      <family val="2"/>
    </font>
    <font>
      <sz val="9"/>
      <color theme="1"/>
      <name val="Arial"/>
      <family val="2"/>
    </font>
    <font>
      <sz val="9"/>
      <color theme="1"/>
      <name val="Calibri"/>
      <family val="2"/>
      <scheme val="minor"/>
    </font>
    <font>
      <i/>
      <sz val="10"/>
      <color rgb="FF000000"/>
      <name val="Arial"/>
      <family val="2"/>
    </font>
    <font>
      <sz val="10"/>
      <name val="Arial"/>
      <family val="2"/>
    </font>
    <font>
      <sz val="9"/>
      <name val="Arial"/>
      <family val="2"/>
    </font>
    <font>
      <sz val="11"/>
      <color theme="1"/>
      <name val="Arial"/>
      <family val="2"/>
    </font>
    <font>
      <sz val="10"/>
      <color rgb="FF434343"/>
      <name val="Arial"/>
      <family val="2"/>
    </font>
    <font>
      <sz val="10"/>
      <color rgb="FFC00000"/>
      <name val="Arial"/>
      <family val="2"/>
    </font>
    <font>
      <sz val="11"/>
      <color rgb="FFC00000"/>
      <name val="Calibri"/>
      <family val="2"/>
      <scheme val="minor"/>
    </font>
    <font>
      <sz val="9"/>
      <color rgb="FFC00000"/>
      <name val="Calibri"/>
      <family val="2"/>
      <scheme val="minor"/>
    </font>
    <font>
      <sz val="11"/>
      <name val="Calibri"/>
      <family val="2"/>
      <scheme val="minor"/>
    </font>
    <font>
      <b/>
      <sz val="10"/>
      <name val="Arial"/>
      <family val="2"/>
    </font>
    <font>
      <sz val="11"/>
      <name val="Arial"/>
      <family val="2"/>
    </font>
    <font>
      <sz val="9"/>
      <name val="Calibri"/>
      <family val="2"/>
      <scheme val="minor"/>
    </font>
    <font>
      <sz val="12"/>
      <color theme="1"/>
      <name val="Arial"/>
      <family val="2"/>
    </font>
    <font>
      <sz val="12"/>
      <name val="Arial"/>
      <family val="2"/>
    </font>
    <font>
      <u/>
      <sz val="11"/>
      <color theme="10"/>
      <name val="Calibri"/>
      <family val="2"/>
      <scheme val="minor"/>
    </font>
    <font>
      <u/>
      <sz val="9"/>
      <color theme="10"/>
      <name val="Calibri"/>
      <family val="2"/>
      <scheme val="minor"/>
    </font>
    <font>
      <sz val="11"/>
      <color theme="1"/>
      <name val="Calibri"/>
      <family val="2"/>
    </font>
    <font>
      <sz val="9"/>
      <color theme="1"/>
      <name val="Calibri"/>
      <family val="2"/>
    </font>
    <font>
      <sz val="11"/>
      <color rgb="FF333333"/>
      <name val="Arial"/>
      <family val="2"/>
    </font>
    <font>
      <b/>
      <sz val="11"/>
      <color theme="1"/>
      <name val="Arial"/>
      <family val="2"/>
    </font>
    <font>
      <sz val="10"/>
      <color theme="1"/>
      <name val="Calibri"/>
      <family val="2"/>
      <scheme val="minor"/>
    </font>
    <font>
      <sz val="10"/>
      <color rgb="FF0F243E"/>
      <name val="Arial"/>
      <family val="2"/>
    </font>
    <font>
      <b/>
      <sz val="10"/>
      <color rgb="FF000000"/>
      <name val="Arial"/>
      <family val="2"/>
    </font>
    <font>
      <sz val="11"/>
      <color theme="1"/>
      <name val="Calibri"/>
      <family val="2"/>
      <scheme val="minor"/>
    </font>
    <font>
      <b/>
      <sz val="11"/>
      <color theme="1"/>
      <name val="Calibri"/>
      <family val="2"/>
      <scheme val="minor"/>
    </font>
    <font>
      <sz val="10"/>
      <name val="Arial"/>
      <family val="2"/>
    </font>
    <font>
      <sz val="10"/>
      <color theme="0"/>
      <name val="Arial"/>
      <family val="2"/>
    </font>
    <font>
      <sz val="10"/>
      <color indexed="8"/>
      <name val="SansSerif"/>
    </font>
    <font>
      <sz val="8"/>
      <name val="Arial"/>
      <family val="2"/>
    </font>
    <font>
      <sz val="14"/>
      <name val="Arial"/>
      <family val="2"/>
    </font>
    <font>
      <b/>
      <sz val="10"/>
      <color indexed="12"/>
      <name val="Arial"/>
      <family val="2"/>
    </font>
    <font>
      <b/>
      <sz val="10"/>
      <color indexed="10"/>
      <name val="Arial"/>
      <family val="2"/>
    </font>
    <font>
      <sz val="10"/>
      <color theme="5" tint="-0.249977111117893"/>
      <name val="Arial"/>
      <family val="2"/>
    </font>
    <font>
      <sz val="11"/>
      <color rgb="FFFF0000"/>
      <name val="Arial"/>
      <family val="2"/>
    </font>
    <font>
      <vertAlign val="superscript"/>
      <sz val="11"/>
      <name val="Arial"/>
      <family val="2"/>
    </font>
    <font>
      <sz val="10"/>
      <color indexed="8"/>
      <name val="Arial"/>
      <family val="2"/>
    </font>
    <font>
      <vertAlign val="superscript"/>
      <sz val="10"/>
      <name val="Arial"/>
      <family val="2"/>
    </font>
    <font>
      <strike/>
      <sz val="10"/>
      <name val="Arial"/>
      <family val="2"/>
    </font>
    <font>
      <i/>
      <sz val="10"/>
      <name val="Arial"/>
      <family val="2"/>
    </font>
    <font>
      <sz val="10"/>
      <name val="Times New Roman"/>
      <family val="1"/>
    </font>
    <font>
      <b/>
      <sz val="10"/>
      <color indexed="18"/>
      <name val="Arial"/>
      <family val="2"/>
    </font>
    <font>
      <sz val="10"/>
      <color rgb="FFFF0000"/>
      <name val="Arial"/>
      <family val="2"/>
    </font>
    <font>
      <b/>
      <sz val="10"/>
      <color rgb="FFFF0000"/>
      <name val="Arial"/>
      <family val="2"/>
    </font>
    <font>
      <b/>
      <sz val="12"/>
      <name val="Arial"/>
      <family val="2"/>
    </font>
    <font>
      <sz val="10"/>
      <color indexed="10"/>
      <name val="Arial"/>
      <family val="2"/>
    </font>
    <font>
      <sz val="10"/>
      <name val="Calibri"/>
      <family val="2"/>
    </font>
    <font>
      <b/>
      <sz val="9"/>
      <name val="Arial"/>
      <family val="2"/>
    </font>
    <font>
      <b/>
      <sz val="10"/>
      <color indexed="56"/>
      <name val="Arial"/>
      <family val="2"/>
    </font>
    <font>
      <b/>
      <sz val="10"/>
      <color indexed="20"/>
      <name val="Arial"/>
      <family val="2"/>
    </font>
    <font>
      <sz val="10"/>
      <name val="Verdana"/>
      <family val="2"/>
    </font>
    <font>
      <sz val="10"/>
      <color indexed="18"/>
      <name val="Arial"/>
      <family val="2"/>
    </font>
    <font>
      <sz val="11"/>
      <name val="Calibri"/>
      <family val="2"/>
    </font>
    <font>
      <b/>
      <sz val="11"/>
      <name val="Calibri"/>
      <family val="2"/>
    </font>
    <font>
      <sz val="12"/>
      <color theme="1"/>
      <name val="Calibri"/>
      <family val="2"/>
      <scheme val="minor"/>
    </font>
    <font>
      <sz val="10"/>
      <name val="MS Sans Serif"/>
      <family val="2"/>
    </font>
    <font>
      <sz val="11"/>
      <name val="Arial Narrow"/>
      <family val="2"/>
    </font>
    <font>
      <b/>
      <sz val="11"/>
      <color rgb="FF000000"/>
      <name val="Calibri"/>
      <family val="2"/>
      <scheme val="minor"/>
    </font>
    <font>
      <sz val="10"/>
      <name val="Helv"/>
    </font>
    <font>
      <vertAlign val="superscript"/>
      <sz val="12"/>
      <name val="Arial"/>
      <family val="2"/>
    </font>
    <font>
      <sz val="11"/>
      <color theme="1"/>
      <name val="Calibri"/>
      <family val="2"/>
      <charset val="136"/>
      <scheme val="minor"/>
    </font>
    <font>
      <sz val="11"/>
      <color indexed="8"/>
      <name val="Calibri"/>
      <family val="2"/>
    </font>
    <font>
      <sz val="10"/>
      <name val="Calibri"/>
      <family val="2"/>
      <scheme val="minor"/>
    </font>
    <font>
      <vertAlign val="superscript"/>
      <sz val="9"/>
      <name val="Calibri"/>
      <family val="2"/>
    </font>
    <font>
      <sz val="11"/>
      <color rgb="FF000000"/>
      <name val="Calibri"/>
      <family val="2"/>
      <scheme val="minor"/>
    </font>
    <font>
      <i/>
      <sz val="10"/>
      <color theme="1"/>
      <name val="Arial"/>
      <family val="2"/>
    </font>
    <font>
      <sz val="8"/>
      <color theme="1"/>
      <name val="Arial"/>
      <family val="2"/>
    </font>
    <font>
      <sz val="10"/>
      <color theme="8" tint="-0.249977111117893"/>
      <name val="Arial"/>
      <family val="2"/>
    </font>
    <font>
      <u/>
      <sz val="10"/>
      <color theme="10"/>
      <name val="Arial"/>
      <family val="2"/>
    </font>
    <font>
      <u/>
      <sz val="10"/>
      <name val="Arial"/>
      <family val="2"/>
    </font>
    <font>
      <u/>
      <sz val="10"/>
      <color indexed="12"/>
      <name val="Arial"/>
      <family val="2"/>
    </font>
    <font>
      <vertAlign val="superscript"/>
      <sz val="11"/>
      <name val="Calibri"/>
      <family val="2"/>
    </font>
    <font>
      <sz val="8"/>
      <color rgb="FFFF0000"/>
      <name val="Arial"/>
      <family val="2"/>
    </font>
    <font>
      <u/>
      <sz val="10"/>
      <color indexed="12"/>
      <name val="Arial"/>
      <family val="2"/>
    </font>
    <font>
      <b/>
      <sz val="11"/>
      <color rgb="FF000000"/>
      <name val="Arial"/>
      <family val="2"/>
    </font>
    <font>
      <sz val="11"/>
      <color rgb="FF000000"/>
      <name val="Arial"/>
      <family val="2"/>
    </font>
    <font>
      <sz val="10"/>
      <name val="Tahoma"/>
      <family val="2"/>
    </font>
    <font>
      <sz val="11"/>
      <color theme="1"/>
      <name val="Tahoma"/>
      <family val="2"/>
    </font>
    <font>
      <sz val="8"/>
      <name val="Tahoma"/>
      <family val="2"/>
    </font>
    <font>
      <sz val="10"/>
      <color theme="1"/>
      <name val="Tahoma"/>
      <family val="2"/>
    </font>
    <font>
      <b/>
      <sz val="10"/>
      <color theme="1"/>
      <name val="Tahoma"/>
      <family val="2"/>
    </font>
    <font>
      <sz val="7"/>
      <name val="Arial"/>
      <family val="2"/>
    </font>
    <font>
      <sz val="7"/>
      <color theme="1"/>
      <name val="Arial"/>
      <family val="2"/>
    </font>
    <font>
      <sz val="10"/>
      <color rgb="FF002060"/>
      <name val="Arial"/>
      <family val="2"/>
    </font>
    <font>
      <b/>
      <sz val="10"/>
      <color rgb="FF002060"/>
      <name val="Arial"/>
      <family val="2"/>
    </font>
    <font>
      <sz val="12"/>
      <color rgb="FFFF0000"/>
      <name val="Arial"/>
      <family val="2"/>
    </font>
    <font>
      <b/>
      <sz val="18"/>
      <color theme="3"/>
      <name val="Calibri Light"/>
      <family val="2"/>
      <scheme val="major"/>
    </font>
    <font>
      <sz val="8.5"/>
      <name val="Arial"/>
      <family val="2"/>
    </font>
    <font>
      <strike/>
      <sz val="10"/>
      <color rgb="FFFF0000"/>
      <name val="Arial"/>
      <family val="2"/>
    </font>
    <font>
      <b/>
      <sz val="8"/>
      <name val="Helv"/>
    </font>
    <font>
      <sz val="9"/>
      <name val="News Gothic MT"/>
      <family val="2"/>
    </font>
    <font>
      <b/>
      <sz val="11"/>
      <name val="Arial"/>
      <family val="2"/>
    </font>
    <font>
      <b/>
      <sz val="9"/>
      <color indexed="10"/>
      <name val="Arial"/>
      <family val="2"/>
    </font>
    <font>
      <sz val="9"/>
      <color indexed="10"/>
      <name val="Arial"/>
      <family val="2"/>
    </font>
    <font>
      <strike/>
      <sz val="10"/>
      <color indexed="10"/>
      <name val="Arial"/>
      <family val="2"/>
    </font>
    <font>
      <b/>
      <sz val="8"/>
      <color indexed="81"/>
      <name val="Tahoma"/>
      <family val="2"/>
    </font>
    <font>
      <sz val="9"/>
      <color indexed="8"/>
      <name val="Arial"/>
      <family val="2"/>
    </font>
    <font>
      <sz val="9"/>
      <color indexed="8"/>
      <name val="Calibri"/>
      <family val="2"/>
    </font>
    <font>
      <sz val="9"/>
      <name val="Tahoma"/>
      <family val="2"/>
    </font>
    <font>
      <sz val="9"/>
      <color theme="1"/>
      <name val="Tahoma"/>
      <family val="2"/>
    </font>
    <font>
      <sz val="9"/>
      <color rgb="FFFF0000"/>
      <name val="Arial"/>
      <family val="2"/>
    </font>
    <font>
      <sz val="10"/>
      <color theme="1"/>
      <name val="Calibri"/>
      <family val="2"/>
    </font>
    <font>
      <sz val="10"/>
      <name val="Arial"/>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s>
  <borders count="1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style="double">
        <color theme="1" tint="0.499984740745262"/>
      </bottom>
      <diagonal/>
    </border>
    <border>
      <left/>
      <right/>
      <top/>
      <bottom style="double">
        <color theme="1" tint="0.499984740745262"/>
      </bottom>
      <diagonal/>
    </border>
    <border>
      <left/>
      <right/>
      <top/>
      <bottom style="thin">
        <color rgb="FF000000"/>
      </bottom>
      <diagonal/>
    </border>
  </borders>
  <cellStyleXfs count="57">
    <xf numFmtId="0" fontId="0" fillId="0" borderId="0"/>
    <xf numFmtId="0" fontId="20" fillId="0" borderId="0" applyNumberFormat="0" applyFill="0" applyBorder="0" applyAlignment="0" applyProtection="0"/>
    <xf numFmtId="0" fontId="31" fillId="0" borderId="0"/>
    <xf numFmtId="0" fontId="7" fillId="0" borderId="0"/>
    <xf numFmtId="43" fontId="29"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9" fontId="7" fillId="0" borderId="0" applyFont="0" applyFill="0" applyBorder="0" applyAlignment="0" applyProtection="0"/>
    <xf numFmtId="0" fontId="7" fillId="0" borderId="0"/>
    <xf numFmtId="43" fontId="31" fillId="0" borderId="0" applyFont="0" applyFill="0" applyBorder="0" applyAlignment="0" applyProtection="0"/>
    <xf numFmtId="0" fontId="29" fillId="0" borderId="0"/>
    <xf numFmtId="0" fontId="7" fillId="0" borderId="0"/>
    <xf numFmtId="0" fontId="55" fillId="0" borderId="0"/>
    <xf numFmtId="0" fontId="55" fillId="0" borderId="0"/>
    <xf numFmtId="0" fontId="55" fillId="0" borderId="0"/>
    <xf numFmtId="0" fontId="59" fillId="0" borderId="0"/>
    <xf numFmtId="0" fontId="60" fillId="0" borderId="0"/>
    <xf numFmtId="0" fontId="29" fillId="0" borderId="0"/>
    <xf numFmtId="0" fontId="29" fillId="0" borderId="0"/>
    <xf numFmtId="0" fontId="29" fillId="0" borderId="0"/>
    <xf numFmtId="0" fontId="63" fillId="0" borderId="0"/>
    <xf numFmtId="0" fontId="29" fillId="0" borderId="0"/>
    <xf numFmtId="0" fontId="29" fillId="0" borderId="0"/>
    <xf numFmtId="0" fontId="29" fillId="0" borderId="0"/>
    <xf numFmtId="0" fontId="29" fillId="0" borderId="0"/>
    <xf numFmtId="0" fontId="29" fillId="0" borderId="0"/>
    <xf numFmtId="0" fontId="73" fillId="0" borderId="0" applyNumberFormat="0" applyFill="0" applyBorder="0" applyAlignment="0" applyProtection="0"/>
    <xf numFmtId="0" fontId="29" fillId="0" borderId="0"/>
    <xf numFmtId="0" fontId="75" fillId="0" borderId="0" applyNumberFormat="0" applyFill="0" applyBorder="0" applyAlignment="0" applyProtection="0">
      <alignment vertical="top"/>
      <protection locked="0"/>
    </xf>
    <xf numFmtId="9" fontId="31" fillId="0" borderId="0" applyFont="0" applyFill="0" applyBorder="0" applyAlignment="0" applyProtection="0"/>
    <xf numFmtId="43" fontId="31" fillId="0" borderId="0" applyFont="0" applyFill="0" applyBorder="0" applyAlignment="0" applyProtection="0"/>
    <xf numFmtId="0" fontId="78" fillId="0" borderId="0" applyNumberFormat="0" applyFill="0" applyBorder="0" applyAlignment="0" applyProtection="0">
      <alignment vertical="top"/>
      <protection locked="0"/>
    </xf>
    <xf numFmtId="43" fontId="60" fillId="0" borderId="0" applyFont="0" applyFill="0" applyBorder="0" applyAlignment="0" applyProtection="0"/>
    <xf numFmtId="0" fontId="29" fillId="0" borderId="0"/>
    <xf numFmtId="49" fontId="3" fillId="0" borderId="5">
      <alignment horizontal="left" vertical="center" wrapText="1"/>
    </xf>
    <xf numFmtId="49" fontId="86" fillId="0" borderId="9">
      <alignment horizontal="left" wrapText="1"/>
    </xf>
    <xf numFmtId="49" fontId="87" fillId="0" borderId="6">
      <alignment horizontal="center" wrapText="1"/>
    </xf>
    <xf numFmtId="49" fontId="86" fillId="0" borderId="6">
      <alignment horizontal="center" wrapText="1"/>
    </xf>
    <xf numFmtId="49" fontId="87" fillId="0" borderId="6">
      <alignment horizontal="right" wrapText="1"/>
    </xf>
    <xf numFmtId="49" fontId="86" fillId="0" borderId="6">
      <alignment horizontal="right" wrapText="1"/>
    </xf>
    <xf numFmtId="3" fontId="87" fillId="0" borderId="0">
      <alignment horizontal="right"/>
    </xf>
    <xf numFmtId="49" fontId="86" fillId="0" borderId="0">
      <alignment horizontal="left" wrapText="1"/>
    </xf>
    <xf numFmtId="49" fontId="87" fillId="0" borderId="0">
      <alignment horizontal="left" wrapText="1"/>
    </xf>
    <xf numFmtId="0" fontId="87" fillId="0" borderId="0"/>
    <xf numFmtId="49" fontId="87" fillId="0" borderId="0">
      <alignment horizontal="left" vertical="top" wrapText="1"/>
    </xf>
    <xf numFmtId="49" fontId="87" fillId="0" borderId="5">
      <alignment horizontal="left" vertical="top" wrapText="1"/>
    </xf>
    <xf numFmtId="0" fontId="86" fillId="0" borderId="0" applyNumberFormat="0">
      <alignment horizontal="right"/>
    </xf>
    <xf numFmtId="0" fontId="91" fillId="0" borderId="0" applyNumberFormat="0" applyFill="0" applyBorder="0" applyAlignment="0" applyProtection="0"/>
    <xf numFmtId="0" fontId="7" fillId="0" borderId="0"/>
    <xf numFmtId="0" fontId="94" fillId="0" borderId="0"/>
    <xf numFmtId="0" fontId="63" fillId="0" borderId="0"/>
    <xf numFmtId="0" fontId="95" fillId="0" borderId="0"/>
    <xf numFmtId="43" fontId="66" fillId="0" borderId="0" applyFont="0" applyFill="0" applyBorder="0" applyAlignment="0" applyProtection="0"/>
    <xf numFmtId="0" fontId="107" fillId="0" borderId="0"/>
    <xf numFmtId="43" fontId="107" fillId="0" borderId="0" applyFont="0" applyFill="0" applyBorder="0" applyAlignment="0" applyProtection="0"/>
  </cellStyleXfs>
  <cellXfs count="2520">
    <xf numFmtId="0" fontId="0" fillId="0" borderId="0" xfId="0"/>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2" borderId="0" xfId="0" applyFont="1" applyFill="1" applyAlignment="1">
      <alignment horizontal="right" wrapText="1"/>
    </xf>
    <xf numFmtId="0" fontId="1" fillId="0" borderId="0" xfId="0" applyFont="1" applyAlignment="1">
      <alignment horizontal="right" wrapText="1"/>
    </xf>
    <xf numFmtId="0" fontId="3" fillId="0" borderId="0" xfId="0" applyFont="1" applyAlignment="1">
      <alignment wrapText="1"/>
    </xf>
    <xf numFmtId="0" fontId="2" fillId="0" borderId="0" xfId="0" applyFont="1" applyAlignment="1">
      <alignment vertical="center" wrapText="1"/>
    </xf>
    <xf numFmtId="0" fontId="1" fillId="0" borderId="1" xfId="0" applyFont="1" applyBorder="1" applyAlignment="1">
      <alignment wrapText="1"/>
    </xf>
    <xf numFmtId="0" fontId="1" fillId="0" borderId="2" xfId="0" applyFont="1" applyBorder="1" applyAlignment="1">
      <alignment horizontal="right" wrapText="1"/>
    </xf>
    <xf numFmtId="0" fontId="1" fillId="0" borderId="5" xfId="0" applyFont="1" applyBorder="1" applyAlignment="1">
      <alignment wrapText="1"/>
    </xf>
    <xf numFmtId="0" fontId="1" fillId="0" borderId="5" xfId="0" applyFont="1" applyBorder="1" applyAlignment="1">
      <alignment horizontal="right" wrapText="1"/>
    </xf>
    <xf numFmtId="0" fontId="1" fillId="0" borderId="6" xfId="0" applyFont="1" applyBorder="1" applyAlignment="1">
      <alignment horizontal="center" wrapText="1"/>
    </xf>
    <xf numFmtId="0" fontId="4" fillId="0" borderId="0" xfId="0" applyFont="1" applyAlignment="1">
      <alignment vertical="center"/>
    </xf>
    <xf numFmtId="0" fontId="4" fillId="0" borderId="0" xfId="0" applyFont="1" applyAlignment="1">
      <alignment wrapText="1"/>
    </xf>
    <xf numFmtId="0" fontId="1" fillId="2" borderId="2" xfId="0" applyFont="1" applyFill="1" applyBorder="1" applyAlignment="1">
      <alignment horizontal="right" vertical="center" wrapText="1"/>
    </xf>
    <xf numFmtId="0" fontId="2" fillId="2" borderId="2" xfId="0" applyFont="1" applyFill="1" applyBorder="1" applyAlignment="1">
      <alignment horizontal="right" vertical="center" wrapText="1"/>
    </xf>
    <xf numFmtId="0" fontId="1" fillId="0" borderId="2" xfId="0" applyFont="1" applyBorder="1" applyAlignment="1">
      <alignment horizontal="right" vertical="center" wrapText="1"/>
    </xf>
    <xf numFmtId="0" fontId="2" fillId="0" borderId="6" xfId="0" applyFont="1" applyBorder="1" applyAlignment="1">
      <alignment horizontal="right" vertical="center" wrapText="1"/>
    </xf>
    <xf numFmtId="0" fontId="2" fillId="0" borderId="2" xfId="0" applyFont="1" applyBorder="1" applyAlignment="1">
      <alignment horizontal="right" vertical="center" wrapText="1"/>
    </xf>
    <xf numFmtId="0" fontId="3"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right" vertical="center" wrapText="1"/>
    </xf>
    <xf numFmtId="0" fontId="1" fillId="0" borderId="5" xfId="0" applyFont="1" applyBorder="1" applyAlignment="1">
      <alignment vertical="center" wrapText="1"/>
    </xf>
    <xf numFmtId="0" fontId="0" fillId="0" borderId="0" xfId="0" applyAlignment="1">
      <alignment wrapText="1"/>
    </xf>
    <xf numFmtId="0" fontId="5" fillId="0" borderId="0" xfId="0" applyFont="1"/>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 xfId="0" applyFont="1" applyBorder="1" applyAlignment="1">
      <alignment horizontal="right" vertical="center" wrapText="1"/>
    </xf>
    <xf numFmtId="0" fontId="1" fillId="0" borderId="5" xfId="0" applyFont="1" applyBorder="1" applyAlignment="1">
      <alignment horizontal="right" vertical="center" wrapText="1"/>
    </xf>
    <xf numFmtId="0" fontId="4" fillId="0" borderId="0" xfId="0" applyFont="1" applyAlignment="1">
      <alignment vertical="center" wrapText="1"/>
    </xf>
    <xf numFmtId="0" fontId="1" fillId="2" borderId="6" xfId="0" applyFont="1" applyFill="1" applyBorder="1" applyAlignment="1">
      <alignment horizontal="right" vertical="center" wrapText="1"/>
    </xf>
    <xf numFmtId="0" fontId="1" fillId="0" borderId="9" xfId="0" applyFont="1" applyBorder="1" applyAlignment="1">
      <alignment vertical="center" wrapText="1"/>
    </xf>
    <xf numFmtId="0" fontId="1" fillId="0" borderId="6" xfId="0" applyFont="1" applyBorder="1" applyAlignment="1">
      <alignment horizontal="right" wrapText="1"/>
    </xf>
    <xf numFmtId="0" fontId="1" fillId="2" borderId="0" xfId="0" applyFont="1" applyFill="1" applyAlignment="1">
      <alignment horizontal="center" wrapText="1"/>
    </xf>
    <xf numFmtId="0" fontId="1" fillId="0" borderId="0" xfId="0" applyFont="1" applyAlignment="1">
      <alignment horizontal="center" wrapText="1"/>
    </xf>
    <xf numFmtId="0" fontId="1" fillId="0" borderId="4" xfId="0" applyFont="1" applyBorder="1" applyAlignment="1">
      <alignment horizontal="right" wrapText="1"/>
    </xf>
    <xf numFmtId="0" fontId="1" fillId="0" borderId="10" xfId="0" applyFont="1" applyBorder="1" applyAlignment="1">
      <alignment horizontal="right"/>
    </xf>
    <xf numFmtId="0" fontId="1" fillId="0" borderId="11" xfId="0" applyFont="1" applyBorder="1" applyAlignment="1">
      <alignment horizontal="right"/>
    </xf>
    <xf numFmtId="0" fontId="1" fillId="0" borderId="11" xfId="0" applyFont="1" applyBorder="1" applyAlignment="1">
      <alignment horizontal="right" wrapText="1"/>
    </xf>
    <xf numFmtId="0" fontId="1" fillId="0" borderId="5" xfId="0" applyFont="1" applyBorder="1" applyAlignment="1">
      <alignment horizontal="center" vertical="center" wrapText="1"/>
    </xf>
    <xf numFmtId="0" fontId="1" fillId="0" borderId="1" xfId="0" applyFont="1" applyBorder="1"/>
    <xf numFmtId="0" fontId="1" fillId="0" borderId="5" xfId="0" applyFont="1" applyBorder="1"/>
    <xf numFmtId="0" fontId="4" fillId="0" borderId="0" xfId="0" applyFont="1" applyAlignment="1">
      <alignment horizontal="left" vertical="center"/>
    </xf>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wrapText="1"/>
    </xf>
    <xf numFmtId="3" fontId="1" fillId="0" borderId="0" xfId="0" applyNumberFormat="1" applyFont="1" applyAlignment="1">
      <alignment horizontal="right" wrapText="1"/>
    </xf>
    <xf numFmtId="16" fontId="1" fillId="2" borderId="2" xfId="0" applyNumberFormat="1" applyFont="1" applyFill="1" applyBorder="1" applyAlignment="1">
      <alignment horizontal="right" wrapText="1"/>
    </xf>
    <xf numFmtId="16" fontId="1" fillId="0" borderId="2" xfId="0" applyNumberFormat="1" applyFont="1" applyBorder="1" applyAlignment="1">
      <alignment horizontal="right" wrapText="1"/>
    </xf>
    <xf numFmtId="16" fontId="1" fillId="0" borderId="6" xfId="0" applyNumberFormat="1" applyFont="1" applyBorder="1" applyAlignment="1">
      <alignment horizontal="right" vertical="center" wrapText="1"/>
    </xf>
    <xf numFmtId="3" fontId="1" fillId="0" borderId="5" xfId="0" applyNumberFormat="1" applyFont="1" applyBorder="1" applyAlignment="1">
      <alignment horizontal="right" wrapText="1"/>
    </xf>
    <xf numFmtId="3" fontId="3" fillId="0" borderId="0" xfId="0" applyNumberFormat="1" applyFont="1" applyAlignment="1">
      <alignment horizontal="right" wrapText="1"/>
    </xf>
    <xf numFmtId="3" fontId="1" fillId="0" borderId="0" xfId="0" applyNumberFormat="1" applyFont="1" applyAlignment="1">
      <alignment horizontal="right" vertical="center" wrapText="1"/>
    </xf>
    <xf numFmtId="3" fontId="1" fillId="0" borderId="5" xfId="0" applyNumberFormat="1" applyFont="1" applyBorder="1" applyAlignment="1">
      <alignment horizontal="right" vertical="center" wrapText="1"/>
    </xf>
    <xf numFmtId="49" fontId="1" fillId="0" borderId="0" xfId="0" applyNumberFormat="1" applyFont="1" applyAlignment="1">
      <alignment vertical="center" wrapText="1"/>
    </xf>
    <xf numFmtId="49" fontId="1" fillId="0" borderId="0" xfId="0" applyNumberFormat="1" applyFont="1" applyAlignment="1">
      <alignment horizontal="center" vertical="center" wrapText="1"/>
    </xf>
    <xf numFmtId="3" fontId="1" fillId="0" borderId="1" xfId="0" applyNumberFormat="1" applyFont="1" applyBorder="1" applyAlignment="1">
      <alignment horizontal="right" wrapText="1"/>
    </xf>
    <xf numFmtId="0" fontId="1" fillId="0" borderId="5" xfId="0" applyFont="1" applyBorder="1" applyAlignment="1">
      <alignment horizontal="center" wrapText="1"/>
    </xf>
    <xf numFmtId="0" fontId="2" fillId="0" borderId="5" xfId="0" applyFont="1" applyBorder="1" applyAlignment="1">
      <alignment vertical="center" wrapText="1"/>
    </xf>
    <xf numFmtId="0" fontId="4" fillId="0" borderId="1" xfId="0" applyFont="1" applyBorder="1" applyAlignment="1">
      <alignment vertical="center"/>
    </xf>
    <xf numFmtId="0" fontId="4" fillId="0" borderId="1" xfId="0" applyFont="1" applyBorder="1" applyAlignment="1">
      <alignment wrapText="1"/>
    </xf>
    <xf numFmtId="0" fontId="4" fillId="0" borderId="0" xfId="0" applyFont="1" applyAlignment="1">
      <alignment horizontal="right" wrapText="1"/>
    </xf>
    <xf numFmtId="0" fontId="4" fillId="0" borderId="0" xfId="0" applyFont="1" applyAlignment="1">
      <alignment horizontal="right" vertical="center" wrapText="1"/>
    </xf>
    <xf numFmtId="0" fontId="4" fillId="0" borderId="2" xfId="0" applyFont="1" applyBorder="1" applyAlignment="1">
      <alignment horizontal="center" vertical="center" wrapText="1"/>
    </xf>
    <xf numFmtId="49" fontId="1" fillId="0" borderId="0" xfId="0" applyNumberFormat="1" applyFont="1" applyAlignment="1">
      <alignment horizontal="center" wrapText="1"/>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4" xfId="0" applyFont="1" applyBorder="1" applyAlignment="1">
      <alignment horizont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7" fillId="0" borderId="0" xfId="0" applyFont="1" applyAlignment="1">
      <alignment vertical="center"/>
    </xf>
    <xf numFmtId="0" fontId="7" fillId="0" borderId="0" xfId="0" applyFont="1" applyAlignment="1">
      <alignment wrapText="1"/>
    </xf>
    <xf numFmtId="0" fontId="7" fillId="0" borderId="2" xfId="0" applyFont="1" applyBorder="1" applyAlignment="1">
      <alignment horizontal="center" vertical="center" wrapText="1"/>
    </xf>
    <xf numFmtId="0" fontId="7" fillId="0" borderId="0" xfId="0" applyFont="1" applyAlignment="1">
      <alignment vertical="center" wrapText="1"/>
    </xf>
    <xf numFmtId="3" fontId="7" fillId="0" borderId="0" xfId="0" applyNumberFormat="1" applyFont="1" applyAlignment="1">
      <alignment horizontal="right" vertical="center" wrapText="1"/>
    </xf>
    <xf numFmtId="0" fontId="7" fillId="0" borderId="0" xfId="0" applyFont="1" applyAlignment="1">
      <alignment horizontal="right" wrapText="1"/>
    </xf>
    <xf numFmtId="3" fontId="7" fillId="0" borderId="0" xfId="0" applyNumberFormat="1" applyFont="1" applyAlignment="1">
      <alignment horizontal="right" wrapText="1"/>
    </xf>
    <xf numFmtId="0" fontId="7" fillId="0" borderId="0" xfId="0" applyFont="1" applyAlignment="1">
      <alignment horizontal="center" vertical="center" wrapText="1"/>
    </xf>
    <xf numFmtId="49" fontId="7" fillId="0" borderId="0" xfId="0" applyNumberFormat="1" applyFont="1" applyAlignment="1">
      <alignment horizontal="center" vertical="center" wrapText="1"/>
    </xf>
    <xf numFmtId="0" fontId="7" fillId="0" borderId="5" xfId="0" applyFont="1" applyBorder="1" applyAlignment="1">
      <alignment horizontal="right" vertical="center" wrapText="1"/>
    </xf>
    <xf numFmtId="0" fontId="7" fillId="0" borderId="5" xfId="0" applyFont="1" applyBorder="1" applyAlignment="1">
      <alignment wrapText="1"/>
    </xf>
    <xf numFmtId="3" fontId="7" fillId="0" borderId="5" xfId="0" applyNumberFormat="1" applyFont="1" applyBorder="1" applyAlignment="1">
      <alignment horizontal="right" wrapText="1"/>
    </xf>
    <xf numFmtId="0" fontId="7" fillId="0" borderId="5" xfId="0" applyFont="1" applyBorder="1" applyAlignment="1">
      <alignment horizontal="right" wrapText="1"/>
    </xf>
    <xf numFmtId="0" fontId="8" fillId="0" borderId="0" xfId="0" applyFont="1" applyAlignment="1">
      <alignment vertical="center"/>
    </xf>
    <xf numFmtId="0" fontId="8" fillId="0" borderId="0" xfId="0" applyFont="1" applyAlignment="1">
      <alignment wrapText="1"/>
    </xf>
    <xf numFmtId="0" fontId="7" fillId="0" borderId="6" xfId="0" applyFont="1" applyBorder="1" applyAlignment="1">
      <alignment horizontal="center" wrapText="1"/>
    </xf>
    <xf numFmtId="164" fontId="1" fillId="0" borderId="0" xfId="0" applyNumberFormat="1" applyFont="1" applyAlignment="1">
      <alignment horizontal="right" vertical="center" wrapText="1"/>
    </xf>
    <xf numFmtId="164" fontId="1" fillId="0" borderId="0" xfId="0" applyNumberFormat="1" applyFont="1" applyAlignment="1">
      <alignment horizontal="right" wrapText="1"/>
    </xf>
    <xf numFmtId="164" fontId="1" fillId="0" borderId="5" xfId="0" applyNumberFormat="1" applyFont="1" applyBorder="1" applyAlignment="1">
      <alignment horizontal="right" wrapText="1"/>
    </xf>
    <xf numFmtId="0" fontId="1" fillId="0" borderId="0" xfId="0" applyFont="1" applyAlignment="1">
      <alignment vertical="top" wrapText="1"/>
    </xf>
    <xf numFmtId="0" fontId="0" fillId="0" borderId="0" xfId="0" applyAlignment="1">
      <alignment vertical="center"/>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7" xfId="0" applyFont="1" applyBorder="1" applyAlignment="1">
      <alignment horizontal="right" vertical="center" wrapText="1"/>
    </xf>
    <xf numFmtId="0" fontId="1" fillId="0" borderId="8" xfId="0" applyFont="1" applyBorder="1" applyAlignment="1">
      <alignment horizontal="right" vertical="center" wrapText="1"/>
    </xf>
    <xf numFmtId="0" fontId="1" fillId="0" borderId="3" xfId="0" applyFont="1" applyBorder="1" applyAlignment="1">
      <alignment horizontal="right" vertical="center" wrapText="1"/>
    </xf>
    <xf numFmtId="0" fontId="1" fillId="0" borderId="4" xfId="0" applyFont="1" applyBorder="1" applyAlignment="1">
      <alignment horizontal="right" vertical="center" wrapText="1"/>
    </xf>
    <xf numFmtId="16" fontId="1" fillId="0" borderId="3" xfId="0" applyNumberFormat="1" applyFont="1" applyBorder="1" applyAlignment="1">
      <alignment horizontal="right" vertical="center" wrapText="1"/>
    </xf>
    <xf numFmtId="16" fontId="1" fillId="2" borderId="1" xfId="0" applyNumberFormat="1" applyFont="1" applyFill="1" applyBorder="1" applyAlignment="1">
      <alignment horizontal="right" vertical="center" wrapText="1"/>
    </xf>
    <xf numFmtId="0" fontId="1" fillId="2" borderId="5" xfId="0" applyFont="1" applyFill="1" applyBorder="1" applyAlignment="1">
      <alignment horizontal="right" vertical="center" wrapText="1"/>
    </xf>
    <xf numFmtId="0" fontId="1" fillId="0" borderId="0" xfId="0" applyFont="1" applyAlignment="1">
      <alignment horizontal="left" vertical="center"/>
    </xf>
    <xf numFmtId="0" fontId="1" fillId="0" borderId="0" xfId="0" applyFont="1" applyAlignment="1">
      <alignment horizontal="left" wrapText="1"/>
    </xf>
    <xf numFmtId="0" fontId="1" fillId="0" borderId="0" xfId="0" applyFont="1" applyAlignment="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left" wrapText="1"/>
    </xf>
    <xf numFmtId="0" fontId="1" fillId="0" borderId="11" xfId="0" applyFont="1" applyBorder="1" applyAlignment="1">
      <alignment horizontal="right" vertical="center" wrapText="1"/>
    </xf>
    <xf numFmtId="0" fontId="1" fillId="0" borderId="1" xfId="0" applyFont="1" applyBorder="1" applyAlignment="1">
      <alignment horizontal="right" vertical="center" wrapText="1"/>
    </xf>
    <xf numFmtId="0" fontId="1" fillId="0" borderId="1" xfId="0" applyFont="1" applyBorder="1" applyAlignment="1">
      <alignment vertical="center" wrapText="1"/>
    </xf>
    <xf numFmtId="0" fontId="1" fillId="0" borderId="10" xfId="0" applyFont="1" applyBorder="1" applyAlignment="1">
      <alignment horizontal="right" vertical="center" wrapText="1"/>
    </xf>
    <xf numFmtId="0" fontId="1" fillId="0" borderId="7" xfId="0" applyFont="1" applyBorder="1" applyAlignment="1">
      <alignment vertical="center" wrapText="1"/>
    </xf>
    <xf numFmtId="0" fontId="1" fillId="0" borderId="8" xfId="0" applyFont="1" applyBorder="1" applyAlignment="1">
      <alignment vertical="center" wrapText="1"/>
    </xf>
    <xf numFmtId="0" fontId="9" fillId="2" borderId="0" xfId="0" applyFont="1" applyFill="1" applyAlignment="1">
      <alignment vertical="center"/>
    </xf>
    <xf numFmtId="0" fontId="1" fillId="2" borderId="0" xfId="0" applyFont="1" applyFill="1" applyAlignment="1">
      <alignment wrapText="1"/>
    </xf>
    <xf numFmtId="0" fontId="1" fillId="0" borderId="1" xfId="0" applyFont="1" applyBorder="1" applyAlignment="1">
      <alignment vertical="center"/>
    </xf>
    <xf numFmtId="0" fontId="1" fillId="0" borderId="0" xfId="0" applyFont="1"/>
    <xf numFmtId="0" fontId="4" fillId="0" borderId="0" xfId="0" applyFont="1"/>
    <xf numFmtId="0" fontId="1" fillId="0" borderId="10" xfId="0" applyFont="1" applyBorder="1" applyAlignment="1">
      <alignment wrapText="1"/>
    </xf>
    <xf numFmtId="0" fontId="1" fillId="2" borderId="1" xfId="0" applyFont="1" applyFill="1" applyBorder="1" applyAlignment="1">
      <alignment horizontal="right" wrapText="1"/>
    </xf>
    <xf numFmtId="0" fontId="1" fillId="0" borderId="11" xfId="0" applyFont="1" applyBorder="1" applyAlignment="1">
      <alignment wrapText="1"/>
    </xf>
    <xf numFmtId="0" fontId="1" fillId="2" borderId="5" xfId="0" applyFont="1" applyFill="1" applyBorder="1" applyAlignment="1">
      <alignment horizontal="right" wrapText="1"/>
    </xf>
    <xf numFmtId="0" fontId="1" fillId="2" borderId="0" xfId="0" applyFont="1" applyFill="1"/>
    <xf numFmtId="0" fontId="1" fillId="0" borderId="0" xfId="0" applyFont="1" applyAlignment="1">
      <alignment vertical="top"/>
    </xf>
    <xf numFmtId="0" fontId="1" fillId="2" borderId="3" xfId="0" applyFont="1" applyFill="1" applyBorder="1" applyAlignment="1">
      <alignment horizontal="right" wrapText="1"/>
    </xf>
    <xf numFmtId="0" fontId="1" fillId="2" borderId="4" xfId="0" applyFont="1" applyFill="1" applyBorder="1" applyAlignment="1">
      <alignment horizontal="right" wrapText="1"/>
    </xf>
    <xf numFmtId="0" fontId="1" fillId="0" borderId="1" xfId="0" applyFont="1" applyBorder="1" applyAlignment="1">
      <alignment horizontal="right" wrapText="1"/>
    </xf>
    <xf numFmtId="0" fontId="4" fillId="0" borderId="0" xfId="0" applyFont="1" applyAlignment="1">
      <alignment horizontal="left" vertical="top"/>
    </xf>
    <xf numFmtId="0" fontId="4" fillId="0" borderId="0" xfId="0" applyFont="1" applyAlignment="1">
      <alignment vertical="top"/>
    </xf>
    <xf numFmtId="49" fontId="10" fillId="0" borderId="0" xfId="0" applyNumberFormat="1" applyFont="1" applyAlignment="1">
      <alignment horizontal="center" wrapText="1"/>
    </xf>
    <xf numFmtId="49" fontId="1" fillId="0" borderId="5" xfId="0" applyNumberFormat="1" applyFont="1" applyBorder="1" applyAlignment="1">
      <alignment horizontal="center" vertical="center" wrapText="1"/>
    </xf>
    <xf numFmtId="0" fontId="1" fillId="0" borderId="7" xfId="0" applyFont="1" applyBorder="1" applyAlignment="1">
      <alignment wrapText="1"/>
    </xf>
    <xf numFmtId="0" fontId="1" fillId="0" borderId="8" xfId="0" applyFont="1" applyBorder="1" applyAlignment="1">
      <alignment wrapText="1"/>
    </xf>
    <xf numFmtId="3" fontId="1" fillId="0" borderId="1" xfId="0" applyNumberFormat="1" applyFont="1" applyBorder="1" applyAlignment="1">
      <alignment horizontal="right" vertical="center" wrapText="1"/>
    </xf>
    <xf numFmtId="0" fontId="11" fillId="0" borderId="0" xfId="0" applyFont="1" applyAlignment="1">
      <alignment wrapText="1"/>
    </xf>
    <xf numFmtId="0" fontId="12" fillId="0" borderId="0" xfId="0" applyFont="1"/>
    <xf numFmtId="0" fontId="11" fillId="0" borderId="0" xfId="0" applyFont="1" applyAlignment="1">
      <alignment vertical="center" wrapText="1"/>
    </xf>
    <xf numFmtId="0" fontId="13" fillId="0" borderId="0" xfId="0" applyFont="1"/>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0" xfId="0" applyFont="1" applyAlignment="1">
      <alignment horizontal="left"/>
    </xf>
    <xf numFmtId="164" fontId="7" fillId="0" borderId="0" xfId="0" applyNumberFormat="1" applyFont="1" applyAlignment="1">
      <alignment horizontal="right" vertical="center" wrapText="1"/>
    </xf>
    <xf numFmtId="0" fontId="14" fillId="0" borderId="0" xfId="0" applyFont="1"/>
    <xf numFmtId="0" fontId="7" fillId="0" borderId="10" xfId="0" applyFont="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right" vertical="center" wrapText="1"/>
    </xf>
    <xf numFmtId="0" fontId="7" fillId="0" borderId="3" xfId="0" applyFont="1" applyBorder="1" applyAlignment="1">
      <alignment horizontal="right" vertical="center" wrapText="1"/>
    </xf>
    <xf numFmtId="0" fontId="7" fillId="0" borderId="11" xfId="0" applyFont="1" applyBorder="1" applyAlignment="1">
      <alignment vertical="center" wrapText="1"/>
    </xf>
    <xf numFmtId="0" fontId="7" fillId="0" borderId="5" xfId="0" applyFont="1" applyBorder="1" applyAlignment="1">
      <alignment vertical="center" wrapText="1"/>
    </xf>
    <xf numFmtId="0" fontId="7" fillId="0" borderId="4" xfId="0" applyFont="1" applyBorder="1" applyAlignment="1">
      <alignment horizontal="right" vertical="center" wrapText="1"/>
    </xf>
    <xf numFmtId="0" fontId="7" fillId="0" borderId="1" xfId="0" applyFont="1" applyBorder="1" applyAlignment="1">
      <alignment wrapText="1"/>
    </xf>
    <xf numFmtId="3" fontId="7" fillId="0" borderId="1" xfId="0" applyNumberFormat="1" applyFont="1" applyBorder="1" applyAlignment="1">
      <alignment horizontal="right" vertical="center" wrapText="1"/>
    </xf>
    <xf numFmtId="0" fontId="15" fillId="0" borderId="0" xfId="0" applyFont="1" applyAlignment="1">
      <alignment wrapText="1"/>
    </xf>
    <xf numFmtId="49" fontId="7" fillId="0" borderId="0" xfId="0" applyNumberFormat="1" applyFont="1" applyAlignment="1">
      <alignment horizontal="center" wrapText="1"/>
    </xf>
    <xf numFmtId="0" fontId="15" fillId="0" borderId="0" xfId="0" applyFont="1" applyAlignment="1">
      <alignment vertical="center" wrapText="1"/>
    </xf>
    <xf numFmtId="0" fontId="7" fillId="0" borderId="5" xfId="0" applyFont="1" applyBorder="1" applyAlignment="1">
      <alignment horizontal="center" vertical="center" wrapText="1"/>
    </xf>
    <xf numFmtId="0" fontId="17" fillId="0" borderId="0" xfId="0" applyFont="1"/>
    <xf numFmtId="0" fontId="8" fillId="0" borderId="0" xfId="0" applyFont="1" applyAlignment="1">
      <alignment vertical="center" wrapText="1"/>
    </xf>
    <xf numFmtId="0" fontId="7" fillId="0" borderId="7" xfId="0" applyFont="1" applyBorder="1" applyAlignment="1">
      <alignment horizontal="right" wrapText="1"/>
    </xf>
    <xf numFmtId="0" fontId="7" fillId="0" borderId="1" xfId="0" applyFont="1" applyBorder="1" applyAlignment="1">
      <alignment horizontal="right" wrapText="1"/>
    </xf>
    <xf numFmtId="0" fontId="7" fillId="0" borderId="3" xfId="0" applyFont="1" applyBorder="1" applyAlignment="1">
      <alignment horizontal="right" wrapText="1"/>
    </xf>
    <xf numFmtId="0" fontId="7" fillId="0" borderId="8" xfId="0" applyFont="1" applyBorder="1" applyAlignment="1">
      <alignment horizontal="right" wrapText="1"/>
    </xf>
    <xf numFmtId="0" fontId="7" fillId="0" borderId="4" xfId="0" applyFont="1" applyBorder="1" applyAlignment="1">
      <alignment horizontal="right" wrapText="1"/>
    </xf>
    <xf numFmtId="0" fontId="7" fillId="0" borderId="0" xfId="0" applyFont="1" applyAlignment="1">
      <alignment horizontal="right" vertical="center" wrapText="1"/>
    </xf>
    <xf numFmtId="0" fontId="7" fillId="0" borderId="7" xfId="0" applyFont="1" applyBorder="1" applyAlignment="1">
      <alignment wrapText="1"/>
    </xf>
    <xf numFmtId="0" fontId="7" fillId="0" borderId="10" xfId="0" applyFont="1" applyBorder="1" applyAlignment="1">
      <alignment horizontal="right" wrapText="1"/>
    </xf>
    <xf numFmtId="0" fontId="7" fillId="0" borderId="8" xfId="0" applyFont="1" applyBorder="1" applyAlignment="1">
      <alignment vertical="center" wrapText="1"/>
    </xf>
    <xf numFmtId="0" fontId="7" fillId="0" borderId="11" xfId="0" applyFont="1" applyBorder="1" applyAlignment="1">
      <alignment horizontal="right"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1" xfId="0" applyFont="1" applyBorder="1" applyAlignment="1">
      <alignment wrapText="1"/>
    </xf>
    <xf numFmtId="0" fontId="0" fillId="0" borderId="0" xfId="0" applyAlignment="1">
      <alignment horizontal="right"/>
    </xf>
    <xf numFmtId="0" fontId="7" fillId="0" borderId="10" xfId="0" applyFont="1" applyBorder="1" applyAlignment="1">
      <alignment wrapText="1"/>
    </xf>
    <xf numFmtId="0" fontId="7" fillId="0" borderId="11" xfId="0" applyFont="1" applyBorder="1" applyAlignment="1">
      <alignmen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5" xfId="0" applyFont="1" applyFill="1" applyBorder="1" applyAlignment="1">
      <alignment wrapText="1"/>
    </xf>
    <xf numFmtId="0" fontId="1" fillId="2" borderId="3" xfId="0" applyFont="1" applyFill="1" applyBorder="1" applyAlignment="1">
      <alignment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wrapText="1"/>
    </xf>
    <xf numFmtId="0" fontId="1" fillId="2" borderId="7" xfId="0" applyFont="1" applyFill="1" applyBorder="1" applyAlignment="1">
      <alignment wrapText="1"/>
    </xf>
    <xf numFmtId="0" fontId="1" fillId="2" borderId="8" xfId="0" applyFont="1" applyFill="1" applyBorder="1" applyAlignment="1">
      <alignment wrapText="1"/>
    </xf>
    <xf numFmtId="0" fontId="1" fillId="0" borderId="4" xfId="0" applyFont="1" applyBorder="1" applyAlignment="1">
      <alignment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wrapText="1"/>
    </xf>
    <xf numFmtId="2" fontId="1" fillId="0" borderId="0" xfId="0" applyNumberFormat="1" applyFont="1" applyAlignment="1">
      <alignment horizontal="right" wrapText="1"/>
    </xf>
    <xf numFmtId="0" fontId="1" fillId="0" borderId="11" xfId="0" applyFont="1" applyBorder="1" applyAlignment="1">
      <alignment horizontal="center" vertical="center" wrapText="1"/>
    </xf>
    <xf numFmtId="0" fontId="1" fillId="0" borderId="3" xfId="0" applyFont="1" applyBorder="1" applyAlignment="1">
      <alignment wrapText="1"/>
    </xf>
    <xf numFmtId="0" fontId="1" fillId="0" borderId="1" xfId="0" applyFont="1" applyBorder="1" applyAlignment="1">
      <alignment horizontal="center" vertical="center" wrapText="1"/>
    </xf>
    <xf numFmtId="49" fontId="1" fillId="0" borderId="5" xfId="0" applyNumberFormat="1" applyFont="1" applyBorder="1" applyAlignment="1">
      <alignment horizont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9" xfId="0" applyFont="1" applyBorder="1" applyAlignment="1">
      <alignment horizontal="center" vertical="center" wrapText="1"/>
    </xf>
    <xf numFmtId="0" fontId="4" fillId="0" borderId="1" xfId="0" applyFont="1" applyBorder="1"/>
    <xf numFmtId="0" fontId="1" fillId="2" borderId="5" xfId="0" applyFont="1" applyFill="1" applyBorder="1" applyAlignment="1">
      <alignment horizontal="left" vertical="top"/>
    </xf>
    <xf numFmtId="0" fontId="1" fillId="0" borderId="10" xfId="0" applyFont="1" applyBorder="1" applyAlignment="1">
      <alignment horizontal="center" wrapText="1"/>
    </xf>
    <xf numFmtId="0" fontId="1" fillId="0" borderId="10" xfId="0" applyFont="1" applyBorder="1" applyAlignment="1">
      <alignment horizontal="center" vertical="center" wrapText="1"/>
    </xf>
    <xf numFmtId="164" fontId="1" fillId="0" borderId="1" xfId="0" applyNumberFormat="1" applyFont="1" applyBorder="1" applyAlignment="1">
      <alignment horizontal="right" vertical="center" wrapText="1"/>
    </xf>
    <xf numFmtId="2" fontId="1" fillId="0" borderId="0" xfId="0" applyNumberFormat="1" applyFont="1" applyAlignment="1">
      <alignment horizontal="right" vertical="center" wrapText="1"/>
    </xf>
    <xf numFmtId="164" fontId="1" fillId="0" borderId="5" xfId="0" applyNumberFormat="1" applyFont="1" applyBorder="1" applyAlignment="1">
      <alignment horizontal="right" vertical="center" wrapText="1"/>
    </xf>
    <xf numFmtId="0" fontId="9" fillId="0" borderId="0" xfId="0" applyFont="1" applyAlignment="1">
      <alignment horizontal="center" vertical="center" wrapText="1"/>
    </xf>
    <xf numFmtId="0" fontId="9" fillId="0" borderId="0" xfId="0" applyFont="1" applyAlignment="1">
      <alignment wrapText="1"/>
    </xf>
    <xf numFmtId="3" fontId="9" fillId="0" borderId="0" xfId="0" applyNumberFormat="1" applyFont="1" applyAlignment="1">
      <alignment horizontal="right" wrapText="1"/>
    </xf>
    <xf numFmtId="0" fontId="9" fillId="0" borderId="0" xfId="0" applyFont="1" applyAlignment="1">
      <alignment horizontal="right" wrapText="1"/>
    </xf>
    <xf numFmtId="0" fontId="9" fillId="0" borderId="0" xfId="0" applyFont="1" applyAlignment="1">
      <alignment horizontal="right" vertical="center" wrapText="1"/>
    </xf>
    <xf numFmtId="0" fontId="9" fillId="0" borderId="0" xfId="0" applyFont="1" applyAlignment="1">
      <alignment horizontal="center" wrapText="1"/>
    </xf>
    <xf numFmtId="0" fontId="9" fillId="0" borderId="0" xfId="0" applyFont="1" applyAlignment="1">
      <alignment vertical="center" wrapText="1"/>
    </xf>
    <xf numFmtId="0" fontId="9" fillId="0" borderId="5" xfId="0" applyFont="1" applyBorder="1" applyAlignment="1">
      <alignment horizontal="center" vertical="center" wrapText="1"/>
    </xf>
    <xf numFmtId="0" fontId="9" fillId="0" borderId="5" xfId="0" applyFont="1" applyBorder="1" applyAlignment="1">
      <alignment vertical="center" wrapText="1"/>
    </xf>
    <xf numFmtId="0" fontId="1" fillId="0" borderId="13" xfId="0" applyFont="1" applyBorder="1" applyAlignment="1">
      <alignment wrapText="1"/>
    </xf>
    <xf numFmtId="0" fontId="9" fillId="0" borderId="4" xfId="0" applyFont="1" applyBorder="1" applyAlignment="1">
      <alignment vertical="center" wrapText="1"/>
    </xf>
    <xf numFmtId="0" fontId="9" fillId="0" borderId="5" xfId="0" applyFont="1" applyBorder="1" applyAlignment="1">
      <alignment wrapText="1"/>
    </xf>
    <xf numFmtId="0" fontId="9" fillId="0" borderId="5" xfId="0" applyFont="1" applyBorder="1" applyAlignment="1">
      <alignment horizontal="right" vertical="center" wrapText="1"/>
    </xf>
    <xf numFmtId="0" fontId="9" fillId="0" borderId="5" xfId="0" applyFont="1" applyBorder="1" applyAlignment="1">
      <alignment horizontal="right" wrapText="1"/>
    </xf>
    <xf numFmtId="3" fontId="9" fillId="0" borderId="0" xfId="0" applyNumberFormat="1" applyFont="1" applyAlignment="1">
      <alignment horizontal="right" vertical="center" wrapText="1"/>
    </xf>
    <xf numFmtId="3" fontId="9" fillId="0" borderId="5" xfId="0" applyNumberFormat="1" applyFont="1" applyBorder="1" applyAlignment="1">
      <alignment horizontal="righ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9" fillId="0" borderId="0" xfId="0" applyFont="1" applyAlignment="1">
      <alignment vertical="center"/>
    </xf>
    <xf numFmtId="0" fontId="9" fillId="0" borderId="1" xfId="0" applyFont="1" applyBorder="1" applyAlignment="1">
      <alignment horizontal="center" vertical="center"/>
    </xf>
    <xf numFmtId="0" fontId="9" fillId="0" borderId="1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9" fillId="0" borderId="11" xfId="0" applyFont="1" applyBorder="1" applyAlignment="1">
      <alignment horizontal="center" vertical="center" wrapText="1"/>
    </xf>
    <xf numFmtId="0" fontId="1" fillId="0" borderId="3" xfId="0" applyFont="1" applyBorder="1" applyAlignment="1">
      <alignment horizontal="center" vertical="center"/>
    </xf>
    <xf numFmtId="0" fontId="9" fillId="0" borderId="3" xfId="0" applyFont="1" applyBorder="1" applyAlignment="1">
      <alignment horizontal="center" vertical="center"/>
    </xf>
    <xf numFmtId="0" fontId="18" fillId="0" borderId="0" xfId="0" applyFont="1" applyAlignment="1">
      <alignment vertical="top" wrapText="1"/>
    </xf>
    <xf numFmtId="0" fontId="18" fillId="0" borderId="0" xfId="0" applyFont="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0" fontId="18" fillId="0" borderId="5" xfId="0" applyFont="1" applyBorder="1" applyAlignment="1">
      <alignment horizontal="center" vertical="center" wrapText="1"/>
    </xf>
    <xf numFmtId="0" fontId="1" fillId="0" borderId="13" xfId="0" applyFont="1" applyBorder="1" applyAlignment="1">
      <alignment vertical="center" wrapText="1"/>
    </xf>
    <xf numFmtId="3" fontId="18" fillId="0" borderId="0" xfId="0" applyNumberFormat="1" applyFont="1" applyAlignment="1">
      <alignment horizontal="right" vertical="center" wrapText="1"/>
    </xf>
    <xf numFmtId="0" fontId="18" fillId="0" borderId="0" xfId="0" applyFont="1" applyAlignment="1">
      <alignment horizontal="right" vertical="center" wrapText="1"/>
    </xf>
    <xf numFmtId="0" fontId="18" fillId="0" borderId="5" xfId="0" applyFont="1" applyBorder="1" applyAlignment="1">
      <alignment vertical="center" wrapText="1"/>
    </xf>
    <xf numFmtId="0" fontId="18" fillId="0" borderId="5" xfId="0" applyFont="1" applyBorder="1" applyAlignment="1">
      <alignment horizontal="right" vertical="center" wrapText="1"/>
    </xf>
    <xf numFmtId="0" fontId="18" fillId="0" borderId="0" xfId="0" applyFont="1" applyAlignment="1">
      <alignment horizontal="right" vertical="center"/>
    </xf>
    <xf numFmtId="0" fontId="18" fillId="0" borderId="0" xfId="0" applyFont="1" applyAlignment="1">
      <alignment horizontal="center" vertical="center"/>
    </xf>
    <xf numFmtId="3" fontId="18" fillId="0" borderId="0" xfId="0" applyNumberFormat="1" applyFont="1" applyAlignment="1">
      <alignment horizontal="right" vertical="center"/>
    </xf>
    <xf numFmtId="0" fontId="18" fillId="0" borderId="0" xfId="0" applyFont="1" applyAlignment="1">
      <alignment horizontal="left" vertical="top" wrapText="1"/>
    </xf>
    <xf numFmtId="16" fontId="1" fillId="0" borderId="6" xfId="0" applyNumberFormat="1" applyFont="1" applyBorder="1" applyAlignment="1">
      <alignment horizontal="right" wrapText="1"/>
    </xf>
    <xf numFmtId="0" fontId="1" fillId="0" borderId="8" xfId="0" applyFont="1" applyBorder="1" applyAlignment="1">
      <alignment horizontal="center" vertical="center" wrapText="1"/>
    </xf>
    <xf numFmtId="0" fontId="1" fillId="0" borderId="2" xfId="0" applyFont="1" applyBorder="1" applyAlignment="1">
      <alignment horizontal="center" vertical="top" wrapText="1"/>
    </xf>
    <xf numFmtId="0" fontId="1" fillId="0" borderId="6" xfId="0" applyFont="1" applyBorder="1" applyAlignment="1">
      <alignment horizontal="center" vertical="top" wrapText="1"/>
    </xf>
    <xf numFmtId="0" fontId="1" fillId="2" borderId="0" xfId="0" applyFont="1" applyFill="1" applyAlignment="1">
      <alignment vertical="center" wrapText="1"/>
    </xf>
    <xf numFmtId="0" fontId="5" fillId="0" borderId="0" xfId="0" applyFont="1" applyAlignment="1">
      <alignment vertical="center"/>
    </xf>
    <xf numFmtId="0" fontId="1" fillId="2" borderId="3" xfId="0" applyFont="1" applyFill="1" applyBorder="1" applyAlignment="1">
      <alignment horizontal="right" vertical="center" wrapText="1"/>
    </xf>
    <xf numFmtId="0" fontId="1" fillId="2" borderId="1" xfId="0" applyFont="1" applyFill="1" applyBorder="1" applyAlignment="1">
      <alignment horizontal="right" vertical="center" wrapText="1"/>
    </xf>
    <xf numFmtId="0" fontId="9" fillId="0" borderId="0" xfId="0" applyFont="1" applyAlignment="1">
      <alignment horizontal="center" vertical="center"/>
    </xf>
    <xf numFmtId="0" fontId="9" fillId="0" borderId="5" xfId="0" applyFont="1" applyBorder="1" applyAlignment="1">
      <alignment horizontal="center" wrapText="1"/>
    </xf>
    <xf numFmtId="0" fontId="9" fillId="0" borderId="4" xfId="0" applyFont="1" applyBorder="1" applyAlignment="1">
      <alignment wrapText="1"/>
    </xf>
    <xf numFmtId="0" fontId="9" fillId="0" borderId="4" xfId="0" applyFont="1" applyBorder="1" applyAlignment="1">
      <alignment horizontal="center" wrapText="1"/>
    </xf>
    <xf numFmtId="0" fontId="9" fillId="0" borderId="4" xfId="0" applyFont="1" applyBorder="1" applyAlignment="1">
      <alignment horizontal="center"/>
    </xf>
    <xf numFmtId="0" fontId="9" fillId="0" borderId="11" xfId="0" applyFont="1" applyBorder="1" applyAlignment="1">
      <alignment horizontal="center" wrapText="1"/>
    </xf>
    <xf numFmtId="0" fontId="9" fillId="0" borderId="1" xfId="0" applyFont="1" applyBorder="1" applyAlignment="1">
      <alignment horizontal="center" wrapText="1"/>
    </xf>
    <xf numFmtId="0" fontId="9" fillId="0" borderId="13" xfId="0" applyFont="1" applyBorder="1" applyAlignment="1">
      <alignment vertical="center" wrapText="1"/>
    </xf>
    <xf numFmtId="0" fontId="9" fillId="0" borderId="13" xfId="0" applyFont="1" applyBorder="1" applyAlignment="1">
      <alignment horizontal="center" vertical="center"/>
    </xf>
    <xf numFmtId="0" fontId="9" fillId="0" borderId="14" xfId="0" applyFont="1" applyBorder="1" applyAlignment="1">
      <alignment horizontal="center" vertical="center" wrapText="1"/>
    </xf>
    <xf numFmtId="0" fontId="9" fillId="0" borderId="1" xfId="0" applyFont="1" applyBorder="1" applyAlignment="1">
      <alignment wrapText="1"/>
    </xf>
    <xf numFmtId="0" fontId="9" fillId="0" borderId="1" xfId="0" applyFont="1" applyBorder="1" applyAlignment="1">
      <alignment horizontal="center"/>
    </xf>
    <xf numFmtId="0" fontId="9" fillId="0" borderId="13" xfId="0" applyFont="1" applyBorder="1" applyAlignment="1">
      <alignment horizontal="center" wrapText="1"/>
    </xf>
    <xf numFmtId="0" fontId="9" fillId="0" borderId="3" xfId="0" applyFont="1" applyBorder="1" applyAlignment="1">
      <alignment horizontal="center"/>
    </xf>
    <xf numFmtId="0" fontId="1" fillId="0" borderId="3" xfId="0" applyFont="1" applyBorder="1" applyAlignment="1">
      <alignment horizontal="center"/>
    </xf>
    <xf numFmtId="0" fontId="9" fillId="0" borderId="0" xfId="0" applyFont="1" applyAlignment="1">
      <alignment horizontal="center"/>
    </xf>
    <xf numFmtId="0" fontId="9" fillId="0" borderId="0" xfId="0" applyFont="1"/>
    <xf numFmtId="0" fontId="9" fillId="0" borderId="13" xfId="0" applyFont="1" applyBorder="1" applyAlignment="1">
      <alignment wrapText="1"/>
    </xf>
    <xf numFmtId="0" fontId="9" fillId="0" borderId="13" xfId="0" applyFont="1" applyBorder="1" applyAlignment="1">
      <alignment horizontal="center"/>
    </xf>
    <xf numFmtId="0" fontId="9" fillId="0" borderId="14" xfId="0" applyFont="1" applyBorder="1" applyAlignment="1">
      <alignment horizontal="center" wrapText="1"/>
    </xf>
    <xf numFmtId="0" fontId="9" fillId="0" borderId="0" xfId="0" applyFont="1" applyAlignment="1">
      <alignment vertical="top"/>
    </xf>
    <xf numFmtId="0" fontId="9" fillId="2" borderId="0" xfId="0" applyFont="1" applyFill="1" applyAlignment="1">
      <alignment vertical="top"/>
    </xf>
    <xf numFmtId="0" fontId="1" fillId="2" borderId="0" xfId="0" applyFont="1" applyFill="1" applyAlignment="1">
      <alignment vertical="top" wrapText="1"/>
    </xf>
    <xf numFmtId="0" fontId="0" fillId="0" borderId="0" xfId="0" applyAlignment="1">
      <alignment vertical="top"/>
    </xf>
    <xf numFmtId="3" fontId="1" fillId="2" borderId="0" xfId="0" applyNumberFormat="1" applyFont="1" applyFill="1" applyAlignment="1">
      <alignment horizontal="right" wrapText="1"/>
    </xf>
    <xf numFmtId="0" fontId="1" fillId="2" borderId="0" xfId="0" applyFont="1" applyFill="1" applyAlignment="1">
      <alignment vertical="center"/>
    </xf>
    <xf numFmtId="165" fontId="1" fillId="0" borderId="5" xfId="0" applyNumberFormat="1" applyFont="1" applyBorder="1" applyAlignment="1">
      <alignment horizontal="right" wrapText="1"/>
    </xf>
    <xf numFmtId="0" fontId="1" fillId="0" borderId="4" xfId="0" applyFont="1" applyBorder="1" applyAlignment="1">
      <alignment horizontal="center"/>
    </xf>
    <xf numFmtId="0" fontId="1" fillId="0" borderId="3" xfId="0" applyFont="1" applyBorder="1"/>
    <xf numFmtId="0" fontId="1" fillId="0" borderId="12" xfId="0" applyFont="1" applyBorder="1" applyAlignment="1">
      <alignment horizontal="right" vertical="center" wrapText="1"/>
    </xf>
    <xf numFmtId="8" fontId="1" fillId="0" borderId="0" xfId="0" applyNumberFormat="1" applyFont="1" applyAlignment="1">
      <alignment horizontal="right" vertical="center" wrapText="1"/>
    </xf>
    <xf numFmtId="8" fontId="1" fillId="0" borderId="1" xfId="0" applyNumberFormat="1" applyFont="1" applyBorder="1" applyAlignment="1">
      <alignment horizontal="right" vertical="center" wrapText="1"/>
    </xf>
    <xf numFmtId="8" fontId="1" fillId="0" borderId="5" xfId="0" applyNumberFormat="1" applyFont="1" applyBorder="1" applyAlignment="1">
      <alignment horizontal="right" vertical="center" wrapText="1"/>
    </xf>
    <xf numFmtId="0" fontId="1" fillId="2" borderId="4" xfId="0" applyFont="1" applyFill="1" applyBorder="1" applyAlignment="1">
      <alignment horizontal="right" vertical="center" wrapText="1"/>
    </xf>
    <xf numFmtId="0" fontId="1" fillId="2" borderId="1" xfId="0" applyFont="1" applyFill="1" applyBorder="1" applyAlignment="1">
      <alignment vertical="center" wrapText="1"/>
    </xf>
    <xf numFmtId="0" fontId="23" fillId="0" borderId="0" xfId="0" applyFont="1" applyAlignment="1">
      <alignment wrapText="1"/>
    </xf>
    <xf numFmtId="0" fontId="22" fillId="0" borderId="0" xfId="0" applyFont="1" applyAlignment="1">
      <alignment horizontal="right" vertical="center" wrapText="1"/>
    </xf>
    <xf numFmtId="3" fontId="22" fillId="0" borderId="0" xfId="0" applyNumberFormat="1" applyFont="1" applyAlignment="1">
      <alignment horizontal="right" vertical="center" wrapText="1"/>
    </xf>
    <xf numFmtId="0" fontId="1" fillId="2" borderId="5" xfId="0" applyFont="1" applyFill="1" applyBorder="1" applyAlignment="1">
      <alignment vertical="center" wrapText="1"/>
    </xf>
    <xf numFmtId="0" fontId="1" fillId="0" borderId="12" xfId="0" applyFont="1" applyBorder="1" applyAlignment="1">
      <alignment vertical="center" wrapText="1"/>
    </xf>
    <xf numFmtId="3" fontId="1" fillId="0" borderId="12" xfId="0" applyNumberFormat="1" applyFont="1" applyBorder="1" applyAlignment="1">
      <alignment horizontal="right" vertical="center" wrapText="1"/>
    </xf>
    <xf numFmtId="0" fontId="1" fillId="2" borderId="0" xfId="0" applyFont="1" applyFill="1" applyAlignment="1">
      <alignment horizontal="right" vertical="center" wrapText="1"/>
    </xf>
    <xf numFmtId="3" fontId="1" fillId="2" borderId="0" xfId="0" applyNumberFormat="1" applyFont="1" applyFill="1" applyAlignment="1">
      <alignment horizontal="right" vertical="center" wrapText="1"/>
    </xf>
    <xf numFmtId="3" fontId="1" fillId="2" borderId="5" xfId="0" applyNumberFormat="1" applyFont="1" applyFill="1" applyBorder="1" applyAlignment="1">
      <alignment horizontal="right" vertical="center" wrapText="1"/>
    </xf>
    <xf numFmtId="0" fontId="1" fillId="0" borderId="0" xfId="0" applyFont="1" applyAlignment="1">
      <alignment horizontal="center"/>
    </xf>
    <xf numFmtId="0" fontId="1" fillId="0" borderId="5" xfId="0" applyFont="1" applyBorder="1" applyAlignment="1">
      <alignment horizontal="center"/>
    </xf>
    <xf numFmtId="0" fontId="1" fillId="0" borderId="13" xfId="0" applyFont="1" applyBorder="1" applyAlignment="1">
      <alignment horizontal="center"/>
    </xf>
    <xf numFmtId="0" fontId="1" fillId="0" borderId="13" xfId="0" applyFont="1" applyBorder="1"/>
    <xf numFmtId="0" fontId="1" fillId="0" borderId="1" xfId="0" applyFont="1" applyBorder="1" applyAlignment="1">
      <alignment horizontal="right" vertical="center"/>
    </xf>
    <xf numFmtId="0" fontId="1" fillId="0" borderId="5" xfId="0" applyFont="1" applyBorder="1" applyAlignment="1">
      <alignment horizontal="right" vertical="center"/>
    </xf>
    <xf numFmtId="0" fontId="4" fillId="0" borderId="5" xfId="0" applyFont="1" applyBorder="1" applyAlignment="1">
      <alignment vertical="center" wrapText="1"/>
    </xf>
    <xf numFmtId="0" fontId="4" fillId="0" borderId="5" xfId="0" applyFont="1" applyBorder="1" applyAlignment="1">
      <alignment horizontal="right" vertical="center" wrapText="1"/>
    </xf>
    <xf numFmtId="0" fontId="23" fillId="0" borderId="0" xfId="0" applyFont="1" applyAlignment="1">
      <alignment vertical="center" wrapText="1"/>
    </xf>
    <xf numFmtId="0" fontId="1" fillId="0" borderId="3" xfId="0" applyFont="1" applyBorder="1" applyAlignment="1">
      <alignment horizontal="center" wrapText="1"/>
    </xf>
    <xf numFmtId="0" fontId="9" fillId="0" borderId="2" xfId="0" applyFont="1" applyBorder="1" applyAlignment="1">
      <alignment horizontal="center" vertical="center" wrapText="1"/>
    </xf>
    <xf numFmtId="0" fontId="9" fillId="2" borderId="2" xfId="0" applyFont="1" applyFill="1" applyBorder="1" applyAlignment="1">
      <alignment horizontal="right" wrapText="1"/>
    </xf>
    <xf numFmtId="0" fontId="9" fillId="0" borderId="2" xfId="0" applyFont="1" applyBorder="1" applyAlignment="1">
      <alignment horizontal="right" wrapText="1"/>
    </xf>
    <xf numFmtId="0" fontId="9" fillId="0" borderId="9" xfId="0" applyFont="1" applyBorder="1" applyAlignment="1">
      <alignment wrapText="1"/>
    </xf>
    <xf numFmtId="0" fontId="9" fillId="0" borderId="6" xfId="0" applyFont="1" applyBorder="1" applyAlignment="1">
      <alignment horizontal="right" wrapText="1"/>
    </xf>
    <xf numFmtId="0" fontId="4" fillId="0" borderId="1" xfId="0" applyFont="1" applyBorder="1" applyAlignment="1">
      <alignment vertical="center" wrapText="1"/>
    </xf>
    <xf numFmtId="0" fontId="9" fillId="2" borderId="2" xfId="0" applyFont="1" applyFill="1" applyBorder="1" applyAlignment="1">
      <alignment horizontal="center" vertical="center" wrapText="1"/>
    </xf>
    <xf numFmtId="0" fontId="9" fillId="2" borderId="2" xfId="0" applyFont="1" applyFill="1" applyBorder="1" applyAlignment="1">
      <alignment horizontal="right" vertical="center" wrapText="1"/>
    </xf>
    <xf numFmtId="0" fontId="24" fillId="0" borderId="0" xfId="0" applyFont="1" applyAlignment="1">
      <alignment horizontal="right" vertical="center" wrapText="1"/>
    </xf>
    <xf numFmtId="3" fontId="24" fillId="0" borderId="0" xfId="0" applyNumberFormat="1" applyFont="1" applyAlignment="1">
      <alignment horizontal="right" vertical="center" wrapText="1"/>
    </xf>
    <xf numFmtId="0" fontId="9" fillId="0" borderId="6" xfId="0" applyFont="1" applyBorder="1" applyAlignment="1">
      <alignment horizontal="center" vertical="center" wrapText="1"/>
    </xf>
    <xf numFmtId="0" fontId="9" fillId="0" borderId="2" xfId="0" applyFont="1" applyBorder="1" applyAlignment="1">
      <alignment horizontal="right" vertical="center" wrapText="1"/>
    </xf>
    <xf numFmtId="0" fontId="9" fillId="0" borderId="6" xfId="0" applyFont="1" applyBorder="1" applyAlignment="1">
      <alignment horizontal="right" vertical="center" wrapText="1"/>
    </xf>
    <xf numFmtId="3" fontId="9" fillId="0" borderId="1" xfId="0" applyNumberFormat="1" applyFont="1" applyBorder="1" applyAlignment="1">
      <alignment horizontal="right" vertical="center" wrapText="1"/>
    </xf>
    <xf numFmtId="0" fontId="25" fillId="0" borderId="0" xfId="0" applyFont="1" applyAlignment="1">
      <alignment wrapText="1"/>
    </xf>
    <xf numFmtId="0" fontId="9" fillId="0" borderId="0" xfId="0" applyFont="1" applyAlignment="1">
      <alignment horizontal="left" wrapText="1"/>
    </xf>
    <xf numFmtId="0" fontId="9" fillId="2" borderId="9" xfId="0" applyFont="1" applyFill="1" applyBorder="1" applyAlignment="1">
      <alignment vertical="center" wrapText="1"/>
    </xf>
    <xf numFmtId="0" fontId="9" fillId="2" borderId="6" xfId="0" applyFont="1" applyFill="1" applyBorder="1" applyAlignment="1">
      <alignment horizontal="right" vertical="center" wrapText="1"/>
    </xf>
    <xf numFmtId="0" fontId="26" fillId="0" borderId="0" xfId="0" applyFont="1"/>
    <xf numFmtId="0" fontId="9" fillId="2" borderId="0" xfId="0" applyFont="1" applyFill="1" applyAlignment="1">
      <alignment horizontal="left" vertical="center" wrapText="1"/>
    </xf>
    <xf numFmtId="0" fontId="9" fillId="2" borderId="0" xfId="0" applyFont="1" applyFill="1" applyAlignment="1">
      <alignment vertical="center" wrapText="1"/>
    </xf>
    <xf numFmtId="0" fontId="1" fillId="2" borderId="14" xfId="0" applyFont="1" applyFill="1" applyBorder="1" applyAlignment="1">
      <alignment vertical="center" wrapText="1"/>
    </xf>
    <xf numFmtId="0" fontId="9" fillId="2" borderId="11" xfId="0" applyFont="1" applyFill="1" applyBorder="1" applyAlignment="1">
      <alignment horizontal="right" vertical="center" wrapText="1"/>
    </xf>
    <xf numFmtId="0" fontId="9" fillId="2" borderId="3" xfId="0" applyFont="1" applyFill="1" applyBorder="1" applyAlignment="1">
      <alignment horizontal="right" vertical="center"/>
    </xf>
    <xf numFmtId="0" fontId="9" fillId="2" borderId="4" xfId="0" applyFont="1" applyFill="1" applyBorder="1" applyAlignment="1">
      <alignment horizontal="right" vertical="center"/>
    </xf>
    <xf numFmtId="0" fontId="1" fillId="2" borderId="7" xfId="0" applyFont="1" applyFill="1" applyBorder="1" applyAlignment="1">
      <alignment vertical="center" wrapText="1"/>
    </xf>
    <xf numFmtId="0" fontId="1" fillId="2" borderId="10" xfId="0" applyFont="1" applyFill="1" applyBorder="1" applyAlignment="1">
      <alignment vertical="center" wrapText="1"/>
    </xf>
    <xf numFmtId="0" fontId="1" fillId="0" borderId="14" xfId="0" applyFont="1" applyBorder="1" applyAlignment="1">
      <alignment vertical="center" wrapText="1"/>
    </xf>
    <xf numFmtId="0" fontId="9" fillId="0" borderId="11" xfId="0" applyFont="1" applyBorder="1" applyAlignment="1">
      <alignment horizontal="right" vertical="center" wrapText="1"/>
    </xf>
    <xf numFmtId="0" fontId="9" fillId="0" borderId="3" xfId="0" applyFont="1" applyBorder="1" applyAlignment="1">
      <alignment horizontal="right" vertical="center" wrapText="1"/>
    </xf>
    <xf numFmtId="0" fontId="9" fillId="0" borderId="4" xfId="0" applyFont="1" applyBorder="1" applyAlignment="1">
      <alignment horizontal="right" vertical="center" wrapText="1"/>
    </xf>
    <xf numFmtId="0" fontId="9" fillId="0" borderId="12" xfId="0" applyFont="1" applyBorder="1" applyAlignment="1">
      <alignment vertical="center" wrapText="1"/>
    </xf>
    <xf numFmtId="0" fontId="9" fillId="0" borderId="0" xfId="0" applyFont="1" applyAlignment="1">
      <alignment vertical="top" wrapText="1"/>
    </xf>
    <xf numFmtId="0" fontId="9" fillId="0" borderId="5" xfId="0" applyFont="1" applyBorder="1" applyAlignment="1">
      <alignment vertical="top" wrapText="1"/>
    </xf>
    <xf numFmtId="0" fontId="9" fillId="0" borderId="1" xfId="0" applyFont="1" applyBorder="1" applyAlignment="1">
      <alignment horizontal="right" vertical="center" wrapText="1"/>
    </xf>
    <xf numFmtId="0" fontId="9" fillId="0" borderId="3" xfId="0" applyFont="1" applyBorder="1" applyAlignment="1">
      <alignment vertical="center"/>
    </xf>
    <xf numFmtId="0" fontId="9" fillId="0" borderId="4" xfId="0" applyFont="1" applyBorder="1" applyAlignment="1">
      <alignment vertical="center"/>
    </xf>
    <xf numFmtId="0" fontId="9" fillId="0" borderId="9" xfId="0" applyFont="1" applyBorder="1" applyAlignment="1">
      <alignment vertical="center" wrapText="1"/>
    </xf>
    <xf numFmtId="4" fontId="9" fillId="0" borderId="0" xfId="0" applyNumberFormat="1" applyFont="1" applyAlignment="1">
      <alignment horizontal="right" wrapText="1"/>
    </xf>
    <xf numFmtId="4" fontId="9" fillId="0" borderId="0" xfId="0" applyNumberFormat="1" applyFont="1" applyAlignment="1">
      <alignment wrapText="1"/>
    </xf>
    <xf numFmtId="4" fontId="9" fillId="0" borderId="5" xfId="0" applyNumberFormat="1" applyFont="1" applyBorder="1" applyAlignment="1">
      <alignment horizontal="right" wrapText="1"/>
    </xf>
    <xf numFmtId="4" fontId="9" fillId="0" borderId="0" xfId="0" applyNumberFormat="1" applyFont="1" applyAlignment="1">
      <alignment horizontal="right" vertical="center" wrapText="1"/>
    </xf>
    <xf numFmtId="0" fontId="4" fillId="0" borderId="9" xfId="0" applyFont="1" applyBorder="1" applyAlignment="1">
      <alignment vertical="center" wrapText="1"/>
    </xf>
    <xf numFmtId="0" fontId="9" fillId="0" borderId="0" xfId="0" applyFont="1" applyAlignment="1">
      <alignment horizontal="left"/>
    </xf>
    <xf numFmtId="0" fontId="1" fillId="0" borderId="5" xfId="0" applyFont="1" applyBorder="1" applyAlignment="1">
      <alignment vertical="top" wrapText="1"/>
    </xf>
    <xf numFmtId="3" fontId="1" fillId="0" borderId="5" xfId="0" applyNumberFormat="1" applyFont="1" applyBorder="1" applyAlignment="1">
      <alignment horizontal="right" vertical="top" wrapText="1"/>
    </xf>
    <xf numFmtId="0" fontId="1" fillId="2" borderId="5" xfId="0" applyFont="1" applyFill="1" applyBorder="1" applyAlignment="1">
      <alignment horizontal="center" wrapText="1"/>
    </xf>
    <xf numFmtId="0" fontId="1" fillId="0" borderId="11" xfId="0" applyFont="1" applyBorder="1" applyAlignment="1">
      <alignment horizontal="center" wrapText="1"/>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vertical="center"/>
    </xf>
    <xf numFmtId="0" fontId="1" fillId="2" borderId="5" xfId="0" applyFont="1" applyFill="1" applyBorder="1" applyAlignment="1">
      <alignment horizontal="center"/>
    </xf>
    <xf numFmtId="0" fontId="4" fillId="2" borderId="5" xfId="0" applyFont="1" applyFill="1" applyBorder="1" applyAlignment="1">
      <alignment horizontal="center"/>
    </xf>
    <xf numFmtId="0" fontId="1" fillId="2" borderId="11" xfId="0" applyFont="1" applyFill="1" applyBorder="1"/>
    <xf numFmtId="0" fontId="1" fillId="2" borderId="0" xfId="0" applyFont="1" applyFill="1" applyAlignment="1">
      <alignment horizontal="center" vertical="center"/>
    </xf>
    <xf numFmtId="0" fontId="4" fillId="2" borderId="0" xfId="0" applyFont="1" applyFill="1" applyAlignment="1">
      <alignment horizontal="center" vertical="center"/>
    </xf>
    <xf numFmtId="0" fontId="1" fillId="2" borderId="10" xfId="0" applyFont="1" applyFill="1" applyBorder="1" applyAlignment="1">
      <alignment horizontal="center" vertical="center"/>
    </xf>
    <xf numFmtId="0" fontId="0" fillId="0" borderId="3" xfId="0" applyBorder="1"/>
    <xf numFmtId="0" fontId="1" fillId="0" borderId="0" xfId="0" applyFont="1" applyAlignment="1">
      <alignment horizontal="center" vertical="center"/>
    </xf>
    <xf numFmtId="0" fontId="1" fillId="0" borderId="13" xfId="0" applyFont="1" applyBorder="1" applyAlignment="1">
      <alignment horizontal="center" vertical="center"/>
    </xf>
    <xf numFmtId="3" fontId="4" fillId="0" borderId="0" xfId="0" applyNumberFormat="1" applyFont="1" applyAlignment="1">
      <alignment horizontal="right" wrapText="1"/>
    </xf>
    <xf numFmtId="0" fontId="4" fillId="0" borderId="5" xfId="0" applyFont="1" applyBorder="1" applyAlignment="1">
      <alignment horizontal="right" wrapText="1"/>
    </xf>
    <xf numFmtId="0" fontId="4" fillId="0" borderId="2" xfId="0" applyFont="1" applyBorder="1" applyAlignment="1">
      <alignment horizontal="right" wrapText="1"/>
    </xf>
    <xf numFmtId="0" fontId="4" fillId="0" borderId="6" xfId="0" applyFont="1" applyBorder="1" applyAlignment="1">
      <alignment horizontal="right" wrapText="1"/>
    </xf>
    <xf numFmtId="0" fontId="1" fillId="0" borderId="13" xfId="0" applyFont="1" applyBorder="1" applyAlignment="1">
      <alignment horizontal="right" vertical="center" wrapText="1"/>
    </xf>
    <xf numFmtId="0" fontId="1" fillId="0" borderId="14" xfId="0" applyFont="1" applyBorder="1" applyAlignment="1">
      <alignment horizontal="right" vertical="center" wrapText="1"/>
    </xf>
    <xf numFmtId="0" fontId="27" fillId="0" borderId="0" xfId="0" applyFont="1" applyAlignment="1">
      <alignment horizontal="right" vertical="center" wrapText="1"/>
    </xf>
    <xf numFmtId="0" fontId="1" fillId="0" borderId="9" xfId="0" applyFont="1" applyBorder="1" applyAlignment="1">
      <alignment wrapText="1"/>
    </xf>
    <xf numFmtId="0" fontId="22" fillId="0" borderId="0" xfId="0" applyFont="1" applyAlignment="1">
      <alignment horizontal="center" wrapText="1"/>
    </xf>
    <xf numFmtId="0" fontId="0" fillId="0" borderId="5" xfId="0" applyBorder="1"/>
    <xf numFmtId="0" fontId="1" fillId="0" borderId="5" xfId="0" applyFont="1" applyBorder="1" applyAlignment="1">
      <alignment vertical="center"/>
    </xf>
    <xf numFmtId="0" fontId="0" fillId="0" borderId="5" xfId="0" applyBorder="1" applyAlignment="1">
      <alignment vertical="center"/>
    </xf>
    <xf numFmtId="0" fontId="1" fillId="0" borderId="0" xfId="0" applyFont="1" applyAlignment="1">
      <alignment horizontal="right" vertical="top" wrapText="1"/>
    </xf>
    <xf numFmtId="0" fontId="2" fillId="0" borderId="0" xfId="0" applyFont="1" applyAlignment="1">
      <alignment vertical="center"/>
    </xf>
    <xf numFmtId="0" fontId="5" fillId="0" borderId="1" xfId="0" applyFont="1" applyBorder="1"/>
    <xf numFmtId="0" fontId="1" fillId="0" borderId="1" xfId="0" applyFont="1" applyBorder="1" applyAlignment="1">
      <alignment horizontal="left" vertical="center" wrapText="1"/>
    </xf>
    <xf numFmtId="0" fontId="9" fillId="0" borderId="6" xfId="0" applyFont="1" applyBorder="1" applyAlignment="1">
      <alignment horizontal="center" wrapText="1"/>
    </xf>
    <xf numFmtId="0" fontId="9" fillId="0" borderId="2" xfId="0" applyFont="1" applyBorder="1" applyAlignment="1">
      <alignment horizontal="center" wrapText="1"/>
    </xf>
    <xf numFmtId="0" fontId="7" fillId="0" borderId="5" xfId="2" applyFont="1" applyBorder="1"/>
    <xf numFmtId="0" fontId="7" fillId="0" borderId="0" xfId="2" applyFont="1"/>
    <xf numFmtId="0" fontId="7" fillId="0" borderId="5" xfId="2" applyFont="1" applyBorder="1" applyAlignment="1">
      <alignment wrapText="1"/>
    </xf>
    <xf numFmtId="0" fontId="7" fillId="0" borderId="5" xfId="2" applyFont="1" applyBorder="1" applyAlignment="1">
      <alignment horizontal="left" vertical="center"/>
    </xf>
    <xf numFmtId="0" fontId="7" fillId="0" borderId="0" xfId="2" applyFont="1" applyAlignment="1">
      <alignment horizontal="right" vertical="center"/>
    </xf>
    <xf numFmtId="0" fontId="7" fillId="0" borderId="0" xfId="2" applyFont="1" applyAlignment="1">
      <alignment horizontal="left" vertical="center"/>
    </xf>
    <xf numFmtId="0" fontId="7" fillId="0" borderId="5" xfId="2" applyFont="1" applyBorder="1" applyAlignment="1">
      <alignment vertical="center"/>
    </xf>
    <xf numFmtId="0" fontId="7" fillId="0" borderId="12" xfId="2" applyFont="1" applyBorder="1"/>
    <xf numFmtId="0" fontId="7" fillId="0" borderId="2" xfId="2" applyFont="1" applyBorder="1"/>
    <xf numFmtId="0" fontId="7" fillId="0" borderId="6" xfId="2" applyFont="1" applyBorder="1"/>
    <xf numFmtId="0" fontId="7" fillId="0" borderId="0" xfId="2" applyFont="1" applyAlignment="1">
      <alignment horizontal="left"/>
    </xf>
    <xf numFmtId="0" fontId="7" fillId="0" borderId="14" xfId="2" applyFont="1" applyBorder="1" applyAlignment="1">
      <alignment horizontal="right" wrapText="1"/>
    </xf>
    <xf numFmtId="38" fontId="7" fillId="0" borderId="0" xfId="2" applyNumberFormat="1" applyFont="1"/>
    <xf numFmtId="38" fontId="7" fillId="0" borderId="0" xfId="2" applyNumberFormat="1" applyFont="1" applyAlignment="1">
      <alignment vertical="center"/>
    </xf>
    <xf numFmtId="0" fontId="7" fillId="0" borderId="1" xfId="2" applyFont="1" applyBorder="1" applyAlignment="1">
      <alignment horizontal="center"/>
    </xf>
    <xf numFmtId="0" fontId="7" fillId="0" borderId="6" xfId="2" applyFont="1" applyBorder="1" applyAlignment="1">
      <alignment horizontal="center"/>
    </xf>
    <xf numFmtId="0" fontId="7" fillId="0" borderId="12" xfId="2" applyFont="1" applyBorder="1" applyAlignment="1">
      <alignment horizontal="center"/>
    </xf>
    <xf numFmtId="0" fontId="7" fillId="0" borderId="0" xfId="2" applyFont="1" applyAlignment="1">
      <alignment vertical="center"/>
    </xf>
    <xf numFmtId="0" fontId="7" fillId="0" borderId="9" xfId="2" applyFont="1" applyBorder="1" applyAlignment="1">
      <alignment horizontal="center"/>
    </xf>
    <xf numFmtId="0" fontId="7" fillId="0" borderId="14" xfId="2" applyFont="1" applyBorder="1" applyAlignment="1">
      <alignment horizontal="center"/>
    </xf>
    <xf numFmtId="0" fontId="7" fillId="0" borderId="3" xfId="2" applyFont="1" applyBorder="1"/>
    <xf numFmtId="0" fontId="7" fillId="0" borderId="0" xfId="2" applyFont="1" applyAlignment="1">
      <alignment horizontal="center" vertical="center"/>
    </xf>
    <xf numFmtId="0" fontId="7" fillId="3" borderId="3" xfId="2" applyFont="1" applyFill="1" applyBorder="1" applyAlignment="1">
      <alignment horizontal="right"/>
    </xf>
    <xf numFmtId="0" fontId="7" fillId="0" borderId="3" xfId="2" applyFont="1" applyBorder="1" applyAlignment="1">
      <alignment horizontal="right"/>
    </xf>
    <xf numFmtId="0" fontId="7" fillId="0" borderId="10" xfId="2" applyFont="1" applyBorder="1" applyAlignment="1">
      <alignment horizontal="right"/>
    </xf>
    <xf numFmtId="0" fontId="7" fillId="0" borderId="0" xfId="2" applyFont="1" applyAlignment="1">
      <alignment horizontal="right" wrapText="1"/>
    </xf>
    <xf numFmtId="38" fontId="7" fillId="0" borderId="9" xfId="2" applyNumberFormat="1" applyFont="1" applyBorder="1" applyAlignment="1">
      <alignment horizontal="right" vertical="center" wrapText="1"/>
    </xf>
    <xf numFmtId="38" fontId="7" fillId="0" borderId="12" xfId="2" applyNumberFormat="1" applyFont="1" applyBorder="1" applyAlignment="1">
      <alignment horizontal="right" vertical="center" wrapText="1"/>
    </xf>
    <xf numFmtId="38" fontId="7" fillId="0" borderId="0" xfId="2" applyNumberFormat="1" applyFont="1" applyAlignment="1">
      <alignment horizontal="right" vertical="center"/>
    </xf>
    <xf numFmtId="38" fontId="7" fillId="0" borderId="2" xfId="2" applyNumberFormat="1" applyFont="1" applyBorder="1" applyAlignment="1">
      <alignment horizontal="right" vertical="center" wrapText="1"/>
    </xf>
    <xf numFmtId="38" fontId="7" fillId="0" borderId="6" xfId="2" applyNumberFormat="1" applyFont="1" applyBorder="1" applyAlignment="1">
      <alignment horizontal="right" vertical="center" wrapText="1"/>
    </xf>
    <xf numFmtId="0" fontId="7" fillId="0" borderId="5" xfId="2" applyFont="1" applyBorder="1" applyAlignment="1">
      <alignment horizontal="center"/>
    </xf>
    <xf numFmtId="0" fontId="7" fillId="0" borderId="11" xfId="2" applyFont="1" applyBorder="1" applyAlignment="1">
      <alignment horizontal="center"/>
    </xf>
    <xf numFmtId="0" fontId="7" fillId="0" borderId="0" xfId="2" applyFont="1" applyAlignment="1">
      <alignment horizontal="center"/>
    </xf>
    <xf numFmtId="0" fontId="7" fillId="0" borderId="1" xfId="2" applyFont="1" applyBorder="1"/>
    <xf numFmtId="0" fontId="7" fillId="0" borderId="13" xfId="2" applyFont="1" applyBorder="1" applyAlignment="1">
      <alignment horizontal="right" vertical="center"/>
    </xf>
    <xf numFmtId="0" fontId="7" fillId="0" borderId="13" xfId="2" applyFont="1" applyBorder="1"/>
    <xf numFmtId="0" fontId="7" fillId="0" borderId="14" xfId="2" applyFont="1" applyBorder="1"/>
    <xf numFmtId="0" fontId="7" fillId="0" borderId="10" xfId="2" applyFont="1" applyBorder="1" applyAlignment="1">
      <alignment horizontal="right" vertical="center"/>
    </xf>
    <xf numFmtId="0" fontId="31" fillId="3" borderId="13" xfId="2" applyFill="1" applyBorder="1" applyAlignment="1">
      <alignment horizontal="right"/>
    </xf>
    <xf numFmtId="0" fontId="31" fillId="0" borderId="13" xfId="2" applyBorder="1" applyAlignment="1">
      <alignment horizontal="right"/>
    </xf>
    <xf numFmtId="0" fontId="31" fillId="0" borderId="14" xfId="2" applyBorder="1" applyAlignment="1">
      <alignment horizontal="right"/>
    </xf>
    <xf numFmtId="0" fontId="7" fillId="0" borderId="5" xfId="2" applyFont="1" applyBorder="1" applyAlignment="1">
      <alignment horizontal="left"/>
    </xf>
    <xf numFmtId="0" fontId="7" fillId="0" borderId="11" xfId="2" applyFont="1" applyBorder="1" applyAlignment="1">
      <alignment horizontal="right" wrapText="1"/>
    </xf>
    <xf numFmtId="38" fontId="7" fillId="0" borderId="12" xfId="3" applyNumberFormat="1" applyBorder="1" applyAlignment="1">
      <alignment horizontal="center"/>
    </xf>
    <xf numFmtId="3" fontId="7" fillId="0" borderId="6" xfId="3" applyNumberFormat="1" applyBorder="1"/>
    <xf numFmtId="3" fontId="7" fillId="0" borderId="6" xfId="3" applyNumberFormat="1" applyBorder="1" applyAlignment="1">
      <alignment horizontal="right"/>
    </xf>
    <xf numFmtId="3" fontId="7" fillId="0" borderId="12" xfId="3" applyNumberFormat="1" applyBorder="1" applyAlignment="1">
      <alignment horizontal="right"/>
    </xf>
    <xf numFmtId="166" fontId="1" fillId="0" borderId="0" xfId="4" applyNumberFormat="1" applyFont="1" applyBorder="1" applyAlignment="1">
      <alignment horizontal="center"/>
    </xf>
    <xf numFmtId="166" fontId="1" fillId="0" borderId="0" xfId="4" applyNumberFormat="1" applyFont="1" applyBorder="1"/>
    <xf numFmtId="38" fontId="7" fillId="0" borderId="0" xfId="3" applyNumberFormat="1" applyAlignment="1">
      <alignment horizontal="right"/>
    </xf>
    <xf numFmtId="3" fontId="7" fillId="0" borderId="14" xfId="2" applyNumberFormat="1" applyFont="1" applyBorder="1" applyAlignment="1">
      <alignment horizontal="right"/>
    </xf>
    <xf numFmtId="0" fontId="7" fillId="0" borderId="15" xfId="2" applyFont="1" applyBorder="1" applyAlignment="1">
      <alignment horizontal="left"/>
    </xf>
    <xf numFmtId="3" fontId="7" fillId="0" borderId="10" xfId="2" applyNumberFormat="1" applyFont="1" applyBorder="1" applyAlignment="1">
      <alignment horizontal="right"/>
    </xf>
    <xf numFmtId="3" fontId="7" fillId="0" borderId="0" xfId="2" applyNumberFormat="1" applyFont="1" applyAlignment="1">
      <alignment horizontal="right"/>
    </xf>
    <xf numFmtId="3" fontId="7" fillId="0" borderId="10" xfId="2" applyNumberFormat="1" applyFont="1" applyBorder="1"/>
    <xf numFmtId="38" fontId="32" fillId="0" borderId="0" xfId="2" applyNumberFormat="1" applyFont="1"/>
    <xf numFmtId="0" fontId="7" fillId="0" borderId="14" xfId="2" applyFont="1" applyBorder="1" applyAlignment="1">
      <alignment horizontal="right" vertical="center"/>
    </xf>
    <xf numFmtId="0" fontId="7" fillId="0" borderId="0" xfId="2" applyFont="1" applyAlignment="1">
      <alignment horizontal="right"/>
    </xf>
    <xf numFmtId="0" fontId="7" fillId="3" borderId="4" xfId="2" applyFont="1" applyFill="1" applyBorder="1" applyAlignment="1">
      <alignment horizontal="right"/>
    </xf>
    <xf numFmtId="0" fontId="7" fillId="0" borderId="4" xfId="2" applyFont="1" applyBorder="1" applyAlignment="1">
      <alignment horizontal="right"/>
    </xf>
    <xf numFmtId="0" fontId="7" fillId="0" borderId="11" xfId="2" applyFont="1" applyBorder="1" applyAlignment="1">
      <alignment horizontal="right"/>
    </xf>
    <xf numFmtId="0" fontId="7" fillId="0" borderId="16" xfId="2" applyFont="1" applyBorder="1" applyAlignment="1">
      <alignment horizontal="left"/>
    </xf>
    <xf numFmtId="38" fontId="7" fillId="0" borderId="16" xfId="2" applyNumberFormat="1" applyFont="1" applyBorder="1"/>
    <xf numFmtId="0" fontId="1" fillId="0" borderId="0" xfId="5" applyFont="1"/>
    <xf numFmtId="3" fontId="1" fillId="0" borderId="0" xfId="5" applyNumberFormat="1" applyFont="1"/>
    <xf numFmtId="3" fontId="1" fillId="0" borderId="0" xfId="5" applyNumberFormat="1" applyFont="1" applyAlignment="1">
      <alignment horizontal="right"/>
    </xf>
    <xf numFmtId="166" fontId="7" fillId="0" borderId="0" xfId="6" applyNumberFormat="1" applyFont="1" applyFill="1" applyBorder="1"/>
    <xf numFmtId="3" fontId="1" fillId="0" borderId="0" xfId="4" applyNumberFormat="1" applyFont="1" applyBorder="1"/>
    <xf numFmtId="3" fontId="1" fillId="0" borderId="0" xfId="4" applyNumberFormat="1" applyFont="1" applyBorder="1" applyAlignment="1">
      <alignment horizontal="right"/>
    </xf>
    <xf numFmtId="0" fontId="7" fillId="0" borderId="0" xfId="2" applyFont="1" applyAlignment="1">
      <alignment horizontal="left" indent="1"/>
    </xf>
    <xf numFmtId="165" fontId="7" fillId="0" borderId="15" xfId="2" applyNumberFormat="1" applyFont="1" applyBorder="1" applyAlignment="1">
      <alignment horizontal="right"/>
    </xf>
    <xf numFmtId="165" fontId="7" fillId="0" borderId="0" xfId="2" applyNumberFormat="1" applyFont="1" applyAlignment="1">
      <alignment horizontal="right"/>
    </xf>
    <xf numFmtId="3" fontId="7" fillId="0" borderId="14" xfId="2" applyNumberFormat="1" applyFont="1" applyBorder="1"/>
    <xf numFmtId="165" fontId="7" fillId="0" borderId="0" xfId="2" applyNumberFormat="1" applyFont="1" applyAlignment="1">
      <alignment horizontal="left" indent="1"/>
    </xf>
    <xf numFmtId="38" fontId="7" fillId="0" borderId="0" xfId="2" applyNumberFormat="1" applyFont="1" applyAlignment="1">
      <alignment horizontal="right"/>
    </xf>
    <xf numFmtId="0" fontId="7" fillId="0" borderId="4" xfId="2" applyFont="1" applyBorder="1" applyAlignment="1">
      <alignment horizontal="right" vertical="center"/>
    </xf>
    <xf numFmtId="0" fontId="7" fillId="0" borderId="11" xfId="2" applyFont="1" applyBorder="1" applyAlignment="1">
      <alignment horizontal="right" vertical="center"/>
    </xf>
    <xf numFmtId="0" fontId="7" fillId="0" borderId="3" xfId="2" applyFont="1" applyBorder="1" applyAlignment="1">
      <alignment horizontal="center"/>
    </xf>
    <xf numFmtId="0" fontId="33" fillId="0" borderId="12" xfId="2" applyFont="1" applyBorder="1" applyAlignment="1">
      <alignment horizontal="center" vertical="center"/>
    </xf>
    <xf numFmtId="3" fontId="33" fillId="0" borderId="12" xfId="2" applyNumberFormat="1" applyFont="1" applyBorder="1"/>
    <xf numFmtId="3" fontId="33" fillId="0" borderId="0" xfId="2" applyNumberFormat="1" applyFont="1"/>
    <xf numFmtId="3" fontId="7" fillId="0" borderId="0" xfId="2" applyNumberFormat="1" applyFont="1"/>
    <xf numFmtId="0" fontId="7" fillId="0" borderId="13" xfId="2" applyFont="1" applyBorder="1" applyAlignment="1">
      <alignment horizontal="center"/>
    </xf>
    <xf numFmtId="0" fontId="7" fillId="0" borderId="14" xfId="2" applyFont="1" applyBorder="1" applyAlignment="1">
      <alignment horizontal="right"/>
    </xf>
    <xf numFmtId="3" fontId="7" fillId="3" borderId="0" xfId="2" applyNumberFormat="1" applyFont="1" applyFill="1"/>
    <xf numFmtId="0" fontId="32" fillId="0" borderId="0" xfId="2" applyFont="1"/>
    <xf numFmtId="0" fontId="32" fillId="0" borderId="14" xfId="2" applyFont="1" applyBorder="1"/>
    <xf numFmtId="0" fontId="32" fillId="0" borderId="15" xfId="2" applyFont="1" applyBorder="1"/>
    <xf numFmtId="3" fontId="32" fillId="0" borderId="14" xfId="2" applyNumberFormat="1" applyFont="1" applyBorder="1" applyAlignment="1">
      <alignment horizontal="right"/>
    </xf>
    <xf numFmtId="3" fontId="32" fillId="0" borderId="0" xfId="2" applyNumberFormat="1" applyFont="1"/>
    <xf numFmtId="166" fontId="32" fillId="0" borderId="0" xfId="7" applyNumberFormat="1" applyFont="1" applyFill="1" applyBorder="1"/>
    <xf numFmtId="165" fontId="7" fillId="0" borderId="0" xfId="2" applyNumberFormat="1" applyFont="1"/>
    <xf numFmtId="3" fontId="7" fillId="0" borderId="0" xfId="2" quotePrefix="1" applyNumberFormat="1" applyFont="1" applyAlignment="1">
      <alignment horizontal="right"/>
    </xf>
    <xf numFmtId="0" fontId="7" fillId="0" borderId="0" xfId="2" quotePrefix="1" applyFont="1" applyAlignment="1">
      <alignment horizontal="right"/>
    </xf>
    <xf numFmtId="3" fontId="7" fillId="0" borderId="11" xfId="2" applyNumberFormat="1" applyFont="1" applyBorder="1" applyAlignment="1">
      <alignment horizontal="right"/>
    </xf>
    <xf numFmtId="0" fontId="7" fillId="0" borderId="5" xfId="2" applyFont="1" applyBorder="1" applyAlignment="1">
      <alignment horizontal="right"/>
    </xf>
    <xf numFmtId="38" fontId="1" fillId="0" borderId="14" xfId="5" applyNumberFormat="1" applyFont="1" applyBorder="1"/>
    <xf numFmtId="38" fontId="1" fillId="0" borderId="15" xfId="5" applyNumberFormat="1" applyFont="1" applyBorder="1"/>
    <xf numFmtId="38" fontId="1" fillId="0" borderId="0" xfId="5" applyNumberFormat="1" applyFont="1"/>
    <xf numFmtId="0" fontId="7" fillId="0" borderId="14" xfId="2" applyFont="1" applyBorder="1" applyAlignment="1">
      <alignment horizontal="left" indent="1"/>
    </xf>
    <xf numFmtId="0" fontId="7" fillId="0" borderId="15" xfId="2" applyFont="1" applyBorder="1" applyAlignment="1">
      <alignment horizontal="left" indent="1"/>
    </xf>
    <xf numFmtId="3" fontId="7" fillId="0" borderId="14" xfId="2" applyNumberFormat="1" applyFont="1" applyBorder="1" applyAlignment="1">
      <alignment horizontal="left" indent="1"/>
    </xf>
    <xf numFmtId="3" fontId="7" fillId="0" borderId="14" xfId="2" applyNumberFormat="1" applyFont="1" applyBorder="1" applyAlignment="1">
      <alignment horizontal="right" indent="1"/>
    </xf>
    <xf numFmtId="0" fontId="7" fillId="0" borderId="0" xfId="7" applyNumberFormat="1" applyFont="1" applyBorder="1" applyAlignment="1"/>
    <xf numFmtId="0" fontId="7" fillId="0" borderId="14" xfId="7" applyNumberFormat="1" applyFont="1" applyBorder="1" applyAlignment="1"/>
    <xf numFmtId="0" fontId="7" fillId="0" borderId="15" xfId="7" applyNumberFormat="1" applyFont="1" applyBorder="1" applyAlignment="1"/>
    <xf numFmtId="164" fontId="7" fillId="0" borderId="14" xfId="7" applyNumberFormat="1" applyFont="1" applyBorder="1" applyAlignment="1"/>
    <xf numFmtId="167" fontId="7" fillId="0" borderId="14" xfId="7" applyNumberFormat="1" applyFont="1" applyFill="1" applyBorder="1" applyAlignment="1">
      <alignment horizontal="right"/>
    </xf>
    <xf numFmtId="0" fontId="7" fillId="0" borderId="0" xfId="7" applyNumberFormat="1" applyFont="1" applyFill="1" applyBorder="1" applyAlignment="1"/>
    <xf numFmtId="167" fontId="7" fillId="0" borderId="0" xfId="2" applyNumberFormat="1" applyFont="1" applyAlignment="1">
      <alignment horizontal="right"/>
    </xf>
    <xf numFmtId="168" fontId="7" fillId="0" borderId="0" xfId="7" applyNumberFormat="1" applyFont="1" applyBorder="1" applyAlignment="1">
      <alignment horizontal="right"/>
    </xf>
    <xf numFmtId="0" fontId="7" fillId="0" borderId="15" xfId="2" applyFont="1" applyBorder="1"/>
    <xf numFmtId="0" fontId="7" fillId="0" borderId="15" xfId="2" applyFont="1" applyBorder="1" applyAlignment="1">
      <alignment horizontal="center"/>
    </xf>
    <xf numFmtId="38" fontId="7" fillId="0" borderId="14" xfId="2" applyNumberFormat="1" applyFont="1" applyBorder="1"/>
    <xf numFmtId="3" fontId="7" fillId="0" borderId="15" xfId="2" applyNumberFormat="1" applyFont="1" applyBorder="1"/>
    <xf numFmtId="3" fontId="7" fillId="0" borderId="5" xfId="2" applyNumberFormat="1" applyFont="1" applyBorder="1"/>
    <xf numFmtId="0" fontId="7" fillId="0" borderId="5" xfId="2" applyFont="1" applyBorder="1" applyAlignment="1">
      <alignment horizontal="left" indent="1"/>
    </xf>
    <xf numFmtId="165" fontId="7" fillId="0" borderId="8" xfId="2" applyNumberFormat="1" applyFont="1" applyBorder="1" applyAlignment="1">
      <alignment horizontal="right"/>
    </xf>
    <xf numFmtId="165" fontId="7" fillId="0" borderId="5" xfId="2" applyNumberFormat="1" applyFont="1" applyBorder="1" applyAlignment="1">
      <alignment horizontal="right"/>
    </xf>
    <xf numFmtId="3" fontId="7" fillId="0" borderId="11" xfId="2" applyNumberFormat="1" applyFont="1" applyBorder="1"/>
    <xf numFmtId="165" fontId="7" fillId="0" borderId="5" xfId="2" applyNumberFormat="1" applyFont="1" applyBorder="1"/>
    <xf numFmtId="0" fontId="33" fillId="0" borderId="0" xfId="2" applyFont="1" applyAlignment="1">
      <alignment horizontal="left" vertical="top" indent="1"/>
    </xf>
    <xf numFmtId="3" fontId="33" fillId="3" borderId="0" xfId="2" applyNumberFormat="1" applyFont="1" applyFill="1" applyAlignment="1">
      <alignment vertical="top"/>
    </xf>
    <xf numFmtId="3" fontId="33" fillId="3" borderId="0" xfId="2" applyNumberFormat="1" applyFont="1" applyFill="1"/>
    <xf numFmtId="0" fontId="7" fillId="0" borderId="0" xfId="2" quotePrefix="1" applyFont="1" applyAlignment="1">
      <alignment horizontal="left"/>
    </xf>
    <xf numFmtId="3" fontId="7" fillId="3" borderId="0" xfId="2" quotePrefix="1" applyNumberFormat="1" applyFont="1" applyFill="1" applyAlignment="1">
      <alignment horizontal="right"/>
    </xf>
    <xf numFmtId="0" fontId="7" fillId="0" borderId="0" xfId="2" applyFont="1" applyAlignment="1">
      <alignment horizontal="left" indent="3"/>
    </xf>
    <xf numFmtId="166" fontId="1" fillId="0" borderId="0" xfId="4" applyNumberFormat="1" applyFont="1" applyFill="1" applyBorder="1"/>
    <xf numFmtId="38" fontId="7" fillId="0" borderId="14" xfId="5" applyNumberFormat="1" applyFont="1" applyBorder="1"/>
    <xf numFmtId="38" fontId="7" fillId="0" borderId="0" xfId="5" applyNumberFormat="1" applyFont="1"/>
    <xf numFmtId="38" fontId="7" fillId="0" borderId="0" xfId="5" quotePrefix="1" applyNumberFormat="1" applyFont="1" applyAlignment="1">
      <alignment horizontal="right"/>
    </xf>
    <xf numFmtId="0" fontId="1" fillId="0" borderId="0" xfId="5" applyFont="1" applyAlignment="1">
      <alignment horizontal="center"/>
    </xf>
    <xf numFmtId="0" fontId="29" fillId="0" borderId="13" xfId="5" applyBorder="1" applyAlignment="1">
      <alignment horizontal="center"/>
    </xf>
    <xf numFmtId="3" fontId="7" fillId="0" borderId="0" xfId="2" applyNumberFormat="1" applyFont="1" applyAlignment="1">
      <alignment vertical="center"/>
    </xf>
    <xf numFmtId="0" fontId="1" fillId="0" borderId="15" xfId="5" applyFont="1" applyBorder="1" applyAlignment="1">
      <alignment horizontal="center"/>
    </xf>
    <xf numFmtId="0" fontId="29" fillId="0" borderId="15" xfId="5" applyBorder="1" applyAlignment="1">
      <alignment horizontal="center"/>
    </xf>
    <xf numFmtId="38" fontId="7" fillId="0" borderId="0" xfId="5" applyNumberFormat="1" applyFont="1" applyAlignment="1">
      <alignment horizontal="right"/>
    </xf>
    <xf numFmtId="0" fontId="7" fillId="0" borderId="0" xfId="2" quotePrefix="1" applyFont="1" applyAlignment="1">
      <alignment horizontal="right" vertical="center"/>
    </xf>
    <xf numFmtId="38" fontId="7" fillId="0" borderId="14" xfId="5" applyNumberFormat="1" applyFont="1" applyBorder="1" applyAlignment="1">
      <alignment horizontal="right"/>
    </xf>
    <xf numFmtId="166" fontId="7" fillId="0" borderId="0" xfId="7" applyNumberFormat="1" applyFont="1" applyBorder="1" applyAlignment="1">
      <alignment horizontal="right"/>
    </xf>
    <xf numFmtId="0" fontId="7" fillId="0" borderId="15" xfId="5" applyFont="1" applyBorder="1" applyAlignment="1">
      <alignment horizontal="center"/>
    </xf>
    <xf numFmtId="0" fontId="7" fillId="0" borderId="15" xfId="2" applyFont="1" applyBorder="1" applyAlignment="1">
      <alignment horizontal="right"/>
    </xf>
    <xf numFmtId="0" fontId="31" fillId="0" borderId="0" xfId="2" applyAlignment="1">
      <alignment horizontal="left" indent="1"/>
    </xf>
    <xf numFmtId="3" fontId="31" fillId="0" borderId="0" xfId="2" applyNumberFormat="1"/>
    <xf numFmtId="3" fontId="31" fillId="3" borderId="0" xfId="2" applyNumberFormat="1" applyFill="1"/>
    <xf numFmtId="166" fontId="0" fillId="0" borderId="0" xfId="7" quotePrefix="1" applyNumberFormat="1" applyFont="1" applyBorder="1" applyAlignment="1">
      <alignment horizontal="right"/>
    </xf>
    <xf numFmtId="3" fontId="7" fillId="3" borderId="0" xfId="2" applyNumberFormat="1" applyFont="1" applyFill="1" applyAlignment="1">
      <alignment horizontal="right"/>
    </xf>
    <xf numFmtId="166" fontId="7" fillId="0" borderId="0" xfId="7" quotePrefix="1" applyNumberFormat="1" applyFont="1" applyBorder="1" applyAlignment="1">
      <alignment horizontal="right"/>
    </xf>
    <xf numFmtId="38" fontId="1" fillId="0" borderId="15" xfId="5" applyNumberFormat="1" applyFont="1" applyBorder="1" applyAlignment="1">
      <alignment horizontal="right"/>
    </xf>
    <xf numFmtId="0" fontId="7" fillId="3" borderId="0" xfId="2" applyFont="1" applyFill="1" applyAlignment="1">
      <alignment horizontal="left" indent="1"/>
    </xf>
    <xf numFmtId="38" fontId="1" fillId="0" borderId="0" xfId="5" applyNumberFormat="1" applyFont="1" applyAlignment="1">
      <alignment horizontal="right"/>
    </xf>
    <xf numFmtId="0" fontId="1" fillId="3" borderId="15" xfId="5" applyFont="1" applyFill="1" applyBorder="1" applyAlignment="1">
      <alignment horizontal="center"/>
    </xf>
    <xf numFmtId="0" fontId="29" fillId="3" borderId="13" xfId="5" applyFill="1" applyBorder="1" applyAlignment="1">
      <alignment horizontal="center"/>
    </xf>
    <xf numFmtId="38" fontId="1" fillId="3" borderId="0" xfId="5" applyNumberFormat="1" applyFont="1" applyFill="1" applyAlignment="1">
      <alignment horizontal="right"/>
    </xf>
    <xf numFmtId="38" fontId="1" fillId="3" borderId="15" xfId="5" applyNumberFormat="1" applyFont="1" applyFill="1" applyBorder="1" applyAlignment="1">
      <alignment horizontal="right"/>
    </xf>
    <xf numFmtId="0" fontId="31" fillId="3" borderId="0" xfId="2" applyFill="1" applyAlignment="1">
      <alignment horizontal="left" indent="1"/>
    </xf>
    <xf numFmtId="3" fontId="31" fillId="0" borderId="0" xfId="2" quotePrefix="1" applyNumberFormat="1" applyAlignment="1">
      <alignment horizontal="right"/>
    </xf>
    <xf numFmtId="0" fontId="1" fillId="3" borderId="0" xfId="5" applyFont="1" applyFill="1" applyAlignment="1">
      <alignment horizontal="center"/>
    </xf>
    <xf numFmtId="0" fontId="29" fillId="3" borderId="14" xfId="5" applyFill="1" applyBorder="1" applyAlignment="1">
      <alignment horizontal="center"/>
    </xf>
    <xf numFmtId="38" fontId="1" fillId="3" borderId="14" xfId="5" applyNumberFormat="1" applyFont="1" applyFill="1" applyBorder="1" applyAlignment="1">
      <alignment horizontal="right"/>
    </xf>
    <xf numFmtId="3" fontId="7" fillId="3" borderId="14" xfId="2" applyNumberFormat="1" applyFont="1" applyFill="1" applyBorder="1" applyAlignment="1">
      <alignment horizontal="right"/>
    </xf>
    <xf numFmtId="0" fontId="33" fillId="0" borderId="5" xfId="2" applyFont="1" applyBorder="1" applyAlignment="1">
      <alignment horizontal="left" vertical="top" indent="1"/>
    </xf>
    <xf numFmtId="3" fontId="33" fillId="3" borderId="5" xfId="2" applyNumberFormat="1" applyFont="1" applyFill="1" applyBorder="1" applyAlignment="1">
      <alignment vertical="top"/>
    </xf>
    <xf numFmtId="3" fontId="33" fillId="0" borderId="5" xfId="2" applyNumberFormat="1" applyFont="1" applyBorder="1"/>
    <xf numFmtId="3" fontId="33" fillId="0" borderId="5" xfId="2" applyNumberFormat="1" applyFont="1" applyBorder="1" applyAlignment="1">
      <alignment vertical="top"/>
    </xf>
    <xf numFmtId="0" fontId="34" fillId="0" borderId="0" xfId="2" applyFont="1"/>
    <xf numFmtId="38" fontId="34" fillId="0" borderId="0" xfId="2" applyNumberFormat="1" applyFont="1"/>
    <xf numFmtId="0" fontId="8" fillId="0" borderId="0" xfId="2" applyFont="1"/>
    <xf numFmtId="38" fontId="1" fillId="0" borderId="14" xfId="5" applyNumberFormat="1" applyFont="1" applyBorder="1" applyAlignment="1">
      <alignment horizontal="right"/>
    </xf>
    <xf numFmtId="38" fontId="8" fillId="0" borderId="0" xfId="2" applyNumberFormat="1" applyFont="1"/>
    <xf numFmtId="0" fontId="1" fillId="3" borderId="5" xfId="5" applyFont="1" applyFill="1" applyBorder="1" applyAlignment="1">
      <alignment horizontal="center"/>
    </xf>
    <xf numFmtId="0" fontId="29" fillId="3" borderId="11" xfId="5" applyFill="1" applyBorder="1" applyAlignment="1">
      <alignment horizontal="center"/>
    </xf>
    <xf numFmtId="38" fontId="7" fillId="0" borderId="11" xfId="5" applyNumberFormat="1" applyFont="1" applyBorder="1" applyAlignment="1">
      <alignment horizontal="right"/>
    </xf>
    <xf numFmtId="38" fontId="7" fillId="0" borderId="5" xfId="5" applyNumberFormat="1" applyFont="1" applyBorder="1" applyAlignment="1">
      <alignment horizontal="right"/>
    </xf>
    <xf numFmtId="3" fontId="7" fillId="0" borderId="5" xfId="2" applyNumberFormat="1" applyFont="1" applyBorder="1" applyAlignment="1">
      <alignment horizontal="right"/>
    </xf>
    <xf numFmtId="0" fontId="4" fillId="0" borderId="0" xfId="5" applyFont="1" applyAlignment="1">
      <alignment horizontal="left"/>
    </xf>
    <xf numFmtId="0" fontId="8" fillId="3" borderId="0" xfId="2" applyFont="1" applyFill="1"/>
    <xf numFmtId="0" fontId="7" fillId="3" borderId="0" xfId="2" applyFont="1" applyFill="1"/>
    <xf numFmtId="0" fontId="4" fillId="0" borderId="0" xfId="5" applyFont="1"/>
    <xf numFmtId="3" fontId="1" fillId="0" borderId="5" xfId="5" applyNumberFormat="1" applyFont="1" applyBorder="1" applyAlignment="1">
      <alignment horizontal="right"/>
    </xf>
    <xf numFmtId="3" fontId="8" fillId="0" borderId="0" xfId="2" applyNumberFormat="1" applyFont="1"/>
    <xf numFmtId="0" fontId="7" fillId="0" borderId="17" xfId="2" applyFont="1" applyBorder="1"/>
    <xf numFmtId="38" fontId="7" fillId="0" borderId="17" xfId="2" applyNumberFormat="1" applyFont="1" applyBorder="1"/>
    <xf numFmtId="0" fontId="1" fillId="0" borderId="12" xfId="5" applyFont="1" applyBorder="1"/>
    <xf numFmtId="3" fontId="1" fillId="0" borderId="12" xfId="5" applyNumberFormat="1" applyFont="1" applyBorder="1"/>
    <xf numFmtId="3" fontId="1" fillId="0" borderId="12" xfId="5" applyNumberFormat="1" applyFont="1" applyBorder="1" applyAlignment="1">
      <alignment horizontal="right"/>
    </xf>
    <xf numFmtId="166" fontId="1" fillId="0" borderId="12" xfId="4" applyNumberFormat="1" applyFont="1" applyBorder="1"/>
    <xf numFmtId="38" fontId="7" fillId="0" borderId="5" xfId="2" applyNumberFormat="1" applyFont="1" applyBorder="1"/>
    <xf numFmtId="0" fontId="8" fillId="0" borderId="0" xfId="3" applyFont="1"/>
    <xf numFmtId="0" fontId="8" fillId="0" borderId="0" xfId="2" applyFont="1" applyAlignment="1">
      <alignment vertical="center"/>
    </xf>
    <xf numFmtId="38" fontId="8" fillId="0" borderId="0" xfId="3" applyNumberFormat="1" applyFont="1"/>
    <xf numFmtId="38" fontId="8" fillId="0" borderId="0" xfId="2" applyNumberFormat="1" applyFont="1" applyAlignment="1">
      <alignment vertical="center"/>
    </xf>
    <xf numFmtId="0" fontId="8" fillId="0" borderId="0" xfId="2" applyFont="1" applyAlignment="1">
      <alignment horizontal="left" vertical="center" wrapText="1"/>
    </xf>
    <xf numFmtId="166" fontId="7" fillId="0" borderId="0" xfId="2" applyNumberFormat="1" applyFont="1"/>
    <xf numFmtId="0" fontId="7" fillId="0" borderId="0" xfId="2" applyFont="1" applyAlignment="1">
      <alignment wrapText="1"/>
    </xf>
    <xf numFmtId="38" fontId="7" fillId="0" borderId="0" xfId="2" applyNumberFormat="1" applyFont="1" applyAlignment="1">
      <alignment horizontal="left" vertical="center"/>
    </xf>
    <xf numFmtId="38" fontId="7" fillId="0" borderId="0" xfId="2" applyNumberFormat="1" applyFont="1" applyAlignment="1">
      <alignment horizontal="center" vertical="center"/>
    </xf>
    <xf numFmtId="38" fontId="7" fillId="0" borderId="0" xfId="2" applyNumberFormat="1" applyFont="1" applyAlignment="1">
      <alignment horizontal="center"/>
    </xf>
    <xf numFmtId="38" fontId="7" fillId="0" borderId="0" xfId="2" quotePrefix="1" applyNumberFormat="1" applyFont="1" applyAlignment="1">
      <alignment horizontal="right"/>
    </xf>
    <xf numFmtId="38" fontId="7" fillId="0" borderId="0" xfId="2" quotePrefix="1" applyNumberFormat="1" applyFont="1" applyAlignment="1">
      <alignment horizontal="left"/>
    </xf>
    <xf numFmtId="0" fontId="33" fillId="0" borderId="0" xfId="2" applyFont="1" applyAlignment="1">
      <alignment horizontal="left" indent="1"/>
    </xf>
    <xf numFmtId="0" fontId="8" fillId="0" borderId="0" xfId="2" applyFont="1" applyAlignment="1">
      <alignment horizontal="left"/>
    </xf>
    <xf numFmtId="38" fontId="31" fillId="0" borderId="0" xfId="2" applyNumberFormat="1"/>
    <xf numFmtId="0" fontId="31" fillId="0" borderId="0" xfId="2"/>
    <xf numFmtId="0" fontId="31" fillId="0" borderId="5" xfId="2" applyBorder="1"/>
    <xf numFmtId="0" fontId="7" fillId="0" borderId="2" xfId="2" applyFont="1" applyBorder="1" applyAlignment="1">
      <alignment horizontal="center"/>
    </xf>
    <xf numFmtId="0" fontId="31" fillId="0" borderId="12" xfId="2" applyBorder="1"/>
    <xf numFmtId="0" fontId="31" fillId="0" borderId="2" xfId="2" applyBorder="1" applyAlignment="1">
      <alignment horizontal="right"/>
    </xf>
    <xf numFmtId="0" fontId="31" fillId="0" borderId="6" xfId="2" applyBorder="1" applyAlignment="1">
      <alignment horizontal="right"/>
    </xf>
    <xf numFmtId="0" fontId="31" fillId="0" borderId="6" xfId="2" applyBorder="1" applyAlignment="1">
      <alignment horizontal="center"/>
    </xf>
    <xf numFmtId="0" fontId="31" fillId="0" borderId="12" xfId="2" applyBorder="1" applyAlignment="1">
      <alignment horizontal="center"/>
    </xf>
    <xf numFmtId="0" fontId="31" fillId="0" borderId="9" xfId="2" applyBorder="1" applyAlignment="1">
      <alignment horizontal="center"/>
    </xf>
    <xf numFmtId="0" fontId="31" fillId="0" borderId="0" xfId="2" applyAlignment="1">
      <alignment horizontal="center" wrapText="1"/>
    </xf>
    <xf numFmtId="38" fontId="31" fillId="0" borderId="6" xfId="2" applyNumberFormat="1" applyBorder="1" applyAlignment="1">
      <alignment horizontal="right"/>
    </xf>
    <xf numFmtId="38" fontId="31" fillId="0" borderId="2" xfId="2" applyNumberFormat="1" applyBorder="1" applyAlignment="1">
      <alignment horizontal="right"/>
    </xf>
    <xf numFmtId="0" fontId="7" fillId="0" borderId="7" xfId="2" applyFont="1" applyBorder="1"/>
    <xf numFmtId="0" fontId="31" fillId="0" borderId="0" xfId="2" applyAlignment="1">
      <alignment horizontal="center"/>
    </xf>
    <xf numFmtId="0" fontId="31" fillId="0" borderId="0" xfId="2" applyAlignment="1">
      <alignment horizontal="right"/>
    </xf>
    <xf numFmtId="3" fontId="31" fillId="0" borderId="10" xfId="2" applyNumberFormat="1" applyBorder="1"/>
    <xf numFmtId="0" fontId="31" fillId="0" borderId="14" xfId="2" quotePrefix="1" applyBorder="1" applyAlignment="1">
      <alignment horizontal="right"/>
    </xf>
    <xf numFmtId="0" fontId="31" fillId="0" borderId="10" xfId="2" applyBorder="1"/>
    <xf numFmtId="0" fontId="31" fillId="0" borderId="3" xfId="2" applyBorder="1" applyAlignment="1">
      <alignment horizontal="right"/>
    </xf>
    <xf numFmtId="0" fontId="31" fillId="0" borderId="3" xfId="2" applyBorder="1"/>
    <xf numFmtId="0" fontId="31" fillId="0" borderId="10" xfId="2" applyBorder="1" applyAlignment="1">
      <alignment horizontal="right"/>
    </xf>
    <xf numFmtId="0" fontId="31" fillId="0" borderId="2" xfId="2" applyBorder="1" applyAlignment="1">
      <alignment horizontal="center"/>
    </xf>
    <xf numFmtId="38" fontId="7" fillId="0" borderId="2" xfId="2" applyNumberFormat="1" applyFont="1" applyBorder="1" applyAlignment="1">
      <alignment horizontal="center" wrapText="1"/>
    </xf>
    <xf numFmtId="0" fontId="7" fillId="0" borderId="6" xfId="2" applyFont="1" applyBorder="1" applyAlignment="1">
      <alignment horizontal="center" wrapText="1"/>
    </xf>
    <xf numFmtId="38" fontId="31" fillId="0" borderId="0" xfId="2" applyNumberFormat="1" applyAlignment="1">
      <alignment horizontal="right"/>
    </xf>
    <xf numFmtId="0" fontId="7" fillId="0" borderId="8" xfId="2" applyFont="1" applyBorder="1"/>
    <xf numFmtId="0" fontId="31" fillId="0" borderId="11" xfId="2" applyBorder="1" applyAlignment="1">
      <alignment horizontal="right"/>
    </xf>
    <xf numFmtId="0" fontId="7" fillId="0" borderId="0" xfId="2" applyFont="1" applyAlignment="1">
      <alignment horizontal="left" indent="2"/>
    </xf>
    <xf numFmtId="3" fontId="31" fillId="0" borderId="14" xfId="2" applyNumberFormat="1" applyBorder="1"/>
    <xf numFmtId="0" fontId="31" fillId="0" borderId="4" xfId="2" applyBorder="1" applyAlignment="1">
      <alignment horizontal="right"/>
    </xf>
    <xf numFmtId="0" fontId="31" fillId="0" borderId="0" xfId="2" applyAlignment="1">
      <alignment horizontal="left" indent="2"/>
    </xf>
    <xf numFmtId="38" fontId="31" fillId="0" borderId="14" xfId="2" applyNumberFormat="1" applyBorder="1"/>
    <xf numFmtId="38" fontId="31" fillId="0" borderId="15" xfId="2" applyNumberFormat="1" applyBorder="1"/>
    <xf numFmtId="38" fontId="31" fillId="0" borderId="13" xfId="2" applyNumberFormat="1" applyBorder="1"/>
    <xf numFmtId="37" fontId="7" fillId="0" borderId="0" xfId="2" applyNumberFormat="1" applyFont="1"/>
    <xf numFmtId="38" fontId="31" fillId="0" borderId="0" xfId="2" quotePrefix="1" applyNumberFormat="1"/>
    <xf numFmtId="0" fontId="15" fillId="0" borderId="0" xfId="2" applyFont="1"/>
    <xf numFmtId="38" fontId="7" fillId="0" borderId="5" xfId="2" applyNumberFormat="1" applyFont="1" applyBorder="1" applyAlignment="1">
      <alignment horizontal="right"/>
    </xf>
    <xf numFmtId="164" fontId="31" fillId="0" borderId="0" xfId="2" applyNumberFormat="1"/>
    <xf numFmtId="0" fontId="31" fillId="0" borderId="0" xfId="2" applyAlignment="1">
      <alignment horizontal="left"/>
    </xf>
    <xf numFmtId="3" fontId="31" fillId="0" borderId="4" xfId="2" applyNumberFormat="1" applyBorder="1"/>
    <xf numFmtId="169" fontId="7" fillId="0" borderId="0" xfId="2" applyNumberFormat="1" applyFont="1"/>
    <xf numFmtId="38" fontId="31" fillId="0" borderId="5" xfId="2" applyNumberFormat="1" applyBorder="1"/>
    <xf numFmtId="0" fontId="31" fillId="0" borderId="5" xfId="2" applyBorder="1" applyAlignment="1">
      <alignment horizontal="left"/>
    </xf>
    <xf numFmtId="38" fontId="31" fillId="0" borderId="11" xfId="2" applyNumberFormat="1" applyBorder="1"/>
    <xf numFmtId="38" fontId="31" fillId="0" borderId="8" xfId="2" applyNumberFormat="1" applyBorder="1"/>
    <xf numFmtId="38" fontId="31" fillId="0" borderId="4" xfId="2" applyNumberFormat="1" applyBorder="1"/>
    <xf numFmtId="6" fontId="31" fillId="0" borderId="0" xfId="2" applyNumberFormat="1"/>
    <xf numFmtId="3" fontId="31" fillId="0" borderId="5" xfId="2" applyNumberFormat="1" applyBorder="1"/>
    <xf numFmtId="164" fontId="31" fillId="0" borderId="5" xfId="2" applyNumberFormat="1" applyBorder="1"/>
    <xf numFmtId="0" fontId="36" fillId="0" borderId="0" xfId="2" applyFont="1"/>
    <xf numFmtId="38" fontId="31" fillId="0" borderId="5" xfId="2" quotePrefix="1" applyNumberFormat="1" applyBorder="1"/>
    <xf numFmtId="0" fontId="37" fillId="0" borderId="0" xfId="2" applyFont="1"/>
    <xf numFmtId="170" fontId="7" fillId="0" borderId="0" xfId="2" applyNumberFormat="1" applyFont="1"/>
    <xf numFmtId="0" fontId="15" fillId="0" borderId="0" xfId="2" applyFont="1" applyAlignment="1">
      <alignment horizontal="right"/>
    </xf>
    <xf numFmtId="170" fontId="8" fillId="0" borderId="0" xfId="2" applyNumberFormat="1" applyFont="1"/>
    <xf numFmtId="37" fontId="8" fillId="0" borderId="0" xfId="2" applyNumberFormat="1" applyFont="1"/>
    <xf numFmtId="0" fontId="7" fillId="0" borderId="2" xfId="2" applyFont="1" applyBorder="1" applyAlignment="1">
      <alignment horizontal="right"/>
    </xf>
    <xf numFmtId="169" fontId="7" fillId="0" borderId="0" xfId="2" applyNumberFormat="1" applyFont="1" applyAlignment="1">
      <alignment horizontal="right"/>
    </xf>
    <xf numFmtId="6" fontId="7" fillId="0" borderId="0" xfId="2" applyNumberFormat="1" applyFont="1" applyAlignment="1">
      <alignment horizontal="right"/>
    </xf>
    <xf numFmtId="37" fontId="7" fillId="0" borderId="5" xfId="2" applyNumberFormat="1" applyFont="1" applyBorder="1"/>
    <xf numFmtId="169" fontId="7" fillId="0" borderId="5" xfId="2" applyNumberFormat="1" applyFont="1" applyBorder="1"/>
    <xf numFmtId="169" fontId="7" fillId="0" borderId="5" xfId="2" applyNumberFormat="1" applyFont="1" applyBorder="1" applyAlignment="1">
      <alignment horizontal="right"/>
    </xf>
    <xf numFmtId="0" fontId="31" fillId="0" borderId="5" xfId="2" applyBorder="1" applyAlignment="1">
      <alignment horizontal="center"/>
    </xf>
    <xf numFmtId="6" fontId="31" fillId="0" borderId="5" xfId="2" applyNumberFormat="1" applyBorder="1"/>
    <xf numFmtId="169" fontId="8" fillId="0" borderId="0" xfId="2" applyNumberFormat="1" applyFont="1"/>
    <xf numFmtId="0" fontId="34" fillId="0" borderId="0" xfId="2" applyFont="1" applyAlignment="1">
      <alignment horizontal="left" indent="1"/>
    </xf>
    <xf numFmtId="3" fontId="31" fillId="0" borderId="13" xfId="2" applyNumberFormat="1" applyBorder="1"/>
    <xf numFmtId="38" fontId="7" fillId="0" borderId="5" xfId="2" applyNumberFormat="1" applyFont="1" applyBorder="1" applyAlignment="1">
      <alignment horizontal="center"/>
    </xf>
    <xf numFmtId="6" fontId="7" fillId="0" borderId="5" xfId="2" applyNumberFormat="1" applyFont="1" applyBorder="1" applyAlignment="1">
      <alignment horizontal="right"/>
    </xf>
    <xf numFmtId="0" fontId="31" fillId="0" borderId="5" xfId="2" applyBorder="1" applyAlignment="1">
      <alignment horizontal="left" indent="1"/>
    </xf>
    <xf numFmtId="0" fontId="7" fillId="0" borderId="4" xfId="2" applyFont="1" applyBorder="1" applyAlignment="1">
      <alignment horizontal="center"/>
    </xf>
    <xf numFmtId="0" fontId="31" fillId="0" borderId="12" xfId="2" applyBorder="1" applyAlignment="1">
      <alignment vertical="center"/>
    </xf>
    <xf numFmtId="0" fontId="7" fillId="0" borderId="12" xfId="2" applyFont="1" applyBorder="1" applyAlignment="1">
      <alignment horizontal="right" vertical="center"/>
    </xf>
    <xf numFmtId="6" fontId="31" fillId="0" borderId="12" xfId="2" applyNumberFormat="1" applyBorder="1" applyAlignment="1">
      <alignment vertical="center"/>
    </xf>
    <xf numFmtId="0" fontId="34" fillId="0" borderId="0" xfId="2" applyFont="1" applyAlignment="1">
      <alignment horizontal="center"/>
    </xf>
    <xf numFmtId="38" fontId="34" fillId="0" borderId="0" xfId="2" quotePrefix="1" applyNumberFormat="1" applyFont="1" applyAlignment="1">
      <alignment horizontal="right"/>
    </xf>
    <xf numFmtId="171" fontId="7" fillId="0" borderId="0" xfId="2" applyNumberFormat="1" applyFont="1"/>
    <xf numFmtId="0" fontId="7" fillId="0" borderId="0" xfId="3" applyAlignment="1">
      <alignment horizontal="center"/>
    </xf>
    <xf numFmtId="0" fontId="7" fillId="0" borderId="6" xfId="2" applyFont="1" applyBorder="1" applyAlignment="1">
      <alignment horizontal="right"/>
    </xf>
    <xf numFmtId="171" fontId="7" fillId="0" borderId="5" xfId="2" applyNumberFormat="1" applyFont="1" applyBorder="1"/>
    <xf numFmtId="0" fontId="7" fillId="0" borderId="1" xfId="2" applyFont="1" applyBorder="1" applyAlignment="1">
      <alignment horizontal="fill"/>
    </xf>
    <xf numFmtId="0" fontId="7" fillId="0" borderId="13" xfId="2" applyFont="1" applyBorder="1" applyAlignment="1">
      <alignment horizontal="right"/>
    </xf>
    <xf numFmtId="0" fontId="7" fillId="0" borderId="4" xfId="2" applyFont="1" applyBorder="1"/>
    <xf numFmtId="0" fontId="7" fillId="0" borderId="0" xfId="2" applyFont="1" applyAlignment="1">
      <alignment horizontal="fill"/>
    </xf>
    <xf numFmtId="6" fontId="31" fillId="0" borderId="0" xfId="2" applyNumberFormat="1" applyAlignment="1">
      <alignment vertical="center"/>
    </xf>
    <xf numFmtId="0" fontId="15" fillId="0" borderId="5" xfId="2" applyFont="1" applyBorder="1" applyAlignment="1">
      <alignment horizontal="right"/>
    </xf>
    <xf numFmtId="5" fontId="31" fillId="0" borderId="0" xfId="2" applyNumberFormat="1"/>
    <xf numFmtId="0" fontId="7" fillId="0" borderId="5" xfId="2" applyFont="1" applyBorder="1" applyAlignment="1">
      <alignment horizontal="fill"/>
    </xf>
    <xf numFmtId="0" fontId="31" fillId="0" borderId="0" xfId="2" applyAlignment="1">
      <alignment vertical="center"/>
    </xf>
    <xf numFmtId="0" fontId="1" fillId="0" borderId="5" xfId="8" applyFont="1" applyBorder="1" applyAlignment="1">
      <alignment vertical="center"/>
    </xf>
    <xf numFmtId="0" fontId="1" fillId="0" borderId="0" xfId="8" applyFont="1" applyAlignment="1">
      <alignment vertical="center"/>
    </xf>
    <xf numFmtId="0" fontId="1" fillId="0" borderId="0" xfId="8" applyFont="1" applyAlignment="1">
      <alignment horizontal="center" vertical="center"/>
    </xf>
    <xf numFmtId="0" fontId="31" fillId="0" borderId="5" xfId="2" applyBorder="1" applyAlignment="1">
      <alignment vertical="center"/>
    </xf>
    <xf numFmtId="0" fontId="15" fillId="0" borderId="0" xfId="2" applyFont="1" applyAlignment="1">
      <alignment horizontal="center" vertical="center"/>
    </xf>
    <xf numFmtId="0" fontId="7" fillId="0" borderId="15" xfId="2" applyFont="1" applyBorder="1" applyAlignment="1">
      <alignment vertical="center"/>
    </xf>
    <xf numFmtId="0" fontId="7" fillId="0" borderId="14" xfId="2" applyFont="1" applyBorder="1" applyAlignment="1">
      <alignment vertical="center"/>
    </xf>
    <xf numFmtId="0" fontId="7" fillId="0" borderId="5" xfId="3" applyBorder="1" applyAlignment="1">
      <alignment vertical="center"/>
    </xf>
    <xf numFmtId="0" fontId="38" fillId="0" borderId="5" xfId="3" applyFont="1" applyBorder="1" applyAlignment="1">
      <alignment vertical="center"/>
    </xf>
    <xf numFmtId="0" fontId="15" fillId="0" borderId="0" xfId="2" applyFont="1" applyAlignment="1">
      <alignment vertical="center"/>
    </xf>
    <xf numFmtId="0" fontId="16" fillId="0" borderId="0" xfId="2" applyFont="1" applyAlignment="1">
      <alignment vertical="center"/>
    </xf>
    <xf numFmtId="0" fontId="16" fillId="0" borderId="5" xfId="2" applyFont="1" applyBorder="1" applyAlignment="1">
      <alignment vertical="center"/>
    </xf>
    <xf numFmtId="0" fontId="39" fillId="0" borderId="0" xfId="2" applyFont="1" applyAlignment="1">
      <alignment vertical="center"/>
    </xf>
    <xf numFmtId="0" fontId="7" fillId="0" borderId="3" xfId="2" applyFont="1" applyBorder="1" applyAlignment="1">
      <alignment horizontal="right" vertical="center"/>
    </xf>
    <xf numFmtId="0" fontId="31" fillId="0" borderId="10" xfId="2" applyBorder="1" applyAlignment="1">
      <alignment horizontal="right" vertical="center"/>
    </xf>
    <xf numFmtId="0" fontId="31" fillId="0" borderId="0" xfId="2" applyAlignment="1">
      <alignment horizontal="right" vertical="center"/>
    </xf>
    <xf numFmtId="0" fontId="1" fillId="0" borderId="3" xfId="8" applyFont="1" applyBorder="1" applyAlignment="1">
      <alignment vertical="center"/>
    </xf>
    <xf numFmtId="0" fontId="1" fillId="0" borderId="3" xfId="8" applyFont="1" applyBorder="1" applyAlignment="1">
      <alignment horizontal="right" vertical="center"/>
    </xf>
    <xf numFmtId="0" fontId="1" fillId="0" borderId="10" xfId="8" applyFont="1" applyBorder="1" applyAlignment="1">
      <alignment horizontal="right" vertical="center"/>
    </xf>
    <xf numFmtId="0" fontId="1" fillId="0" borderId="0" xfId="8" quotePrefix="1" applyFont="1" applyAlignment="1">
      <alignment horizontal="right" vertical="center"/>
    </xf>
    <xf numFmtId="0" fontId="31" fillId="0" borderId="1" xfId="2" applyBorder="1" applyAlignment="1">
      <alignment vertical="center"/>
    </xf>
    <xf numFmtId="0" fontId="31" fillId="0" borderId="3" xfId="2" applyBorder="1" applyAlignment="1">
      <alignment vertical="center"/>
    </xf>
    <xf numFmtId="0" fontId="31" fillId="0" borderId="3" xfId="2" applyBorder="1" applyAlignment="1">
      <alignment horizontal="right" vertical="center"/>
    </xf>
    <xf numFmtId="0" fontId="31" fillId="0" borderId="7" xfId="2" applyBorder="1" applyAlignment="1">
      <alignment vertical="center"/>
    </xf>
    <xf numFmtId="0" fontId="7" fillId="0" borderId="7" xfId="2" applyFont="1" applyBorder="1" applyAlignment="1">
      <alignment horizontal="right" vertical="center"/>
    </xf>
    <xf numFmtId="0" fontId="31" fillId="0" borderId="7" xfId="2" applyBorder="1" applyAlignment="1">
      <alignment horizontal="right" vertical="center"/>
    </xf>
    <xf numFmtId="0" fontId="31" fillId="0" borderId="1" xfId="2" applyBorder="1" applyAlignment="1">
      <alignment horizontal="right" vertical="center"/>
    </xf>
    <xf numFmtId="0" fontId="31" fillId="0" borderId="0" xfId="2" applyAlignment="1">
      <alignment horizontal="center" vertical="center"/>
    </xf>
    <xf numFmtId="0" fontId="7" fillId="0" borderId="6" xfId="2" applyFont="1" applyBorder="1" applyAlignment="1">
      <alignment horizontal="center" vertical="center"/>
    </xf>
    <xf numFmtId="0" fontId="7" fillId="0" borderId="7" xfId="2" applyFont="1" applyBorder="1" applyAlignment="1">
      <alignment vertical="center"/>
    </xf>
    <xf numFmtId="0" fontId="7" fillId="0" borderId="0" xfId="3" applyAlignment="1">
      <alignment vertical="center" wrapText="1"/>
    </xf>
    <xf numFmtId="0" fontId="7" fillId="0" borderId="3" xfId="3" applyBorder="1" applyAlignment="1">
      <alignment horizontal="right" vertical="center"/>
    </xf>
    <xf numFmtId="0" fontId="31" fillId="0" borderId="11" xfId="2" applyBorder="1" applyAlignment="1">
      <alignment horizontal="center" vertical="center"/>
    </xf>
    <xf numFmtId="0" fontId="7" fillId="0" borderId="3" xfId="2" applyFont="1" applyBorder="1" applyAlignment="1">
      <alignment vertical="center"/>
    </xf>
    <xf numFmtId="0" fontId="7" fillId="0" borderId="1" xfId="2" applyFont="1" applyBorder="1" applyAlignment="1">
      <alignment vertical="center"/>
    </xf>
    <xf numFmtId="0" fontId="7" fillId="0" borderId="5" xfId="2" applyFont="1" applyBorder="1" applyAlignment="1">
      <alignment horizontal="left" vertical="top" indent="7"/>
    </xf>
    <xf numFmtId="0" fontId="7" fillId="0" borderId="0" xfId="2" applyFont="1" applyAlignment="1">
      <alignment horizontal="left" vertical="top" indent="7"/>
    </xf>
    <xf numFmtId="0" fontId="31" fillId="0" borderId="4" xfId="2" applyBorder="1" applyAlignment="1">
      <alignment horizontal="right" vertical="center"/>
    </xf>
    <xf numFmtId="0" fontId="31" fillId="0" borderId="11" xfId="2" applyBorder="1" applyAlignment="1">
      <alignment horizontal="right" vertical="center"/>
    </xf>
    <xf numFmtId="0" fontId="1" fillId="0" borderId="8" xfId="8" applyFont="1" applyBorder="1" applyAlignment="1">
      <alignment vertical="center"/>
    </xf>
    <xf numFmtId="0" fontId="1" fillId="0" borderId="4" xfId="8" applyFont="1" applyBorder="1" applyAlignment="1">
      <alignment horizontal="center" vertical="center"/>
    </xf>
    <xf numFmtId="0" fontId="1" fillId="0" borderId="4" xfId="8" applyFont="1" applyBorder="1" applyAlignment="1">
      <alignment horizontal="right" vertical="center"/>
    </xf>
    <xf numFmtId="0" fontId="1" fillId="0" borderId="11" xfId="8" applyFont="1" applyBorder="1" applyAlignment="1">
      <alignment horizontal="right" vertical="center"/>
    </xf>
    <xf numFmtId="3" fontId="1" fillId="0" borderId="0" xfId="8" applyNumberFormat="1" applyFont="1" applyAlignment="1">
      <alignment horizontal="right" vertical="center"/>
    </xf>
    <xf numFmtId="0" fontId="7" fillId="0" borderId="11" xfId="2" applyFont="1" applyBorder="1" applyAlignment="1">
      <alignment horizontal="center" vertical="center"/>
    </xf>
    <xf numFmtId="0" fontId="31" fillId="0" borderId="8" xfId="2" applyBorder="1" applyAlignment="1">
      <alignment vertical="center"/>
    </xf>
    <xf numFmtId="0" fontId="31" fillId="0" borderId="8" xfId="2" applyBorder="1" applyAlignment="1">
      <alignment horizontal="right" vertical="center"/>
    </xf>
    <xf numFmtId="0" fontId="31" fillId="0" borderId="5" xfId="2" applyBorder="1" applyAlignment="1">
      <alignment horizontal="right" vertical="center"/>
    </xf>
    <xf numFmtId="0" fontId="31" fillId="0" borderId="2" xfId="2" applyBorder="1" applyAlignment="1">
      <alignment horizontal="right" vertical="center"/>
    </xf>
    <xf numFmtId="0" fontId="31" fillId="0" borderId="6" xfId="2" applyBorder="1" applyAlignment="1">
      <alignment horizontal="right" vertical="center"/>
    </xf>
    <xf numFmtId="0" fontId="7" fillId="0" borderId="4" xfId="2" applyFont="1" applyBorder="1" applyAlignment="1">
      <alignment vertical="center"/>
    </xf>
    <xf numFmtId="0" fontId="7" fillId="0" borderId="11" xfId="2" applyFont="1" applyBorder="1" applyAlignment="1">
      <alignment vertical="center"/>
    </xf>
    <xf numFmtId="0" fontId="7" fillId="0" borderId="8" xfId="2" applyFont="1" applyBorder="1" applyAlignment="1">
      <alignment vertical="center"/>
    </xf>
    <xf numFmtId="0" fontId="7" fillId="0" borderId="2" xfId="2" applyFont="1" applyBorder="1" applyAlignment="1">
      <alignment horizontal="right" vertical="center"/>
    </xf>
    <xf numFmtId="0" fontId="7" fillId="0" borderId="6" xfId="2" applyFont="1" applyBorder="1" applyAlignment="1">
      <alignment horizontal="right" vertical="center"/>
    </xf>
    <xf numFmtId="0" fontId="7" fillId="0" borderId="5" xfId="3" applyBorder="1" applyAlignment="1">
      <alignment vertical="center" wrapText="1"/>
    </xf>
    <xf numFmtId="0" fontId="7" fillId="0" borderId="4" xfId="3" applyBorder="1" applyAlignment="1">
      <alignment horizontal="right" vertical="center"/>
    </xf>
    <xf numFmtId="0" fontId="7" fillId="0" borderId="11" xfId="3" applyBorder="1" applyAlignment="1">
      <alignment horizontal="right" vertical="center"/>
    </xf>
    <xf numFmtId="0" fontId="7" fillId="0" borderId="6" xfId="3" applyBorder="1" applyAlignment="1">
      <alignment horizontal="right" vertical="center"/>
    </xf>
    <xf numFmtId="0" fontId="31" fillId="0" borderId="13" xfId="2" applyBorder="1" applyAlignment="1">
      <alignment vertical="center"/>
    </xf>
    <xf numFmtId="0" fontId="31" fillId="0" borderId="10" xfId="2" applyBorder="1" applyAlignment="1">
      <alignment horizontal="center" vertical="center"/>
    </xf>
    <xf numFmtId="0" fontId="31" fillId="0" borderId="14" xfId="2" applyBorder="1" applyAlignment="1">
      <alignment horizontal="right" vertical="center"/>
    </xf>
    <xf numFmtId="3" fontId="31" fillId="0" borderId="0" xfId="2" applyNumberFormat="1" applyAlignment="1">
      <alignment vertical="center"/>
    </xf>
    <xf numFmtId="3" fontId="31" fillId="0" borderId="0" xfId="2" applyNumberFormat="1" applyAlignment="1">
      <alignment horizontal="right" vertical="center"/>
    </xf>
    <xf numFmtId="0" fontId="3" fillId="0" borderId="0" xfId="8" applyFont="1" applyAlignment="1">
      <alignment vertical="center"/>
    </xf>
    <xf numFmtId="0" fontId="31" fillId="0" borderId="0" xfId="2" applyAlignment="1">
      <alignment horizontal="left" vertical="center"/>
    </xf>
    <xf numFmtId="3" fontId="31" fillId="0" borderId="1" xfId="2" applyNumberFormat="1" applyBorder="1" applyAlignment="1">
      <alignment horizontal="right" vertical="center"/>
    </xf>
    <xf numFmtId="0" fontId="31" fillId="0" borderId="3" xfId="2" applyBorder="1" applyAlignment="1">
      <alignment horizontal="center" vertical="center"/>
    </xf>
    <xf numFmtId="164" fontId="31" fillId="0" borderId="0" xfId="2" applyNumberFormat="1" applyAlignment="1">
      <alignment horizontal="right"/>
    </xf>
    <xf numFmtId="164" fontId="31" fillId="0" borderId="0" xfId="2" applyNumberFormat="1" applyAlignment="1">
      <alignment vertical="center"/>
    </xf>
    <xf numFmtId="3" fontId="7" fillId="0" borderId="0" xfId="3" applyNumberFormat="1" applyAlignment="1">
      <alignment vertical="center"/>
    </xf>
    <xf numFmtId="167" fontId="7" fillId="0" borderId="0" xfId="9" applyNumberFormat="1" applyFont="1" applyFill="1" applyAlignment="1">
      <alignment horizontal="right" vertical="center"/>
    </xf>
    <xf numFmtId="0" fontId="31" fillId="0" borderId="13" xfId="2" applyBorder="1" applyAlignment="1">
      <alignment horizontal="right" vertical="center"/>
    </xf>
    <xf numFmtId="0" fontId="3" fillId="0" borderId="0" xfId="8" applyFont="1" applyAlignment="1">
      <alignment horizontal="left" vertical="center"/>
    </xf>
    <xf numFmtId="3" fontId="1" fillId="0" borderId="0" xfId="8" applyNumberFormat="1" applyFont="1"/>
    <xf numFmtId="0" fontId="31" fillId="0" borderId="4" xfId="2" applyBorder="1" applyAlignment="1">
      <alignment horizontal="center" vertical="center"/>
    </xf>
    <xf numFmtId="164" fontId="7" fillId="0" borderId="0" xfId="2" quotePrefix="1" applyNumberFormat="1" applyFont="1" applyAlignment="1">
      <alignment horizontal="right"/>
    </xf>
    <xf numFmtId="164" fontId="7" fillId="0" borderId="0" xfId="2" applyNumberFormat="1" applyFont="1" applyAlignment="1">
      <alignment horizontal="right"/>
    </xf>
    <xf numFmtId="3" fontId="7" fillId="0" borderId="0" xfId="2" applyNumberFormat="1" applyFont="1" applyAlignment="1">
      <alignment vertical="center" wrapText="1"/>
    </xf>
    <xf numFmtId="3" fontId="7" fillId="0" borderId="0" xfId="2" applyNumberFormat="1" applyFont="1" applyAlignment="1">
      <alignment horizontal="right" vertical="center"/>
    </xf>
    <xf numFmtId="167" fontId="41" fillId="0" borderId="0" xfId="9" applyNumberFormat="1" applyFont="1" applyFill="1" applyBorder="1" applyAlignment="1">
      <alignment horizontal="right" vertical="center"/>
    </xf>
    <xf numFmtId="0" fontId="15" fillId="0" borderId="0" xfId="2" applyFont="1" applyAlignment="1">
      <alignment horizontal="left" vertical="center"/>
    </xf>
    <xf numFmtId="3" fontId="7" fillId="0" borderId="0" xfId="2" quotePrefix="1" applyNumberFormat="1" applyFont="1" applyAlignment="1">
      <alignment horizontal="right" vertical="center"/>
    </xf>
    <xf numFmtId="3" fontId="7" fillId="0" borderId="0" xfId="2" applyNumberFormat="1" applyFont="1" applyAlignment="1">
      <alignment vertical="justify"/>
    </xf>
    <xf numFmtId="0" fontId="1" fillId="0" borderId="0" xfId="8" applyFont="1" applyAlignment="1">
      <alignment horizontal="left" vertical="center"/>
    </xf>
    <xf numFmtId="0" fontId="1" fillId="0" borderId="0" xfId="8" applyFont="1" applyAlignment="1">
      <alignment horizontal="right" vertical="center"/>
    </xf>
    <xf numFmtId="167" fontId="31" fillId="0" borderId="0" xfId="2" applyNumberFormat="1" applyAlignment="1">
      <alignment vertical="center"/>
    </xf>
    <xf numFmtId="167" fontId="7" fillId="0" borderId="0" xfId="2" applyNumberFormat="1" applyFont="1" applyAlignment="1">
      <alignment vertical="center"/>
    </xf>
    <xf numFmtId="167" fontId="31" fillId="0" borderId="0" xfId="2" applyNumberFormat="1" applyAlignment="1">
      <alignment horizontal="right" vertical="center"/>
    </xf>
    <xf numFmtId="3" fontId="31" fillId="0" borderId="0" xfId="2" applyNumberFormat="1" applyAlignment="1">
      <alignment vertical="justify"/>
    </xf>
    <xf numFmtId="164" fontId="31" fillId="0" borderId="0" xfId="2" applyNumberFormat="1" applyAlignment="1">
      <alignment horizontal="right" vertical="center"/>
    </xf>
    <xf numFmtId="3" fontId="7" fillId="0" borderId="5" xfId="2" applyNumberFormat="1" applyFont="1" applyBorder="1" applyAlignment="1">
      <alignment vertical="center"/>
    </xf>
    <xf numFmtId="0" fontId="7" fillId="0" borderId="0" xfId="10" applyAlignment="1">
      <alignment horizontal="left" vertical="center"/>
    </xf>
    <xf numFmtId="0" fontId="7" fillId="0" borderId="0" xfId="10" applyAlignment="1">
      <alignment horizontal="right" vertical="center"/>
    </xf>
    <xf numFmtId="3" fontId="7" fillId="0" borderId="0" xfId="10" applyNumberFormat="1"/>
    <xf numFmtId="3" fontId="7" fillId="0" borderId="0" xfId="10" applyNumberFormat="1" applyAlignment="1">
      <alignment horizontal="right" vertical="center"/>
    </xf>
    <xf numFmtId="164" fontId="7" fillId="0" borderId="0" xfId="2" applyNumberFormat="1" applyFont="1" applyAlignment="1">
      <alignment vertical="center"/>
    </xf>
    <xf numFmtId="164" fontId="7" fillId="0" borderId="0" xfId="2" applyNumberFormat="1" applyFont="1" applyAlignment="1">
      <alignment horizontal="right" vertical="center"/>
    </xf>
    <xf numFmtId="3" fontId="7" fillId="0" borderId="0" xfId="2" applyNumberFormat="1" applyFont="1" applyAlignment="1">
      <alignment horizontal="left" vertical="center"/>
    </xf>
    <xf numFmtId="167" fontId="31" fillId="0" borderId="5" xfId="2" applyNumberFormat="1" applyBorder="1" applyAlignment="1">
      <alignment vertical="center"/>
    </xf>
    <xf numFmtId="164" fontId="31" fillId="0" borderId="5" xfId="2" applyNumberFormat="1" applyBorder="1" applyAlignment="1">
      <alignment vertical="center"/>
    </xf>
    <xf numFmtId="3" fontId="31" fillId="0" borderId="0" xfId="2" quotePrefix="1" applyNumberFormat="1" applyAlignment="1">
      <alignment horizontal="right" vertical="center"/>
    </xf>
    <xf numFmtId="0" fontId="7" fillId="0" borderId="0" xfId="2" quotePrefix="1" applyFont="1" applyAlignment="1">
      <alignment horizontal="left" vertical="center"/>
    </xf>
    <xf numFmtId="0" fontId="43" fillId="0" borderId="0" xfId="2" applyFont="1" applyAlignment="1">
      <alignment vertical="center"/>
    </xf>
    <xf numFmtId="3" fontId="7" fillId="0" borderId="5" xfId="3" applyNumberFormat="1" applyBorder="1" applyAlignment="1">
      <alignment vertical="center"/>
    </xf>
    <xf numFmtId="167" fontId="41" fillId="0" borderId="5" xfId="9" applyNumberFormat="1" applyFont="1" applyFill="1" applyBorder="1" applyAlignment="1">
      <alignment horizontal="right" vertical="center"/>
    </xf>
    <xf numFmtId="0" fontId="7" fillId="0" borderId="0" xfId="3" applyAlignment="1">
      <alignment vertical="center"/>
    </xf>
    <xf numFmtId="0" fontId="44" fillId="0" borderId="0" xfId="3" applyFont="1" applyAlignment="1">
      <alignment vertical="center"/>
    </xf>
    <xf numFmtId="167" fontId="44" fillId="0" borderId="0" xfId="3" applyNumberFormat="1" applyFont="1" applyAlignment="1">
      <alignment vertical="center"/>
    </xf>
    <xf numFmtId="164" fontId="7" fillId="0" borderId="5" xfId="2" quotePrefix="1" applyNumberFormat="1" applyFont="1" applyBorder="1" applyAlignment="1">
      <alignment horizontal="right"/>
    </xf>
    <xf numFmtId="0" fontId="7" fillId="0" borderId="5" xfId="2" quotePrefix="1" applyFont="1" applyBorder="1" applyAlignment="1">
      <alignment horizontal="left" vertical="center"/>
    </xf>
    <xf numFmtId="3" fontId="7" fillId="0" borderId="5" xfId="2" quotePrefix="1" applyNumberFormat="1" applyFont="1" applyBorder="1" applyAlignment="1">
      <alignment horizontal="right" vertical="center"/>
    </xf>
    <xf numFmtId="0" fontId="7" fillId="0" borderId="10" xfId="2" applyFont="1" applyBorder="1" applyAlignment="1">
      <alignment horizontal="center" vertical="center"/>
    </xf>
    <xf numFmtId="0" fontId="7" fillId="0" borderId="1" xfId="2" applyFont="1" applyBorder="1" applyAlignment="1">
      <alignment horizontal="center" vertical="center"/>
    </xf>
    <xf numFmtId="3" fontId="7" fillId="0" borderId="0" xfId="3" applyNumberFormat="1" applyAlignment="1">
      <alignment horizontal="right" vertical="center"/>
    </xf>
    <xf numFmtId="164" fontId="7" fillId="0" borderId="0" xfId="9" applyNumberFormat="1" applyFont="1" applyAlignment="1">
      <alignment vertical="center"/>
    </xf>
    <xf numFmtId="0" fontId="7" fillId="0" borderId="0" xfId="3" applyAlignment="1">
      <alignment horizontal="right" vertical="center"/>
    </xf>
    <xf numFmtId="3" fontId="7" fillId="0" borderId="5" xfId="2" applyNumberFormat="1" applyFont="1" applyBorder="1" applyAlignment="1">
      <alignment horizontal="right" vertical="center"/>
    </xf>
    <xf numFmtId="0" fontId="16" fillId="0" borderId="0" xfId="2" applyFont="1" applyAlignment="1">
      <alignment horizontal="center" vertical="center"/>
    </xf>
    <xf numFmtId="0" fontId="16" fillId="0" borderId="0" xfId="2" applyFont="1" applyAlignment="1">
      <alignment horizontal="right" vertical="center"/>
    </xf>
    <xf numFmtId="0" fontId="7" fillId="0" borderId="8" xfId="2" applyFont="1" applyBorder="1" applyAlignment="1">
      <alignment horizontal="center" vertical="center"/>
    </xf>
    <xf numFmtId="0" fontId="7" fillId="0" borderId="5" xfId="2" applyFont="1" applyBorder="1" applyAlignment="1">
      <alignment horizontal="center" vertical="center"/>
    </xf>
    <xf numFmtId="0" fontId="16" fillId="0" borderId="0" xfId="3" applyFont="1" applyAlignment="1">
      <alignment vertical="center" wrapText="1"/>
    </xf>
    <xf numFmtId="3" fontId="16" fillId="0" borderId="0" xfId="2" applyNumberFormat="1" applyFont="1" applyAlignment="1">
      <alignment vertical="center"/>
    </xf>
    <xf numFmtId="164" fontId="7" fillId="0" borderId="0" xfId="2" applyNumberFormat="1" applyFont="1"/>
    <xf numFmtId="0" fontId="31" fillId="0" borderId="5" xfId="2" applyBorder="1" applyAlignment="1">
      <alignment horizontal="left" vertical="center"/>
    </xf>
    <xf numFmtId="3" fontId="31" fillId="0" borderId="5" xfId="2" applyNumberFormat="1" applyBorder="1" applyAlignment="1">
      <alignment vertical="center"/>
    </xf>
    <xf numFmtId="3" fontId="7" fillId="0" borderId="0" xfId="3" applyNumberFormat="1" applyAlignment="1">
      <alignment vertical="center" wrapText="1"/>
    </xf>
    <xf numFmtId="0" fontId="46" fillId="0" borderId="0" xfId="2" applyFont="1" applyAlignment="1">
      <alignment vertical="center"/>
    </xf>
    <xf numFmtId="167" fontId="7" fillId="0" borderId="0" xfId="2" applyNumberFormat="1" applyFont="1" applyAlignment="1">
      <alignment horizontal="right" vertical="center"/>
    </xf>
    <xf numFmtId="164" fontId="7" fillId="0" borderId="5" xfId="2" applyNumberFormat="1" applyFont="1" applyBorder="1"/>
    <xf numFmtId="3" fontId="47" fillId="0" borderId="0" xfId="2" applyNumberFormat="1" applyFont="1" applyAlignment="1">
      <alignment vertical="center"/>
    </xf>
    <xf numFmtId="3" fontId="31" fillId="0" borderId="0" xfId="2" applyNumberFormat="1" applyAlignment="1">
      <alignment horizontal="left" vertical="center"/>
    </xf>
    <xf numFmtId="0" fontId="31" fillId="0" borderId="0" xfId="2" quotePrefix="1" applyAlignment="1">
      <alignment horizontal="right" vertical="center"/>
    </xf>
    <xf numFmtId="0" fontId="7" fillId="0" borderId="0" xfId="2" quotePrefix="1" applyFont="1" applyAlignment="1">
      <alignment vertical="center"/>
    </xf>
    <xf numFmtId="0" fontId="47" fillId="0" borderId="0" xfId="2" applyFont="1" applyAlignment="1">
      <alignment horizontal="left" vertical="center" wrapText="1"/>
    </xf>
    <xf numFmtId="0" fontId="47" fillId="0" borderId="0" xfId="2" applyFont="1" applyAlignment="1">
      <alignment vertical="center"/>
    </xf>
    <xf numFmtId="0" fontId="19" fillId="0" borderId="0" xfId="2" applyFont="1" applyAlignment="1">
      <alignment vertical="center"/>
    </xf>
    <xf numFmtId="3" fontId="8" fillId="0" borderId="0" xfId="2" applyNumberFormat="1" applyFont="1" applyAlignment="1">
      <alignment vertical="center"/>
    </xf>
    <xf numFmtId="3" fontId="1" fillId="0" borderId="0" xfId="8" applyNumberFormat="1" applyFont="1" applyAlignment="1">
      <alignment vertical="center"/>
    </xf>
    <xf numFmtId="0" fontId="8" fillId="0" borderId="0" xfId="2" quotePrefix="1" applyFont="1" applyAlignment="1">
      <alignment horizontal="right" vertical="center"/>
    </xf>
    <xf numFmtId="0" fontId="1" fillId="0" borderId="5" xfId="8" applyFont="1" applyBorder="1" applyAlignment="1">
      <alignment horizontal="left" vertical="center"/>
    </xf>
    <xf numFmtId="3" fontId="1" fillId="0" borderId="5" xfId="8" applyNumberFormat="1" applyFont="1" applyBorder="1" applyAlignment="1">
      <alignment horizontal="right" vertical="center"/>
    </xf>
    <xf numFmtId="3" fontId="1" fillId="0" borderId="5" xfId="8" applyNumberFormat="1" applyFont="1" applyBorder="1" applyAlignment="1">
      <alignment vertical="center"/>
    </xf>
    <xf numFmtId="3" fontId="1" fillId="0" borderId="5" xfId="8" applyNumberFormat="1" applyFont="1" applyBorder="1"/>
    <xf numFmtId="3" fontId="31" fillId="0" borderId="5" xfId="2" applyNumberFormat="1" applyBorder="1" applyAlignment="1">
      <alignment horizontal="right" vertical="center"/>
    </xf>
    <xf numFmtId="0" fontId="7" fillId="0" borderId="0" xfId="2" applyFont="1" applyAlignment="1">
      <alignment horizontal="left" vertical="center" indent="2"/>
    </xf>
    <xf numFmtId="3" fontId="8" fillId="0" borderId="0" xfId="2" applyNumberFormat="1" applyFont="1" applyAlignment="1">
      <alignment horizontal="right" vertical="center"/>
    </xf>
    <xf numFmtId="3" fontId="7" fillId="0" borderId="0" xfId="3" quotePrefix="1" applyNumberFormat="1" applyAlignment="1">
      <alignment horizontal="right" vertical="center"/>
    </xf>
    <xf numFmtId="0" fontId="7" fillId="0" borderId="5" xfId="2" applyFont="1" applyBorder="1" applyAlignment="1">
      <alignment horizontal="right" vertical="center"/>
    </xf>
    <xf numFmtId="0" fontId="8" fillId="0" borderId="0" xfId="2" applyFont="1" applyAlignment="1">
      <alignment horizontal="left" vertical="center"/>
    </xf>
    <xf numFmtId="0" fontId="7" fillId="0" borderId="0" xfId="2" applyFont="1" applyAlignment="1">
      <alignment horizontal="left" vertical="center" indent="3"/>
    </xf>
    <xf numFmtId="0" fontId="48" fillId="0" borderId="0" xfId="2" applyFont="1" applyAlignment="1">
      <alignment vertical="center"/>
    </xf>
    <xf numFmtId="0" fontId="47" fillId="0" borderId="0" xfId="2" applyFont="1" applyAlignment="1">
      <alignment horizontal="center" vertical="center"/>
    </xf>
    <xf numFmtId="0" fontId="47" fillId="0" borderId="0" xfId="2" applyFont="1" applyAlignment="1">
      <alignment horizontal="right" vertical="center"/>
    </xf>
    <xf numFmtId="0" fontId="47" fillId="0" borderId="0" xfId="2" applyFont="1" applyAlignment="1">
      <alignment horizontal="left" vertical="center"/>
    </xf>
    <xf numFmtId="0" fontId="19" fillId="0" borderId="0" xfId="2" applyFont="1" applyAlignment="1">
      <alignment horizontal="right" vertical="center"/>
    </xf>
    <xf numFmtId="0" fontId="49" fillId="0" borderId="0" xfId="2" applyFont="1" applyAlignment="1">
      <alignment vertical="center"/>
    </xf>
    <xf numFmtId="0" fontId="7" fillId="3" borderId="0" xfId="2" applyFont="1" applyFill="1" applyAlignment="1">
      <alignment vertical="center"/>
    </xf>
    <xf numFmtId="164" fontId="7" fillId="0" borderId="0" xfId="2" quotePrefix="1" applyNumberFormat="1" applyFont="1" applyAlignment="1">
      <alignment horizontal="right" vertical="center"/>
    </xf>
    <xf numFmtId="0" fontId="38" fillId="0" borderId="0" xfId="3" applyFont="1" applyAlignment="1">
      <alignment vertical="center"/>
    </xf>
    <xf numFmtId="167" fontId="7" fillId="0" borderId="0" xfId="9" applyNumberFormat="1" applyFont="1" applyFill="1" applyBorder="1" applyAlignment="1">
      <alignment horizontal="right" vertical="center"/>
    </xf>
    <xf numFmtId="0" fontId="19" fillId="0" borderId="0" xfId="2" quotePrefix="1" applyFont="1" applyAlignment="1">
      <alignment horizontal="right" vertical="center"/>
    </xf>
    <xf numFmtId="0" fontId="19" fillId="0" borderId="0" xfId="2" applyFont="1" applyAlignment="1">
      <alignment horizontal="center" vertical="center"/>
    </xf>
    <xf numFmtId="0" fontId="19" fillId="0" borderId="0" xfId="2" applyFont="1" applyAlignment="1">
      <alignment horizontal="left" vertical="center"/>
    </xf>
    <xf numFmtId="0" fontId="50"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horizontal="right" vertical="center"/>
    </xf>
    <xf numFmtId="3" fontId="50" fillId="0" borderId="0" xfId="2" applyNumberFormat="1" applyFont="1" applyAlignment="1">
      <alignment vertical="center"/>
    </xf>
    <xf numFmtId="0" fontId="50" fillId="0" borderId="5" xfId="2" applyFont="1" applyBorder="1"/>
    <xf numFmtId="0" fontId="1" fillId="0" borderId="0" xfId="2" applyFont="1"/>
    <xf numFmtId="0" fontId="7" fillId="0" borderId="10" xfId="2" applyFont="1" applyBorder="1" applyAlignment="1">
      <alignment horizontal="center"/>
    </xf>
    <xf numFmtId="0" fontId="7" fillId="0" borderId="0" xfId="2" applyFont="1" applyAlignment="1">
      <alignment horizontal="right" vertical="top"/>
    </xf>
    <xf numFmtId="0" fontId="7" fillId="0" borderId="0" xfId="2" applyFont="1" applyAlignment="1">
      <alignment vertical="center" wrapText="1"/>
    </xf>
    <xf numFmtId="0" fontId="31" fillId="0" borderId="0" xfId="2" applyAlignment="1">
      <alignment vertical="center" wrapText="1"/>
    </xf>
    <xf numFmtId="0" fontId="1" fillId="0" borderId="5" xfId="2" applyFont="1" applyBorder="1" applyAlignment="1">
      <alignment horizontal="center"/>
    </xf>
    <xf numFmtId="0" fontId="31" fillId="0" borderId="14" xfId="2" applyBorder="1"/>
    <xf numFmtId="0" fontId="7" fillId="0" borderId="13" xfId="2" applyFont="1" applyBorder="1" applyAlignment="1">
      <alignment horizontal="left"/>
    </xf>
    <xf numFmtId="3" fontId="1" fillId="0" borderId="0" xfId="2" applyNumberFormat="1" applyFont="1"/>
    <xf numFmtId="0" fontId="31" fillId="0" borderId="0" xfId="2" applyAlignment="1">
      <alignment horizontal="left" indent="3"/>
    </xf>
    <xf numFmtId="167" fontId="31" fillId="0" borderId="0" xfId="2" applyNumberFormat="1"/>
    <xf numFmtId="1" fontId="31" fillId="0" borderId="0" xfId="2" applyNumberFormat="1"/>
    <xf numFmtId="167" fontId="7" fillId="0" borderId="0" xfId="2" applyNumberFormat="1" applyFont="1"/>
    <xf numFmtId="0" fontId="7" fillId="0" borderId="0" xfId="2" applyFont="1" applyAlignment="1" applyProtection="1">
      <alignment horizontal="left" vertical="center" wrapText="1"/>
      <protection locked="0"/>
    </xf>
    <xf numFmtId="3" fontId="7" fillId="0" borderId="0" xfId="2" applyNumberFormat="1" applyFont="1" applyAlignment="1" applyProtection="1">
      <alignment horizontal="right" vertical="center" wrapText="1"/>
      <protection locked="0"/>
    </xf>
    <xf numFmtId="1" fontId="31" fillId="0" borderId="0" xfId="2" applyNumberFormat="1" applyAlignment="1">
      <alignment horizontal="right"/>
    </xf>
    <xf numFmtId="0" fontId="8" fillId="0" borderId="0" xfId="2" applyFont="1" applyAlignment="1">
      <alignment horizontal="right"/>
    </xf>
    <xf numFmtId="3" fontId="31" fillId="0" borderId="0" xfId="2" applyNumberFormat="1" applyAlignment="1">
      <alignment horizontal="right"/>
    </xf>
    <xf numFmtId="164" fontId="8" fillId="0" borderId="0" xfId="2" applyNumberFormat="1" applyFont="1" applyAlignment="1">
      <alignment horizontal="right"/>
    </xf>
    <xf numFmtId="3" fontId="7" fillId="0" borderId="0" xfId="10" quotePrefix="1" applyNumberFormat="1" applyAlignment="1">
      <alignment horizontal="right" vertical="center"/>
    </xf>
    <xf numFmtId="1" fontId="7" fillId="0" borderId="0" xfId="10" quotePrefix="1" applyNumberFormat="1" applyAlignment="1">
      <alignment horizontal="right" vertical="center"/>
    </xf>
    <xf numFmtId="3" fontId="31" fillId="0" borderId="5" xfId="2" applyNumberFormat="1" applyBorder="1" applyAlignment="1">
      <alignment horizontal="right"/>
    </xf>
    <xf numFmtId="167" fontId="31" fillId="0" borderId="5" xfId="2" applyNumberFormat="1" applyBorder="1"/>
    <xf numFmtId="164" fontId="7" fillId="0" borderId="5" xfId="2" applyNumberFormat="1" applyFont="1" applyBorder="1" applyAlignment="1">
      <alignment horizontal="right"/>
    </xf>
    <xf numFmtId="167" fontId="7" fillId="0" borderId="5" xfId="2" applyNumberFormat="1" applyFont="1" applyBorder="1"/>
    <xf numFmtId="0" fontId="50" fillId="0" borderId="0" xfId="2" applyFont="1"/>
    <xf numFmtId="3" fontId="7" fillId="0" borderId="0" xfId="2" applyNumberFormat="1" applyFont="1" applyAlignment="1">
      <alignment horizontal="center"/>
    </xf>
    <xf numFmtId="3" fontId="1" fillId="0" borderId="0" xfId="2" applyNumberFormat="1" applyFont="1" applyAlignment="1">
      <alignment horizontal="right"/>
    </xf>
    <xf numFmtId="3" fontId="7" fillId="0" borderId="0" xfId="2" applyNumberFormat="1" applyFont="1" applyAlignment="1" applyProtection="1">
      <alignment vertical="justify" wrapText="1"/>
      <protection locked="0"/>
    </xf>
    <xf numFmtId="3" fontId="7" fillId="0" borderId="0" xfId="2" applyNumberFormat="1" applyFont="1" applyAlignment="1">
      <alignment vertical="justify" wrapText="1"/>
    </xf>
    <xf numFmtId="164" fontId="8" fillId="0" borderId="0" xfId="2" applyNumberFormat="1" applyFont="1"/>
    <xf numFmtId="3" fontId="7" fillId="0" borderId="0" xfId="3" applyNumberFormat="1"/>
    <xf numFmtId="3" fontId="7" fillId="0" borderId="5" xfId="2" applyNumberFormat="1" applyFont="1" applyBorder="1" applyAlignment="1">
      <alignment vertical="justify" wrapText="1"/>
    </xf>
    <xf numFmtId="164" fontId="7" fillId="0" borderId="0" xfId="2" applyNumberFormat="1" applyFont="1" applyAlignment="1">
      <alignment horizontal="center"/>
    </xf>
    <xf numFmtId="3" fontId="7" fillId="0" borderId="5" xfId="2" applyNumberFormat="1" applyFont="1" applyBorder="1" applyAlignment="1" applyProtection="1">
      <alignment horizontal="right" vertical="center" wrapText="1"/>
      <protection locked="0"/>
    </xf>
    <xf numFmtId="3" fontId="7" fillId="0" borderId="0" xfId="2" applyNumberFormat="1" applyFont="1" applyProtection="1">
      <protection locked="0"/>
    </xf>
    <xf numFmtId="1" fontId="7" fillId="0" borderId="0" xfId="2" applyNumberFormat="1" applyFont="1" applyAlignment="1">
      <alignment horizontal="right"/>
    </xf>
    <xf numFmtId="0" fontId="8" fillId="0" borderId="0" xfId="2" applyFont="1" applyAlignment="1">
      <alignment horizontal="center"/>
    </xf>
    <xf numFmtId="0" fontId="47" fillId="0" borderId="5" xfId="2" applyFont="1" applyBorder="1"/>
    <xf numFmtId="0" fontId="47" fillId="0" borderId="0" xfId="2" applyFont="1"/>
    <xf numFmtId="0" fontId="31" fillId="0" borderId="11" xfId="2" applyBorder="1"/>
    <xf numFmtId="2" fontId="31" fillId="0" borderId="0" xfId="2" applyNumberFormat="1"/>
    <xf numFmtId="2" fontId="31" fillId="0" borderId="0" xfId="2" applyNumberFormat="1" applyAlignment="1">
      <alignment horizontal="left" indent="1"/>
    </xf>
    <xf numFmtId="2" fontId="7" fillId="0" borderId="0" xfId="2" applyNumberFormat="1" applyFont="1" applyAlignment="1">
      <alignment horizontal="left" indent="1"/>
    </xf>
    <xf numFmtId="3" fontId="31" fillId="0" borderId="0" xfId="2" applyNumberFormat="1" applyAlignment="1">
      <alignment horizontal="center"/>
    </xf>
    <xf numFmtId="3" fontId="7" fillId="0" borderId="0" xfId="2" applyNumberFormat="1" applyFont="1" applyAlignment="1">
      <alignment horizontal="left" indent="2"/>
    </xf>
    <xf numFmtId="0" fontId="31" fillId="0" borderId="1" xfId="2" applyBorder="1"/>
    <xf numFmtId="0" fontId="7" fillId="0" borderId="5" xfId="2" applyFont="1" applyBorder="1" applyAlignment="1">
      <alignment horizontal="left" indent="2"/>
    </xf>
    <xf numFmtId="0" fontId="31" fillId="0" borderId="13" xfId="2" applyBorder="1"/>
    <xf numFmtId="0" fontId="7" fillId="0" borderId="12" xfId="2" applyFont="1" applyBorder="1" applyAlignment="1">
      <alignment horizontal="right"/>
    </xf>
    <xf numFmtId="3" fontId="7" fillId="0" borderId="1" xfId="2" applyNumberFormat="1" applyFont="1" applyBorder="1"/>
    <xf numFmtId="1" fontId="7" fillId="0" borderId="0" xfId="2" applyNumberFormat="1" applyFont="1" applyAlignment="1">
      <alignment horizontal="left"/>
    </xf>
    <xf numFmtId="0" fontId="7" fillId="0" borderId="11" xfId="2" applyFont="1" applyBorder="1"/>
    <xf numFmtId="3" fontId="50" fillId="0" borderId="0" xfId="2" applyNumberFormat="1" applyFont="1"/>
    <xf numFmtId="0" fontId="41" fillId="0" borderId="0" xfId="2" applyFont="1" applyAlignment="1">
      <alignment vertical="center"/>
    </xf>
    <xf numFmtId="0" fontId="15" fillId="0" borderId="0" xfId="2" applyFont="1" applyAlignment="1">
      <alignment horizontal="right" vertical="center"/>
    </xf>
    <xf numFmtId="0" fontId="8" fillId="0" borderId="0" xfId="2" applyFont="1" applyAlignment="1">
      <alignment horizontal="right" vertical="center"/>
    </xf>
    <xf numFmtId="0" fontId="52" fillId="0" borderId="0" xfId="2" applyFont="1" applyAlignment="1">
      <alignment vertical="center"/>
    </xf>
    <xf numFmtId="0" fontId="7" fillId="0" borderId="9" xfId="2" applyFont="1" applyBorder="1" applyAlignment="1">
      <alignment horizontal="left"/>
    </xf>
    <xf numFmtId="0" fontId="7" fillId="0" borderId="9" xfId="2" applyFont="1" applyBorder="1"/>
    <xf numFmtId="0" fontId="7" fillId="0" borderId="2" xfId="2" applyFont="1" applyBorder="1" applyAlignment="1">
      <alignment vertical="center"/>
    </xf>
    <xf numFmtId="0" fontId="7" fillId="0" borderId="6" xfId="2" applyFont="1" applyBorder="1" applyAlignment="1">
      <alignment vertical="center"/>
    </xf>
    <xf numFmtId="0" fontId="7" fillId="0" borderId="10" xfId="2" applyFont="1" applyBorder="1"/>
    <xf numFmtId="0" fontId="7" fillId="0" borderId="1" xfId="2" applyFont="1" applyBorder="1" applyAlignment="1">
      <alignment horizontal="left"/>
    </xf>
    <xf numFmtId="0" fontId="7" fillId="0" borderId="12" xfId="2" applyFont="1" applyBorder="1" applyAlignment="1">
      <alignment horizontal="left" vertical="center"/>
    </xf>
    <xf numFmtId="0" fontId="7" fillId="0" borderId="13" xfId="2" applyFont="1" applyBorder="1" applyAlignment="1">
      <alignment vertical="center"/>
    </xf>
    <xf numFmtId="0" fontId="7" fillId="0" borderId="12" xfId="2" applyFont="1" applyBorder="1" applyAlignment="1">
      <alignment vertical="center"/>
    </xf>
    <xf numFmtId="2" fontId="7" fillId="0" borderId="0" xfId="2" applyNumberFormat="1" applyFont="1" applyAlignment="1">
      <alignment horizontal="right"/>
    </xf>
    <xf numFmtId="172" fontId="7" fillId="0" borderId="0" xfId="2" applyNumberFormat="1" applyFont="1" applyAlignment="1">
      <alignment horizontal="right"/>
    </xf>
    <xf numFmtId="173" fontId="7" fillId="0" borderId="0" xfId="2" applyNumberFormat="1" applyFont="1" applyAlignment="1">
      <alignment horizontal="right"/>
    </xf>
    <xf numFmtId="3" fontId="7" fillId="0" borderId="7" xfId="2" applyNumberFormat="1" applyFont="1" applyBorder="1" applyAlignment="1">
      <alignment horizontal="right" vertical="center"/>
    </xf>
    <xf numFmtId="3" fontId="7" fillId="0" borderId="15" xfId="2" applyNumberFormat="1" applyFont="1" applyBorder="1" applyAlignment="1">
      <alignment horizontal="right" vertical="center"/>
    </xf>
    <xf numFmtId="1" fontId="7" fillId="0" borderId="0" xfId="2" applyNumberFormat="1" applyFont="1"/>
    <xf numFmtId="2" fontId="7" fillId="0" borderId="0" xfId="2" applyNumberFormat="1" applyFont="1"/>
    <xf numFmtId="0" fontId="8" fillId="0" borderId="0" xfId="2" applyFont="1" applyAlignment="1">
      <alignment horizontal="left" vertical="center" indent="3"/>
    </xf>
    <xf numFmtId="1" fontId="7" fillId="0" borderId="5" xfId="2" applyNumberFormat="1" applyFont="1" applyBorder="1"/>
    <xf numFmtId="2" fontId="7" fillId="0" borderId="5" xfId="2" applyNumberFormat="1" applyFont="1" applyBorder="1"/>
    <xf numFmtId="164" fontId="7" fillId="0" borderId="5" xfId="2" applyNumberFormat="1" applyFont="1" applyBorder="1" applyAlignment="1">
      <alignment horizontal="right" vertical="center"/>
    </xf>
    <xf numFmtId="165" fontId="7" fillId="0" borderId="0" xfId="2" applyNumberFormat="1" applyFont="1" applyAlignment="1">
      <alignment horizontal="right" vertical="center"/>
    </xf>
    <xf numFmtId="3" fontId="7" fillId="0" borderId="8" xfId="2" applyNumberFormat="1" applyFont="1" applyBorder="1" applyAlignment="1">
      <alignment horizontal="right" vertical="center"/>
    </xf>
    <xf numFmtId="0" fontId="15" fillId="0" borderId="1" xfId="2" applyFont="1" applyBorder="1" applyAlignment="1">
      <alignment horizontal="right" vertical="center"/>
    </xf>
    <xf numFmtId="0" fontId="7" fillId="0" borderId="0" xfId="2" applyFont="1" applyAlignment="1">
      <alignment horizontal="justify" vertical="center"/>
    </xf>
    <xf numFmtId="1" fontId="7" fillId="0" borderId="2" xfId="2" applyNumberFormat="1" applyFont="1" applyBorder="1" applyAlignment="1">
      <alignment horizontal="right" vertical="center"/>
    </xf>
    <xf numFmtId="1" fontId="7" fillId="0" borderId="0" xfId="2" applyNumberFormat="1" applyFont="1" applyAlignment="1">
      <alignment horizontal="right" vertical="center"/>
    </xf>
    <xf numFmtId="167" fontId="7" fillId="0" borderId="1" xfId="2" applyNumberFormat="1" applyFont="1" applyBorder="1" applyAlignment="1">
      <alignment horizontal="right" vertical="center"/>
    </xf>
    <xf numFmtId="167" fontId="7" fillId="0" borderId="5" xfId="2" applyNumberFormat="1" applyFont="1" applyBorder="1" applyAlignment="1">
      <alignment horizontal="right" vertical="center"/>
    </xf>
    <xf numFmtId="37" fontId="7" fillId="0" borderId="0" xfId="2" applyNumberFormat="1" applyFont="1" applyAlignment="1">
      <alignment horizontal="right" vertical="center"/>
    </xf>
    <xf numFmtId="4" fontId="7" fillId="0" borderId="0" xfId="2" applyNumberFormat="1" applyFont="1"/>
    <xf numFmtId="3" fontId="7" fillId="0" borderId="0" xfId="3" applyNumberFormat="1" applyAlignment="1">
      <alignment horizontal="right"/>
    </xf>
    <xf numFmtId="3" fontId="7" fillId="0" borderId="5" xfId="3" applyNumberFormat="1" applyBorder="1" applyAlignment="1">
      <alignment horizontal="right"/>
    </xf>
    <xf numFmtId="0" fontId="47" fillId="0" borderId="5" xfId="2" applyFont="1" applyBorder="1" applyAlignment="1">
      <alignment horizontal="left" vertical="center"/>
    </xf>
    <xf numFmtId="0" fontId="48" fillId="0" borderId="0" xfId="2" applyFont="1"/>
    <xf numFmtId="0" fontId="7" fillId="0" borderId="9" xfId="2" applyFont="1" applyBorder="1" applyAlignment="1">
      <alignment horizontal="left" vertical="center"/>
    </xf>
    <xf numFmtId="0" fontId="31" fillId="0" borderId="2" xfId="2" applyBorder="1"/>
    <xf numFmtId="0" fontId="31" fillId="0" borderId="6" xfId="2" applyBorder="1"/>
    <xf numFmtId="0" fontId="8" fillId="0" borderId="5" xfId="2" applyFont="1" applyBorder="1" applyAlignment="1">
      <alignment vertical="center"/>
    </xf>
    <xf numFmtId="0" fontId="7" fillId="0" borderId="0" xfId="2" applyFont="1" applyAlignment="1">
      <alignment vertical="justify"/>
    </xf>
    <xf numFmtId="0" fontId="7" fillId="0" borderId="1" xfId="2" applyFont="1" applyBorder="1" applyAlignment="1">
      <alignment horizontal="right"/>
    </xf>
    <xf numFmtId="3" fontId="41" fillId="0" borderId="0" xfId="2" applyNumberFormat="1" applyFont="1" applyAlignment="1">
      <alignment vertical="center"/>
    </xf>
    <xf numFmtId="0" fontId="8" fillId="0" borderId="7" xfId="2" applyFont="1" applyBorder="1" applyAlignment="1">
      <alignment horizontal="left" vertical="center"/>
    </xf>
    <xf numFmtId="0" fontId="8" fillId="0" borderId="3" xfId="2" applyFont="1" applyBorder="1" applyAlignment="1">
      <alignment horizontal="right" vertical="center"/>
    </xf>
    <xf numFmtId="0" fontId="8" fillId="0" borderId="1" xfId="2" applyFont="1" applyBorder="1" applyAlignment="1">
      <alignment horizontal="right" vertical="center"/>
    </xf>
    <xf numFmtId="0" fontId="8" fillId="0" borderId="15" xfId="2" applyFont="1" applyBorder="1" applyAlignment="1">
      <alignment horizontal="right" vertical="center"/>
    </xf>
    <xf numFmtId="0" fontId="8" fillId="0" borderId="10" xfId="2" applyFont="1" applyBorder="1" applyAlignment="1">
      <alignment horizontal="right" vertical="center"/>
    </xf>
    <xf numFmtId="0" fontId="7" fillId="0" borderId="1" xfId="2" applyFont="1" applyBorder="1" applyAlignment="1">
      <alignment horizontal="left" vertical="center"/>
    </xf>
    <xf numFmtId="3" fontId="7" fillId="0" borderId="0" xfId="7" applyNumberFormat="1" applyFont="1" applyAlignment="1"/>
    <xf numFmtId="172" fontId="7" fillId="0" borderId="0" xfId="2" applyNumberFormat="1" applyFont="1"/>
    <xf numFmtId="166" fontId="7" fillId="0" borderId="0" xfId="7" applyNumberFormat="1" applyFont="1" applyAlignment="1">
      <alignment horizontal="left" vertical="center"/>
    </xf>
    <xf numFmtId="3" fontId="7" fillId="0" borderId="0" xfId="7" applyNumberFormat="1" applyFont="1" applyAlignment="1">
      <alignment horizontal="right" vertical="center"/>
    </xf>
    <xf numFmtId="0" fontId="8" fillId="0" borderId="8" xfId="2" applyFont="1" applyBorder="1" applyAlignment="1">
      <alignment horizontal="left" vertical="center"/>
    </xf>
    <xf numFmtId="0" fontId="8" fillId="0" borderId="4" xfId="2" applyFont="1" applyBorder="1" applyAlignment="1">
      <alignment horizontal="right" vertical="center"/>
    </xf>
    <xf numFmtId="0" fontId="8" fillId="0" borderId="5" xfId="2" applyFont="1" applyBorder="1" applyAlignment="1">
      <alignment horizontal="right" vertical="center"/>
    </xf>
    <xf numFmtId="0" fontId="8" fillId="0" borderId="11" xfId="2" applyFont="1" applyBorder="1" applyAlignment="1">
      <alignment horizontal="right" vertical="center"/>
    </xf>
    <xf numFmtId="0" fontId="8" fillId="0" borderId="2" xfId="2" applyFont="1" applyBorder="1" applyAlignment="1">
      <alignment horizontal="right" vertical="center"/>
    </xf>
    <xf numFmtId="3" fontId="7" fillId="0" borderId="0" xfId="7" applyNumberFormat="1" applyFont="1" applyFill="1" applyBorder="1" applyAlignment="1">
      <alignment horizontal="right" vertical="center"/>
    </xf>
    <xf numFmtId="174" fontId="8" fillId="0" borderId="0" xfId="2" applyNumberFormat="1" applyFont="1" applyAlignment="1">
      <alignment horizontal="right" vertical="center"/>
    </xf>
    <xf numFmtId="166" fontId="8" fillId="0" borderId="0" xfId="7" applyNumberFormat="1" applyFont="1" applyFill="1" applyBorder="1" applyAlignment="1">
      <alignment horizontal="right" vertical="center"/>
    </xf>
    <xf numFmtId="166" fontId="8" fillId="0" borderId="0" xfId="7" applyNumberFormat="1" applyFont="1" applyBorder="1" applyAlignment="1">
      <alignment horizontal="right" vertical="center"/>
    </xf>
    <xf numFmtId="3" fontId="7" fillId="0" borderId="0" xfId="7" applyNumberFormat="1" applyFont="1" applyBorder="1" applyAlignment="1"/>
    <xf numFmtId="172" fontId="7" fillId="0" borderId="5" xfId="2" applyNumberFormat="1" applyFont="1" applyBorder="1"/>
    <xf numFmtId="166" fontId="7" fillId="0" borderId="5" xfId="7" applyNumberFormat="1" applyFont="1" applyBorder="1" applyAlignment="1">
      <alignment horizontal="left" vertical="center"/>
    </xf>
    <xf numFmtId="3" fontId="7" fillId="0" borderId="5" xfId="7" applyNumberFormat="1" applyFont="1" applyBorder="1" applyAlignment="1">
      <alignment horizontal="right" vertical="center"/>
    </xf>
    <xf numFmtId="168" fontId="8" fillId="0" borderId="0" xfId="7" applyNumberFormat="1" applyFont="1" applyFill="1" applyBorder="1" applyAlignment="1">
      <alignment horizontal="right" vertical="center"/>
    </xf>
    <xf numFmtId="3" fontId="53" fillId="0" borderId="0" xfId="2" applyNumberFormat="1" applyFont="1" applyAlignment="1">
      <alignment vertical="center"/>
    </xf>
    <xf numFmtId="166" fontId="8" fillId="0" borderId="0" xfId="2" applyNumberFormat="1" applyFont="1" applyAlignment="1">
      <alignment horizontal="right" vertical="center"/>
    </xf>
    <xf numFmtId="168" fontId="8" fillId="0" borderId="0" xfId="2" applyNumberFormat="1" applyFont="1" applyAlignment="1">
      <alignment horizontal="right" vertical="center"/>
    </xf>
    <xf numFmtId="166" fontId="8" fillId="0" borderId="0" xfId="7" applyNumberFormat="1" applyFont="1" applyAlignment="1">
      <alignment horizontal="right" vertical="center"/>
    </xf>
    <xf numFmtId="164" fontId="8" fillId="0" borderId="0" xfId="2" applyNumberFormat="1" applyFont="1" applyAlignment="1">
      <alignment horizontal="right" vertical="center"/>
    </xf>
    <xf numFmtId="166" fontId="7" fillId="0" borderId="0" xfId="2" applyNumberFormat="1" applyFont="1" applyAlignment="1">
      <alignment horizontal="left" vertical="center"/>
    </xf>
    <xf numFmtId="3" fontId="7" fillId="0" borderId="0" xfId="11" applyNumberFormat="1" applyFont="1" applyFill="1" applyBorder="1" applyAlignment="1">
      <alignment horizontal="right" vertical="center"/>
    </xf>
    <xf numFmtId="3" fontId="7" fillId="0" borderId="0" xfId="7" applyNumberFormat="1" applyFont="1" applyAlignment="1">
      <alignment horizontal="right"/>
    </xf>
    <xf numFmtId="166" fontId="7" fillId="0" borderId="5" xfId="2" applyNumberFormat="1" applyFont="1" applyBorder="1" applyAlignment="1">
      <alignment horizontal="left" vertical="center"/>
    </xf>
    <xf numFmtId="3" fontId="7" fillId="0" borderId="5" xfId="7" applyNumberFormat="1" applyFont="1" applyFill="1" applyBorder="1" applyAlignment="1">
      <alignment horizontal="right" vertical="center"/>
    </xf>
    <xf numFmtId="3" fontId="7" fillId="0" borderId="5" xfId="11" applyNumberFormat="1" applyFont="1" applyFill="1" applyBorder="1" applyAlignment="1">
      <alignment horizontal="right" vertical="center"/>
    </xf>
    <xf numFmtId="3" fontId="7" fillId="0" borderId="5" xfId="7" applyNumberFormat="1" applyFont="1" applyBorder="1" applyAlignment="1">
      <alignment horizontal="right"/>
    </xf>
    <xf numFmtId="172" fontId="31" fillId="0" borderId="0" xfId="2" applyNumberFormat="1"/>
    <xf numFmtId="166" fontId="8" fillId="0" borderId="0" xfId="11" applyNumberFormat="1" applyFont="1" applyFill="1" applyBorder="1" applyAlignment="1">
      <alignment horizontal="right" vertical="center"/>
    </xf>
    <xf numFmtId="172" fontId="7" fillId="0" borderId="0" xfId="2" quotePrefix="1" applyNumberFormat="1" applyFont="1" applyAlignment="1">
      <alignment horizontal="right"/>
    </xf>
    <xf numFmtId="3" fontId="7" fillId="0" borderId="0" xfId="7" applyNumberFormat="1" applyFont="1" applyBorder="1" applyAlignment="1">
      <alignment horizontal="right"/>
    </xf>
    <xf numFmtId="3" fontId="7" fillId="0" borderId="0" xfId="11" applyNumberFormat="1" applyFont="1" applyBorder="1" applyAlignment="1">
      <alignment horizontal="right"/>
    </xf>
    <xf numFmtId="172" fontId="31" fillId="0" borderId="5" xfId="2" applyNumberFormat="1" applyBorder="1"/>
    <xf numFmtId="3" fontId="8" fillId="0" borderId="0" xfId="2" applyNumberFormat="1" applyFont="1" applyAlignment="1">
      <alignment horizontal="right"/>
    </xf>
    <xf numFmtId="0" fontId="54" fillId="5" borderId="0" xfId="2" applyFont="1" applyFill="1" applyAlignment="1">
      <alignment vertical="center"/>
    </xf>
    <xf numFmtId="4" fontId="7" fillId="0" borderId="0" xfId="2" applyNumberFormat="1" applyFont="1" applyAlignment="1">
      <alignment vertical="center"/>
    </xf>
    <xf numFmtId="0" fontId="8" fillId="0" borderId="5" xfId="2" applyFont="1" applyBorder="1" applyAlignment="1">
      <alignment horizontal="left" vertical="center"/>
    </xf>
    <xf numFmtId="174" fontId="8" fillId="0" borderId="5" xfId="2" applyNumberFormat="1" applyFont="1" applyBorder="1" applyAlignment="1">
      <alignment horizontal="right" vertical="center"/>
    </xf>
    <xf numFmtId="3" fontId="8" fillId="0" borderId="5" xfId="2" applyNumberFormat="1" applyFont="1" applyBorder="1" applyAlignment="1">
      <alignment horizontal="right" vertical="center"/>
    </xf>
    <xf numFmtId="166" fontId="8" fillId="0" borderId="5" xfId="7" applyNumberFormat="1" applyFont="1" applyFill="1" applyBorder="1" applyAlignment="1">
      <alignment horizontal="right" vertical="center"/>
    </xf>
    <xf numFmtId="168" fontId="8" fillId="0" borderId="5" xfId="7" applyNumberFormat="1" applyFont="1" applyFill="1" applyBorder="1" applyAlignment="1">
      <alignment horizontal="right" vertical="center"/>
    </xf>
    <xf numFmtId="0" fontId="8" fillId="0" borderId="0" xfId="2" applyFont="1" applyAlignment="1">
      <alignment horizontal="center" vertical="center"/>
    </xf>
    <xf numFmtId="0" fontId="8" fillId="0" borderId="0" xfId="2" applyFont="1" applyAlignment="1">
      <alignment horizontal="left" indent="1"/>
    </xf>
    <xf numFmtId="168" fontId="8" fillId="0" borderId="0" xfId="11" applyNumberFormat="1" applyFont="1" applyFill="1" applyBorder="1" applyAlignment="1">
      <alignment horizontal="right" vertical="center"/>
    </xf>
    <xf numFmtId="174" fontId="8" fillId="5" borderId="0" xfId="2" applyNumberFormat="1" applyFont="1" applyFill="1" applyAlignment="1">
      <alignment horizontal="right" vertical="center"/>
    </xf>
    <xf numFmtId="0" fontId="31" fillId="0" borderId="9" xfId="2" applyBorder="1"/>
    <xf numFmtId="0" fontId="7" fillId="0" borderId="9" xfId="2" applyFont="1" applyBorder="1" applyAlignment="1">
      <alignment horizontal="right"/>
    </xf>
    <xf numFmtId="0" fontId="7" fillId="0" borderId="5" xfId="2" applyFont="1" applyBorder="1" applyAlignment="1">
      <alignment horizontal="left" indent="7" readingOrder="1"/>
    </xf>
    <xf numFmtId="0" fontId="31" fillId="0" borderId="12" xfId="2" applyBorder="1" applyAlignment="1">
      <alignment horizontal="right"/>
    </xf>
    <xf numFmtId="15" fontId="31" fillId="0" borderId="0" xfId="2" applyNumberFormat="1"/>
    <xf numFmtId="167" fontId="31" fillId="0" borderId="0" xfId="2" applyNumberFormat="1" applyAlignment="1">
      <alignment horizontal="right"/>
    </xf>
    <xf numFmtId="175" fontId="31" fillId="0" borderId="0" xfId="2" applyNumberFormat="1"/>
    <xf numFmtId="3" fontId="31" fillId="0" borderId="0" xfId="2" applyNumberFormat="1" applyAlignment="1">
      <alignment horizontal="left" indent="2"/>
    </xf>
    <xf numFmtId="176" fontId="31" fillId="0" borderId="0" xfId="2" applyNumberFormat="1"/>
    <xf numFmtId="37" fontId="31" fillId="0" borderId="0" xfId="2" applyNumberFormat="1"/>
    <xf numFmtId="177" fontId="31" fillId="0" borderId="0" xfId="2" applyNumberFormat="1"/>
    <xf numFmtId="178" fontId="31" fillId="0" borderId="0" xfId="2" applyNumberFormat="1"/>
    <xf numFmtId="171" fontId="31" fillId="0" borderId="0" xfId="2" applyNumberFormat="1"/>
    <xf numFmtId="178" fontId="7" fillId="0" borderId="0" xfId="2" quotePrefix="1" applyNumberFormat="1" applyFont="1" applyAlignment="1">
      <alignment horizontal="right"/>
    </xf>
    <xf numFmtId="179" fontId="31" fillId="0" borderId="0" xfId="2" applyNumberFormat="1"/>
    <xf numFmtId="178" fontId="31" fillId="0" borderId="5" xfId="2" applyNumberFormat="1" applyBorder="1"/>
    <xf numFmtId="0" fontId="31" fillId="0" borderId="0" xfId="2" quotePrefix="1" applyAlignment="1">
      <alignment horizontal="right"/>
    </xf>
    <xf numFmtId="176" fontId="7" fillId="0" borderId="0" xfId="2" applyNumberFormat="1" applyFont="1"/>
    <xf numFmtId="167" fontId="31" fillId="0" borderId="0" xfId="2" quotePrefix="1" applyNumberFormat="1" applyAlignment="1">
      <alignment horizontal="right"/>
    </xf>
    <xf numFmtId="180" fontId="31" fillId="0" borderId="0" xfId="2" applyNumberFormat="1" applyAlignment="1">
      <alignment horizontal="right"/>
    </xf>
    <xf numFmtId="179" fontId="7" fillId="0" borderId="0" xfId="2" applyNumberFormat="1" applyFont="1"/>
    <xf numFmtId="176" fontId="7" fillId="0" borderId="0" xfId="2" applyNumberFormat="1" applyFont="1" applyAlignment="1">
      <alignment horizontal="right"/>
    </xf>
    <xf numFmtId="3" fontId="7" fillId="0" borderId="12" xfId="2" applyNumberFormat="1" applyFont="1" applyBorder="1"/>
    <xf numFmtId="3" fontId="31" fillId="0" borderId="12" xfId="2" applyNumberFormat="1" applyBorder="1" applyAlignment="1">
      <alignment horizontal="right"/>
    </xf>
    <xf numFmtId="37" fontId="7" fillId="0" borderId="12" xfId="2" applyNumberFormat="1" applyFont="1" applyBorder="1" applyAlignment="1">
      <alignment horizontal="right"/>
    </xf>
    <xf numFmtId="37" fontId="31" fillId="0" borderId="12" xfId="2" applyNumberFormat="1" applyBorder="1" applyAlignment="1">
      <alignment horizontal="right"/>
    </xf>
    <xf numFmtId="164" fontId="31" fillId="0" borderId="5" xfId="2" applyNumberFormat="1" applyBorder="1" applyAlignment="1">
      <alignment horizontal="right"/>
    </xf>
    <xf numFmtId="167" fontId="7" fillId="0" borderId="0" xfId="2" applyNumberFormat="1" applyFont="1" applyAlignment="1">
      <alignment horizontal="left" indent="1"/>
    </xf>
    <xf numFmtId="167" fontId="7" fillId="0" borderId="5" xfId="2" applyNumberFormat="1" applyFont="1" applyBorder="1" applyAlignment="1">
      <alignment horizontal="right"/>
    </xf>
    <xf numFmtId="3" fontId="31" fillId="0" borderId="12" xfId="2" applyNumberFormat="1" applyBorder="1"/>
    <xf numFmtId="0" fontId="7" fillId="0" borderId="0" xfId="2" applyFont="1" applyAlignment="1">
      <alignment horizontal="left" indent="5"/>
    </xf>
    <xf numFmtId="0" fontId="31" fillId="0" borderId="5" xfId="2" applyBorder="1" applyAlignment="1">
      <alignment horizontal="right"/>
    </xf>
    <xf numFmtId="3" fontId="7" fillId="0" borderId="0" xfId="2" applyNumberFormat="1" applyFont="1" applyAlignment="1">
      <alignment horizontal="left" indent="1"/>
    </xf>
    <xf numFmtId="3" fontId="31" fillId="0" borderId="0" xfId="2" applyNumberFormat="1" applyAlignment="1">
      <alignment horizontal="left" indent="1"/>
    </xf>
    <xf numFmtId="0" fontId="7" fillId="0" borderId="0" xfId="2" applyFont="1" applyAlignment="1">
      <alignment horizontal="left" indent="4"/>
    </xf>
    <xf numFmtId="0" fontId="7" fillId="0" borderId="5" xfId="2" applyFont="1" applyBorder="1" applyAlignment="1">
      <alignment horizontal="left" indent="4"/>
    </xf>
    <xf numFmtId="3" fontId="7" fillId="0" borderId="12" xfId="2" applyNumberFormat="1" applyFont="1" applyBorder="1" applyAlignment="1">
      <alignment horizontal="right"/>
    </xf>
    <xf numFmtId="177" fontId="7" fillId="0" borderId="0" xfId="2" applyNumberFormat="1" applyFont="1"/>
    <xf numFmtId="37" fontId="31" fillId="0" borderId="0" xfId="2" applyNumberFormat="1" applyAlignment="1">
      <alignment horizontal="right"/>
    </xf>
    <xf numFmtId="37" fontId="31" fillId="0" borderId="5" xfId="2" applyNumberFormat="1" applyBorder="1" applyAlignment="1">
      <alignment horizontal="right"/>
    </xf>
    <xf numFmtId="37" fontId="7" fillId="0" borderId="0" xfId="2" applyNumberFormat="1" applyFont="1" applyAlignment="1">
      <alignment horizontal="right"/>
    </xf>
    <xf numFmtId="37" fontId="7" fillId="0" borderId="12" xfId="2" applyNumberFormat="1" applyFont="1" applyBorder="1"/>
    <xf numFmtId="177" fontId="31" fillId="0" borderId="5" xfId="2" applyNumberFormat="1" applyBorder="1"/>
    <xf numFmtId="177" fontId="31" fillId="0" borderId="12" xfId="2" applyNumberFormat="1" applyBorder="1"/>
    <xf numFmtId="37" fontId="31" fillId="0" borderId="5" xfId="2" applyNumberFormat="1" applyBorder="1"/>
    <xf numFmtId="37" fontId="31" fillId="0" borderId="12" xfId="2" applyNumberFormat="1" applyBorder="1"/>
    <xf numFmtId="177" fontId="7" fillId="0" borderId="0" xfId="2" applyNumberFormat="1" applyFont="1" applyAlignment="1">
      <alignment horizontal="right"/>
    </xf>
    <xf numFmtId="177" fontId="31" fillId="0" borderId="0" xfId="2" applyNumberFormat="1" applyAlignment="1">
      <alignment horizontal="right"/>
    </xf>
    <xf numFmtId="164" fontId="31" fillId="0" borderId="0" xfId="2" quotePrefix="1" applyNumberFormat="1" applyAlignment="1">
      <alignment horizontal="right"/>
    </xf>
    <xf numFmtId="177" fontId="31" fillId="0" borderId="5" xfId="2" applyNumberFormat="1" applyBorder="1" applyAlignment="1">
      <alignment horizontal="right"/>
    </xf>
    <xf numFmtId="0" fontId="31" fillId="0" borderId="12" xfId="2" applyBorder="1" applyAlignment="1">
      <alignment horizontal="left" indent="3"/>
    </xf>
    <xf numFmtId="0" fontId="31" fillId="0" borderId="0" xfId="2" applyAlignment="1">
      <alignment horizontal="left" indent="4"/>
    </xf>
    <xf numFmtId="37" fontId="7" fillId="0" borderId="5" xfId="2" applyNumberFormat="1" applyFont="1" applyBorder="1" applyAlignment="1">
      <alignment horizontal="right"/>
    </xf>
    <xf numFmtId="177" fontId="31" fillId="0" borderId="12" xfId="2" applyNumberFormat="1" applyBorder="1" applyAlignment="1">
      <alignment horizontal="right"/>
    </xf>
    <xf numFmtId="0" fontId="50" fillId="0" borderId="0" xfId="2" applyFont="1" applyAlignment="1">
      <alignment horizontal="right"/>
    </xf>
    <xf numFmtId="0" fontId="31" fillId="0" borderId="0" xfId="2" applyAlignment="1">
      <alignment horizontal="left" vertical="justify" indent="1"/>
    </xf>
    <xf numFmtId="16" fontId="7" fillId="0" borderId="2" xfId="2" quotePrefix="1" applyNumberFormat="1" applyFont="1" applyBorder="1" applyAlignment="1">
      <alignment horizontal="right"/>
    </xf>
    <xf numFmtId="175" fontId="31" fillId="0" borderId="5" xfId="2" applyNumberFormat="1" applyBorder="1"/>
    <xf numFmtId="175" fontId="31" fillId="0" borderId="11" xfId="2" applyNumberFormat="1" applyBorder="1" applyAlignment="1">
      <alignment horizontal="right"/>
    </xf>
    <xf numFmtId="175" fontId="7" fillId="0" borderId="11" xfId="2" applyNumberFormat="1" applyFont="1" applyBorder="1" applyAlignment="1">
      <alignment horizontal="center" wrapText="1"/>
    </xf>
    <xf numFmtId="175" fontId="7" fillId="0" borderId="6" xfId="2" applyNumberFormat="1" applyFont="1" applyBorder="1" applyAlignment="1">
      <alignment horizontal="center" wrapText="1"/>
    </xf>
    <xf numFmtId="175" fontId="7" fillId="0" borderId="11" xfId="2" applyNumberFormat="1" applyFont="1" applyBorder="1" applyAlignment="1">
      <alignment horizontal="center" vertical="top" wrapText="1"/>
    </xf>
    <xf numFmtId="175" fontId="31" fillId="0" borderId="11" xfId="2" applyNumberFormat="1" applyBorder="1" applyAlignment="1">
      <alignment horizontal="center" vertical="top" wrapText="1"/>
    </xf>
    <xf numFmtId="3" fontId="31" fillId="0" borderId="0" xfId="2" applyNumberFormat="1" applyAlignment="1">
      <alignment horizontal="left"/>
    </xf>
    <xf numFmtId="0" fontId="31" fillId="0" borderId="0" xfId="2" quotePrefix="1"/>
    <xf numFmtId="181" fontId="31" fillId="0" borderId="0" xfId="2" applyNumberFormat="1"/>
    <xf numFmtId="0" fontId="7" fillId="0" borderId="8" xfId="2" applyFont="1" applyBorder="1" applyAlignment="1">
      <alignment horizontal="right"/>
    </xf>
    <xf numFmtId="0" fontId="31" fillId="0" borderId="8" xfId="2" applyBorder="1" applyAlignment="1">
      <alignment horizontal="right"/>
    </xf>
    <xf numFmtId="0" fontId="7" fillId="0" borderId="0" xfId="2" applyFont="1" applyAlignment="1">
      <alignment horizontal="left" vertical="center" indent="1"/>
    </xf>
    <xf numFmtId="0" fontId="7" fillId="0" borderId="0" xfId="2" quotePrefix="1" applyFont="1"/>
    <xf numFmtId="3" fontId="7" fillId="0" borderId="0" xfId="2" applyNumberFormat="1" applyFont="1" applyAlignment="1">
      <alignment horizontal="left"/>
    </xf>
    <xf numFmtId="42" fontId="7" fillId="0" borderId="0" xfId="2" applyNumberFormat="1" applyFont="1"/>
    <xf numFmtId="181" fontId="7" fillId="0" borderId="0" xfId="2" applyNumberFormat="1" applyFont="1" applyAlignment="1">
      <alignment horizontal="right"/>
    </xf>
    <xf numFmtId="42" fontId="7" fillId="0" borderId="0" xfId="2" applyNumberFormat="1" applyFont="1" applyAlignment="1">
      <alignment horizontal="right"/>
    </xf>
    <xf numFmtId="181" fontId="7" fillId="0" borderId="5" xfId="2" applyNumberFormat="1" applyFont="1" applyBorder="1" applyAlignment="1">
      <alignment horizontal="right"/>
    </xf>
    <xf numFmtId="3" fontId="7" fillId="0" borderId="5" xfId="2" quotePrefix="1" applyNumberFormat="1" applyFont="1" applyBorder="1" applyAlignment="1">
      <alignment horizontal="right"/>
    </xf>
    <xf numFmtId="0" fontId="31" fillId="0" borderId="4" xfId="2" applyBorder="1"/>
    <xf numFmtId="3" fontId="7" fillId="0" borderId="0" xfId="2" quotePrefix="1" applyNumberFormat="1" applyFont="1"/>
    <xf numFmtId="175" fontId="7" fillId="0" borderId="0" xfId="2" applyNumberFormat="1" applyFont="1" applyAlignment="1">
      <alignment horizontal="right"/>
    </xf>
    <xf numFmtId="175" fontId="31" fillId="0" borderId="0" xfId="2" applyNumberFormat="1" applyAlignment="1">
      <alignment horizontal="right"/>
    </xf>
    <xf numFmtId="175" fontId="31" fillId="0" borderId="5" xfId="2" applyNumberFormat="1" applyBorder="1" applyAlignment="1">
      <alignment horizontal="right"/>
    </xf>
    <xf numFmtId="0" fontId="41" fillId="0" borderId="0" xfId="2" applyFont="1"/>
    <xf numFmtId="0" fontId="41" fillId="0" borderId="5" xfId="2" applyFont="1" applyBorder="1"/>
    <xf numFmtId="0" fontId="7" fillId="0" borderId="5" xfId="2" quotePrefix="1" applyFont="1" applyBorder="1"/>
    <xf numFmtId="0" fontId="31" fillId="0" borderId="5" xfId="2" quotePrefix="1" applyBorder="1" applyAlignment="1">
      <alignment horizontal="right"/>
    </xf>
    <xf numFmtId="0" fontId="42" fillId="0" borderId="0" xfId="2" applyFont="1" applyAlignment="1">
      <alignment horizontal="left"/>
    </xf>
    <xf numFmtId="15" fontId="31" fillId="0" borderId="0" xfId="2" applyNumberFormat="1" applyAlignment="1">
      <alignment horizontal="center"/>
    </xf>
    <xf numFmtId="16" fontId="7" fillId="0" borderId="0" xfId="2" quotePrefix="1" applyNumberFormat="1" applyFont="1" applyAlignment="1">
      <alignment horizontal="right"/>
    </xf>
    <xf numFmtId="0" fontId="1" fillId="0" borderId="5" xfId="12" applyFont="1" applyBorder="1"/>
    <xf numFmtId="0" fontId="1" fillId="0" borderId="0" xfId="12" applyFont="1"/>
    <xf numFmtId="0" fontId="1" fillId="0" borderId="5" xfId="13" applyFont="1" applyBorder="1" applyAlignment="1">
      <alignment horizontal="left" vertical="center"/>
    </xf>
    <xf numFmtId="0" fontId="1" fillId="0" borderId="0" xfId="13" applyFont="1" applyAlignment="1">
      <alignment horizontal="left" vertical="center"/>
    </xf>
    <xf numFmtId="0" fontId="7" fillId="0" borderId="0" xfId="14" applyFont="1" applyAlignment="1">
      <alignment horizontal="left" wrapText="1"/>
    </xf>
    <xf numFmtId="0" fontId="56" fillId="0" borderId="0" xfId="2" applyFont="1" applyAlignment="1">
      <alignment vertical="center"/>
    </xf>
    <xf numFmtId="0" fontId="1" fillId="0" borderId="5" xfId="2" applyFont="1" applyBorder="1" applyAlignment="1">
      <alignment horizontal="left" vertical="center"/>
    </xf>
    <xf numFmtId="0" fontId="1" fillId="0" borderId="0" xfId="2" applyFont="1" applyAlignment="1">
      <alignment horizontal="left" vertical="center"/>
    </xf>
    <xf numFmtId="0" fontId="7" fillId="0" borderId="9" xfId="2" applyFont="1" applyBorder="1" applyAlignment="1">
      <alignment horizontal="right" vertical="center"/>
    </xf>
    <xf numFmtId="0" fontId="7" fillId="0" borderId="8" xfId="2" applyFont="1" applyBorder="1" applyAlignment="1">
      <alignment vertical="center" wrapText="1"/>
    </xf>
    <xf numFmtId="0" fontId="1" fillId="0" borderId="12" xfId="12" applyFont="1" applyBorder="1"/>
    <xf numFmtId="0" fontId="1" fillId="0" borderId="6" xfId="12" applyFont="1" applyBorder="1" applyAlignment="1">
      <alignment horizontal="right"/>
    </xf>
    <xf numFmtId="0" fontId="7" fillId="0" borderId="12" xfId="14" applyFont="1" applyBorder="1"/>
    <xf numFmtId="0" fontId="7" fillId="0" borderId="2" xfId="14" applyFont="1" applyBorder="1"/>
    <xf numFmtId="0" fontId="7" fillId="0" borderId="6" xfId="14" applyFont="1" applyBorder="1"/>
    <xf numFmtId="0" fontId="57" fillId="0" borderId="0" xfId="14" applyFont="1" applyAlignment="1">
      <alignment horizontal="center"/>
    </xf>
    <xf numFmtId="0" fontId="7" fillId="0" borderId="2" xfId="14" applyFont="1" applyBorder="1" applyAlignment="1">
      <alignment horizontal="right"/>
    </xf>
    <xf numFmtId="0" fontId="7" fillId="0" borderId="6" xfId="14" applyFont="1" applyBorder="1" applyAlignment="1">
      <alignment horizontal="right"/>
    </xf>
    <xf numFmtId="182" fontId="41" fillId="0" borderId="0" xfId="14" applyNumberFormat="1" applyFont="1" applyAlignment="1">
      <alignment horizontal="right" wrapText="1"/>
    </xf>
    <xf numFmtId="183" fontId="7" fillId="0" borderId="0" xfId="2" applyNumberFormat="1" applyFont="1" applyAlignment="1">
      <alignment horizontal="right" vertical="center"/>
    </xf>
    <xf numFmtId="0" fontId="1" fillId="0" borderId="7" xfId="2" applyFont="1" applyBorder="1" applyAlignment="1">
      <alignment horizontal="left" vertical="center"/>
    </xf>
    <xf numFmtId="0" fontId="57" fillId="0" borderId="0" xfId="15" applyFont="1" applyAlignment="1">
      <alignment horizontal="center"/>
    </xf>
    <xf numFmtId="0" fontId="57" fillId="0" borderId="6" xfId="16" applyFont="1" applyBorder="1" applyAlignment="1">
      <alignment horizontal="centerContinuous"/>
    </xf>
    <xf numFmtId="0" fontId="57" fillId="0" borderId="5" xfId="16" applyFont="1" applyBorder="1" applyAlignment="1">
      <alignment horizontal="centerContinuous"/>
    </xf>
    <xf numFmtId="0" fontId="57" fillId="0" borderId="12" xfId="16" applyFont="1" applyBorder="1" applyAlignment="1">
      <alignment horizontal="center"/>
    </xf>
    <xf numFmtId="0" fontId="58" fillId="0" borderId="0" xfId="15" applyFont="1" applyAlignment="1">
      <alignment horizontal="centerContinuous"/>
    </xf>
    <xf numFmtId="0" fontId="19" fillId="0" borderId="0" xfId="14" applyFont="1"/>
    <xf numFmtId="0" fontId="19" fillId="0" borderId="7" xfId="15" applyFont="1" applyBorder="1"/>
    <xf numFmtId="0" fontId="58" fillId="0" borderId="0" xfId="15" applyFont="1"/>
    <xf numFmtId="164" fontId="57" fillId="0" borderId="0" xfId="14" applyNumberFormat="1" applyFont="1" applyAlignment="1">
      <alignment horizontal="center"/>
    </xf>
    <xf numFmtId="1" fontId="58" fillId="0" borderId="0" xfId="14" applyNumberFormat="1" applyFont="1" applyAlignment="1">
      <alignment horizontal="center"/>
    </xf>
    <xf numFmtId="0" fontId="57" fillId="0" borderId="0" xfId="17" applyFont="1" applyAlignment="1">
      <alignment horizontal="center"/>
    </xf>
    <xf numFmtId="0" fontId="58" fillId="0" borderId="0" xfId="17" applyFont="1" applyAlignment="1">
      <alignment horizontal="center"/>
    </xf>
    <xf numFmtId="1" fontId="57" fillId="0" borderId="0" xfId="17" applyNumberFormat="1" applyFont="1" applyAlignment="1">
      <alignment horizontal="center"/>
    </xf>
    <xf numFmtId="0" fontId="7" fillId="0" borderId="0" xfId="10" applyAlignment="1">
      <alignment horizontal="left" vertical="center" indent="1"/>
    </xf>
    <xf numFmtId="3" fontId="7" fillId="0" borderId="0" xfId="10" applyNumberFormat="1" applyAlignment="1">
      <alignment vertical="center"/>
    </xf>
    <xf numFmtId="0" fontId="2" fillId="0" borderId="0" xfId="2" applyFont="1" applyAlignment="1">
      <alignment vertical="center" wrapText="1"/>
    </xf>
    <xf numFmtId="3" fontId="1" fillId="0" borderId="0" xfId="2" applyNumberFormat="1" applyFont="1" applyAlignment="1">
      <alignment horizontal="right" vertical="center" wrapText="1"/>
    </xf>
    <xf numFmtId="38" fontId="7" fillId="0" borderId="0" xfId="10" applyNumberFormat="1" applyAlignment="1">
      <alignment horizontal="right" vertical="center"/>
    </xf>
    <xf numFmtId="3" fontId="1" fillId="0" borderId="0" xfId="12" applyNumberFormat="1" applyFont="1"/>
    <xf numFmtId="0" fontId="7" fillId="0" borderId="0" xfId="14" applyFont="1" applyAlignment="1">
      <alignment horizontal="left" vertical="center" wrapText="1" indent="2"/>
    </xf>
    <xf numFmtId="0" fontId="7" fillId="0" borderId="0" xfId="14" applyFont="1" applyAlignment="1">
      <alignment vertical="center" wrapText="1"/>
    </xf>
    <xf numFmtId="0" fontId="57" fillId="0" borderId="0" xfId="14" applyFont="1" applyAlignment="1">
      <alignment vertical="center" wrapText="1"/>
    </xf>
    <xf numFmtId="0" fontId="7" fillId="0" borderId="8" xfId="14" applyFont="1" applyBorder="1" applyAlignment="1">
      <alignment horizontal="left" wrapText="1"/>
    </xf>
    <xf numFmtId="0" fontId="7" fillId="0" borderId="4" xfId="14" applyFont="1" applyBorder="1" applyAlignment="1">
      <alignment horizontal="left" wrapText="1"/>
    </xf>
    <xf numFmtId="38" fontId="7" fillId="0" borderId="5" xfId="14" applyNumberFormat="1" applyFont="1" applyBorder="1" applyAlignment="1">
      <alignment horizontal="right" wrapText="1"/>
    </xf>
    <xf numFmtId="182" fontId="7" fillId="0" borderId="11" xfId="14" applyNumberFormat="1" applyFont="1" applyBorder="1" applyAlignment="1">
      <alignment horizontal="right" wrapText="1"/>
    </xf>
    <xf numFmtId="0" fontId="44" fillId="0" borderId="0" xfId="2" applyFont="1"/>
    <xf numFmtId="0" fontId="7" fillId="0" borderId="1" xfId="2" applyFont="1" applyBorder="1" applyAlignment="1">
      <alignment horizontal="right" vertical="center"/>
    </xf>
    <xf numFmtId="0" fontId="44" fillId="0" borderId="1" xfId="2" applyFont="1" applyBorder="1"/>
    <xf numFmtId="0" fontId="7" fillId="0" borderId="0" xfId="18" applyFont="1" applyAlignment="1">
      <alignment horizontal="right" vertical="center"/>
    </xf>
    <xf numFmtId="0" fontId="7" fillId="0" borderId="2" xfId="2" applyFont="1" applyBorder="1" applyAlignment="1">
      <alignment horizontal="center" vertical="center"/>
    </xf>
    <xf numFmtId="0" fontId="57" fillId="0" borderId="5" xfId="15" applyFont="1" applyBorder="1" applyAlignment="1">
      <alignment horizontal="left" vertical="center" wrapText="1"/>
    </xf>
    <xf numFmtId="0" fontId="57" fillId="0" borderId="11" xfId="16" applyFont="1" applyBorder="1" applyAlignment="1">
      <alignment horizontal="center" vertical="center"/>
    </xf>
    <xf numFmtId="0" fontId="57" fillId="0" borderId="5" xfId="16" applyFont="1" applyBorder="1" applyAlignment="1">
      <alignment horizontal="center" vertical="center" wrapText="1"/>
    </xf>
    <xf numFmtId="0" fontId="58" fillId="0" borderId="0" xfId="15" applyFont="1" applyAlignment="1">
      <alignment horizontal="center" vertical="center"/>
    </xf>
    <xf numFmtId="0" fontId="57" fillId="0" borderId="5" xfId="14" applyFont="1" applyBorder="1" applyAlignment="1">
      <alignment vertical="center" wrapText="1"/>
    </xf>
    <xf numFmtId="0" fontId="57" fillId="0" borderId="11" xfId="14" applyFont="1" applyBorder="1" applyAlignment="1">
      <alignment horizontal="center" vertical="center"/>
    </xf>
    <xf numFmtId="0" fontId="57" fillId="0" borderId="5" xfId="14" applyFont="1" applyBorder="1" applyAlignment="1">
      <alignment horizontal="center" vertical="center" wrapText="1"/>
    </xf>
    <xf numFmtId="0" fontId="58" fillId="0" borderId="0" xfId="14" applyFont="1" applyAlignment="1">
      <alignment horizontal="center" vertical="center"/>
    </xf>
    <xf numFmtId="0" fontId="58" fillId="0" borderId="0" xfId="14" applyFont="1" applyAlignment="1">
      <alignment horizontal="center" vertical="center" wrapText="1"/>
    </xf>
    <xf numFmtId="0" fontId="57" fillId="0" borderId="5" xfId="15" applyFont="1" applyBorder="1" applyAlignment="1">
      <alignment vertical="center" wrapText="1"/>
    </xf>
    <xf numFmtId="0" fontId="57" fillId="0" borderId="6" xfId="16" applyFont="1" applyBorder="1" applyAlignment="1">
      <alignment horizontal="center" vertical="center"/>
    </xf>
    <xf numFmtId="164" fontId="57" fillId="0" borderId="9" xfId="16" applyNumberFormat="1" applyFont="1" applyBorder="1" applyAlignment="1">
      <alignment horizontal="center" vertical="center" wrapText="1"/>
    </xf>
    <xf numFmtId="0" fontId="57" fillId="0" borderId="5" xfId="16" applyFont="1" applyBorder="1" applyAlignment="1">
      <alignment horizontal="center" vertical="center"/>
    </xf>
    <xf numFmtId="164" fontId="57" fillId="0" borderId="12" xfId="16" applyNumberFormat="1" applyFont="1" applyBorder="1" applyAlignment="1">
      <alignment horizontal="center" vertical="center" wrapText="1"/>
    </xf>
    <xf numFmtId="0" fontId="58" fillId="0" borderId="0" xfId="15" applyFont="1" applyAlignment="1">
      <alignment horizontal="center" vertical="center" wrapText="1"/>
    </xf>
    <xf numFmtId="164" fontId="57" fillId="0" borderId="6" xfId="14" applyNumberFormat="1" applyFont="1" applyBorder="1" applyAlignment="1">
      <alignment horizontal="center" vertical="center"/>
    </xf>
    <xf numFmtId="164" fontId="57" fillId="0" borderId="9" xfId="14" applyNumberFormat="1" applyFont="1" applyBorder="1" applyAlignment="1">
      <alignment horizontal="center" vertical="center"/>
    </xf>
    <xf numFmtId="164" fontId="57" fillId="0" borderId="9" xfId="14" applyNumberFormat="1" applyFont="1" applyBorder="1" applyAlignment="1">
      <alignment horizontal="center" vertical="center" wrapText="1"/>
    </xf>
    <xf numFmtId="164" fontId="57" fillId="0" borderId="12" xfId="14" applyNumberFormat="1" applyFont="1" applyBorder="1" applyAlignment="1">
      <alignment horizontal="center" vertical="center" wrapText="1"/>
    </xf>
    <xf numFmtId="164" fontId="58" fillId="0" borderId="0" xfId="14" applyNumberFormat="1" applyFont="1" applyAlignment="1">
      <alignment horizontal="center" vertical="center"/>
    </xf>
    <xf numFmtId="0" fontId="57" fillId="0" borderId="5" xfId="17" applyFont="1" applyBorder="1" applyAlignment="1">
      <alignment horizontal="left" vertical="center" wrapText="1"/>
    </xf>
    <xf numFmtId="1" fontId="57" fillId="0" borderId="11" xfId="17" applyNumberFormat="1" applyFont="1" applyBorder="1" applyAlignment="1">
      <alignment horizontal="center" vertical="center"/>
    </xf>
    <xf numFmtId="164" fontId="57" fillId="0" borderId="5" xfId="17" applyNumberFormat="1" applyFont="1" applyBorder="1" applyAlignment="1">
      <alignment horizontal="center" vertical="center" wrapText="1"/>
    </xf>
    <xf numFmtId="164" fontId="58" fillId="0" borderId="0" xfId="17" applyNumberFormat="1" applyFont="1" applyAlignment="1">
      <alignment horizontal="center" vertical="center"/>
    </xf>
    <xf numFmtId="164" fontId="58" fillId="0" borderId="0" xfId="17" applyNumberFormat="1" applyFont="1" applyAlignment="1">
      <alignment horizontal="center" vertical="center" wrapText="1"/>
    </xf>
    <xf numFmtId="0" fontId="58" fillId="0" borderId="0" xfId="17" applyFont="1" applyAlignment="1">
      <alignment horizontal="center" vertical="center" wrapText="1"/>
    </xf>
    <xf numFmtId="0" fontId="57" fillId="0" borderId="0" xfId="17" applyFont="1" applyAlignment="1">
      <alignment horizontal="left" wrapText="1"/>
    </xf>
    <xf numFmtId="164" fontId="57" fillId="0" borderId="0" xfId="17" applyNumberFormat="1" applyFont="1" applyAlignment="1">
      <alignment horizontal="center" vertical="center" wrapText="1"/>
    </xf>
    <xf numFmtId="0" fontId="57" fillId="0" borderId="0" xfId="15" applyFont="1" applyAlignment="1">
      <alignment horizontal="center" vertical="center"/>
    </xf>
    <xf numFmtId="164" fontId="57" fillId="0" borderId="0" xfId="15" applyNumberFormat="1" applyFont="1" applyAlignment="1">
      <alignment horizontal="center" vertical="center" wrapText="1"/>
    </xf>
    <xf numFmtId="0" fontId="7" fillId="0" borderId="0" xfId="10" applyAlignment="1">
      <alignment horizontal="left" vertical="center" indent="3"/>
    </xf>
    <xf numFmtId="164" fontId="7" fillId="0" borderId="0" xfId="10" applyNumberFormat="1" applyAlignment="1">
      <alignment vertical="center"/>
    </xf>
    <xf numFmtId="164" fontId="2" fillId="0" borderId="0" xfId="2" applyNumberFormat="1" applyFont="1" applyAlignment="1">
      <alignment vertical="center" wrapText="1"/>
    </xf>
    <xf numFmtId="164" fontId="1" fillId="0" borderId="0" xfId="2" applyNumberFormat="1" applyFont="1" applyAlignment="1">
      <alignment horizontal="right" vertical="center" wrapText="1"/>
    </xf>
    <xf numFmtId="184" fontId="7" fillId="0" borderId="0" xfId="10" applyNumberFormat="1" applyAlignment="1">
      <alignment horizontal="right" vertical="center"/>
    </xf>
    <xf numFmtId="0" fontId="7" fillId="0" borderId="0" xfId="14" applyFont="1" applyAlignment="1">
      <alignment horizontal="left"/>
    </xf>
    <xf numFmtId="0" fontId="7" fillId="0" borderId="0" xfId="14" applyFont="1" applyAlignment="1">
      <alignment horizontal="right"/>
    </xf>
    <xf numFmtId="1" fontId="61" fillId="0" borderId="0" xfId="14" applyNumberFormat="1" applyFont="1"/>
    <xf numFmtId="0" fontId="41" fillId="0" borderId="0" xfId="14" applyFont="1" applyAlignment="1">
      <alignment horizontal="left" vertical="top"/>
    </xf>
    <xf numFmtId="0" fontId="41" fillId="0" borderId="0" xfId="14" applyFont="1" applyAlignment="1">
      <alignment horizontal="right" vertical="top"/>
    </xf>
    <xf numFmtId="164" fontId="61" fillId="0" borderId="0" xfId="14" applyNumberFormat="1" applyFont="1"/>
    <xf numFmtId="38" fontId="7" fillId="0" borderId="0" xfId="19" applyNumberFormat="1" applyFont="1"/>
    <xf numFmtId="38" fontId="7" fillId="0" borderId="0" xfId="19" applyNumberFormat="1" applyFont="1" applyAlignment="1">
      <alignment horizontal="right"/>
    </xf>
    <xf numFmtId="0" fontId="7" fillId="0" borderId="0" xfId="18" applyFont="1" applyAlignment="1">
      <alignment horizontal="right"/>
    </xf>
    <xf numFmtId="0" fontId="57" fillId="0" borderId="0" xfId="15" applyFont="1"/>
    <xf numFmtId="164" fontId="57" fillId="0" borderId="0" xfId="16" applyNumberFormat="1" applyFont="1" applyAlignment="1">
      <alignment horizontal="center"/>
    </xf>
    <xf numFmtId="0" fontId="57" fillId="0" borderId="0" xfId="16" applyFont="1"/>
    <xf numFmtId="0" fontId="57" fillId="0" borderId="0" xfId="16" applyFont="1" applyAlignment="1">
      <alignment horizontal="center"/>
    </xf>
    <xf numFmtId="164" fontId="58" fillId="0" borderId="0" xfId="15" applyNumberFormat="1" applyFont="1" applyAlignment="1">
      <alignment horizontal="center"/>
    </xf>
    <xf numFmtId="0" fontId="57" fillId="0" borderId="0" xfId="14" applyFont="1"/>
    <xf numFmtId="0" fontId="29" fillId="0" borderId="0" xfId="20" applyAlignment="1">
      <alignment horizontal="center"/>
    </xf>
    <xf numFmtId="164" fontId="58" fillId="0" borderId="0" xfId="14" applyNumberFormat="1" applyFont="1" applyAlignment="1">
      <alignment horizontal="center"/>
    </xf>
    <xf numFmtId="164" fontId="57" fillId="0" borderId="5" xfId="14" applyNumberFormat="1" applyFont="1" applyBorder="1" applyAlignment="1">
      <alignment horizontal="left" vertical="center" wrapText="1"/>
    </xf>
    <xf numFmtId="164" fontId="57" fillId="0" borderId="11" xfId="14" applyNumberFormat="1" applyFont="1" applyBorder="1" applyAlignment="1">
      <alignment horizontal="center" vertical="center"/>
    </xf>
    <xf numFmtId="0" fontId="57" fillId="0" borderId="0" xfId="17" applyFont="1"/>
    <xf numFmtId="2" fontId="57" fillId="0" borderId="0" xfId="17" applyNumberFormat="1" applyFont="1" applyAlignment="1">
      <alignment horizontal="center"/>
    </xf>
    <xf numFmtId="164" fontId="58" fillId="0" borderId="0" xfId="17" applyNumberFormat="1" applyFont="1" applyAlignment="1">
      <alignment horizontal="center"/>
    </xf>
    <xf numFmtId="0" fontId="57" fillId="0" borderId="8" xfId="17" applyFont="1" applyBorder="1" applyAlignment="1">
      <alignment horizontal="left" vertical="center" wrapText="1"/>
    </xf>
    <xf numFmtId="0" fontId="57" fillId="0" borderId="11" xfId="17" applyFont="1" applyBorder="1" applyAlignment="1">
      <alignment horizontal="center" vertical="center"/>
    </xf>
    <xf numFmtId="0" fontId="57" fillId="0" borderId="5" xfId="17" applyFont="1" applyBorder="1" applyAlignment="1">
      <alignment horizontal="center" vertical="center" wrapText="1"/>
    </xf>
    <xf numFmtId="0" fontId="57" fillId="0" borderId="0" xfId="17" applyFont="1" applyAlignment="1">
      <alignment horizontal="center" vertical="center" wrapText="1"/>
    </xf>
    <xf numFmtId="164" fontId="57" fillId="0" borderId="0" xfId="21" applyNumberFormat="1" applyFont="1" applyAlignment="1">
      <alignment horizontal="center"/>
    </xf>
    <xf numFmtId="0" fontId="7" fillId="0" borderId="0" xfId="10" applyAlignment="1">
      <alignment vertical="center"/>
    </xf>
    <xf numFmtId="3" fontId="7" fillId="0" borderId="5" xfId="10" quotePrefix="1" applyNumberFormat="1" applyBorder="1" applyAlignment="1">
      <alignment horizontal="right" vertical="center"/>
    </xf>
    <xf numFmtId="167" fontId="7" fillId="0" borderId="5" xfId="10" quotePrefix="1" applyNumberFormat="1" applyBorder="1" applyAlignment="1">
      <alignment horizontal="right" vertical="center"/>
    </xf>
    <xf numFmtId="164" fontId="1" fillId="0" borderId="5" xfId="12" applyNumberFormat="1" applyFont="1" applyBorder="1"/>
    <xf numFmtId="164" fontId="1" fillId="0" borderId="0" xfId="12" applyNumberFormat="1" applyFont="1"/>
    <xf numFmtId="164" fontId="57" fillId="0" borderId="0" xfId="15" applyNumberFormat="1" applyFont="1" applyAlignment="1">
      <alignment horizontal="center"/>
    </xf>
    <xf numFmtId="164" fontId="57" fillId="0" borderId="0" xfId="14" applyNumberFormat="1" applyFont="1"/>
    <xf numFmtId="164" fontId="62" fillId="0" borderId="0" xfId="14" applyNumberFormat="1" applyFont="1" applyAlignment="1">
      <alignment horizontal="center"/>
    </xf>
    <xf numFmtId="164" fontId="57" fillId="0" borderId="0" xfId="17" applyNumberFormat="1" applyFont="1" applyAlignment="1">
      <alignment horizontal="center" vertical="center"/>
    </xf>
    <xf numFmtId="164" fontId="57" fillId="0" borderId="0" xfId="17" applyNumberFormat="1" applyFont="1" applyAlignment="1">
      <alignment horizontal="center"/>
    </xf>
    <xf numFmtId="0" fontId="7" fillId="0" borderId="0" xfId="21" applyFont="1" applyAlignment="1">
      <alignment horizontal="center"/>
    </xf>
    <xf numFmtId="0" fontId="7" fillId="0" borderId="0" xfId="22" applyFont="1"/>
    <xf numFmtId="0" fontId="57" fillId="0" borderId="0" xfId="15" applyFont="1" applyAlignment="1">
      <alignment horizontal="left" indent="2"/>
    </xf>
    <xf numFmtId="0" fontId="57" fillId="0" borderId="0" xfId="14" applyFont="1" applyAlignment="1">
      <alignment horizontal="left" indent="2"/>
    </xf>
    <xf numFmtId="3" fontId="14" fillId="0" borderId="0" xfId="10" quotePrefix="1" applyNumberFormat="1" applyFont="1" applyAlignment="1">
      <alignment horizontal="right" vertical="center"/>
    </xf>
    <xf numFmtId="0" fontId="57" fillId="0" borderId="0" xfId="17" applyFont="1" applyAlignment="1">
      <alignment horizontal="left" indent="2"/>
    </xf>
    <xf numFmtId="0" fontId="29" fillId="0" borderId="0" xfId="21"/>
    <xf numFmtId="164" fontId="57" fillId="0" borderId="0" xfId="21" applyNumberFormat="1" applyFont="1"/>
    <xf numFmtId="0" fontId="1" fillId="0" borderId="0" xfId="2" applyFont="1" applyAlignment="1">
      <alignment horizontal="right" vertical="center" wrapText="1"/>
    </xf>
    <xf numFmtId="0" fontId="0" fillId="0" borderId="0" xfId="22" applyFont="1"/>
    <xf numFmtId="164" fontId="57" fillId="0" borderId="0" xfId="14" applyNumberFormat="1" applyFont="1" applyAlignment="1">
      <alignment horizontal="left" indent="2"/>
    </xf>
    <xf numFmtId="164" fontId="57" fillId="0" borderId="0" xfId="17" applyNumberFormat="1" applyFont="1" applyAlignment="1">
      <alignment horizontal="left" indent="2"/>
    </xf>
    <xf numFmtId="0" fontId="7" fillId="0" borderId="0" xfId="21" applyFont="1"/>
    <xf numFmtId="164" fontId="65" fillId="0" borderId="0" xfId="21" applyNumberFormat="1" applyFont="1" applyAlignment="1">
      <alignment horizontal="center"/>
    </xf>
    <xf numFmtId="0" fontId="7" fillId="0" borderId="0" xfId="10" applyAlignment="1">
      <alignment horizontal="left" vertical="center" indent="5"/>
    </xf>
    <xf numFmtId="0" fontId="2" fillId="0" borderId="0" xfId="2" applyFont="1" applyAlignment="1">
      <alignment horizontal="right" vertical="center" wrapText="1"/>
    </xf>
    <xf numFmtId="49" fontId="57" fillId="0" borderId="0" xfId="16" applyNumberFormat="1" applyFont="1" applyAlignment="1">
      <alignment horizontal="center"/>
    </xf>
    <xf numFmtId="0" fontId="7" fillId="0" borderId="0" xfId="10" applyAlignment="1">
      <alignment horizontal="left" vertical="center" indent="7"/>
    </xf>
    <xf numFmtId="167" fontId="7" fillId="0" borderId="0" xfId="10" quotePrefix="1" applyNumberFormat="1" applyAlignment="1">
      <alignment horizontal="right" vertical="center"/>
    </xf>
    <xf numFmtId="164" fontId="2" fillId="0" borderId="0" xfId="2" applyNumberFormat="1" applyFont="1" applyAlignment="1">
      <alignment horizontal="right" vertical="center" wrapText="1"/>
    </xf>
    <xf numFmtId="0" fontId="7" fillId="0" borderId="5" xfId="14" applyFont="1" applyBorder="1" applyAlignment="1">
      <alignment horizontal="left"/>
    </xf>
    <xf numFmtId="0" fontId="7" fillId="0" borderId="5" xfId="14" applyFont="1" applyBorder="1" applyAlignment="1">
      <alignment horizontal="right"/>
    </xf>
    <xf numFmtId="1" fontId="57" fillId="0" borderId="0" xfId="14" applyNumberFormat="1" applyFont="1"/>
    <xf numFmtId="0" fontId="41" fillId="0" borderId="5" xfId="14" applyFont="1" applyBorder="1" applyAlignment="1">
      <alignment horizontal="left" vertical="top"/>
    </xf>
    <xf numFmtId="0" fontId="41" fillId="0" borderId="5" xfId="14" applyFont="1" applyBorder="1" applyAlignment="1">
      <alignment horizontal="right" vertical="top"/>
    </xf>
    <xf numFmtId="0" fontId="57" fillId="0" borderId="0" xfId="15" applyFont="1" applyAlignment="1">
      <alignment horizontal="left"/>
    </xf>
    <xf numFmtId="0" fontId="57" fillId="0" borderId="0" xfId="16" applyFont="1" applyAlignment="1">
      <alignment horizontal="left"/>
    </xf>
    <xf numFmtId="0" fontId="57" fillId="0" borderId="0" xfId="14" applyFont="1" applyAlignment="1">
      <alignment horizontal="left"/>
    </xf>
    <xf numFmtId="0" fontId="57" fillId="0" borderId="0" xfId="17" applyFont="1" applyAlignment="1">
      <alignment horizontal="left"/>
    </xf>
    <xf numFmtId="0" fontId="1" fillId="0" borderId="0" xfId="23" applyFont="1"/>
    <xf numFmtId="0" fontId="7" fillId="0" borderId="0" xfId="14" applyFont="1" applyAlignment="1">
      <alignment horizontal="center" vertical="center"/>
    </xf>
    <xf numFmtId="164" fontId="7" fillId="0" borderId="0" xfId="14" applyNumberFormat="1" applyFont="1" applyAlignment="1">
      <alignment horizontal="center"/>
    </xf>
    <xf numFmtId="164" fontId="41" fillId="0" borderId="0" xfId="14" applyNumberFormat="1" applyFont="1" applyAlignment="1">
      <alignment horizontal="center" vertical="top"/>
    </xf>
    <xf numFmtId="164" fontId="66" fillId="0" borderId="0" xfId="14" applyNumberFormat="1" applyFont="1" applyAlignment="1">
      <alignment horizontal="center" vertical="top"/>
    </xf>
    <xf numFmtId="164" fontId="57" fillId="0" borderId="0" xfId="14" applyNumberFormat="1" applyFont="1" applyAlignment="1">
      <alignment horizontal="left"/>
    </xf>
    <xf numFmtId="164" fontId="57" fillId="0" borderId="0" xfId="17" applyNumberFormat="1" applyFont="1" applyAlignment="1">
      <alignment horizontal="left"/>
    </xf>
    <xf numFmtId="0" fontId="47" fillId="0" borderId="0" xfId="12" applyFont="1"/>
    <xf numFmtId="3" fontId="47" fillId="0" borderId="0" xfId="12" applyNumberFormat="1" applyFont="1"/>
    <xf numFmtId="164" fontId="47" fillId="0" borderId="0" xfId="12" applyNumberFormat="1" applyFont="1"/>
    <xf numFmtId="0" fontId="29" fillId="0" borderId="0" xfId="12"/>
    <xf numFmtId="3" fontId="7" fillId="0" borderId="0" xfId="7" applyNumberFormat="1" applyFont="1" applyFill="1"/>
    <xf numFmtId="3" fontId="7" fillId="0" borderId="0" xfId="7" applyNumberFormat="1" applyFont="1" applyFill="1" applyBorder="1"/>
    <xf numFmtId="2" fontId="1" fillId="0" borderId="0" xfId="12" applyNumberFormat="1" applyFont="1"/>
    <xf numFmtId="0" fontId="7" fillId="0" borderId="0" xfId="14" applyFont="1" applyAlignment="1">
      <alignment wrapText="1"/>
    </xf>
    <xf numFmtId="0" fontId="7" fillId="0" borderId="0" xfId="13" applyAlignment="1">
      <alignment vertical="center"/>
    </xf>
    <xf numFmtId="0" fontId="29" fillId="0" borderId="0" xfId="24"/>
    <xf numFmtId="3" fontId="2" fillId="0" borderId="0" xfId="2" applyNumberFormat="1" applyFont="1" applyAlignment="1">
      <alignment horizontal="right" vertical="center" wrapText="1"/>
    </xf>
    <xf numFmtId="0" fontId="41" fillId="0" borderId="0" xfId="14" applyFont="1"/>
    <xf numFmtId="0" fontId="7" fillId="0" borderId="0" xfId="14" applyFont="1"/>
    <xf numFmtId="0" fontId="41" fillId="0" borderId="1" xfId="14" applyFont="1" applyBorder="1"/>
    <xf numFmtId="0" fontId="7" fillId="0" borderId="1" xfId="14" applyFont="1" applyBorder="1" applyAlignment="1">
      <alignment wrapText="1"/>
    </xf>
    <xf numFmtId="182" fontId="7" fillId="0" borderId="1" xfId="14" applyNumberFormat="1" applyFont="1" applyBorder="1" applyAlignment="1">
      <alignment horizontal="right"/>
    </xf>
    <xf numFmtId="164" fontId="65" fillId="0" borderId="0" xfId="21" applyNumberFormat="1" applyFont="1" applyAlignment="1">
      <alignment horizontal="center" vertical="center"/>
    </xf>
    <xf numFmtId="0" fontId="47" fillId="0" borderId="0" xfId="13" applyFont="1" applyAlignment="1">
      <alignment vertical="center"/>
    </xf>
    <xf numFmtId="164" fontId="1" fillId="0" borderId="5" xfId="2" applyNumberFormat="1" applyFont="1" applyBorder="1" applyAlignment="1">
      <alignment horizontal="right" vertical="center" wrapText="1"/>
    </xf>
    <xf numFmtId="0" fontId="7" fillId="0" borderId="1" xfId="10" applyBorder="1" applyAlignment="1">
      <alignment horizontal="left" vertical="center" indent="1"/>
    </xf>
    <xf numFmtId="3" fontId="7" fillId="0" borderId="1" xfId="10" quotePrefix="1" applyNumberFormat="1" applyBorder="1" applyAlignment="1">
      <alignment horizontal="right" vertical="center"/>
    </xf>
    <xf numFmtId="3" fontId="7" fillId="0" borderId="1" xfId="10" applyNumberFormat="1" applyBorder="1"/>
    <xf numFmtId="164" fontId="7" fillId="0" borderId="0" xfId="10" applyNumberFormat="1"/>
    <xf numFmtId="2" fontId="7" fillId="0" borderId="0" xfId="10" applyNumberFormat="1" applyAlignment="1">
      <alignment horizontal="right" vertical="center"/>
    </xf>
    <xf numFmtId="0" fontId="47" fillId="0" borderId="0" xfId="14" applyFont="1"/>
    <xf numFmtId="0" fontId="7" fillId="0" borderId="0" xfId="2" applyFont="1" applyAlignment="1">
      <alignment horizontal="right" vertical="center" wrapText="1"/>
    </xf>
    <xf numFmtId="3" fontId="47" fillId="0" borderId="0" xfId="2" applyNumberFormat="1" applyFont="1" applyAlignment="1">
      <alignment horizontal="right" vertical="center"/>
    </xf>
    <xf numFmtId="0" fontId="7" fillId="0" borderId="5" xfId="2" applyFont="1" applyBorder="1" applyAlignment="1">
      <alignment horizontal="left" vertical="center" indent="1"/>
    </xf>
    <xf numFmtId="0" fontId="7" fillId="0" borderId="5" xfId="10" applyBorder="1" applyAlignment="1">
      <alignment horizontal="left" vertical="center" indent="5"/>
    </xf>
    <xf numFmtId="164" fontId="7" fillId="0" borderId="5" xfId="10" applyNumberFormat="1" applyBorder="1"/>
    <xf numFmtId="0" fontId="7" fillId="0" borderId="0" xfId="10"/>
    <xf numFmtId="0" fontId="7" fillId="0" borderId="1" xfId="10" applyBorder="1"/>
    <xf numFmtId="0" fontId="7" fillId="0" borderId="0" xfId="10" applyAlignment="1">
      <alignment horizontal="left" indent="2"/>
    </xf>
    <xf numFmtId="2" fontId="7" fillId="0" borderId="0" xfId="2" applyNumberFormat="1" applyFont="1" applyAlignment="1">
      <alignment vertical="center"/>
    </xf>
    <xf numFmtId="0" fontId="7" fillId="0" borderId="0" xfId="22" applyFont="1" applyAlignment="1">
      <alignment horizontal="left"/>
    </xf>
    <xf numFmtId="0" fontId="14" fillId="0" borderId="0" xfId="10" quotePrefix="1" applyFont="1" applyAlignment="1">
      <alignment horizontal="center" vertical="center"/>
    </xf>
    <xf numFmtId="3" fontId="14" fillId="0" borderId="0" xfId="10" quotePrefix="1" applyNumberFormat="1" applyFont="1" applyAlignment="1">
      <alignment horizontal="center" vertical="center"/>
    </xf>
    <xf numFmtId="164" fontId="57" fillId="0" borderId="0" xfId="21" applyNumberFormat="1" applyFont="1" applyAlignment="1">
      <alignment horizontal="center" vertical="center"/>
    </xf>
    <xf numFmtId="1" fontId="7" fillId="0" borderId="0" xfId="2" applyNumberFormat="1" applyFont="1" applyAlignment="1">
      <alignment vertical="center"/>
    </xf>
    <xf numFmtId="0" fontId="55" fillId="0" borderId="0" xfId="15"/>
    <xf numFmtId="0" fontId="29" fillId="0" borderId="5" xfId="20" applyBorder="1" applyAlignment="1">
      <alignment horizontal="center"/>
    </xf>
    <xf numFmtId="0" fontId="55" fillId="0" borderId="0" xfId="14"/>
    <xf numFmtId="164" fontId="57" fillId="0" borderId="5" xfId="16" applyNumberFormat="1" applyFont="1" applyBorder="1" applyAlignment="1">
      <alignment horizontal="center"/>
    </xf>
    <xf numFmtId="0" fontId="57" fillId="0" borderId="5" xfId="16" applyFont="1" applyBorder="1" applyAlignment="1">
      <alignment horizontal="center"/>
    </xf>
    <xf numFmtId="0" fontId="57" fillId="0" borderId="5" xfId="17" applyFont="1" applyBorder="1" applyAlignment="1">
      <alignment horizontal="center"/>
    </xf>
    <xf numFmtId="0" fontId="57" fillId="0" borderId="5" xfId="15" applyFont="1" applyBorder="1" applyAlignment="1">
      <alignment horizontal="left" indent="2"/>
    </xf>
    <xf numFmtId="3" fontId="29" fillId="0" borderId="0" xfId="24" applyNumberFormat="1"/>
    <xf numFmtId="0" fontId="29" fillId="0" borderId="1" xfId="12" applyBorder="1"/>
    <xf numFmtId="164" fontId="66" fillId="0" borderId="0" xfId="15" applyNumberFormat="1" applyFont="1" applyAlignment="1">
      <alignment horizontal="center" vertical="top"/>
    </xf>
    <xf numFmtId="0" fontId="67" fillId="0" borderId="1" xfId="2" applyFont="1" applyBorder="1" applyAlignment="1">
      <alignment vertical="center"/>
    </xf>
    <xf numFmtId="164" fontId="57" fillId="0" borderId="1" xfId="17" applyNumberFormat="1" applyFont="1" applyBorder="1" applyAlignment="1">
      <alignment horizontal="center" vertical="center"/>
    </xf>
    <xf numFmtId="0" fontId="57" fillId="0" borderId="0" xfId="17" applyFont="1" applyAlignment="1">
      <alignment horizontal="center" vertical="center"/>
    </xf>
    <xf numFmtId="0" fontId="57" fillId="0" borderId="5" xfId="17" applyFont="1" applyBorder="1" applyAlignment="1">
      <alignment horizontal="left" indent="2"/>
    </xf>
    <xf numFmtId="164" fontId="57" fillId="0" borderId="5" xfId="17" applyNumberFormat="1" applyFont="1" applyBorder="1" applyAlignment="1">
      <alignment horizontal="center"/>
    </xf>
    <xf numFmtId="164" fontId="57" fillId="0" borderId="5" xfId="17" applyNumberFormat="1" applyFont="1" applyBorder="1" applyAlignment="1">
      <alignment horizontal="left" indent="2"/>
    </xf>
    <xf numFmtId="0" fontId="57" fillId="0" borderId="5" xfId="17" applyFont="1" applyBorder="1"/>
    <xf numFmtId="40" fontId="7" fillId="0" borderId="0" xfId="10" applyNumberFormat="1" applyAlignment="1">
      <alignment horizontal="right" vertical="center"/>
    </xf>
    <xf numFmtId="0" fontId="14" fillId="0" borderId="0" xfId="2" applyFont="1"/>
    <xf numFmtId="0" fontId="14" fillId="0" borderId="0" xfId="2" applyFont="1" applyAlignment="1">
      <alignment vertical="center"/>
    </xf>
    <xf numFmtId="0" fontId="67" fillId="0" borderId="0" xfId="2" applyFont="1" applyAlignment="1">
      <alignment vertical="center"/>
    </xf>
    <xf numFmtId="0" fontId="7" fillId="0" borderId="0" xfId="10" applyAlignment="1">
      <alignment horizontal="left" indent="1"/>
    </xf>
    <xf numFmtId="0" fontId="67" fillId="0" borderId="0" xfId="15" applyFont="1" applyAlignment="1">
      <alignment horizontal="left" wrapText="1"/>
    </xf>
    <xf numFmtId="0" fontId="55" fillId="0" borderId="0" xfId="15" applyAlignment="1">
      <alignment wrapText="1"/>
    </xf>
    <xf numFmtId="0" fontId="66" fillId="0" borderId="0" xfId="17" applyFont="1" applyAlignment="1">
      <alignment horizontal="left" vertical="top" indent="2"/>
    </xf>
    <xf numFmtId="0" fontId="58" fillId="0" borderId="0" xfId="15" applyFont="1" applyAlignment="1">
      <alignment horizontal="center"/>
    </xf>
    <xf numFmtId="0" fontId="58" fillId="0" borderId="0" xfId="16" applyFont="1" applyAlignment="1">
      <alignment horizontal="center"/>
    </xf>
    <xf numFmtId="0" fontId="58" fillId="0" borderId="0" xfId="16" applyFont="1" applyAlignment="1">
      <alignment horizontal="centerContinuous"/>
    </xf>
    <xf numFmtId="0" fontId="58" fillId="0" borderId="0" xfId="15" applyFont="1" applyAlignment="1">
      <alignment horizontal="left" vertical="center" wrapText="1"/>
    </xf>
    <xf numFmtId="0" fontId="58" fillId="0" borderId="0" xfId="16" applyFont="1" applyAlignment="1">
      <alignment horizontal="center" vertical="center"/>
    </xf>
    <xf numFmtId="0" fontId="58" fillId="0" borderId="0" xfId="16" applyFont="1" applyAlignment="1">
      <alignment horizontal="center" vertical="center" wrapText="1"/>
    </xf>
    <xf numFmtId="0" fontId="68" fillId="0" borderId="0" xfId="15" applyFont="1"/>
    <xf numFmtId="164" fontId="58" fillId="0" borderId="0" xfId="16" applyNumberFormat="1" applyFont="1" applyAlignment="1">
      <alignment horizontal="center"/>
    </xf>
    <xf numFmtId="0" fontId="58" fillId="0" borderId="0" xfId="14" applyFont="1"/>
    <xf numFmtId="164" fontId="57" fillId="0" borderId="0" xfId="14" applyNumberFormat="1" applyFont="1" applyAlignment="1">
      <alignment horizontal="center" vertical="center"/>
    </xf>
    <xf numFmtId="0" fontId="57" fillId="0" borderId="6" xfId="16" applyFont="1" applyBorder="1"/>
    <xf numFmtId="0" fontId="57" fillId="0" borderId="12" xfId="16" applyFont="1" applyBorder="1"/>
    <xf numFmtId="164" fontId="57" fillId="0" borderId="0" xfId="16" applyNumberFormat="1" applyFont="1"/>
    <xf numFmtId="0" fontId="58" fillId="0" borderId="0" xfId="14" applyFont="1" applyAlignment="1">
      <alignment vertical="center" wrapText="1"/>
    </xf>
    <xf numFmtId="0" fontId="19" fillId="0" borderId="0" xfId="15" applyFont="1"/>
    <xf numFmtId="164" fontId="57" fillId="0" borderId="5" xfId="14" applyNumberFormat="1" applyFont="1" applyBorder="1" applyAlignment="1">
      <alignment horizontal="center" vertical="center"/>
    </xf>
    <xf numFmtId="0" fontId="29" fillId="0" borderId="0" xfId="25" applyAlignment="1">
      <alignment horizontal="center"/>
    </xf>
    <xf numFmtId="164" fontId="57" fillId="0" borderId="5" xfId="16" applyNumberFormat="1" applyFont="1" applyBorder="1" applyAlignment="1">
      <alignment horizontal="center" vertical="center" wrapText="1"/>
    </xf>
    <xf numFmtId="0" fontId="30" fillId="0" borderId="0" xfId="20" applyFont="1" applyAlignment="1">
      <alignment horizontal="center"/>
    </xf>
    <xf numFmtId="0" fontId="58" fillId="0" borderId="0" xfId="15" applyFont="1" applyAlignment="1">
      <alignment vertical="center" wrapText="1"/>
    </xf>
    <xf numFmtId="164" fontId="58" fillId="0" borderId="0" xfId="16" applyNumberFormat="1" applyFont="1" applyAlignment="1">
      <alignment horizontal="center" vertical="center" wrapText="1"/>
    </xf>
    <xf numFmtId="164" fontId="58" fillId="0" borderId="0" xfId="15" applyNumberFormat="1" applyFont="1" applyAlignment="1">
      <alignment horizontal="center" vertical="center" wrapText="1"/>
    </xf>
    <xf numFmtId="164" fontId="57" fillId="0" borderId="5" xfId="14" applyNumberFormat="1" applyFont="1" applyBorder="1" applyAlignment="1">
      <alignment horizontal="center" vertical="center" wrapText="1"/>
    </xf>
    <xf numFmtId="0" fontId="29" fillId="0" borderId="0" xfId="21" applyAlignment="1">
      <alignment horizontal="center"/>
    </xf>
    <xf numFmtId="0" fontId="30" fillId="0" borderId="0" xfId="21" applyFont="1" applyAlignment="1">
      <alignment horizontal="center"/>
    </xf>
    <xf numFmtId="164" fontId="69" fillId="0" borderId="0" xfId="14" applyNumberFormat="1" applyFont="1" applyAlignment="1">
      <alignment horizontal="center"/>
    </xf>
    <xf numFmtId="164" fontId="29" fillId="0" borderId="0" xfId="2" applyNumberFormat="1" applyFont="1" applyAlignment="1">
      <alignment horizontal="center"/>
    </xf>
    <xf numFmtId="0" fontId="7" fillId="0" borderId="0" xfId="25" applyFont="1" applyAlignment="1">
      <alignment horizontal="center"/>
    </xf>
    <xf numFmtId="38" fontId="7" fillId="0" borderId="0" xfId="10" applyNumberFormat="1"/>
    <xf numFmtId="0" fontId="58" fillId="0" borderId="0" xfId="16" applyFont="1"/>
    <xf numFmtId="184" fontId="7" fillId="0" borderId="0" xfId="10" applyNumberFormat="1"/>
    <xf numFmtId="164" fontId="29" fillId="0" borderId="0" xfId="25" applyNumberFormat="1" applyAlignment="1">
      <alignment horizontal="center"/>
    </xf>
    <xf numFmtId="164" fontId="29" fillId="0" borderId="0" xfId="21" applyNumberFormat="1" applyAlignment="1">
      <alignment horizontal="center"/>
    </xf>
    <xf numFmtId="0" fontId="58" fillId="0" borderId="0" xfId="15" applyFont="1" applyAlignment="1">
      <alignment horizontal="left"/>
    </xf>
    <xf numFmtId="38" fontId="7" fillId="0" borderId="0" xfId="10" applyNumberFormat="1" applyAlignment="1">
      <alignment horizontal="right"/>
    </xf>
    <xf numFmtId="49" fontId="7" fillId="0" borderId="0" xfId="21" applyNumberFormat="1" applyFont="1" applyAlignment="1">
      <alignment horizontal="center"/>
    </xf>
    <xf numFmtId="0" fontId="58" fillId="0" borderId="0" xfId="14" applyFont="1" applyAlignment="1">
      <alignment horizontal="left"/>
    </xf>
    <xf numFmtId="0" fontId="58" fillId="0" borderId="0" xfId="16" applyFont="1" applyAlignment="1">
      <alignment horizontal="left"/>
    </xf>
    <xf numFmtId="38" fontId="7" fillId="0" borderId="0" xfId="22" applyNumberFormat="1" applyFont="1" applyAlignment="1">
      <alignment horizontal="right"/>
    </xf>
    <xf numFmtId="164" fontId="57" fillId="0" borderId="0" xfId="15" applyNumberFormat="1" applyFont="1"/>
    <xf numFmtId="0" fontId="44" fillId="0" borderId="5" xfId="2" applyFont="1" applyBorder="1"/>
    <xf numFmtId="0" fontId="7" fillId="0" borderId="5" xfId="18" applyFont="1" applyBorder="1" applyAlignment="1">
      <alignment horizontal="right"/>
    </xf>
    <xf numFmtId="0" fontId="60" fillId="0" borderId="0" xfId="18" applyAlignment="1">
      <alignment horizontal="center"/>
    </xf>
    <xf numFmtId="0" fontId="7" fillId="0" borderId="5" xfId="22" applyFont="1" applyBorder="1"/>
    <xf numFmtId="38" fontId="7" fillId="0" borderId="5" xfId="19" applyNumberFormat="1" applyFont="1" applyBorder="1"/>
    <xf numFmtId="38" fontId="7" fillId="0" borderId="5" xfId="19" applyNumberFormat="1" applyFont="1" applyBorder="1" applyAlignment="1">
      <alignment horizontal="right"/>
    </xf>
    <xf numFmtId="0" fontId="66" fillId="0" borderId="0" xfId="15" applyFont="1" applyAlignment="1">
      <alignment horizontal="left" vertical="top" indent="2"/>
    </xf>
    <xf numFmtId="0" fontId="14" fillId="0" borderId="0" xfId="16" applyFont="1" applyAlignment="1">
      <alignment horizontal="center" vertical="center"/>
    </xf>
    <xf numFmtId="164" fontId="14" fillId="0" borderId="0" xfId="16" applyNumberFormat="1" applyFont="1" applyAlignment="1">
      <alignment horizontal="center" vertical="center"/>
    </xf>
    <xf numFmtId="49" fontId="7" fillId="0" borderId="5" xfId="21" applyNumberFormat="1" applyFont="1" applyBorder="1" applyAlignment="1">
      <alignment horizontal="center"/>
    </xf>
    <xf numFmtId="0" fontId="7" fillId="0" borderId="5" xfId="21" applyFont="1" applyBorder="1" applyAlignment="1">
      <alignment horizontal="center"/>
    </xf>
    <xf numFmtId="0" fontId="44" fillId="0" borderId="0" xfId="2" applyFont="1" applyAlignment="1">
      <alignment vertical="center"/>
    </xf>
    <xf numFmtId="0" fontId="9" fillId="0" borderId="0" xfId="2" applyFont="1"/>
    <xf numFmtId="0" fontId="70" fillId="0" borderId="0" xfId="2" applyFont="1"/>
    <xf numFmtId="164" fontId="57" fillId="0" borderId="0" xfId="15" applyNumberFormat="1" applyFont="1" applyAlignment="1">
      <alignment horizontal="center" vertical="center"/>
    </xf>
    <xf numFmtId="0" fontId="29" fillId="0" borderId="5" xfId="21" applyBorder="1" applyAlignment="1">
      <alignment horizontal="center"/>
    </xf>
    <xf numFmtId="182" fontId="7" fillId="0" borderId="0" xfId="10" applyNumberFormat="1"/>
    <xf numFmtId="40" fontId="7" fillId="0" borderId="0" xfId="10" applyNumberFormat="1"/>
    <xf numFmtId="0" fontId="67" fillId="0" borderId="0" xfId="15" applyFont="1" applyAlignment="1">
      <alignment wrapText="1"/>
    </xf>
    <xf numFmtId="1" fontId="7" fillId="0" borderId="0" xfId="22" applyNumberFormat="1" applyFont="1" applyAlignment="1">
      <alignment horizontal="right" vertical="center"/>
    </xf>
    <xf numFmtId="182" fontId="7" fillId="0" borderId="0" xfId="14" applyNumberFormat="1" applyFont="1" applyAlignment="1">
      <alignment horizontal="right"/>
    </xf>
    <xf numFmtId="182" fontId="41" fillId="0" borderId="14" xfId="14" applyNumberFormat="1" applyFont="1" applyBorder="1" applyAlignment="1">
      <alignment horizontal="right" wrapText="1"/>
    </xf>
    <xf numFmtId="182" fontId="7" fillId="0" borderId="4" xfId="14" applyNumberFormat="1" applyFont="1" applyBorder="1" applyAlignment="1">
      <alignment horizontal="right" wrapText="1"/>
    </xf>
    <xf numFmtId="182" fontId="41" fillId="0" borderId="11" xfId="14" applyNumberFormat="1" applyFont="1" applyBorder="1" applyAlignment="1">
      <alignment horizontal="right" wrapText="1"/>
    </xf>
    <xf numFmtId="164" fontId="7" fillId="0" borderId="1" xfId="2" applyNumberFormat="1" applyFont="1" applyBorder="1" applyAlignment="1">
      <alignment vertical="center"/>
    </xf>
    <xf numFmtId="38" fontId="7" fillId="0" borderId="0" xfId="22" applyNumberFormat="1" applyFont="1"/>
    <xf numFmtId="0" fontId="1" fillId="0" borderId="0" xfId="2" applyFont="1" applyAlignment="1">
      <alignment horizontal="right"/>
    </xf>
    <xf numFmtId="0" fontId="1" fillId="0" borderId="0" xfId="2" quotePrefix="1" applyFont="1" applyAlignment="1">
      <alignment horizontal="right"/>
    </xf>
    <xf numFmtId="0" fontId="7" fillId="0" borderId="5" xfId="22" applyFont="1" applyBorder="1" applyAlignment="1">
      <alignment horizontal="left"/>
    </xf>
    <xf numFmtId="0" fontId="1" fillId="0" borderId="5" xfId="2" quotePrefix="1" applyFont="1" applyBorder="1" applyAlignment="1">
      <alignment horizontal="right"/>
    </xf>
    <xf numFmtId="3" fontId="14" fillId="0" borderId="0" xfId="2" applyNumberFormat="1" applyFont="1"/>
    <xf numFmtId="0" fontId="7" fillId="0" borderId="0" xfId="3" applyAlignment="1">
      <alignment horizontal="right"/>
    </xf>
    <xf numFmtId="0" fontId="7" fillId="0" borderId="0" xfId="2" applyFont="1" applyAlignment="1">
      <alignment horizontal="left" vertical="justify" indent="1"/>
    </xf>
    <xf numFmtId="0" fontId="7" fillId="0" borderId="0" xfId="2" applyFont="1" applyAlignment="1">
      <alignment horizontal="left" vertical="justify" indent="3"/>
    </xf>
    <xf numFmtId="166" fontId="0" fillId="0" borderId="0" xfId="7" applyNumberFormat="1" applyFont="1" applyFill="1" applyBorder="1" applyAlignment="1">
      <alignment horizontal="right"/>
    </xf>
    <xf numFmtId="0" fontId="7" fillId="0" borderId="5" xfId="2" applyFont="1" applyBorder="1" applyAlignment="1">
      <alignment horizontal="left" vertical="justify" indent="3"/>
    </xf>
    <xf numFmtId="0" fontId="7" fillId="0" borderId="0" xfId="2" applyFont="1" applyAlignment="1">
      <alignment horizontal="left" vertical="justify"/>
    </xf>
    <xf numFmtId="0" fontId="31" fillId="0" borderId="0" xfId="2" applyAlignment="1">
      <alignment horizontal="left" vertical="justify" indent="2"/>
    </xf>
    <xf numFmtId="0" fontId="47" fillId="0" borderId="0" xfId="2" applyFont="1" applyAlignment="1">
      <alignment horizontal="left" vertical="justify" indent="2"/>
    </xf>
    <xf numFmtId="0" fontId="31" fillId="0" borderId="0" xfId="2" applyAlignment="1">
      <alignment horizontal="left" vertical="justify" indent="3"/>
    </xf>
    <xf numFmtId="0" fontId="31" fillId="0" borderId="0" xfId="2" applyAlignment="1">
      <alignment vertical="justify"/>
    </xf>
    <xf numFmtId="0" fontId="31" fillId="0" borderId="11" xfId="2" applyBorder="1" applyAlignment="1">
      <alignment vertical="center"/>
    </xf>
    <xf numFmtId="0" fontId="31" fillId="0" borderId="0" xfId="2" applyAlignment="1">
      <alignment horizontal="left" vertical="center" indent="1"/>
    </xf>
    <xf numFmtId="0" fontId="31" fillId="0" borderId="8" xfId="2" applyBorder="1"/>
    <xf numFmtId="1" fontId="7" fillId="0" borderId="0" xfId="2" applyNumberFormat="1" applyFont="1" applyAlignment="1">
      <alignment horizontal="left" vertical="center"/>
    </xf>
    <xf numFmtId="1" fontId="7" fillId="0" borderId="5" xfId="2" applyNumberFormat="1" applyFont="1" applyBorder="1" applyAlignment="1">
      <alignment horizontal="left" vertical="center"/>
    </xf>
    <xf numFmtId="1" fontId="7" fillId="0" borderId="5" xfId="2" applyNumberFormat="1" applyFont="1" applyBorder="1" applyAlignment="1">
      <alignment horizontal="right" vertical="center"/>
    </xf>
    <xf numFmtId="0" fontId="7" fillId="0" borderId="0" xfId="2" quotePrefix="1" applyFont="1" applyAlignment="1">
      <alignment horizontal="left" vertical="center" indent="1"/>
    </xf>
    <xf numFmtId="1" fontId="31" fillId="0" borderId="0" xfId="2" applyNumberFormat="1" applyAlignment="1">
      <alignment horizontal="left" vertical="center"/>
    </xf>
    <xf numFmtId="0" fontId="7" fillId="0" borderId="0" xfId="2" quotePrefix="1" applyFont="1" applyAlignment="1">
      <alignment horizontal="left" indent="1"/>
    </xf>
    <xf numFmtId="1" fontId="31" fillId="0" borderId="0" xfId="2" applyNumberFormat="1" applyAlignment="1">
      <alignment horizontal="left" vertical="center" indent="1"/>
    </xf>
    <xf numFmtId="1" fontId="31" fillId="0" borderId="0" xfId="2" applyNumberFormat="1" applyAlignment="1">
      <alignment horizontal="right" vertical="center" indent="1"/>
    </xf>
    <xf numFmtId="0" fontId="7" fillId="0" borderId="5" xfId="2" quotePrefix="1" applyFont="1" applyBorder="1" applyAlignment="1">
      <alignment horizontal="left" indent="1"/>
    </xf>
    <xf numFmtId="0" fontId="47" fillId="0" borderId="0" xfId="2" applyFont="1" applyAlignment="1">
      <alignment horizontal="right"/>
    </xf>
    <xf numFmtId="3" fontId="47" fillId="0" borderId="0" xfId="2" applyNumberFormat="1" applyFont="1"/>
    <xf numFmtId="0" fontId="47" fillId="0" borderId="0" xfId="2" applyFont="1" applyAlignment="1">
      <alignment horizontal="left" vertical="center" indent="1"/>
    </xf>
    <xf numFmtId="0" fontId="7" fillId="0" borderId="0" xfId="2" applyFont="1" applyAlignment="1">
      <alignment horizontal="center" vertical="justify"/>
    </xf>
    <xf numFmtId="0" fontId="72" fillId="0" borderId="0" xfId="2" applyFont="1" applyAlignment="1">
      <alignment vertical="center"/>
    </xf>
    <xf numFmtId="0" fontId="7" fillId="0" borderId="0" xfId="26" applyFont="1" applyAlignment="1">
      <alignment vertical="center"/>
    </xf>
    <xf numFmtId="0" fontId="7" fillId="0" borderId="0" xfId="27" applyFont="1" applyAlignment="1">
      <alignment vertical="center"/>
    </xf>
    <xf numFmtId="0" fontId="7" fillId="0" borderId="0" xfId="26" applyFont="1"/>
    <xf numFmtId="0" fontId="7" fillId="0" borderId="0" xfId="27" applyFont="1"/>
    <xf numFmtId="0" fontId="7" fillId="0" borderId="0" xfId="3"/>
    <xf numFmtId="0" fontId="1" fillId="0" borderId="0" xfId="28" applyFont="1"/>
    <xf numFmtId="175" fontId="7" fillId="0" borderId="0" xfId="2" applyNumberFormat="1" applyFont="1" applyAlignment="1">
      <alignment horizontal="left" vertical="center"/>
    </xf>
    <xf numFmtId="3" fontId="1" fillId="0" borderId="18" xfId="2" applyNumberFormat="1" applyFont="1" applyBorder="1" applyAlignment="1">
      <alignment horizontal="right"/>
    </xf>
    <xf numFmtId="3" fontId="7" fillId="0" borderId="5" xfId="2" applyNumberFormat="1" applyFont="1" applyBorder="1" applyAlignment="1">
      <alignment horizontal="left"/>
    </xf>
    <xf numFmtId="1" fontId="1" fillId="0" borderId="0" xfId="2" applyNumberFormat="1" applyFont="1" applyAlignment="1">
      <alignment horizontal="right"/>
    </xf>
    <xf numFmtId="175" fontId="7" fillId="0" borderId="0" xfId="2" applyNumberFormat="1" applyFont="1" applyAlignment="1">
      <alignment horizontal="left"/>
    </xf>
    <xf numFmtId="0" fontId="7" fillId="0" borderId="5" xfId="26" applyFont="1" applyBorder="1" applyAlignment="1">
      <alignment vertical="center"/>
    </xf>
    <xf numFmtId="0" fontId="7" fillId="0" borderId="5" xfId="27" applyFont="1" applyBorder="1" applyAlignment="1">
      <alignment vertical="center"/>
    </xf>
    <xf numFmtId="1" fontId="29" fillId="0" borderId="0" xfId="26" applyNumberFormat="1"/>
    <xf numFmtId="1" fontId="29" fillId="0" borderId="0" xfId="27" applyNumberFormat="1"/>
    <xf numFmtId="0" fontId="29" fillId="0" borderId="0" xfId="29"/>
    <xf numFmtId="166" fontId="7" fillId="0" borderId="0" xfId="7" applyNumberFormat="1" applyFont="1" applyAlignment="1">
      <alignment horizontal="right"/>
    </xf>
    <xf numFmtId="0" fontId="1" fillId="0" borderId="0" xfId="26" applyFont="1"/>
    <xf numFmtId="0" fontId="1" fillId="0" borderId="0" xfId="27" applyFont="1"/>
    <xf numFmtId="1" fontId="7" fillId="0" borderId="0" xfId="27" applyNumberFormat="1" applyFont="1" applyAlignment="1">
      <alignment vertical="center"/>
    </xf>
    <xf numFmtId="0" fontId="7" fillId="0" borderId="2" xfId="3" applyBorder="1" applyAlignment="1">
      <alignment horizontal="right" vertical="center"/>
    </xf>
    <xf numFmtId="0" fontId="7" fillId="0" borderId="6" xfId="2" applyFont="1" applyBorder="1" applyAlignment="1">
      <alignment horizontal="center" vertical="top" wrapText="1"/>
    </xf>
    <xf numFmtId="0" fontId="7" fillId="0" borderId="5" xfId="2" applyFont="1" applyBorder="1" applyAlignment="1">
      <alignment horizontal="center" vertical="top" wrapText="1"/>
    </xf>
    <xf numFmtId="0" fontId="7" fillId="0" borderId="8" xfId="2" applyFont="1" applyBorder="1" applyAlignment="1">
      <alignment horizontal="left"/>
    </xf>
    <xf numFmtId="0" fontId="7" fillId="0" borderId="1" xfId="3" applyBorder="1" applyAlignment="1">
      <alignment vertical="center"/>
    </xf>
    <xf numFmtId="0" fontId="7" fillId="0" borderId="5" xfId="3" applyBorder="1"/>
    <xf numFmtId="0" fontId="31" fillId="0" borderId="7" xfId="2" applyBorder="1" applyAlignment="1">
      <alignment horizontal="left" vertical="justify" indent="1"/>
    </xf>
    <xf numFmtId="0" fontId="31" fillId="0" borderId="3" xfId="2" applyBorder="1" applyAlignment="1">
      <alignment horizontal="left" vertical="justify" indent="1"/>
    </xf>
    <xf numFmtId="178" fontId="7" fillId="0" borderId="0" xfId="2" applyNumberFormat="1" applyFont="1"/>
    <xf numFmtId="178" fontId="31" fillId="0" borderId="0" xfId="2" applyNumberFormat="1" applyAlignment="1">
      <alignment horizontal="right"/>
    </xf>
    <xf numFmtId="0" fontId="31" fillId="0" borderId="8" xfId="2" applyBorder="1" applyAlignment="1">
      <alignment horizontal="left" vertical="justify" indent="1"/>
    </xf>
    <xf numFmtId="0" fontId="31" fillId="0" borderId="4" xfId="2" applyBorder="1" applyAlignment="1">
      <alignment horizontal="left" vertical="justify" indent="1"/>
    </xf>
    <xf numFmtId="165" fontId="31" fillId="0" borderId="0" xfId="2" applyNumberFormat="1" applyAlignment="1">
      <alignment horizontal="center"/>
    </xf>
    <xf numFmtId="178" fontId="7" fillId="0" borderId="0" xfId="2" applyNumberFormat="1" applyFont="1" applyAlignment="1">
      <alignment horizontal="right"/>
    </xf>
    <xf numFmtId="1" fontId="74" fillId="0" borderId="0" xfId="2" applyNumberFormat="1" applyFont="1"/>
    <xf numFmtId="0" fontId="74" fillId="0" borderId="0" xfId="2" applyFont="1"/>
    <xf numFmtId="164" fontId="31" fillId="0" borderId="0" xfId="2" applyNumberFormat="1" applyAlignment="1">
      <alignment vertical="justify"/>
    </xf>
    <xf numFmtId="178" fontId="7" fillId="0" borderId="5" xfId="2" applyNumberFormat="1" applyFont="1" applyBorder="1"/>
    <xf numFmtId="166" fontId="31" fillId="0" borderId="0" xfId="11" applyNumberFormat="1" applyFont="1" applyFill="1"/>
    <xf numFmtId="166" fontId="7" fillId="0" borderId="0" xfId="11" applyNumberFormat="1" applyFont="1" applyFill="1"/>
    <xf numFmtId="166" fontId="7" fillId="0" borderId="0" xfId="11" applyNumberFormat="1" applyFont="1"/>
    <xf numFmtId="166" fontId="31" fillId="0" borderId="0" xfId="11" applyNumberFormat="1" applyFont="1"/>
    <xf numFmtId="185" fontId="7" fillId="0" borderId="0" xfId="2" applyNumberFormat="1" applyFont="1"/>
    <xf numFmtId="185" fontId="31" fillId="0" borderId="0" xfId="2" applyNumberFormat="1"/>
    <xf numFmtId="0" fontId="31" fillId="0" borderId="5" xfId="2" applyBorder="1" applyAlignment="1">
      <alignment horizontal="left" vertical="justify" indent="1"/>
    </xf>
    <xf numFmtId="185" fontId="7" fillId="0" borderId="0" xfId="2" applyNumberFormat="1" applyFont="1" applyAlignment="1">
      <alignment horizontal="left"/>
    </xf>
    <xf numFmtId="185" fontId="31" fillId="0" borderId="0" xfId="2" applyNumberFormat="1" applyAlignment="1">
      <alignment horizontal="left"/>
    </xf>
    <xf numFmtId="164" fontId="31" fillId="0" borderId="5" xfId="2" applyNumberFormat="1" applyBorder="1" applyAlignment="1">
      <alignment vertical="justify"/>
    </xf>
    <xf numFmtId="185" fontId="31" fillId="0" borderId="5" xfId="2" applyNumberFormat="1" applyBorder="1"/>
    <xf numFmtId="185" fontId="7" fillId="0" borderId="5" xfId="2" applyNumberFormat="1" applyFont="1" applyBorder="1"/>
    <xf numFmtId="2" fontId="31" fillId="0" borderId="5" xfId="2" applyNumberFormat="1" applyBorder="1"/>
    <xf numFmtId="167" fontId="31" fillId="0" borderId="10" xfId="2" applyNumberFormat="1" applyBorder="1"/>
    <xf numFmtId="164" fontId="31" fillId="0" borderId="11" xfId="2" applyNumberFormat="1" applyBorder="1"/>
    <xf numFmtId="164" fontId="31" fillId="0" borderId="10" xfId="2" applyNumberFormat="1" applyBorder="1"/>
    <xf numFmtId="0" fontId="75" fillId="0" borderId="0" xfId="30" applyAlignment="1" applyProtection="1"/>
    <xf numFmtId="2" fontId="31" fillId="0" borderId="0" xfId="2" applyNumberFormat="1" applyAlignment="1">
      <alignment horizontal="right"/>
    </xf>
    <xf numFmtId="38" fontId="7" fillId="0" borderId="0" xfId="3" applyNumberFormat="1"/>
    <xf numFmtId="0" fontId="29" fillId="0" borderId="0" xfId="8"/>
    <xf numFmtId="0" fontId="31" fillId="0" borderId="7" xfId="2" applyBorder="1"/>
    <xf numFmtId="38" fontId="7" fillId="0" borderId="5" xfId="3" applyNumberFormat="1" applyBorder="1"/>
    <xf numFmtId="0" fontId="29" fillId="0" borderId="5" xfId="8" applyBorder="1"/>
    <xf numFmtId="0" fontId="57" fillId="0" borderId="3" xfId="8" applyFont="1" applyBorder="1" applyAlignment="1">
      <alignment horizontal="center" wrapText="1"/>
    </xf>
    <xf numFmtId="0" fontId="57" fillId="0" borderId="10" xfId="8" applyFont="1" applyBorder="1" applyAlignment="1">
      <alignment horizontal="center" wrapText="1"/>
    </xf>
    <xf numFmtId="38" fontId="57" fillId="0" borderId="11" xfId="8" applyNumberFormat="1" applyFont="1" applyBorder="1" applyAlignment="1">
      <alignment horizontal="center"/>
    </xf>
    <xf numFmtId="0" fontId="57" fillId="0" borderId="4" xfId="8" applyFont="1" applyBorder="1" applyAlignment="1">
      <alignment horizontal="center" wrapText="1"/>
    </xf>
    <xf numFmtId="0" fontId="57" fillId="0" borderId="11" xfId="8" applyFont="1" applyBorder="1" applyAlignment="1">
      <alignment horizontal="center" wrapText="1"/>
    </xf>
    <xf numFmtId="0" fontId="57" fillId="0" borderId="8" xfId="8" applyFont="1" applyBorder="1" applyAlignment="1">
      <alignment horizontal="left" wrapText="1"/>
    </xf>
    <xf numFmtId="38" fontId="7" fillId="0" borderId="0" xfId="8" applyNumberFormat="1" applyFont="1"/>
    <xf numFmtId="38" fontId="31" fillId="0" borderId="0" xfId="8" applyNumberFormat="1" applyFont="1"/>
    <xf numFmtId="38" fontId="41" fillId="0" borderId="0" xfId="8" applyNumberFormat="1" applyFont="1"/>
    <xf numFmtId="38" fontId="7" fillId="0" borderId="0" xfId="8" applyNumberFormat="1" applyFont="1" applyAlignment="1">
      <alignment horizontal="right"/>
    </xf>
    <xf numFmtId="38" fontId="7" fillId="0" borderId="0" xfId="8" applyNumberFormat="1" applyFont="1" applyAlignment="1">
      <alignment horizontal="right" vertical="center" wrapText="1"/>
    </xf>
    <xf numFmtId="0" fontId="7" fillId="0" borderId="5" xfId="10" applyBorder="1"/>
    <xf numFmtId="38" fontId="7" fillId="0" borderId="5" xfId="10" applyNumberFormat="1" applyBorder="1"/>
    <xf numFmtId="38" fontId="7" fillId="0" borderId="5" xfId="8" applyNumberFormat="1" applyFont="1" applyBorder="1"/>
    <xf numFmtId="0" fontId="7" fillId="0" borderId="0" xfId="10" applyAlignment="1">
      <alignment horizontal="left" indent="3"/>
    </xf>
    <xf numFmtId="0" fontId="7" fillId="0" borderId="5" xfId="10" applyBorder="1" applyAlignment="1">
      <alignment horizontal="left" indent="2"/>
    </xf>
    <xf numFmtId="38" fontId="31" fillId="0" borderId="0" xfId="8" applyNumberFormat="1" applyFont="1" applyAlignment="1">
      <alignment horizontal="right"/>
    </xf>
    <xf numFmtId="38" fontId="7" fillId="0" borderId="5" xfId="8" applyNumberFormat="1" applyFont="1" applyBorder="1" applyAlignment="1">
      <alignment horizontal="right"/>
    </xf>
    <xf numFmtId="0" fontId="42" fillId="0" borderId="0" xfId="2" quotePrefix="1" applyFont="1"/>
    <xf numFmtId="0" fontId="76" fillId="0" borderId="0" xfId="2" applyFont="1"/>
    <xf numFmtId="0" fontId="42" fillId="0" borderId="0" xfId="2" quotePrefix="1" applyFont="1" applyAlignment="1">
      <alignment horizontal="left"/>
    </xf>
    <xf numFmtId="0" fontId="57" fillId="0" borderId="0" xfId="8" applyFont="1" applyAlignment="1">
      <alignment horizontal="center" wrapText="1"/>
    </xf>
    <xf numFmtId="38" fontId="7" fillId="0" borderId="5" xfId="8" applyNumberFormat="1" applyFont="1" applyBorder="1" applyAlignment="1">
      <alignment horizontal="right" vertical="center" wrapText="1"/>
    </xf>
    <xf numFmtId="0" fontId="57" fillId="0" borderId="0" xfId="8" applyFont="1" applyAlignment="1">
      <alignment horizontal="left" wrapText="1"/>
    </xf>
    <xf numFmtId="0" fontId="7" fillId="0" borderId="0" xfId="3" applyAlignment="1">
      <alignment wrapText="1"/>
    </xf>
    <xf numFmtId="0" fontId="7" fillId="0" borderId="5" xfId="3" applyBorder="1" applyAlignment="1">
      <alignment wrapText="1"/>
    </xf>
    <xf numFmtId="38" fontId="31" fillId="0" borderId="5" xfId="8" applyNumberFormat="1" applyFont="1" applyBorder="1" applyAlignment="1">
      <alignment horizontal="right"/>
    </xf>
    <xf numFmtId="0" fontId="7" fillId="0" borderId="0" xfId="10" applyAlignment="1">
      <alignment horizontal="left" indent="4"/>
    </xf>
    <xf numFmtId="38" fontId="29" fillId="0" borderId="0" xfId="8" applyNumberFormat="1" applyAlignment="1">
      <alignment horizontal="right"/>
    </xf>
    <xf numFmtId="0" fontId="31" fillId="0" borderId="1" xfId="2" applyBorder="1" applyAlignment="1">
      <alignment horizontal="right"/>
    </xf>
    <xf numFmtId="0" fontId="7" fillId="0" borderId="3" xfId="2" applyFont="1" applyBorder="1" applyAlignment="1">
      <alignment horizontal="left"/>
    </xf>
    <xf numFmtId="17" fontId="31" fillId="0" borderId="0" xfId="2" quotePrefix="1" applyNumberFormat="1" applyAlignment="1">
      <alignment horizontal="right"/>
    </xf>
    <xf numFmtId="0" fontId="7" fillId="0" borderId="0" xfId="2" applyFont="1" applyAlignment="1">
      <alignment horizontal="left" vertical="justify" indent="7"/>
    </xf>
    <xf numFmtId="3" fontId="7" fillId="0" borderId="0" xfId="2" applyNumberFormat="1" applyFont="1" applyAlignment="1">
      <alignment horizontal="right" vertical="justify"/>
    </xf>
    <xf numFmtId="0" fontId="34" fillId="0" borderId="0" xfId="2" applyFont="1" applyAlignment="1">
      <alignment vertical="center"/>
    </xf>
    <xf numFmtId="166" fontId="7" fillId="0" borderId="0" xfId="11" applyNumberFormat="1" applyFont="1" applyFill="1" applyBorder="1" applyAlignment="1">
      <alignment horizontal="right"/>
    </xf>
    <xf numFmtId="0" fontId="7" fillId="0" borderId="0" xfId="31" applyNumberFormat="1" applyFont="1" applyFill="1" applyBorder="1" applyAlignment="1">
      <alignment horizontal="right"/>
    </xf>
    <xf numFmtId="0" fontId="8" fillId="0" borderId="1" xfId="2" applyFont="1" applyBorder="1" applyAlignment="1">
      <alignment vertical="center"/>
    </xf>
    <xf numFmtId="0" fontId="8" fillId="0" borderId="1" xfId="2" applyFont="1" applyBorder="1" applyAlignment="1">
      <alignment horizontal="left"/>
    </xf>
    <xf numFmtId="0" fontId="8" fillId="0" borderId="1" xfId="2" applyFont="1" applyBorder="1"/>
    <xf numFmtId="0" fontId="8" fillId="0" borderId="0" xfId="2" quotePrefix="1" applyFont="1" applyAlignment="1">
      <alignment horizontal="right"/>
    </xf>
    <xf numFmtId="172" fontId="7" fillId="0" borderId="0" xfId="2" applyNumberFormat="1" applyFont="1" applyAlignment="1">
      <alignment vertical="justify"/>
    </xf>
    <xf numFmtId="37" fontId="7" fillId="0" borderId="0" xfId="2" applyNumberFormat="1" applyFont="1" applyAlignment="1">
      <alignment vertical="justify"/>
    </xf>
    <xf numFmtId="0" fontId="37" fillId="0" borderId="0" xfId="2" applyFont="1" applyAlignment="1">
      <alignment horizontal="left" vertical="center"/>
    </xf>
    <xf numFmtId="0" fontId="34" fillId="0" borderId="5" xfId="2" applyFont="1" applyBorder="1" applyAlignment="1">
      <alignment vertical="center"/>
    </xf>
    <xf numFmtId="0" fontId="47" fillId="0" borderId="5" xfId="2" applyFont="1" applyBorder="1" applyAlignment="1">
      <alignment vertical="center"/>
    </xf>
    <xf numFmtId="0" fontId="37" fillId="0" borderId="0" xfId="2" applyFont="1" applyAlignment="1">
      <alignment vertical="center"/>
    </xf>
    <xf numFmtId="0" fontId="7" fillId="0" borderId="8" xfId="2" applyFont="1" applyBorder="1" applyAlignment="1">
      <alignment horizontal="left" vertical="center"/>
    </xf>
    <xf numFmtId="0" fontId="34" fillId="0" borderId="10" xfId="2" applyFont="1" applyBorder="1" applyAlignment="1">
      <alignment vertical="center"/>
    </xf>
    <xf numFmtId="166" fontId="7" fillId="0" borderId="0" xfId="11" applyNumberFormat="1" applyFont="1" applyFill="1" applyAlignment="1">
      <alignment vertical="center"/>
    </xf>
    <xf numFmtId="0" fontId="34" fillId="0" borderId="14" xfId="2" applyFont="1" applyBorder="1" applyAlignment="1">
      <alignment vertical="center"/>
    </xf>
    <xf numFmtId="0" fontId="7" fillId="0" borderId="14" xfId="2" applyFont="1" applyBorder="1" applyAlignment="1">
      <alignment horizontal="center" vertical="center"/>
    </xf>
    <xf numFmtId="49" fontId="7" fillId="0" borderId="13" xfId="2" applyNumberFormat="1" applyFont="1" applyBorder="1" applyAlignment="1">
      <alignment horizontal="right"/>
    </xf>
    <xf numFmtId="6" fontId="7" fillId="0" borderId="4" xfId="2" applyNumberFormat="1" applyFont="1" applyBorder="1" applyAlignment="1">
      <alignment horizontal="right"/>
    </xf>
    <xf numFmtId="164" fontId="2" fillId="0" borderId="0" xfId="2" applyNumberFormat="1" applyFont="1" applyAlignment="1">
      <alignment horizontal="right" vertical="top" wrapText="1"/>
    </xf>
    <xf numFmtId="167" fontId="1" fillId="0" borderId="0" xfId="2" applyNumberFormat="1" applyFont="1" applyAlignment="1">
      <alignment vertical="center"/>
    </xf>
    <xf numFmtId="0" fontId="7" fillId="0" borderId="0" xfId="2" applyFont="1" applyAlignment="1">
      <alignment vertical="top"/>
    </xf>
    <xf numFmtId="0" fontId="34" fillId="0" borderId="0" xfId="2" applyFont="1" applyAlignment="1">
      <alignment horizontal="right"/>
    </xf>
    <xf numFmtId="0" fontId="7" fillId="0" borderId="0" xfId="2" applyFont="1" applyAlignment="1">
      <alignment horizontal="left" vertical="center" wrapText="1"/>
    </xf>
    <xf numFmtId="166" fontId="7" fillId="0" borderId="5" xfId="11" applyNumberFormat="1" applyFont="1" applyFill="1" applyBorder="1" applyAlignment="1">
      <alignment vertical="center"/>
    </xf>
    <xf numFmtId="3" fontId="34" fillId="0" borderId="0" xfId="2" applyNumberFormat="1" applyFont="1" applyAlignment="1">
      <alignment vertical="center"/>
    </xf>
    <xf numFmtId="3" fontId="34" fillId="0" borderId="0" xfId="2" applyNumberFormat="1" applyFont="1" applyAlignment="1">
      <alignment horizontal="center" vertical="center"/>
    </xf>
    <xf numFmtId="3" fontId="7" fillId="0" borderId="0" xfId="32" applyNumberFormat="1" applyFont="1" applyFill="1"/>
    <xf numFmtId="0" fontId="77" fillId="0" borderId="0" xfId="2" applyFont="1" applyAlignment="1">
      <alignment vertical="center"/>
    </xf>
    <xf numFmtId="186" fontId="7" fillId="0" borderId="0" xfId="2" applyNumberFormat="1" applyFont="1" applyAlignment="1">
      <alignment horizontal="right" vertical="center"/>
    </xf>
    <xf numFmtId="3" fontId="48" fillId="0" borderId="0" xfId="2" applyNumberFormat="1" applyFont="1" applyAlignment="1">
      <alignment vertical="center"/>
    </xf>
    <xf numFmtId="186" fontId="7" fillId="0" borderId="0" xfId="2" applyNumberFormat="1" applyFont="1" applyAlignment="1">
      <alignment horizontal="left" vertical="center"/>
    </xf>
    <xf numFmtId="186" fontId="7" fillId="0" borderId="0" xfId="2" quotePrefix="1" applyNumberFormat="1" applyFont="1" applyAlignment="1">
      <alignment horizontal="right" vertical="center"/>
    </xf>
    <xf numFmtId="3" fontId="48" fillId="0" borderId="0" xfId="2" applyNumberFormat="1" applyFont="1" applyAlignment="1">
      <alignment horizontal="left"/>
    </xf>
    <xf numFmtId="2" fontId="7" fillId="0" borderId="0" xfId="2" applyNumberFormat="1" applyFont="1" applyAlignment="1">
      <alignment horizontal="left" vertical="center"/>
    </xf>
    <xf numFmtId="3" fontId="7" fillId="0" borderId="0" xfId="3" quotePrefix="1" applyNumberFormat="1" applyAlignment="1">
      <alignment horizontal="right"/>
    </xf>
    <xf numFmtId="2" fontId="7" fillId="0" borderId="0" xfId="2" applyNumberFormat="1" applyFont="1" applyAlignment="1">
      <alignment horizontal="right" vertical="center"/>
    </xf>
    <xf numFmtId="2" fontId="7" fillId="0" borderId="0" xfId="2" quotePrefix="1" applyNumberFormat="1" applyFont="1" applyAlignment="1">
      <alignment horizontal="right" vertical="center"/>
    </xf>
    <xf numFmtId="0" fontId="34" fillId="0" borderId="0" xfId="2" applyFont="1" applyAlignment="1">
      <alignment horizontal="left" vertical="center"/>
    </xf>
    <xf numFmtId="1" fontId="7" fillId="0" borderId="0" xfId="2" quotePrefix="1" applyNumberFormat="1" applyFont="1" applyAlignment="1">
      <alignment horizontal="right" vertical="center"/>
    </xf>
    <xf numFmtId="186" fontId="7" fillId="0" borderId="0" xfId="2" applyNumberFormat="1" applyFont="1" applyAlignment="1">
      <alignment vertical="center"/>
    </xf>
    <xf numFmtId="0" fontId="7" fillId="0" borderId="5" xfId="2" quotePrefix="1" applyFont="1" applyBorder="1" applyAlignment="1">
      <alignment horizontal="right" vertical="center"/>
    </xf>
    <xf numFmtId="0" fontId="41" fillId="5" borderId="0" xfId="2" applyFont="1" applyFill="1" applyAlignment="1">
      <alignment horizontal="right" vertical="top" wrapText="1"/>
    </xf>
    <xf numFmtId="164" fontId="2" fillId="0" borderId="5" xfId="2" applyNumberFormat="1" applyFont="1" applyBorder="1" applyAlignment="1">
      <alignment horizontal="right" vertical="top" wrapText="1"/>
    </xf>
    <xf numFmtId="167" fontId="1" fillId="0" borderId="5" xfId="2" applyNumberFormat="1" applyFont="1" applyBorder="1" applyAlignment="1">
      <alignment horizontal="right" vertical="center"/>
    </xf>
    <xf numFmtId="164" fontId="34" fillId="0" borderId="0" xfId="2" applyNumberFormat="1" applyFont="1" applyAlignment="1">
      <alignment vertical="center"/>
    </xf>
    <xf numFmtId="49" fontId="7" fillId="0" borderId="0" xfId="2" applyNumberFormat="1" applyFont="1" applyAlignment="1">
      <alignment horizontal="right"/>
    </xf>
    <xf numFmtId="167" fontId="1" fillId="0" borderId="0" xfId="2" applyNumberFormat="1" applyFont="1" applyAlignment="1">
      <alignment horizontal="right" vertical="center"/>
    </xf>
    <xf numFmtId="0" fontId="1" fillId="0" borderId="0" xfId="2" applyFont="1" applyAlignment="1">
      <alignment vertical="center"/>
    </xf>
    <xf numFmtId="49" fontId="8" fillId="0" borderId="0" xfId="2" applyNumberFormat="1" applyFont="1" applyAlignment="1">
      <alignment horizontal="right"/>
    </xf>
    <xf numFmtId="6" fontId="8" fillId="0" borderId="0" xfId="2" applyNumberFormat="1" applyFont="1" applyAlignment="1">
      <alignment horizontal="right"/>
    </xf>
    <xf numFmtId="164" fontId="1" fillId="0" borderId="0" xfId="2" applyNumberFormat="1" applyFont="1" applyAlignment="1">
      <alignment vertical="center"/>
    </xf>
    <xf numFmtId="3" fontId="34" fillId="0" borderId="0" xfId="2" applyNumberFormat="1" applyFont="1"/>
    <xf numFmtId="0" fontId="81" fillId="0" borderId="0" xfId="2" applyFont="1" applyAlignment="1">
      <alignment vertical="center"/>
    </xf>
    <xf numFmtId="0" fontId="81" fillId="0" borderId="0" xfId="2" applyFont="1"/>
    <xf numFmtId="0" fontId="81" fillId="0" borderId="1" xfId="2" applyFont="1" applyBorder="1" applyAlignment="1">
      <alignment horizontal="center" vertical="center"/>
    </xf>
    <xf numFmtId="0" fontId="81" fillId="0" borderId="3" xfId="2" applyFont="1" applyBorder="1" applyAlignment="1">
      <alignment horizontal="center" vertical="center"/>
    </xf>
    <xf numFmtId="0" fontId="81" fillId="0" borderId="3" xfId="2" applyFont="1" applyBorder="1" applyAlignment="1">
      <alignment horizontal="right" vertical="center"/>
    </xf>
    <xf numFmtId="0" fontId="81" fillId="0" borderId="1" xfId="2" applyFont="1" applyBorder="1" applyAlignment="1">
      <alignment horizontal="right" vertical="center"/>
    </xf>
    <xf numFmtId="0" fontId="81" fillId="0" borderId="8" xfId="2" applyFont="1" applyBorder="1" applyAlignment="1">
      <alignment horizontal="center" vertical="center"/>
    </xf>
    <xf numFmtId="0" fontId="81" fillId="0" borderId="4" xfId="2" applyFont="1" applyBorder="1" applyAlignment="1">
      <alignment horizontal="center" vertical="center"/>
    </xf>
    <xf numFmtId="0" fontId="81" fillId="0" borderId="4" xfId="2" applyFont="1" applyBorder="1" applyAlignment="1">
      <alignment horizontal="right" vertical="center"/>
    </xf>
    <xf numFmtId="0" fontId="81" fillId="0" borderId="5" xfId="2" applyFont="1" applyBorder="1" applyAlignment="1">
      <alignment horizontal="right" vertical="center"/>
    </xf>
    <xf numFmtId="0" fontId="81" fillId="0" borderId="5" xfId="2" applyFont="1" applyBorder="1" applyAlignment="1">
      <alignment horizontal="center" vertical="center"/>
    </xf>
    <xf numFmtId="0" fontId="3" fillId="0" borderId="0" xfId="2" applyFont="1" applyAlignment="1">
      <alignment horizontal="center"/>
    </xf>
    <xf numFmtId="0" fontId="3" fillId="0" borderId="0" xfId="2" applyFont="1"/>
    <xf numFmtId="2" fontId="1" fillId="0" borderId="0" xfId="2" applyNumberFormat="1" applyFont="1" applyAlignment="1">
      <alignment horizontal="right"/>
    </xf>
    <xf numFmtId="164" fontId="1" fillId="0" borderId="0" xfId="2" applyNumberFormat="1" applyFont="1" applyAlignment="1">
      <alignment horizontal="right"/>
    </xf>
    <xf numFmtId="49" fontId="31" fillId="0" borderId="0" xfId="2" applyNumberFormat="1" applyAlignment="1">
      <alignment horizontal="right"/>
    </xf>
    <xf numFmtId="2" fontId="81" fillId="0" borderId="0" xfId="2" applyNumberFormat="1" applyFont="1" applyAlignment="1">
      <alignment horizontal="right"/>
    </xf>
    <xf numFmtId="164" fontId="81" fillId="0" borderId="0" xfId="2" applyNumberFormat="1" applyFont="1"/>
    <xf numFmtId="4" fontId="7" fillId="0" borderId="0" xfId="2" applyNumberFormat="1" applyFont="1" applyAlignment="1">
      <alignment horizontal="right"/>
    </xf>
    <xf numFmtId="41" fontId="7" fillId="0" borderId="0" xfId="2" applyNumberFormat="1" applyFont="1" applyAlignment="1">
      <alignment horizontal="right"/>
    </xf>
    <xf numFmtId="0" fontId="1" fillId="0" borderId="0" xfId="2" applyFont="1" applyAlignment="1">
      <alignment horizontal="center"/>
    </xf>
    <xf numFmtId="49" fontId="7" fillId="0" borderId="0" xfId="2" applyNumberFormat="1" applyFont="1"/>
    <xf numFmtId="0" fontId="81" fillId="0" borderId="1" xfId="2" applyFont="1" applyBorder="1" applyAlignment="1">
      <alignment vertical="center"/>
    </xf>
    <xf numFmtId="0" fontId="81" fillId="0" borderId="1" xfId="2" applyFont="1" applyBorder="1"/>
    <xf numFmtId="0" fontId="81" fillId="0" borderId="0" xfId="2" applyFont="1" applyAlignment="1">
      <alignment vertical="top" wrapText="1"/>
    </xf>
    <xf numFmtId="0" fontId="81" fillId="0" borderId="0" xfId="2" applyFont="1" applyAlignment="1">
      <alignment horizontal="left" vertical="top" wrapText="1"/>
    </xf>
    <xf numFmtId="0" fontId="82" fillId="0" borderId="0" xfId="5" applyFont="1" applyAlignment="1">
      <alignment horizontal="right"/>
    </xf>
    <xf numFmtId="0" fontId="83" fillId="0" borderId="0" xfId="2" applyFont="1"/>
    <xf numFmtId="49" fontId="7" fillId="0" borderId="0" xfId="2" quotePrefix="1" applyNumberFormat="1" applyFont="1" applyAlignment="1">
      <alignment vertical="top" wrapText="1"/>
    </xf>
    <xf numFmtId="0" fontId="7" fillId="0" borderId="0" xfId="2" quotePrefix="1" applyFont="1" applyAlignment="1">
      <alignment vertical="top" wrapText="1"/>
    </xf>
    <xf numFmtId="166" fontId="7" fillId="0" borderId="0" xfId="34" quotePrefix="1" applyNumberFormat="1" applyFont="1" applyFill="1" applyAlignment="1">
      <alignment horizontal="right" vertical="top" wrapText="1"/>
    </xf>
    <xf numFmtId="4" fontId="7" fillId="0" borderId="0" xfId="2" quotePrefix="1" applyNumberFormat="1" applyFont="1" applyAlignment="1">
      <alignment horizontal="right" vertical="top" wrapText="1"/>
    </xf>
    <xf numFmtId="41" fontId="7" fillId="0" borderId="0" xfId="34" quotePrefix="1" applyNumberFormat="1" applyFont="1" applyFill="1" applyAlignment="1">
      <alignment horizontal="right" vertical="top" wrapText="1"/>
    </xf>
    <xf numFmtId="0" fontId="1" fillId="0" borderId="5" xfId="2" applyFont="1" applyBorder="1"/>
    <xf numFmtId="3" fontId="1" fillId="0" borderId="5" xfId="2" applyNumberFormat="1" applyFont="1" applyBorder="1" applyAlignment="1">
      <alignment horizontal="right"/>
    </xf>
    <xf numFmtId="2" fontId="1" fillId="0" borderId="5" xfId="2" applyNumberFormat="1" applyFont="1" applyBorder="1" applyAlignment="1">
      <alignment horizontal="right"/>
    </xf>
    <xf numFmtId="164" fontId="1" fillId="0" borderId="5" xfId="2" applyNumberFormat="1" applyFont="1" applyBorder="1" applyAlignment="1">
      <alignment horizontal="right"/>
    </xf>
    <xf numFmtId="0" fontId="84" fillId="0" borderId="0" xfId="5" applyFont="1"/>
    <xf numFmtId="0" fontId="82" fillId="0" borderId="0" xfId="5" applyFont="1"/>
    <xf numFmtId="8" fontId="82" fillId="0" borderId="0" xfId="5" applyNumberFormat="1" applyFont="1"/>
    <xf numFmtId="6" fontId="82" fillId="0" borderId="0" xfId="5" applyNumberFormat="1" applyFont="1"/>
    <xf numFmtId="0" fontId="49" fillId="0" borderId="0" xfId="3" applyFont="1" applyAlignment="1">
      <alignment wrapText="1"/>
    </xf>
    <xf numFmtId="0" fontId="7" fillId="0" borderId="0" xfId="35" applyFont="1"/>
    <xf numFmtId="0" fontId="85" fillId="0" borderId="0" xfId="5" applyFont="1"/>
    <xf numFmtId="3" fontId="82" fillId="0" borderId="0" xfId="5" applyNumberFormat="1" applyFont="1"/>
    <xf numFmtId="0" fontId="16" fillId="0" borderId="0" xfId="2" applyFont="1"/>
    <xf numFmtId="0" fontId="8" fillId="0" borderId="5" xfId="2" applyFont="1" applyBorder="1"/>
    <xf numFmtId="49" fontId="3" fillId="0" borderId="0" xfId="36" applyBorder="1">
      <alignment horizontal="left" vertical="center" wrapText="1"/>
    </xf>
    <xf numFmtId="0" fontId="7" fillId="0" borderId="8" xfId="2" applyFont="1" applyBorder="1" applyAlignment="1">
      <alignment horizontal="right" vertical="center"/>
    </xf>
    <xf numFmtId="0" fontId="16" fillId="0" borderId="5" xfId="2" applyFont="1" applyBorder="1" applyAlignment="1">
      <alignment horizontal="left" indent="2"/>
    </xf>
    <xf numFmtId="49" fontId="87" fillId="0" borderId="0" xfId="40" applyBorder="1">
      <alignment horizontal="right" wrapText="1"/>
    </xf>
    <xf numFmtId="0" fontId="8" fillId="0" borderId="9" xfId="2" applyFont="1" applyBorder="1"/>
    <xf numFmtId="0" fontId="8" fillId="0" borderId="6" xfId="2" applyFont="1" applyBorder="1"/>
    <xf numFmtId="0" fontId="8" fillId="0" borderId="6" xfId="2" applyFont="1" applyBorder="1" applyAlignment="1">
      <alignment horizontal="right"/>
    </xf>
    <xf numFmtId="0" fontId="8" fillId="0" borderId="12" xfId="2" applyFont="1" applyBorder="1" applyAlignment="1">
      <alignment horizontal="right"/>
    </xf>
    <xf numFmtId="0" fontId="8" fillId="0" borderId="11" xfId="2" applyFont="1" applyBorder="1" applyAlignment="1">
      <alignment horizontal="right"/>
    </xf>
    <xf numFmtId="0" fontId="8" fillId="0" borderId="2" xfId="2" applyFont="1" applyBorder="1" applyAlignment="1">
      <alignment horizontal="right"/>
    </xf>
    <xf numFmtId="0" fontId="8" fillId="0" borderId="4" xfId="2" applyFont="1" applyBorder="1" applyAlignment="1">
      <alignment horizontal="right"/>
    </xf>
    <xf numFmtId="0" fontId="16" fillId="0" borderId="0" xfId="2" applyFont="1" applyAlignment="1">
      <alignment horizontal="left" indent="1"/>
    </xf>
    <xf numFmtId="3" fontId="16" fillId="0" borderId="0" xfId="2" applyNumberFormat="1" applyFont="1" applyAlignment="1">
      <alignment horizontal="right"/>
    </xf>
    <xf numFmtId="37" fontId="8" fillId="0" borderId="0" xfId="2" applyNumberFormat="1" applyFont="1" applyAlignment="1">
      <alignment horizontal="right"/>
    </xf>
    <xf numFmtId="3" fontId="87" fillId="0" borderId="0" xfId="42">
      <alignment horizontal="right"/>
    </xf>
    <xf numFmtId="0" fontId="8" fillId="0" borderId="0" xfId="2" applyFont="1" applyAlignment="1">
      <alignment horizontal="left" vertical="center" indent="1"/>
    </xf>
    <xf numFmtId="167" fontId="8" fillId="0" borderId="0" xfId="2" applyNumberFormat="1" applyFont="1" applyAlignment="1">
      <alignment horizontal="right"/>
    </xf>
    <xf numFmtId="4" fontId="7" fillId="0" borderId="5" xfId="2" applyNumberFormat="1" applyFont="1" applyBorder="1"/>
    <xf numFmtId="39" fontId="7" fillId="0" borderId="0" xfId="2" applyNumberFormat="1" applyFont="1"/>
    <xf numFmtId="3" fontId="8" fillId="0" borderId="0" xfId="2" applyNumberFormat="1" applyFont="1" applyAlignment="1">
      <alignment horizontal="left"/>
    </xf>
    <xf numFmtId="3" fontId="4" fillId="0" borderId="0" xfId="42" applyFont="1">
      <alignment horizontal="right"/>
    </xf>
    <xf numFmtId="38" fontId="16" fillId="0" borderId="0" xfId="2" applyNumberFormat="1" applyFont="1"/>
    <xf numFmtId="0" fontId="4" fillId="0" borderId="0" xfId="45" applyFont="1"/>
    <xf numFmtId="2" fontId="8" fillId="0" borderId="0" xfId="2" applyNumberFormat="1" applyFont="1" applyAlignment="1">
      <alignment horizontal="right" vertical="center"/>
    </xf>
    <xf numFmtId="6" fontId="8" fillId="0" borderId="0" xfId="2" applyNumberFormat="1" applyFont="1"/>
    <xf numFmtId="3" fontId="8" fillId="0" borderId="5" xfId="2" applyNumberFormat="1" applyFont="1" applyBorder="1"/>
    <xf numFmtId="0" fontId="73" fillId="0" borderId="0" xfId="28" applyFill="1" applyBorder="1"/>
    <xf numFmtId="2" fontId="8" fillId="0" borderId="0" xfId="2" applyNumberFormat="1" applyFont="1"/>
    <xf numFmtId="167" fontId="8" fillId="0" borderId="0" xfId="2" applyNumberFormat="1" applyFont="1"/>
    <xf numFmtId="0" fontId="16" fillId="0" borderId="0" xfId="2" quotePrefix="1" applyFont="1" applyAlignment="1">
      <alignment horizontal="left" vertical="center" indent="1"/>
    </xf>
    <xf numFmtId="37" fontId="16" fillId="0" borderId="0" xfId="2" applyNumberFormat="1" applyFont="1" applyAlignment="1">
      <alignment vertical="center"/>
    </xf>
    <xf numFmtId="49" fontId="87" fillId="0" borderId="0" xfId="46">
      <alignment horizontal="left" vertical="top" wrapText="1"/>
    </xf>
    <xf numFmtId="0" fontId="88" fillId="0" borderId="0" xfId="2" applyFont="1"/>
    <xf numFmtId="49" fontId="87" fillId="0" borderId="0" xfId="47" applyBorder="1">
      <alignment horizontal="left" vertical="top" wrapText="1"/>
    </xf>
    <xf numFmtId="0" fontId="16" fillId="0" borderId="5" xfId="2" quotePrefix="1" applyFont="1" applyBorder="1" applyAlignment="1">
      <alignment horizontal="left" vertical="center" indent="1"/>
    </xf>
    <xf numFmtId="0" fontId="16" fillId="0" borderId="5" xfId="2" applyFont="1" applyBorder="1"/>
    <xf numFmtId="37" fontId="16" fillId="0" borderId="5" xfId="2" applyNumberFormat="1" applyFont="1" applyBorder="1" applyAlignment="1">
      <alignment vertical="center"/>
    </xf>
    <xf numFmtId="166" fontId="8" fillId="0" borderId="0" xfId="7" applyNumberFormat="1" applyFont="1" applyFill="1" applyBorder="1" applyAlignment="1">
      <alignment horizontal="right"/>
    </xf>
    <xf numFmtId="3" fontId="7" fillId="0" borderId="0" xfId="48" applyNumberFormat="1" applyFont="1">
      <alignment horizontal="right"/>
    </xf>
    <xf numFmtId="49" fontId="7" fillId="0" borderId="0" xfId="43" applyFont="1" applyAlignment="1">
      <alignment wrapText="1"/>
    </xf>
    <xf numFmtId="166" fontId="8" fillId="0" borderId="0" xfId="7" applyNumberFormat="1" applyFont="1" applyFill="1" applyBorder="1"/>
    <xf numFmtId="0" fontId="7" fillId="0" borderId="14" xfId="2" applyFont="1" applyBorder="1" applyAlignment="1">
      <alignment horizontal="center" vertical="justify"/>
    </xf>
    <xf numFmtId="41" fontId="7" fillId="0" borderId="0" xfId="2" applyNumberFormat="1" applyFont="1"/>
    <xf numFmtId="0" fontId="73" fillId="0" borderId="0" xfId="28"/>
    <xf numFmtId="37" fontId="8" fillId="0" borderId="1" xfId="2" applyNumberFormat="1" applyFont="1" applyBorder="1"/>
    <xf numFmtId="3" fontId="34" fillId="0" borderId="0" xfId="2" applyNumberFormat="1" applyFont="1" applyAlignment="1">
      <alignment horizontal="right"/>
    </xf>
    <xf numFmtId="41" fontId="7" fillId="0" borderId="0" xfId="2" applyNumberFormat="1" applyFont="1" applyAlignment="1">
      <alignment horizontal="right" vertical="center"/>
    </xf>
    <xf numFmtId="175" fontId="8" fillId="0" borderId="0" xfId="2" applyNumberFormat="1" applyFont="1"/>
    <xf numFmtId="0" fontId="7" fillId="0" borderId="5" xfId="2" applyFont="1" applyBorder="1" applyAlignment="1">
      <alignment horizontal="center" vertical="justify"/>
    </xf>
    <xf numFmtId="3" fontId="8" fillId="0" borderId="1" xfId="2" applyNumberFormat="1" applyFont="1" applyBorder="1" applyAlignment="1">
      <alignment vertical="justify"/>
    </xf>
    <xf numFmtId="1" fontId="8" fillId="0" borderId="0" xfId="2" applyNumberFormat="1" applyFont="1"/>
    <xf numFmtId="0" fontId="15" fillId="0" borderId="0" xfId="2" applyFont="1" applyAlignment="1">
      <alignment horizontal="center"/>
    </xf>
    <xf numFmtId="42" fontId="8" fillId="0" borderId="0" xfId="2" applyNumberFormat="1" applyFont="1"/>
    <xf numFmtId="0" fontId="90" fillId="0" borderId="0" xfId="2" applyFont="1"/>
    <xf numFmtId="0" fontId="87" fillId="0" borderId="0" xfId="46" applyNumberFormat="1" applyAlignment="1">
      <alignment vertical="top" wrapText="1"/>
    </xf>
    <xf numFmtId="0" fontId="48" fillId="0" borderId="0" xfId="45" applyFont="1"/>
    <xf numFmtId="0" fontId="88" fillId="0" borderId="0" xfId="49" applyFont="1" applyFill="1" applyAlignment="1">
      <alignment vertical="top" wrapText="1"/>
    </xf>
    <xf numFmtId="37" fontId="8" fillId="0" borderId="0" xfId="2" quotePrefix="1" applyNumberFormat="1" applyFont="1" applyAlignment="1">
      <alignment horizontal="right"/>
    </xf>
    <xf numFmtId="37" fontId="8" fillId="0" borderId="5" xfId="2" applyNumberFormat="1" applyFont="1" applyBorder="1"/>
    <xf numFmtId="41" fontId="8" fillId="0" borderId="0" xfId="50" applyNumberFormat="1" applyFont="1"/>
    <xf numFmtId="3" fontId="8" fillId="0" borderId="0" xfId="2" quotePrefix="1" applyNumberFormat="1" applyFont="1"/>
    <xf numFmtId="0" fontId="7" fillId="0" borderId="0" xfId="2" applyFont="1" applyAlignment="1">
      <alignment horizontal="right" vertical="justify"/>
    </xf>
    <xf numFmtId="37" fontId="7" fillId="0" borderId="0" xfId="2" applyNumberFormat="1" applyFont="1" applyAlignment="1">
      <alignment horizontal="right" vertical="justify"/>
    </xf>
    <xf numFmtId="0" fontId="8" fillId="0" borderId="0" xfId="10" applyFont="1"/>
    <xf numFmtId="0" fontId="7" fillId="0" borderId="0" xfId="10" applyAlignment="1">
      <alignment horizontal="center"/>
    </xf>
    <xf numFmtId="0" fontId="7" fillId="0" borderId="0" xfId="10" applyAlignment="1">
      <alignment horizontal="right"/>
    </xf>
    <xf numFmtId="37" fontId="7" fillId="0" borderId="0" xfId="10" applyNumberFormat="1"/>
    <xf numFmtId="37" fontId="7" fillId="0" borderId="0" xfId="10" applyNumberFormat="1" applyAlignment="1">
      <alignment horizontal="right"/>
    </xf>
    <xf numFmtId="0" fontId="92" fillId="0" borderId="0" xfId="2" applyFont="1" applyAlignment="1">
      <alignment vertical="center"/>
    </xf>
    <xf numFmtId="0" fontId="93" fillId="0" borderId="0" xfId="2" applyFont="1"/>
    <xf numFmtId="0" fontId="7" fillId="0" borderId="9" xfId="2" applyFont="1" applyBorder="1" applyAlignment="1">
      <alignment vertical="center"/>
    </xf>
    <xf numFmtId="3" fontId="93" fillId="0" borderId="0" xfId="2" applyNumberFormat="1" applyFont="1"/>
    <xf numFmtId="167" fontId="93" fillId="0" borderId="0" xfId="2" applyNumberFormat="1" applyFont="1"/>
    <xf numFmtId="3" fontId="7" fillId="0" borderId="0" xfId="32" applyNumberFormat="1" applyFont="1" applyBorder="1" applyAlignment="1">
      <alignment horizontal="right" vertical="center"/>
    </xf>
    <xf numFmtId="167" fontId="31" fillId="0" borderId="0" xfId="2" applyNumberFormat="1" applyAlignment="1">
      <alignment vertical="top"/>
    </xf>
    <xf numFmtId="167" fontId="93" fillId="0" borderId="0" xfId="2" applyNumberFormat="1" applyFont="1" applyAlignment="1">
      <alignment vertical="center"/>
    </xf>
    <xf numFmtId="3" fontId="93" fillId="0" borderId="0" xfId="2" applyNumberFormat="1" applyFont="1" applyAlignment="1">
      <alignment vertical="center"/>
    </xf>
    <xf numFmtId="166" fontId="7" fillId="0" borderId="5" xfId="32" applyNumberFormat="1" applyFont="1" applyBorder="1" applyAlignment="1">
      <alignment horizontal="left" vertical="center"/>
    </xf>
    <xf numFmtId="167" fontId="47" fillId="0" borderId="0" xfId="2" applyNumberFormat="1" applyFont="1" applyAlignment="1">
      <alignment vertical="center"/>
    </xf>
    <xf numFmtId="0" fontId="92" fillId="0" borderId="0" xfId="2" applyFont="1" applyAlignment="1">
      <alignment horizontal="left" vertical="center"/>
    </xf>
    <xf numFmtId="3" fontId="92" fillId="0" borderId="0" xfId="2" applyNumberFormat="1" applyFont="1" applyAlignment="1">
      <alignment vertical="center"/>
    </xf>
    <xf numFmtId="167" fontId="7" fillId="0" borderId="0" xfId="2" applyNumberFormat="1" applyFont="1" applyAlignment="1">
      <alignment horizontal="right" vertical="top"/>
    </xf>
    <xf numFmtId="167" fontId="31" fillId="0" borderId="5" xfId="2" applyNumberFormat="1" applyBorder="1" applyAlignment="1">
      <alignment horizontal="right" vertical="center"/>
    </xf>
    <xf numFmtId="167" fontId="31" fillId="0" borderId="5" xfId="2" applyNumberFormat="1" applyBorder="1" applyAlignment="1">
      <alignment vertical="top"/>
    </xf>
    <xf numFmtId="0" fontId="92" fillId="0" borderId="5" xfId="2" applyFont="1" applyBorder="1" applyAlignment="1">
      <alignment vertical="center"/>
    </xf>
    <xf numFmtId="166" fontId="7" fillId="0" borderId="0" xfId="32" applyNumberFormat="1" applyFont="1" applyBorder="1" applyAlignment="1">
      <alignment horizontal="right" vertical="center"/>
    </xf>
    <xf numFmtId="44" fontId="31" fillId="0" borderId="0" xfId="2" applyNumberFormat="1" applyAlignment="1">
      <alignment horizontal="right" vertical="center"/>
    </xf>
    <xf numFmtId="44" fontId="31" fillId="0" borderId="0" xfId="2" applyNumberFormat="1" applyAlignment="1">
      <alignment vertical="center"/>
    </xf>
    <xf numFmtId="3" fontId="7" fillId="0" borderId="5" xfId="32" applyNumberFormat="1" applyFont="1" applyBorder="1" applyAlignment="1">
      <alignment horizontal="right" vertical="center"/>
    </xf>
    <xf numFmtId="166" fontId="7" fillId="0" borderId="5" xfId="32" applyNumberFormat="1" applyFont="1" applyBorder="1" applyAlignment="1">
      <alignment horizontal="right" vertical="center"/>
    </xf>
    <xf numFmtId="44" fontId="31" fillId="0" borderId="5" xfId="2" applyNumberFormat="1" applyBorder="1" applyAlignment="1">
      <alignment horizontal="right" vertical="center"/>
    </xf>
    <xf numFmtId="0" fontId="48" fillId="0" borderId="5" xfId="2" applyFont="1" applyBorder="1"/>
    <xf numFmtId="3" fontId="48" fillId="0" borderId="5" xfId="2" applyNumberFormat="1" applyFont="1" applyBorder="1"/>
    <xf numFmtId="0" fontId="8" fillId="0" borderId="1" xfId="2" applyFont="1" applyBorder="1" applyAlignment="1">
      <alignment horizontal="left" vertical="center"/>
    </xf>
    <xf numFmtId="2" fontId="7" fillId="0" borderId="0" xfId="2" applyNumberFormat="1" applyFont="1" applyAlignment="1">
      <alignment horizontal="left" vertical="center" indent="1"/>
    </xf>
    <xf numFmtId="2" fontId="16" fillId="0" borderId="0" xfId="2" applyNumberFormat="1" applyFont="1" applyAlignment="1">
      <alignment vertical="center"/>
    </xf>
    <xf numFmtId="3" fontId="7" fillId="0" borderId="0" xfId="32" applyNumberFormat="1" applyFont="1" applyAlignment="1">
      <alignment vertical="top"/>
    </xf>
    <xf numFmtId="3" fontId="7" fillId="0" borderId="5" xfId="32" applyNumberFormat="1" applyFont="1" applyBorder="1" applyAlignment="1">
      <alignment vertical="top"/>
    </xf>
    <xf numFmtId="3" fontId="7" fillId="0" borderId="0" xfId="32" applyNumberFormat="1" applyFont="1" applyAlignment="1">
      <alignment vertical="center"/>
    </xf>
    <xf numFmtId="3" fontId="7" fillId="0" borderId="5" xfId="32" applyNumberFormat="1" applyFont="1" applyBorder="1" applyAlignment="1">
      <alignment vertical="center"/>
    </xf>
    <xf numFmtId="3" fontId="7" fillId="0" borderId="0" xfId="32" applyNumberFormat="1" applyFont="1" applyBorder="1" applyAlignment="1">
      <alignment vertical="center"/>
    </xf>
    <xf numFmtId="188" fontId="31" fillId="0" borderId="0" xfId="2" applyNumberFormat="1"/>
    <xf numFmtId="188" fontId="7" fillId="0" borderId="0" xfId="2" applyNumberFormat="1" applyFont="1"/>
    <xf numFmtId="188" fontId="7" fillId="0" borderId="0" xfId="2" applyNumberFormat="1" applyFont="1" applyAlignment="1">
      <alignment horizontal="right" vertical="center"/>
    </xf>
    <xf numFmtId="0" fontId="92" fillId="0" borderId="0" xfId="2" applyFont="1" applyAlignment="1">
      <alignment horizontal="center" vertical="center"/>
    </xf>
    <xf numFmtId="0" fontId="7" fillId="0" borderId="0" xfId="51" applyFont="1" applyAlignment="1">
      <alignment horizontal="left" vertical="center"/>
    </xf>
    <xf numFmtId="0" fontId="8" fillId="0" borderId="0" xfId="51" applyFont="1" applyAlignment="1">
      <alignment horizontal="left" vertical="center"/>
    </xf>
    <xf numFmtId="0" fontId="8" fillId="0" borderId="9" xfId="2" applyFont="1" applyBorder="1" applyAlignment="1">
      <alignment horizontal="left"/>
    </xf>
    <xf numFmtId="0" fontId="7" fillId="0" borderId="1" xfId="2" applyFont="1" applyBorder="1" applyAlignment="1">
      <alignment wrapText="1"/>
    </xf>
    <xf numFmtId="0" fontId="7" fillId="0" borderId="3" xfId="2" applyFont="1" applyBorder="1" applyAlignment="1">
      <alignment wrapText="1"/>
    </xf>
    <xf numFmtId="0" fontId="7" fillId="0" borderId="10" xfId="2" applyFont="1" applyBorder="1" applyAlignment="1">
      <alignment wrapText="1"/>
    </xf>
    <xf numFmtId="3" fontId="7" fillId="0" borderId="3" xfId="2" applyNumberFormat="1" applyFont="1" applyBorder="1" applyAlignment="1">
      <alignment horizontal="right" wrapText="1"/>
    </xf>
    <xf numFmtId="3" fontId="7" fillId="0" borderId="13" xfId="2" applyNumberFormat="1" applyFont="1" applyBorder="1" applyAlignment="1">
      <alignment horizontal="right" wrapText="1"/>
    </xf>
    <xf numFmtId="0" fontId="8" fillId="0" borderId="12" xfId="2" applyFont="1" applyBorder="1" applyAlignment="1">
      <alignment horizontal="left"/>
    </xf>
    <xf numFmtId="0" fontId="50" fillId="0" borderId="7" xfId="2" applyFont="1" applyBorder="1"/>
    <xf numFmtId="0" fontId="50" fillId="0" borderId="3" xfId="2" applyFont="1" applyBorder="1"/>
    <xf numFmtId="0" fontId="8" fillId="0" borderId="4" xfId="2" applyFont="1" applyBorder="1"/>
    <xf numFmtId="0" fontId="8" fillId="0" borderId="11" xfId="2" applyFont="1" applyBorder="1"/>
    <xf numFmtId="3" fontId="7" fillId="0" borderId="4" xfId="2" applyNumberFormat="1" applyFont="1" applyBorder="1" applyAlignment="1">
      <alignment horizontal="right" wrapText="1"/>
    </xf>
    <xf numFmtId="0" fontId="7" fillId="0" borderId="9" xfId="51" applyFont="1" applyBorder="1" applyAlignment="1">
      <alignment horizontal="left" vertical="center"/>
    </xf>
    <xf numFmtId="0" fontId="7" fillId="0" borderId="9" xfId="51" applyFont="1" applyBorder="1" applyAlignment="1">
      <alignment horizontal="right" vertical="center"/>
    </xf>
    <xf numFmtId="0" fontId="7" fillId="0" borderId="12" xfId="51" applyFont="1" applyBorder="1" applyAlignment="1">
      <alignment horizontal="right" vertical="center"/>
    </xf>
    <xf numFmtId="0" fontId="8" fillId="0" borderId="0" xfId="51" applyFont="1" applyAlignment="1">
      <alignment horizontal="right" vertical="center"/>
    </xf>
    <xf numFmtId="0" fontId="7" fillId="0" borderId="2" xfId="2" applyFont="1" applyBorder="1" applyAlignment="1">
      <alignment horizontal="left" vertical="center" indent="1"/>
    </xf>
    <xf numFmtId="0" fontId="7" fillId="0" borderId="2" xfId="2" applyFont="1" applyBorder="1" applyAlignment="1">
      <alignment horizontal="right" vertical="top"/>
    </xf>
    <xf numFmtId="171" fontId="8" fillId="0" borderId="0" xfId="2" applyNumberFormat="1" applyFont="1"/>
    <xf numFmtId="171" fontId="8" fillId="0" borderId="1" xfId="2" applyNumberFormat="1" applyFont="1" applyBorder="1"/>
    <xf numFmtId="17" fontId="7" fillId="0" borderId="1" xfId="2" applyNumberFormat="1" applyFont="1" applyBorder="1"/>
    <xf numFmtId="0" fontId="7" fillId="0" borderId="1" xfId="51" applyFont="1" applyBorder="1" applyAlignment="1">
      <alignment horizontal="left" vertical="center"/>
    </xf>
    <xf numFmtId="3" fontId="7" fillId="0" borderId="0" xfId="51" applyNumberFormat="1" applyFont="1" applyAlignment="1">
      <alignment horizontal="right" vertical="center"/>
    </xf>
    <xf numFmtId="1" fontId="7" fillId="0" borderId="0" xfId="2" applyNumberFormat="1" applyFont="1" applyAlignment="1">
      <alignment vertical="top"/>
    </xf>
    <xf numFmtId="17" fontId="7" fillId="0" borderId="0" xfId="2" applyNumberFormat="1" applyFont="1"/>
    <xf numFmtId="164" fontId="8" fillId="0" borderId="0" xfId="2" applyNumberFormat="1" applyFont="1" applyAlignment="1">
      <alignment vertical="center"/>
    </xf>
    <xf numFmtId="3" fontId="7" fillId="0" borderId="0" xfId="51" applyNumberFormat="1" applyFont="1"/>
    <xf numFmtId="37" fontId="7" fillId="0" borderId="0" xfId="51" applyNumberFormat="1" applyFont="1" applyAlignment="1">
      <alignment vertical="top"/>
    </xf>
    <xf numFmtId="41" fontId="7" fillId="0" borderId="0" xfId="3" applyNumberFormat="1" applyAlignment="1">
      <alignment horizontal="right"/>
    </xf>
    <xf numFmtId="41" fontId="1" fillId="0" borderId="0" xfId="2" applyNumberFormat="1" applyFont="1"/>
    <xf numFmtId="41" fontId="31" fillId="0" borderId="0" xfId="2" applyNumberFormat="1"/>
    <xf numFmtId="0" fontId="8" fillId="0" borderId="5" xfId="2" applyFont="1" applyBorder="1" applyAlignment="1">
      <alignment horizontal="left"/>
    </xf>
    <xf numFmtId="164" fontId="8" fillId="0" borderId="5" xfId="2" applyNumberFormat="1" applyFont="1" applyBorder="1" applyAlignment="1">
      <alignment horizontal="right"/>
    </xf>
    <xf numFmtId="41" fontId="31" fillId="0" borderId="0" xfId="2" applyNumberFormat="1" applyAlignment="1">
      <alignment horizontal="right"/>
    </xf>
    <xf numFmtId="44" fontId="7" fillId="0" borderId="0" xfId="2" applyNumberFormat="1" applyFont="1" applyAlignment="1">
      <alignment horizontal="left"/>
    </xf>
    <xf numFmtId="189" fontId="7" fillId="0" borderId="0" xfId="2" applyNumberFormat="1" applyFont="1" applyAlignment="1">
      <alignment horizontal="left"/>
    </xf>
    <xf numFmtId="44" fontId="7" fillId="0" borderId="0" xfId="2" applyNumberFormat="1" applyFont="1" applyAlignment="1">
      <alignment horizontal="right"/>
    </xf>
    <xf numFmtId="4" fontId="31" fillId="0" borderId="0" xfId="2" applyNumberFormat="1"/>
    <xf numFmtId="44" fontId="7" fillId="0" borderId="0" xfId="2" applyNumberFormat="1" applyFont="1"/>
    <xf numFmtId="189" fontId="7" fillId="0" borderId="0" xfId="2" applyNumberFormat="1" applyFont="1"/>
    <xf numFmtId="189" fontId="7" fillId="0" borderId="0" xfId="2" applyNumberFormat="1" applyFont="1" applyAlignment="1">
      <alignment horizontal="right"/>
    </xf>
    <xf numFmtId="3" fontId="8" fillId="0" borderId="0" xfId="52" applyNumberFormat="1" applyFont="1" applyAlignment="1">
      <alignment horizontal="left" vertical="center"/>
    </xf>
    <xf numFmtId="3" fontId="8" fillId="0" borderId="0" xfId="52" applyNumberFormat="1" applyFont="1" applyAlignment="1">
      <alignment horizontal="center" vertical="center"/>
    </xf>
    <xf numFmtId="0" fontId="8" fillId="0" borderId="0" xfId="2" applyFont="1" applyAlignment="1">
      <alignment horizontal="right" vertical="center" indent="1"/>
    </xf>
    <xf numFmtId="178" fontId="8" fillId="0" borderId="0" xfId="2" applyNumberFormat="1" applyFont="1"/>
    <xf numFmtId="178" fontId="8" fillId="0" borderId="0" xfId="2" applyNumberFormat="1" applyFont="1" applyAlignment="1">
      <alignment horizontal="right"/>
    </xf>
    <xf numFmtId="9" fontId="7" fillId="0" borderId="0" xfId="2" applyNumberFormat="1" applyFont="1"/>
    <xf numFmtId="0" fontId="7" fillId="0" borderId="5" xfId="51" applyFont="1" applyBorder="1" applyAlignment="1">
      <alignment horizontal="left" vertical="center"/>
    </xf>
    <xf numFmtId="3" fontId="7" fillId="0" borderId="5" xfId="51" applyNumberFormat="1" applyFont="1" applyBorder="1"/>
    <xf numFmtId="37" fontId="7" fillId="0" borderId="5" xfId="51" applyNumberFormat="1" applyFont="1" applyBorder="1" applyAlignment="1">
      <alignment vertical="top"/>
    </xf>
    <xf numFmtId="189" fontId="7" fillId="0" borderId="0" xfId="2" quotePrefix="1" applyNumberFormat="1" applyFont="1" applyAlignment="1">
      <alignment horizontal="right"/>
    </xf>
    <xf numFmtId="3" fontId="7" fillId="0" borderId="0" xfId="2" quotePrefix="1" applyNumberFormat="1" applyFont="1" applyAlignment="1">
      <alignment vertical="center"/>
    </xf>
    <xf numFmtId="17" fontId="15" fillId="0" borderId="0" xfId="2" applyNumberFormat="1" applyFont="1" applyAlignment="1">
      <alignment horizontal="left"/>
    </xf>
    <xf numFmtId="164" fontId="8" fillId="0" borderId="0" xfId="2" applyNumberFormat="1" applyFont="1" applyAlignment="1">
      <alignment horizontal="left" vertical="center" indent="1"/>
    </xf>
    <xf numFmtId="171" fontId="8" fillId="0" borderId="0" xfId="2" applyNumberFormat="1" applyFont="1" applyAlignment="1">
      <alignment vertical="top"/>
    </xf>
    <xf numFmtId="0" fontId="15" fillId="0" borderId="0" xfId="2" applyFont="1" applyAlignment="1">
      <alignment horizontal="left"/>
    </xf>
    <xf numFmtId="41" fontId="7" fillId="0" borderId="5" xfId="3" applyNumberFormat="1" applyBorder="1" applyAlignment="1">
      <alignment horizontal="right"/>
    </xf>
    <xf numFmtId="41" fontId="7" fillId="0" borderId="5" xfId="2" applyNumberFormat="1" applyFont="1" applyBorder="1" applyAlignment="1">
      <alignment horizontal="right"/>
    </xf>
    <xf numFmtId="41" fontId="31" fillId="0" borderId="5" xfId="2" applyNumberFormat="1" applyBorder="1" applyAlignment="1">
      <alignment horizontal="right"/>
    </xf>
    <xf numFmtId="41" fontId="31" fillId="0" borderId="5" xfId="2" applyNumberFormat="1" applyBorder="1"/>
    <xf numFmtId="41" fontId="7" fillId="0" borderId="5" xfId="2" applyNumberFormat="1" applyFont="1" applyBorder="1"/>
    <xf numFmtId="178" fontId="8" fillId="0" borderId="0" xfId="2" applyNumberFormat="1" applyFont="1" applyAlignment="1">
      <alignment horizontal="left" vertical="center"/>
    </xf>
    <xf numFmtId="0" fontId="7" fillId="0" borderId="2" xfId="51" applyFont="1" applyBorder="1" applyAlignment="1">
      <alignment horizontal="right" vertical="center"/>
    </xf>
    <xf numFmtId="189" fontId="7" fillId="0" borderId="5" xfId="2" quotePrefix="1" applyNumberFormat="1" applyFont="1" applyBorder="1" applyAlignment="1">
      <alignment horizontal="right"/>
    </xf>
    <xf numFmtId="44" fontId="7" fillId="0" borderId="5" xfId="2" applyNumberFormat="1" applyFont="1" applyBorder="1"/>
    <xf numFmtId="4" fontId="7" fillId="0" borderId="5" xfId="2" applyNumberFormat="1" applyFont="1" applyBorder="1" applyAlignment="1">
      <alignment horizontal="right"/>
    </xf>
    <xf numFmtId="0" fontId="96" fillId="0" borderId="0" xfId="2" applyFont="1" applyAlignment="1">
      <alignment vertical="center"/>
    </xf>
    <xf numFmtId="167" fontId="8" fillId="0" borderId="0" xfId="2" applyNumberFormat="1" applyFont="1" applyAlignment="1">
      <alignment vertical="center"/>
    </xf>
    <xf numFmtId="171" fontId="8" fillId="0" borderId="5" xfId="2" applyNumberFormat="1" applyFont="1" applyBorder="1"/>
    <xf numFmtId="0" fontId="7" fillId="0" borderId="0" xfId="51" applyFont="1" applyAlignment="1">
      <alignment horizontal="right" vertical="center"/>
    </xf>
    <xf numFmtId="9" fontId="8" fillId="0" borderId="0" xfId="2" applyNumberFormat="1" applyFont="1"/>
    <xf numFmtId="165" fontId="8" fillId="0" borderId="0" xfId="2" applyNumberFormat="1" applyFont="1"/>
    <xf numFmtId="3" fontId="7" fillId="0" borderId="0" xfId="51" applyNumberFormat="1" applyFont="1" applyAlignment="1">
      <alignment vertical="center"/>
    </xf>
    <xf numFmtId="3" fontId="7" fillId="0" borderId="0" xfId="2" applyNumberFormat="1" applyFont="1" applyAlignment="1">
      <alignment horizontal="right" wrapText="1"/>
    </xf>
    <xf numFmtId="41" fontId="1" fillId="0" borderId="0" xfId="2" applyNumberFormat="1" applyFont="1" applyAlignment="1">
      <alignment horizontal="right"/>
    </xf>
    <xf numFmtId="39" fontId="8" fillId="0" borderId="0" xfId="2" applyNumberFormat="1" applyFont="1"/>
    <xf numFmtId="3" fontId="7" fillId="0" borderId="5" xfId="3" applyNumberFormat="1" applyBorder="1"/>
    <xf numFmtId="0" fontId="97" fillId="0" borderId="0" xfId="2" applyFont="1" applyAlignment="1">
      <alignment horizontal="left" indent="1"/>
    </xf>
    <xf numFmtId="164" fontId="8" fillId="0" borderId="0" xfId="2" applyNumberFormat="1" applyFont="1" applyAlignment="1">
      <alignment horizontal="left" vertical="center"/>
    </xf>
    <xf numFmtId="0" fontId="98" fillId="0" borderId="0" xfId="2" applyFont="1"/>
    <xf numFmtId="3" fontId="99" fillId="0" borderId="0" xfId="2" applyNumberFormat="1" applyFont="1" applyAlignment="1">
      <alignment horizontal="right"/>
    </xf>
    <xf numFmtId="3" fontId="50" fillId="0" borderId="0" xfId="2" applyNumberFormat="1" applyFont="1" applyAlignment="1">
      <alignment horizontal="right"/>
    </xf>
    <xf numFmtId="0" fontId="37" fillId="0" borderId="0" xfId="2" applyFont="1" applyAlignment="1">
      <alignment horizontal="left"/>
    </xf>
    <xf numFmtId="2" fontId="7" fillId="0" borderId="0" xfId="33" applyNumberFormat="1" applyFont="1" applyFill="1" applyBorder="1" applyAlignment="1" applyProtection="1"/>
    <xf numFmtId="16" fontId="31" fillId="0" borderId="0" xfId="2" quotePrefix="1" applyNumberFormat="1" applyAlignment="1">
      <alignment horizontal="right"/>
    </xf>
    <xf numFmtId="16" fontId="31" fillId="0" borderId="0" xfId="2" applyNumberFormat="1"/>
    <xf numFmtId="0" fontId="4" fillId="0" borderId="5" xfId="0" applyFont="1" applyBorder="1" applyAlignment="1">
      <alignment vertical="center"/>
    </xf>
    <xf numFmtId="0" fontId="8" fillId="0" borderId="0" xfId="3" applyFont="1" applyAlignment="1">
      <alignment horizontal="left" vertical="center"/>
    </xf>
    <xf numFmtId="0" fontId="5" fillId="0" borderId="0" xfId="0" applyFont="1" applyAlignment="1">
      <alignment horizontal="left" vertical="center"/>
    </xf>
    <xf numFmtId="0" fontId="4" fillId="0" borderId="2" xfId="0" applyFont="1" applyBorder="1" applyAlignment="1">
      <alignment horizontal="right" vertical="center"/>
    </xf>
    <xf numFmtId="0" fontId="4" fillId="0" borderId="0" xfId="0" applyFont="1" applyAlignment="1">
      <alignment horizontal="right" vertical="center"/>
    </xf>
    <xf numFmtId="165" fontId="8" fillId="0" borderId="6" xfId="0" applyNumberFormat="1" applyFont="1" applyBorder="1" applyAlignment="1">
      <alignment horizontal="right" vertical="center" wrapText="1"/>
    </xf>
    <xf numFmtId="0" fontId="4" fillId="0" borderId="12" xfId="0" applyFont="1" applyBorder="1" applyAlignment="1">
      <alignment vertical="center"/>
    </xf>
    <xf numFmtId="165" fontId="8" fillId="0" borderId="0" xfId="0" applyNumberFormat="1" applyFont="1" applyAlignment="1">
      <alignment horizontal="right" vertical="center" wrapText="1"/>
    </xf>
    <xf numFmtId="3" fontId="4" fillId="0" borderId="0" xfId="0" applyNumberFormat="1" applyFont="1" applyAlignment="1">
      <alignment horizontal="right" vertical="center"/>
    </xf>
    <xf numFmtId="3" fontId="4" fillId="0" borderId="0" xfId="0" applyNumberFormat="1" applyFont="1" applyAlignment="1">
      <alignment horizontal="left" vertical="center"/>
    </xf>
    <xf numFmtId="0" fontId="8" fillId="0" borderId="0" xfId="3" applyFont="1" applyAlignment="1">
      <alignment vertical="center"/>
    </xf>
    <xf numFmtId="0" fontId="101" fillId="0" borderId="0" xfId="0" applyFont="1" applyAlignment="1">
      <alignment vertical="center"/>
    </xf>
    <xf numFmtId="0" fontId="101" fillId="0" borderId="0" xfId="0" applyFont="1"/>
    <xf numFmtId="165" fontId="8" fillId="0" borderId="0" xfId="0" applyNumberFormat="1" applyFont="1" applyAlignment="1">
      <alignment vertical="center"/>
    </xf>
    <xf numFmtId="38" fontId="8" fillId="0" borderId="0" xfId="0" applyNumberFormat="1" applyFont="1" applyAlignment="1">
      <alignment vertical="center"/>
    </xf>
    <xf numFmtId="38" fontId="101" fillId="0" borderId="0" xfId="0" applyNumberFormat="1" applyFont="1" applyAlignment="1">
      <alignment horizontal="right" vertical="center"/>
    </xf>
    <xf numFmtId="3" fontId="4" fillId="0" borderId="0" xfId="0" applyNumberFormat="1" applyFont="1" applyAlignment="1">
      <alignment vertical="center"/>
    </xf>
    <xf numFmtId="0" fontId="101" fillId="0" borderId="0" xfId="0" applyFont="1" applyAlignment="1">
      <alignment horizontal="left" vertical="center" indent="1"/>
    </xf>
    <xf numFmtId="0" fontId="102" fillId="0" borderId="0" xfId="0" applyFont="1"/>
    <xf numFmtId="0" fontId="101" fillId="0" borderId="0" xfId="0" applyFont="1" applyAlignment="1">
      <alignment horizontal="left" vertical="center" indent="2"/>
    </xf>
    <xf numFmtId="0" fontId="101" fillId="0" borderId="0" xfId="0" applyFont="1" applyAlignment="1">
      <alignment horizontal="left" vertical="center" indent="3"/>
    </xf>
    <xf numFmtId="0" fontId="101" fillId="0" borderId="5" xfId="0" applyFont="1" applyBorder="1" applyAlignment="1">
      <alignment horizontal="left" vertical="center" indent="3"/>
    </xf>
    <xf numFmtId="38" fontId="101" fillId="0" borderId="5" xfId="0" applyNumberFormat="1" applyFont="1" applyBorder="1" applyAlignment="1">
      <alignment horizontal="right" vertical="center"/>
    </xf>
    <xf numFmtId="165" fontId="8" fillId="0" borderId="5" xfId="0" applyNumberFormat="1" applyFont="1" applyBorder="1" applyAlignment="1">
      <alignment vertical="center"/>
    </xf>
    <xf numFmtId="38" fontId="8" fillId="0" borderId="0" xfId="0" applyNumberFormat="1" applyFont="1" applyAlignment="1">
      <alignment horizontal="right" vertical="center"/>
    </xf>
    <xf numFmtId="0" fontId="8" fillId="0" borderId="0" xfId="0" applyFont="1"/>
    <xf numFmtId="3" fontId="71" fillId="0" borderId="0" xfId="0" applyNumberFormat="1" applyFont="1" applyAlignment="1">
      <alignment horizontal="left" vertical="center"/>
    </xf>
    <xf numFmtId="3" fontId="71" fillId="0" borderId="0" xfId="0" applyNumberFormat="1" applyFont="1" applyAlignment="1">
      <alignment vertical="center"/>
    </xf>
    <xf numFmtId="0" fontId="71" fillId="0" borderId="0" xfId="0" applyFont="1" applyAlignment="1">
      <alignment vertical="center"/>
    </xf>
    <xf numFmtId="0" fontId="34" fillId="0" borderId="0" xfId="0" applyFont="1" applyAlignment="1">
      <alignment vertical="center"/>
    </xf>
    <xf numFmtId="0" fontId="71" fillId="0" borderId="0" xfId="0" applyFont="1"/>
    <xf numFmtId="0" fontId="8" fillId="0" borderId="1" xfId="0" applyFont="1" applyBorder="1"/>
    <xf numFmtId="3" fontId="71" fillId="0" borderId="0" xfId="0" applyNumberFormat="1" applyFont="1" applyAlignment="1">
      <alignment horizontal="right" vertical="center"/>
    </xf>
    <xf numFmtId="0" fontId="34" fillId="0" borderId="0" xfId="0" applyFont="1"/>
    <xf numFmtId="3" fontId="4" fillId="0" borderId="0" xfId="0" applyNumberFormat="1" applyFont="1"/>
    <xf numFmtId="0" fontId="4" fillId="0" borderId="0" xfId="0" applyFont="1" applyAlignment="1">
      <alignment horizontal="left" indent="1"/>
    </xf>
    <xf numFmtId="0" fontId="4" fillId="0" borderId="0" xfId="0" applyFont="1" applyAlignment="1">
      <alignment horizontal="left" indent="2"/>
    </xf>
    <xf numFmtId="3" fontId="23" fillId="0" borderId="0" xfId="0" applyNumberFormat="1" applyFont="1"/>
    <xf numFmtId="2" fontId="4" fillId="0" borderId="0" xfId="0" applyNumberFormat="1" applyFont="1" applyAlignment="1">
      <alignment horizontal="left" indent="1"/>
    </xf>
    <xf numFmtId="0" fontId="8" fillId="0" borderId="1" xfId="54" applyNumberFormat="1" applyFont="1" applyFill="1" applyBorder="1" applyAlignment="1" applyProtection="1">
      <alignment vertical="center"/>
    </xf>
    <xf numFmtId="0" fontId="8" fillId="0" borderId="0" xfId="54" applyNumberFormat="1" applyFont="1" applyFill="1" applyBorder="1" applyAlignment="1" applyProtection="1">
      <alignment vertical="center"/>
    </xf>
    <xf numFmtId="0" fontId="9" fillId="2" borderId="2" xfId="0" applyFont="1" applyFill="1" applyBorder="1" applyAlignment="1">
      <alignment horizontal="center" wrapText="1"/>
    </xf>
    <xf numFmtId="0" fontId="9" fillId="2" borderId="15" xfId="0" applyFont="1" applyFill="1" applyBorder="1"/>
    <xf numFmtId="0" fontId="9" fillId="2" borderId="8" xfId="0" applyFont="1" applyFill="1" applyBorder="1"/>
    <xf numFmtId="0" fontId="24" fillId="0" borderId="0" xfId="0" applyFont="1" applyAlignment="1">
      <alignment wrapText="1"/>
    </xf>
    <xf numFmtId="0" fontId="24" fillId="0" borderId="0" xfId="0" applyFont="1" applyAlignment="1">
      <alignment horizontal="right" wrapText="1"/>
    </xf>
    <xf numFmtId="3" fontId="24" fillId="0" borderId="0" xfId="0" applyNumberFormat="1" applyFont="1" applyAlignment="1">
      <alignment horizontal="right" wrapText="1"/>
    </xf>
    <xf numFmtId="0" fontId="24" fillId="0" borderId="5" xfId="0" applyFont="1" applyBorder="1" applyAlignment="1">
      <alignment wrapText="1"/>
    </xf>
    <xf numFmtId="0" fontId="24" fillId="0" borderId="5" xfId="0" applyFont="1" applyBorder="1" applyAlignment="1">
      <alignment horizontal="right" wrapText="1"/>
    </xf>
    <xf numFmtId="0" fontId="1" fillId="0" borderId="10" xfId="0" applyFont="1" applyBorder="1" applyAlignment="1">
      <alignment horizontal="right" vertical="center"/>
    </xf>
    <xf numFmtId="0" fontId="1" fillId="0" borderId="11" xfId="0" applyFont="1" applyBorder="1" applyAlignment="1">
      <alignment horizontal="right" vertical="center"/>
    </xf>
    <xf numFmtId="0" fontId="1" fillId="0" borderId="4" xfId="0" applyFont="1" applyBorder="1" applyAlignment="1">
      <alignment horizontal="right" vertical="center"/>
    </xf>
    <xf numFmtId="0" fontId="1" fillId="0" borderId="3" xfId="0" applyFont="1" applyBorder="1" applyAlignment="1">
      <alignment horizontal="right" vertical="center"/>
    </xf>
    <xf numFmtId="0" fontId="48" fillId="0" borderId="0" xfId="2" applyFont="1" applyAlignment="1">
      <alignment horizontal="left" vertical="center"/>
    </xf>
    <xf numFmtId="0" fontId="4" fillId="0" borderId="0" xfId="0" applyFont="1" applyAlignment="1">
      <alignment horizontal="left" vertical="center" wrapText="1"/>
    </xf>
    <xf numFmtId="0" fontId="31" fillId="0" borderId="10" xfId="2" applyBorder="1" applyAlignment="1">
      <alignment vertical="center"/>
    </xf>
    <xf numFmtId="0" fontId="9" fillId="0" borderId="0" xfId="0" applyFont="1" applyAlignment="1">
      <alignment horizontal="left" vertical="center"/>
    </xf>
    <xf numFmtId="0" fontId="1" fillId="0" borderId="0" xfId="12" applyFont="1" applyAlignment="1">
      <alignment horizontal="right"/>
    </xf>
    <xf numFmtId="0" fontId="42" fillId="0" borderId="0" xfId="2" applyFont="1"/>
    <xf numFmtId="0" fontId="81" fillId="0" borderId="0" xfId="2" applyFont="1" applyAlignment="1">
      <alignment horizontal="left" wrapText="1"/>
    </xf>
    <xf numFmtId="0" fontId="79" fillId="0" borderId="0" xfId="2" applyFont="1"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vertical="center"/>
    </xf>
    <xf numFmtId="0" fontId="80" fillId="0" borderId="0" xfId="2" applyFont="1" applyAlignment="1">
      <alignment horizontal="right" vertical="center"/>
    </xf>
    <xf numFmtId="0" fontId="81" fillId="0" borderId="0" xfId="2" applyFont="1" applyAlignment="1">
      <alignment horizontal="right" vertical="center"/>
    </xf>
    <xf numFmtId="0" fontId="81" fillId="0" borderId="0" xfId="2" applyFont="1" applyAlignment="1">
      <alignment horizontal="center" vertical="center"/>
    </xf>
    <xf numFmtId="49" fontId="15" fillId="0" borderId="0" xfId="2" applyNumberFormat="1" applyFont="1"/>
    <xf numFmtId="0" fontId="103" fillId="0" borderId="1" xfId="2" applyFont="1" applyBorder="1" applyAlignment="1">
      <alignment vertical="center"/>
    </xf>
    <xf numFmtId="0" fontId="103" fillId="0" borderId="1" xfId="2" applyFont="1" applyBorder="1"/>
    <xf numFmtId="0" fontId="103" fillId="0" borderId="0" xfId="2" applyFont="1" applyAlignment="1">
      <alignment vertical="top" wrapText="1"/>
    </xf>
    <xf numFmtId="0" fontId="103" fillId="0" borderId="0" xfId="2" applyFont="1"/>
    <xf numFmtId="0" fontId="103" fillId="0" borderId="0" xfId="2" applyFont="1" applyAlignment="1">
      <alignment horizontal="left" vertical="top"/>
    </xf>
    <xf numFmtId="0" fontId="104" fillId="0" borderId="0" xfId="5" applyFont="1"/>
    <xf numFmtId="8" fontId="104" fillId="0" borderId="0" xfId="5" applyNumberFormat="1" applyFont="1"/>
    <xf numFmtId="6" fontId="104" fillId="0" borderId="0" xfId="5" applyNumberFormat="1" applyFont="1"/>
    <xf numFmtId="164" fontId="104" fillId="0" borderId="0" xfId="5" applyNumberFormat="1" applyFont="1"/>
    <xf numFmtId="166" fontId="7" fillId="0" borderId="0" xfId="34" quotePrefix="1" applyNumberFormat="1" applyFont="1" applyFill="1" applyBorder="1" applyAlignment="1">
      <alignment horizontal="right" vertical="top" wrapText="1"/>
    </xf>
    <xf numFmtId="41" fontId="7" fillId="0" borderId="0" xfId="34" quotePrefix="1" applyNumberFormat="1" applyFont="1" applyFill="1" applyBorder="1" applyAlignment="1">
      <alignment horizontal="right" vertical="top" wrapText="1"/>
    </xf>
    <xf numFmtId="41" fontId="7" fillId="0" borderId="0" xfId="34" applyNumberFormat="1" applyFont="1" applyFill="1" applyBorder="1" applyAlignment="1">
      <alignment horizontal="right" vertical="top" wrapText="1"/>
    </xf>
    <xf numFmtId="166" fontId="7" fillId="0" borderId="0" xfId="34" applyNumberFormat="1" applyFont="1" applyFill="1" applyBorder="1" applyAlignment="1">
      <alignment horizontal="right" vertical="top" wrapText="1"/>
    </xf>
    <xf numFmtId="4" fontId="7" fillId="0" borderId="0" xfId="2" applyNumberFormat="1" applyFont="1" applyAlignment="1">
      <alignment horizontal="right" vertical="top" wrapText="1"/>
    </xf>
    <xf numFmtId="49" fontId="15" fillId="0" borderId="0" xfId="2" quotePrefix="1" applyNumberFormat="1" applyFont="1" applyAlignment="1">
      <alignment vertical="top" wrapText="1"/>
    </xf>
    <xf numFmtId="0" fontId="15" fillId="0" borderId="0" xfId="2" quotePrefix="1" applyFont="1" applyAlignment="1">
      <alignment vertical="top" wrapText="1"/>
    </xf>
    <xf numFmtId="0" fontId="89" fillId="0" borderId="0" xfId="2" applyFont="1"/>
    <xf numFmtId="0" fontId="73" fillId="0" borderId="0" xfId="28" applyFill="1"/>
    <xf numFmtId="4" fontId="8" fillId="0" borderId="0" xfId="2" applyNumberFormat="1" applyFont="1"/>
    <xf numFmtId="0" fontId="16" fillId="0" borderId="12" xfId="2" applyFont="1" applyBorder="1" applyAlignment="1">
      <alignment vertical="center"/>
    </xf>
    <xf numFmtId="0" fontId="16" fillId="0" borderId="6" xfId="2" applyFont="1" applyBorder="1" applyAlignment="1">
      <alignment horizontal="right" vertical="center"/>
    </xf>
    <xf numFmtId="0" fontId="52" fillId="0" borderId="0" xfId="2" applyFont="1"/>
    <xf numFmtId="41" fontId="8" fillId="0" borderId="0" xfId="2" applyNumberFormat="1" applyFont="1"/>
    <xf numFmtId="0" fontId="8" fillId="0" borderId="0" xfId="2" applyFont="1" applyAlignment="1">
      <alignment vertical="justify"/>
    </xf>
    <xf numFmtId="0" fontId="52" fillId="0" borderId="0" xfId="2" applyFont="1" applyAlignment="1">
      <alignment horizontal="center"/>
    </xf>
    <xf numFmtId="166" fontId="7" fillId="0" borderId="0" xfId="7" applyNumberFormat="1" applyFont="1" applyFill="1"/>
    <xf numFmtId="166" fontId="7" fillId="0" borderId="5" xfId="7" applyNumberFormat="1" applyFont="1" applyFill="1" applyBorder="1"/>
    <xf numFmtId="166" fontId="7" fillId="0" borderId="5" xfId="7" applyNumberFormat="1" applyFont="1" applyFill="1" applyBorder="1" applyAlignment="1"/>
    <xf numFmtId="166" fontId="7" fillId="0" borderId="0" xfId="7" applyNumberFormat="1" applyFont="1" applyFill="1" applyAlignment="1">
      <alignment horizontal="right" vertical="center"/>
    </xf>
    <xf numFmtId="166" fontId="7" fillId="0" borderId="5" xfId="7" applyNumberFormat="1" applyFont="1" applyFill="1" applyBorder="1" applyAlignment="1">
      <alignment horizontal="right" vertical="center"/>
    </xf>
    <xf numFmtId="166" fontId="7" fillId="0" borderId="0" xfId="7" applyNumberFormat="1" applyFont="1" applyFill="1" applyBorder="1" applyAlignment="1">
      <alignment horizontal="right"/>
    </xf>
    <xf numFmtId="166" fontId="7" fillId="0" borderId="0" xfId="7" applyNumberFormat="1" applyFont="1" applyFill="1" applyBorder="1"/>
    <xf numFmtId="166" fontId="7" fillId="0" borderId="0" xfId="7" applyNumberFormat="1" applyFont="1" applyFill="1" applyBorder="1" applyAlignment="1"/>
    <xf numFmtId="3" fontId="7" fillId="0" borderId="1" xfId="2" applyNumberFormat="1" applyFont="1" applyBorder="1" applyAlignment="1">
      <alignment vertical="justify"/>
    </xf>
    <xf numFmtId="37" fontId="7" fillId="0" borderId="1" xfId="2" applyNumberFormat="1" applyFont="1" applyBorder="1"/>
    <xf numFmtId="3" fontId="7" fillId="0" borderId="5" xfId="2" quotePrefix="1" applyNumberFormat="1" applyFont="1" applyBorder="1"/>
    <xf numFmtId="0" fontId="7" fillId="0" borderId="6" xfId="2" applyFont="1" applyBorder="1" applyAlignment="1">
      <alignment horizontal="right" vertical="justify"/>
    </xf>
    <xf numFmtId="37" fontId="7" fillId="0" borderId="0" xfId="2" quotePrefix="1" applyNumberFormat="1" applyFont="1" applyAlignment="1">
      <alignment horizontal="right"/>
    </xf>
    <xf numFmtId="37" fontId="7" fillId="0" borderId="5" xfId="2" quotePrefix="1" applyNumberFormat="1" applyFont="1" applyBorder="1" applyAlignment="1">
      <alignment horizontal="right"/>
    </xf>
    <xf numFmtId="49" fontId="7" fillId="0" borderId="1" xfId="37" applyFont="1" applyBorder="1" applyAlignment="1">
      <alignment wrapText="1"/>
    </xf>
    <xf numFmtId="49" fontId="7" fillId="0" borderId="13" xfId="41" applyFont="1" applyBorder="1" applyAlignment="1">
      <alignment horizontal="right"/>
    </xf>
    <xf numFmtId="49" fontId="7" fillId="0" borderId="14" xfId="41" applyFont="1" applyBorder="1" applyAlignment="1">
      <alignment horizontal="right"/>
    </xf>
    <xf numFmtId="49" fontId="7" fillId="0" borderId="14" xfId="41" applyFont="1" applyBorder="1">
      <alignment horizontal="right" wrapText="1"/>
    </xf>
    <xf numFmtId="49" fontId="7" fillId="0" borderId="8" xfId="37" applyFont="1" applyBorder="1" applyAlignment="1">
      <alignment wrapText="1"/>
    </xf>
    <xf numFmtId="49" fontId="7" fillId="0" borderId="11" xfId="41" applyFont="1" applyBorder="1">
      <alignment horizontal="right" wrapText="1"/>
    </xf>
    <xf numFmtId="49" fontId="7" fillId="0" borderId="4" xfId="41" applyFont="1" applyBorder="1" applyAlignment="1">
      <alignment horizontal="right"/>
    </xf>
    <xf numFmtId="49" fontId="7" fillId="0" borderId="11" xfId="41" applyFont="1" applyBorder="1" applyAlignment="1">
      <alignment horizontal="right"/>
    </xf>
    <xf numFmtId="49" fontId="7" fillId="0" borderId="0" xfId="43" applyFont="1" applyAlignment="1">
      <alignment horizontal="left" vertical="center" wrapText="1"/>
    </xf>
    <xf numFmtId="3" fontId="1" fillId="0" borderId="0" xfId="42" applyFont="1">
      <alignment horizontal="right"/>
    </xf>
    <xf numFmtId="49" fontId="1" fillId="0" borderId="0" xfId="44" applyFont="1">
      <alignment horizontal="left" wrapText="1"/>
    </xf>
    <xf numFmtId="49" fontId="7" fillId="0" borderId="0" xfId="43" applyFont="1">
      <alignment horizontal="left" wrapText="1"/>
    </xf>
    <xf numFmtId="0" fontId="1" fillId="0" borderId="0" xfId="45" applyFont="1"/>
    <xf numFmtId="187" fontId="1" fillId="0" borderId="0" xfId="44" applyNumberFormat="1" applyFont="1" applyAlignment="1">
      <alignment horizontal="center" wrapText="1"/>
    </xf>
    <xf numFmtId="187" fontId="1" fillId="0" borderId="5" xfId="44" applyNumberFormat="1" applyFont="1" applyBorder="1" applyAlignment="1">
      <alignment horizontal="center" wrapText="1"/>
    </xf>
    <xf numFmtId="3" fontId="1" fillId="0" borderId="5" xfId="42" applyFont="1" applyBorder="1">
      <alignment horizontal="right"/>
    </xf>
    <xf numFmtId="0" fontId="1" fillId="0" borderId="0" xfId="46" applyNumberFormat="1" applyFont="1" applyAlignment="1">
      <alignment vertical="top" wrapText="1"/>
    </xf>
    <xf numFmtId="6" fontId="7" fillId="0" borderId="0" xfId="2" applyNumberFormat="1" applyFont="1"/>
    <xf numFmtId="166" fontId="26" fillId="0" borderId="0" xfId="7" applyNumberFormat="1" applyFont="1"/>
    <xf numFmtId="0" fontId="7" fillId="0" borderId="0" xfId="12" applyFont="1"/>
    <xf numFmtId="2" fontId="7" fillId="0" borderId="5" xfId="2" applyNumberFormat="1" applyFont="1" applyBorder="1" applyAlignment="1">
      <alignment horizontal="right" vertical="center"/>
    </xf>
    <xf numFmtId="0" fontId="7" fillId="0" borderId="5" xfId="12" applyFont="1" applyBorder="1"/>
    <xf numFmtId="16" fontId="1" fillId="0" borderId="0" xfId="0" applyNumberFormat="1" applyFont="1" applyAlignment="1">
      <alignment horizontal="right" wrapText="1"/>
    </xf>
    <xf numFmtId="0" fontId="7" fillId="0" borderId="0" xfId="0" applyFont="1" applyAlignment="1">
      <alignment horizontal="center" wrapText="1"/>
    </xf>
    <xf numFmtId="0" fontId="1" fillId="0" borderId="0" xfId="0" applyFont="1" applyAlignment="1">
      <alignment horizontal="center" vertical="top" wrapText="1"/>
    </xf>
    <xf numFmtId="167" fontId="8" fillId="0" borderId="0" xfId="2" applyNumberFormat="1" applyFont="1" applyAlignment="1">
      <alignment horizontal="right" vertical="center"/>
    </xf>
    <xf numFmtId="17" fontId="52" fillId="0" borderId="0" xfId="2" applyNumberFormat="1" applyFont="1" applyAlignment="1">
      <alignment horizontal="left"/>
    </xf>
    <xf numFmtId="0" fontId="105" fillId="0" borderId="0" xfId="2" applyFont="1" applyAlignment="1">
      <alignment horizontal="right" vertical="center"/>
    </xf>
    <xf numFmtId="3" fontId="7" fillId="0" borderId="0" xfId="53" applyNumberFormat="1" applyFont="1"/>
    <xf numFmtId="3" fontId="15" fillId="0" borderId="0" xfId="2" applyNumberFormat="1" applyFont="1" applyAlignment="1">
      <alignment vertical="center"/>
    </xf>
    <xf numFmtId="3" fontId="7" fillId="0" borderId="0" xfId="53" applyNumberFormat="1" applyFont="1" applyAlignment="1">
      <alignment horizontal="right"/>
    </xf>
    <xf numFmtId="0" fontId="15" fillId="0" borderId="14" xfId="2" applyFont="1" applyBorder="1" applyAlignment="1">
      <alignment horizontal="right"/>
    </xf>
    <xf numFmtId="0" fontId="1" fillId="0" borderId="2" xfId="0" applyFont="1" applyBorder="1" applyAlignment="1">
      <alignment horizontal="right" vertical="center"/>
    </xf>
    <xf numFmtId="0" fontId="1" fillId="0" borderId="6" xfId="0" applyFont="1" applyBorder="1" applyAlignment="1">
      <alignment horizontal="right" vertical="center"/>
    </xf>
    <xf numFmtId="0" fontId="15" fillId="0" borderId="0" xfId="54" applyNumberFormat="1" applyFont="1" applyFill="1" applyBorder="1" applyAlignment="1" applyProtection="1">
      <alignment horizontal="left" vertical="center"/>
    </xf>
    <xf numFmtId="3" fontId="3" fillId="0" borderId="1" xfId="0" applyNumberFormat="1" applyFont="1" applyBorder="1" applyAlignment="1">
      <alignment horizontal="right" vertical="center"/>
    </xf>
    <xf numFmtId="3" fontId="3" fillId="0" borderId="7" xfId="0" applyNumberFormat="1" applyFont="1" applyBorder="1" applyAlignment="1">
      <alignment horizontal="right" vertical="center"/>
    </xf>
    <xf numFmtId="3" fontId="3" fillId="0" borderId="0" xfId="0" applyNumberFormat="1" applyFont="1" applyAlignment="1">
      <alignment horizontal="right" vertical="center"/>
    </xf>
    <xf numFmtId="3" fontId="3" fillId="0" borderId="0" xfId="0" applyNumberFormat="1" applyFont="1" applyAlignment="1">
      <alignment horizontal="left" vertical="center"/>
    </xf>
    <xf numFmtId="38" fontId="15" fillId="0" borderId="0" xfId="0" applyNumberFormat="1" applyFont="1" applyAlignment="1">
      <alignment vertical="center"/>
    </xf>
    <xf numFmtId="38" fontId="15" fillId="0" borderId="15" xfId="0" applyNumberFormat="1" applyFont="1" applyBorder="1" applyAlignment="1">
      <alignment vertical="center"/>
    </xf>
    <xf numFmtId="0" fontId="7" fillId="0" borderId="0" xfId="54" applyNumberFormat="1" applyFont="1" applyFill="1" applyBorder="1" applyAlignment="1" applyProtection="1">
      <alignment horizontal="left" vertical="center" indent="2"/>
    </xf>
    <xf numFmtId="38" fontId="7" fillId="0" borderId="0" xfId="0" applyNumberFormat="1" applyFont="1" applyAlignment="1">
      <alignment vertical="center"/>
    </xf>
    <xf numFmtId="38" fontId="7" fillId="0" borderId="15" xfId="0" applyNumberFormat="1" applyFont="1" applyBorder="1" applyAlignment="1">
      <alignment vertical="center"/>
    </xf>
    <xf numFmtId="38" fontId="7" fillId="0" borderId="0" xfId="0" applyNumberFormat="1" applyFont="1" applyAlignment="1">
      <alignment horizontal="right" vertical="center"/>
    </xf>
    <xf numFmtId="0" fontId="3" fillId="0" borderId="0" xfId="0" applyFont="1"/>
    <xf numFmtId="0" fontId="3" fillId="0" borderId="15" xfId="0" applyFont="1" applyBorder="1"/>
    <xf numFmtId="38" fontId="7" fillId="0" borderId="0" xfId="54" applyNumberFormat="1" applyFont="1" applyFill="1" applyBorder="1" applyAlignment="1" applyProtection="1">
      <alignment vertical="center"/>
      <protection locked="0"/>
    </xf>
    <xf numFmtId="38" fontId="7" fillId="0" borderId="15" xfId="54" applyNumberFormat="1" applyFont="1" applyFill="1" applyBorder="1" applyAlignment="1" applyProtection="1">
      <alignment vertical="center"/>
      <protection locked="0"/>
    </xf>
    <xf numFmtId="38" fontId="15" fillId="0" borderId="0" xfId="54" applyNumberFormat="1" applyFont="1" applyFill="1" applyBorder="1" applyAlignment="1" applyProtection="1">
      <alignment vertical="center"/>
      <protection locked="0"/>
    </xf>
    <xf numFmtId="38" fontId="15" fillId="0" borderId="15" xfId="54" applyNumberFormat="1" applyFont="1" applyFill="1" applyBorder="1" applyAlignment="1" applyProtection="1">
      <alignment vertical="center"/>
      <protection locked="0"/>
    </xf>
    <xf numFmtId="38" fontId="15" fillId="0" borderId="0" xfId="0" applyNumberFormat="1" applyFont="1" applyAlignment="1">
      <alignment horizontal="right" vertical="center"/>
    </xf>
    <xf numFmtId="0" fontId="7" fillId="0" borderId="5" xfId="54" applyNumberFormat="1" applyFont="1" applyFill="1" applyBorder="1" applyAlignment="1" applyProtection="1">
      <alignment horizontal="left" vertical="center" indent="2"/>
    </xf>
    <xf numFmtId="38" fontId="7" fillId="0" borderId="5" xfId="0" applyNumberFormat="1" applyFont="1" applyBorder="1" applyAlignment="1">
      <alignment vertical="center"/>
    </xf>
    <xf numFmtId="38" fontId="7" fillId="0" borderId="8" xfId="0" applyNumberFormat="1" applyFont="1" applyBorder="1" applyAlignment="1">
      <alignment vertical="center"/>
    </xf>
    <xf numFmtId="38" fontId="7" fillId="0" borderId="5" xfId="0" applyNumberFormat="1" applyFont="1" applyBorder="1" applyAlignment="1">
      <alignment horizontal="right" vertical="center"/>
    </xf>
    <xf numFmtId="0" fontId="7" fillId="0" borderId="0" xfId="54" applyNumberFormat="1" applyFont="1" applyFill="1" applyBorder="1" applyAlignment="1" applyProtection="1">
      <alignment horizontal="left" vertical="center" indent="3"/>
    </xf>
    <xf numFmtId="38" fontId="15" fillId="0" borderId="1" xfId="0" applyNumberFormat="1" applyFont="1" applyBorder="1" applyAlignment="1">
      <alignment vertical="center"/>
    </xf>
    <xf numFmtId="38" fontId="15" fillId="0" borderId="7" xfId="0" applyNumberFormat="1" applyFont="1" applyBorder="1" applyAlignment="1">
      <alignment vertical="center"/>
    </xf>
    <xf numFmtId="0" fontId="26" fillId="0" borderId="15" xfId="0" applyFont="1" applyBorder="1"/>
    <xf numFmtId="38" fontId="7" fillId="0" borderId="1" xfId="0" applyNumberFormat="1" applyFont="1" applyBorder="1" applyAlignment="1">
      <alignment vertical="center"/>
    </xf>
    <xf numFmtId="0" fontId="7" fillId="0" borderId="0" xfId="54" applyNumberFormat="1" applyFont="1" applyFill="1" applyBorder="1" applyAlignment="1" applyProtection="1">
      <alignment horizontal="left" vertical="center"/>
    </xf>
    <xf numFmtId="38" fontId="7" fillId="0" borderId="0" xfId="0" applyNumberFormat="1" applyFont="1" applyAlignment="1">
      <alignment horizontal="lef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 fillId="0" borderId="0" xfId="0" applyNumberFormat="1" applyFont="1" applyAlignment="1">
      <alignment horizontal="left" vertical="center"/>
    </xf>
    <xf numFmtId="165" fontId="7" fillId="0" borderId="0" xfId="0" applyNumberFormat="1" applyFont="1" applyAlignment="1">
      <alignment vertical="center"/>
    </xf>
    <xf numFmtId="0" fontId="7" fillId="0" borderId="0" xfId="0" applyFont="1" applyAlignment="1">
      <alignment horizontal="left" vertical="center" indent="4"/>
    </xf>
    <xf numFmtId="0" fontId="7" fillId="0" borderId="0" xfId="54" applyNumberFormat="1" applyFont="1" applyFill="1" applyBorder="1" applyAlignment="1" applyProtection="1">
      <alignment horizontal="left" vertical="center" indent="4"/>
    </xf>
    <xf numFmtId="0" fontId="7" fillId="0" borderId="0" xfId="54" applyNumberFormat="1" applyFont="1" applyFill="1" applyBorder="1" applyAlignment="1">
      <alignment horizontal="left" vertical="center" indent="2"/>
    </xf>
    <xf numFmtId="0" fontId="7" fillId="0" borderId="0" xfId="54" applyNumberFormat="1" applyFont="1" applyFill="1" applyBorder="1" applyAlignment="1">
      <alignment horizontal="left" vertical="center" indent="3"/>
    </xf>
    <xf numFmtId="0" fontId="7" fillId="0" borderId="0" xfId="54" applyNumberFormat="1" applyFont="1" applyFill="1" applyBorder="1" applyAlignment="1" applyProtection="1">
      <alignment horizontal="left" vertical="center" indent="1"/>
    </xf>
    <xf numFmtId="165" fontId="7" fillId="0" borderId="5" xfId="0" applyNumberFormat="1" applyFont="1" applyBorder="1" applyAlignment="1">
      <alignment vertical="center"/>
    </xf>
    <xf numFmtId="0" fontId="7" fillId="0" borderId="0" xfId="0" applyFont="1"/>
    <xf numFmtId="3" fontId="1" fillId="0" borderId="5" xfId="0" applyNumberFormat="1" applyFont="1" applyBorder="1" applyAlignment="1">
      <alignment horizontal="right" vertical="center"/>
    </xf>
    <xf numFmtId="0" fontId="7" fillId="0" borderId="0" xfId="3" applyAlignment="1">
      <alignment horizontal="left" vertical="center"/>
    </xf>
    <xf numFmtId="0" fontId="26" fillId="0" borderId="0" xfId="0" applyFont="1" applyAlignment="1">
      <alignment horizontal="left" vertical="center"/>
    </xf>
    <xf numFmtId="49" fontId="7" fillId="0" borderId="12" xfId="10" applyNumberFormat="1" applyBorder="1" applyAlignment="1">
      <alignment horizontal="left" vertical="center"/>
    </xf>
    <xf numFmtId="165" fontId="7" fillId="0" borderId="6" xfId="0" applyNumberFormat="1" applyFont="1" applyBorder="1" applyAlignment="1">
      <alignment horizontal="right" vertical="center" wrapText="1"/>
    </xf>
    <xf numFmtId="0" fontId="41" fillId="0" borderId="0" xfId="0" applyFont="1" applyAlignment="1">
      <alignment vertical="center"/>
    </xf>
    <xf numFmtId="38" fontId="41" fillId="0" borderId="0" xfId="0" applyNumberFormat="1" applyFont="1" applyAlignment="1">
      <alignment horizontal="right" vertical="center"/>
    </xf>
    <xf numFmtId="0" fontId="41" fillId="0" borderId="0" xfId="0" applyFont="1" applyAlignment="1">
      <alignment horizontal="left" vertical="center" indent="1"/>
    </xf>
    <xf numFmtId="0" fontId="41" fillId="0" borderId="0" xfId="0" applyFont="1" applyAlignment="1">
      <alignment horizontal="left" vertical="center" indent="2"/>
    </xf>
    <xf numFmtId="0" fontId="41" fillId="0" borderId="0" xfId="0" applyFont="1" applyAlignment="1">
      <alignment horizontal="left" vertical="center" indent="3"/>
    </xf>
    <xf numFmtId="0" fontId="41" fillId="0" borderId="0" xfId="0" applyFont="1" applyAlignment="1">
      <alignment horizontal="left" vertical="center" indent="4"/>
    </xf>
    <xf numFmtId="0" fontId="41" fillId="0" borderId="5" xfId="0" applyFont="1" applyBorder="1" applyAlignment="1">
      <alignment horizontal="left" vertical="center" indent="4"/>
    </xf>
    <xf numFmtId="38" fontId="41" fillId="0" borderId="5" xfId="0" applyNumberFormat="1" applyFont="1" applyBorder="1" applyAlignment="1">
      <alignment horizontal="right" vertical="center"/>
    </xf>
    <xf numFmtId="165" fontId="7" fillId="0" borderId="0" xfId="0" applyNumberFormat="1" applyFont="1" applyAlignment="1">
      <alignment horizontal="center" vertical="center" wrapText="1"/>
    </xf>
    <xf numFmtId="0" fontId="26" fillId="0" borderId="0" xfId="0" applyFont="1" applyAlignment="1">
      <alignment vertical="center"/>
    </xf>
    <xf numFmtId="0" fontId="7" fillId="0" borderId="0" xfId="3" quotePrefix="1" applyAlignment="1">
      <alignment horizontal="left" vertical="center"/>
    </xf>
    <xf numFmtId="38" fontId="7" fillId="0" borderId="0" xfId="3" applyNumberFormat="1" applyAlignment="1">
      <alignment horizontal="right" vertical="center"/>
    </xf>
    <xf numFmtId="38" fontId="7" fillId="0" borderId="5" xfId="3" applyNumberFormat="1" applyBorder="1" applyAlignment="1">
      <alignment horizontal="right" vertical="center"/>
    </xf>
    <xf numFmtId="3" fontId="1" fillId="0" borderId="0" xfId="0" applyNumberFormat="1" applyFont="1" applyAlignment="1">
      <alignment vertical="center"/>
    </xf>
    <xf numFmtId="3" fontId="106" fillId="0" borderId="0" xfId="0" applyNumberFormat="1" applyFont="1" applyAlignment="1">
      <alignment horizontal="right" vertical="center"/>
    </xf>
    <xf numFmtId="3" fontId="106" fillId="0" borderId="5" xfId="0" applyNumberFormat="1" applyFont="1" applyBorder="1" applyAlignment="1">
      <alignment horizontal="right" vertical="center"/>
    </xf>
    <xf numFmtId="3" fontId="1" fillId="0" borderId="5" xfId="0" applyNumberFormat="1" applyFont="1" applyBorder="1" applyAlignment="1">
      <alignment vertical="center"/>
    </xf>
    <xf numFmtId="0" fontId="7" fillId="0" borderId="5" xfId="10" applyBorder="1" applyAlignment="1">
      <alignment vertical="center"/>
    </xf>
    <xf numFmtId="0" fontId="7" fillId="0" borderId="5" xfId="3" applyBorder="1" applyAlignment="1">
      <alignment horizontal="left" vertical="center"/>
    </xf>
    <xf numFmtId="0" fontId="1" fillId="0" borderId="12" xfId="0" applyFont="1" applyBorder="1"/>
    <xf numFmtId="0" fontId="1" fillId="0" borderId="6" xfId="0" applyFont="1" applyBorder="1"/>
    <xf numFmtId="3" fontId="1" fillId="0" borderId="0" xfId="0" applyNumberFormat="1" applyFont="1"/>
    <xf numFmtId="0" fontId="1" fillId="0" borderId="0" xfId="0" applyFont="1" applyAlignment="1">
      <alignment horizontal="left" indent="1"/>
    </xf>
    <xf numFmtId="0" fontId="1" fillId="0" borderId="0" xfId="0" applyFont="1" applyAlignment="1">
      <alignment horizontal="left" indent="2"/>
    </xf>
    <xf numFmtId="3" fontId="106" fillId="0" borderId="0" xfId="0" applyNumberFormat="1" applyFont="1"/>
    <xf numFmtId="0" fontId="1" fillId="0" borderId="5" xfId="0" applyFont="1" applyBorder="1" applyAlignment="1">
      <alignment horizontal="left" indent="2"/>
    </xf>
    <xf numFmtId="3" fontId="106" fillId="0" borderId="5" xfId="0" applyNumberFormat="1" applyFont="1" applyBorder="1"/>
    <xf numFmtId="3" fontId="1" fillId="0" borderId="5" xfId="0" applyNumberFormat="1" applyFont="1" applyBorder="1"/>
    <xf numFmtId="0" fontId="1" fillId="0" borderId="9" xfId="0" applyFont="1" applyBorder="1" applyAlignment="1">
      <alignment vertical="center"/>
    </xf>
    <xf numFmtId="0" fontId="7" fillId="0" borderId="0" xfId="54" applyNumberFormat="1" applyFont="1" applyFill="1" applyBorder="1" applyAlignment="1" applyProtection="1">
      <alignment horizontal="left" vertical="center" wrapText="1"/>
    </xf>
    <xf numFmtId="3" fontId="1" fillId="0" borderId="1" xfId="0" applyNumberFormat="1" applyFont="1" applyBorder="1" applyAlignment="1">
      <alignment vertical="center"/>
    </xf>
    <xf numFmtId="10" fontId="7" fillId="0" borderId="0" xfId="0" applyNumberFormat="1" applyFont="1" applyAlignment="1">
      <alignment horizontal="right" vertical="center"/>
    </xf>
    <xf numFmtId="38" fontId="51" fillId="0" borderId="0" xfId="0" applyNumberFormat="1" applyFont="1" applyAlignment="1">
      <alignment vertical="center"/>
    </xf>
    <xf numFmtId="10" fontId="51" fillId="0" borderId="0" xfId="0" applyNumberFormat="1" applyFont="1" applyAlignment="1">
      <alignment vertical="center"/>
    </xf>
    <xf numFmtId="0" fontId="26" fillId="0" borderId="1" xfId="0" applyFont="1" applyBorder="1"/>
    <xf numFmtId="49" fontId="7" fillId="0" borderId="0" xfId="10" applyNumberFormat="1" applyAlignment="1">
      <alignment vertical="center"/>
    </xf>
    <xf numFmtId="38" fontId="7" fillId="0" borderId="0" xfId="10" applyNumberFormat="1" applyAlignment="1">
      <alignment vertical="center"/>
    </xf>
    <xf numFmtId="49" fontId="7" fillId="0" borderId="5" xfId="10" applyNumberFormat="1" applyBorder="1" applyAlignment="1">
      <alignment vertical="center"/>
    </xf>
    <xf numFmtId="38" fontId="7" fillId="0" borderId="5" xfId="10" applyNumberFormat="1" applyBorder="1" applyAlignment="1">
      <alignment vertical="center"/>
    </xf>
    <xf numFmtId="0" fontId="9" fillId="0" borderId="0" xfId="0" applyFont="1" applyAlignment="1">
      <alignment horizontal="left" wrapText="1"/>
    </xf>
    <xf numFmtId="0" fontId="1" fillId="0" borderId="0" xfId="0" applyFont="1" applyAlignment="1">
      <alignment horizontal="center" wrapText="1"/>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2" borderId="6"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0" borderId="0" xfId="0" applyFont="1" applyAlignment="1">
      <alignment horizontal="center" vertical="center"/>
    </xf>
    <xf numFmtId="0" fontId="9" fillId="0" borderId="6" xfId="0" applyFont="1" applyBorder="1" applyAlignment="1">
      <alignment horizontal="center" wrapText="1"/>
    </xf>
    <xf numFmtId="0" fontId="9" fillId="0" borderId="12" xfId="0" applyFont="1" applyBorder="1" applyAlignment="1">
      <alignment horizont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 fillId="0" borderId="6" xfId="0" applyFont="1" applyBorder="1" applyAlignment="1">
      <alignment horizontal="center" wrapText="1"/>
    </xf>
    <xf numFmtId="0" fontId="1" fillId="0" borderId="12" xfId="0" applyFont="1" applyBorder="1" applyAlignment="1">
      <alignment horizontal="center" wrapText="1"/>
    </xf>
    <xf numFmtId="0" fontId="1" fillId="0" borderId="9" xfId="0" applyFont="1" applyBorder="1" applyAlignment="1">
      <alignment horizontal="center" wrapText="1"/>
    </xf>
    <xf numFmtId="0" fontId="1" fillId="0" borderId="0" xfId="0" applyFont="1" applyAlignment="1">
      <alignment wrapText="1"/>
    </xf>
    <xf numFmtId="0" fontId="4" fillId="0" borderId="0" xfId="0" applyFont="1" applyAlignment="1">
      <alignment vertical="center" wrapText="1"/>
    </xf>
    <xf numFmtId="0" fontId="4" fillId="2" borderId="0" xfId="0" applyFont="1" applyFill="1" applyAlignment="1">
      <alignment vertical="center"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4" fillId="2" borderId="0" xfId="0" applyFont="1" applyFill="1" applyAlignment="1">
      <alignment wrapText="1"/>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4" fillId="0" borderId="0" xfId="0" applyFont="1" applyAlignment="1">
      <alignment wrapText="1"/>
    </xf>
    <xf numFmtId="0" fontId="1" fillId="2" borderId="1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2" borderId="1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0" xfId="0" applyFont="1" applyAlignment="1">
      <alignment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3" fontId="1" fillId="0" borderId="6" xfId="0" applyNumberFormat="1" applyFont="1" applyBorder="1" applyAlignment="1">
      <alignment horizontal="center" vertical="center" wrapText="1"/>
    </xf>
    <xf numFmtId="3" fontId="1" fillId="0" borderId="12" xfId="0" applyNumberFormat="1" applyFont="1" applyBorder="1" applyAlignment="1">
      <alignment horizontal="center" vertical="center" wrapText="1"/>
    </xf>
    <xf numFmtId="0" fontId="4" fillId="0" borderId="0" xfId="0" applyFont="1" applyAlignment="1">
      <alignment horizontal="left" vertical="center" wrapText="1"/>
    </xf>
    <xf numFmtId="0" fontId="21" fillId="0" borderId="0" xfId="1" applyFont="1" applyBorder="1" applyAlignment="1">
      <alignment wrapText="1"/>
    </xf>
    <xf numFmtId="0" fontId="4" fillId="0" borderId="1" xfId="0" applyFont="1" applyBorder="1" applyAlignment="1">
      <alignment horizontal="left" wrapText="1"/>
    </xf>
    <xf numFmtId="0" fontId="1" fillId="2" borderId="2" xfId="0" applyFont="1" applyFill="1" applyBorder="1" applyAlignment="1">
      <alignment horizontal="center" vertical="center" wrapText="1"/>
    </xf>
    <xf numFmtId="0" fontId="4" fillId="0" borderId="1" xfId="0" applyFont="1" applyBorder="1" applyAlignment="1">
      <alignment wrapText="1"/>
    </xf>
    <xf numFmtId="0" fontId="1" fillId="0" borderId="0" xfId="0" applyFont="1" applyAlignment="1">
      <alignment horizontal="center" vertical="center" wrapText="1"/>
    </xf>
    <xf numFmtId="0" fontId="4" fillId="0" borderId="1" xfId="0" applyFont="1" applyBorder="1" applyAlignment="1">
      <alignment vertical="center" wrapText="1"/>
    </xf>
    <xf numFmtId="0" fontId="1" fillId="2"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8" fillId="0" borderId="0" xfId="2" applyFont="1" applyAlignment="1">
      <alignment horizontal="left" vertical="center" wrapText="1"/>
    </xf>
    <xf numFmtId="38" fontId="7" fillId="0" borderId="6" xfId="2" applyNumberFormat="1" applyFont="1" applyBorder="1" applyAlignment="1">
      <alignment horizontal="center"/>
    </xf>
    <xf numFmtId="38" fontId="7" fillId="0" borderId="12" xfId="2" applyNumberFormat="1" applyFont="1" applyBorder="1" applyAlignment="1">
      <alignment horizontal="center"/>
    </xf>
    <xf numFmtId="38" fontId="7" fillId="0" borderId="12" xfId="2" applyNumberFormat="1" applyFont="1" applyBorder="1" applyAlignment="1">
      <alignment horizontal="center" vertical="center" wrapText="1"/>
    </xf>
    <xf numFmtId="0" fontId="7" fillId="0" borderId="0" xfId="2" applyFont="1" applyAlignment="1">
      <alignment horizontal="center"/>
    </xf>
    <xf numFmtId="0" fontId="16" fillId="0" borderId="0" xfId="2" applyFont="1" applyAlignment="1">
      <alignment horizontal="center"/>
    </xf>
    <xf numFmtId="0" fontId="35" fillId="0" borderId="0" xfId="2" applyFont="1" applyAlignment="1">
      <alignment horizontal="center"/>
    </xf>
    <xf numFmtId="0" fontId="7" fillId="0" borderId="1" xfId="2" applyFont="1" applyBorder="1" applyAlignment="1">
      <alignment horizontal="center"/>
    </xf>
    <xf numFmtId="0" fontId="7" fillId="0" borderId="5" xfId="2" applyFont="1" applyBorder="1" applyAlignment="1">
      <alignment horizontal="center"/>
    </xf>
    <xf numFmtId="0" fontId="7" fillId="0" borderId="6" xfId="2" applyFont="1" applyBorder="1" applyAlignment="1">
      <alignment horizontal="center"/>
    </xf>
    <xf numFmtId="0" fontId="7" fillId="0" borderId="12" xfId="2" applyFont="1" applyBorder="1" applyAlignment="1">
      <alignment horizontal="center"/>
    </xf>
    <xf numFmtId="0" fontId="7" fillId="0" borderId="9" xfId="2" applyFont="1" applyBorder="1" applyAlignment="1">
      <alignment horizontal="center"/>
    </xf>
    <xf numFmtId="0" fontId="7" fillId="0" borderId="11" xfId="2" applyFont="1" applyBorder="1" applyAlignment="1">
      <alignment horizontal="center"/>
    </xf>
    <xf numFmtId="0" fontId="7" fillId="0" borderId="8" xfId="2" applyFont="1" applyBorder="1" applyAlignment="1">
      <alignment horizontal="center"/>
    </xf>
    <xf numFmtId="0" fontId="7" fillId="0" borderId="10" xfId="2" applyFont="1" applyBorder="1" applyAlignment="1">
      <alignment horizontal="center" wrapText="1"/>
    </xf>
    <xf numFmtId="0" fontId="7" fillId="0" borderId="11" xfId="2" applyFont="1" applyBorder="1" applyAlignment="1">
      <alignment horizontal="center" wrapText="1"/>
    </xf>
    <xf numFmtId="0" fontId="7" fillId="0" borderId="1" xfId="2" applyFont="1" applyBorder="1" applyAlignment="1">
      <alignment horizontal="center" wrapText="1"/>
    </xf>
    <xf numFmtId="0" fontId="7" fillId="0" borderId="5" xfId="2" applyFont="1" applyBorder="1" applyAlignment="1">
      <alignment horizontal="center" wrapText="1"/>
    </xf>
    <xf numFmtId="0" fontId="7" fillId="0" borderId="10" xfId="2" applyFont="1" applyBorder="1" applyAlignment="1">
      <alignment horizontal="center" vertical="center" wrapText="1"/>
    </xf>
    <xf numFmtId="0" fontId="7" fillId="0" borderId="1" xfId="2" applyFont="1" applyBorder="1" applyAlignment="1">
      <alignment horizontal="center" vertical="center" wrapText="1"/>
    </xf>
    <xf numFmtId="0" fontId="7" fillId="0" borderId="11" xfId="2" applyFont="1" applyBorder="1" applyAlignment="1">
      <alignment horizontal="center" vertical="center" wrapText="1"/>
    </xf>
    <xf numFmtId="0" fontId="7" fillId="0" borderId="5" xfId="2" applyFont="1" applyBorder="1" applyAlignment="1">
      <alignment horizontal="center" vertical="center" wrapText="1"/>
    </xf>
    <xf numFmtId="38" fontId="7" fillId="0" borderId="9" xfId="2" applyNumberFormat="1"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0" xfId="2" applyFont="1" applyAlignment="1">
      <alignment horizontal="center" vertical="center"/>
    </xf>
    <xf numFmtId="0" fontId="7" fillId="0" borderId="0" xfId="2" applyFont="1" applyAlignment="1">
      <alignment horizontal="right" vertical="center"/>
    </xf>
    <xf numFmtId="0" fontId="7" fillId="0" borderId="12" xfId="2" applyFont="1" applyBorder="1" applyAlignment="1">
      <alignment horizontal="right" vertical="center"/>
    </xf>
    <xf numFmtId="38" fontId="7" fillId="0" borderId="0" xfId="2" applyNumberFormat="1" applyFont="1" applyAlignment="1">
      <alignment horizontal="left"/>
    </xf>
    <xf numFmtId="0" fontId="7" fillId="0" borderId="2" xfId="2" applyFont="1" applyBorder="1" applyAlignment="1">
      <alignment horizontal="center"/>
    </xf>
    <xf numFmtId="38" fontId="7" fillId="0" borderId="11" xfId="2" applyNumberFormat="1" applyFont="1" applyBorder="1" applyAlignment="1">
      <alignment horizontal="center"/>
    </xf>
    <xf numFmtId="38" fontId="7" fillId="0" borderId="5" xfId="2" applyNumberFormat="1" applyFont="1" applyBorder="1" applyAlignment="1">
      <alignment horizontal="center"/>
    </xf>
    <xf numFmtId="0" fontId="31" fillId="0" borderId="6" xfId="2" applyBorder="1" applyAlignment="1">
      <alignment horizontal="center"/>
    </xf>
    <xf numFmtId="0" fontId="31" fillId="0" borderId="12" xfId="2" applyBorder="1" applyAlignment="1">
      <alignment horizontal="center"/>
    </xf>
    <xf numFmtId="0" fontId="31" fillId="0" borderId="9" xfId="2" applyBorder="1" applyAlignment="1">
      <alignment horizontal="center"/>
    </xf>
    <xf numFmtId="0" fontId="7" fillId="0" borderId="7" xfId="2" applyFont="1" applyBorder="1" applyAlignment="1">
      <alignment horizontal="center" wrapText="1"/>
    </xf>
    <xf numFmtId="0" fontId="7" fillId="0" borderId="8" xfId="2" applyFont="1" applyBorder="1" applyAlignment="1">
      <alignment horizontal="center" wrapText="1"/>
    </xf>
    <xf numFmtId="38" fontId="7" fillId="0" borderId="5" xfId="2" applyNumberFormat="1" applyFont="1" applyBorder="1" applyAlignment="1">
      <alignment horizontal="left"/>
    </xf>
    <xf numFmtId="0" fontId="31" fillId="0" borderId="3" xfId="2" applyBorder="1" applyAlignment="1">
      <alignment horizontal="center"/>
    </xf>
    <xf numFmtId="0" fontId="31" fillId="0" borderId="4" xfId="2" applyBorder="1" applyAlignment="1">
      <alignment horizontal="center"/>
    </xf>
    <xf numFmtId="0" fontId="31" fillId="0" borderId="10" xfId="2" applyBorder="1" applyAlignment="1">
      <alignment horizontal="center" wrapText="1"/>
    </xf>
    <xf numFmtId="0" fontId="31" fillId="0" borderId="11" xfId="2" applyBorder="1" applyAlignment="1">
      <alignment horizontal="center" wrapText="1"/>
    </xf>
    <xf numFmtId="0" fontId="4" fillId="0" borderId="1" xfId="0" applyFont="1" applyBorder="1" applyAlignment="1">
      <alignment horizontal="left" vertical="top" wrapText="1"/>
    </xf>
    <xf numFmtId="0" fontId="4" fillId="0" borderId="1" xfId="0" applyFont="1" applyBorder="1" applyAlignment="1">
      <alignment horizontal="left" vertical="center" wrapText="1"/>
    </xf>
    <xf numFmtId="0" fontId="1" fillId="0" borderId="7" xfId="0" applyFont="1" applyBorder="1" applyAlignment="1">
      <alignment horizontal="left" wrapText="1"/>
    </xf>
    <xf numFmtId="0" fontId="1" fillId="0" borderId="8" xfId="0" applyFont="1" applyBorder="1" applyAlignment="1">
      <alignment horizontal="left"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2" borderId="7" xfId="0" applyFont="1" applyFill="1" applyBorder="1" applyAlignment="1">
      <alignment horizontal="left" wrapText="1"/>
    </xf>
    <xf numFmtId="0" fontId="1" fillId="2" borderId="8" xfId="0" applyFont="1" applyFill="1" applyBorder="1" applyAlignment="1">
      <alignment horizontal="left" wrapText="1"/>
    </xf>
    <xf numFmtId="0" fontId="1" fillId="2" borderId="2" xfId="0" applyFont="1" applyFill="1" applyBorder="1" applyAlignment="1">
      <alignment horizontal="center" wrapText="1"/>
    </xf>
    <xf numFmtId="0" fontId="1" fillId="0" borderId="2" xfId="0" applyFont="1" applyBorder="1" applyAlignment="1">
      <alignment horizontal="center" wrapText="1"/>
    </xf>
    <xf numFmtId="0" fontId="7" fillId="0" borderId="0" xfId="3" applyAlignment="1">
      <alignment horizontal="center" vertical="center"/>
    </xf>
    <xf numFmtId="0" fontId="31" fillId="0" borderId="0" xfId="2" applyAlignment="1">
      <alignment horizontal="center" vertical="center"/>
    </xf>
    <xf numFmtId="0" fontId="15" fillId="4" borderId="0" xfId="2" quotePrefix="1" applyFont="1" applyFill="1" applyAlignment="1">
      <alignment horizontal="center" vertical="center"/>
    </xf>
    <xf numFmtId="0" fontId="7" fillId="0" borderId="6" xfId="3" applyBorder="1" applyAlignment="1">
      <alignment horizontal="center" vertical="center"/>
    </xf>
    <xf numFmtId="0" fontId="7" fillId="0" borderId="9" xfId="3" applyBorder="1" applyAlignment="1">
      <alignment horizontal="center" vertical="center"/>
    </xf>
    <xf numFmtId="0" fontId="7" fillId="0" borderId="12" xfId="3" applyBorder="1" applyAlignment="1">
      <alignment horizontal="center" vertical="center"/>
    </xf>
    <xf numFmtId="0" fontId="7" fillId="0" borderId="6" xfId="2" applyFont="1" applyBorder="1" applyAlignment="1">
      <alignment horizontal="center" vertical="center"/>
    </xf>
    <xf numFmtId="0" fontId="7" fillId="0" borderId="12" xfId="2" applyFont="1" applyBorder="1" applyAlignment="1">
      <alignment horizontal="center" vertical="center"/>
    </xf>
    <xf numFmtId="0" fontId="7" fillId="4" borderId="0" xfId="2" applyFont="1" applyFill="1" applyAlignment="1">
      <alignment horizontal="center" vertical="center"/>
    </xf>
    <xf numFmtId="0" fontId="16" fillId="0" borderId="0" xfId="2" applyFont="1" applyAlignment="1">
      <alignment horizontal="center" vertical="center"/>
    </xf>
    <xf numFmtId="0" fontId="7" fillId="4" borderId="0" xfId="2" quotePrefix="1" applyFont="1" applyFill="1" applyAlignment="1">
      <alignment horizontal="center" vertical="center"/>
    </xf>
    <xf numFmtId="0" fontId="7" fillId="0" borderId="11" xfId="2" applyFont="1" applyBorder="1" applyAlignment="1">
      <alignment horizontal="center" vertical="center"/>
    </xf>
    <xf numFmtId="0" fontId="7" fillId="0" borderId="8" xfId="2" applyFont="1" applyBorder="1" applyAlignment="1">
      <alignment horizontal="center" vertical="center"/>
    </xf>
    <xf numFmtId="0" fontId="7" fillId="0" borderId="5" xfId="2" applyFont="1" applyBorder="1" applyAlignment="1">
      <alignment horizontal="center" vertical="center"/>
    </xf>
    <xf numFmtId="0" fontId="31" fillId="0" borderId="9" xfId="2"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0" fontId="7" fillId="0" borderId="1" xfId="2" applyFont="1" applyBorder="1" applyAlignment="1">
      <alignment horizontal="center" vertical="center"/>
    </xf>
    <xf numFmtId="0" fontId="31" fillId="0" borderId="10" xfId="2" applyBorder="1" applyAlignment="1">
      <alignment horizontal="center" vertical="center"/>
    </xf>
    <xf numFmtId="0" fontId="31" fillId="0" borderId="7" xfId="2" applyBorder="1" applyAlignment="1">
      <alignment horizontal="center" vertical="center"/>
    </xf>
    <xf numFmtId="0" fontId="31" fillId="0" borderId="11" xfId="2" applyBorder="1" applyAlignment="1">
      <alignment horizontal="center" vertical="center"/>
    </xf>
    <xf numFmtId="0" fontId="31" fillId="0" borderId="8" xfId="2" applyBorder="1" applyAlignment="1">
      <alignment horizontal="center" vertical="center"/>
    </xf>
    <xf numFmtId="0" fontId="31" fillId="0" borderId="5" xfId="2" applyBorder="1" applyAlignment="1">
      <alignment horizontal="center" vertical="center"/>
    </xf>
    <xf numFmtId="0" fontId="31" fillId="0" borderId="10" xfId="2" applyBorder="1" applyAlignment="1">
      <alignment vertical="center"/>
    </xf>
    <xf numFmtId="0" fontId="31" fillId="0" borderId="7" xfId="2" applyBorder="1" applyAlignment="1">
      <alignment vertical="center"/>
    </xf>
    <xf numFmtId="0" fontId="31" fillId="0" borderId="1" xfId="2" applyBorder="1" applyAlignment="1">
      <alignment horizontal="center" vertical="center"/>
    </xf>
    <xf numFmtId="0" fontId="15" fillId="0" borderId="0" xfId="2" applyFont="1" applyAlignment="1">
      <alignment horizontal="center" vertical="center"/>
    </xf>
    <xf numFmtId="0" fontId="31" fillId="0" borderId="12" xfId="2" applyBorder="1" applyAlignment="1">
      <alignment horizontal="center" vertical="center"/>
    </xf>
    <xf numFmtId="0" fontId="7" fillId="0" borderId="10" xfId="2" applyFont="1" applyBorder="1" applyAlignment="1">
      <alignment horizontal="center"/>
    </xf>
    <xf numFmtId="0" fontId="7" fillId="0" borderId="5" xfId="2" applyFont="1" applyBorder="1" applyAlignment="1">
      <alignment horizontal="left"/>
    </xf>
    <xf numFmtId="0" fontId="7" fillId="0" borderId="7" xfId="2" applyFont="1" applyBorder="1" applyAlignment="1">
      <alignment horizontal="center" vertical="center"/>
    </xf>
    <xf numFmtId="0" fontId="7" fillId="0" borderId="0" xfId="2" applyFont="1" applyAlignment="1">
      <alignment horizontal="center" vertical="center" wrapText="1"/>
    </xf>
    <xf numFmtId="0" fontId="31" fillId="0" borderId="0" xfId="2" applyAlignment="1">
      <alignment horizontal="center" vertical="center" wrapText="1"/>
    </xf>
    <xf numFmtId="0" fontId="31" fillId="0" borderId="0" xfId="2" applyAlignment="1">
      <alignment horizontal="center"/>
    </xf>
    <xf numFmtId="3" fontId="7" fillId="0" borderId="6" xfId="2" applyNumberFormat="1" applyFont="1" applyBorder="1" applyAlignment="1">
      <alignment horizontal="center"/>
    </xf>
    <xf numFmtId="3" fontId="7" fillId="0" borderId="12" xfId="2" applyNumberFormat="1" applyFont="1" applyBorder="1" applyAlignment="1">
      <alignment horizontal="center"/>
    </xf>
    <xf numFmtId="3" fontId="7" fillId="0" borderId="1" xfId="2" applyNumberFormat="1" applyFont="1" applyBorder="1" applyAlignment="1">
      <alignment horizontal="center"/>
    </xf>
    <xf numFmtId="0" fontId="7" fillId="0" borderId="0" xfId="2" applyFont="1" applyAlignment="1">
      <alignment horizontal="right"/>
    </xf>
    <xf numFmtId="0" fontId="7" fillId="0" borderId="1" xfId="2" applyFont="1" applyBorder="1" applyAlignment="1">
      <alignment horizontal="left"/>
    </xf>
    <xf numFmtId="0" fontId="7" fillId="0" borderId="0" xfId="2" applyFont="1" applyAlignment="1">
      <alignment horizontal="left"/>
    </xf>
    <xf numFmtId="0" fontId="7" fillId="0" borderId="3" xfId="2" applyFont="1" applyBorder="1" applyAlignment="1">
      <alignment horizontal="right"/>
    </xf>
    <xf numFmtId="0" fontId="7" fillId="0" borderId="13" xfId="2" applyFont="1" applyBorder="1" applyAlignment="1">
      <alignment horizontal="right"/>
    </xf>
    <xf numFmtId="0" fontId="7" fillId="0" borderId="4" xfId="2" applyFont="1" applyBorder="1" applyAlignment="1">
      <alignment horizontal="right"/>
    </xf>
    <xf numFmtId="0" fontId="7" fillId="0" borderId="3" xfId="2" applyFont="1" applyBorder="1" applyAlignment="1">
      <alignment horizontal="right" wrapText="1"/>
    </xf>
    <xf numFmtId="0" fontId="7" fillId="0" borderId="13" xfId="2" applyFont="1" applyBorder="1" applyAlignment="1">
      <alignment horizontal="right" wrapText="1"/>
    </xf>
    <xf numFmtId="0" fontId="7" fillId="0" borderId="4" xfId="2" applyFont="1" applyBorder="1" applyAlignment="1">
      <alignment horizontal="right" wrapText="1"/>
    </xf>
    <xf numFmtId="43" fontId="8" fillId="0" borderId="6" xfId="11" applyFont="1" applyBorder="1" applyAlignment="1">
      <alignment horizontal="center" vertical="center"/>
    </xf>
    <xf numFmtId="43" fontId="8" fillId="0" borderId="9" xfId="11" applyFont="1" applyBorder="1" applyAlignment="1">
      <alignment horizontal="center" vertical="center"/>
    </xf>
    <xf numFmtId="0" fontId="8" fillId="0" borderId="6" xfId="2" applyFont="1" applyBorder="1" applyAlignment="1">
      <alignment horizontal="center"/>
    </xf>
    <xf numFmtId="0" fontId="8" fillId="0" borderId="12" xfId="2" applyFont="1" applyBorder="1" applyAlignment="1">
      <alignment horizontal="center"/>
    </xf>
    <xf numFmtId="0" fontId="8" fillId="0" borderId="0" xfId="2" applyFont="1" applyAlignment="1">
      <alignment horizontal="center" vertical="center"/>
    </xf>
    <xf numFmtId="15" fontId="31" fillId="0" borderId="0" xfId="2" applyNumberFormat="1" applyAlignment="1">
      <alignment horizontal="center"/>
    </xf>
    <xf numFmtId="15" fontId="31" fillId="0" borderId="6" xfId="2" applyNumberFormat="1" applyBorder="1" applyAlignment="1">
      <alignment horizontal="center"/>
    </xf>
    <xf numFmtId="15" fontId="31" fillId="0" borderId="12" xfId="2" applyNumberFormat="1" applyBorder="1" applyAlignment="1">
      <alignment horizontal="center"/>
    </xf>
    <xf numFmtId="15" fontId="31" fillId="0" borderId="11" xfId="2" applyNumberFormat="1" applyBorder="1" applyAlignment="1">
      <alignment horizontal="center"/>
    </xf>
    <xf numFmtId="15" fontId="31" fillId="0" borderId="5" xfId="2" applyNumberFormat="1" applyBorder="1" applyAlignment="1">
      <alignment horizontal="center"/>
    </xf>
    <xf numFmtId="15" fontId="7" fillId="0" borderId="11" xfId="2" applyNumberFormat="1" applyFont="1" applyBorder="1" applyAlignment="1">
      <alignment horizontal="center"/>
    </xf>
    <xf numFmtId="15" fontId="7" fillId="0" borderId="5" xfId="2" applyNumberFormat="1" applyFont="1" applyBorder="1" applyAlignment="1">
      <alignment horizontal="center"/>
    </xf>
    <xf numFmtId="0" fontId="7" fillId="0" borderId="5" xfId="14" applyFont="1" applyBorder="1" applyAlignment="1">
      <alignment horizontal="left" wrapText="1"/>
    </xf>
    <xf numFmtId="0" fontId="7" fillId="0" borderId="0" xfId="2" applyFont="1" applyAlignment="1">
      <alignment horizontal="left" vertical="center"/>
    </xf>
    <xf numFmtId="0" fontId="7" fillId="0" borderId="0" xfId="14" applyFont="1" applyAlignment="1">
      <alignment horizontal="left" wrapText="1"/>
    </xf>
    <xf numFmtId="0" fontId="58" fillId="0" borderId="0" xfId="14" applyFont="1" applyAlignment="1">
      <alignment horizontal="center"/>
    </xf>
    <xf numFmtId="0" fontId="7" fillId="0" borderId="0" xfId="14" applyFont="1" applyAlignment="1">
      <alignment horizontal="center" wrapText="1"/>
    </xf>
    <xf numFmtId="1" fontId="57" fillId="0" borderId="6" xfId="17" applyNumberFormat="1" applyFont="1" applyBorder="1" applyAlignment="1">
      <alignment horizontal="center"/>
    </xf>
    <xf numFmtId="1" fontId="57" fillId="0" borderId="12" xfId="17" applyNumberFormat="1" applyFont="1" applyBorder="1" applyAlignment="1">
      <alignment horizontal="center"/>
    </xf>
    <xf numFmtId="1" fontId="57" fillId="0" borderId="1" xfId="17" applyNumberFormat="1" applyFont="1" applyBorder="1" applyAlignment="1">
      <alignment horizontal="center"/>
    </xf>
    <xf numFmtId="1" fontId="57" fillId="0" borderId="6" xfId="17" applyNumberFormat="1" applyFont="1" applyBorder="1" applyAlignment="1">
      <alignment horizontal="center" vertical="center"/>
    </xf>
    <xf numFmtId="1" fontId="57" fillId="0" borderId="12" xfId="17" applyNumberFormat="1" applyFont="1" applyBorder="1" applyAlignment="1">
      <alignment horizontal="center" vertical="center"/>
    </xf>
    <xf numFmtId="164" fontId="57" fillId="0" borderId="6" xfId="17" applyNumberFormat="1" applyFont="1" applyBorder="1" applyAlignment="1">
      <alignment horizontal="center" vertical="center" wrapText="1"/>
    </xf>
    <xf numFmtId="164" fontId="57" fillId="0" borderId="12" xfId="17" applyNumberFormat="1" applyFont="1" applyBorder="1" applyAlignment="1">
      <alignment horizontal="center" vertical="center" wrapText="1"/>
    </xf>
    <xf numFmtId="1" fontId="57" fillId="0" borderId="11" xfId="17" applyNumberFormat="1" applyFont="1" applyBorder="1" applyAlignment="1">
      <alignment horizontal="center" vertical="center"/>
    </xf>
    <xf numFmtId="1" fontId="57" fillId="0" borderId="5" xfId="17" applyNumberFormat="1" applyFont="1" applyBorder="1" applyAlignment="1">
      <alignment horizontal="center" vertical="center"/>
    </xf>
    <xf numFmtId="0" fontId="58" fillId="0" borderId="0" xfId="17" applyFont="1" applyAlignment="1">
      <alignment horizontal="center"/>
    </xf>
    <xf numFmtId="0" fontId="7" fillId="0" borderId="5" xfId="14" applyFont="1" applyBorder="1" applyAlignment="1">
      <alignment horizontal="center" wrapText="1"/>
    </xf>
    <xf numFmtId="0" fontId="57" fillId="0" borderId="6" xfId="16" applyFont="1" applyBorder="1" applyAlignment="1">
      <alignment horizontal="center"/>
    </xf>
    <xf numFmtId="0" fontId="57" fillId="0" borderId="9" xfId="16" applyFont="1" applyBorder="1" applyAlignment="1">
      <alignment horizontal="center"/>
    </xf>
    <xf numFmtId="0" fontId="57" fillId="0" borderId="0" xfId="15" applyFont="1" applyAlignment="1">
      <alignment horizontal="center"/>
    </xf>
    <xf numFmtId="0" fontId="58" fillId="0" borderId="0" xfId="16" applyFont="1" applyAlignment="1">
      <alignment horizontal="center"/>
    </xf>
    <xf numFmtId="164" fontId="57" fillId="0" borderId="6" xfId="14" applyNumberFormat="1" applyFont="1" applyBorder="1" applyAlignment="1">
      <alignment horizontal="center" vertical="center"/>
    </xf>
    <xf numFmtId="164" fontId="57" fillId="0" borderId="9" xfId="14" applyNumberFormat="1" applyFont="1" applyBorder="1" applyAlignment="1">
      <alignment horizontal="center" vertical="center"/>
    </xf>
    <xf numFmtId="164" fontId="57" fillId="0" borderId="6" xfId="14" applyNumberFormat="1" applyFont="1" applyBorder="1" applyAlignment="1">
      <alignment horizontal="center" vertical="center" wrapText="1"/>
    </xf>
    <xf numFmtId="164" fontId="57" fillId="0" borderId="12" xfId="14" applyNumberFormat="1" applyFont="1" applyBorder="1" applyAlignment="1">
      <alignment horizontal="center" vertical="center" wrapText="1"/>
    </xf>
    <xf numFmtId="164" fontId="57" fillId="0" borderId="12" xfId="14" applyNumberFormat="1" applyFont="1" applyBorder="1" applyAlignment="1">
      <alignment horizontal="center" vertical="center"/>
    </xf>
    <xf numFmtId="1" fontId="57" fillId="0" borderId="6" xfId="14" applyNumberFormat="1" applyFont="1" applyBorder="1" applyAlignment="1">
      <alignment horizontal="center"/>
    </xf>
    <xf numFmtId="1" fontId="57" fillId="0" borderId="12" xfId="14" applyNumberFormat="1" applyFont="1" applyBorder="1" applyAlignment="1">
      <alignment horizontal="center"/>
    </xf>
    <xf numFmtId="1" fontId="57" fillId="0" borderId="9" xfId="14" applyNumberFormat="1" applyFont="1" applyBorder="1" applyAlignment="1">
      <alignment horizontal="center"/>
    </xf>
    <xf numFmtId="38" fontId="48" fillId="0" borderId="0" xfId="2" applyNumberFormat="1" applyFont="1" applyAlignment="1">
      <alignment horizontal="center"/>
    </xf>
    <xf numFmtId="0" fontId="67" fillId="0" borderId="0" xfId="15" applyFont="1" applyAlignment="1">
      <alignment horizontal="left" wrapText="1"/>
    </xf>
    <xf numFmtId="1" fontId="57" fillId="0" borderId="9" xfId="17" applyNumberFormat="1" applyFont="1" applyBorder="1" applyAlignment="1">
      <alignment horizontal="center" vertical="center"/>
    </xf>
    <xf numFmtId="164" fontId="57" fillId="0" borderId="9" xfId="17" applyNumberFormat="1" applyFont="1" applyBorder="1" applyAlignment="1">
      <alignment horizontal="center" vertical="center" wrapText="1"/>
    </xf>
    <xf numFmtId="0" fontId="58" fillId="0" borderId="0" xfId="15" applyFont="1" applyAlignment="1">
      <alignment horizontal="center"/>
    </xf>
    <xf numFmtId="1" fontId="57" fillId="0" borderId="9" xfId="17" applyNumberFormat="1" applyFont="1" applyBorder="1" applyAlignment="1">
      <alignment horizontal="center"/>
    </xf>
    <xf numFmtId="0" fontId="57" fillId="0" borderId="12" xfId="16" applyFont="1" applyBorder="1" applyAlignment="1">
      <alignment horizontal="center"/>
    </xf>
    <xf numFmtId="0" fontId="57" fillId="0" borderId="6" xfId="14" applyFont="1" applyBorder="1" applyAlignment="1">
      <alignment horizontal="center"/>
    </xf>
    <xf numFmtId="0" fontId="57" fillId="0" borderId="9" xfId="14" applyFont="1" applyBorder="1" applyAlignment="1">
      <alignment horizontal="center"/>
    </xf>
    <xf numFmtId="0" fontId="57" fillId="0" borderId="12" xfId="14" applyFont="1" applyBorder="1" applyAlignment="1">
      <alignment horizontal="center"/>
    </xf>
    <xf numFmtId="0" fontId="31" fillId="0" borderId="0" xfId="2" applyAlignment="1">
      <alignment horizontal="left" vertical="justify" indent="2"/>
    </xf>
    <xf numFmtId="0" fontId="7" fillId="0" borderId="0" xfId="2" applyFont="1" applyAlignment="1">
      <alignment horizontal="left" vertical="justify" indent="2"/>
    </xf>
    <xf numFmtId="0" fontId="7" fillId="0" borderId="1" xfId="2" applyFont="1" applyBorder="1" applyAlignment="1">
      <alignment horizontal="left" vertical="justify"/>
    </xf>
    <xf numFmtId="0" fontId="7" fillId="0" borderId="0" xfId="2" applyFont="1" applyAlignment="1">
      <alignment horizontal="left" vertical="justify"/>
    </xf>
    <xf numFmtId="0" fontId="31" fillId="0" borderId="0" xfId="2" applyAlignment="1">
      <alignment horizontal="left" vertical="justify"/>
    </xf>
    <xf numFmtId="0" fontId="7" fillId="0" borderId="1" xfId="3" applyBorder="1" applyAlignment="1">
      <alignment horizontal="center" vertical="center"/>
    </xf>
    <xf numFmtId="49" fontId="7" fillId="0" borderId="5" xfId="10" applyNumberFormat="1" applyBorder="1" applyAlignment="1">
      <alignment horizontal="left" wrapText="1"/>
    </xf>
    <xf numFmtId="49" fontId="7" fillId="0" borderId="0" xfId="10" applyNumberFormat="1" applyAlignment="1">
      <alignment horizontal="left" wrapText="1"/>
    </xf>
    <xf numFmtId="0" fontId="1" fillId="0" borderId="7" xfId="0" applyFont="1" applyBorder="1" applyAlignment="1">
      <alignment horizontal="center" vertical="center" wrapText="1"/>
    </xf>
    <xf numFmtId="0" fontId="1" fillId="0" borderId="15" xfId="0" applyFont="1" applyBorder="1" applyAlignment="1">
      <alignment horizontal="left" wrapText="1"/>
    </xf>
    <xf numFmtId="0" fontId="1" fillId="0" borderId="3" xfId="0" applyFont="1" applyBorder="1" applyAlignment="1">
      <alignment horizontal="right" wrapText="1"/>
    </xf>
    <xf numFmtId="0" fontId="1" fillId="0" borderId="14" xfId="0" applyFont="1" applyBorder="1" applyAlignment="1">
      <alignment horizontal="right" wrapText="1"/>
    </xf>
    <xf numFmtId="0" fontId="1" fillId="0" borderId="11" xfId="0" applyFont="1" applyBorder="1" applyAlignment="1">
      <alignment horizontal="right" wrapText="1"/>
    </xf>
    <xf numFmtId="0" fontId="4" fillId="0" borderId="1" xfId="0" applyFont="1" applyBorder="1" applyAlignment="1">
      <alignment horizontal="left"/>
    </xf>
    <xf numFmtId="0" fontId="1" fillId="0" borderId="6" xfId="0" applyFont="1" applyBorder="1" applyAlignment="1">
      <alignment horizontal="right" vertical="center" wrapText="1"/>
    </xf>
    <xf numFmtId="0" fontId="1" fillId="0" borderId="12" xfId="0" applyFont="1" applyBorder="1" applyAlignment="1">
      <alignment horizontal="right" vertical="center" wrapText="1"/>
    </xf>
    <xf numFmtId="0" fontId="1" fillId="0" borderId="9" xfId="0" applyFont="1" applyBorder="1" applyAlignment="1">
      <alignment horizontal="right" vertical="center" wrapText="1"/>
    </xf>
    <xf numFmtId="0" fontId="81" fillId="0" borderId="0" xfId="2" applyFont="1" applyAlignment="1">
      <alignment horizontal="left" vertical="top" wrapText="1"/>
    </xf>
    <xf numFmtId="0" fontId="81" fillId="0" borderId="0" xfId="2" applyFont="1" applyAlignment="1">
      <alignment horizontal="left" indent="1"/>
    </xf>
    <xf numFmtId="0" fontId="81" fillId="0" borderId="0" xfId="2" applyFont="1" applyAlignment="1">
      <alignment vertical="top" wrapText="1"/>
    </xf>
    <xf numFmtId="0" fontId="81" fillId="0" borderId="0" xfId="2" applyFont="1" applyAlignment="1">
      <alignment horizontal="left" wrapText="1"/>
    </xf>
    <xf numFmtId="0" fontId="103" fillId="0" borderId="0" xfId="2" applyFont="1" applyAlignment="1">
      <alignment horizontal="left" vertical="top" wrapText="1"/>
    </xf>
    <xf numFmtId="0" fontId="103" fillId="0" borderId="0" xfId="2" applyFont="1"/>
    <xf numFmtId="0" fontId="103" fillId="0" borderId="0" xfId="2" applyFont="1" applyAlignment="1">
      <alignment vertical="top" wrapText="1"/>
    </xf>
    <xf numFmtId="0" fontId="103" fillId="0" borderId="1" xfId="2" applyFont="1" applyBorder="1" applyAlignment="1">
      <alignment vertical="top" wrapText="1"/>
    </xf>
    <xf numFmtId="0" fontId="81" fillId="0" borderId="1" xfId="2" applyFont="1" applyBorder="1" applyAlignment="1">
      <alignment vertical="center"/>
    </xf>
    <xf numFmtId="0" fontId="81" fillId="0" borderId="0" xfId="2" applyFont="1"/>
    <xf numFmtId="0" fontId="103" fillId="0" borderId="1" xfId="2" applyFont="1" applyBorder="1" applyAlignment="1">
      <alignment vertical="center"/>
    </xf>
    <xf numFmtId="0" fontId="103" fillId="0" borderId="0" xfId="2" applyFont="1" applyAlignment="1">
      <alignment horizontal="left" wrapText="1"/>
    </xf>
    <xf numFmtId="0" fontId="1" fillId="0" borderId="5" xfId="0" applyFont="1" applyBorder="1" applyAlignment="1">
      <alignment horizontal="left" vertical="center" wrapText="1"/>
    </xf>
    <xf numFmtId="0" fontId="9" fillId="0" borderId="5" xfId="0" applyFont="1" applyBorder="1" applyAlignment="1">
      <alignment horizontal="left" wrapText="1"/>
    </xf>
    <xf numFmtId="0" fontId="9" fillId="0" borderId="0" xfId="0" applyFont="1" applyAlignment="1">
      <alignment horizontal="left" vertical="center"/>
    </xf>
    <xf numFmtId="0" fontId="9" fillId="0" borderId="0" xfId="0" applyFont="1" applyAlignment="1">
      <alignment horizontal="left"/>
    </xf>
    <xf numFmtId="0" fontId="4" fillId="0" borderId="0" xfId="0" applyFont="1" applyAlignment="1">
      <alignment vertical="center"/>
    </xf>
    <xf numFmtId="0" fontId="4" fillId="0" borderId="0" xfId="0" applyFont="1" applyAlignment="1">
      <alignment horizontal="left" wrapText="1"/>
    </xf>
    <xf numFmtId="0" fontId="4" fillId="0" borderId="1" xfId="0" applyFont="1" applyBorder="1" applyAlignment="1">
      <alignment vertical="center"/>
    </xf>
    <xf numFmtId="0" fontId="4" fillId="0" borderId="0" xfId="0" applyFont="1" applyAlignment="1">
      <alignment horizontal="left" vertical="top" wrapText="1"/>
    </xf>
    <xf numFmtId="0" fontId="1" fillId="2" borderId="1" xfId="0" applyFont="1" applyFill="1" applyBorder="1" applyAlignment="1">
      <alignment horizontal="left" wrapText="1"/>
    </xf>
    <xf numFmtId="0" fontId="1" fillId="2" borderId="0" xfId="0" applyFont="1" applyFill="1" applyAlignment="1">
      <alignment horizontal="left" wrapText="1"/>
    </xf>
    <xf numFmtId="0" fontId="1" fillId="2" borderId="5" xfId="0" applyFont="1" applyFill="1" applyBorder="1" applyAlignment="1">
      <alignment horizontal="left" wrapText="1"/>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1" xfId="0" applyFont="1" applyFill="1" applyBorder="1" applyAlignment="1">
      <alignment horizontal="center"/>
    </xf>
    <xf numFmtId="0" fontId="1" fillId="2" borderId="5" xfId="0" applyFont="1" applyFill="1" applyBorder="1" applyAlignment="1">
      <alignment horizontal="center"/>
    </xf>
    <xf numFmtId="0" fontId="1" fillId="0" borderId="1" xfId="0" applyFont="1" applyBorder="1" applyAlignment="1">
      <alignment horizontal="center" wrapText="1"/>
    </xf>
    <xf numFmtId="0" fontId="4" fillId="0" borderId="0" xfId="0" applyFont="1" applyAlignment="1">
      <alignment vertical="top" wrapText="1"/>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0" borderId="14" xfId="0" applyFont="1" applyBorder="1" applyAlignment="1">
      <alignment horizontal="center" wrapText="1"/>
    </xf>
    <xf numFmtId="0" fontId="1" fillId="0" borderId="11" xfId="0" applyFont="1" applyBorder="1" applyAlignment="1">
      <alignment horizontal="center" wrapText="1"/>
    </xf>
    <xf numFmtId="0" fontId="1" fillId="0" borderId="1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xf numFmtId="0" fontId="1" fillId="0" borderId="3" xfId="0" applyFont="1" applyBorder="1" applyAlignment="1">
      <alignment horizontal="center" wrapText="1"/>
    </xf>
    <xf numFmtId="0" fontId="1" fillId="0" borderId="10" xfId="0" applyFont="1" applyBorder="1" applyAlignment="1">
      <alignment horizontal="center" wrapText="1"/>
    </xf>
    <xf numFmtId="0" fontId="0" fillId="0" borderId="0" xfId="0"/>
    <xf numFmtId="0" fontId="5" fillId="0" borderId="0" xfId="0" applyFont="1"/>
    <xf numFmtId="0" fontId="4" fillId="0" borderId="1" xfId="0" applyFont="1" applyBorder="1" applyAlignment="1">
      <alignment vertical="top"/>
    </xf>
    <xf numFmtId="0" fontId="8" fillId="0" borderId="0" xfId="2" applyFont="1" applyAlignment="1">
      <alignment horizontal="center"/>
    </xf>
    <xf numFmtId="0" fontId="8" fillId="0" borderId="0" xfId="2" applyFont="1" applyAlignment="1">
      <alignment horizontal="center" vertical="justify"/>
    </xf>
    <xf numFmtId="0" fontId="1" fillId="0" borderId="0" xfId="46" applyNumberFormat="1" applyFont="1">
      <alignment horizontal="left" vertical="top" wrapText="1"/>
    </xf>
    <xf numFmtId="0" fontId="73" fillId="0" borderId="0" xfId="28" applyFill="1" applyBorder="1" applyAlignment="1">
      <alignment horizontal="left"/>
    </xf>
    <xf numFmtId="0" fontId="7" fillId="0" borderId="6" xfId="2" applyFont="1" applyBorder="1" applyAlignment="1">
      <alignment horizontal="center" vertical="justify"/>
    </xf>
    <xf numFmtId="0" fontId="7" fillId="0" borderId="12" xfId="2" applyFont="1" applyBorder="1" applyAlignment="1">
      <alignment horizontal="center" vertical="justify"/>
    </xf>
    <xf numFmtId="49" fontId="1" fillId="0" borderId="5" xfId="36" applyFont="1">
      <alignment horizontal="left" vertical="center" wrapText="1"/>
    </xf>
    <xf numFmtId="49" fontId="1" fillId="0" borderId="10" xfId="38" applyFont="1" applyBorder="1" applyAlignment="1">
      <alignment horizontal="center" vertical="center" wrapText="1"/>
    </xf>
    <xf numFmtId="49" fontId="1" fillId="0" borderId="1" xfId="38" applyFont="1" applyBorder="1" applyAlignment="1">
      <alignment horizontal="center" vertical="center" wrapText="1"/>
    </xf>
    <xf numFmtId="49" fontId="1" fillId="0" borderId="7" xfId="38" applyFont="1" applyBorder="1" applyAlignment="1">
      <alignment horizontal="center" vertical="center" wrapText="1"/>
    </xf>
    <xf numFmtId="49" fontId="1" fillId="0" borderId="11" xfId="38" applyFont="1" applyBorder="1" applyAlignment="1">
      <alignment horizontal="center" vertical="center" wrapText="1"/>
    </xf>
    <xf numFmtId="49" fontId="1" fillId="0" borderId="5" xfId="38" applyFont="1" applyBorder="1" applyAlignment="1">
      <alignment horizontal="center" vertical="center" wrapText="1"/>
    </xf>
    <xf numFmtId="49" fontId="1" fillId="0" borderId="8" xfId="38" applyFont="1" applyBorder="1" applyAlignment="1">
      <alignment horizontal="center" vertical="center" wrapText="1"/>
    </xf>
    <xf numFmtId="49" fontId="7" fillId="0" borderId="10" xfId="39" applyFont="1" applyBorder="1">
      <alignment horizontal="center" wrapText="1"/>
    </xf>
    <xf numFmtId="49" fontId="7" fillId="0" borderId="1" xfId="39" applyFont="1" applyBorder="1">
      <alignment horizontal="center" wrapText="1"/>
    </xf>
    <xf numFmtId="49" fontId="7" fillId="0" borderId="7" xfId="39" applyFont="1" applyBorder="1">
      <alignment horizontal="center" wrapText="1"/>
    </xf>
    <xf numFmtId="49" fontId="1" fillId="0" borderId="10" xfId="40" applyFont="1" applyBorder="1">
      <alignment horizontal="right" wrapText="1"/>
    </xf>
    <xf numFmtId="49" fontId="1" fillId="0" borderId="14" xfId="40" applyFont="1" applyBorder="1">
      <alignment horizontal="right" wrapText="1"/>
    </xf>
    <xf numFmtId="49" fontId="1" fillId="0" borderId="11" xfId="40" applyFont="1" applyBorder="1">
      <alignment horizontal="right" wrapText="1"/>
    </xf>
    <xf numFmtId="0" fontId="8" fillId="0" borderId="0" xfId="2" applyFont="1" applyAlignment="1">
      <alignment vertical="center"/>
    </xf>
    <xf numFmtId="16" fontId="7" fillId="2" borderId="3" xfId="0" applyNumberFormat="1" applyFont="1" applyFill="1" applyBorder="1" applyAlignment="1">
      <alignment horizontal="center" vertical="center" wrapText="1"/>
    </xf>
    <xf numFmtId="16" fontId="7" fillId="2" borderId="4"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6" fontId="1" fillId="2" borderId="3" xfId="0" applyNumberFormat="1" applyFont="1" applyFill="1" applyBorder="1" applyAlignment="1">
      <alignment horizontal="center" vertical="center" wrapText="1"/>
    </xf>
    <xf numFmtId="16" fontId="1" fillId="2" borderId="4" xfId="0" applyNumberFormat="1" applyFont="1" applyFill="1" applyBorder="1" applyAlignment="1">
      <alignment horizontal="center" vertical="center" wrapText="1"/>
    </xf>
    <xf numFmtId="16" fontId="1" fillId="0" borderId="3" xfId="0" applyNumberFormat="1" applyFont="1" applyBorder="1" applyAlignment="1">
      <alignment horizontal="center" vertical="center" wrapText="1"/>
    </xf>
    <xf numFmtId="16" fontId="1" fillId="0" borderId="4"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left" wrapText="1"/>
    </xf>
    <xf numFmtId="0" fontId="1" fillId="0" borderId="4" xfId="0" applyFont="1" applyBorder="1" applyAlignment="1">
      <alignment horizontal="left"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left" wrapText="1"/>
    </xf>
    <xf numFmtId="0" fontId="7" fillId="0" borderId="8" xfId="0" applyFont="1" applyBorder="1" applyAlignment="1">
      <alignment horizontal="left" wrapText="1"/>
    </xf>
    <xf numFmtId="0" fontId="7" fillId="0" borderId="10" xfId="0" applyFont="1" applyBorder="1" applyAlignment="1">
      <alignment horizontal="left" wrapText="1"/>
    </xf>
    <xf numFmtId="0" fontId="7" fillId="0" borderId="11" xfId="0" applyFont="1" applyBorder="1" applyAlignment="1">
      <alignment horizontal="left" wrapText="1"/>
    </xf>
    <xf numFmtId="0" fontId="1" fillId="0" borderId="0" xfId="0" applyFont="1" applyAlignment="1">
      <alignment horizontal="left" wrapText="1"/>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left" vertical="center" wrapText="1"/>
    </xf>
    <xf numFmtId="0" fontId="1" fillId="0" borderId="0" xfId="0" applyFont="1"/>
    <xf numFmtId="0" fontId="1" fillId="2" borderId="0" xfId="0" applyFont="1" applyFill="1" applyAlignment="1">
      <alignment wrapText="1"/>
    </xf>
    <xf numFmtId="0" fontId="1" fillId="2" borderId="1" xfId="0" applyFont="1" applyFill="1" applyBorder="1" applyAlignment="1">
      <alignment horizontal="center" wrapText="1"/>
    </xf>
    <xf numFmtId="0" fontId="4" fillId="0" borderId="1" xfId="0" applyFont="1" applyBorder="1" applyAlignment="1">
      <alignment horizontal="left" vertical="top"/>
    </xf>
    <xf numFmtId="0" fontId="1" fillId="0" borderId="0" xfId="0" applyFont="1" applyAlignment="1">
      <alignment horizontal="left" vertical="center"/>
    </xf>
    <xf numFmtId="0" fontId="1" fillId="0" borderId="0" xfId="0" applyFont="1" applyAlignment="1">
      <alignment vertical="center"/>
    </xf>
    <xf numFmtId="0" fontId="4" fillId="0" borderId="1" xfId="0" applyFont="1" applyBorder="1" applyAlignment="1">
      <alignment vertical="top" wrapText="1"/>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2" borderId="5" xfId="0" applyFont="1" applyFill="1" applyBorder="1" applyAlignment="1">
      <alignment horizontal="left" vertical="center"/>
    </xf>
    <xf numFmtId="0" fontId="9" fillId="0" borderId="2" xfId="0" applyFont="1" applyBorder="1" applyAlignment="1">
      <alignment horizontal="center" wrapText="1"/>
    </xf>
    <xf numFmtId="0" fontId="9" fillId="0" borderId="2" xfId="0" applyFont="1" applyBorder="1" applyAlignment="1">
      <alignment horizontal="center"/>
    </xf>
    <xf numFmtId="0" fontId="9" fillId="0" borderId="6" xfId="0" applyFont="1" applyBorder="1" applyAlignment="1">
      <alignment horizontal="center"/>
    </xf>
    <xf numFmtId="0" fontId="9" fillId="0" borderId="10" xfId="0" applyFont="1" applyBorder="1" applyAlignment="1">
      <alignment horizontal="center" wrapText="1"/>
    </xf>
    <xf numFmtId="0" fontId="9" fillId="0" borderId="7" xfId="0" applyFont="1" applyBorder="1" applyAlignment="1">
      <alignment horizontal="center" wrapText="1"/>
    </xf>
    <xf numFmtId="0" fontId="9" fillId="0" borderId="11" xfId="0" applyFont="1" applyBorder="1" applyAlignment="1">
      <alignment horizontal="center" wrapText="1"/>
    </xf>
    <xf numFmtId="0" fontId="9" fillId="0" borderId="8" xfId="0" applyFont="1" applyBorder="1" applyAlignment="1">
      <alignment horizontal="center" wrapText="1"/>
    </xf>
    <xf numFmtId="0" fontId="19" fillId="0" borderId="0" xfId="0" applyFont="1" applyAlignment="1">
      <alignment wrapText="1"/>
    </xf>
    <xf numFmtId="0" fontId="18" fillId="0" borderId="0" xfId="0" applyFont="1" applyAlignment="1">
      <alignment vertical="top" wrapText="1"/>
    </xf>
    <xf numFmtId="0" fontId="18" fillId="0" borderId="0" xfId="0" applyFont="1" applyAlignment="1">
      <alignment wrapText="1"/>
    </xf>
    <xf numFmtId="0" fontId="18" fillId="0" borderId="5" xfId="0" applyFont="1" applyBorder="1" applyAlignment="1">
      <alignment horizontal="left" vertical="top" wrapText="1"/>
    </xf>
    <xf numFmtId="0" fontId="18" fillId="0" borderId="0" xfId="0" applyFont="1" applyAlignment="1">
      <alignment vertical="center" wrapText="1"/>
    </xf>
    <xf numFmtId="0" fontId="18" fillId="0" borderId="1" xfId="0" applyFont="1" applyBorder="1" applyAlignment="1">
      <alignment vertical="center" wrapText="1"/>
    </xf>
    <xf numFmtId="0" fontId="8" fillId="0" borderId="0" xfId="2" applyFont="1" applyAlignment="1">
      <alignment horizontal="left" vertical="center"/>
    </xf>
    <xf numFmtId="0" fontId="7" fillId="0" borderId="5" xfId="2" applyFont="1" applyBorder="1" applyAlignment="1">
      <alignment horizontal="left" vertical="center"/>
    </xf>
    <xf numFmtId="0" fontId="1" fillId="0" borderId="1" xfId="0" applyFont="1" applyBorder="1" applyAlignment="1">
      <alignment horizontal="left"/>
    </xf>
    <xf numFmtId="0" fontId="1" fillId="0" borderId="5" xfId="0" applyFont="1" applyBorder="1" applyAlignment="1">
      <alignment horizontal="left"/>
    </xf>
    <xf numFmtId="0" fontId="1" fillId="0" borderId="1" xfId="0" applyFont="1" applyBorder="1"/>
    <xf numFmtId="0" fontId="1" fillId="0" borderId="5" xfId="0" applyFont="1" applyBorder="1"/>
    <xf numFmtId="0" fontId="107" fillId="0" borderId="0" xfId="55"/>
    <xf numFmtId="0" fontId="107" fillId="0" borderId="0" xfId="55" applyAlignment="1">
      <alignment horizontal="center"/>
    </xf>
    <xf numFmtId="0" fontId="7" fillId="0" borderId="0" xfId="55" applyFont="1"/>
    <xf numFmtId="3" fontId="7" fillId="0" borderId="0" xfId="55" applyNumberFormat="1" applyFont="1"/>
    <xf numFmtId="167" fontId="7" fillId="0" borderId="0" xfId="55" applyNumberFormat="1" applyFont="1"/>
    <xf numFmtId="3" fontId="107" fillId="0" borderId="0" xfId="55" applyNumberFormat="1"/>
    <xf numFmtId="0" fontId="7" fillId="0" borderId="0" xfId="55" applyFont="1" applyAlignment="1" applyProtection="1">
      <alignment horizontal="left" vertical="center" wrapText="1"/>
      <protection locked="0"/>
    </xf>
    <xf numFmtId="0" fontId="7" fillId="0" borderId="0" xfId="55" applyFont="1" applyAlignment="1">
      <alignment horizontal="right"/>
    </xf>
    <xf numFmtId="0" fontId="7" fillId="0" borderId="0" xfId="55" applyFont="1" applyAlignment="1">
      <alignment horizontal="center" vertical="center" wrapText="1"/>
    </xf>
    <xf numFmtId="0" fontId="107" fillId="0" borderId="0" xfId="55" applyAlignment="1">
      <alignment horizontal="center" vertical="center" wrapText="1"/>
    </xf>
    <xf numFmtId="0" fontId="7" fillId="0" borderId="0" xfId="55" applyFont="1" applyAlignment="1">
      <alignment horizontal="right" vertical="top"/>
    </xf>
    <xf numFmtId="167" fontId="7" fillId="0" borderId="5" xfId="55" applyNumberFormat="1" applyFont="1" applyBorder="1"/>
    <xf numFmtId="3" fontId="7" fillId="0" borderId="5" xfId="55" applyNumberFormat="1" applyFont="1" applyBorder="1"/>
    <xf numFmtId="3" fontId="7" fillId="0" borderId="5" xfId="55" applyNumberFormat="1" applyFont="1" applyBorder="1" applyAlignment="1">
      <alignment horizontal="right"/>
    </xf>
    <xf numFmtId="0" fontId="7" fillId="0" borderId="5" xfId="55" applyFont="1" applyBorder="1"/>
    <xf numFmtId="3" fontId="7" fillId="0" borderId="0" xfId="55" applyNumberFormat="1" applyFont="1" applyAlignment="1">
      <alignment horizontal="right"/>
    </xf>
    <xf numFmtId="3" fontId="7" fillId="0" borderId="0" xfId="55" applyNumberFormat="1" applyFont="1" applyAlignment="1" applyProtection="1">
      <alignment horizontal="right" vertical="center" wrapText="1"/>
      <protection locked="0"/>
    </xf>
    <xf numFmtId="0" fontId="7" fillId="0" borderId="6" xfId="55" applyFont="1" applyBorder="1" applyAlignment="1">
      <alignment horizontal="right"/>
    </xf>
    <xf numFmtId="0" fontId="7" fillId="0" borderId="11" xfId="55" applyFont="1" applyBorder="1" applyAlignment="1">
      <alignment horizontal="right"/>
    </xf>
    <xf numFmtId="0" fontId="7" fillId="0" borderId="2" xfId="55" applyFont="1" applyBorder="1" applyAlignment="1">
      <alignment horizontal="right"/>
    </xf>
    <xf numFmtId="0" fontId="7" fillId="0" borderId="4" xfId="55" applyFont="1" applyBorder="1" applyAlignment="1">
      <alignment horizontal="right"/>
    </xf>
    <xf numFmtId="0" fontId="7" fillId="0" borderId="8" xfId="55" applyFont="1" applyBorder="1"/>
    <xf numFmtId="0" fontId="7" fillId="0" borderId="5" xfId="55" applyFont="1" applyBorder="1" applyAlignment="1">
      <alignment horizontal="center" vertical="center" wrapText="1"/>
    </xf>
    <xf numFmtId="0" fontId="7" fillId="0" borderId="11" xfId="55" applyFont="1" applyBorder="1" applyAlignment="1">
      <alignment horizontal="center" vertical="center" wrapText="1"/>
    </xf>
    <xf numFmtId="0" fontId="107" fillId="0" borderId="8" xfId="55" applyBorder="1" applyAlignment="1">
      <alignment horizontal="center" vertical="center" wrapText="1"/>
    </xf>
    <xf numFmtId="0" fontId="107" fillId="0" borderId="11" xfId="55" applyBorder="1" applyAlignment="1">
      <alignment horizontal="center" vertical="center" wrapText="1"/>
    </xf>
    <xf numFmtId="0" fontId="7" fillId="0" borderId="8" xfId="55" applyFont="1" applyBorder="1" applyAlignment="1">
      <alignment horizontal="center" vertical="center" wrapText="1"/>
    </xf>
    <xf numFmtId="0" fontId="7" fillId="0" borderId="13" xfId="55" applyFont="1" applyBorder="1" applyAlignment="1">
      <alignment horizontal="right" vertical="top"/>
    </xf>
    <xf numFmtId="0" fontId="7" fillId="0" borderId="1" xfId="55" applyFont="1" applyBorder="1" applyAlignment="1">
      <alignment horizontal="center" vertical="center" wrapText="1"/>
    </xf>
    <xf numFmtId="0" fontId="7" fillId="0" borderId="10" xfId="55" applyFont="1" applyBorder="1" applyAlignment="1">
      <alignment horizontal="center" vertical="center" wrapText="1"/>
    </xf>
    <xf numFmtId="0" fontId="107" fillId="0" borderId="7" xfId="55" applyBorder="1" applyAlignment="1">
      <alignment horizontal="center" vertical="center" wrapText="1"/>
    </xf>
    <xf numFmtId="0" fontId="7" fillId="0" borderId="7" xfId="55" applyFont="1" applyBorder="1" applyAlignment="1">
      <alignment horizontal="center" vertical="center" wrapText="1"/>
    </xf>
    <xf numFmtId="0" fontId="7" fillId="0" borderId="3" xfId="55" applyFont="1" applyBorder="1" applyAlignment="1">
      <alignment horizontal="right" vertical="top"/>
    </xf>
    <xf numFmtId="0" fontId="7" fillId="0" borderId="1" xfId="55" applyFont="1" applyBorder="1"/>
    <xf numFmtId="0" fontId="107" fillId="0" borderId="5" xfId="55" applyBorder="1" applyAlignment="1">
      <alignment horizontal="center" vertical="center" wrapText="1"/>
    </xf>
    <xf numFmtId="0" fontId="107" fillId="0" borderId="1" xfId="55" applyBorder="1" applyAlignment="1">
      <alignment horizontal="center" vertical="center" wrapText="1"/>
    </xf>
    <xf numFmtId="166" fontId="0" fillId="0" borderId="5" xfId="56" applyNumberFormat="1" applyFont="1" applyFill="1" applyBorder="1"/>
    <xf numFmtId="166" fontId="0" fillId="0" borderId="0" xfId="56" applyNumberFormat="1" applyFont="1" applyFill="1" applyBorder="1"/>
    <xf numFmtId="166" fontId="0" fillId="0" borderId="0" xfId="56" applyNumberFormat="1" applyFont="1" applyFill="1"/>
    <xf numFmtId="0" fontId="8" fillId="0" borderId="0" xfId="55" applyFont="1"/>
    <xf numFmtId="164" fontId="8" fillId="0" borderId="0" xfId="55" applyNumberFormat="1" applyFont="1"/>
    <xf numFmtId="0" fontId="50" fillId="0" borderId="0" xfId="55" applyFont="1"/>
    <xf numFmtId="0" fontId="8" fillId="0" borderId="0" xfId="55" applyFont="1" applyAlignment="1">
      <alignment horizontal="left"/>
    </xf>
    <xf numFmtId="3" fontId="8" fillId="0" borderId="0" xfId="55" applyNumberFormat="1" applyFont="1"/>
    <xf numFmtId="0" fontId="37" fillId="0" borderId="0" xfId="55" applyFont="1"/>
    <xf numFmtId="0" fontId="7" fillId="0" borderId="0" xfId="55" applyFont="1" applyAlignment="1">
      <alignment horizontal="left" vertical="center"/>
    </xf>
    <xf numFmtId="164" fontId="7" fillId="0" borderId="0" xfId="55" applyNumberFormat="1" applyFont="1"/>
    <xf numFmtId="164" fontId="107" fillId="0" borderId="0" xfId="55" applyNumberFormat="1"/>
    <xf numFmtId="0" fontId="8" fillId="0" borderId="0" xfId="55" applyFont="1" applyAlignment="1">
      <alignment horizontal="center"/>
    </xf>
    <xf numFmtId="1" fontId="107" fillId="0" borderId="0" xfId="55" applyNumberFormat="1" applyAlignment="1">
      <alignment horizontal="right"/>
    </xf>
    <xf numFmtId="0" fontId="7" fillId="0" borderId="0" xfId="55" applyFont="1" applyAlignment="1">
      <alignment horizontal="center" vertical="center"/>
    </xf>
    <xf numFmtId="0" fontId="107" fillId="0" borderId="0" xfId="55" applyAlignment="1">
      <alignment horizontal="right"/>
    </xf>
    <xf numFmtId="0" fontId="107" fillId="0" borderId="0" xfId="55" applyAlignment="1">
      <alignment horizontal="left"/>
    </xf>
    <xf numFmtId="164" fontId="8" fillId="0" borderId="0" xfId="55" applyNumberFormat="1" applyFont="1" applyAlignment="1">
      <alignment horizontal="center"/>
    </xf>
    <xf numFmtId="0" fontId="7" fillId="0" borderId="0" xfId="55" applyFont="1" applyAlignment="1">
      <alignment horizontal="center" vertical="center" wrapText="1"/>
    </xf>
    <xf numFmtId="0" fontId="7" fillId="0" borderId="0" xfId="55" applyFont="1" applyAlignment="1">
      <alignment vertical="center" wrapText="1"/>
    </xf>
    <xf numFmtId="164" fontId="7" fillId="0" borderId="5" xfId="55" applyNumberFormat="1" applyFont="1" applyBorder="1"/>
    <xf numFmtId="0" fontId="107" fillId="0" borderId="5" xfId="55" applyBorder="1"/>
    <xf numFmtId="3" fontId="7" fillId="0" borderId="11" xfId="55" applyNumberFormat="1" applyFont="1" applyBorder="1" applyAlignment="1">
      <alignment horizontal="right"/>
    </xf>
    <xf numFmtId="3" fontId="7" fillId="0" borderId="4" xfId="55" applyNumberFormat="1" applyFont="1" applyBorder="1" applyAlignment="1">
      <alignment horizontal="right"/>
    </xf>
    <xf numFmtId="0" fontId="7" fillId="0" borderId="5" xfId="55" applyFont="1" applyBorder="1" applyAlignment="1">
      <alignment horizontal="center"/>
    </xf>
    <xf numFmtId="0" fontId="7" fillId="0" borderId="11" xfId="55" applyFont="1" applyBorder="1" applyAlignment="1">
      <alignment horizontal="center"/>
    </xf>
    <xf numFmtId="0" fontId="7" fillId="0" borderId="8" xfId="55" applyFont="1" applyBorder="1" applyAlignment="1">
      <alignment horizontal="center"/>
    </xf>
    <xf numFmtId="3" fontId="7" fillId="0" borderId="14" xfId="55" applyNumberFormat="1" applyFont="1" applyBorder="1" applyAlignment="1">
      <alignment horizontal="right" vertical="center"/>
    </xf>
    <xf numFmtId="0" fontId="7" fillId="0" borderId="13" xfId="55" applyFont="1" applyBorder="1" applyAlignment="1">
      <alignment horizontal="right"/>
    </xf>
    <xf numFmtId="0" fontId="7" fillId="0" borderId="1" xfId="55" applyFont="1" applyBorder="1" applyAlignment="1">
      <alignment horizontal="center"/>
    </xf>
    <xf numFmtId="0" fontId="7" fillId="0" borderId="10" xfId="55" applyFont="1" applyBorder="1" applyAlignment="1">
      <alignment horizontal="center"/>
    </xf>
    <xf numFmtId="0" fontId="7" fillId="0" borderId="7" xfId="55" applyFont="1" applyBorder="1" applyAlignment="1">
      <alignment horizontal="center"/>
    </xf>
    <xf numFmtId="3" fontId="7" fillId="0" borderId="10" xfId="55" applyNumberFormat="1" applyFont="1" applyBorder="1" applyAlignment="1">
      <alignment horizontal="right" vertical="center"/>
    </xf>
    <xf numFmtId="0" fontId="7" fillId="0" borderId="3" xfId="55" applyFont="1" applyBorder="1"/>
    <xf numFmtId="0" fontId="7" fillId="0" borderId="5" xfId="55" applyFont="1" applyBorder="1" applyAlignment="1">
      <alignment horizontal="left"/>
    </xf>
    <xf numFmtId="0" fontId="7" fillId="0" borderId="0" xfId="55" applyFont="1" applyAlignment="1">
      <alignment horizontal="left"/>
    </xf>
    <xf numFmtId="0" fontId="8" fillId="0" borderId="0" xfId="55" applyFont="1" applyAlignment="1">
      <alignment vertical="center" wrapText="1"/>
    </xf>
    <xf numFmtId="0" fontId="7" fillId="0" borderId="0" xfId="55" applyFont="1" applyAlignment="1">
      <alignment horizontal="center" vertical="center"/>
    </xf>
    <xf numFmtId="164" fontId="107" fillId="0" borderId="5" xfId="55" applyNumberFormat="1" applyBorder="1"/>
    <xf numFmtId="3" fontId="107" fillId="0" borderId="5" xfId="55" applyNumberFormat="1" applyBorder="1"/>
    <xf numFmtId="3" fontId="7" fillId="0" borderId="0" xfId="55" applyNumberFormat="1" applyFont="1" applyAlignment="1">
      <alignment horizontal="right" vertical="center"/>
    </xf>
    <xf numFmtId="3" fontId="7" fillId="0" borderId="5" xfId="55" applyNumberFormat="1" applyFont="1" applyBorder="1" applyAlignment="1" applyProtection="1">
      <alignment horizontal="right" vertical="center" wrapText="1"/>
      <protection locked="0"/>
    </xf>
    <xf numFmtId="164" fontId="7" fillId="0" borderId="5" xfId="55" applyNumberFormat="1" applyFont="1" applyBorder="1" applyAlignment="1">
      <alignment horizontal="right"/>
    </xf>
    <xf numFmtId="3" fontId="7" fillId="0" borderId="5" xfId="55" applyNumberFormat="1" applyFont="1" applyBorder="1" applyAlignment="1">
      <alignment vertical="justify" wrapText="1"/>
    </xf>
    <xf numFmtId="164" fontId="7" fillId="0" borderId="0" xfId="55" applyNumberFormat="1" applyFont="1" applyAlignment="1">
      <alignment horizontal="right"/>
    </xf>
    <xf numFmtId="3" fontId="7" fillId="0" borderId="0" xfId="55" applyNumberFormat="1" applyFont="1" applyAlignment="1">
      <alignment vertical="justify" wrapText="1"/>
    </xf>
    <xf numFmtId="1" fontId="7" fillId="0" borderId="0" xfId="55" applyNumberFormat="1" applyFont="1" applyAlignment="1">
      <alignment horizontal="right"/>
    </xf>
    <xf numFmtId="0" fontId="7" fillId="0" borderId="0" xfId="55" applyFont="1" applyAlignment="1">
      <alignment horizontal="center"/>
    </xf>
    <xf numFmtId="3" fontId="7" fillId="0" borderId="0" xfId="55" applyNumberFormat="1" applyFont="1" applyAlignment="1">
      <alignment horizontal="center"/>
    </xf>
    <xf numFmtId="0" fontId="7" fillId="0" borderId="0" xfId="55" applyFont="1" applyAlignment="1">
      <alignment horizontal="left"/>
    </xf>
    <xf numFmtId="3" fontId="7" fillId="0" borderId="6" xfId="55" applyNumberFormat="1" applyFont="1" applyBorder="1" applyAlignment="1">
      <alignment horizontal="right"/>
    </xf>
    <xf numFmtId="0" fontId="107" fillId="0" borderId="4" xfId="55" applyBorder="1" applyAlignment="1">
      <alignment horizontal="right"/>
    </xf>
    <xf numFmtId="3" fontId="7" fillId="0" borderId="0" xfId="55" applyNumberFormat="1" applyFont="1" applyAlignment="1" applyProtection="1">
      <alignment vertical="justify" wrapText="1"/>
      <protection locked="0"/>
    </xf>
    <xf numFmtId="3" fontId="7" fillId="0" borderId="0" xfId="55" applyNumberFormat="1" applyFont="1" applyProtection="1">
      <protection locked="0"/>
    </xf>
    <xf numFmtId="0" fontId="7" fillId="0" borderId="15" xfId="55" applyFont="1" applyBorder="1" applyAlignment="1">
      <alignment horizontal="center"/>
    </xf>
    <xf numFmtId="0" fontId="7" fillId="0" borderId="14" xfId="55" applyFont="1" applyBorder="1" applyAlignment="1">
      <alignment horizontal="center"/>
    </xf>
    <xf numFmtId="3" fontId="7" fillId="0" borderId="5" xfId="55" applyNumberFormat="1" applyFont="1" applyBorder="1" applyAlignment="1">
      <alignment horizontal="center" vertical="center"/>
    </xf>
    <xf numFmtId="3" fontId="7" fillId="0" borderId="11" xfId="55" applyNumberFormat="1" applyFont="1" applyBorder="1" applyAlignment="1">
      <alignment horizontal="center" vertical="center"/>
    </xf>
    <xf numFmtId="0" fontId="107" fillId="0" borderId="13" xfId="55" applyBorder="1" applyAlignment="1">
      <alignment horizontal="right"/>
    </xf>
    <xf numFmtId="0" fontId="107" fillId="0" borderId="14" xfId="55" applyBorder="1" applyAlignment="1">
      <alignment horizontal="right"/>
    </xf>
    <xf numFmtId="0" fontId="7" fillId="0" borderId="14" xfId="55" applyFont="1" applyBorder="1" applyAlignment="1">
      <alignment horizontal="right"/>
    </xf>
    <xf numFmtId="0" fontId="7" fillId="0" borderId="15" xfId="55" applyFont="1" applyBorder="1"/>
    <xf numFmtId="0" fontId="7" fillId="0" borderId="5" xfId="55" applyFont="1" applyBorder="1" applyAlignment="1">
      <alignment horizontal="center" vertical="center"/>
    </xf>
    <xf numFmtId="0" fontId="7" fillId="0" borderId="5" xfId="55" applyFont="1" applyBorder="1" applyAlignment="1">
      <alignment horizontal="left" vertical="center"/>
    </xf>
    <xf numFmtId="3" fontId="7" fillId="0" borderId="1" xfId="55" applyNumberFormat="1" applyFont="1" applyBorder="1" applyAlignment="1">
      <alignment horizontal="center" vertical="center"/>
    </xf>
    <xf numFmtId="3" fontId="7" fillId="0" borderId="10" xfId="55" applyNumberFormat="1" applyFont="1" applyBorder="1" applyAlignment="1">
      <alignment horizontal="center" vertical="center"/>
    </xf>
    <xf numFmtId="0" fontId="107" fillId="0" borderId="3" xfId="55" applyBorder="1"/>
    <xf numFmtId="0" fontId="7" fillId="0" borderId="10" xfId="55" applyFont="1" applyBorder="1" applyAlignment="1">
      <alignment horizontal="right"/>
    </xf>
    <xf numFmtId="0" fontId="7" fillId="0" borderId="7" xfId="55" applyFont="1" applyBorder="1"/>
    <xf numFmtId="0" fontId="7" fillId="0" borderId="0" xfId="55" applyFont="1" applyAlignment="1">
      <alignment horizontal="center"/>
    </xf>
    <xf numFmtId="0" fontId="7" fillId="0" borderId="10" xfId="55" applyFont="1" applyBorder="1" applyAlignment="1">
      <alignment horizontal="right" vertical="top"/>
    </xf>
    <xf numFmtId="0" fontId="7" fillId="0" borderId="13" xfId="55" applyFont="1" applyBorder="1" applyAlignment="1">
      <alignment horizontal="center"/>
    </xf>
    <xf numFmtId="3" fontId="7" fillId="0" borderId="0" xfId="55" applyNumberFormat="1" applyFont="1" applyAlignment="1">
      <alignment horizontal="center" vertical="center"/>
    </xf>
    <xf numFmtId="3" fontId="7" fillId="0" borderId="0" xfId="55" applyNumberFormat="1" applyFont="1" applyAlignment="1">
      <alignment horizontal="center" vertical="center"/>
    </xf>
    <xf numFmtId="164" fontId="7" fillId="0" borderId="0" xfId="55" applyNumberFormat="1" applyFont="1" applyAlignment="1">
      <alignment horizontal="center"/>
    </xf>
    <xf numFmtId="164" fontId="1" fillId="0" borderId="5" xfId="55" applyNumberFormat="1" applyFont="1" applyBorder="1"/>
    <xf numFmtId="3" fontId="107" fillId="0" borderId="5" xfId="55" applyNumberFormat="1" applyBorder="1" applyAlignment="1">
      <alignment horizontal="right"/>
    </xf>
    <xf numFmtId="164" fontId="1" fillId="0" borderId="0" xfId="55" applyNumberFormat="1" applyFont="1"/>
    <xf numFmtId="3" fontId="107" fillId="0" borderId="0" xfId="55" applyNumberFormat="1" applyAlignment="1">
      <alignment horizontal="right"/>
    </xf>
    <xf numFmtId="167" fontId="107" fillId="0" borderId="0" xfId="55" applyNumberFormat="1"/>
    <xf numFmtId="1" fontId="107" fillId="0" borderId="5" xfId="55" applyNumberFormat="1" applyBorder="1"/>
    <xf numFmtId="1" fontId="107" fillId="0" borderId="0" xfId="55" applyNumberFormat="1"/>
    <xf numFmtId="3" fontId="1" fillId="0" borderId="5" xfId="55" applyNumberFormat="1" applyFont="1" applyBorder="1"/>
    <xf numFmtId="3" fontId="1" fillId="0" borderId="0" xfId="55" applyNumberFormat="1" applyFont="1"/>
    <xf numFmtId="0" fontId="7" fillId="0" borderId="1" xfId="55" applyFont="1" applyBorder="1" applyAlignment="1">
      <alignment horizontal="center" vertical="center"/>
    </xf>
    <xf numFmtId="0" fontId="7" fillId="0" borderId="11" xfId="55" applyFont="1" applyBorder="1" applyAlignment="1">
      <alignment horizontal="center" vertical="center"/>
    </xf>
    <xf numFmtId="0" fontId="7" fillId="0" borderId="10" xfId="55" applyFont="1" applyBorder="1" applyAlignment="1">
      <alignment horizontal="center" vertical="center"/>
    </xf>
    <xf numFmtId="3" fontId="1" fillId="0" borderId="11" xfId="55" applyNumberFormat="1" applyFont="1" applyBorder="1" applyAlignment="1">
      <alignment horizontal="right"/>
    </xf>
    <xf numFmtId="3" fontId="1" fillId="0" borderId="4" xfId="55" applyNumberFormat="1" applyFont="1" applyBorder="1" applyAlignment="1">
      <alignment horizontal="right"/>
    </xf>
    <xf numFmtId="0" fontId="8" fillId="0" borderId="0" xfId="55" applyFont="1" applyAlignment="1">
      <alignment horizontal="right"/>
    </xf>
    <xf numFmtId="0" fontId="1" fillId="0" borderId="5" xfId="55" applyFont="1" applyBorder="1" applyAlignment="1">
      <alignment horizontal="center"/>
    </xf>
    <xf numFmtId="0" fontId="1" fillId="0" borderId="11" xfId="55" applyFont="1" applyBorder="1" applyAlignment="1">
      <alignment horizontal="center"/>
    </xf>
    <xf numFmtId="0" fontId="1" fillId="0" borderId="8" xfId="55" applyFont="1" applyBorder="1" applyAlignment="1">
      <alignment horizontal="center"/>
    </xf>
    <xf numFmtId="3" fontId="7" fillId="0" borderId="13" xfId="55" applyNumberFormat="1" applyFont="1" applyBorder="1" applyAlignment="1">
      <alignment horizontal="right" vertical="center"/>
    </xf>
    <xf numFmtId="0" fontId="1" fillId="0" borderId="1" xfId="55" applyFont="1" applyBorder="1" applyAlignment="1">
      <alignment horizontal="center"/>
    </xf>
    <xf numFmtId="0" fontId="1" fillId="0" borderId="10" xfId="55" applyFont="1" applyBorder="1" applyAlignment="1">
      <alignment horizontal="center"/>
    </xf>
    <xf numFmtId="0" fontId="1" fillId="0" borderId="7" xfId="55" applyFont="1" applyBorder="1" applyAlignment="1">
      <alignment horizontal="center"/>
    </xf>
    <xf numFmtId="3" fontId="1" fillId="0" borderId="0" xfId="55" applyNumberFormat="1" applyFont="1" applyProtection="1">
      <protection locked="0"/>
    </xf>
    <xf numFmtId="3" fontId="7" fillId="0" borderId="7" xfId="55" applyNumberFormat="1" applyFont="1" applyBorder="1" applyAlignment="1">
      <alignment horizontal="center"/>
    </xf>
    <xf numFmtId="3" fontId="7" fillId="0" borderId="10" xfId="55" applyNumberFormat="1" applyFont="1" applyBorder="1" applyAlignment="1">
      <alignment horizontal="center"/>
    </xf>
    <xf numFmtId="3" fontId="7" fillId="0" borderId="3" xfId="55" applyNumberFormat="1" applyFont="1" applyBorder="1" applyAlignment="1">
      <alignment vertical="center"/>
    </xf>
    <xf numFmtId="3" fontId="7" fillId="0" borderId="10" xfId="55" applyNumberFormat="1" applyFont="1" applyBorder="1" applyAlignment="1">
      <alignment vertical="center"/>
    </xf>
    <xf numFmtId="3" fontId="1" fillId="0" borderId="0" xfId="55" applyNumberFormat="1" applyFont="1" applyAlignment="1">
      <alignment horizontal="right"/>
    </xf>
    <xf numFmtId="3" fontId="7" fillId="0" borderId="0" xfId="55" applyNumberFormat="1" applyFont="1" applyAlignment="1">
      <alignment horizontal="center"/>
    </xf>
    <xf numFmtId="164" fontId="8" fillId="0" borderId="0" xfId="55" applyNumberFormat="1" applyFont="1" applyAlignment="1">
      <alignment horizontal="right"/>
    </xf>
    <xf numFmtId="166" fontId="107" fillId="0" borderId="0" xfId="55" applyNumberFormat="1"/>
    <xf numFmtId="167" fontId="107" fillId="0" borderId="5" xfId="55" applyNumberFormat="1" applyBorder="1"/>
    <xf numFmtId="0" fontId="7" fillId="0" borderId="5" xfId="55" applyFont="1" applyBorder="1" applyAlignment="1">
      <alignment horizontal="right"/>
    </xf>
    <xf numFmtId="0" fontId="7" fillId="0" borderId="0" xfId="55" applyFont="1" applyAlignment="1" applyProtection="1">
      <alignment horizontal="right" vertical="center" wrapText="1"/>
      <protection locked="0"/>
    </xf>
    <xf numFmtId="0" fontId="8" fillId="0" borderId="0" xfId="55" applyFont="1" applyAlignment="1">
      <alignment horizontal="center" vertical="center" wrapText="1"/>
    </xf>
    <xf numFmtId="0" fontId="107" fillId="0" borderId="0" xfId="55" applyAlignment="1">
      <alignment horizontal="left" indent="3"/>
    </xf>
    <xf numFmtId="0" fontId="1" fillId="0" borderId="0" xfId="55" applyFont="1"/>
    <xf numFmtId="0" fontId="7" fillId="0" borderId="11" xfId="55" applyFont="1" applyBorder="1" applyAlignment="1">
      <alignment horizontal="center"/>
    </xf>
    <xf numFmtId="0" fontId="107" fillId="0" borderId="11" xfId="55" applyBorder="1" applyAlignment="1">
      <alignment horizontal="center"/>
    </xf>
    <xf numFmtId="0" fontId="7" fillId="0" borderId="5" xfId="55" applyFont="1" applyBorder="1" applyAlignment="1">
      <alignment horizontal="left"/>
    </xf>
    <xf numFmtId="0" fontId="107" fillId="0" borderId="11" xfId="55" applyBorder="1" applyAlignment="1">
      <alignment horizontal="right"/>
    </xf>
    <xf numFmtId="0" fontId="7" fillId="0" borderId="0" xfId="55" applyFont="1" applyAlignment="1">
      <alignment horizontal="left" vertical="center" indent="5"/>
    </xf>
    <xf numFmtId="0" fontId="107" fillId="0" borderId="0" xfId="55" applyAlignment="1">
      <alignment vertical="center"/>
    </xf>
    <xf numFmtId="0" fontId="107" fillId="0" borderId="0" xfId="55" applyAlignment="1">
      <alignment horizontal="center" vertical="center"/>
    </xf>
    <xf numFmtId="0" fontId="107" fillId="0" borderId="0" xfId="55" applyAlignment="1">
      <alignment vertical="center" wrapText="1"/>
    </xf>
    <xf numFmtId="0" fontId="7" fillId="0" borderId="14" xfId="55" applyFont="1" applyBorder="1" applyAlignment="1">
      <alignment horizontal="center"/>
    </xf>
    <xf numFmtId="0" fontId="107" fillId="0" borderId="14" xfId="55" applyBorder="1" applyAlignment="1">
      <alignment horizontal="center"/>
    </xf>
    <xf numFmtId="0" fontId="7" fillId="0" borderId="13" xfId="55" applyFont="1" applyBorder="1" applyAlignment="1">
      <alignment horizontal="left"/>
    </xf>
    <xf numFmtId="0" fontId="107" fillId="0" borderId="14" xfId="55" applyBorder="1"/>
    <xf numFmtId="0" fontId="107" fillId="0" borderId="12" xfId="55" applyBorder="1" applyAlignment="1">
      <alignment horizontal="center"/>
    </xf>
    <xf numFmtId="0" fontId="107" fillId="0" borderId="6" xfId="55" applyBorder="1" applyAlignment="1">
      <alignment horizontal="center"/>
    </xf>
    <xf numFmtId="0" fontId="107" fillId="0" borderId="9" xfId="55" applyBorder="1" applyAlignment="1">
      <alignment horizontal="center"/>
    </xf>
    <xf numFmtId="0" fontId="37" fillId="0" borderId="0" xfId="55" applyFont="1" applyAlignment="1">
      <alignment horizontal="center"/>
    </xf>
    <xf numFmtId="0" fontId="107" fillId="0" borderId="10" xfId="55" applyBorder="1"/>
    <xf numFmtId="0" fontId="50" fillId="0" borderId="5" xfId="55" applyFont="1" applyBorder="1"/>
  </cellXfs>
  <cellStyles count="57">
    <cellStyle name="Column Heading" xfId="41" xr:uid="{2F75BAC5-B51A-41EE-9AF5-5A2BECFC88C0}"/>
    <cellStyle name="Column Heading 2" xfId="40" xr:uid="{D14EBE58-4B38-41FF-86DD-D40CD6F26F77}"/>
    <cellStyle name="Column Spanner" xfId="39" xr:uid="{B8EF8CD0-7573-4341-8FDA-81587DC58342}"/>
    <cellStyle name="Column Spanner 2" xfId="38" xr:uid="{89D2305B-9DA3-40AE-93B8-CD9C36789D76}"/>
    <cellStyle name="Comma 2" xfId="7" xr:uid="{97F53C88-1EEA-4F96-BE35-7124136CF3DC}"/>
    <cellStyle name="Comma 2 2" xfId="32" xr:uid="{147B8DA4-1A39-473B-836A-E4ED791703BE}"/>
    <cellStyle name="Comma 2 2 2" xfId="34" xr:uid="{0A65B703-1399-49C4-931A-7890CC379D55}"/>
    <cellStyle name="Comma 3" xfId="6" xr:uid="{3F939877-CFAB-4623-A3C9-31677B882E8F}"/>
    <cellStyle name="Comma 3 2" xfId="54" xr:uid="{53784E26-E914-4E9D-B6A7-976CBC8F9AE3}"/>
    <cellStyle name="Comma 4" xfId="4" xr:uid="{70AB9F32-3C04-406A-89E2-9A9306577946}"/>
    <cellStyle name="Comma 5" xfId="11" xr:uid="{AF7A28ED-0BB7-4B71-BE35-7305513911C3}"/>
    <cellStyle name="Comma 6" xfId="56" xr:uid="{E7E4E82D-3042-4480-B064-71543A5C987F}"/>
    <cellStyle name="Data" xfId="48" xr:uid="{830FBA8C-323E-4494-B338-5FEA3277AF82}"/>
    <cellStyle name="Data 2" xfId="42" xr:uid="{0D334F36-1D25-48BA-91CB-6F2E3A25FF11}"/>
    <cellStyle name="Hyperlink" xfId="1" builtinId="8"/>
    <cellStyle name="Hyperlink 2" xfId="28" xr:uid="{9EDA7EB6-A51C-4AB8-A6AC-2E02B90E2A7E}"/>
    <cellStyle name="Hyperlink 3" xfId="30" xr:uid="{9B6DEEE2-24E9-4C70-BA6F-D7082BB4C595}"/>
    <cellStyle name="Hyperlink 4" xfId="33" xr:uid="{4B0AE495-44AA-43F7-86BC-10D56E7EE67D}"/>
    <cellStyle name="Last Note 2" xfId="47" xr:uid="{97B94464-3F47-4741-828E-A58E4DAB54B6}"/>
    <cellStyle name="Normal" xfId="0" builtinId="0"/>
    <cellStyle name="Normal 10" xfId="18" xr:uid="{3FD904D3-ACB9-4942-B323-543D56175AF6}"/>
    <cellStyle name="Normal 11" xfId="13" xr:uid="{F93C4F47-A838-4F34-B0E2-6D7EE6930533}"/>
    <cellStyle name="Normal 12" xfId="24" xr:uid="{A59DE088-B86D-4DEB-90BA-F997D04CFD9C}"/>
    <cellStyle name="Normal 14" xfId="20" xr:uid="{BE014642-9611-46EE-B2DE-A8AD9B9B5785}"/>
    <cellStyle name="Normal 15" xfId="21" xr:uid="{D35450D8-53CD-4B96-A9D1-8182BF258C2D}"/>
    <cellStyle name="Normal 16" xfId="25" xr:uid="{7D8306C3-7D78-497C-AC5E-A72AED0B34FB}"/>
    <cellStyle name="Normal 17" xfId="26" xr:uid="{BC081672-7597-4285-8695-F7CBB6D26A95}"/>
    <cellStyle name="Normal 17 2" xfId="27" xr:uid="{14C045A5-01C1-4C28-831B-990FFA02BB86}"/>
    <cellStyle name="Normal 18" xfId="19" xr:uid="{4EA0F34F-C3AD-4A4C-9C81-5FC4BAAA138E}"/>
    <cellStyle name="Normal 19" xfId="29" xr:uid="{68C24F3E-DBC3-45F0-B992-916BD430A1C5}"/>
    <cellStyle name="Normal 2" xfId="2" xr:uid="{4D502178-9595-4B15-832E-D652761FA416}"/>
    <cellStyle name="Normal 2 2" xfId="3" xr:uid="{661FF84B-D453-4B26-9F66-FFD712EB0A9E}"/>
    <cellStyle name="Normal 2 3" xfId="22" xr:uid="{6D0C36F6-3629-44E5-A11E-B6B93A796F7C}"/>
    <cellStyle name="Normal 2 4" xfId="45" xr:uid="{D733BDD2-1C46-4857-B9EE-390FF98F0300}"/>
    <cellStyle name="Normal 3" xfId="5" xr:uid="{DA6DF116-D894-4D8A-A338-B7B76BB440F7}"/>
    <cellStyle name="Normal 3 2" xfId="10" xr:uid="{21956B80-CFE5-4183-8317-6086D29969CB}"/>
    <cellStyle name="Normal 3 2 2" xfId="35" xr:uid="{1A888110-F6C5-43E9-95C9-A59DC92E5200}"/>
    <cellStyle name="Normal 4" xfId="8" xr:uid="{515371EA-49F3-4900-A1D2-4E1CE078E434}"/>
    <cellStyle name="Normal 4 2" xfId="14" xr:uid="{1A221F55-05E7-4253-B7FB-9EB66032393F}"/>
    <cellStyle name="Normal 5" xfId="50" xr:uid="{A34C80FC-E84B-458E-9D79-12E75EAFB539}"/>
    <cellStyle name="Normal 5 2" xfId="53" xr:uid="{1AAFAA03-4514-46E9-8594-E5CB0A319CFC}"/>
    <cellStyle name="Normal 6" xfId="55" xr:uid="{82C07B94-A28C-40F5-B115-8B2D4A128684}"/>
    <cellStyle name="Normal 7" xfId="12" xr:uid="{3C02F467-D891-4B84-9FEF-5C56ACAFDAC6}"/>
    <cellStyle name="Normal 7 2 3" xfId="23" xr:uid="{992B6AC5-8384-4BC6-907F-EA45932AE25E}"/>
    <cellStyle name="Normal 8" xfId="15" xr:uid="{B2DCBFBD-8D3A-4079-8882-4D88259E7FB7}"/>
    <cellStyle name="Normal 8 2" xfId="16" xr:uid="{0CC1B4D6-4F5A-4816-8658-4AD278C15BA6}"/>
    <cellStyle name="Normal 9" xfId="17" xr:uid="{E1417DF4-E690-4131-BEB9-CCEA126CDE3E}"/>
    <cellStyle name="Normal_table-19" xfId="51" xr:uid="{F3C467D1-F9FF-47A2-8BDC-02EE28594E86}"/>
    <cellStyle name="Normal_TABLE-23" xfId="52" xr:uid="{DCE2926E-EFE5-401B-8740-16CBDAEB17C6}"/>
    <cellStyle name="Note or Source" xfId="46" xr:uid="{052B526E-E498-443A-80FF-BF1C59FB7112}"/>
    <cellStyle name="Percent 2" xfId="9" xr:uid="{7667E8B3-172B-4B06-B7E7-58B7549330E6}"/>
    <cellStyle name="Percent 3" xfId="31" xr:uid="{6B8BACAB-C003-4F00-896F-C77B93BC88F9}"/>
    <cellStyle name="Row Stub" xfId="43" xr:uid="{1DA569D5-61C8-44D6-A3B0-34515DA22430}"/>
    <cellStyle name="Row Stub 2" xfId="44" xr:uid="{3F9DCDC3-4936-4F37-8752-1561C59A466D}"/>
    <cellStyle name="Stub Heading" xfId="37" xr:uid="{C7373E24-9399-40C6-80F9-8DACDB978125}"/>
    <cellStyle name="Table Title" xfId="36" xr:uid="{002B5460-8C2A-4E20-AF54-419EE18265FD}"/>
    <cellStyle name="Title 2" xfId="49" xr:uid="{98BF7B3E-C4CB-47E0-A466-CD9D10B6C253}"/>
  </cellStyles>
  <dxfs count="0"/>
  <tableStyles count="0" defaultTableStyle="TableStyleMedium2" defaultPivotStyle="PivotStyleLight16"/>
  <colors>
    <mruColors>
      <color rgb="FFFF00FF"/>
      <color rgb="FFDE2A00"/>
      <color rgb="FF0099FF"/>
      <color rgb="FF00FF00"/>
      <color rgb="FFCC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127</xdr:col>
      <xdr:colOff>0</xdr:colOff>
      <xdr:row>32</xdr:row>
      <xdr:rowOff>9525</xdr:rowOff>
    </xdr:from>
    <xdr:to>
      <xdr:col>127</xdr:col>
      <xdr:colOff>0</xdr:colOff>
      <xdr:row>46</xdr:row>
      <xdr:rowOff>104775</xdr:rowOff>
    </xdr:to>
    <xdr:sp macro="" textlink="">
      <xdr:nvSpPr>
        <xdr:cNvPr id="2" name="Text Box 1">
          <a:extLst>
            <a:ext uri="{FF2B5EF4-FFF2-40B4-BE49-F238E27FC236}">
              <a16:creationId xmlns:a16="http://schemas.microsoft.com/office/drawing/2014/main" id="{0507506D-51B5-48D0-B24A-D890602E3E00}"/>
            </a:ext>
          </a:extLst>
        </xdr:cNvPr>
        <xdr:cNvSpPr txBox="1">
          <a:spLocks noChangeArrowheads="1"/>
        </xdr:cNvSpPr>
      </xdr:nvSpPr>
      <xdr:spPr bwMode="auto">
        <a:xfrm>
          <a:off x="93059250" y="6096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28</xdr:row>
      <xdr:rowOff>76200</xdr:rowOff>
    </xdr:from>
    <xdr:to>
      <xdr:col>127</xdr:col>
      <xdr:colOff>15240</xdr:colOff>
      <xdr:row>32</xdr:row>
      <xdr:rowOff>142875</xdr:rowOff>
    </xdr:to>
    <xdr:sp macro="" textlink="">
      <xdr:nvSpPr>
        <xdr:cNvPr id="3" name="Text Box 2">
          <a:extLst>
            <a:ext uri="{FF2B5EF4-FFF2-40B4-BE49-F238E27FC236}">
              <a16:creationId xmlns:a16="http://schemas.microsoft.com/office/drawing/2014/main" id="{2FE19B28-E67C-4CDD-8C39-8CA92715BD42}"/>
            </a:ext>
          </a:extLst>
        </xdr:cNvPr>
        <xdr:cNvSpPr txBox="1">
          <a:spLocks noChangeArrowheads="1"/>
        </xdr:cNvSpPr>
      </xdr:nvSpPr>
      <xdr:spPr bwMode="auto">
        <a:xfrm>
          <a:off x="93074490" y="5400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28</xdr:row>
      <xdr:rowOff>167640</xdr:rowOff>
    </xdr:from>
    <xdr:to>
      <xdr:col>127</xdr:col>
      <xdr:colOff>0</xdr:colOff>
      <xdr:row>31</xdr:row>
      <xdr:rowOff>93445</xdr:rowOff>
    </xdr:to>
    <xdr:sp macro="" textlink="">
      <xdr:nvSpPr>
        <xdr:cNvPr id="4" name="Text Box 3">
          <a:extLst>
            <a:ext uri="{FF2B5EF4-FFF2-40B4-BE49-F238E27FC236}">
              <a16:creationId xmlns:a16="http://schemas.microsoft.com/office/drawing/2014/main" id="{15335D72-D37C-419D-A750-6A23B76A24E9}"/>
            </a:ext>
          </a:extLst>
        </xdr:cNvPr>
        <xdr:cNvSpPr txBox="1">
          <a:spLocks noChangeArrowheads="1"/>
        </xdr:cNvSpPr>
      </xdr:nvSpPr>
      <xdr:spPr bwMode="auto">
        <a:xfrm>
          <a:off x="93059250" y="5492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36</xdr:row>
      <xdr:rowOff>160020</xdr:rowOff>
    </xdr:from>
    <xdr:to>
      <xdr:col>127</xdr:col>
      <xdr:colOff>0</xdr:colOff>
      <xdr:row>40</xdr:row>
      <xdr:rowOff>0</xdr:rowOff>
    </xdr:to>
    <xdr:sp macro="" textlink="">
      <xdr:nvSpPr>
        <xdr:cNvPr id="5" name="Text Box 4">
          <a:extLst>
            <a:ext uri="{FF2B5EF4-FFF2-40B4-BE49-F238E27FC236}">
              <a16:creationId xmlns:a16="http://schemas.microsoft.com/office/drawing/2014/main" id="{D082131B-38F4-497C-A7AD-D6E5364F5BA1}"/>
            </a:ext>
          </a:extLst>
        </xdr:cNvPr>
        <xdr:cNvSpPr txBox="1">
          <a:spLocks noChangeArrowheads="1"/>
        </xdr:cNvSpPr>
      </xdr:nvSpPr>
      <xdr:spPr bwMode="auto">
        <a:xfrm>
          <a:off x="93059250" y="7008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51</xdr:row>
      <xdr:rowOff>38100</xdr:rowOff>
    </xdr:from>
    <xdr:to>
      <xdr:col>127</xdr:col>
      <xdr:colOff>0</xdr:colOff>
      <xdr:row>54</xdr:row>
      <xdr:rowOff>38100</xdr:rowOff>
    </xdr:to>
    <xdr:sp macro="" textlink="">
      <xdr:nvSpPr>
        <xdr:cNvPr id="6" name="Text Box 5">
          <a:extLst>
            <a:ext uri="{FF2B5EF4-FFF2-40B4-BE49-F238E27FC236}">
              <a16:creationId xmlns:a16="http://schemas.microsoft.com/office/drawing/2014/main" id="{3E73B54D-395F-40A5-9599-139486173A66}"/>
            </a:ext>
          </a:extLst>
        </xdr:cNvPr>
        <xdr:cNvSpPr txBox="1">
          <a:spLocks noChangeArrowheads="1"/>
        </xdr:cNvSpPr>
      </xdr:nvSpPr>
      <xdr:spPr bwMode="auto">
        <a:xfrm>
          <a:off x="93059250" y="97440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126</xdr:row>
      <xdr:rowOff>28575</xdr:rowOff>
    </xdr:from>
    <xdr:to>
      <xdr:col>127</xdr:col>
      <xdr:colOff>0</xdr:colOff>
      <xdr:row>130</xdr:row>
      <xdr:rowOff>133275</xdr:rowOff>
    </xdr:to>
    <xdr:sp macro="" textlink="">
      <xdr:nvSpPr>
        <xdr:cNvPr id="7" name="Text Box 6">
          <a:extLst>
            <a:ext uri="{FF2B5EF4-FFF2-40B4-BE49-F238E27FC236}">
              <a16:creationId xmlns:a16="http://schemas.microsoft.com/office/drawing/2014/main" id="{F61E8A39-7ECA-4239-B5D5-754EBC58C8E7}"/>
            </a:ext>
          </a:extLst>
        </xdr:cNvPr>
        <xdr:cNvSpPr txBox="1">
          <a:spLocks noChangeArrowheads="1"/>
        </xdr:cNvSpPr>
      </xdr:nvSpPr>
      <xdr:spPr bwMode="auto">
        <a:xfrm>
          <a:off x="93059250" y="24022050"/>
          <a:ext cx="0" cy="8667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NOTES:</a:t>
          </a:r>
        </a:p>
        <a:p>
          <a:pPr algn="l" rtl="1">
            <a:defRPr sz="1000"/>
          </a:pPr>
          <a:r>
            <a:rPr lang="en-US" sz="800" b="0" i="0" strike="noStrike" baseline="30000">
              <a:solidFill>
                <a:srgbClr val="000000"/>
              </a:solidFill>
              <a:latin typeface="Arial"/>
              <a:cs typeface="Arial"/>
            </a:rPr>
            <a:t>1 </a:t>
          </a:r>
          <a:r>
            <a:rPr lang="en-US" sz="800" b="0" i="0" strike="noStrike">
              <a:solidFill>
                <a:srgbClr val="000000"/>
              </a:solidFill>
              <a:latin typeface="Arial"/>
              <a:cs typeface="Arial"/>
            </a:rPr>
            <a:t>Cases per 100,000 persons of thespecified poplulation.</a:t>
          </a:r>
        </a:p>
        <a:p>
          <a:pPr algn="l" rtl="1">
            <a:defRPr sz="1000"/>
          </a:pPr>
          <a:r>
            <a:rPr lang="en-US" sz="800" b="0" i="0" strike="noStrike" baseline="30000">
              <a:solidFill>
                <a:srgbClr val="000000"/>
              </a:solidFill>
              <a:latin typeface="Arial"/>
              <a:cs typeface="Arial"/>
            </a:rPr>
            <a:t>2 </a:t>
          </a:r>
          <a:r>
            <a:rPr lang="en-US" sz="800" b="0" i="0" strike="noStrike">
              <a:solidFill>
                <a:srgbClr val="000000"/>
              </a:solidFill>
              <a:latin typeface="Arial"/>
              <a:cs typeface="Arial"/>
            </a:rPr>
            <a:t>"Chamorro" ethnicity includes only those Chamorro residents on Guam.  "Micronesian" includes persons of the Commonwealth of the Northern Mariana Islands, Federated States of Micronesia, Republic of the Marshall Islands or Republic of Palau ancestry.</a:t>
          </a:r>
        </a:p>
        <a:p>
          <a:pPr algn="l" rtl="1">
            <a:defRPr sz="1000"/>
          </a:pPr>
          <a:r>
            <a:rPr lang="en-US" sz="800" b="0" i="0" strike="noStrike" baseline="30000">
              <a:solidFill>
                <a:srgbClr val="000000"/>
              </a:solidFill>
              <a:latin typeface="Arial"/>
              <a:cs typeface="Arial"/>
            </a:rPr>
            <a:t>3 </a:t>
          </a:r>
          <a:r>
            <a:rPr lang="en-US" sz="800" b="0" i="0" strike="noStrike">
              <a:solidFill>
                <a:srgbClr val="000000"/>
              </a:solidFill>
              <a:latin typeface="Arial"/>
              <a:cs typeface="Arial"/>
            </a:rPr>
            <a:t>U.S. Cancer Statistics Working Group.  </a:t>
          </a:r>
          <a:r>
            <a:rPr lang="en-US" sz="800" b="0" i="1" strike="noStrike">
              <a:solidFill>
                <a:srgbClr val="000000"/>
              </a:solidFill>
              <a:latin typeface="Arial"/>
              <a:cs typeface="Arial"/>
            </a:rPr>
            <a:t>United States Cancer Statistics: 199-2005 Incidence and Moratality Web-based Report.  </a:t>
          </a:r>
          <a:r>
            <a:rPr lang="en-US" sz="800" b="0" i="0" strike="noStrike">
              <a:solidFill>
                <a:srgbClr val="000000"/>
              </a:solidFill>
              <a:latin typeface="Arial"/>
              <a:cs typeface="Arial"/>
            </a:rPr>
            <a:t>Atlanta: U.S. Department of Health and Human Services, Centers of Disease Control and Prevention and National Cancer Institute; 2009.</a:t>
          </a:r>
        </a:p>
      </xdr:txBody>
    </xdr:sp>
    <xdr:clientData/>
  </xdr:twoCellAnchor>
  <xdr:twoCellAnchor>
    <xdr:from>
      <xdr:col>127</xdr:col>
      <xdr:colOff>0</xdr:colOff>
      <xdr:row>28</xdr:row>
      <xdr:rowOff>55245</xdr:rowOff>
    </xdr:from>
    <xdr:to>
      <xdr:col>127</xdr:col>
      <xdr:colOff>0</xdr:colOff>
      <xdr:row>31</xdr:row>
      <xdr:rowOff>0</xdr:rowOff>
    </xdr:to>
    <xdr:sp macro="" textlink="">
      <xdr:nvSpPr>
        <xdr:cNvPr id="8" name="Text Box 7">
          <a:extLst>
            <a:ext uri="{FF2B5EF4-FFF2-40B4-BE49-F238E27FC236}">
              <a16:creationId xmlns:a16="http://schemas.microsoft.com/office/drawing/2014/main" id="{ACE9BECF-B61F-4FFB-B18E-9CEE56DA82DD}"/>
            </a:ext>
          </a:extLst>
        </xdr:cNvPr>
        <xdr:cNvSpPr txBox="1">
          <a:spLocks noChangeArrowheads="1"/>
        </xdr:cNvSpPr>
      </xdr:nvSpPr>
      <xdr:spPr bwMode="auto">
        <a:xfrm>
          <a:off x="93059250" y="5379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25</xdr:row>
      <xdr:rowOff>167640</xdr:rowOff>
    </xdr:from>
    <xdr:to>
      <xdr:col>127</xdr:col>
      <xdr:colOff>0</xdr:colOff>
      <xdr:row>30</xdr:row>
      <xdr:rowOff>131418</xdr:rowOff>
    </xdr:to>
    <xdr:sp macro="" textlink="">
      <xdr:nvSpPr>
        <xdr:cNvPr id="9" name="Text Box 8">
          <a:extLst>
            <a:ext uri="{FF2B5EF4-FFF2-40B4-BE49-F238E27FC236}">
              <a16:creationId xmlns:a16="http://schemas.microsoft.com/office/drawing/2014/main" id="{13C93512-F7E4-452A-B507-C5C836B7ED91}"/>
            </a:ext>
          </a:extLst>
        </xdr:cNvPr>
        <xdr:cNvSpPr txBox="1">
          <a:spLocks noChangeArrowheads="1"/>
        </xdr:cNvSpPr>
      </xdr:nvSpPr>
      <xdr:spPr bwMode="auto">
        <a:xfrm>
          <a:off x="93059250" y="4920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11</xdr:row>
      <xdr:rowOff>104775</xdr:rowOff>
    </xdr:from>
    <xdr:to>
      <xdr:col>127</xdr:col>
      <xdr:colOff>0</xdr:colOff>
      <xdr:row>16</xdr:row>
      <xdr:rowOff>121962</xdr:rowOff>
    </xdr:to>
    <xdr:sp macro="" textlink="">
      <xdr:nvSpPr>
        <xdr:cNvPr id="10" name="Text Box 9">
          <a:extLst>
            <a:ext uri="{FF2B5EF4-FFF2-40B4-BE49-F238E27FC236}">
              <a16:creationId xmlns:a16="http://schemas.microsoft.com/office/drawing/2014/main" id="{AB4E4852-8DF3-440A-9246-5046C4188623}"/>
            </a:ext>
          </a:extLst>
        </xdr:cNvPr>
        <xdr:cNvSpPr txBox="1">
          <a:spLocks noChangeArrowheads="1"/>
        </xdr:cNvSpPr>
      </xdr:nvSpPr>
      <xdr:spPr bwMode="auto">
        <a:xfrm>
          <a:off x="93059250" y="2190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33</xdr:row>
      <xdr:rowOff>76200</xdr:rowOff>
    </xdr:from>
    <xdr:to>
      <xdr:col>127</xdr:col>
      <xdr:colOff>0</xdr:colOff>
      <xdr:row>38</xdr:row>
      <xdr:rowOff>104775</xdr:rowOff>
    </xdr:to>
    <xdr:sp macro="" textlink="">
      <xdr:nvSpPr>
        <xdr:cNvPr id="11" name="Text Box 10">
          <a:extLst>
            <a:ext uri="{FF2B5EF4-FFF2-40B4-BE49-F238E27FC236}">
              <a16:creationId xmlns:a16="http://schemas.microsoft.com/office/drawing/2014/main" id="{A2FDB477-0D30-44C9-AC8A-5A00E6D5011B}"/>
            </a:ext>
          </a:extLst>
        </xdr:cNvPr>
        <xdr:cNvSpPr txBox="1">
          <a:spLocks noChangeArrowheads="1"/>
        </xdr:cNvSpPr>
      </xdr:nvSpPr>
      <xdr:spPr bwMode="auto">
        <a:xfrm>
          <a:off x="93059250" y="6353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32</xdr:row>
      <xdr:rowOff>160020</xdr:rowOff>
    </xdr:from>
    <xdr:to>
      <xdr:col>127</xdr:col>
      <xdr:colOff>0</xdr:colOff>
      <xdr:row>38</xdr:row>
      <xdr:rowOff>19104</xdr:rowOff>
    </xdr:to>
    <xdr:sp macro="" textlink="">
      <xdr:nvSpPr>
        <xdr:cNvPr id="12" name="Text Box 11">
          <a:extLst>
            <a:ext uri="{FF2B5EF4-FFF2-40B4-BE49-F238E27FC236}">
              <a16:creationId xmlns:a16="http://schemas.microsoft.com/office/drawing/2014/main" id="{7C350FC8-9E72-4397-B82D-4E92EF2A7CE9}"/>
            </a:ext>
          </a:extLst>
        </xdr:cNvPr>
        <xdr:cNvSpPr txBox="1">
          <a:spLocks noChangeArrowheads="1"/>
        </xdr:cNvSpPr>
      </xdr:nvSpPr>
      <xdr:spPr bwMode="auto">
        <a:xfrm>
          <a:off x="93059250" y="6246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142</xdr:row>
      <xdr:rowOff>9525</xdr:rowOff>
    </xdr:from>
    <xdr:to>
      <xdr:col>127</xdr:col>
      <xdr:colOff>0</xdr:colOff>
      <xdr:row>150</xdr:row>
      <xdr:rowOff>104696</xdr:rowOff>
    </xdr:to>
    <xdr:sp macro="" textlink="">
      <xdr:nvSpPr>
        <xdr:cNvPr id="13" name="Text Box 1">
          <a:extLst>
            <a:ext uri="{FF2B5EF4-FFF2-40B4-BE49-F238E27FC236}">
              <a16:creationId xmlns:a16="http://schemas.microsoft.com/office/drawing/2014/main" id="{E4E2313D-6C9B-4B7C-B552-95D3BE527169}"/>
            </a:ext>
          </a:extLst>
        </xdr:cNvPr>
        <xdr:cNvSpPr txBox="1">
          <a:spLocks noChangeArrowheads="1"/>
        </xdr:cNvSpPr>
      </xdr:nvSpPr>
      <xdr:spPr bwMode="auto">
        <a:xfrm>
          <a:off x="93059250" y="27051000"/>
          <a:ext cx="0" cy="1619171"/>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0</xdr:colOff>
      <xdr:row>135</xdr:row>
      <xdr:rowOff>0</xdr:rowOff>
    </xdr:from>
    <xdr:to>
      <xdr:col>127</xdr:col>
      <xdr:colOff>0</xdr:colOff>
      <xdr:row>139</xdr:row>
      <xdr:rowOff>74352</xdr:rowOff>
    </xdr:to>
    <xdr:sp macro="" textlink="">
      <xdr:nvSpPr>
        <xdr:cNvPr id="14" name="Text Box 2">
          <a:extLst>
            <a:ext uri="{FF2B5EF4-FFF2-40B4-BE49-F238E27FC236}">
              <a16:creationId xmlns:a16="http://schemas.microsoft.com/office/drawing/2014/main" id="{E0CE41D8-711B-47EA-803F-45F1D6416CDD}"/>
            </a:ext>
          </a:extLst>
        </xdr:cNvPr>
        <xdr:cNvSpPr txBox="1">
          <a:spLocks noChangeArrowheads="1"/>
        </xdr:cNvSpPr>
      </xdr:nvSpPr>
      <xdr:spPr bwMode="auto">
        <a:xfrm>
          <a:off x="93059250" y="25707975"/>
          <a:ext cx="0" cy="836352"/>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136</xdr:row>
      <xdr:rowOff>160020</xdr:rowOff>
    </xdr:from>
    <xdr:to>
      <xdr:col>127</xdr:col>
      <xdr:colOff>0</xdr:colOff>
      <xdr:row>139</xdr:row>
      <xdr:rowOff>93345</xdr:rowOff>
    </xdr:to>
    <xdr:sp macro="" textlink="">
      <xdr:nvSpPr>
        <xdr:cNvPr id="15" name="Text Box 3">
          <a:extLst>
            <a:ext uri="{FF2B5EF4-FFF2-40B4-BE49-F238E27FC236}">
              <a16:creationId xmlns:a16="http://schemas.microsoft.com/office/drawing/2014/main" id="{85D9AC82-73F5-4106-A376-112D96148A75}"/>
            </a:ext>
          </a:extLst>
        </xdr:cNvPr>
        <xdr:cNvSpPr txBox="1">
          <a:spLocks noChangeArrowheads="1"/>
        </xdr:cNvSpPr>
      </xdr:nvSpPr>
      <xdr:spPr bwMode="auto">
        <a:xfrm>
          <a:off x="93059250" y="26058495"/>
          <a:ext cx="0" cy="50482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145</xdr:row>
      <xdr:rowOff>160020</xdr:rowOff>
    </xdr:from>
    <xdr:to>
      <xdr:col>127</xdr:col>
      <xdr:colOff>0</xdr:colOff>
      <xdr:row>148</xdr:row>
      <xdr:rowOff>0</xdr:rowOff>
    </xdr:to>
    <xdr:sp macro="" textlink="">
      <xdr:nvSpPr>
        <xdr:cNvPr id="16" name="Text Box 4">
          <a:extLst>
            <a:ext uri="{FF2B5EF4-FFF2-40B4-BE49-F238E27FC236}">
              <a16:creationId xmlns:a16="http://schemas.microsoft.com/office/drawing/2014/main" id="{195FB373-387B-49A7-A22C-E9C9CEB628B2}"/>
            </a:ext>
          </a:extLst>
        </xdr:cNvPr>
        <xdr:cNvSpPr txBox="1">
          <a:spLocks noChangeArrowheads="1"/>
        </xdr:cNvSpPr>
      </xdr:nvSpPr>
      <xdr:spPr bwMode="auto">
        <a:xfrm>
          <a:off x="93059250" y="27772995"/>
          <a:ext cx="0" cy="4114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151</xdr:row>
      <xdr:rowOff>38100</xdr:rowOff>
    </xdr:from>
    <xdr:to>
      <xdr:col>127</xdr:col>
      <xdr:colOff>0</xdr:colOff>
      <xdr:row>153</xdr:row>
      <xdr:rowOff>38100</xdr:rowOff>
    </xdr:to>
    <xdr:sp macro="" textlink="">
      <xdr:nvSpPr>
        <xdr:cNvPr id="17" name="Text Box 5">
          <a:extLst>
            <a:ext uri="{FF2B5EF4-FFF2-40B4-BE49-F238E27FC236}">
              <a16:creationId xmlns:a16="http://schemas.microsoft.com/office/drawing/2014/main" id="{ECBB9A00-D46D-48CF-AB21-94FD31098383}"/>
            </a:ext>
          </a:extLst>
        </xdr:cNvPr>
        <xdr:cNvSpPr txBox="1">
          <a:spLocks noChangeArrowheads="1"/>
        </xdr:cNvSpPr>
      </xdr:nvSpPr>
      <xdr:spPr bwMode="auto">
        <a:xfrm>
          <a:off x="93059250" y="287940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135</xdr:row>
      <xdr:rowOff>47625</xdr:rowOff>
    </xdr:from>
    <xdr:to>
      <xdr:col>127</xdr:col>
      <xdr:colOff>0</xdr:colOff>
      <xdr:row>137</xdr:row>
      <xdr:rowOff>47625</xdr:rowOff>
    </xdr:to>
    <xdr:sp macro="" textlink="">
      <xdr:nvSpPr>
        <xdr:cNvPr id="18" name="Text Box 7">
          <a:extLst>
            <a:ext uri="{FF2B5EF4-FFF2-40B4-BE49-F238E27FC236}">
              <a16:creationId xmlns:a16="http://schemas.microsoft.com/office/drawing/2014/main" id="{D5624813-CE8D-4648-9B2C-46D992CEFBE1}"/>
            </a:ext>
          </a:extLst>
        </xdr:cNvPr>
        <xdr:cNvSpPr txBox="1">
          <a:spLocks noChangeArrowheads="1"/>
        </xdr:cNvSpPr>
      </xdr:nvSpPr>
      <xdr:spPr bwMode="auto">
        <a:xfrm>
          <a:off x="93059250" y="25755600"/>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133</xdr:row>
      <xdr:rowOff>160020</xdr:rowOff>
    </xdr:from>
    <xdr:to>
      <xdr:col>127</xdr:col>
      <xdr:colOff>0</xdr:colOff>
      <xdr:row>136</xdr:row>
      <xdr:rowOff>131336</xdr:rowOff>
    </xdr:to>
    <xdr:sp macro="" textlink="">
      <xdr:nvSpPr>
        <xdr:cNvPr id="19" name="Text Box 8">
          <a:extLst>
            <a:ext uri="{FF2B5EF4-FFF2-40B4-BE49-F238E27FC236}">
              <a16:creationId xmlns:a16="http://schemas.microsoft.com/office/drawing/2014/main" id="{C9B66CFB-443D-476E-A54F-7C629921E8CE}"/>
            </a:ext>
          </a:extLst>
        </xdr:cNvPr>
        <xdr:cNvSpPr txBox="1">
          <a:spLocks noChangeArrowheads="1"/>
        </xdr:cNvSpPr>
      </xdr:nvSpPr>
      <xdr:spPr bwMode="auto">
        <a:xfrm>
          <a:off x="93059250" y="25486995"/>
          <a:ext cx="0" cy="542816"/>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129</xdr:col>
      <xdr:colOff>0</xdr:colOff>
      <xdr:row>130</xdr:row>
      <xdr:rowOff>104775</xdr:rowOff>
    </xdr:from>
    <xdr:to>
      <xdr:col>129</xdr:col>
      <xdr:colOff>0</xdr:colOff>
      <xdr:row>132</xdr:row>
      <xdr:rowOff>0</xdr:rowOff>
    </xdr:to>
    <xdr:sp macro="" textlink="">
      <xdr:nvSpPr>
        <xdr:cNvPr id="20" name="Text Box 9">
          <a:extLst>
            <a:ext uri="{FF2B5EF4-FFF2-40B4-BE49-F238E27FC236}">
              <a16:creationId xmlns:a16="http://schemas.microsoft.com/office/drawing/2014/main" id="{189EDC54-217D-4B8C-8B1C-91D356CE044B}"/>
            </a:ext>
          </a:extLst>
        </xdr:cNvPr>
        <xdr:cNvSpPr txBox="1">
          <a:spLocks noChangeArrowheads="1"/>
        </xdr:cNvSpPr>
      </xdr:nvSpPr>
      <xdr:spPr bwMode="auto">
        <a:xfrm>
          <a:off x="94221300" y="24860250"/>
          <a:ext cx="0" cy="27622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143</xdr:row>
      <xdr:rowOff>76200</xdr:rowOff>
    </xdr:from>
    <xdr:to>
      <xdr:col>127</xdr:col>
      <xdr:colOff>0</xdr:colOff>
      <xdr:row>146</xdr:row>
      <xdr:rowOff>104775</xdr:rowOff>
    </xdr:to>
    <xdr:sp macro="" textlink="">
      <xdr:nvSpPr>
        <xdr:cNvPr id="21" name="Text Box 10">
          <a:extLst>
            <a:ext uri="{FF2B5EF4-FFF2-40B4-BE49-F238E27FC236}">
              <a16:creationId xmlns:a16="http://schemas.microsoft.com/office/drawing/2014/main" id="{9B4A17AE-BB99-4BFA-A3AB-17C512FDA2A9}"/>
            </a:ext>
          </a:extLst>
        </xdr:cNvPr>
        <xdr:cNvSpPr txBox="1">
          <a:spLocks noChangeArrowheads="1"/>
        </xdr:cNvSpPr>
      </xdr:nvSpPr>
      <xdr:spPr bwMode="auto">
        <a:xfrm>
          <a:off x="93059250" y="27308175"/>
          <a:ext cx="0" cy="600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142</xdr:row>
      <xdr:rowOff>160020</xdr:rowOff>
    </xdr:from>
    <xdr:to>
      <xdr:col>127</xdr:col>
      <xdr:colOff>0</xdr:colOff>
      <xdr:row>146</xdr:row>
      <xdr:rowOff>19104</xdr:rowOff>
    </xdr:to>
    <xdr:sp macro="" textlink="">
      <xdr:nvSpPr>
        <xdr:cNvPr id="22" name="Text Box 11">
          <a:extLst>
            <a:ext uri="{FF2B5EF4-FFF2-40B4-BE49-F238E27FC236}">
              <a16:creationId xmlns:a16="http://schemas.microsoft.com/office/drawing/2014/main" id="{1B9EFF4F-9C57-4D81-901A-7C97657320A4}"/>
            </a:ext>
          </a:extLst>
        </xdr:cNvPr>
        <xdr:cNvSpPr txBox="1">
          <a:spLocks noChangeArrowheads="1"/>
        </xdr:cNvSpPr>
      </xdr:nvSpPr>
      <xdr:spPr bwMode="auto">
        <a:xfrm>
          <a:off x="93059250" y="27201495"/>
          <a:ext cx="0" cy="621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129</xdr:col>
      <xdr:colOff>0</xdr:colOff>
      <xdr:row>129</xdr:row>
      <xdr:rowOff>112395</xdr:rowOff>
    </xdr:from>
    <xdr:to>
      <xdr:col>129</xdr:col>
      <xdr:colOff>0</xdr:colOff>
      <xdr:row>131</xdr:row>
      <xdr:rowOff>122089</xdr:rowOff>
    </xdr:to>
    <xdr:sp macro="" textlink="">
      <xdr:nvSpPr>
        <xdr:cNvPr id="23" name="Text Box 9">
          <a:extLst>
            <a:ext uri="{FF2B5EF4-FFF2-40B4-BE49-F238E27FC236}">
              <a16:creationId xmlns:a16="http://schemas.microsoft.com/office/drawing/2014/main" id="{BCB34226-7472-4FE2-9D11-55EB5752CE4A}"/>
            </a:ext>
          </a:extLst>
        </xdr:cNvPr>
        <xdr:cNvSpPr txBox="1">
          <a:spLocks noChangeArrowheads="1"/>
        </xdr:cNvSpPr>
      </xdr:nvSpPr>
      <xdr:spPr bwMode="auto">
        <a:xfrm>
          <a:off x="94221300" y="24677370"/>
          <a:ext cx="0" cy="39069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91</xdr:row>
      <xdr:rowOff>9525</xdr:rowOff>
    </xdr:from>
    <xdr:to>
      <xdr:col>127</xdr:col>
      <xdr:colOff>0</xdr:colOff>
      <xdr:row>99</xdr:row>
      <xdr:rowOff>104617</xdr:rowOff>
    </xdr:to>
    <xdr:sp macro="" textlink="">
      <xdr:nvSpPr>
        <xdr:cNvPr id="24" name="Text Box 1">
          <a:extLst>
            <a:ext uri="{FF2B5EF4-FFF2-40B4-BE49-F238E27FC236}">
              <a16:creationId xmlns:a16="http://schemas.microsoft.com/office/drawing/2014/main" id="{807A45E0-921D-4EF1-8232-F377E51A1F72}"/>
            </a:ext>
          </a:extLst>
        </xdr:cNvPr>
        <xdr:cNvSpPr txBox="1">
          <a:spLocks noChangeArrowheads="1"/>
        </xdr:cNvSpPr>
      </xdr:nvSpPr>
      <xdr:spPr bwMode="auto">
        <a:xfrm>
          <a:off x="93059250" y="17335500"/>
          <a:ext cx="0" cy="1619092"/>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0</xdr:colOff>
      <xdr:row>87</xdr:row>
      <xdr:rowOff>0</xdr:rowOff>
    </xdr:from>
    <xdr:to>
      <xdr:col>127</xdr:col>
      <xdr:colOff>0</xdr:colOff>
      <xdr:row>91</xdr:row>
      <xdr:rowOff>66675</xdr:rowOff>
    </xdr:to>
    <xdr:sp macro="" textlink="">
      <xdr:nvSpPr>
        <xdr:cNvPr id="25" name="Text Box 2">
          <a:extLst>
            <a:ext uri="{FF2B5EF4-FFF2-40B4-BE49-F238E27FC236}">
              <a16:creationId xmlns:a16="http://schemas.microsoft.com/office/drawing/2014/main" id="{75D3F8D6-8E59-4083-A82F-CE2D1E1CEB98}"/>
            </a:ext>
          </a:extLst>
        </xdr:cNvPr>
        <xdr:cNvSpPr txBox="1">
          <a:spLocks noChangeArrowheads="1"/>
        </xdr:cNvSpPr>
      </xdr:nvSpPr>
      <xdr:spPr bwMode="auto">
        <a:xfrm>
          <a:off x="93059250" y="165639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87</xdr:row>
      <xdr:rowOff>160020</xdr:rowOff>
    </xdr:from>
    <xdr:to>
      <xdr:col>127</xdr:col>
      <xdr:colOff>0</xdr:colOff>
      <xdr:row>90</xdr:row>
      <xdr:rowOff>93345</xdr:rowOff>
    </xdr:to>
    <xdr:sp macro="" textlink="">
      <xdr:nvSpPr>
        <xdr:cNvPr id="26" name="Text Box 3">
          <a:extLst>
            <a:ext uri="{FF2B5EF4-FFF2-40B4-BE49-F238E27FC236}">
              <a16:creationId xmlns:a16="http://schemas.microsoft.com/office/drawing/2014/main" id="{B80558AB-82DF-4ECE-ACBF-6654B64A920C}"/>
            </a:ext>
          </a:extLst>
        </xdr:cNvPr>
        <xdr:cNvSpPr txBox="1">
          <a:spLocks noChangeArrowheads="1"/>
        </xdr:cNvSpPr>
      </xdr:nvSpPr>
      <xdr:spPr bwMode="auto">
        <a:xfrm>
          <a:off x="93059250" y="16723995"/>
          <a:ext cx="0" cy="50482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94</xdr:row>
      <xdr:rowOff>160020</xdr:rowOff>
    </xdr:from>
    <xdr:to>
      <xdr:col>127</xdr:col>
      <xdr:colOff>0</xdr:colOff>
      <xdr:row>97</xdr:row>
      <xdr:rowOff>0</xdr:rowOff>
    </xdr:to>
    <xdr:sp macro="" textlink="">
      <xdr:nvSpPr>
        <xdr:cNvPr id="27" name="Text Box 4">
          <a:extLst>
            <a:ext uri="{FF2B5EF4-FFF2-40B4-BE49-F238E27FC236}">
              <a16:creationId xmlns:a16="http://schemas.microsoft.com/office/drawing/2014/main" id="{E3832DB7-ABD9-478B-9074-38B750B89310}"/>
            </a:ext>
          </a:extLst>
        </xdr:cNvPr>
        <xdr:cNvSpPr txBox="1">
          <a:spLocks noChangeArrowheads="1"/>
        </xdr:cNvSpPr>
      </xdr:nvSpPr>
      <xdr:spPr bwMode="auto">
        <a:xfrm>
          <a:off x="93059250" y="18057495"/>
          <a:ext cx="0" cy="4114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101</xdr:row>
      <xdr:rowOff>38100</xdr:rowOff>
    </xdr:from>
    <xdr:to>
      <xdr:col>127</xdr:col>
      <xdr:colOff>0</xdr:colOff>
      <xdr:row>103</xdr:row>
      <xdr:rowOff>38100</xdr:rowOff>
    </xdr:to>
    <xdr:sp macro="" textlink="">
      <xdr:nvSpPr>
        <xdr:cNvPr id="28" name="Text Box 5">
          <a:extLst>
            <a:ext uri="{FF2B5EF4-FFF2-40B4-BE49-F238E27FC236}">
              <a16:creationId xmlns:a16="http://schemas.microsoft.com/office/drawing/2014/main" id="{E31738FC-6053-4F01-A1D0-7E3F1AD638D3}"/>
            </a:ext>
          </a:extLst>
        </xdr:cNvPr>
        <xdr:cNvSpPr txBox="1">
          <a:spLocks noChangeArrowheads="1"/>
        </xdr:cNvSpPr>
      </xdr:nvSpPr>
      <xdr:spPr bwMode="auto">
        <a:xfrm>
          <a:off x="93059250" y="192690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87</xdr:row>
      <xdr:rowOff>47625</xdr:rowOff>
    </xdr:from>
    <xdr:to>
      <xdr:col>127</xdr:col>
      <xdr:colOff>0</xdr:colOff>
      <xdr:row>89</xdr:row>
      <xdr:rowOff>47625</xdr:rowOff>
    </xdr:to>
    <xdr:sp macro="" textlink="">
      <xdr:nvSpPr>
        <xdr:cNvPr id="29" name="Text Box 7">
          <a:extLst>
            <a:ext uri="{FF2B5EF4-FFF2-40B4-BE49-F238E27FC236}">
              <a16:creationId xmlns:a16="http://schemas.microsoft.com/office/drawing/2014/main" id="{F150E0A6-220C-4D00-AA00-B331E4EC46CF}"/>
            </a:ext>
          </a:extLst>
        </xdr:cNvPr>
        <xdr:cNvSpPr txBox="1">
          <a:spLocks noChangeArrowheads="1"/>
        </xdr:cNvSpPr>
      </xdr:nvSpPr>
      <xdr:spPr bwMode="auto">
        <a:xfrm>
          <a:off x="93059250" y="16611600"/>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85</xdr:row>
      <xdr:rowOff>160020</xdr:rowOff>
    </xdr:from>
    <xdr:to>
      <xdr:col>127</xdr:col>
      <xdr:colOff>0</xdr:colOff>
      <xdr:row>88</xdr:row>
      <xdr:rowOff>131227</xdr:rowOff>
    </xdr:to>
    <xdr:sp macro="" textlink="">
      <xdr:nvSpPr>
        <xdr:cNvPr id="30" name="Text Box 8">
          <a:extLst>
            <a:ext uri="{FF2B5EF4-FFF2-40B4-BE49-F238E27FC236}">
              <a16:creationId xmlns:a16="http://schemas.microsoft.com/office/drawing/2014/main" id="{7BCA801F-94D8-49E6-B4FB-CEB5EA75A503}"/>
            </a:ext>
          </a:extLst>
        </xdr:cNvPr>
        <xdr:cNvSpPr txBox="1">
          <a:spLocks noChangeArrowheads="1"/>
        </xdr:cNvSpPr>
      </xdr:nvSpPr>
      <xdr:spPr bwMode="auto">
        <a:xfrm>
          <a:off x="93059250" y="16342995"/>
          <a:ext cx="0" cy="54270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81</xdr:row>
      <xdr:rowOff>104775</xdr:rowOff>
    </xdr:from>
    <xdr:to>
      <xdr:col>127</xdr:col>
      <xdr:colOff>0</xdr:colOff>
      <xdr:row>83</xdr:row>
      <xdr:rowOff>122132</xdr:rowOff>
    </xdr:to>
    <xdr:sp macro="" textlink="">
      <xdr:nvSpPr>
        <xdr:cNvPr id="31" name="Text Box 9">
          <a:extLst>
            <a:ext uri="{FF2B5EF4-FFF2-40B4-BE49-F238E27FC236}">
              <a16:creationId xmlns:a16="http://schemas.microsoft.com/office/drawing/2014/main" id="{7FC4C3DA-4BF4-496B-94C7-B2E06EAF762F}"/>
            </a:ext>
          </a:extLst>
        </xdr:cNvPr>
        <xdr:cNvSpPr txBox="1">
          <a:spLocks noChangeArrowheads="1"/>
        </xdr:cNvSpPr>
      </xdr:nvSpPr>
      <xdr:spPr bwMode="auto">
        <a:xfrm>
          <a:off x="93059250" y="15525750"/>
          <a:ext cx="0" cy="39835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92</xdr:row>
      <xdr:rowOff>83820</xdr:rowOff>
    </xdr:from>
    <xdr:to>
      <xdr:col>127</xdr:col>
      <xdr:colOff>0</xdr:colOff>
      <xdr:row>95</xdr:row>
      <xdr:rowOff>104693</xdr:rowOff>
    </xdr:to>
    <xdr:sp macro="" textlink="">
      <xdr:nvSpPr>
        <xdr:cNvPr id="32" name="Text Box 10">
          <a:extLst>
            <a:ext uri="{FF2B5EF4-FFF2-40B4-BE49-F238E27FC236}">
              <a16:creationId xmlns:a16="http://schemas.microsoft.com/office/drawing/2014/main" id="{F40ACF08-8574-47C5-8986-9B27DAD20A82}"/>
            </a:ext>
          </a:extLst>
        </xdr:cNvPr>
        <xdr:cNvSpPr txBox="1">
          <a:spLocks noChangeArrowheads="1"/>
        </xdr:cNvSpPr>
      </xdr:nvSpPr>
      <xdr:spPr bwMode="auto">
        <a:xfrm>
          <a:off x="93059250" y="17600295"/>
          <a:ext cx="0" cy="592373"/>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91</xdr:row>
      <xdr:rowOff>160020</xdr:rowOff>
    </xdr:from>
    <xdr:to>
      <xdr:col>127</xdr:col>
      <xdr:colOff>0</xdr:colOff>
      <xdr:row>95</xdr:row>
      <xdr:rowOff>18889</xdr:rowOff>
    </xdr:to>
    <xdr:sp macro="" textlink="">
      <xdr:nvSpPr>
        <xdr:cNvPr id="33" name="Text Box 11">
          <a:extLst>
            <a:ext uri="{FF2B5EF4-FFF2-40B4-BE49-F238E27FC236}">
              <a16:creationId xmlns:a16="http://schemas.microsoft.com/office/drawing/2014/main" id="{82989A4C-BC46-4889-912C-E6FF66C21DD1}"/>
            </a:ext>
          </a:extLst>
        </xdr:cNvPr>
        <xdr:cNvSpPr txBox="1">
          <a:spLocks noChangeArrowheads="1"/>
        </xdr:cNvSpPr>
      </xdr:nvSpPr>
      <xdr:spPr bwMode="auto">
        <a:xfrm>
          <a:off x="93059250" y="17485995"/>
          <a:ext cx="0" cy="620869"/>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59</xdr:row>
      <xdr:rowOff>0</xdr:rowOff>
    </xdr:from>
    <xdr:ext cx="184731" cy="264560"/>
    <xdr:sp macro="" textlink="">
      <xdr:nvSpPr>
        <xdr:cNvPr id="34" name="TextBox 33">
          <a:extLst>
            <a:ext uri="{FF2B5EF4-FFF2-40B4-BE49-F238E27FC236}">
              <a16:creationId xmlns:a16="http://schemas.microsoft.com/office/drawing/2014/main" id="{4D808F6B-12B3-4B4F-A048-FCB97F71232C}"/>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115</xdr:col>
      <xdr:colOff>0</xdr:colOff>
      <xdr:row>17</xdr:row>
      <xdr:rowOff>9525</xdr:rowOff>
    </xdr:from>
    <xdr:to>
      <xdr:col>115</xdr:col>
      <xdr:colOff>0</xdr:colOff>
      <xdr:row>26</xdr:row>
      <xdr:rowOff>104775</xdr:rowOff>
    </xdr:to>
    <xdr:sp macro="" textlink="">
      <xdr:nvSpPr>
        <xdr:cNvPr id="35" name="Text Box 1">
          <a:extLst>
            <a:ext uri="{FF2B5EF4-FFF2-40B4-BE49-F238E27FC236}">
              <a16:creationId xmlns:a16="http://schemas.microsoft.com/office/drawing/2014/main" id="{930E1CEF-993A-4777-81A8-8FD631427CD2}"/>
            </a:ext>
          </a:extLst>
        </xdr:cNvPr>
        <xdr:cNvSpPr txBox="1">
          <a:spLocks noChangeArrowheads="1"/>
        </xdr:cNvSpPr>
      </xdr:nvSpPr>
      <xdr:spPr bwMode="auto">
        <a:xfrm>
          <a:off x="88258650" y="3238500"/>
          <a:ext cx="0" cy="1809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115</xdr:col>
      <xdr:colOff>0</xdr:colOff>
      <xdr:row>13</xdr:row>
      <xdr:rowOff>0</xdr:rowOff>
    </xdr:from>
    <xdr:to>
      <xdr:col>115</xdr:col>
      <xdr:colOff>0</xdr:colOff>
      <xdr:row>17</xdr:row>
      <xdr:rowOff>66675</xdr:rowOff>
    </xdr:to>
    <xdr:sp macro="" textlink="">
      <xdr:nvSpPr>
        <xdr:cNvPr id="36" name="Text Box 2">
          <a:extLst>
            <a:ext uri="{FF2B5EF4-FFF2-40B4-BE49-F238E27FC236}">
              <a16:creationId xmlns:a16="http://schemas.microsoft.com/office/drawing/2014/main" id="{CA363277-3752-4FFF-906E-83524FF81B37}"/>
            </a:ext>
          </a:extLst>
        </xdr:cNvPr>
        <xdr:cNvSpPr txBox="1">
          <a:spLocks noChangeArrowheads="1"/>
        </xdr:cNvSpPr>
      </xdr:nvSpPr>
      <xdr:spPr bwMode="auto">
        <a:xfrm>
          <a:off x="88258650" y="24669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115</xdr:col>
      <xdr:colOff>0</xdr:colOff>
      <xdr:row>13</xdr:row>
      <xdr:rowOff>167640</xdr:rowOff>
    </xdr:from>
    <xdr:to>
      <xdr:col>115</xdr:col>
      <xdr:colOff>0</xdr:colOff>
      <xdr:row>16</xdr:row>
      <xdr:rowOff>93445</xdr:rowOff>
    </xdr:to>
    <xdr:sp macro="" textlink="">
      <xdr:nvSpPr>
        <xdr:cNvPr id="37" name="Text Box 3">
          <a:extLst>
            <a:ext uri="{FF2B5EF4-FFF2-40B4-BE49-F238E27FC236}">
              <a16:creationId xmlns:a16="http://schemas.microsoft.com/office/drawing/2014/main" id="{6316420E-1A15-4799-85A0-DEE8A133692D}"/>
            </a:ext>
          </a:extLst>
        </xdr:cNvPr>
        <xdr:cNvSpPr txBox="1">
          <a:spLocks noChangeArrowheads="1"/>
        </xdr:cNvSpPr>
      </xdr:nvSpPr>
      <xdr:spPr bwMode="auto">
        <a:xfrm>
          <a:off x="88258650" y="2634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115</xdr:col>
      <xdr:colOff>0</xdr:colOff>
      <xdr:row>20</xdr:row>
      <xdr:rowOff>0</xdr:rowOff>
    </xdr:from>
    <xdr:to>
      <xdr:col>115</xdr:col>
      <xdr:colOff>0</xdr:colOff>
      <xdr:row>22</xdr:row>
      <xdr:rowOff>0</xdr:rowOff>
    </xdr:to>
    <xdr:sp macro="" textlink="">
      <xdr:nvSpPr>
        <xdr:cNvPr id="38" name="Text Box 4">
          <a:extLst>
            <a:ext uri="{FF2B5EF4-FFF2-40B4-BE49-F238E27FC236}">
              <a16:creationId xmlns:a16="http://schemas.microsoft.com/office/drawing/2014/main" id="{79D06B33-3EBD-474F-9F0E-4C14D405D41F}"/>
            </a:ext>
          </a:extLst>
        </xdr:cNvPr>
        <xdr:cNvSpPr txBox="1">
          <a:spLocks noChangeArrowheads="1"/>
        </xdr:cNvSpPr>
      </xdr:nvSpPr>
      <xdr:spPr bwMode="auto">
        <a:xfrm>
          <a:off x="88258650" y="38004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28</xdr:row>
      <xdr:rowOff>38100</xdr:rowOff>
    </xdr:from>
    <xdr:to>
      <xdr:col>115</xdr:col>
      <xdr:colOff>0</xdr:colOff>
      <xdr:row>30</xdr:row>
      <xdr:rowOff>38100</xdr:rowOff>
    </xdr:to>
    <xdr:sp macro="" textlink="">
      <xdr:nvSpPr>
        <xdr:cNvPr id="39" name="Text Box 5">
          <a:extLst>
            <a:ext uri="{FF2B5EF4-FFF2-40B4-BE49-F238E27FC236}">
              <a16:creationId xmlns:a16="http://schemas.microsoft.com/office/drawing/2014/main" id="{963E4E0E-1BF8-4397-A79D-047FC4341EC6}"/>
            </a:ext>
          </a:extLst>
        </xdr:cNvPr>
        <xdr:cNvSpPr txBox="1">
          <a:spLocks noChangeArrowheads="1"/>
        </xdr:cNvSpPr>
      </xdr:nvSpPr>
      <xdr:spPr bwMode="auto">
        <a:xfrm>
          <a:off x="88258650" y="5362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115</xdr:col>
      <xdr:colOff>0</xdr:colOff>
      <xdr:row>13</xdr:row>
      <xdr:rowOff>55245</xdr:rowOff>
    </xdr:from>
    <xdr:to>
      <xdr:col>115</xdr:col>
      <xdr:colOff>0</xdr:colOff>
      <xdr:row>15</xdr:row>
      <xdr:rowOff>47625</xdr:rowOff>
    </xdr:to>
    <xdr:sp macro="" textlink="">
      <xdr:nvSpPr>
        <xdr:cNvPr id="40" name="Text Box 7">
          <a:extLst>
            <a:ext uri="{FF2B5EF4-FFF2-40B4-BE49-F238E27FC236}">
              <a16:creationId xmlns:a16="http://schemas.microsoft.com/office/drawing/2014/main" id="{2995A7BD-0576-4F9F-82BC-4D30FDFB4875}"/>
            </a:ext>
          </a:extLst>
        </xdr:cNvPr>
        <xdr:cNvSpPr txBox="1">
          <a:spLocks noChangeArrowheads="1"/>
        </xdr:cNvSpPr>
      </xdr:nvSpPr>
      <xdr:spPr bwMode="auto">
        <a:xfrm>
          <a:off x="88258650" y="25222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11</xdr:row>
      <xdr:rowOff>167640</xdr:rowOff>
    </xdr:from>
    <xdr:to>
      <xdr:col>115</xdr:col>
      <xdr:colOff>0</xdr:colOff>
      <xdr:row>14</xdr:row>
      <xdr:rowOff>131418</xdr:rowOff>
    </xdr:to>
    <xdr:sp macro="" textlink="">
      <xdr:nvSpPr>
        <xdr:cNvPr id="41" name="Text Box 8">
          <a:extLst>
            <a:ext uri="{FF2B5EF4-FFF2-40B4-BE49-F238E27FC236}">
              <a16:creationId xmlns:a16="http://schemas.microsoft.com/office/drawing/2014/main" id="{874AFCA4-D030-4106-B5DC-A161ED165CFF}"/>
            </a:ext>
          </a:extLst>
        </xdr:cNvPr>
        <xdr:cNvSpPr txBox="1">
          <a:spLocks noChangeArrowheads="1"/>
        </xdr:cNvSpPr>
      </xdr:nvSpPr>
      <xdr:spPr bwMode="auto">
        <a:xfrm>
          <a:off x="88258650" y="2253615"/>
          <a:ext cx="0" cy="535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115</xdr:col>
      <xdr:colOff>0</xdr:colOff>
      <xdr:row>7</xdr:row>
      <xdr:rowOff>104775</xdr:rowOff>
    </xdr:from>
    <xdr:to>
      <xdr:col>115</xdr:col>
      <xdr:colOff>0</xdr:colOff>
      <xdr:row>9</xdr:row>
      <xdr:rowOff>121962</xdr:rowOff>
    </xdr:to>
    <xdr:sp macro="" textlink="">
      <xdr:nvSpPr>
        <xdr:cNvPr id="42" name="Text Box 9">
          <a:extLst>
            <a:ext uri="{FF2B5EF4-FFF2-40B4-BE49-F238E27FC236}">
              <a16:creationId xmlns:a16="http://schemas.microsoft.com/office/drawing/2014/main" id="{6DAEEEEF-8DCF-4176-87C5-FBDCAD9A03EB}"/>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115</xdr:col>
      <xdr:colOff>0</xdr:colOff>
      <xdr:row>18</xdr:row>
      <xdr:rowOff>76200</xdr:rowOff>
    </xdr:from>
    <xdr:to>
      <xdr:col>115</xdr:col>
      <xdr:colOff>0</xdr:colOff>
      <xdr:row>20</xdr:row>
      <xdr:rowOff>104775</xdr:rowOff>
    </xdr:to>
    <xdr:sp macro="" textlink="">
      <xdr:nvSpPr>
        <xdr:cNvPr id="43" name="Text Box 10">
          <a:extLst>
            <a:ext uri="{FF2B5EF4-FFF2-40B4-BE49-F238E27FC236}">
              <a16:creationId xmlns:a16="http://schemas.microsoft.com/office/drawing/2014/main" id="{5C35277D-913F-4637-8026-D3CFFA598781}"/>
            </a:ext>
          </a:extLst>
        </xdr:cNvPr>
        <xdr:cNvSpPr txBox="1">
          <a:spLocks noChangeArrowheads="1"/>
        </xdr:cNvSpPr>
      </xdr:nvSpPr>
      <xdr:spPr bwMode="auto">
        <a:xfrm>
          <a:off x="88258650" y="3495675"/>
          <a:ext cx="0" cy="409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115</xdr:col>
      <xdr:colOff>0</xdr:colOff>
      <xdr:row>17</xdr:row>
      <xdr:rowOff>160020</xdr:rowOff>
    </xdr:from>
    <xdr:to>
      <xdr:col>115</xdr:col>
      <xdr:colOff>0</xdr:colOff>
      <xdr:row>20</xdr:row>
      <xdr:rowOff>19104</xdr:rowOff>
    </xdr:to>
    <xdr:sp macro="" textlink="">
      <xdr:nvSpPr>
        <xdr:cNvPr id="44" name="Text Box 11">
          <a:extLst>
            <a:ext uri="{FF2B5EF4-FFF2-40B4-BE49-F238E27FC236}">
              <a16:creationId xmlns:a16="http://schemas.microsoft.com/office/drawing/2014/main" id="{E67C961F-B2F9-4EC4-A44D-C477D1B91D8D}"/>
            </a:ext>
          </a:extLst>
        </xdr:cNvPr>
        <xdr:cNvSpPr txBox="1">
          <a:spLocks noChangeArrowheads="1"/>
        </xdr:cNvSpPr>
      </xdr:nvSpPr>
      <xdr:spPr bwMode="auto">
        <a:xfrm>
          <a:off x="88258650" y="3388995"/>
          <a:ext cx="0" cy="430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80</xdr:row>
      <xdr:rowOff>0</xdr:rowOff>
    </xdr:from>
    <xdr:ext cx="184731" cy="264560"/>
    <xdr:sp macro="" textlink="">
      <xdr:nvSpPr>
        <xdr:cNvPr id="45" name="TextBox 44">
          <a:extLst>
            <a:ext uri="{FF2B5EF4-FFF2-40B4-BE49-F238E27FC236}">
              <a16:creationId xmlns:a16="http://schemas.microsoft.com/office/drawing/2014/main" id="{6FB4CDE2-B86D-4394-B435-82F95050265B}"/>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46" name="TextBox 45">
          <a:extLst>
            <a:ext uri="{FF2B5EF4-FFF2-40B4-BE49-F238E27FC236}">
              <a16:creationId xmlns:a16="http://schemas.microsoft.com/office/drawing/2014/main" id="{A9688BBF-0C2A-4796-B7DB-C1FDB632CBC7}"/>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47" name="TextBox 46">
          <a:extLst>
            <a:ext uri="{FF2B5EF4-FFF2-40B4-BE49-F238E27FC236}">
              <a16:creationId xmlns:a16="http://schemas.microsoft.com/office/drawing/2014/main" id="{50B470AF-10DC-44A8-8EF8-F0B31F1BD573}"/>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103</xdr:col>
      <xdr:colOff>0</xdr:colOff>
      <xdr:row>17</xdr:row>
      <xdr:rowOff>9525</xdr:rowOff>
    </xdr:from>
    <xdr:to>
      <xdr:col>103</xdr:col>
      <xdr:colOff>0</xdr:colOff>
      <xdr:row>26</xdr:row>
      <xdr:rowOff>104775</xdr:rowOff>
    </xdr:to>
    <xdr:sp macro="" textlink="">
      <xdr:nvSpPr>
        <xdr:cNvPr id="48" name="Text Box 1">
          <a:extLst>
            <a:ext uri="{FF2B5EF4-FFF2-40B4-BE49-F238E27FC236}">
              <a16:creationId xmlns:a16="http://schemas.microsoft.com/office/drawing/2014/main" id="{031F52E3-81AA-4D29-958D-A00DBB875E11}"/>
            </a:ext>
          </a:extLst>
        </xdr:cNvPr>
        <xdr:cNvSpPr txBox="1">
          <a:spLocks noChangeArrowheads="1"/>
        </xdr:cNvSpPr>
      </xdr:nvSpPr>
      <xdr:spPr bwMode="auto">
        <a:xfrm>
          <a:off x="88258650" y="3238500"/>
          <a:ext cx="0" cy="1809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103</xdr:col>
      <xdr:colOff>0</xdr:colOff>
      <xdr:row>13</xdr:row>
      <xdr:rowOff>0</xdr:rowOff>
    </xdr:from>
    <xdr:to>
      <xdr:col>103</xdr:col>
      <xdr:colOff>0</xdr:colOff>
      <xdr:row>17</xdr:row>
      <xdr:rowOff>66675</xdr:rowOff>
    </xdr:to>
    <xdr:sp macro="" textlink="">
      <xdr:nvSpPr>
        <xdr:cNvPr id="49" name="Text Box 2">
          <a:extLst>
            <a:ext uri="{FF2B5EF4-FFF2-40B4-BE49-F238E27FC236}">
              <a16:creationId xmlns:a16="http://schemas.microsoft.com/office/drawing/2014/main" id="{9485E01D-FED0-4F3D-A92B-2D8BC6E3BB7D}"/>
            </a:ext>
          </a:extLst>
        </xdr:cNvPr>
        <xdr:cNvSpPr txBox="1">
          <a:spLocks noChangeArrowheads="1"/>
        </xdr:cNvSpPr>
      </xdr:nvSpPr>
      <xdr:spPr bwMode="auto">
        <a:xfrm>
          <a:off x="88258650" y="24669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103</xdr:col>
      <xdr:colOff>0</xdr:colOff>
      <xdr:row>13</xdr:row>
      <xdr:rowOff>167640</xdr:rowOff>
    </xdr:from>
    <xdr:to>
      <xdr:col>103</xdr:col>
      <xdr:colOff>0</xdr:colOff>
      <xdr:row>16</xdr:row>
      <xdr:rowOff>93445</xdr:rowOff>
    </xdr:to>
    <xdr:sp macro="" textlink="">
      <xdr:nvSpPr>
        <xdr:cNvPr id="50" name="Text Box 3">
          <a:extLst>
            <a:ext uri="{FF2B5EF4-FFF2-40B4-BE49-F238E27FC236}">
              <a16:creationId xmlns:a16="http://schemas.microsoft.com/office/drawing/2014/main" id="{8A45EE6B-F4F5-42F7-878C-FA2FF948BD3D}"/>
            </a:ext>
          </a:extLst>
        </xdr:cNvPr>
        <xdr:cNvSpPr txBox="1">
          <a:spLocks noChangeArrowheads="1"/>
        </xdr:cNvSpPr>
      </xdr:nvSpPr>
      <xdr:spPr bwMode="auto">
        <a:xfrm>
          <a:off x="88258650" y="2634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103</xdr:col>
      <xdr:colOff>0</xdr:colOff>
      <xdr:row>20</xdr:row>
      <xdr:rowOff>0</xdr:rowOff>
    </xdr:from>
    <xdr:to>
      <xdr:col>103</xdr:col>
      <xdr:colOff>0</xdr:colOff>
      <xdr:row>22</xdr:row>
      <xdr:rowOff>0</xdr:rowOff>
    </xdr:to>
    <xdr:sp macro="" textlink="">
      <xdr:nvSpPr>
        <xdr:cNvPr id="51" name="Text Box 4">
          <a:extLst>
            <a:ext uri="{FF2B5EF4-FFF2-40B4-BE49-F238E27FC236}">
              <a16:creationId xmlns:a16="http://schemas.microsoft.com/office/drawing/2014/main" id="{C6561BE3-503D-4700-AF70-99E8CBDFC6F4}"/>
            </a:ext>
          </a:extLst>
        </xdr:cNvPr>
        <xdr:cNvSpPr txBox="1">
          <a:spLocks noChangeArrowheads="1"/>
        </xdr:cNvSpPr>
      </xdr:nvSpPr>
      <xdr:spPr bwMode="auto">
        <a:xfrm>
          <a:off x="88258650" y="38004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28</xdr:row>
      <xdr:rowOff>38100</xdr:rowOff>
    </xdr:from>
    <xdr:to>
      <xdr:col>103</xdr:col>
      <xdr:colOff>0</xdr:colOff>
      <xdr:row>30</xdr:row>
      <xdr:rowOff>38100</xdr:rowOff>
    </xdr:to>
    <xdr:sp macro="" textlink="">
      <xdr:nvSpPr>
        <xdr:cNvPr id="52" name="Text Box 5">
          <a:extLst>
            <a:ext uri="{FF2B5EF4-FFF2-40B4-BE49-F238E27FC236}">
              <a16:creationId xmlns:a16="http://schemas.microsoft.com/office/drawing/2014/main" id="{ED52B966-B74A-4F37-840E-73DB7AEC8363}"/>
            </a:ext>
          </a:extLst>
        </xdr:cNvPr>
        <xdr:cNvSpPr txBox="1">
          <a:spLocks noChangeArrowheads="1"/>
        </xdr:cNvSpPr>
      </xdr:nvSpPr>
      <xdr:spPr bwMode="auto">
        <a:xfrm>
          <a:off x="88258650" y="5362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103</xdr:col>
      <xdr:colOff>0</xdr:colOff>
      <xdr:row>13</xdr:row>
      <xdr:rowOff>55245</xdr:rowOff>
    </xdr:from>
    <xdr:to>
      <xdr:col>103</xdr:col>
      <xdr:colOff>0</xdr:colOff>
      <xdr:row>15</xdr:row>
      <xdr:rowOff>47625</xdr:rowOff>
    </xdr:to>
    <xdr:sp macro="" textlink="">
      <xdr:nvSpPr>
        <xdr:cNvPr id="53" name="Text Box 7">
          <a:extLst>
            <a:ext uri="{FF2B5EF4-FFF2-40B4-BE49-F238E27FC236}">
              <a16:creationId xmlns:a16="http://schemas.microsoft.com/office/drawing/2014/main" id="{4024A072-65A3-49BC-8486-579199BB977A}"/>
            </a:ext>
          </a:extLst>
        </xdr:cNvPr>
        <xdr:cNvSpPr txBox="1">
          <a:spLocks noChangeArrowheads="1"/>
        </xdr:cNvSpPr>
      </xdr:nvSpPr>
      <xdr:spPr bwMode="auto">
        <a:xfrm>
          <a:off x="88258650" y="25222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11</xdr:row>
      <xdr:rowOff>167640</xdr:rowOff>
    </xdr:from>
    <xdr:to>
      <xdr:col>103</xdr:col>
      <xdr:colOff>0</xdr:colOff>
      <xdr:row>14</xdr:row>
      <xdr:rowOff>131418</xdr:rowOff>
    </xdr:to>
    <xdr:sp macro="" textlink="">
      <xdr:nvSpPr>
        <xdr:cNvPr id="54" name="Text Box 8">
          <a:extLst>
            <a:ext uri="{FF2B5EF4-FFF2-40B4-BE49-F238E27FC236}">
              <a16:creationId xmlns:a16="http://schemas.microsoft.com/office/drawing/2014/main" id="{5970BC3C-EAF4-4DB3-8F7B-39CF9402D535}"/>
            </a:ext>
          </a:extLst>
        </xdr:cNvPr>
        <xdr:cNvSpPr txBox="1">
          <a:spLocks noChangeArrowheads="1"/>
        </xdr:cNvSpPr>
      </xdr:nvSpPr>
      <xdr:spPr bwMode="auto">
        <a:xfrm>
          <a:off x="88258650" y="2253615"/>
          <a:ext cx="0" cy="535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103</xdr:col>
      <xdr:colOff>0</xdr:colOff>
      <xdr:row>7</xdr:row>
      <xdr:rowOff>104775</xdr:rowOff>
    </xdr:from>
    <xdr:to>
      <xdr:col>103</xdr:col>
      <xdr:colOff>0</xdr:colOff>
      <xdr:row>9</xdr:row>
      <xdr:rowOff>121962</xdr:rowOff>
    </xdr:to>
    <xdr:sp macro="" textlink="">
      <xdr:nvSpPr>
        <xdr:cNvPr id="55" name="Text Box 9">
          <a:extLst>
            <a:ext uri="{FF2B5EF4-FFF2-40B4-BE49-F238E27FC236}">
              <a16:creationId xmlns:a16="http://schemas.microsoft.com/office/drawing/2014/main" id="{42138DC1-C342-41CE-AD56-01660AB17EBF}"/>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103</xdr:col>
      <xdr:colOff>0</xdr:colOff>
      <xdr:row>18</xdr:row>
      <xdr:rowOff>76200</xdr:rowOff>
    </xdr:from>
    <xdr:to>
      <xdr:col>103</xdr:col>
      <xdr:colOff>0</xdr:colOff>
      <xdr:row>20</xdr:row>
      <xdr:rowOff>104775</xdr:rowOff>
    </xdr:to>
    <xdr:sp macro="" textlink="">
      <xdr:nvSpPr>
        <xdr:cNvPr id="56" name="Text Box 10">
          <a:extLst>
            <a:ext uri="{FF2B5EF4-FFF2-40B4-BE49-F238E27FC236}">
              <a16:creationId xmlns:a16="http://schemas.microsoft.com/office/drawing/2014/main" id="{8CC52BA5-A9FA-429F-82E2-823A0E91288A}"/>
            </a:ext>
          </a:extLst>
        </xdr:cNvPr>
        <xdr:cNvSpPr txBox="1">
          <a:spLocks noChangeArrowheads="1"/>
        </xdr:cNvSpPr>
      </xdr:nvSpPr>
      <xdr:spPr bwMode="auto">
        <a:xfrm>
          <a:off x="88258650" y="3495675"/>
          <a:ext cx="0" cy="409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103</xdr:col>
      <xdr:colOff>0</xdr:colOff>
      <xdr:row>17</xdr:row>
      <xdr:rowOff>160020</xdr:rowOff>
    </xdr:from>
    <xdr:to>
      <xdr:col>103</xdr:col>
      <xdr:colOff>0</xdr:colOff>
      <xdr:row>20</xdr:row>
      <xdr:rowOff>19104</xdr:rowOff>
    </xdr:to>
    <xdr:sp macro="" textlink="">
      <xdr:nvSpPr>
        <xdr:cNvPr id="57" name="Text Box 11">
          <a:extLst>
            <a:ext uri="{FF2B5EF4-FFF2-40B4-BE49-F238E27FC236}">
              <a16:creationId xmlns:a16="http://schemas.microsoft.com/office/drawing/2014/main" id="{3D70FC92-959C-4B00-A175-8642FF7767D9}"/>
            </a:ext>
          </a:extLst>
        </xdr:cNvPr>
        <xdr:cNvSpPr txBox="1">
          <a:spLocks noChangeArrowheads="1"/>
        </xdr:cNvSpPr>
      </xdr:nvSpPr>
      <xdr:spPr bwMode="auto">
        <a:xfrm>
          <a:off x="88258650" y="3388995"/>
          <a:ext cx="0" cy="430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99</xdr:row>
      <xdr:rowOff>0</xdr:rowOff>
    </xdr:from>
    <xdr:ext cx="184731" cy="264560"/>
    <xdr:sp macro="" textlink="">
      <xdr:nvSpPr>
        <xdr:cNvPr id="58" name="TextBox 57">
          <a:extLst>
            <a:ext uri="{FF2B5EF4-FFF2-40B4-BE49-F238E27FC236}">
              <a16:creationId xmlns:a16="http://schemas.microsoft.com/office/drawing/2014/main" id="{0A4D70D5-5E4A-49F9-868B-6F224F0B1868}"/>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59" name="TextBox 58">
          <a:extLst>
            <a:ext uri="{FF2B5EF4-FFF2-40B4-BE49-F238E27FC236}">
              <a16:creationId xmlns:a16="http://schemas.microsoft.com/office/drawing/2014/main" id="{ADACEA55-D8F1-4AE1-941F-CF6FF7CE952F}"/>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60" name="TextBox 59">
          <a:extLst>
            <a:ext uri="{FF2B5EF4-FFF2-40B4-BE49-F238E27FC236}">
              <a16:creationId xmlns:a16="http://schemas.microsoft.com/office/drawing/2014/main" id="{F334A6FC-B083-474D-90B8-5137D4979787}"/>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61" name="TextBox 60">
          <a:extLst>
            <a:ext uri="{FF2B5EF4-FFF2-40B4-BE49-F238E27FC236}">
              <a16:creationId xmlns:a16="http://schemas.microsoft.com/office/drawing/2014/main" id="{C70FCBC0-210A-4DFA-833E-941E41D809C4}"/>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92</xdr:col>
      <xdr:colOff>0</xdr:colOff>
      <xdr:row>18</xdr:row>
      <xdr:rowOff>9525</xdr:rowOff>
    </xdr:from>
    <xdr:to>
      <xdr:col>92</xdr:col>
      <xdr:colOff>0</xdr:colOff>
      <xdr:row>29</xdr:row>
      <xdr:rowOff>104775</xdr:rowOff>
    </xdr:to>
    <xdr:sp macro="" textlink="">
      <xdr:nvSpPr>
        <xdr:cNvPr id="62" name="Text Box 1">
          <a:extLst>
            <a:ext uri="{FF2B5EF4-FFF2-40B4-BE49-F238E27FC236}">
              <a16:creationId xmlns:a16="http://schemas.microsoft.com/office/drawing/2014/main" id="{0F62FAA7-D818-4382-A801-CB90E7B0140E}"/>
            </a:ext>
          </a:extLst>
        </xdr:cNvPr>
        <xdr:cNvSpPr txBox="1">
          <a:spLocks noChangeArrowheads="1"/>
        </xdr:cNvSpPr>
      </xdr:nvSpPr>
      <xdr:spPr bwMode="auto">
        <a:xfrm>
          <a:off x="88258650" y="3429000"/>
          <a:ext cx="0" cy="2190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92</xdr:col>
      <xdr:colOff>0</xdr:colOff>
      <xdr:row>14</xdr:row>
      <xdr:rowOff>0</xdr:rowOff>
    </xdr:from>
    <xdr:to>
      <xdr:col>92</xdr:col>
      <xdr:colOff>0</xdr:colOff>
      <xdr:row>18</xdr:row>
      <xdr:rowOff>66675</xdr:rowOff>
    </xdr:to>
    <xdr:sp macro="" textlink="">
      <xdr:nvSpPr>
        <xdr:cNvPr id="63" name="Text Box 2">
          <a:extLst>
            <a:ext uri="{FF2B5EF4-FFF2-40B4-BE49-F238E27FC236}">
              <a16:creationId xmlns:a16="http://schemas.microsoft.com/office/drawing/2014/main" id="{D2004248-F5EA-4B2D-B97D-5C12FDF81C41}"/>
            </a:ext>
          </a:extLst>
        </xdr:cNvPr>
        <xdr:cNvSpPr txBox="1">
          <a:spLocks noChangeArrowheads="1"/>
        </xdr:cNvSpPr>
      </xdr:nvSpPr>
      <xdr:spPr bwMode="auto">
        <a:xfrm>
          <a:off x="88258650" y="26574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92</xdr:col>
      <xdr:colOff>0</xdr:colOff>
      <xdr:row>14</xdr:row>
      <xdr:rowOff>167640</xdr:rowOff>
    </xdr:from>
    <xdr:to>
      <xdr:col>92</xdr:col>
      <xdr:colOff>0</xdr:colOff>
      <xdr:row>17</xdr:row>
      <xdr:rowOff>93445</xdr:rowOff>
    </xdr:to>
    <xdr:sp macro="" textlink="">
      <xdr:nvSpPr>
        <xdr:cNvPr id="64" name="Text Box 3">
          <a:extLst>
            <a:ext uri="{FF2B5EF4-FFF2-40B4-BE49-F238E27FC236}">
              <a16:creationId xmlns:a16="http://schemas.microsoft.com/office/drawing/2014/main" id="{7CE68382-01F7-4CE4-9E79-A338546CB35D}"/>
            </a:ext>
          </a:extLst>
        </xdr:cNvPr>
        <xdr:cNvSpPr txBox="1">
          <a:spLocks noChangeArrowheads="1"/>
        </xdr:cNvSpPr>
      </xdr:nvSpPr>
      <xdr:spPr bwMode="auto">
        <a:xfrm>
          <a:off x="88258650" y="2825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92</xdr:col>
      <xdr:colOff>0</xdr:colOff>
      <xdr:row>23</xdr:row>
      <xdr:rowOff>0</xdr:rowOff>
    </xdr:from>
    <xdr:to>
      <xdr:col>92</xdr:col>
      <xdr:colOff>0</xdr:colOff>
      <xdr:row>25</xdr:row>
      <xdr:rowOff>0</xdr:rowOff>
    </xdr:to>
    <xdr:sp macro="" textlink="">
      <xdr:nvSpPr>
        <xdr:cNvPr id="65" name="Text Box 4">
          <a:extLst>
            <a:ext uri="{FF2B5EF4-FFF2-40B4-BE49-F238E27FC236}">
              <a16:creationId xmlns:a16="http://schemas.microsoft.com/office/drawing/2014/main" id="{52360C8D-6DAF-491A-A3BA-B886672E253D}"/>
            </a:ext>
          </a:extLst>
        </xdr:cNvPr>
        <xdr:cNvSpPr txBox="1">
          <a:spLocks noChangeArrowheads="1"/>
        </xdr:cNvSpPr>
      </xdr:nvSpPr>
      <xdr:spPr bwMode="auto">
        <a:xfrm>
          <a:off x="88258650" y="43719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92</xdr:col>
      <xdr:colOff>0</xdr:colOff>
      <xdr:row>32</xdr:row>
      <xdr:rowOff>38100</xdr:rowOff>
    </xdr:from>
    <xdr:to>
      <xdr:col>92</xdr:col>
      <xdr:colOff>0</xdr:colOff>
      <xdr:row>34</xdr:row>
      <xdr:rowOff>38100</xdr:rowOff>
    </xdr:to>
    <xdr:sp macro="" textlink="">
      <xdr:nvSpPr>
        <xdr:cNvPr id="66" name="Text Box 5">
          <a:extLst>
            <a:ext uri="{FF2B5EF4-FFF2-40B4-BE49-F238E27FC236}">
              <a16:creationId xmlns:a16="http://schemas.microsoft.com/office/drawing/2014/main" id="{1D861B10-5D58-4A10-B386-55835FC142DD}"/>
            </a:ext>
          </a:extLst>
        </xdr:cNvPr>
        <xdr:cNvSpPr txBox="1">
          <a:spLocks noChangeArrowheads="1"/>
        </xdr:cNvSpPr>
      </xdr:nvSpPr>
      <xdr:spPr bwMode="auto">
        <a:xfrm>
          <a:off x="88258650" y="6124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92</xdr:col>
      <xdr:colOff>0</xdr:colOff>
      <xdr:row>14</xdr:row>
      <xdr:rowOff>55245</xdr:rowOff>
    </xdr:from>
    <xdr:to>
      <xdr:col>92</xdr:col>
      <xdr:colOff>0</xdr:colOff>
      <xdr:row>16</xdr:row>
      <xdr:rowOff>47625</xdr:rowOff>
    </xdr:to>
    <xdr:sp macro="" textlink="">
      <xdr:nvSpPr>
        <xdr:cNvPr id="67" name="Text Box 7">
          <a:extLst>
            <a:ext uri="{FF2B5EF4-FFF2-40B4-BE49-F238E27FC236}">
              <a16:creationId xmlns:a16="http://schemas.microsoft.com/office/drawing/2014/main" id="{AA84133F-F67A-45A5-9689-ECCB594E36FD}"/>
            </a:ext>
          </a:extLst>
        </xdr:cNvPr>
        <xdr:cNvSpPr txBox="1">
          <a:spLocks noChangeArrowheads="1"/>
        </xdr:cNvSpPr>
      </xdr:nvSpPr>
      <xdr:spPr bwMode="auto">
        <a:xfrm>
          <a:off x="88258650" y="2712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92</xdr:col>
      <xdr:colOff>0</xdr:colOff>
      <xdr:row>11</xdr:row>
      <xdr:rowOff>167640</xdr:rowOff>
    </xdr:from>
    <xdr:to>
      <xdr:col>92</xdr:col>
      <xdr:colOff>0</xdr:colOff>
      <xdr:row>15</xdr:row>
      <xdr:rowOff>131418</xdr:rowOff>
    </xdr:to>
    <xdr:sp macro="" textlink="">
      <xdr:nvSpPr>
        <xdr:cNvPr id="68" name="Text Box 8">
          <a:extLst>
            <a:ext uri="{FF2B5EF4-FFF2-40B4-BE49-F238E27FC236}">
              <a16:creationId xmlns:a16="http://schemas.microsoft.com/office/drawing/2014/main" id="{42537C0C-6BBF-4D84-9F0C-CA0353384F27}"/>
            </a:ext>
          </a:extLst>
        </xdr:cNvPr>
        <xdr:cNvSpPr txBox="1">
          <a:spLocks noChangeArrowheads="1"/>
        </xdr:cNvSpPr>
      </xdr:nvSpPr>
      <xdr:spPr bwMode="auto">
        <a:xfrm>
          <a:off x="88258650" y="2253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92</xdr:col>
      <xdr:colOff>0</xdr:colOff>
      <xdr:row>7</xdr:row>
      <xdr:rowOff>104775</xdr:rowOff>
    </xdr:from>
    <xdr:to>
      <xdr:col>92</xdr:col>
      <xdr:colOff>0</xdr:colOff>
      <xdr:row>9</xdr:row>
      <xdr:rowOff>121962</xdr:rowOff>
    </xdr:to>
    <xdr:sp macro="" textlink="">
      <xdr:nvSpPr>
        <xdr:cNvPr id="69" name="Text Box 9">
          <a:extLst>
            <a:ext uri="{FF2B5EF4-FFF2-40B4-BE49-F238E27FC236}">
              <a16:creationId xmlns:a16="http://schemas.microsoft.com/office/drawing/2014/main" id="{46E0FD77-6737-49DF-BA83-202BD61E5448}"/>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92</xdr:col>
      <xdr:colOff>0</xdr:colOff>
      <xdr:row>19</xdr:row>
      <xdr:rowOff>76200</xdr:rowOff>
    </xdr:from>
    <xdr:to>
      <xdr:col>92</xdr:col>
      <xdr:colOff>0</xdr:colOff>
      <xdr:row>23</xdr:row>
      <xdr:rowOff>104775</xdr:rowOff>
    </xdr:to>
    <xdr:sp macro="" textlink="">
      <xdr:nvSpPr>
        <xdr:cNvPr id="70" name="Text Box 10">
          <a:extLst>
            <a:ext uri="{FF2B5EF4-FFF2-40B4-BE49-F238E27FC236}">
              <a16:creationId xmlns:a16="http://schemas.microsoft.com/office/drawing/2014/main" id="{4148AD58-D021-4FBD-BAB9-D57B4E0845C7}"/>
            </a:ext>
          </a:extLst>
        </xdr:cNvPr>
        <xdr:cNvSpPr txBox="1">
          <a:spLocks noChangeArrowheads="1"/>
        </xdr:cNvSpPr>
      </xdr:nvSpPr>
      <xdr:spPr bwMode="auto">
        <a:xfrm>
          <a:off x="88258650" y="3686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92</xdr:col>
      <xdr:colOff>0</xdr:colOff>
      <xdr:row>18</xdr:row>
      <xdr:rowOff>160020</xdr:rowOff>
    </xdr:from>
    <xdr:to>
      <xdr:col>92</xdr:col>
      <xdr:colOff>0</xdr:colOff>
      <xdr:row>23</xdr:row>
      <xdr:rowOff>19104</xdr:rowOff>
    </xdr:to>
    <xdr:sp macro="" textlink="">
      <xdr:nvSpPr>
        <xdr:cNvPr id="71" name="Text Box 11">
          <a:extLst>
            <a:ext uri="{FF2B5EF4-FFF2-40B4-BE49-F238E27FC236}">
              <a16:creationId xmlns:a16="http://schemas.microsoft.com/office/drawing/2014/main" id="{F559DF7F-77D7-43D7-8F27-279628907DE3}"/>
            </a:ext>
          </a:extLst>
        </xdr:cNvPr>
        <xdr:cNvSpPr txBox="1">
          <a:spLocks noChangeArrowheads="1"/>
        </xdr:cNvSpPr>
      </xdr:nvSpPr>
      <xdr:spPr bwMode="auto">
        <a:xfrm>
          <a:off x="88258650" y="3579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97</xdr:row>
      <xdr:rowOff>0</xdr:rowOff>
    </xdr:from>
    <xdr:ext cx="184731" cy="264560"/>
    <xdr:sp macro="" textlink="">
      <xdr:nvSpPr>
        <xdr:cNvPr id="72" name="TextBox 71">
          <a:extLst>
            <a:ext uri="{FF2B5EF4-FFF2-40B4-BE49-F238E27FC236}">
              <a16:creationId xmlns:a16="http://schemas.microsoft.com/office/drawing/2014/main" id="{8AF3B695-019B-4AE1-88A3-5742C3278968}"/>
            </a:ext>
          </a:extLst>
        </xdr:cNvPr>
        <xdr:cNvSpPr txBox="1"/>
      </xdr:nvSpPr>
      <xdr:spPr>
        <a:xfrm>
          <a:off x="74710290" y="182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73" name="TextBox 72">
          <a:extLst>
            <a:ext uri="{FF2B5EF4-FFF2-40B4-BE49-F238E27FC236}">
              <a16:creationId xmlns:a16="http://schemas.microsoft.com/office/drawing/2014/main" id="{37843EC0-C5BA-4064-9D25-67540CD59A07}"/>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74" name="TextBox 73">
          <a:extLst>
            <a:ext uri="{FF2B5EF4-FFF2-40B4-BE49-F238E27FC236}">
              <a16:creationId xmlns:a16="http://schemas.microsoft.com/office/drawing/2014/main" id="{67510C58-955F-4275-AD72-D2C6593D5064}"/>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75" name="TextBox 74">
          <a:extLst>
            <a:ext uri="{FF2B5EF4-FFF2-40B4-BE49-F238E27FC236}">
              <a16:creationId xmlns:a16="http://schemas.microsoft.com/office/drawing/2014/main" id="{70B5D50D-B2D1-4F20-840C-D775903DFFC0}"/>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76" name="TextBox 75">
          <a:extLst>
            <a:ext uri="{FF2B5EF4-FFF2-40B4-BE49-F238E27FC236}">
              <a16:creationId xmlns:a16="http://schemas.microsoft.com/office/drawing/2014/main" id="{9953BF09-94AB-4653-8E31-4B6B46320F4D}"/>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77" name="TextBox 76">
          <a:extLst>
            <a:ext uri="{FF2B5EF4-FFF2-40B4-BE49-F238E27FC236}">
              <a16:creationId xmlns:a16="http://schemas.microsoft.com/office/drawing/2014/main" id="{2C26BD58-03F7-4B96-B588-D309ACE7B896}"/>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78" name="TextBox 77">
          <a:extLst>
            <a:ext uri="{FF2B5EF4-FFF2-40B4-BE49-F238E27FC236}">
              <a16:creationId xmlns:a16="http://schemas.microsoft.com/office/drawing/2014/main" id="{173B76DF-DEBB-4B01-8652-C80E0B6801E9}"/>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79" name="TextBox 78">
          <a:extLst>
            <a:ext uri="{FF2B5EF4-FFF2-40B4-BE49-F238E27FC236}">
              <a16:creationId xmlns:a16="http://schemas.microsoft.com/office/drawing/2014/main" id="{904AACE9-7A43-433D-9AB2-1BC6B79FFD2D}"/>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115</xdr:col>
      <xdr:colOff>0</xdr:colOff>
      <xdr:row>17</xdr:row>
      <xdr:rowOff>9525</xdr:rowOff>
    </xdr:from>
    <xdr:to>
      <xdr:col>115</xdr:col>
      <xdr:colOff>0</xdr:colOff>
      <xdr:row>26</xdr:row>
      <xdr:rowOff>104775</xdr:rowOff>
    </xdr:to>
    <xdr:sp macro="" textlink="">
      <xdr:nvSpPr>
        <xdr:cNvPr id="80" name="Text Box 1">
          <a:extLst>
            <a:ext uri="{FF2B5EF4-FFF2-40B4-BE49-F238E27FC236}">
              <a16:creationId xmlns:a16="http://schemas.microsoft.com/office/drawing/2014/main" id="{3BE88A60-E49E-4345-A1AD-30CC7346A421}"/>
            </a:ext>
          </a:extLst>
        </xdr:cNvPr>
        <xdr:cNvSpPr txBox="1">
          <a:spLocks noChangeArrowheads="1"/>
        </xdr:cNvSpPr>
      </xdr:nvSpPr>
      <xdr:spPr bwMode="auto">
        <a:xfrm>
          <a:off x="88258650" y="3238500"/>
          <a:ext cx="0" cy="1809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115</xdr:col>
      <xdr:colOff>0</xdr:colOff>
      <xdr:row>13</xdr:row>
      <xdr:rowOff>0</xdr:rowOff>
    </xdr:from>
    <xdr:to>
      <xdr:col>115</xdr:col>
      <xdr:colOff>0</xdr:colOff>
      <xdr:row>17</xdr:row>
      <xdr:rowOff>66675</xdr:rowOff>
    </xdr:to>
    <xdr:sp macro="" textlink="">
      <xdr:nvSpPr>
        <xdr:cNvPr id="81" name="Text Box 2">
          <a:extLst>
            <a:ext uri="{FF2B5EF4-FFF2-40B4-BE49-F238E27FC236}">
              <a16:creationId xmlns:a16="http://schemas.microsoft.com/office/drawing/2014/main" id="{AB32A6C1-CFA4-43F5-A7B6-B8C99D1A0236}"/>
            </a:ext>
          </a:extLst>
        </xdr:cNvPr>
        <xdr:cNvSpPr txBox="1">
          <a:spLocks noChangeArrowheads="1"/>
        </xdr:cNvSpPr>
      </xdr:nvSpPr>
      <xdr:spPr bwMode="auto">
        <a:xfrm>
          <a:off x="88258650" y="24669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115</xdr:col>
      <xdr:colOff>0</xdr:colOff>
      <xdr:row>13</xdr:row>
      <xdr:rowOff>167640</xdr:rowOff>
    </xdr:from>
    <xdr:to>
      <xdr:col>115</xdr:col>
      <xdr:colOff>0</xdr:colOff>
      <xdr:row>16</xdr:row>
      <xdr:rowOff>93445</xdr:rowOff>
    </xdr:to>
    <xdr:sp macro="" textlink="">
      <xdr:nvSpPr>
        <xdr:cNvPr id="82" name="Text Box 3">
          <a:extLst>
            <a:ext uri="{FF2B5EF4-FFF2-40B4-BE49-F238E27FC236}">
              <a16:creationId xmlns:a16="http://schemas.microsoft.com/office/drawing/2014/main" id="{23BF81FD-D259-4FAF-B5FD-98199DB189FC}"/>
            </a:ext>
          </a:extLst>
        </xdr:cNvPr>
        <xdr:cNvSpPr txBox="1">
          <a:spLocks noChangeArrowheads="1"/>
        </xdr:cNvSpPr>
      </xdr:nvSpPr>
      <xdr:spPr bwMode="auto">
        <a:xfrm>
          <a:off x="88258650" y="2634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115</xdr:col>
      <xdr:colOff>0</xdr:colOff>
      <xdr:row>20</xdr:row>
      <xdr:rowOff>0</xdr:rowOff>
    </xdr:from>
    <xdr:to>
      <xdr:col>115</xdr:col>
      <xdr:colOff>0</xdr:colOff>
      <xdr:row>22</xdr:row>
      <xdr:rowOff>0</xdr:rowOff>
    </xdr:to>
    <xdr:sp macro="" textlink="">
      <xdr:nvSpPr>
        <xdr:cNvPr id="83" name="Text Box 4">
          <a:extLst>
            <a:ext uri="{FF2B5EF4-FFF2-40B4-BE49-F238E27FC236}">
              <a16:creationId xmlns:a16="http://schemas.microsoft.com/office/drawing/2014/main" id="{1F568F17-F26C-440F-A86B-BA982191070C}"/>
            </a:ext>
          </a:extLst>
        </xdr:cNvPr>
        <xdr:cNvSpPr txBox="1">
          <a:spLocks noChangeArrowheads="1"/>
        </xdr:cNvSpPr>
      </xdr:nvSpPr>
      <xdr:spPr bwMode="auto">
        <a:xfrm>
          <a:off x="88258650" y="38004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28</xdr:row>
      <xdr:rowOff>38100</xdr:rowOff>
    </xdr:from>
    <xdr:to>
      <xdr:col>115</xdr:col>
      <xdr:colOff>0</xdr:colOff>
      <xdr:row>30</xdr:row>
      <xdr:rowOff>38100</xdr:rowOff>
    </xdr:to>
    <xdr:sp macro="" textlink="">
      <xdr:nvSpPr>
        <xdr:cNvPr id="84" name="Text Box 5">
          <a:extLst>
            <a:ext uri="{FF2B5EF4-FFF2-40B4-BE49-F238E27FC236}">
              <a16:creationId xmlns:a16="http://schemas.microsoft.com/office/drawing/2014/main" id="{0BECE1BA-CB9F-40F1-97C9-FE9F72CBBF92}"/>
            </a:ext>
          </a:extLst>
        </xdr:cNvPr>
        <xdr:cNvSpPr txBox="1">
          <a:spLocks noChangeArrowheads="1"/>
        </xdr:cNvSpPr>
      </xdr:nvSpPr>
      <xdr:spPr bwMode="auto">
        <a:xfrm>
          <a:off x="88258650" y="5362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115</xdr:col>
      <xdr:colOff>0</xdr:colOff>
      <xdr:row>13</xdr:row>
      <xdr:rowOff>55245</xdr:rowOff>
    </xdr:from>
    <xdr:to>
      <xdr:col>115</xdr:col>
      <xdr:colOff>0</xdr:colOff>
      <xdr:row>15</xdr:row>
      <xdr:rowOff>47625</xdr:rowOff>
    </xdr:to>
    <xdr:sp macro="" textlink="">
      <xdr:nvSpPr>
        <xdr:cNvPr id="85" name="Text Box 7">
          <a:extLst>
            <a:ext uri="{FF2B5EF4-FFF2-40B4-BE49-F238E27FC236}">
              <a16:creationId xmlns:a16="http://schemas.microsoft.com/office/drawing/2014/main" id="{583EBA1C-A60E-40EB-B7F1-E013DDE0A4DF}"/>
            </a:ext>
          </a:extLst>
        </xdr:cNvPr>
        <xdr:cNvSpPr txBox="1">
          <a:spLocks noChangeArrowheads="1"/>
        </xdr:cNvSpPr>
      </xdr:nvSpPr>
      <xdr:spPr bwMode="auto">
        <a:xfrm>
          <a:off x="88258650" y="25222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11</xdr:row>
      <xdr:rowOff>167640</xdr:rowOff>
    </xdr:from>
    <xdr:to>
      <xdr:col>115</xdr:col>
      <xdr:colOff>0</xdr:colOff>
      <xdr:row>14</xdr:row>
      <xdr:rowOff>131418</xdr:rowOff>
    </xdr:to>
    <xdr:sp macro="" textlink="">
      <xdr:nvSpPr>
        <xdr:cNvPr id="86" name="Text Box 8">
          <a:extLst>
            <a:ext uri="{FF2B5EF4-FFF2-40B4-BE49-F238E27FC236}">
              <a16:creationId xmlns:a16="http://schemas.microsoft.com/office/drawing/2014/main" id="{DFF00A81-85D6-4C4A-8167-FC5758AEBFBD}"/>
            </a:ext>
          </a:extLst>
        </xdr:cNvPr>
        <xdr:cNvSpPr txBox="1">
          <a:spLocks noChangeArrowheads="1"/>
        </xdr:cNvSpPr>
      </xdr:nvSpPr>
      <xdr:spPr bwMode="auto">
        <a:xfrm>
          <a:off x="88258650" y="2253615"/>
          <a:ext cx="0" cy="535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115</xdr:col>
      <xdr:colOff>0</xdr:colOff>
      <xdr:row>7</xdr:row>
      <xdr:rowOff>104775</xdr:rowOff>
    </xdr:from>
    <xdr:to>
      <xdr:col>115</xdr:col>
      <xdr:colOff>0</xdr:colOff>
      <xdr:row>9</xdr:row>
      <xdr:rowOff>121962</xdr:rowOff>
    </xdr:to>
    <xdr:sp macro="" textlink="">
      <xdr:nvSpPr>
        <xdr:cNvPr id="87" name="Text Box 9">
          <a:extLst>
            <a:ext uri="{FF2B5EF4-FFF2-40B4-BE49-F238E27FC236}">
              <a16:creationId xmlns:a16="http://schemas.microsoft.com/office/drawing/2014/main" id="{DB5DC4A1-9873-462C-A43A-E14A0149A5A6}"/>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115</xdr:col>
      <xdr:colOff>0</xdr:colOff>
      <xdr:row>18</xdr:row>
      <xdr:rowOff>76200</xdr:rowOff>
    </xdr:from>
    <xdr:to>
      <xdr:col>115</xdr:col>
      <xdr:colOff>0</xdr:colOff>
      <xdr:row>20</xdr:row>
      <xdr:rowOff>104775</xdr:rowOff>
    </xdr:to>
    <xdr:sp macro="" textlink="">
      <xdr:nvSpPr>
        <xdr:cNvPr id="88" name="Text Box 10">
          <a:extLst>
            <a:ext uri="{FF2B5EF4-FFF2-40B4-BE49-F238E27FC236}">
              <a16:creationId xmlns:a16="http://schemas.microsoft.com/office/drawing/2014/main" id="{3BC70C2E-C180-4A3A-89E0-15696FD16CBE}"/>
            </a:ext>
          </a:extLst>
        </xdr:cNvPr>
        <xdr:cNvSpPr txBox="1">
          <a:spLocks noChangeArrowheads="1"/>
        </xdr:cNvSpPr>
      </xdr:nvSpPr>
      <xdr:spPr bwMode="auto">
        <a:xfrm>
          <a:off x="88258650" y="3495675"/>
          <a:ext cx="0" cy="409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115</xdr:col>
      <xdr:colOff>0</xdr:colOff>
      <xdr:row>17</xdr:row>
      <xdr:rowOff>160020</xdr:rowOff>
    </xdr:from>
    <xdr:to>
      <xdr:col>115</xdr:col>
      <xdr:colOff>0</xdr:colOff>
      <xdr:row>20</xdr:row>
      <xdr:rowOff>19104</xdr:rowOff>
    </xdr:to>
    <xdr:sp macro="" textlink="">
      <xdr:nvSpPr>
        <xdr:cNvPr id="89" name="Text Box 11">
          <a:extLst>
            <a:ext uri="{FF2B5EF4-FFF2-40B4-BE49-F238E27FC236}">
              <a16:creationId xmlns:a16="http://schemas.microsoft.com/office/drawing/2014/main" id="{667AC986-6F1F-4824-AAF8-35FFCC1F5C9F}"/>
            </a:ext>
          </a:extLst>
        </xdr:cNvPr>
        <xdr:cNvSpPr txBox="1">
          <a:spLocks noChangeArrowheads="1"/>
        </xdr:cNvSpPr>
      </xdr:nvSpPr>
      <xdr:spPr bwMode="auto">
        <a:xfrm>
          <a:off x="88258650" y="3388995"/>
          <a:ext cx="0" cy="430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103</xdr:col>
      <xdr:colOff>0</xdr:colOff>
      <xdr:row>18</xdr:row>
      <xdr:rowOff>9525</xdr:rowOff>
    </xdr:from>
    <xdr:to>
      <xdr:col>103</xdr:col>
      <xdr:colOff>0</xdr:colOff>
      <xdr:row>29</xdr:row>
      <xdr:rowOff>104775</xdr:rowOff>
    </xdr:to>
    <xdr:sp macro="" textlink="">
      <xdr:nvSpPr>
        <xdr:cNvPr id="90" name="Text Box 1">
          <a:extLst>
            <a:ext uri="{FF2B5EF4-FFF2-40B4-BE49-F238E27FC236}">
              <a16:creationId xmlns:a16="http://schemas.microsoft.com/office/drawing/2014/main" id="{3212A636-6BF6-410C-8A8A-6C0A613CF4C6}"/>
            </a:ext>
          </a:extLst>
        </xdr:cNvPr>
        <xdr:cNvSpPr txBox="1">
          <a:spLocks noChangeArrowheads="1"/>
        </xdr:cNvSpPr>
      </xdr:nvSpPr>
      <xdr:spPr bwMode="auto">
        <a:xfrm>
          <a:off x="88258650" y="3429000"/>
          <a:ext cx="0" cy="2190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103</xdr:col>
      <xdr:colOff>0</xdr:colOff>
      <xdr:row>14</xdr:row>
      <xdr:rowOff>0</xdr:rowOff>
    </xdr:from>
    <xdr:to>
      <xdr:col>103</xdr:col>
      <xdr:colOff>0</xdr:colOff>
      <xdr:row>18</xdr:row>
      <xdr:rowOff>66675</xdr:rowOff>
    </xdr:to>
    <xdr:sp macro="" textlink="">
      <xdr:nvSpPr>
        <xdr:cNvPr id="91" name="Text Box 2">
          <a:extLst>
            <a:ext uri="{FF2B5EF4-FFF2-40B4-BE49-F238E27FC236}">
              <a16:creationId xmlns:a16="http://schemas.microsoft.com/office/drawing/2014/main" id="{C67ACEE5-5403-43CF-A023-8076ACC90BF4}"/>
            </a:ext>
          </a:extLst>
        </xdr:cNvPr>
        <xdr:cNvSpPr txBox="1">
          <a:spLocks noChangeArrowheads="1"/>
        </xdr:cNvSpPr>
      </xdr:nvSpPr>
      <xdr:spPr bwMode="auto">
        <a:xfrm>
          <a:off x="88258650" y="26574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103</xdr:col>
      <xdr:colOff>0</xdr:colOff>
      <xdr:row>14</xdr:row>
      <xdr:rowOff>167640</xdr:rowOff>
    </xdr:from>
    <xdr:to>
      <xdr:col>103</xdr:col>
      <xdr:colOff>0</xdr:colOff>
      <xdr:row>17</xdr:row>
      <xdr:rowOff>93445</xdr:rowOff>
    </xdr:to>
    <xdr:sp macro="" textlink="">
      <xdr:nvSpPr>
        <xdr:cNvPr id="92" name="Text Box 3">
          <a:extLst>
            <a:ext uri="{FF2B5EF4-FFF2-40B4-BE49-F238E27FC236}">
              <a16:creationId xmlns:a16="http://schemas.microsoft.com/office/drawing/2014/main" id="{3178880B-6A57-476A-8435-6A1540245F86}"/>
            </a:ext>
          </a:extLst>
        </xdr:cNvPr>
        <xdr:cNvSpPr txBox="1">
          <a:spLocks noChangeArrowheads="1"/>
        </xdr:cNvSpPr>
      </xdr:nvSpPr>
      <xdr:spPr bwMode="auto">
        <a:xfrm>
          <a:off x="88258650" y="2825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103</xdr:col>
      <xdr:colOff>0</xdr:colOff>
      <xdr:row>23</xdr:row>
      <xdr:rowOff>0</xdr:rowOff>
    </xdr:from>
    <xdr:to>
      <xdr:col>103</xdr:col>
      <xdr:colOff>0</xdr:colOff>
      <xdr:row>25</xdr:row>
      <xdr:rowOff>0</xdr:rowOff>
    </xdr:to>
    <xdr:sp macro="" textlink="">
      <xdr:nvSpPr>
        <xdr:cNvPr id="93" name="Text Box 4">
          <a:extLst>
            <a:ext uri="{FF2B5EF4-FFF2-40B4-BE49-F238E27FC236}">
              <a16:creationId xmlns:a16="http://schemas.microsoft.com/office/drawing/2014/main" id="{AB997AE5-DF69-4026-A31E-971749C85D03}"/>
            </a:ext>
          </a:extLst>
        </xdr:cNvPr>
        <xdr:cNvSpPr txBox="1">
          <a:spLocks noChangeArrowheads="1"/>
        </xdr:cNvSpPr>
      </xdr:nvSpPr>
      <xdr:spPr bwMode="auto">
        <a:xfrm>
          <a:off x="88258650" y="43719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32</xdr:row>
      <xdr:rowOff>38100</xdr:rowOff>
    </xdr:from>
    <xdr:to>
      <xdr:col>103</xdr:col>
      <xdr:colOff>0</xdr:colOff>
      <xdr:row>34</xdr:row>
      <xdr:rowOff>38100</xdr:rowOff>
    </xdr:to>
    <xdr:sp macro="" textlink="">
      <xdr:nvSpPr>
        <xdr:cNvPr id="94" name="Text Box 5">
          <a:extLst>
            <a:ext uri="{FF2B5EF4-FFF2-40B4-BE49-F238E27FC236}">
              <a16:creationId xmlns:a16="http://schemas.microsoft.com/office/drawing/2014/main" id="{9993C0C6-FDA4-4402-999A-5F47A7ADF7BC}"/>
            </a:ext>
          </a:extLst>
        </xdr:cNvPr>
        <xdr:cNvSpPr txBox="1">
          <a:spLocks noChangeArrowheads="1"/>
        </xdr:cNvSpPr>
      </xdr:nvSpPr>
      <xdr:spPr bwMode="auto">
        <a:xfrm>
          <a:off x="88258650" y="6124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103</xdr:col>
      <xdr:colOff>0</xdr:colOff>
      <xdr:row>14</xdr:row>
      <xdr:rowOff>55245</xdr:rowOff>
    </xdr:from>
    <xdr:to>
      <xdr:col>103</xdr:col>
      <xdr:colOff>0</xdr:colOff>
      <xdr:row>16</xdr:row>
      <xdr:rowOff>47625</xdr:rowOff>
    </xdr:to>
    <xdr:sp macro="" textlink="">
      <xdr:nvSpPr>
        <xdr:cNvPr id="95" name="Text Box 7">
          <a:extLst>
            <a:ext uri="{FF2B5EF4-FFF2-40B4-BE49-F238E27FC236}">
              <a16:creationId xmlns:a16="http://schemas.microsoft.com/office/drawing/2014/main" id="{7F4C6F3D-4645-4D26-87DE-FB9F2D7CAB8E}"/>
            </a:ext>
          </a:extLst>
        </xdr:cNvPr>
        <xdr:cNvSpPr txBox="1">
          <a:spLocks noChangeArrowheads="1"/>
        </xdr:cNvSpPr>
      </xdr:nvSpPr>
      <xdr:spPr bwMode="auto">
        <a:xfrm>
          <a:off x="88258650" y="2712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11</xdr:row>
      <xdr:rowOff>167640</xdr:rowOff>
    </xdr:from>
    <xdr:to>
      <xdr:col>103</xdr:col>
      <xdr:colOff>0</xdr:colOff>
      <xdr:row>15</xdr:row>
      <xdr:rowOff>131418</xdr:rowOff>
    </xdr:to>
    <xdr:sp macro="" textlink="">
      <xdr:nvSpPr>
        <xdr:cNvPr id="96" name="Text Box 8">
          <a:extLst>
            <a:ext uri="{FF2B5EF4-FFF2-40B4-BE49-F238E27FC236}">
              <a16:creationId xmlns:a16="http://schemas.microsoft.com/office/drawing/2014/main" id="{4EDF04D2-AA79-465F-9DCA-74E7818D5E3B}"/>
            </a:ext>
          </a:extLst>
        </xdr:cNvPr>
        <xdr:cNvSpPr txBox="1">
          <a:spLocks noChangeArrowheads="1"/>
        </xdr:cNvSpPr>
      </xdr:nvSpPr>
      <xdr:spPr bwMode="auto">
        <a:xfrm>
          <a:off x="88258650" y="2253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103</xdr:col>
      <xdr:colOff>0</xdr:colOff>
      <xdr:row>7</xdr:row>
      <xdr:rowOff>104775</xdr:rowOff>
    </xdr:from>
    <xdr:to>
      <xdr:col>103</xdr:col>
      <xdr:colOff>0</xdr:colOff>
      <xdr:row>9</xdr:row>
      <xdr:rowOff>121962</xdr:rowOff>
    </xdr:to>
    <xdr:sp macro="" textlink="">
      <xdr:nvSpPr>
        <xdr:cNvPr id="97" name="Text Box 9">
          <a:extLst>
            <a:ext uri="{FF2B5EF4-FFF2-40B4-BE49-F238E27FC236}">
              <a16:creationId xmlns:a16="http://schemas.microsoft.com/office/drawing/2014/main" id="{AED8A0C8-A4B2-434C-AFD7-E5A910FFAE32}"/>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103</xdr:col>
      <xdr:colOff>0</xdr:colOff>
      <xdr:row>19</xdr:row>
      <xdr:rowOff>76200</xdr:rowOff>
    </xdr:from>
    <xdr:to>
      <xdr:col>103</xdr:col>
      <xdr:colOff>0</xdr:colOff>
      <xdr:row>23</xdr:row>
      <xdr:rowOff>104775</xdr:rowOff>
    </xdr:to>
    <xdr:sp macro="" textlink="">
      <xdr:nvSpPr>
        <xdr:cNvPr id="98" name="Text Box 10">
          <a:extLst>
            <a:ext uri="{FF2B5EF4-FFF2-40B4-BE49-F238E27FC236}">
              <a16:creationId xmlns:a16="http://schemas.microsoft.com/office/drawing/2014/main" id="{36CF5B04-74F6-4372-B301-6EC440389380}"/>
            </a:ext>
          </a:extLst>
        </xdr:cNvPr>
        <xdr:cNvSpPr txBox="1">
          <a:spLocks noChangeArrowheads="1"/>
        </xdr:cNvSpPr>
      </xdr:nvSpPr>
      <xdr:spPr bwMode="auto">
        <a:xfrm>
          <a:off x="88258650" y="3686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103</xdr:col>
      <xdr:colOff>0</xdr:colOff>
      <xdr:row>18</xdr:row>
      <xdr:rowOff>160020</xdr:rowOff>
    </xdr:from>
    <xdr:to>
      <xdr:col>103</xdr:col>
      <xdr:colOff>0</xdr:colOff>
      <xdr:row>23</xdr:row>
      <xdr:rowOff>19104</xdr:rowOff>
    </xdr:to>
    <xdr:sp macro="" textlink="">
      <xdr:nvSpPr>
        <xdr:cNvPr id="99" name="Text Box 11">
          <a:extLst>
            <a:ext uri="{FF2B5EF4-FFF2-40B4-BE49-F238E27FC236}">
              <a16:creationId xmlns:a16="http://schemas.microsoft.com/office/drawing/2014/main" id="{ACFEE72C-97AB-4A63-8C29-EB8C18514BF6}"/>
            </a:ext>
          </a:extLst>
        </xdr:cNvPr>
        <xdr:cNvSpPr txBox="1">
          <a:spLocks noChangeArrowheads="1"/>
        </xdr:cNvSpPr>
      </xdr:nvSpPr>
      <xdr:spPr bwMode="auto">
        <a:xfrm>
          <a:off x="88258650" y="3579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0</xdr:row>
      <xdr:rowOff>0</xdr:rowOff>
    </xdr:from>
    <xdr:ext cx="184731" cy="264560"/>
    <xdr:sp macro="" textlink="">
      <xdr:nvSpPr>
        <xdr:cNvPr id="100" name="TextBox 99">
          <a:extLst>
            <a:ext uri="{FF2B5EF4-FFF2-40B4-BE49-F238E27FC236}">
              <a16:creationId xmlns:a16="http://schemas.microsoft.com/office/drawing/2014/main" id="{91E00571-4427-4CBB-AFB3-0C876A48CE71}"/>
            </a:ext>
          </a:extLst>
        </xdr:cNvPr>
        <xdr:cNvSpPr txBox="1"/>
      </xdr:nvSpPr>
      <xdr:spPr>
        <a:xfrm>
          <a:off x="7471029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0</xdr:row>
      <xdr:rowOff>0</xdr:rowOff>
    </xdr:from>
    <xdr:ext cx="184731" cy="264560"/>
    <xdr:sp macro="" textlink="">
      <xdr:nvSpPr>
        <xdr:cNvPr id="101" name="TextBox 100">
          <a:extLst>
            <a:ext uri="{FF2B5EF4-FFF2-40B4-BE49-F238E27FC236}">
              <a16:creationId xmlns:a16="http://schemas.microsoft.com/office/drawing/2014/main" id="{013B0E13-A7B3-4EAA-9F35-7B48C6C7D4B2}"/>
            </a:ext>
          </a:extLst>
        </xdr:cNvPr>
        <xdr:cNvSpPr txBox="1"/>
      </xdr:nvSpPr>
      <xdr:spPr>
        <a:xfrm>
          <a:off x="7471029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97</xdr:row>
      <xdr:rowOff>0</xdr:rowOff>
    </xdr:from>
    <xdr:ext cx="184731" cy="264560"/>
    <xdr:sp macro="" textlink="">
      <xdr:nvSpPr>
        <xdr:cNvPr id="102" name="TextBox 101">
          <a:extLst>
            <a:ext uri="{FF2B5EF4-FFF2-40B4-BE49-F238E27FC236}">
              <a16:creationId xmlns:a16="http://schemas.microsoft.com/office/drawing/2014/main" id="{89FBE2B4-21C3-4EFE-80ED-B420A58FD5B5}"/>
            </a:ext>
          </a:extLst>
        </xdr:cNvPr>
        <xdr:cNvSpPr txBox="1"/>
      </xdr:nvSpPr>
      <xdr:spPr>
        <a:xfrm>
          <a:off x="74710290" y="182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97</xdr:row>
      <xdr:rowOff>0</xdr:rowOff>
    </xdr:from>
    <xdr:ext cx="184731" cy="264560"/>
    <xdr:sp macro="" textlink="">
      <xdr:nvSpPr>
        <xdr:cNvPr id="103" name="TextBox 102">
          <a:extLst>
            <a:ext uri="{FF2B5EF4-FFF2-40B4-BE49-F238E27FC236}">
              <a16:creationId xmlns:a16="http://schemas.microsoft.com/office/drawing/2014/main" id="{464AE03B-5FAE-4102-ADED-439C985EC13A}"/>
            </a:ext>
          </a:extLst>
        </xdr:cNvPr>
        <xdr:cNvSpPr txBox="1"/>
      </xdr:nvSpPr>
      <xdr:spPr>
        <a:xfrm>
          <a:off x="74710290" y="182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97</xdr:row>
      <xdr:rowOff>0</xdr:rowOff>
    </xdr:from>
    <xdr:ext cx="184731" cy="264560"/>
    <xdr:sp macro="" textlink="">
      <xdr:nvSpPr>
        <xdr:cNvPr id="104" name="TextBox 103">
          <a:extLst>
            <a:ext uri="{FF2B5EF4-FFF2-40B4-BE49-F238E27FC236}">
              <a16:creationId xmlns:a16="http://schemas.microsoft.com/office/drawing/2014/main" id="{A072D876-F7E2-493C-80FF-12F05BADFB92}"/>
            </a:ext>
          </a:extLst>
        </xdr:cNvPr>
        <xdr:cNvSpPr txBox="1"/>
      </xdr:nvSpPr>
      <xdr:spPr>
        <a:xfrm>
          <a:off x="74710290" y="182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05" name="TextBox 104">
          <a:extLst>
            <a:ext uri="{FF2B5EF4-FFF2-40B4-BE49-F238E27FC236}">
              <a16:creationId xmlns:a16="http://schemas.microsoft.com/office/drawing/2014/main" id="{7E4E8D28-3103-4F3A-B203-494A4887EDE7}"/>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06" name="TextBox 105">
          <a:extLst>
            <a:ext uri="{FF2B5EF4-FFF2-40B4-BE49-F238E27FC236}">
              <a16:creationId xmlns:a16="http://schemas.microsoft.com/office/drawing/2014/main" id="{5FDBEC61-27B5-4AB0-AE3A-F1BE5AB2CDFE}"/>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07" name="TextBox 106">
          <a:extLst>
            <a:ext uri="{FF2B5EF4-FFF2-40B4-BE49-F238E27FC236}">
              <a16:creationId xmlns:a16="http://schemas.microsoft.com/office/drawing/2014/main" id="{FCECCDF5-1BF6-41C0-8B30-EDB76B051558}"/>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08" name="TextBox 107">
          <a:extLst>
            <a:ext uri="{FF2B5EF4-FFF2-40B4-BE49-F238E27FC236}">
              <a16:creationId xmlns:a16="http://schemas.microsoft.com/office/drawing/2014/main" id="{823D70BB-E74D-4448-815C-E94AEBAB5BC5}"/>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09" name="TextBox 108">
          <a:extLst>
            <a:ext uri="{FF2B5EF4-FFF2-40B4-BE49-F238E27FC236}">
              <a16:creationId xmlns:a16="http://schemas.microsoft.com/office/drawing/2014/main" id="{075E7740-8F2A-4057-83CE-E81A15D4C56E}"/>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110" name="TextBox 109">
          <a:extLst>
            <a:ext uri="{FF2B5EF4-FFF2-40B4-BE49-F238E27FC236}">
              <a16:creationId xmlns:a16="http://schemas.microsoft.com/office/drawing/2014/main" id="{FD7AAF72-9B9E-4E71-9ADC-9B8CF6899B85}"/>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111" name="TextBox 110">
          <a:extLst>
            <a:ext uri="{FF2B5EF4-FFF2-40B4-BE49-F238E27FC236}">
              <a16:creationId xmlns:a16="http://schemas.microsoft.com/office/drawing/2014/main" id="{C547D9C1-3BD5-4CF3-BC13-10C66E6FC710}"/>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112" name="TextBox 111">
          <a:extLst>
            <a:ext uri="{FF2B5EF4-FFF2-40B4-BE49-F238E27FC236}">
              <a16:creationId xmlns:a16="http://schemas.microsoft.com/office/drawing/2014/main" id="{96705F80-9914-4C3F-8B84-BB54CA93FCAC}"/>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113" name="TextBox 112">
          <a:extLst>
            <a:ext uri="{FF2B5EF4-FFF2-40B4-BE49-F238E27FC236}">
              <a16:creationId xmlns:a16="http://schemas.microsoft.com/office/drawing/2014/main" id="{0A58ADA1-5435-4DF3-BF03-146CB81390A8}"/>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59</xdr:row>
      <xdr:rowOff>0</xdr:rowOff>
    </xdr:from>
    <xdr:ext cx="184731" cy="264560"/>
    <xdr:sp macro="" textlink="">
      <xdr:nvSpPr>
        <xdr:cNvPr id="114" name="TextBox 113">
          <a:extLst>
            <a:ext uri="{FF2B5EF4-FFF2-40B4-BE49-F238E27FC236}">
              <a16:creationId xmlns:a16="http://schemas.microsoft.com/office/drawing/2014/main" id="{3CF29669-1709-47A2-A784-26E280F40C27}"/>
            </a:ext>
          </a:extLst>
        </xdr:cNvPr>
        <xdr:cNvSpPr txBox="1"/>
      </xdr:nvSpPr>
      <xdr:spPr>
        <a:xfrm>
          <a:off x="74710290" y="112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15" name="TextBox 114">
          <a:extLst>
            <a:ext uri="{FF2B5EF4-FFF2-40B4-BE49-F238E27FC236}">
              <a16:creationId xmlns:a16="http://schemas.microsoft.com/office/drawing/2014/main" id="{02BA39F1-50AB-495C-843A-83A81CFEDB56}"/>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16" name="TextBox 115">
          <a:extLst>
            <a:ext uri="{FF2B5EF4-FFF2-40B4-BE49-F238E27FC236}">
              <a16:creationId xmlns:a16="http://schemas.microsoft.com/office/drawing/2014/main" id="{AAFA1540-C6A4-4D43-9376-D266F256D118}"/>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117" name="TextBox 116">
          <a:extLst>
            <a:ext uri="{FF2B5EF4-FFF2-40B4-BE49-F238E27FC236}">
              <a16:creationId xmlns:a16="http://schemas.microsoft.com/office/drawing/2014/main" id="{3EA622CE-111B-47D7-B544-0880ABD32D1F}"/>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118" name="TextBox 117">
          <a:extLst>
            <a:ext uri="{FF2B5EF4-FFF2-40B4-BE49-F238E27FC236}">
              <a16:creationId xmlns:a16="http://schemas.microsoft.com/office/drawing/2014/main" id="{5A26E361-2B95-4537-9FDE-CEF8A88299A8}"/>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115</xdr:col>
      <xdr:colOff>0</xdr:colOff>
      <xdr:row>17</xdr:row>
      <xdr:rowOff>9525</xdr:rowOff>
    </xdr:from>
    <xdr:to>
      <xdr:col>115</xdr:col>
      <xdr:colOff>0</xdr:colOff>
      <xdr:row>26</xdr:row>
      <xdr:rowOff>104775</xdr:rowOff>
    </xdr:to>
    <xdr:sp macro="" textlink="">
      <xdr:nvSpPr>
        <xdr:cNvPr id="119" name="Text Box 1">
          <a:extLst>
            <a:ext uri="{FF2B5EF4-FFF2-40B4-BE49-F238E27FC236}">
              <a16:creationId xmlns:a16="http://schemas.microsoft.com/office/drawing/2014/main" id="{45A5BDA2-4DAF-4938-82E8-42B9EEC407B2}"/>
            </a:ext>
          </a:extLst>
        </xdr:cNvPr>
        <xdr:cNvSpPr txBox="1">
          <a:spLocks noChangeArrowheads="1"/>
        </xdr:cNvSpPr>
      </xdr:nvSpPr>
      <xdr:spPr bwMode="auto">
        <a:xfrm>
          <a:off x="88258650" y="3238500"/>
          <a:ext cx="0" cy="1809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115</xdr:col>
      <xdr:colOff>0</xdr:colOff>
      <xdr:row>13</xdr:row>
      <xdr:rowOff>0</xdr:rowOff>
    </xdr:from>
    <xdr:to>
      <xdr:col>115</xdr:col>
      <xdr:colOff>0</xdr:colOff>
      <xdr:row>17</xdr:row>
      <xdr:rowOff>66675</xdr:rowOff>
    </xdr:to>
    <xdr:sp macro="" textlink="">
      <xdr:nvSpPr>
        <xdr:cNvPr id="120" name="Text Box 2">
          <a:extLst>
            <a:ext uri="{FF2B5EF4-FFF2-40B4-BE49-F238E27FC236}">
              <a16:creationId xmlns:a16="http://schemas.microsoft.com/office/drawing/2014/main" id="{5E264B0A-BC47-47E3-817B-401EBB4A6403}"/>
            </a:ext>
          </a:extLst>
        </xdr:cNvPr>
        <xdr:cNvSpPr txBox="1">
          <a:spLocks noChangeArrowheads="1"/>
        </xdr:cNvSpPr>
      </xdr:nvSpPr>
      <xdr:spPr bwMode="auto">
        <a:xfrm>
          <a:off x="88258650" y="24669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115</xdr:col>
      <xdr:colOff>0</xdr:colOff>
      <xdr:row>13</xdr:row>
      <xdr:rowOff>167640</xdr:rowOff>
    </xdr:from>
    <xdr:to>
      <xdr:col>115</xdr:col>
      <xdr:colOff>0</xdr:colOff>
      <xdr:row>16</xdr:row>
      <xdr:rowOff>93445</xdr:rowOff>
    </xdr:to>
    <xdr:sp macro="" textlink="">
      <xdr:nvSpPr>
        <xdr:cNvPr id="121" name="Text Box 3">
          <a:extLst>
            <a:ext uri="{FF2B5EF4-FFF2-40B4-BE49-F238E27FC236}">
              <a16:creationId xmlns:a16="http://schemas.microsoft.com/office/drawing/2014/main" id="{8581AA9F-E354-4CF9-B5E9-57D871715033}"/>
            </a:ext>
          </a:extLst>
        </xdr:cNvPr>
        <xdr:cNvSpPr txBox="1">
          <a:spLocks noChangeArrowheads="1"/>
        </xdr:cNvSpPr>
      </xdr:nvSpPr>
      <xdr:spPr bwMode="auto">
        <a:xfrm>
          <a:off x="88258650" y="2634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115</xdr:col>
      <xdr:colOff>0</xdr:colOff>
      <xdr:row>20</xdr:row>
      <xdr:rowOff>0</xdr:rowOff>
    </xdr:from>
    <xdr:to>
      <xdr:col>115</xdr:col>
      <xdr:colOff>0</xdr:colOff>
      <xdr:row>22</xdr:row>
      <xdr:rowOff>0</xdr:rowOff>
    </xdr:to>
    <xdr:sp macro="" textlink="">
      <xdr:nvSpPr>
        <xdr:cNvPr id="122" name="Text Box 4">
          <a:extLst>
            <a:ext uri="{FF2B5EF4-FFF2-40B4-BE49-F238E27FC236}">
              <a16:creationId xmlns:a16="http://schemas.microsoft.com/office/drawing/2014/main" id="{A9658866-1184-4FDC-AEB9-AB7EE2C29385}"/>
            </a:ext>
          </a:extLst>
        </xdr:cNvPr>
        <xdr:cNvSpPr txBox="1">
          <a:spLocks noChangeArrowheads="1"/>
        </xdr:cNvSpPr>
      </xdr:nvSpPr>
      <xdr:spPr bwMode="auto">
        <a:xfrm>
          <a:off x="88258650" y="38004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28</xdr:row>
      <xdr:rowOff>38100</xdr:rowOff>
    </xdr:from>
    <xdr:to>
      <xdr:col>115</xdr:col>
      <xdr:colOff>0</xdr:colOff>
      <xdr:row>30</xdr:row>
      <xdr:rowOff>38100</xdr:rowOff>
    </xdr:to>
    <xdr:sp macro="" textlink="">
      <xdr:nvSpPr>
        <xdr:cNvPr id="123" name="Text Box 5">
          <a:extLst>
            <a:ext uri="{FF2B5EF4-FFF2-40B4-BE49-F238E27FC236}">
              <a16:creationId xmlns:a16="http://schemas.microsoft.com/office/drawing/2014/main" id="{6558408F-30F9-4635-ACE6-B28AD2A9C07E}"/>
            </a:ext>
          </a:extLst>
        </xdr:cNvPr>
        <xdr:cNvSpPr txBox="1">
          <a:spLocks noChangeArrowheads="1"/>
        </xdr:cNvSpPr>
      </xdr:nvSpPr>
      <xdr:spPr bwMode="auto">
        <a:xfrm>
          <a:off x="88258650" y="5362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115</xdr:col>
      <xdr:colOff>0</xdr:colOff>
      <xdr:row>13</xdr:row>
      <xdr:rowOff>55245</xdr:rowOff>
    </xdr:from>
    <xdr:to>
      <xdr:col>115</xdr:col>
      <xdr:colOff>0</xdr:colOff>
      <xdr:row>15</xdr:row>
      <xdr:rowOff>47625</xdr:rowOff>
    </xdr:to>
    <xdr:sp macro="" textlink="">
      <xdr:nvSpPr>
        <xdr:cNvPr id="124" name="Text Box 7">
          <a:extLst>
            <a:ext uri="{FF2B5EF4-FFF2-40B4-BE49-F238E27FC236}">
              <a16:creationId xmlns:a16="http://schemas.microsoft.com/office/drawing/2014/main" id="{F61DF6FA-A8A2-4A3A-A4FB-0C4C16465786}"/>
            </a:ext>
          </a:extLst>
        </xdr:cNvPr>
        <xdr:cNvSpPr txBox="1">
          <a:spLocks noChangeArrowheads="1"/>
        </xdr:cNvSpPr>
      </xdr:nvSpPr>
      <xdr:spPr bwMode="auto">
        <a:xfrm>
          <a:off x="88258650" y="25222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11</xdr:row>
      <xdr:rowOff>167640</xdr:rowOff>
    </xdr:from>
    <xdr:to>
      <xdr:col>115</xdr:col>
      <xdr:colOff>0</xdr:colOff>
      <xdr:row>14</xdr:row>
      <xdr:rowOff>131418</xdr:rowOff>
    </xdr:to>
    <xdr:sp macro="" textlink="">
      <xdr:nvSpPr>
        <xdr:cNvPr id="125" name="Text Box 8">
          <a:extLst>
            <a:ext uri="{FF2B5EF4-FFF2-40B4-BE49-F238E27FC236}">
              <a16:creationId xmlns:a16="http://schemas.microsoft.com/office/drawing/2014/main" id="{21A240D0-E8FC-469B-BB2C-AD7CD03E9005}"/>
            </a:ext>
          </a:extLst>
        </xdr:cNvPr>
        <xdr:cNvSpPr txBox="1">
          <a:spLocks noChangeArrowheads="1"/>
        </xdr:cNvSpPr>
      </xdr:nvSpPr>
      <xdr:spPr bwMode="auto">
        <a:xfrm>
          <a:off x="88258650" y="2253615"/>
          <a:ext cx="0" cy="535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115</xdr:col>
      <xdr:colOff>0</xdr:colOff>
      <xdr:row>7</xdr:row>
      <xdr:rowOff>104775</xdr:rowOff>
    </xdr:from>
    <xdr:to>
      <xdr:col>115</xdr:col>
      <xdr:colOff>0</xdr:colOff>
      <xdr:row>9</xdr:row>
      <xdr:rowOff>121962</xdr:rowOff>
    </xdr:to>
    <xdr:sp macro="" textlink="">
      <xdr:nvSpPr>
        <xdr:cNvPr id="126" name="Text Box 9">
          <a:extLst>
            <a:ext uri="{FF2B5EF4-FFF2-40B4-BE49-F238E27FC236}">
              <a16:creationId xmlns:a16="http://schemas.microsoft.com/office/drawing/2014/main" id="{6ACB8BB0-CD77-4353-AADF-EB5168920607}"/>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115</xdr:col>
      <xdr:colOff>0</xdr:colOff>
      <xdr:row>18</xdr:row>
      <xdr:rowOff>76200</xdr:rowOff>
    </xdr:from>
    <xdr:to>
      <xdr:col>115</xdr:col>
      <xdr:colOff>0</xdr:colOff>
      <xdr:row>20</xdr:row>
      <xdr:rowOff>104775</xdr:rowOff>
    </xdr:to>
    <xdr:sp macro="" textlink="">
      <xdr:nvSpPr>
        <xdr:cNvPr id="127" name="Text Box 10">
          <a:extLst>
            <a:ext uri="{FF2B5EF4-FFF2-40B4-BE49-F238E27FC236}">
              <a16:creationId xmlns:a16="http://schemas.microsoft.com/office/drawing/2014/main" id="{D82C91E0-96B5-407A-B93A-6EB4026347E0}"/>
            </a:ext>
          </a:extLst>
        </xdr:cNvPr>
        <xdr:cNvSpPr txBox="1">
          <a:spLocks noChangeArrowheads="1"/>
        </xdr:cNvSpPr>
      </xdr:nvSpPr>
      <xdr:spPr bwMode="auto">
        <a:xfrm>
          <a:off x="88258650" y="3495675"/>
          <a:ext cx="0" cy="409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115</xdr:col>
      <xdr:colOff>0</xdr:colOff>
      <xdr:row>17</xdr:row>
      <xdr:rowOff>160020</xdr:rowOff>
    </xdr:from>
    <xdr:to>
      <xdr:col>115</xdr:col>
      <xdr:colOff>0</xdr:colOff>
      <xdr:row>20</xdr:row>
      <xdr:rowOff>19104</xdr:rowOff>
    </xdr:to>
    <xdr:sp macro="" textlink="">
      <xdr:nvSpPr>
        <xdr:cNvPr id="128" name="Text Box 11">
          <a:extLst>
            <a:ext uri="{FF2B5EF4-FFF2-40B4-BE49-F238E27FC236}">
              <a16:creationId xmlns:a16="http://schemas.microsoft.com/office/drawing/2014/main" id="{3D1D8DA8-010F-4944-9C3D-8EF5152D215A}"/>
            </a:ext>
          </a:extLst>
        </xdr:cNvPr>
        <xdr:cNvSpPr txBox="1">
          <a:spLocks noChangeArrowheads="1"/>
        </xdr:cNvSpPr>
      </xdr:nvSpPr>
      <xdr:spPr bwMode="auto">
        <a:xfrm>
          <a:off x="88258650" y="3388995"/>
          <a:ext cx="0" cy="430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115</xdr:col>
      <xdr:colOff>0</xdr:colOff>
      <xdr:row>18</xdr:row>
      <xdr:rowOff>9525</xdr:rowOff>
    </xdr:from>
    <xdr:to>
      <xdr:col>115</xdr:col>
      <xdr:colOff>0</xdr:colOff>
      <xdr:row>29</xdr:row>
      <xdr:rowOff>104775</xdr:rowOff>
    </xdr:to>
    <xdr:sp macro="" textlink="">
      <xdr:nvSpPr>
        <xdr:cNvPr id="129" name="Text Box 1">
          <a:extLst>
            <a:ext uri="{FF2B5EF4-FFF2-40B4-BE49-F238E27FC236}">
              <a16:creationId xmlns:a16="http://schemas.microsoft.com/office/drawing/2014/main" id="{DE3777B5-69FC-4200-AAB7-19DC5E53C4A3}"/>
            </a:ext>
          </a:extLst>
        </xdr:cNvPr>
        <xdr:cNvSpPr txBox="1">
          <a:spLocks noChangeArrowheads="1"/>
        </xdr:cNvSpPr>
      </xdr:nvSpPr>
      <xdr:spPr bwMode="auto">
        <a:xfrm>
          <a:off x="88258650" y="3429000"/>
          <a:ext cx="0" cy="2190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115</xdr:col>
      <xdr:colOff>0</xdr:colOff>
      <xdr:row>14</xdr:row>
      <xdr:rowOff>0</xdr:rowOff>
    </xdr:from>
    <xdr:to>
      <xdr:col>115</xdr:col>
      <xdr:colOff>0</xdr:colOff>
      <xdr:row>18</xdr:row>
      <xdr:rowOff>66675</xdr:rowOff>
    </xdr:to>
    <xdr:sp macro="" textlink="">
      <xdr:nvSpPr>
        <xdr:cNvPr id="130" name="Text Box 2">
          <a:extLst>
            <a:ext uri="{FF2B5EF4-FFF2-40B4-BE49-F238E27FC236}">
              <a16:creationId xmlns:a16="http://schemas.microsoft.com/office/drawing/2014/main" id="{3296700B-B16F-4E84-A0A0-7D27489E77FE}"/>
            </a:ext>
          </a:extLst>
        </xdr:cNvPr>
        <xdr:cNvSpPr txBox="1">
          <a:spLocks noChangeArrowheads="1"/>
        </xdr:cNvSpPr>
      </xdr:nvSpPr>
      <xdr:spPr bwMode="auto">
        <a:xfrm>
          <a:off x="88258650" y="26574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115</xdr:col>
      <xdr:colOff>0</xdr:colOff>
      <xdr:row>14</xdr:row>
      <xdr:rowOff>167640</xdr:rowOff>
    </xdr:from>
    <xdr:to>
      <xdr:col>115</xdr:col>
      <xdr:colOff>0</xdr:colOff>
      <xdr:row>17</xdr:row>
      <xdr:rowOff>93445</xdr:rowOff>
    </xdr:to>
    <xdr:sp macro="" textlink="">
      <xdr:nvSpPr>
        <xdr:cNvPr id="131" name="Text Box 3">
          <a:extLst>
            <a:ext uri="{FF2B5EF4-FFF2-40B4-BE49-F238E27FC236}">
              <a16:creationId xmlns:a16="http://schemas.microsoft.com/office/drawing/2014/main" id="{BA4744CB-CACA-4463-9070-55D0382FCDC0}"/>
            </a:ext>
          </a:extLst>
        </xdr:cNvPr>
        <xdr:cNvSpPr txBox="1">
          <a:spLocks noChangeArrowheads="1"/>
        </xdr:cNvSpPr>
      </xdr:nvSpPr>
      <xdr:spPr bwMode="auto">
        <a:xfrm>
          <a:off x="88258650" y="2825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115</xdr:col>
      <xdr:colOff>0</xdr:colOff>
      <xdr:row>23</xdr:row>
      <xdr:rowOff>0</xdr:rowOff>
    </xdr:from>
    <xdr:to>
      <xdr:col>115</xdr:col>
      <xdr:colOff>0</xdr:colOff>
      <xdr:row>25</xdr:row>
      <xdr:rowOff>0</xdr:rowOff>
    </xdr:to>
    <xdr:sp macro="" textlink="">
      <xdr:nvSpPr>
        <xdr:cNvPr id="132" name="Text Box 4">
          <a:extLst>
            <a:ext uri="{FF2B5EF4-FFF2-40B4-BE49-F238E27FC236}">
              <a16:creationId xmlns:a16="http://schemas.microsoft.com/office/drawing/2014/main" id="{75D3BDF2-0CDA-455E-A8CF-904DBF0E9102}"/>
            </a:ext>
          </a:extLst>
        </xdr:cNvPr>
        <xdr:cNvSpPr txBox="1">
          <a:spLocks noChangeArrowheads="1"/>
        </xdr:cNvSpPr>
      </xdr:nvSpPr>
      <xdr:spPr bwMode="auto">
        <a:xfrm>
          <a:off x="88258650" y="43719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32</xdr:row>
      <xdr:rowOff>38100</xdr:rowOff>
    </xdr:from>
    <xdr:to>
      <xdr:col>115</xdr:col>
      <xdr:colOff>0</xdr:colOff>
      <xdr:row>34</xdr:row>
      <xdr:rowOff>38100</xdr:rowOff>
    </xdr:to>
    <xdr:sp macro="" textlink="">
      <xdr:nvSpPr>
        <xdr:cNvPr id="133" name="Text Box 5">
          <a:extLst>
            <a:ext uri="{FF2B5EF4-FFF2-40B4-BE49-F238E27FC236}">
              <a16:creationId xmlns:a16="http://schemas.microsoft.com/office/drawing/2014/main" id="{5505AC2B-9F65-4348-B4B3-126FF9CB1B64}"/>
            </a:ext>
          </a:extLst>
        </xdr:cNvPr>
        <xdr:cNvSpPr txBox="1">
          <a:spLocks noChangeArrowheads="1"/>
        </xdr:cNvSpPr>
      </xdr:nvSpPr>
      <xdr:spPr bwMode="auto">
        <a:xfrm>
          <a:off x="88258650" y="6124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115</xdr:col>
      <xdr:colOff>0</xdr:colOff>
      <xdr:row>14</xdr:row>
      <xdr:rowOff>55245</xdr:rowOff>
    </xdr:from>
    <xdr:to>
      <xdr:col>115</xdr:col>
      <xdr:colOff>0</xdr:colOff>
      <xdr:row>16</xdr:row>
      <xdr:rowOff>47625</xdr:rowOff>
    </xdr:to>
    <xdr:sp macro="" textlink="">
      <xdr:nvSpPr>
        <xdr:cNvPr id="134" name="Text Box 7">
          <a:extLst>
            <a:ext uri="{FF2B5EF4-FFF2-40B4-BE49-F238E27FC236}">
              <a16:creationId xmlns:a16="http://schemas.microsoft.com/office/drawing/2014/main" id="{D7A0A933-D966-4B7F-8F7D-AD6D3C85FCBA}"/>
            </a:ext>
          </a:extLst>
        </xdr:cNvPr>
        <xdr:cNvSpPr txBox="1">
          <a:spLocks noChangeArrowheads="1"/>
        </xdr:cNvSpPr>
      </xdr:nvSpPr>
      <xdr:spPr bwMode="auto">
        <a:xfrm>
          <a:off x="88258650" y="2712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115</xdr:col>
      <xdr:colOff>0</xdr:colOff>
      <xdr:row>11</xdr:row>
      <xdr:rowOff>167640</xdr:rowOff>
    </xdr:from>
    <xdr:to>
      <xdr:col>115</xdr:col>
      <xdr:colOff>0</xdr:colOff>
      <xdr:row>15</xdr:row>
      <xdr:rowOff>131418</xdr:rowOff>
    </xdr:to>
    <xdr:sp macro="" textlink="">
      <xdr:nvSpPr>
        <xdr:cNvPr id="135" name="Text Box 8">
          <a:extLst>
            <a:ext uri="{FF2B5EF4-FFF2-40B4-BE49-F238E27FC236}">
              <a16:creationId xmlns:a16="http://schemas.microsoft.com/office/drawing/2014/main" id="{69F8B9FE-A36C-4CE1-BD57-B327F3564A6A}"/>
            </a:ext>
          </a:extLst>
        </xdr:cNvPr>
        <xdr:cNvSpPr txBox="1">
          <a:spLocks noChangeArrowheads="1"/>
        </xdr:cNvSpPr>
      </xdr:nvSpPr>
      <xdr:spPr bwMode="auto">
        <a:xfrm>
          <a:off x="88258650" y="2253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115</xdr:col>
      <xdr:colOff>0</xdr:colOff>
      <xdr:row>7</xdr:row>
      <xdr:rowOff>104775</xdr:rowOff>
    </xdr:from>
    <xdr:to>
      <xdr:col>115</xdr:col>
      <xdr:colOff>0</xdr:colOff>
      <xdr:row>9</xdr:row>
      <xdr:rowOff>121962</xdr:rowOff>
    </xdr:to>
    <xdr:sp macro="" textlink="">
      <xdr:nvSpPr>
        <xdr:cNvPr id="136" name="Text Box 9">
          <a:extLst>
            <a:ext uri="{FF2B5EF4-FFF2-40B4-BE49-F238E27FC236}">
              <a16:creationId xmlns:a16="http://schemas.microsoft.com/office/drawing/2014/main" id="{3EACCF81-9A03-4402-9CFA-FA7DB97CBFC4}"/>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115</xdr:col>
      <xdr:colOff>0</xdr:colOff>
      <xdr:row>19</xdr:row>
      <xdr:rowOff>76200</xdr:rowOff>
    </xdr:from>
    <xdr:to>
      <xdr:col>115</xdr:col>
      <xdr:colOff>0</xdr:colOff>
      <xdr:row>23</xdr:row>
      <xdr:rowOff>104775</xdr:rowOff>
    </xdr:to>
    <xdr:sp macro="" textlink="">
      <xdr:nvSpPr>
        <xdr:cNvPr id="137" name="Text Box 10">
          <a:extLst>
            <a:ext uri="{FF2B5EF4-FFF2-40B4-BE49-F238E27FC236}">
              <a16:creationId xmlns:a16="http://schemas.microsoft.com/office/drawing/2014/main" id="{626A8A51-3EE5-41E5-810E-87BB22CA826E}"/>
            </a:ext>
          </a:extLst>
        </xdr:cNvPr>
        <xdr:cNvSpPr txBox="1">
          <a:spLocks noChangeArrowheads="1"/>
        </xdr:cNvSpPr>
      </xdr:nvSpPr>
      <xdr:spPr bwMode="auto">
        <a:xfrm>
          <a:off x="88258650" y="3686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115</xdr:col>
      <xdr:colOff>0</xdr:colOff>
      <xdr:row>18</xdr:row>
      <xdr:rowOff>160020</xdr:rowOff>
    </xdr:from>
    <xdr:to>
      <xdr:col>115</xdr:col>
      <xdr:colOff>0</xdr:colOff>
      <xdr:row>23</xdr:row>
      <xdr:rowOff>19104</xdr:rowOff>
    </xdr:to>
    <xdr:sp macro="" textlink="">
      <xdr:nvSpPr>
        <xdr:cNvPr id="138" name="Text Box 11">
          <a:extLst>
            <a:ext uri="{FF2B5EF4-FFF2-40B4-BE49-F238E27FC236}">
              <a16:creationId xmlns:a16="http://schemas.microsoft.com/office/drawing/2014/main" id="{71986E0C-5463-4253-B00F-B464F8E5074A}"/>
            </a:ext>
          </a:extLst>
        </xdr:cNvPr>
        <xdr:cNvSpPr txBox="1">
          <a:spLocks noChangeArrowheads="1"/>
        </xdr:cNvSpPr>
      </xdr:nvSpPr>
      <xdr:spPr bwMode="auto">
        <a:xfrm>
          <a:off x="88258650" y="3579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103</xdr:col>
      <xdr:colOff>0</xdr:colOff>
      <xdr:row>18</xdr:row>
      <xdr:rowOff>9525</xdr:rowOff>
    </xdr:from>
    <xdr:to>
      <xdr:col>103</xdr:col>
      <xdr:colOff>0</xdr:colOff>
      <xdr:row>29</xdr:row>
      <xdr:rowOff>104775</xdr:rowOff>
    </xdr:to>
    <xdr:sp macro="" textlink="">
      <xdr:nvSpPr>
        <xdr:cNvPr id="139" name="Text Box 1">
          <a:extLst>
            <a:ext uri="{FF2B5EF4-FFF2-40B4-BE49-F238E27FC236}">
              <a16:creationId xmlns:a16="http://schemas.microsoft.com/office/drawing/2014/main" id="{595609E0-1DA4-4A1E-879B-9BA473DE8AF6}"/>
            </a:ext>
          </a:extLst>
        </xdr:cNvPr>
        <xdr:cNvSpPr txBox="1">
          <a:spLocks noChangeArrowheads="1"/>
        </xdr:cNvSpPr>
      </xdr:nvSpPr>
      <xdr:spPr bwMode="auto">
        <a:xfrm>
          <a:off x="88258650" y="3429000"/>
          <a:ext cx="0" cy="21907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103</xdr:col>
      <xdr:colOff>0</xdr:colOff>
      <xdr:row>14</xdr:row>
      <xdr:rowOff>0</xdr:rowOff>
    </xdr:from>
    <xdr:to>
      <xdr:col>103</xdr:col>
      <xdr:colOff>0</xdr:colOff>
      <xdr:row>18</xdr:row>
      <xdr:rowOff>66675</xdr:rowOff>
    </xdr:to>
    <xdr:sp macro="" textlink="">
      <xdr:nvSpPr>
        <xdr:cNvPr id="140" name="Text Box 2">
          <a:extLst>
            <a:ext uri="{FF2B5EF4-FFF2-40B4-BE49-F238E27FC236}">
              <a16:creationId xmlns:a16="http://schemas.microsoft.com/office/drawing/2014/main" id="{DABC29CD-B50F-4664-96FF-0CCEE702B785}"/>
            </a:ext>
          </a:extLst>
        </xdr:cNvPr>
        <xdr:cNvSpPr txBox="1">
          <a:spLocks noChangeArrowheads="1"/>
        </xdr:cNvSpPr>
      </xdr:nvSpPr>
      <xdr:spPr bwMode="auto">
        <a:xfrm>
          <a:off x="88258650" y="26574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103</xdr:col>
      <xdr:colOff>0</xdr:colOff>
      <xdr:row>14</xdr:row>
      <xdr:rowOff>167640</xdr:rowOff>
    </xdr:from>
    <xdr:to>
      <xdr:col>103</xdr:col>
      <xdr:colOff>0</xdr:colOff>
      <xdr:row>17</xdr:row>
      <xdr:rowOff>93445</xdr:rowOff>
    </xdr:to>
    <xdr:sp macro="" textlink="">
      <xdr:nvSpPr>
        <xdr:cNvPr id="141" name="Text Box 3">
          <a:extLst>
            <a:ext uri="{FF2B5EF4-FFF2-40B4-BE49-F238E27FC236}">
              <a16:creationId xmlns:a16="http://schemas.microsoft.com/office/drawing/2014/main" id="{FEB830CF-1995-4026-A9E0-00FB2DB2F7B0}"/>
            </a:ext>
          </a:extLst>
        </xdr:cNvPr>
        <xdr:cNvSpPr txBox="1">
          <a:spLocks noChangeArrowheads="1"/>
        </xdr:cNvSpPr>
      </xdr:nvSpPr>
      <xdr:spPr bwMode="auto">
        <a:xfrm>
          <a:off x="88258650" y="2825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103</xdr:col>
      <xdr:colOff>0</xdr:colOff>
      <xdr:row>23</xdr:row>
      <xdr:rowOff>0</xdr:rowOff>
    </xdr:from>
    <xdr:to>
      <xdr:col>103</xdr:col>
      <xdr:colOff>0</xdr:colOff>
      <xdr:row>25</xdr:row>
      <xdr:rowOff>0</xdr:rowOff>
    </xdr:to>
    <xdr:sp macro="" textlink="">
      <xdr:nvSpPr>
        <xdr:cNvPr id="142" name="Text Box 4">
          <a:extLst>
            <a:ext uri="{FF2B5EF4-FFF2-40B4-BE49-F238E27FC236}">
              <a16:creationId xmlns:a16="http://schemas.microsoft.com/office/drawing/2014/main" id="{FCEDF2A7-8B22-4571-91C3-00407A0BDD00}"/>
            </a:ext>
          </a:extLst>
        </xdr:cNvPr>
        <xdr:cNvSpPr txBox="1">
          <a:spLocks noChangeArrowheads="1"/>
        </xdr:cNvSpPr>
      </xdr:nvSpPr>
      <xdr:spPr bwMode="auto">
        <a:xfrm>
          <a:off x="88258650" y="43719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32</xdr:row>
      <xdr:rowOff>38100</xdr:rowOff>
    </xdr:from>
    <xdr:to>
      <xdr:col>103</xdr:col>
      <xdr:colOff>0</xdr:colOff>
      <xdr:row>34</xdr:row>
      <xdr:rowOff>38100</xdr:rowOff>
    </xdr:to>
    <xdr:sp macro="" textlink="">
      <xdr:nvSpPr>
        <xdr:cNvPr id="143" name="Text Box 5">
          <a:extLst>
            <a:ext uri="{FF2B5EF4-FFF2-40B4-BE49-F238E27FC236}">
              <a16:creationId xmlns:a16="http://schemas.microsoft.com/office/drawing/2014/main" id="{03E291DB-75F9-4BF9-8F5D-09AEE5A0D0F7}"/>
            </a:ext>
          </a:extLst>
        </xdr:cNvPr>
        <xdr:cNvSpPr txBox="1">
          <a:spLocks noChangeArrowheads="1"/>
        </xdr:cNvSpPr>
      </xdr:nvSpPr>
      <xdr:spPr bwMode="auto">
        <a:xfrm>
          <a:off x="88258650" y="6124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103</xdr:col>
      <xdr:colOff>0</xdr:colOff>
      <xdr:row>14</xdr:row>
      <xdr:rowOff>55245</xdr:rowOff>
    </xdr:from>
    <xdr:to>
      <xdr:col>103</xdr:col>
      <xdr:colOff>0</xdr:colOff>
      <xdr:row>16</xdr:row>
      <xdr:rowOff>47625</xdr:rowOff>
    </xdr:to>
    <xdr:sp macro="" textlink="">
      <xdr:nvSpPr>
        <xdr:cNvPr id="144" name="Text Box 7">
          <a:extLst>
            <a:ext uri="{FF2B5EF4-FFF2-40B4-BE49-F238E27FC236}">
              <a16:creationId xmlns:a16="http://schemas.microsoft.com/office/drawing/2014/main" id="{AC9ED22B-835B-4FC6-A4A5-2695C7040FC3}"/>
            </a:ext>
          </a:extLst>
        </xdr:cNvPr>
        <xdr:cNvSpPr txBox="1">
          <a:spLocks noChangeArrowheads="1"/>
        </xdr:cNvSpPr>
      </xdr:nvSpPr>
      <xdr:spPr bwMode="auto">
        <a:xfrm>
          <a:off x="88258650" y="2712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103</xdr:col>
      <xdr:colOff>0</xdr:colOff>
      <xdr:row>11</xdr:row>
      <xdr:rowOff>167640</xdr:rowOff>
    </xdr:from>
    <xdr:to>
      <xdr:col>103</xdr:col>
      <xdr:colOff>0</xdr:colOff>
      <xdr:row>15</xdr:row>
      <xdr:rowOff>131418</xdr:rowOff>
    </xdr:to>
    <xdr:sp macro="" textlink="">
      <xdr:nvSpPr>
        <xdr:cNvPr id="145" name="Text Box 8">
          <a:extLst>
            <a:ext uri="{FF2B5EF4-FFF2-40B4-BE49-F238E27FC236}">
              <a16:creationId xmlns:a16="http://schemas.microsoft.com/office/drawing/2014/main" id="{B6A09C8D-1AB3-4F75-B172-45973685CEEC}"/>
            </a:ext>
          </a:extLst>
        </xdr:cNvPr>
        <xdr:cNvSpPr txBox="1">
          <a:spLocks noChangeArrowheads="1"/>
        </xdr:cNvSpPr>
      </xdr:nvSpPr>
      <xdr:spPr bwMode="auto">
        <a:xfrm>
          <a:off x="88258650" y="2253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103</xdr:col>
      <xdr:colOff>0</xdr:colOff>
      <xdr:row>7</xdr:row>
      <xdr:rowOff>104775</xdr:rowOff>
    </xdr:from>
    <xdr:to>
      <xdr:col>103</xdr:col>
      <xdr:colOff>0</xdr:colOff>
      <xdr:row>9</xdr:row>
      <xdr:rowOff>121962</xdr:rowOff>
    </xdr:to>
    <xdr:sp macro="" textlink="">
      <xdr:nvSpPr>
        <xdr:cNvPr id="146" name="Text Box 9">
          <a:extLst>
            <a:ext uri="{FF2B5EF4-FFF2-40B4-BE49-F238E27FC236}">
              <a16:creationId xmlns:a16="http://schemas.microsoft.com/office/drawing/2014/main" id="{A80681DC-D690-478A-9E63-99AEE2A3C546}"/>
            </a:ext>
          </a:extLst>
        </xdr:cNvPr>
        <xdr:cNvSpPr txBox="1">
          <a:spLocks noChangeArrowheads="1"/>
        </xdr:cNvSpPr>
      </xdr:nvSpPr>
      <xdr:spPr bwMode="auto">
        <a:xfrm>
          <a:off x="88258650" y="1428750"/>
          <a:ext cx="0" cy="3981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103</xdr:col>
      <xdr:colOff>0</xdr:colOff>
      <xdr:row>19</xdr:row>
      <xdr:rowOff>76200</xdr:rowOff>
    </xdr:from>
    <xdr:to>
      <xdr:col>103</xdr:col>
      <xdr:colOff>0</xdr:colOff>
      <xdr:row>23</xdr:row>
      <xdr:rowOff>104775</xdr:rowOff>
    </xdr:to>
    <xdr:sp macro="" textlink="">
      <xdr:nvSpPr>
        <xdr:cNvPr id="147" name="Text Box 10">
          <a:extLst>
            <a:ext uri="{FF2B5EF4-FFF2-40B4-BE49-F238E27FC236}">
              <a16:creationId xmlns:a16="http://schemas.microsoft.com/office/drawing/2014/main" id="{9C2E962A-4E39-4A57-BAF1-B3257503621D}"/>
            </a:ext>
          </a:extLst>
        </xdr:cNvPr>
        <xdr:cNvSpPr txBox="1">
          <a:spLocks noChangeArrowheads="1"/>
        </xdr:cNvSpPr>
      </xdr:nvSpPr>
      <xdr:spPr bwMode="auto">
        <a:xfrm>
          <a:off x="88258650" y="3686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103</xdr:col>
      <xdr:colOff>0</xdr:colOff>
      <xdr:row>18</xdr:row>
      <xdr:rowOff>160020</xdr:rowOff>
    </xdr:from>
    <xdr:to>
      <xdr:col>103</xdr:col>
      <xdr:colOff>0</xdr:colOff>
      <xdr:row>23</xdr:row>
      <xdr:rowOff>19104</xdr:rowOff>
    </xdr:to>
    <xdr:sp macro="" textlink="">
      <xdr:nvSpPr>
        <xdr:cNvPr id="148" name="Text Box 11">
          <a:extLst>
            <a:ext uri="{FF2B5EF4-FFF2-40B4-BE49-F238E27FC236}">
              <a16:creationId xmlns:a16="http://schemas.microsoft.com/office/drawing/2014/main" id="{8CAD4E74-2E40-4949-B646-1495F9CC76C8}"/>
            </a:ext>
          </a:extLst>
        </xdr:cNvPr>
        <xdr:cNvSpPr txBox="1">
          <a:spLocks noChangeArrowheads="1"/>
        </xdr:cNvSpPr>
      </xdr:nvSpPr>
      <xdr:spPr bwMode="auto">
        <a:xfrm>
          <a:off x="88258650" y="3579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0</xdr:row>
      <xdr:rowOff>0</xdr:rowOff>
    </xdr:from>
    <xdr:ext cx="184731" cy="264560"/>
    <xdr:sp macro="" textlink="">
      <xdr:nvSpPr>
        <xdr:cNvPr id="149" name="TextBox 148">
          <a:extLst>
            <a:ext uri="{FF2B5EF4-FFF2-40B4-BE49-F238E27FC236}">
              <a16:creationId xmlns:a16="http://schemas.microsoft.com/office/drawing/2014/main" id="{A019C56E-E9A1-4F1E-AE2F-73A032C58A90}"/>
            </a:ext>
          </a:extLst>
        </xdr:cNvPr>
        <xdr:cNvSpPr txBox="1"/>
      </xdr:nvSpPr>
      <xdr:spPr>
        <a:xfrm>
          <a:off x="7471029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0</xdr:row>
      <xdr:rowOff>0</xdr:rowOff>
    </xdr:from>
    <xdr:ext cx="184731" cy="264560"/>
    <xdr:sp macro="" textlink="">
      <xdr:nvSpPr>
        <xdr:cNvPr id="150" name="TextBox 149">
          <a:extLst>
            <a:ext uri="{FF2B5EF4-FFF2-40B4-BE49-F238E27FC236}">
              <a16:creationId xmlns:a16="http://schemas.microsoft.com/office/drawing/2014/main" id="{E08C216A-F003-468E-B52D-7A445E700B3F}"/>
            </a:ext>
          </a:extLst>
        </xdr:cNvPr>
        <xdr:cNvSpPr txBox="1"/>
      </xdr:nvSpPr>
      <xdr:spPr>
        <a:xfrm>
          <a:off x="7471029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127</xdr:col>
      <xdr:colOff>0</xdr:colOff>
      <xdr:row>32</xdr:row>
      <xdr:rowOff>9525</xdr:rowOff>
    </xdr:from>
    <xdr:to>
      <xdr:col>127</xdr:col>
      <xdr:colOff>0</xdr:colOff>
      <xdr:row>46</xdr:row>
      <xdr:rowOff>104775</xdr:rowOff>
    </xdr:to>
    <xdr:sp macro="" textlink="">
      <xdr:nvSpPr>
        <xdr:cNvPr id="151" name="Text Box 1">
          <a:extLst>
            <a:ext uri="{FF2B5EF4-FFF2-40B4-BE49-F238E27FC236}">
              <a16:creationId xmlns:a16="http://schemas.microsoft.com/office/drawing/2014/main" id="{2F382DF0-4C71-459A-BAE2-D1288AE93484}"/>
            </a:ext>
          </a:extLst>
        </xdr:cNvPr>
        <xdr:cNvSpPr txBox="1">
          <a:spLocks noChangeArrowheads="1"/>
        </xdr:cNvSpPr>
      </xdr:nvSpPr>
      <xdr:spPr bwMode="auto">
        <a:xfrm>
          <a:off x="93059250" y="6096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28</xdr:row>
      <xdr:rowOff>76200</xdr:rowOff>
    </xdr:from>
    <xdr:to>
      <xdr:col>127</xdr:col>
      <xdr:colOff>15240</xdr:colOff>
      <xdr:row>32</xdr:row>
      <xdr:rowOff>142875</xdr:rowOff>
    </xdr:to>
    <xdr:sp macro="" textlink="">
      <xdr:nvSpPr>
        <xdr:cNvPr id="152" name="Text Box 2">
          <a:extLst>
            <a:ext uri="{FF2B5EF4-FFF2-40B4-BE49-F238E27FC236}">
              <a16:creationId xmlns:a16="http://schemas.microsoft.com/office/drawing/2014/main" id="{64E5D279-0A68-4D4E-9D40-041F4F1A5C7B}"/>
            </a:ext>
          </a:extLst>
        </xdr:cNvPr>
        <xdr:cNvSpPr txBox="1">
          <a:spLocks noChangeArrowheads="1"/>
        </xdr:cNvSpPr>
      </xdr:nvSpPr>
      <xdr:spPr bwMode="auto">
        <a:xfrm>
          <a:off x="93074490" y="5400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28</xdr:row>
      <xdr:rowOff>167640</xdr:rowOff>
    </xdr:from>
    <xdr:to>
      <xdr:col>127</xdr:col>
      <xdr:colOff>0</xdr:colOff>
      <xdr:row>31</xdr:row>
      <xdr:rowOff>93445</xdr:rowOff>
    </xdr:to>
    <xdr:sp macro="" textlink="">
      <xdr:nvSpPr>
        <xdr:cNvPr id="153" name="Text Box 3">
          <a:extLst>
            <a:ext uri="{FF2B5EF4-FFF2-40B4-BE49-F238E27FC236}">
              <a16:creationId xmlns:a16="http://schemas.microsoft.com/office/drawing/2014/main" id="{1CEA7C6D-A90E-4AE3-A518-21305058D17F}"/>
            </a:ext>
          </a:extLst>
        </xdr:cNvPr>
        <xdr:cNvSpPr txBox="1">
          <a:spLocks noChangeArrowheads="1"/>
        </xdr:cNvSpPr>
      </xdr:nvSpPr>
      <xdr:spPr bwMode="auto">
        <a:xfrm>
          <a:off x="93059250" y="5492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36</xdr:row>
      <xdr:rowOff>160020</xdr:rowOff>
    </xdr:from>
    <xdr:to>
      <xdr:col>127</xdr:col>
      <xdr:colOff>0</xdr:colOff>
      <xdr:row>40</xdr:row>
      <xdr:rowOff>0</xdr:rowOff>
    </xdr:to>
    <xdr:sp macro="" textlink="">
      <xdr:nvSpPr>
        <xdr:cNvPr id="154" name="Text Box 4">
          <a:extLst>
            <a:ext uri="{FF2B5EF4-FFF2-40B4-BE49-F238E27FC236}">
              <a16:creationId xmlns:a16="http://schemas.microsoft.com/office/drawing/2014/main" id="{C801E161-EED9-4BAC-BEBC-D3743CEF6AF9}"/>
            </a:ext>
          </a:extLst>
        </xdr:cNvPr>
        <xdr:cNvSpPr txBox="1">
          <a:spLocks noChangeArrowheads="1"/>
        </xdr:cNvSpPr>
      </xdr:nvSpPr>
      <xdr:spPr bwMode="auto">
        <a:xfrm>
          <a:off x="93059250" y="7008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51</xdr:row>
      <xdr:rowOff>38100</xdr:rowOff>
    </xdr:from>
    <xdr:to>
      <xdr:col>127</xdr:col>
      <xdr:colOff>0</xdr:colOff>
      <xdr:row>54</xdr:row>
      <xdr:rowOff>38100</xdr:rowOff>
    </xdr:to>
    <xdr:sp macro="" textlink="">
      <xdr:nvSpPr>
        <xdr:cNvPr id="155" name="Text Box 5">
          <a:extLst>
            <a:ext uri="{FF2B5EF4-FFF2-40B4-BE49-F238E27FC236}">
              <a16:creationId xmlns:a16="http://schemas.microsoft.com/office/drawing/2014/main" id="{05C08113-B859-4978-9BBF-92AB01288F82}"/>
            </a:ext>
          </a:extLst>
        </xdr:cNvPr>
        <xdr:cNvSpPr txBox="1">
          <a:spLocks noChangeArrowheads="1"/>
        </xdr:cNvSpPr>
      </xdr:nvSpPr>
      <xdr:spPr bwMode="auto">
        <a:xfrm>
          <a:off x="93059250" y="97440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28</xdr:row>
      <xdr:rowOff>55245</xdr:rowOff>
    </xdr:from>
    <xdr:to>
      <xdr:col>127</xdr:col>
      <xdr:colOff>0</xdr:colOff>
      <xdr:row>31</xdr:row>
      <xdr:rowOff>0</xdr:rowOff>
    </xdr:to>
    <xdr:sp macro="" textlink="">
      <xdr:nvSpPr>
        <xdr:cNvPr id="156" name="Text Box 7">
          <a:extLst>
            <a:ext uri="{FF2B5EF4-FFF2-40B4-BE49-F238E27FC236}">
              <a16:creationId xmlns:a16="http://schemas.microsoft.com/office/drawing/2014/main" id="{001A0042-CB9F-43FF-975D-0FF297D9A6DE}"/>
            </a:ext>
          </a:extLst>
        </xdr:cNvPr>
        <xdr:cNvSpPr txBox="1">
          <a:spLocks noChangeArrowheads="1"/>
        </xdr:cNvSpPr>
      </xdr:nvSpPr>
      <xdr:spPr bwMode="auto">
        <a:xfrm>
          <a:off x="93059250" y="5379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25</xdr:row>
      <xdr:rowOff>167640</xdr:rowOff>
    </xdr:from>
    <xdr:to>
      <xdr:col>127</xdr:col>
      <xdr:colOff>0</xdr:colOff>
      <xdr:row>30</xdr:row>
      <xdr:rowOff>131418</xdr:rowOff>
    </xdr:to>
    <xdr:sp macro="" textlink="">
      <xdr:nvSpPr>
        <xdr:cNvPr id="157" name="Text Box 8">
          <a:extLst>
            <a:ext uri="{FF2B5EF4-FFF2-40B4-BE49-F238E27FC236}">
              <a16:creationId xmlns:a16="http://schemas.microsoft.com/office/drawing/2014/main" id="{A383D6E2-2914-4FDB-89D4-46612E08B84C}"/>
            </a:ext>
          </a:extLst>
        </xdr:cNvPr>
        <xdr:cNvSpPr txBox="1">
          <a:spLocks noChangeArrowheads="1"/>
        </xdr:cNvSpPr>
      </xdr:nvSpPr>
      <xdr:spPr bwMode="auto">
        <a:xfrm>
          <a:off x="93059250" y="4920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11</xdr:row>
      <xdr:rowOff>104775</xdr:rowOff>
    </xdr:from>
    <xdr:to>
      <xdr:col>127</xdr:col>
      <xdr:colOff>0</xdr:colOff>
      <xdr:row>16</xdr:row>
      <xdr:rowOff>121962</xdr:rowOff>
    </xdr:to>
    <xdr:sp macro="" textlink="">
      <xdr:nvSpPr>
        <xdr:cNvPr id="158" name="Text Box 9">
          <a:extLst>
            <a:ext uri="{FF2B5EF4-FFF2-40B4-BE49-F238E27FC236}">
              <a16:creationId xmlns:a16="http://schemas.microsoft.com/office/drawing/2014/main" id="{A322FF09-A16B-4DA0-9217-340E9F19D2D1}"/>
            </a:ext>
          </a:extLst>
        </xdr:cNvPr>
        <xdr:cNvSpPr txBox="1">
          <a:spLocks noChangeArrowheads="1"/>
        </xdr:cNvSpPr>
      </xdr:nvSpPr>
      <xdr:spPr bwMode="auto">
        <a:xfrm>
          <a:off x="93059250" y="2190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33</xdr:row>
      <xdr:rowOff>76200</xdr:rowOff>
    </xdr:from>
    <xdr:to>
      <xdr:col>127</xdr:col>
      <xdr:colOff>0</xdr:colOff>
      <xdr:row>38</xdr:row>
      <xdr:rowOff>104775</xdr:rowOff>
    </xdr:to>
    <xdr:sp macro="" textlink="">
      <xdr:nvSpPr>
        <xdr:cNvPr id="159" name="Text Box 10">
          <a:extLst>
            <a:ext uri="{FF2B5EF4-FFF2-40B4-BE49-F238E27FC236}">
              <a16:creationId xmlns:a16="http://schemas.microsoft.com/office/drawing/2014/main" id="{3F8AD5BE-EEFC-4796-8A08-CBE0BB276D89}"/>
            </a:ext>
          </a:extLst>
        </xdr:cNvPr>
        <xdr:cNvSpPr txBox="1">
          <a:spLocks noChangeArrowheads="1"/>
        </xdr:cNvSpPr>
      </xdr:nvSpPr>
      <xdr:spPr bwMode="auto">
        <a:xfrm>
          <a:off x="93059250" y="6353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32</xdr:row>
      <xdr:rowOff>160020</xdr:rowOff>
    </xdr:from>
    <xdr:to>
      <xdr:col>127</xdr:col>
      <xdr:colOff>0</xdr:colOff>
      <xdr:row>38</xdr:row>
      <xdr:rowOff>19104</xdr:rowOff>
    </xdr:to>
    <xdr:sp macro="" textlink="">
      <xdr:nvSpPr>
        <xdr:cNvPr id="160" name="Text Box 11">
          <a:extLst>
            <a:ext uri="{FF2B5EF4-FFF2-40B4-BE49-F238E27FC236}">
              <a16:creationId xmlns:a16="http://schemas.microsoft.com/office/drawing/2014/main" id="{C23B1283-9EE3-4976-ACF4-835572A49E98}"/>
            </a:ext>
          </a:extLst>
        </xdr:cNvPr>
        <xdr:cNvSpPr txBox="1">
          <a:spLocks noChangeArrowheads="1"/>
        </xdr:cNvSpPr>
      </xdr:nvSpPr>
      <xdr:spPr bwMode="auto">
        <a:xfrm>
          <a:off x="93059250" y="6246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110</xdr:row>
      <xdr:rowOff>9525</xdr:rowOff>
    </xdr:from>
    <xdr:to>
      <xdr:col>127</xdr:col>
      <xdr:colOff>0</xdr:colOff>
      <xdr:row>120</xdr:row>
      <xdr:rowOff>104775</xdr:rowOff>
    </xdr:to>
    <xdr:sp macro="" textlink="">
      <xdr:nvSpPr>
        <xdr:cNvPr id="161" name="Text Box 1">
          <a:extLst>
            <a:ext uri="{FF2B5EF4-FFF2-40B4-BE49-F238E27FC236}">
              <a16:creationId xmlns:a16="http://schemas.microsoft.com/office/drawing/2014/main" id="{080EFA76-7B30-4BC9-9C75-861B85291DBC}"/>
            </a:ext>
          </a:extLst>
        </xdr:cNvPr>
        <xdr:cNvSpPr txBox="1">
          <a:spLocks noChangeArrowheads="1"/>
        </xdr:cNvSpPr>
      </xdr:nvSpPr>
      <xdr:spPr bwMode="auto">
        <a:xfrm>
          <a:off x="93059250" y="20955000"/>
          <a:ext cx="0" cy="2000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106</xdr:row>
      <xdr:rowOff>76200</xdr:rowOff>
    </xdr:from>
    <xdr:to>
      <xdr:col>127</xdr:col>
      <xdr:colOff>15240</xdr:colOff>
      <xdr:row>110</xdr:row>
      <xdr:rowOff>142875</xdr:rowOff>
    </xdr:to>
    <xdr:sp macro="" textlink="">
      <xdr:nvSpPr>
        <xdr:cNvPr id="162" name="Text Box 2">
          <a:extLst>
            <a:ext uri="{FF2B5EF4-FFF2-40B4-BE49-F238E27FC236}">
              <a16:creationId xmlns:a16="http://schemas.microsoft.com/office/drawing/2014/main" id="{8B6DC38A-5F13-4211-928E-B6647DC1C8AA}"/>
            </a:ext>
          </a:extLst>
        </xdr:cNvPr>
        <xdr:cNvSpPr txBox="1">
          <a:spLocks noChangeArrowheads="1"/>
        </xdr:cNvSpPr>
      </xdr:nvSpPr>
      <xdr:spPr bwMode="auto">
        <a:xfrm>
          <a:off x="93074490" y="20259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106</xdr:row>
      <xdr:rowOff>167640</xdr:rowOff>
    </xdr:from>
    <xdr:to>
      <xdr:col>127</xdr:col>
      <xdr:colOff>0</xdr:colOff>
      <xdr:row>109</xdr:row>
      <xdr:rowOff>93445</xdr:rowOff>
    </xdr:to>
    <xdr:sp macro="" textlink="">
      <xdr:nvSpPr>
        <xdr:cNvPr id="163" name="Text Box 3">
          <a:extLst>
            <a:ext uri="{FF2B5EF4-FFF2-40B4-BE49-F238E27FC236}">
              <a16:creationId xmlns:a16="http://schemas.microsoft.com/office/drawing/2014/main" id="{78DBE33F-6636-476C-83ED-9C8C0C053A3F}"/>
            </a:ext>
          </a:extLst>
        </xdr:cNvPr>
        <xdr:cNvSpPr txBox="1">
          <a:spLocks noChangeArrowheads="1"/>
        </xdr:cNvSpPr>
      </xdr:nvSpPr>
      <xdr:spPr bwMode="auto">
        <a:xfrm>
          <a:off x="93059250" y="20351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113</xdr:row>
      <xdr:rowOff>160020</xdr:rowOff>
    </xdr:from>
    <xdr:to>
      <xdr:col>127</xdr:col>
      <xdr:colOff>0</xdr:colOff>
      <xdr:row>117</xdr:row>
      <xdr:rowOff>0</xdr:rowOff>
    </xdr:to>
    <xdr:sp macro="" textlink="">
      <xdr:nvSpPr>
        <xdr:cNvPr id="164" name="Text Box 4">
          <a:extLst>
            <a:ext uri="{FF2B5EF4-FFF2-40B4-BE49-F238E27FC236}">
              <a16:creationId xmlns:a16="http://schemas.microsoft.com/office/drawing/2014/main" id="{DC84C992-148C-4A6E-A461-9E528EA0C2A4}"/>
            </a:ext>
          </a:extLst>
        </xdr:cNvPr>
        <xdr:cNvSpPr txBox="1">
          <a:spLocks noChangeArrowheads="1"/>
        </xdr:cNvSpPr>
      </xdr:nvSpPr>
      <xdr:spPr bwMode="auto">
        <a:xfrm>
          <a:off x="93059250" y="21676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124</xdr:row>
      <xdr:rowOff>38100</xdr:rowOff>
    </xdr:from>
    <xdr:to>
      <xdr:col>127</xdr:col>
      <xdr:colOff>0</xdr:colOff>
      <xdr:row>127</xdr:row>
      <xdr:rowOff>38100</xdr:rowOff>
    </xdr:to>
    <xdr:sp macro="" textlink="">
      <xdr:nvSpPr>
        <xdr:cNvPr id="165" name="Text Box 5">
          <a:extLst>
            <a:ext uri="{FF2B5EF4-FFF2-40B4-BE49-F238E27FC236}">
              <a16:creationId xmlns:a16="http://schemas.microsoft.com/office/drawing/2014/main" id="{14A504FE-AC34-4C71-A429-2F2868701F68}"/>
            </a:ext>
          </a:extLst>
        </xdr:cNvPr>
        <xdr:cNvSpPr txBox="1">
          <a:spLocks noChangeArrowheads="1"/>
        </xdr:cNvSpPr>
      </xdr:nvSpPr>
      <xdr:spPr bwMode="auto">
        <a:xfrm>
          <a:off x="93059250" y="23650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106</xdr:row>
      <xdr:rowOff>55245</xdr:rowOff>
    </xdr:from>
    <xdr:to>
      <xdr:col>127</xdr:col>
      <xdr:colOff>0</xdr:colOff>
      <xdr:row>108</xdr:row>
      <xdr:rowOff>47625</xdr:rowOff>
    </xdr:to>
    <xdr:sp macro="" textlink="">
      <xdr:nvSpPr>
        <xdr:cNvPr id="166" name="Text Box 7">
          <a:extLst>
            <a:ext uri="{FF2B5EF4-FFF2-40B4-BE49-F238E27FC236}">
              <a16:creationId xmlns:a16="http://schemas.microsoft.com/office/drawing/2014/main" id="{DFB9BAAE-746E-4A65-8E6B-020505C5BF2B}"/>
            </a:ext>
          </a:extLst>
        </xdr:cNvPr>
        <xdr:cNvSpPr txBox="1">
          <a:spLocks noChangeArrowheads="1"/>
        </xdr:cNvSpPr>
      </xdr:nvSpPr>
      <xdr:spPr bwMode="auto">
        <a:xfrm>
          <a:off x="93059250" y="20238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103</xdr:row>
      <xdr:rowOff>167640</xdr:rowOff>
    </xdr:from>
    <xdr:to>
      <xdr:col>127</xdr:col>
      <xdr:colOff>0</xdr:colOff>
      <xdr:row>107</xdr:row>
      <xdr:rowOff>131418</xdr:rowOff>
    </xdr:to>
    <xdr:sp macro="" textlink="">
      <xdr:nvSpPr>
        <xdr:cNvPr id="167" name="Text Box 8">
          <a:extLst>
            <a:ext uri="{FF2B5EF4-FFF2-40B4-BE49-F238E27FC236}">
              <a16:creationId xmlns:a16="http://schemas.microsoft.com/office/drawing/2014/main" id="{BAA99536-2BD4-4DF6-9F68-88605D604E2F}"/>
            </a:ext>
          </a:extLst>
        </xdr:cNvPr>
        <xdr:cNvSpPr txBox="1">
          <a:spLocks noChangeArrowheads="1"/>
        </xdr:cNvSpPr>
      </xdr:nvSpPr>
      <xdr:spPr bwMode="auto">
        <a:xfrm>
          <a:off x="93059250" y="19779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95</xdr:row>
      <xdr:rowOff>104775</xdr:rowOff>
    </xdr:from>
    <xdr:to>
      <xdr:col>127</xdr:col>
      <xdr:colOff>0</xdr:colOff>
      <xdr:row>98</xdr:row>
      <xdr:rowOff>121962</xdr:rowOff>
    </xdr:to>
    <xdr:sp macro="" textlink="">
      <xdr:nvSpPr>
        <xdr:cNvPr id="168" name="Text Box 9">
          <a:extLst>
            <a:ext uri="{FF2B5EF4-FFF2-40B4-BE49-F238E27FC236}">
              <a16:creationId xmlns:a16="http://schemas.microsoft.com/office/drawing/2014/main" id="{B581A3C0-557C-4130-A7E7-507003F5198A}"/>
            </a:ext>
          </a:extLst>
        </xdr:cNvPr>
        <xdr:cNvSpPr txBox="1">
          <a:spLocks noChangeArrowheads="1"/>
        </xdr:cNvSpPr>
      </xdr:nvSpPr>
      <xdr:spPr bwMode="auto">
        <a:xfrm>
          <a:off x="93059250" y="18192750"/>
          <a:ext cx="0" cy="588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111</xdr:row>
      <xdr:rowOff>76200</xdr:rowOff>
    </xdr:from>
    <xdr:to>
      <xdr:col>127</xdr:col>
      <xdr:colOff>0</xdr:colOff>
      <xdr:row>115</xdr:row>
      <xdr:rowOff>104775</xdr:rowOff>
    </xdr:to>
    <xdr:sp macro="" textlink="">
      <xdr:nvSpPr>
        <xdr:cNvPr id="169" name="Text Box 10">
          <a:extLst>
            <a:ext uri="{FF2B5EF4-FFF2-40B4-BE49-F238E27FC236}">
              <a16:creationId xmlns:a16="http://schemas.microsoft.com/office/drawing/2014/main" id="{48B9A3EA-5D20-49DF-B35D-0FAF024C5648}"/>
            </a:ext>
          </a:extLst>
        </xdr:cNvPr>
        <xdr:cNvSpPr txBox="1">
          <a:spLocks noChangeArrowheads="1"/>
        </xdr:cNvSpPr>
      </xdr:nvSpPr>
      <xdr:spPr bwMode="auto">
        <a:xfrm>
          <a:off x="93059250" y="21212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110</xdr:row>
      <xdr:rowOff>160020</xdr:rowOff>
    </xdr:from>
    <xdr:to>
      <xdr:col>127</xdr:col>
      <xdr:colOff>0</xdr:colOff>
      <xdr:row>115</xdr:row>
      <xdr:rowOff>19104</xdr:rowOff>
    </xdr:to>
    <xdr:sp macro="" textlink="">
      <xdr:nvSpPr>
        <xdr:cNvPr id="170" name="Text Box 11">
          <a:extLst>
            <a:ext uri="{FF2B5EF4-FFF2-40B4-BE49-F238E27FC236}">
              <a16:creationId xmlns:a16="http://schemas.microsoft.com/office/drawing/2014/main" id="{3CA7EC2C-D9B1-437A-BCCC-84725D25E563}"/>
            </a:ext>
          </a:extLst>
        </xdr:cNvPr>
        <xdr:cNvSpPr txBox="1">
          <a:spLocks noChangeArrowheads="1"/>
        </xdr:cNvSpPr>
      </xdr:nvSpPr>
      <xdr:spPr bwMode="auto">
        <a:xfrm>
          <a:off x="93059250" y="21105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110</xdr:row>
      <xdr:rowOff>9525</xdr:rowOff>
    </xdr:from>
    <xdr:to>
      <xdr:col>127</xdr:col>
      <xdr:colOff>0</xdr:colOff>
      <xdr:row>120</xdr:row>
      <xdr:rowOff>104775</xdr:rowOff>
    </xdr:to>
    <xdr:sp macro="" textlink="">
      <xdr:nvSpPr>
        <xdr:cNvPr id="171" name="Text Box 1">
          <a:extLst>
            <a:ext uri="{FF2B5EF4-FFF2-40B4-BE49-F238E27FC236}">
              <a16:creationId xmlns:a16="http://schemas.microsoft.com/office/drawing/2014/main" id="{AEF44826-6A37-44B4-BCC2-0E05C0C70424}"/>
            </a:ext>
          </a:extLst>
        </xdr:cNvPr>
        <xdr:cNvSpPr txBox="1">
          <a:spLocks noChangeArrowheads="1"/>
        </xdr:cNvSpPr>
      </xdr:nvSpPr>
      <xdr:spPr bwMode="auto">
        <a:xfrm>
          <a:off x="93059250" y="20955000"/>
          <a:ext cx="0" cy="2000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106</xdr:row>
      <xdr:rowOff>76200</xdr:rowOff>
    </xdr:from>
    <xdr:to>
      <xdr:col>127</xdr:col>
      <xdr:colOff>15240</xdr:colOff>
      <xdr:row>110</xdr:row>
      <xdr:rowOff>142875</xdr:rowOff>
    </xdr:to>
    <xdr:sp macro="" textlink="">
      <xdr:nvSpPr>
        <xdr:cNvPr id="172" name="Text Box 2">
          <a:extLst>
            <a:ext uri="{FF2B5EF4-FFF2-40B4-BE49-F238E27FC236}">
              <a16:creationId xmlns:a16="http://schemas.microsoft.com/office/drawing/2014/main" id="{CF26E46C-A296-4F60-8F8C-AFBB0D1C7ADC}"/>
            </a:ext>
          </a:extLst>
        </xdr:cNvPr>
        <xdr:cNvSpPr txBox="1">
          <a:spLocks noChangeArrowheads="1"/>
        </xdr:cNvSpPr>
      </xdr:nvSpPr>
      <xdr:spPr bwMode="auto">
        <a:xfrm>
          <a:off x="93074490" y="20259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106</xdr:row>
      <xdr:rowOff>167640</xdr:rowOff>
    </xdr:from>
    <xdr:to>
      <xdr:col>127</xdr:col>
      <xdr:colOff>0</xdr:colOff>
      <xdr:row>109</xdr:row>
      <xdr:rowOff>93445</xdr:rowOff>
    </xdr:to>
    <xdr:sp macro="" textlink="">
      <xdr:nvSpPr>
        <xdr:cNvPr id="173" name="Text Box 3">
          <a:extLst>
            <a:ext uri="{FF2B5EF4-FFF2-40B4-BE49-F238E27FC236}">
              <a16:creationId xmlns:a16="http://schemas.microsoft.com/office/drawing/2014/main" id="{F1A71651-E4F8-447A-8575-C87A0F8AC1B0}"/>
            </a:ext>
          </a:extLst>
        </xdr:cNvPr>
        <xdr:cNvSpPr txBox="1">
          <a:spLocks noChangeArrowheads="1"/>
        </xdr:cNvSpPr>
      </xdr:nvSpPr>
      <xdr:spPr bwMode="auto">
        <a:xfrm>
          <a:off x="93059250" y="20351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113</xdr:row>
      <xdr:rowOff>160020</xdr:rowOff>
    </xdr:from>
    <xdr:to>
      <xdr:col>127</xdr:col>
      <xdr:colOff>0</xdr:colOff>
      <xdr:row>117</xdr:row>
      <xdr:rowOff>0</xdr:rowOff>
    </xdr:to>
    <xdr:sp macro="" textlink="">
      <xdr:nvSpPr>
        <xdr:cNvPr id="174" name="Text Box 4">
          <a:extLst>
            <a:ext uri="{FF2B5EF4-FFF2-40B4-BE49-F238E27FC236}">
              <a16:creationId xmlns:a16="http://schemas.microsoft.com/office/drawing/2014/main" id="{88C8AC75-E48F-41E6-ABEE-1DA7E4E35896}"/>
            </a:ext>
          </a:extLst>
        </xdr:cNvPr>
        <xdr:cNvSpPr txBox="1">
          <a:spLocks noChangeArrowheads="1"/>
        </xdr:cNvSpPr>
      </xdr:nvSpPr>
      <xdr:spPr bwMode="auto">
        <a:xfrm>
          <a:off x="93059250" y="21676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124</xdr:row>
      <xdr:rowOff>38100</xdr:rowOff>
    </xdr:from>
    <xdr:to>
      <xdr:col>127</xdr:col>
      <xdr:colOff>0</xdr:colOff>
      <xdr:row>127</xdr:row>
      <xdr:rowOff>38100</xdr:rowOff>
    </xdr:to>
    <xdr:sp macro="" textlink="">
      <xdr:nvSpPr>
        <xdr:cNvPr id="175" name="Text Box 5">
          <a:extLst>
            <a:ext uri="{FF2B5EF4-FFF2-40B4-BE49-F238E27FC236}">
              <a16:creationId xmlns:a16="http://schemas.microsoft.com/office/drawing/2014/main" id="{3CE4AA07-C9F2-4F1F-BD7C-AA30DF4FC155}"/>
            </a:ext>
          </a:extLst>
        </xdr:cNvPr>
        <xdr:cNvSpPr txBox="1">
          <a:spLocks noChangeArrowheads="1"/>
        </xdr:cNvSpPr>
      </xdr:nvSpPr>
      <xdr:spPr bwMode="auto">
        <a:xfrm>
          <a:off x="93059250" y="23650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106</xdr:row>
      <xdr:rowOff>55245</xdr:rowOff>
    </xdr:from>
    <xdr:to>
      <xdr:col>127</xdr:col>
      <xdr:colOff>0</xdr:colOff>
      <xdr:row>108</xdr:row>
      <xdr:rowOff>47625</xdr:rowOff>
    </xdr:to>
    <xdr:sp macro="" textlink="">
      <xdr:nvSpPr>
        <xdr:cNvPr id="176" name="Text Box 7">
          <a:extLst>
            <a:ext uri="{FF2B5EF4-FFF2-40B4-BE49-F238E27FC236}">
              <a16:creationId xmlns:a16="http://schemas.microsoft.com/office/drawing/2014/main" id="{C7CAFB48-73D0-4752-B270-9A1DFFB5489E}"/>
            </a:ext>
          </a:extLst>
        </xdr:cNvPr>
        <xdr:cNvSpPr txBox="1">
          <a:spLocks noChangeArrowheads="1"/>
        </xdr:cNvSpPr>
      </xdr:nvSpPr>
      <xdr:spPr bwMode="auto">
        <a:xfrm>
          <a:off x="93059250" y="20238720"/>
          <a:ext cx="0" cy="3733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103</xdr:row>
      <xdr:rowOff>167640</xdr:rowOff>
    </xdr:from>
    <xdr:to>
      <xdr:col>127</xdr:col>
      <xdr:colOff>0</xdr:colOff>
      <xdr:row>107</xdr:row>
      <xdr:rowOff>131418</xdr:rowOff>
    </xdr:to>
    <xdr:sp macro="" textlink="">
      <xdr:nvSpPr>
        <xdr:cNvPr id="177" name="Text Box 8">
          <a:extLst>
            <a:ext uri="{FF2B5EF4-FFF2-40B4-BE49-F238E27FC236}">
              <a16:creationId xmlns:a16="http://schemas.microsoft.com/office/drawing/2014/main" id="{0F2420A5-56BF-4FBA-8961-5368D16B8DB1}"/>
            </a:ext>
          </a:extLst>
        </xdr:cNvPr>
        <xdr:cNvSpPr txBox="1">
          <a:spLocks noChangeArrowheads="1"/>
        </xdr:cNvSpPr>
      </xdr:nvSpPr>
      <xdr:spPr bwMode="auto">
        <a:xfrm>
          <a:off x="93059250" y="19779615"/>
          <a:ext cx="0" cy="7257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95</xdr:row>
      <xdr:rowOff>104775</xdr:rowOff>
    </xdr:from>
    <xdr:to>
      <xdr:col>127</xdr:col>
      <xdr:colOff>0</xdr:colOff>
      <xdr:row>98</xdr:row>
      <xdr:rowOff>121962</xdr:rowOff>
    </xdr:to>
    <xdr:sp macro="" textlink="">
      <xdr:nvSpPr>
        <xdr:cNvPr id="178" name="Text Box 9">
          <a:extLst>
            <a:ext uri="{FF2B5EF4-FFF2-40B4-BE49-F238E27FC236}">
              <a16:creationId xmlns:a16="http://schemas.microsoft.com/office/drawing/2014/main" id="{9C4C3129-EEC1-4A98-BA9B-37C5ED1D9CD8}"/>
            </a:ext>
          </a:extLst>
        </xdr:cNvPr>
        <xdr:cNvSpPr txBox="1">
          <a:spLocks noChangeArrowheads="1"/>
        </xdr:cNvSpPr>
      </xdr:nvSpPr>
      <xdr:spPr bwMode="auto">
        <a:xfrm>
          <a:off x="93059250" y="18192750"/>
          <a:ext cx="0" cy="588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111</xdr:row>
      <xdr:rowOff>76200</xdr:rowOff>
    </xdr:from>
    <xdr:to>
      <xdr:col>127</xdr:col>
      <xdr:colOff>0</xdr:colOff>
      <xdr:row>115</xdr:row>
      <xdr:rowOff>104775</xdr:rowOff>
    </xdr:to>
    <xdr:sp macro="" textlink="">
      <xdr:nvSpPr>
        <xdr:cNvPr id="179" name="Text Box 10">
          <a:extLst>
            <a:ext uri="{FF2B5EF4-FFF2-40B4-BE49-F238E27FC236}">
              <a16:creationId xmlns:a16="http://schemas.microsoft.com/office/drawing/2014/main" id="{4346CA42-E2E2-4AB5-8692-D83290CF1916}"/>
            </a:ext>
          </a:extLst>
        </xdr:cNvPr>
        <xdr:cNvSpPr txBox="1">
          <a:spLocks noChangeArrowheads="1"/>
        </xdr:cNvSpPr>
      </xdr:nvSpPr>
      <xdr:spPr bwMode="auto">
        <a:xfrm>
          <a:off x="93059250" y="21212175"/>
          <a:ext cx="0" cy="7905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110</xdr:row>
      <xdr:rowOff>160020</xdr:rowOff>
    </xdr:from>
    <xdr:to>
      <xdr:col>127</xdr:col>
      <xdr:colOff>0</xdr:colOff>
      <xdr:row>115</xdr:row>
      <xdr:rowOff>19104</xdr:rowOff>
    </xdr:to>
    <xdr:sp macro="" textlink="">
      <xdr:nvSpPr>
        <xdr:cNvPr id="180" name="Text Box 11">
          <a:extLst>
            <a:ext uri="{FF2B5EF4-FFF2-40B4-BE49-F238E27FC236}">
              <a16:creationId xmlns:a16="http://schemas.microsoft.com/office/drawing/2014/main" id="{64126C66-E68D-4616-94A8-307CCB32E3BA}"/>
            </a:ext>
          </a:extLst>
        </xdr:cNvPr>
        <xdr:cNvSpPr txBox="1">
          <a:spLocks noChangeArrowheads="1"/>
        </xdr:cNvSpPr>
      </xdr:nvSpPr>
      <xdr:spPr bwMode="auto">
        <a:xfrm>
          <a:off x="93059250" y="21105495"/>
          <a:ext cx="0" cy="8115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oneCellAnchor>
    <xdr:from>
      <xdr:col>73</xdr:col>
      <xdr:colOff>205740</xdr:colOff>
      <xdr:row>84</xdr:row>
      <xdr:rowOff>0</xdr:rowOff>
    </xdr:from>
    <xdr:ext cx="184731" cy="264560"/>
    <xdr:sp macro="" textlink="">
      <xdr:nvSpPr>
        <xdr:cNvPr id="181" name="TextBox 180">
          <a:extLst>
            <a:ext uri="{FF2B5EF4-FFF2-40B4-BE49-F238E27FC236}">
              <a16:creationId xmlns:a16="http://schemas.microsoft.com/office/drawing/2014/main" id="{2C393E73-176E-4A5F-A2C8-78E7734C3036}"/>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182" name="TextBox 181">
          <a:extLst>
            <a:ext uri="{FF2B5EF4-FFF2-40B4-BE49-F238E27FC236}">
              <a16:creationId xmlns:a16="http://schemas.microsoft.com/office/drawing/2014/main" id="{AB1D12E1-1F4A-4132-8C6F-95297FA4E3A5}"/>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183" name="TextBox 182">
          <a:extLst>
            <a:ext uri="{FF2B5EF4-FFF2-40B4-BE49-F238E27FC236}">
              <a16:creationId xmlns:a16="http://schemas.microsoft.com/office/drawing/2014/main" id="{16D03B7B-313A-4EF1-9562-B7832C8BF297}"/>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184" name="TextBox 183">
          <a:extLst>
            <a:ext uri="{FF2B5EF4-FFF2-40B4-BE49-F238E27FC236}">
              <a16:creationId xmlns:a16="http://schemas.microsoft.com/office/drawing/2014/main" id="{90E922DC-189C-43CA-A2AD-78FB7E557B8A}"/>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185" name="TextBox 184">
          <a:extLst>
            <a:ext uri="{FF2B5EF4-FFF2-40B4-BE49-F238E27FC236}">
              <a16:creationId xmlns:a16="http://schemas.microsoft.com/office/drawing/2014/main" id="{5D4BFE71-E007-431C-BDE8-BD14293D9D48}"/>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186" name="TextBox 185">
          <a:extLst>
            <a:ext uri="{FF2B5EF4-FFF2-40B4-BE49-F238E27FC236}">
              <a16:creationId xmlns:a16="http://schemas.microsoft.com/office/drawing/2014/main" id="{C1961C02-094B-4E83-883C-31AA6086B1EB}"/>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187" name="TextBox 186">
          <a:extLst>
            <a:ext uri="{FF2B5EF4-FFF2-40B4-BE49-F238E27FC236}">
              <a16:creationId xmlns:a16="http://schemas.microsoft.com/office/drawing/2014/main" id="{F595C0C0-D317-47F5-80AD-C68A637ACDBE}"/>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188" name="TextBox 187">
          <a:extLst>
            <a:ext uri="{FF2B5EF4-FFF2-40B4-BE49-F238E27FC236}">
              <a16:creationId xmlns:a16="http://schemas.microsoft.com/office/drawing/2014/main" id="{53F1A658-2437-45F8-BD0C-2CFC9970DC02}"/>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89" name="TextBox 188">
          <a:extLst>
            <a:ext uri="{FF2B5EF4-FFF2-40B4-BE49-F238E27FC236}">
              <a16:creationId xmlns:a16="http://schemas.microsoft.com/office/drawing/2014/main" id="{7CCCC3C0-7D75-4D70-9BB2-DB2966845883}"/>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90" name="TextBox 189">
          <a:extLst>
            <a:ext uri="{FF2B5EF4-FFF2-40B4-BE49-F238E27FC236}">
              <a16:creationId xmlns:a16="http://schemas.microsoft.com/office/drawing/2014/main" id="{CD287259-A5E8-4FE0-9763-0222ACC0D42E}"/>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91" name="TextBox 190">
          <a:extLst>
            <a:ext uri="{FF2B5EF4-FFF2-40B4-BE49-F238E27FC236}">
              <a16:creationId xmlns:a16="http://schemas.microsoft.com/office/drawing/2014/main" id="{094A834C-BB47-4789-B014-9846C03F2EEA}"/>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192" name="TextBox 191">
          <a:extLst>
            <a:ext uri="{FF2B5EF4-FFF2-40B4-BE49-F238E27FC236}">
              <a16:creationId xmlns:a16="http://schemas.microsoft.com/office/drawing/2014/main" id="{66CC8588-3783-4165-8E5F-F0DFB8153ED3}"/>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3" name="TextBox 192">
          <a:extLst>
            <a:ext uri="{FF2B5EF4-FFF2-40B4-BE49-F238E27FC236}">
              <a16:creationId xmlns:a16="http://schemas.microsoft.com/office/drawing/2014/main" id="{968079CB-B0EF-4C9A-84ED-4EA20D2A1B61}"/>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4" name="TextBox 193">
          <a:extLst>
            <a:ext uri="{FF2B5EF4-FFF2-40B4-BE49-F238E27FC236}">
              <a16:creationId xmlns:a16="http://schemas.microsoft.com/office/drawing/2014/main" id="{CC2CFF7A-5EA2-4116-A165-31B521C2EDBF}"/>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5" name="TextBox 194">
          <a:extLst>
            <a:ext uri="{FF2B5EF4-FFF2-40B4-BE49-F238E27FC236}">
              <a16:creationId xmlns:a16="http://schemas.microsoft.com/office/drawing/2014/main" id="{D78654E4-199E-488F-ABB3-F418D9BF6515}"/>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6" name="TextBox 195">
          <a:extLst>
            <a:ext uri="{FF2B5EF4-FFF2-40B4-BE49-F238E27FC236}">
              <a16:creationId xmlns:a16="http://schemas.microsoft.com/office/drawing/2014/main" id="{19C87244-7EF9-4BDD-88BE-E1292846816D}"/>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7" name="TextBox 196">
          <a:extLst>
            <a:ext uri="{FF2B5EF4-FFF2-40B4-BE49-F238E27FC236}">
              <a16:creationId xmlns:a16="http://schemas.microsoft.com/office/drawing/2014/main" id="{249E265B-C421-418A-9C2F-5043513EF94C}"/>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8" name="TextBox 197">
          <a:extLst>
            <a:ext uri="{FF2B5EF4-FFF2-40B4-BE49-F238E27FC236}">
              <a16:creationId xmlns:a16="http://schemas.microsoft.com/office/drawing/2014/main" id="{9105850B-7D3D-47AD-9E9B-603FE0768965}"/>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99</xdr:row>
      <xdr:rowOff>0</xdr:rowOff>
    </xdr:from>
    <xdr:ext cx="184731" cy="264560"/>
    <xdr:sp macro="" textlink="">
      <xdr:nvSpPr>
        <xdr:cNvPr id="199" name="TextBox 198">
          <a:extLst>
            <a:ext uri="{FF2B5EF4-FFF2-40B4-BE49-F238E27FC236}">
              <a16:creationId xmlns:a16="http://schemas.microsoft.com/office/drawing/2014/main" id="{5B3C2C73-1386-474C-8560-5D3D2AD4D552}"/>
            </a:ext>
          </a:extLst>
        </xdr:cNvPr>
        <xdr:cNvSpPr txBox="1"/>
      </xdr:nvSpPr>
      <xdr:spPr>
        <a:xfrm>
          <a:off x="74710290" y="186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0" name="TextBox 199">
          <a:extLst>
            <a:ext uri="{FF2B5EF4-FFF2-40B4-BE49-F238E27FC236}">
              <a16:creationId xmlns:a16="http://schemas.microsoft.com/office/drawing/2014/main" id="{6777FD59-335C-48F7-985C-7C7423BDDDFF}"/>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1" name="TextBox 200">
          <a:extLst>
            <a:ext uri="{FF2B5EF4-FFF2-40B4-BE49-F238E27FC236}">
              <a16:creationId xmlns:a16="http://schemas.microsoft.com/office/drawing/2014/main" id="{45AFD900-6121-43EA-B990-32B12F00A8D3}"/>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2" name="TextBox 201">
          <a:extLst>
            <a:ext uri="{FF2B5EF4-FFF2-40B4-BE49-F238E27FC236}">
              <a16:creationId xmlns:a16="http://schemas.microsoft.com/office/drawing/2014/main" id="{86868E4A-854F-471C-897E-1892D5955373}"/>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3" name="TextBox 202">
          <a:extLst>
            <a:ext uri="{FF2B5EF4-FFF2-40B4-BE49-F238E27FC236}">
              <a16:creationId xmlns:a16="http://schemas.microsoft.com/office/drawing/2014/main" id="{F56829CD-BC54-4260-83EE-2697211D673E}"/>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4" name="TextBox 203">
          <a:extLst>
            <a:ext uri="{FF2B5EF4-FFF2-40B4-BE49-F238E27FC236}">
              <a16:creationId xmlns:a16="http://schemas.microsoft.com/office/drawing/2014/main" id="{2AADCB91-BD33-4DAB-9199-FD7D6F45EB05}"/>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5" name="TextBox 204">
          <a:extLst>
            <a:ext uri="{FF2B5EF4-FFF2-40B4-BE49-F238E27FC236}">
              <a16:creationId xmlns:a16="http://schemas.microsoft.com/office/drawing/2014/main" id="{E74E9134-6E63-4033-BDB4-658FD714E542}"/>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6" name="TextBox 205">
          <a:extLst>
            <a:ext uri="{FF2B5EF4-FFF2-40B4-BE49-F238E27FC236}">
              <a16:creationId xmlns:a16="http://schemas.microsoft.com/office/drawing/2014/main" id="{0C6C65F0-4367-4D63-8D47-5F6560CB13BE}"/>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7" name="TextBox 206">
          <a:extLst>
            <a:ext uri="{FF2B5EF4-FFF2-40B4-BE49-F238E27FC236}">
              <a16:creationId xmlns:a16="http://schemas.microsoft.com/office/drawing/2014/main" id="{CB66FDE3-1B19-4719-A49C-E4DDE12C1BA2}"/>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8" name="TextBox 207">
          <a:extLst>
            <a:ext uri="{FF2B5EF4-FFF2-40B4-BE49-F238E27FC236}">
              <a16:creationId xmlns:a16="http://schemas.microsoft.com/office/drawing/2014/main" id="{66ED6C8C-23A8-492D-845D-F596952D1128}"/>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09" name="TextBox 208">
          <a:extLst>
            <a:ext uri="{FF2B5EF4-FFF2-40B4-BE49-F238E27FC236}">
              <a16:creationId xmlns:a16="http://schemas.microsoft.com/office/drawing/2014/main" id="{E0B2CC44-4024-4877-A1F9-745D17A7B6A8}"/>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10" name="TextBox 209">
          <a:extLst>
            <a:ext uri="{FF2B5EF4-FFF2-40B4-BE49-F238E27FC236}">
              <a16:creationId xmlns:a16="http://schemas.microsoft.com/office/drawing/2014/main" id="{1340A10D-6A22-4282-A54C-73AD65A541B3}"/>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11" name="TextBox 210">
          <a:extLst>
            <a:ext uri="{FF2B5EF4-FFF2-40B4-BE49-F238E27FC236}">
              <a16:creationId xmlns:a16="http://schemas.microsoft.com/office/drawing/2014/main" id="{B6F84605-A944-4A98-BC6E-D13EBCA5EFE2}"/>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12" name="TextBox 211">
          <a:extLst>
            <a:ext uri="{FF2B5EF4-FFF2-40B4-BE49-F238E27FC236}">
              <a16:creationId xmlns:a16="http://schemas.microsoft.com/office/drawing/2014/main" id="{89A07811-ECFA-4BC9-924D-DAA4968842B6}"/>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13" name="TextBox 212">
          <a:extLst>
            <a:ext uri="{FF2B5EF4-FFF2-40B4-BE49-F238E27FC236}">
              <a16:creationId xmlns:a16="http://schemas.microsoft.com/office/drawing/2014/main" id="{745DE69B-3179-45EF-9976-7732A162EED6}"/>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14" name="TextBox 213">
          <a:extLst>
            <a:ext uri="{FF2B5EF4-FFF2-40B4-BE49-F238E27FC236}">
              <a16:creationId xmlns:a16="http://schemas.microsoft.com/office/drawing/2014/main" id="{08185F36-689D-4BE0-93A6-DCB15B066BA9}"/>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15" name="TextBox 214">
          <a:extLst>
            <a:ext uri="{FF2B5EF4-FFF2-40B4-BE49-F238E27FC236}">
              <a16:creationId xmlns:a16="http://schemas.microsoft.com/office/drawing/2014/main" id="{A7AA65A2-D035-4498-ADD7-D58EC7CBB264}"/>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16" name="TextBox 215">
          <a:extLst>
            <a:ext uri="{FF2B5EF4-FFF2-40B4-BE49-F238E27FC236}">
              <a16:creationId xmlns:a16="http://schemas.microsoft.com/office/drawing/2014/main" id="{324DC585-6A12-4789-A5A6-6D105BCEC4A9}"/>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17" name="TextBox 216">
          <a:extLst>
            <a:ext uri="{FF2B5EF4-FFF2-40B4-BE49-F238E27FC236}">
              <a16:creationId xmlns:a16="http://schemas.microsoft.com/office/drawing/2014/main" id="{874C157A-9550-4704-BADE-9CA865B6173B}"/>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18" name="TextBox 217">
          <a:extLst>
            <a:ext uri="{FF2B5EF4-FFF2-40B4-BE49-F238E27FC236}">
              <a16:creationId xmlns:a16="http://schemas.microsoft.com/office/drawing/2014/main" id="{AEDF2A6B-E9E7-4D22-9DA2-59445E7B5FCC}"/>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19" name="TextBox 218">
          <a:extLst>
            <a:ext uri="{FF2B5EF4-FFF2-40B4-BE49-F238E27FC236}">
              <a16:creationId xmlns:a16="http://schemas.microsoft.com/office/drawing/2014/main" id="{832EEA54-D260-412C-BF4C-0945378B0BA8}"/>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0" name="TextBox 219">
          <a:extLst>
            <a:ext uri="{FF2B5EF4-FFF2-40B4-BE49-F238E27FC236}">
              <a16:creationId xmlns:a16="http://schemas.microsoft.com/office/drawing/2014/main" id="{7BA197F8-B791-4773-89CB-197648A82F7D}"/>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1" name="TextBox 220">
          <a:extLst>
            <a:ext uri="{FF2B5EF4-FFF2-40B4-BE49-F238E27FC236}">
              <a16:creationId xmlns:a16="http://schemas.microsoft.com/office/drawing/2014/main" id="{59FFA7DD-35A6-4058-8964-DC04DDC538F4}"/>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2" name="TextBox 221">
          <a:extLst>
            <a:ext uri="{FF2B5EF4-FFF2-40B4-BE49-F238E27FC236}">
              <a16:creationId xmlns:a16="http://schemas.microsoft.com/office/drawing/2014/main" id="{82217A57-FDD9-45AC-AF65-CC397CC4E267}"/>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3" name="TextBox 222">
          <a:extLst>
            <a:ext uri="{FF2B5EF4-FFF2-40B4-BE49-F238E27FC236}">
              <a16:creationId xmlns:a16="http://schemas.microsoft.com/office/drawing/2014/main" id="{FCDED724-9D3D-4CB2-BB3A-894F0206D940}"/>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4" name="TextBox 223">
          <a:extLst>
            <a:ext uri="{FF2B5EF4-FFF2-40B4-BE49-F238E27FC236}">
              <a16:creationId xmlns:a16="http://schemas.microsoft.com/office/drawing/2014/main" id="{5C17A829-4EAD-42A4-9A4B-8C66AAFACDAF}"/>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25" name="TextBox 224">
          <a:extLst>
            <a:ext uri="{FF2B5EF4-FFF2-40B4-BE49-F238E27FC236}">
              <a16:creationId xmlns:a16="http://schemas.microsoft.com/office/drawing/2014/main" id="{6B263F13-6B7F-4E72-A72D-61C8CE1CAE2B}"/>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26" name="TextBox 225">
          <a:extLst>
            <a:ext uri="{FF2B5EF4-FFF2-40B4-BE49-F238E27FC236}">
              <a16:creationId xmlns:a16="http://schemas.microsoft.com/office/drawing/2014/main" id="{6448B73D-E8C4-4B34-90B3-8DFDB3D8BEB7}"/>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27" name="TextBox 226">
          <a:extLst>
            <a:ext uri="{FF2B5EF4-FFF2-40B4-BE49-F238E27FC236}">
              <a16:creationId xmlns:a16="http://schemas.microsoft.com/office/drawing/2014/main" id="{2D76C6FF-C202-404F-8C1B-CAA1C45ED47B}"/>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28" name="TextBox 227">
          <a:extLst>
            <a:ext uri="{FF2B5EF4-FFF2-40B4-BE49-F238E27FC236}">
              <a16:creationId xmlns:a16="http://schemas.microsoft.com/office/drawing/2014/main" id="{19C3EB7F-0D3A-466A-B325-347E4AD68742}"/>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29" name="TextBox 228">
          <a:extLst>
            <a:ext uri="{FF2B5EF4-FFF2-40B4-BE49-F238E27FC236}">
              <a16:creationId xmlns:a16="http://schemas.microsoft.com/office/drawing/2014/main" id="{0431DEB5-A2A6-47CB-BEFB-9788686335AF}"/>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30" name="TextBox 229">
          <a:extLst>
            <a:ext uri="{FF2B5EF4-FFF2-40B4-BE49-F238E27FC236}">
              <a16:creationId xmlns:a16="http://schemas.microsoft.com/office/drawing/2014/main" id="{57A59C8D-1E87-4816-AF59-A1650CDF21F6}"/>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31" name="TextBox 230">
          <a:extLst>
            <a:ext uri="{FF2B5EF4-FFF2-40B4-BE49-F238E27FC236}">
              <a16:creationId xmlns:a16="http://schemas.microsoft.com/office/drawing/2014/main" id="{00E302C1-D00F-428F-9D57-5C97C33ADBC2}"/>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80</xdr:row>
      <xdr:rowOff>0</xdr:rowOff>
    </xdr:from>
    <xdr:ext cx="184731" cy="264560"/>
    <xdr:sp macro="" textlink="">
      <xdr:nvSpPr>
        <xdr:cNvPr id="232" name="TextBox 231">
          <a:extLst>
            <a:ext uri="{FF2B5EF4-FFF2-40B4-BE49-F238E27FC236}">
              <a16:creationId xmlns:a16="http://schemas.microsoft.com/office/drawing/2014/main" id="{B3F87670-E48D-420F-BB35-1E294F19F644}"/>
            </a:ext>
          </a:extLst>
        </xdr:cNvPr>
        <xdr:cNvSpPr txBox="1"/>
      </xdr:nvSpPr>
      <xdr:spPr>
        <a:xfrm>
          <a:off x="74710290" y="1523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3" name="TextBox 232">
          <a:extLst>
            <a:ext uri="{FF2B5EF4-FFF2-40B4-BE49-F238E27FC236}">
              <a16:creationId xmlns:a16="http://schemas.microsoft.com/office/drawing/2014/main" id="{3A7131D3-F87C-40BD-9F5D-9D17792CF688}"/>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4" name="TextBox 233">
          <a:extLst>
            <a:ext uri="{FF2B5EF4-FFF2-40B4-BE49-F238E27FC236}">
              <a16:creationId xmlns:a16="http://schemas.microsoft.com/office/drawing/2014/main" id="{EFF80CC6-B0AB-4D0C-8A3B-7FA931E7B7B4}"/>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5" name="TextBox 234">
          <a:extLst>
            <a:ext uri="{FF2B5EF4-FFF2-40B4-BE49-F238E27FC236}">
              <a16:creationId xmlns:a16="http://schemas.microsoft.com/office/drawing/2014/main" id="{1A50A72F-B69E-4AC7-ADAD-8DAB5D0B54E3}"/>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6" name="TextBox 235">
          <a:extLst>
            <a:ext uri="{FF2B5EF4-FFF2-40B4-BE49-F238E27FC236}">
              <a16:creationId xmlns:a16="http://schemas.microsoft.com/office/drawing/2014/main" id="{F012FB5F-9C05-4046-AA45-F4A400155A98}"/>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7" name="TextBox 236">
          <a:extLst>
            <a:ext uri="{FF2B5EF4-FFF2-40B4-BE49-F238E27FC236}">
              <a16:creationId xmlns:a16="http://schemas.microsoft.com/office/drawing/2014/main" id="{4C114212-7686-496D-AFBF-FC155D6013B2}"/>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8" name="TextBox 237">
          <a:extLst>
            <a:ext uri="{FF2B5EF4-FFF2-40B4-BE49-F238E27FC236}">
              <a16:creationId xmlns:a16="http://schemas.microsoft.com/office/drawing/2014/main" id="{F9683852-C2D4-43C1-970A-732BDC414B49}"/>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39" name="TextBox 238">
          <a:extLst>
            <a:ext uri="{FF2B5EF4-FFF2-40B4-BE49-F238E27FC236}">
              <a16:creationId xmlns:a16="http://schemas.microsoft.com/office/drawing/2014/main" id="{6E3DF18F-5096-4ED2-A4EC-6225BDF1BFDF}"/>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81</xdr:row>
      <xdr:rowOff>0</xdr:rowOff>
    </xdr:from>
    <xdr:ext cx="184731" cy="264560"/>
    <xdr:sp macro="" textlink="">
      <xdr:nvSpPr>
        <xdr:cNvPr id="240" name="TextBox 239">
          <a:extLst>
            <a:ext uri="{FF2B5EF4-FFF2-40B4-BE49-F238E27FC236}">
              <a16:creationId xmlns:a16="http://schemas.microsoft.com/office/drawing/2014/main" id="{B6368006-93E7-4B46-9446-F36362080D02}"/>
            </a:ext>
          </a:extLst>
        </xdr:cNvPr>
        <xdr:cNvSpPr txBox="1"/>
      </xdr:nvSpPr>
      <xdr:spPr>
        <a:xfrm>
          <a:off x="74710290" y="1542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241" name="TextBox 240">
          <a:extLst>
            <a:ext uri="{FF2B5EF4-FFF2-40B4-BE49-F238E27FC236}">
              <a16:creationId xmlns:a16="http://schemas.microsoft.com/office/drawing/2014/main" id="{92E3BBA4-1EE7-458E-909C-776E6D27825E}"/>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242" name="TextBox 241">
          <a:extLst>
            <a:ext uri="{FF2B5EF4-FFF2-40B4-BE49-F238E27FC236}">
              <a16:creationId xmlns:a16="http://schemas.microsoft.com/office/drawing/2014/main" id="{491886E1-2AFB-4820-9748-714492C9FFA9}"/>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243" name="TextBox 242">
          <a:extLst>
            <a:ext uri="{FF2B5EF4-FFF2-40B4-BE49-F238E27FC236}">
              <a16:creationId xmlns:a16="http://schemas.microsoft.com/office/drawing/2014/main" id="{F1D87797-721A-43F2-B1E2-9727279DE6F1}"/>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84</xdr:row>
      <xdr:rowOff>0</xdr:rowOff>
    </xdr:from>
    <xdr:ext cx="184731" cy="264560"/>
    <xdr:sp macro="" textlink="">
      <xdr:nvSpPr>
        <xdr:cNvPr id="244" name="TextBox 243">
          <a:extLst>
            <a:ext uri="{FF2B5EF4-FFF2-40B4-BE49-F238E27FC236}">
              <a16:creationId xmlns:a16="http://schemas.microsoft.com/office/drawing/2014/main" id="{EA526A85-73D8-4197-8B54-42BEBCEA3E8D}"/>
            </a:ext>
          </a:extLst>
        </xdr:cNvPr>
        <xdr:cNvSpPr txBox="1"/>
      </xdr:nvSpPr>
      <xdr:spPr>
        <a:xfrm>
          <a:off x="74710290"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45" name="TextBox 244">
          <a:extLst>
            <a:ext uri="{FF2B5EF4-FFF2-40B4-BE49-F238E27FC236}">
              <a16:creationId xmlns:a16="http://schemas.microsoft.com/office/drawing/2014/main" id="{955DBDB4-FE38-439C-9F09-F0D235582F83}"/>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46" name="TextBox 245">
          <a:extLst>
            <a:ext uri="{FF2B5EF4-FFF2-40B4-BE49-F238E27FC236}">
              <a16:creationId xmlns:a16="http://schemas.microsoft.com/office/drawing/2014/main" id="{3A59F69A-2E46-4B8E-8CA8-01CC82E6D3F6}"/>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47" name="TextBox 246">
          <a:extLst>
            <a:ext uri="{FF2B5EF4-FFF2-40B4-BE49-F238E27FC236}">
              <a16:creationId xmlns:a16="http://schemas.microsoft.com/office/drawing/2014/main" id="{76E9BC21-AFA9-43C8-9489-B7A83DA5E0E2}"/>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63</xdr:row>
      <xdr:rowOff>0</xdr:rowOff>
    </xdr:from>
    <xdr:ext cx="184731" cy="264560"/>
    <xdr:sp macro="" textlink="">
      <xdr:nvSpPr>
        <xdr:cNvPr id="248" name="TextBox 247">
          <a:extLst>
            <a:ext uri="{FF2B5EF4-FFF2-40B4-BE49-F238E27FC236}">
              <a16:creationId xmlns:a16="http://schemas.microsoft.com/office/drawing/2014/main" id="{7083244B-ABD4-46A9-A088-96BB0CDD0268}"/>
            </a:ext>
          </a:extLst>
        </xdr:cNvPr>
        <xdr:cNvSpPr txBox="1"/>
      </xdr:nvSpPr>
      <xdr:spPr>
        <a:xfrm>
          <a:off x="74710290" y="119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127</xdr:col>
      <xdr:colOff>0</xdr:colOff>
      <xdr:row>114</xdr:row>
      <xdr:rowOff>9525</xdr:rowOff>
    </xdr:from>
    <xdr:to>
      <xdr:col>127</xdr:col>
      <xdr:colOff>0</xdr:colOff>
      <xdr:row>128</xdr:row>
      <xdr:rowOff>104775</xdr:rowOff>
    </xdr:to>
    <xdr:sp macro="" textlink="">
      <xdr:nvSpPr>
        <xdr:cNvPr id="249" name="Text Box 1">
          <a:extLst>
            <a:ext uri="{FF2B5EF4-FFF2-40B4-BE49-F238E27FC236}">
              <a16:creationId xmlns:a16="http://schemas.microsoft.com/office/drawing/2014/main" id="{5718D01C-8C1F-4C7E-96C3-DF5C5F7007FC}"/>
            </a:ext>
          </a:extLst>
        </xdr:cNvPr>
        <xdr:cNvSpPr txBox="1">
          <a:spLocks noChangeArrowheads="1"/>
        </xdr:cNvSpPr>
      </xdr:nvSpPr>
      <xdr:spPr bwMode="auto">
        <a:xfrm>
          <a:off x="93059250" y="21717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110</xdr:row>
      <xdr:rowOff>76200</xdr:rowOff>
    </xdr:from>
    <xdr:to>
      <xdr:col>127</xdr:col>
      <xdr:colOff>15240</xdr:colOff>
      <xdr:row>114</xdr:row>
      <xdr:rowOff>142875</xdr:rowOff>
    </xdr:to>
    <xdr:sp macro="" textlink="">
      <xdr:nvSpPr>
        <xdr:cNvPr id="250" name="Text Box 2">
          <a:extLst>
            <a:ext uri="{FF2B5EF4-FFF2-40B4-BE49-F238E27FC236}">
              <a16:creationId xmlns:a16="http://schemas.microsoft.com/office/drawing/2014/main" id="{C70CC1E6-AAC1-47EF-86D7-655161EA4DCC}"/>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110</xdr:row>
      <xdr:rowOff>167640</xdr:rowOff>
    </xdr:from>
    <xdr:to>
      <xdr:col>127</xdr:col>
      <xdr:colOff>0</xdr:colOff>
      <xdr:row>113</xdr:row>
      <xdr:rowOff>93445</xdr:rowOff>
    </xdr:to>
    <xdr:sp macro="" textlink="">
      <xdr:nvSpPr>
        <xdr:cNvPr id="251" name="Text Box 3">
          <a:extLst>
            <a:ext uri="{FF2B5EF4-FFF2-40B4-BE49-F238E27FC236}">
              <a16:creationId xmlns:a16="http://schemas.microsoft.com/office/drawing/2014/main" id="{38A1EDE4-CE85-4CBB-A627-9440FF061474}"/>
            </a:ext>
          </a:extLst>
        </xdr:cNvPr>
        <xdr:cNvSpPr txBox="1">
          <a:spLocks noChangeArrowheads="1"/>
        </xdr:cNvSpPr>
      </xdr:nvSpPr>
      <xdr:spPr bwMode="auto">
        <a:xfrm>
          <a:off x="93059250" y="21113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118</xdr:row>
      <xdr:rowOff>160020</xdr:rowOff>
    </xdr:from>
    <xdr:to>
      <xdr:col>127</xdr:col>
      <xdr:colOff>0</xdr:colOff>
      <xdr:row>122</xdr:row>
      <xdr:rowOff>0</xdr:rowOff>
    </xdr:to>
    <xdr:sp macro="" textlink="">
      <xdr:nvSpPr>
        <xdr:cNvPr id="252" name="Text Box 4">
          <a:extLst>
            <a:ext uri="{FF2B5EF4-FFF2-40B4-BE49-F238E27FC236}">
              <a16:creationId xmlns:a16="http://schemas.microsoft.com/office/drawing/2014/main" id="{1BDF6583-2A3E-4642-BAB7-71D45955150E}"/>
            </a:ext>
          </a:extLst>
        </xdr:cNvPr>
        <xdr:cNvSpPr txBox="1">
          <a:spLocks noChangeArrowheads="1"/>
        </xdr:cNvSpPr>
      </xdr:nvSpPr>
      <xdr:spPr bwMode="auto">
        <a:xfrm>
          <a:off x="93059250" y="22629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132</xdr:row>
      <xdr:rowOff>38100</xdr:rowOff>
    </xdr:from>
    <xdr:to>
      <xdr:col>127</xdr:col>
      <xdr:colOff>0</xdr:colOff>
      <xdr:row>135</xdr:row>
      <xdr:rowOff>38100</xdr:rowOff>
    </xdr:to>
    <xdr:sp macro="" textlink="">
      <xdr:nvSpPr>
        <xdr:cNvPr id="253" name="Text Box 5">
          <a:extLst>
            <a:ext uri="{FF2B5EF4-FFF2-40B4-BE49-F238E27FC236}">
              <a16:creationId xmlns:a16="http://schemas.microsoft.com/office/drawing/2014/main" id="{F8270DE5-2376-483A-B07E-9A9C012B7D11}"/>
            </a:ext>
          </a:extLst>
        </xdr:cNvPr>
        <xdr:cNvSpPr txBox="1">
          <a:spLocks noChangeArrowheads="1"/>
        </xdr:cNvSpPr>
      </xdr:nvSpPr>
      <xdr:spPr bwMode="auto">
        <a:xfrm>
          <a:off x="93059250" y="25174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110</xdr:row>
      <xdr:rowOff>55245</xdr:rowOff>
    </xdr:from>
    <xdr:to>
      <xdr:col>127</xdr:col>
      <xdr:colOff>0</xdr:colOff>
      <xdr:row>113</xdr:row>
      <xdr:rowOff>0</xdr:rowOff>
    </xdr:to>
    <xdr:sp macro="" textlink="">
      <xdr:nvSpPr>
        <xdr:cNvPr id="254" name="Text Box 7">
          <a:extLst>
            <a:ext uri="{FF2B5EF4-FFF2-40B4-BE49-F238E27FC236}">
              <a16:creationId xmlns:a16="http://schemas.microsoft.com/office/drawing/2014/main" id="{4481B9EE-CC4C-4146-AEA2-C81C34F590D8}"/>
            </a:ext>
          </a:extLst>
        </xdr:cNvPr>
        <xdr:cNvSpPr txBox="1">
          <a:spLocks noChangeArrowheads="1"/>
        </xdr:cNvSpPr>
      </xdr:nvSpPr>
      <xdr:spPr bwMode="auto">
        <a:xfrm>
          <a:off x="93059250" y="21000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107</xdr:row>
      <xdr:rowOff>167640</xdr:rowOff>
    </xdr:from>
    <xdr:to>
      <xdr:col>127</xdr:col>
      <xdr:colOff>0</xdr:colOff>
      <xdr:row>112</xdr:row>
      <xdr:rowOff>131418</xdr:rowOff>
    </xdr:to>
    <xdr:sp macro="" textlink="">
      <xdr:nvSpPr>
        <xdr:cNvPr id="255" name="Text Box 8">
          <a:extLst>
            <a:ext uri="{FF2B5EF4-FFF2-40B4-BE49-F238E27FC236}">
              <a16:creationId xmlns:a16="http://schemas.microsoft.com/office/drawing/2014/main" id="{3EF9735F-B9EE-4C1C-A42D-FD68563BDD70}"/>
            </a:ext>
          </a:extLst>
        </xdr:cNvPr>
        <xdr:cNvSpPr txBox="1">
          <a:spLocks noChangeArrowheads="1"/>
        </xdr:cNvSpPr>
      </xdr:nvSpPr>
      <xdr:spPr bwMode="auto">
        <a:xfrm>
          <a:off x="93059250" y="20541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93</xdr:row>
      <xdr:rowOff>104775</xdr:rowOff>
    </xdr:from>
    <xdr:to>
      <xdr:col>127</xdr:col>
      <xdr:colOff>0</xdr:colOff>
      <xdr:row>98</xdr:row>
      <xdr:rowOff>121962</xdr:rowOff>
    </xdr:to>
    <xdr:sp macro="" textlink="">
      <xdr:nvSpPr>
        <xdr:cNvPr id="256" name="Text Box 9">
          <a:extLst>
            <a:ext uri="{FF2B5EF4-FFF2-40B4-BE49-F238E27FC236}">
              <a16:creationId xmlns:a16="http://schemas.microsoft.com/office/drawing/2014/main" id="{440F4FEF-BDF2-4EDC-84C1-1716396B00C4}"/>
            </a:ext>
          </a:extLst>
        </xdr:cNvPr>
        <xdr:cNvSpPr txBox="1">
          <a:spLocks noChangeArrowheads="1"/>
        </xdr:cNvSpPr>
      </xdr:nvSpPr>
      <xdr:spPr bwMode="auto">
        <a:xfrm>
          <a:off x="93059250" y="17811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115</xdr:row>
      <xdr:rowOff>76200</xdr:rowOff>
    </xdr:from>
    <xdr:to>
      <xdr:col>127</xdr:col>
      <xdr:colOff>0</xdr:colOff>
      <xdr:row>120</xdr:row>
      <xdr:rowOff>104775</xdr:rowOff>
    </xdr:to>
    <xdr:sp macro="" textlink="">
      <xdr:nvSpPr>
        <xdr:cNvPr id="257" name="Text Box 10">
          <a:extLst>
            <a:ext uri="{FF2B5EF4-FFF2-40B4-BE49-F238E27FC236}">
              <a16:creationId xmlns:a16="http://schemas.microsoft.com/office/drawing/2014/main" id="{AAA92AD5-1134-48BD-813C-E3819097FFFC}"/>
            </a:ext>
          </a:extLst>
        </xdr:cNvPr>
        <xdr:cNvSpPr txBox="1">
          <a:spLocks noChangeArrowheads="1"/>
        </xdr:cNvSpPr>
      </xdr:nvSpPr>
      <xdr:spPr bwMode="auto">
        <a:xfrm>
          <a:off x="93059250" y="21974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114</xdr:row>
      <xdr:rowOff>160020</xdr:rowOff>
    </xdr:from>
    <xdr:to>
      <xdr:col>127</xdr:col>
      <xdr:colOff>0</xdr:colOff>
      <xdr:row>120</xdr:row>
      <xdr:rowOff>19104</xdr:rowOff>
    </xdr:to>
    <xdr:sp macro="" textlink="">
      <xdr:nvSpPr>
        <xdr:cNvPr id="258" name="Text Box 11">
          <a:extLst>
            <a:ext uri="{FF2B5EF4-FFF2-40B4-BE49-F238E27FC236}">
              <a16:creationId xmlns:a16="http://schemas.microsoft.com/office/drawing/2014/main" id="{7710E2DA-BF10-4D83-8ED1-A90E3042DB43}"/>
            </a:ext>
          </a:extLst>
        </xdr:cNvPr>
        <xdr:cNvSpPr txBox="1">
          <a:spLocks noChangeArrowheads="1"/>
        </xdr:cNvSpPr>
      </xdr:nvSpPr>
      <xdr:spPr bwMode="auto">
        <a:xfrm>
          <a:off x="93059250" y="21867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114</xdr:row>
      <xdr:rowOff>9525</xdr:rowOff>
    </xdr:from>
    <xdr:to>
      <xdr:col>127</xdr:col>
      <xdr:colOff>0</xdr:colOff>
      <xdr:row>128</xdr:row>
      <xdr:rowOff>104775</xdr:rowOff>
    </xdr:to>
    <xdr:sp macro="" textlink="">
      <xdr:nvSpPr>
        <xdr:cNvPr id="259" name="Text Box 1">
          <a:extLst>
            <a:ext uri="{FF2B5EF4-FFF2-40B4-BE49-F238E27FC236}">
              <a16:creationId xmlns:a16="http://schemas.microsoft.com/office/drawing/2014/main" id="{E5C96BED-2484-4AAA-B02D-66B26BF4BC64}"/>
            </a:ext>
          </a:extLst>
        </xdr:cNvPr>
        <xdr:cNvSpPr txBox="1">
          <a:spLocks noChangeArrowheads="1"/>
        </xdr:cNvSpPr>
      </xdr:nvSpPr>
      <xdr:spPr bwMode="auto">
        <a:xfrm>
          <a:off x="93059250" y="21717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110</xdr:row>
      <xdr:rowOff>76200</xdr:rowOff>
    </xdr:from>
    <xdr:to>
      <xdr:col>127</xdr:col>
      <xdr:colOff>15240</xdr:colOff>
      <xdr:row>114</xdr:row>
      <xdr:rowOff>142875</xdr:rowOff>
    </xdr:to>
    <xdr:sp macro="" textlink="">
      <xdr:nvSpPr>
        <xdr:cNvPr id="260" name="Text Box 2">
          <a:extLst>
            <a:ext uri="{FF2B5EF4-FFF2-40B4-BE49-F238E27FC236}">
              <a16:creationId xmlns:a16="http://schemas.microsoft.com/office/drawing/2014/main" id="{950BEABC-9BDB-4363-94D9-DA601736C1B4}"/>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110</xdr:row>
      <xdr:rowOff>167640</xdr:rowOff>
    </xdr:from>
    <xdr:to>
      <xdr:col>127</xdr:col>
      <xdr:colOff>0</xdr:colOff>
      <xdr:row>113</xdr:row>
      <xdr:rowOff>93445</xdr:rowOff>
    </xdr:to>
    <xdr:sp macro="" textlink="">
      <xdr:nvSpPr>
        <xdr:cNvPr id="261" name="Text Box 3">
          <a:extLst>
            <a:ext uri="{FF2B5EF4-FFF2-40B4-BE49-F238E27FC236}">
              <a16:creationId xmlns:a16="http://schemas.microsoft.com/office/drawing/2014/main" id="{C879F781-1455-4F2F-84A9-79BA7AD526B9}"/>
            </a:ext>
          </a:extLst>
        </xdr:cNvPr>
        <xdr:cNvSpPr txBox="1">
          <a:spLocks noChangeArrowheads="1"/>
        </xdr:cNvSpPr>
      </xdr:nvSpPr>
      <xdr:spPr bwMode="auto">
        <a:xfrm>
          <a:off x="93059250" y="21113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118</xdr:row>
      <xdr:rowOff>160020</xdr:rowOff>
    </xdr:from>
    <xdr:to>
      <xdr:col>127</xdr:col>
      <xdr:colOff>0</xdr:colOff>
      <xdr:row>122</xdr:row>
      <xdr:rowOff>0</xdr:rowOff>
    </xdr:to>
    <xdr:sp macro="" textlink="">
      <xdr:nvSpPr>
        <xdr:cNvPr id="262" name="Text Box 4">
          <a:extLst>
            <a:ext uri="{FF2B5EF4-FFF2-40B4-BE49-F238E27FC236}">
              <a16:creationId xmlns:a16="http://schemas.microsoft.com/office/drawing/2014/main" id="{3ECAC64B-0F15-44B6-A080-62C3FA2CB045}"/>
            </a:ext>
          </a:extLst>
        </xdr:cNvPr>
        <xdr:cNvSpPr txBox="1">
          <a:spLocks noChangeArrowheads="1"/>
        </xdr:cNvSpPr>
      </xdr:nvSpPr>
      <xdr:spPr bwMode="auto">
        <a:xfrm>
          <a:off x="93059250" y="22629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132</xdr:row>
      <xdr:rowOff>38100</xdr:rowOff>
    </xdr:from>
    <xdr:to>
      <xdr:col>127</xdr:col>
      <xdr:colOff>0</xdr:colOff>
      <xdr:row>135</xdr:row>
      <xdr:rowOff>38100</xdr:rowOff>
    </xdr:to>
    <xdr:sp macro="" textlink="">
      <xdr:nvSpPr>
        <xdr:cNvPr id="263" name="Text Box 5">
          <a:extLst>
            <a:ext uri="{FF2B5EF4-FFF2-40B4-BE49-F238E27FC236}">
              <a16:creationId xmlns:a16="http://schemas.microsoft.com/office/drawing/2014/main" id="{5914CE00-4F73-472B-8F1A-A657C1D2B24F}"/>
            </a:ext>
          </a:extLst>
        </xdr:cNvPr>
        <xdr:cNvSpPr txBox="1">
          <a:spLocks noChangeArrowheads="1"/>
        </xdr:cNvSpPr>
      </xdr:nvSpPr>
      <xdr:spPr bwMode="auto">
        <a:xfrm>
          <a:off x="93059250" y="25174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110</xdr:row>
      <xdr:rowOff>55245</xdr:rowOff>
    </xdr:from>
    <xdr:to>
      <xdr:col>127</xdr:col>
      <xdr:colOff>0</xdr:colOff>
      <xdr:row>113</xdr:row>
      <xdr:rowOff>0</xdr:rowOff>
    </xdr:to>
    <xdr:sp macro="" textlink="">
      <xdr:nvSpPr>
        <xdr:cNvPr id="264" name="Text Box 7">
          <a:extLst>
            <a:ext uri="{FF2B5EF4-FFF2-40B4-BE49-F238E27FC236}">
              <a16:creationId xmlns:a16="http://schemas.microsoft.com/office/drawing/2014/main" id="{0D983FFE-2B98-4C3E-8054-B75DBDCA32CA}"/>
            </a:ext>
          </a:extLst>
        </xdr:cNvPr>
        <xdr:cNvSpPr txBox="1">
          <a:spLocks noChangeArrowheads="1"/>
        </xdr:cNvSpPr>
      </xdr:nvSpPr>
      <xdr:spPr bwMode="auto">
        <a:xfrm>
          <a:off x="93059250" y="21000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107</xdr:row>
      <xdr:rowOff>167640</xdr:rowOff>
    </xdr:from>
    <xdr:to>
      <xdr:col>127</xdr:col>
      <xdr:colOff>0</xdr:colOff>
      <xdr:row>112</xdr:row>
      <xdr:rowOff>131418</xdr:rowOff>
    </xdr:to>
    <xdr:sp macro="" textlink="">
      <xdr:nvSpPr>
        <xdr:cNvPr id="265" name="Text Box 8">
          <a:extLst>
            <a:ext uri="{FF2B5EF4-FFF2-40B4-BE49-F238E27FC236}">
              <a16:creationId xmlns:a16="http://schemas.microsoft.com/office/drawing/2014/main" id="{D22AF238-EDDA-428C-A620-5E10B4A0BA06}"/>
            </a:ext>
          </a:extLst>
        </xdr:cNvPr>
        <xdr:cNvSpPr txBox="1">
          <a:spLocks noChangeArrowheads="1"/>
        </xdr:cNvSpPr>
      </xdr:nvSpPr>
      <xdr:spPr bwMode="auto">
        <a:xfrm>
          <a:off x="93059250" y="20541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93</xdr:row>
      <xdr:rowOff>104775</xdr:rowOff>
    </xdr:from>
    <xdr:to>
      <xdr:col>127</xdr:col>
      <xdr:colOff>0</xdr:colOff>
      <xdr:row>98</xdr:row>
      <xdr:rowOff>121962</xdr:rowOff>
    </xdr:to>
    <xdr:sp macro="" textlink="">
      <xdr:nvSpPr>
        <xdr:cNvPr id="266" name="Text Box 9">
          <a:extLst>
            <a:ext uri="{FF2B5EF4-FFF2-40B4-BE49-F238E27FC236}">
              <a16:creationId xmlns:a16="http://schemas.microsoft.com/office/drawing/2014/main" id="{20220C1B-EDB3-4986-93D6-F905FA70D6DB}"/>
            </a:ext>
          </a:extLst>
        </xdr:cNvPr>
        <xdr:cNvSpPr txBox="1">
          <a:spLocks noChangeArrowheads="1"/>
        </xdr:cNvSpPr>
      </xdr:nvSpPr>
      <xdr:spPr bwMode="auto">
        <a:xfrm>
          <a:off x="93059250" y="17811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115</xdr:row>
      <xdr:rowOff>76200</xdr:rowOff>
    </xdr:from>
    <xdr:to>
      <xdr:col>127</xdr:col>
      <xdr:colOff>0</xdr:colOff>
      <xdr:row>120</xdr:row>
      <xdr:rowOff>104775</xdr:rowOff>
    </xdr:to>
    <xdr:sp macro="" textlink="">
      <xdr:nvSpPr>
        <xdr:cNvPr id="267" name="Text Box 10">
          <a:extLst>
            <a:ext uri="{FF2B5EF4-FFF2-40B4-BE49-F238E27FC236}">
              <a16:creationId xmlns:a16="http://schemas.microsoft.com/office/drawing/2014/main" id="{0203B9E7-6FC9-4CDC-BCEF-FF7B9EA72D9E}"/>
            </a:ext>
          </a:extLst>
        </xdr:cNvPr>
        <xdr:cNvSpPr txBox="1">
          <a:spLocks noChangeArrowheads="1"/>
        </xdr:cNvSpPr>
      </xdr:nvSpPr>
      <xdr:spPr bwMode="auto">
        <a:xfrm>
          <a:off x="93059250" y="21974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114</xdr:row>
      <xdr:rowOff>160020</xdr:rowOff>
    </xdr:from>
    <xdr:to>
      <xdr:col>127</xdr:col>
      <xdr:colOff>0</xdr:colOff>
      <xdr:row>120</xdr:row>
      <xdr:rowOff>19104</xdr:rowOff>
    </xdr:to>
    <xdr:sp macro="" textlink="">
      <xdr:nvSpPr>
        <xdr:cNvPr id="268" name="Text Box 11">
          <a:extLst>
            <a:ext uri="{FF2B5EF4-FFF2-40B4-BE49-F238E27FC236}">
              <a16:creationId xmlns:a16="http://schemas.microsoft.com/office/drawing/2014/main" id="{CE3553FD-2F03-4FC6-B7C0-8CEDE1D30DC9}"/>
            </a:ext>
          </a:extLst>
        </xdr:cNvPr>
        <xdr:cNvSpPr txBox="1">
          <a:spLocks noChangeArrowheads="1"/>
        </xdr:cNvSpPr>
      </xdr:nvSpPr>
      <xdr:spPr bwMode="auto">
        <a:xfrm>
          <a:off x="93059250" y="21867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32</xdr:row>
      <xdr:rowOff>9525</xdr:rowOff>
    </xdr:from>
    <xdr:to>
      <xdr:col>127</xdr:col>
      <xdr:colOff>0</xdr:colOff>
      <xdr:row>46</xdr:row>
      <xdr:rowOff>104775</xdr:rowOff>
    </xdr:to>
    <xdr:sp macro="" textlink="">
      <xdr:nvSpPr>
        <xdr:cNvPr id="269" name="Text Box 1">
          <a:extLst>
            <a:ext uri="{FF2B5EF4-FFF2-40B4-BE49-F238E27FC236}">
              <a16:creationId xmlns:a16="http://schemas.microsoft.com/office/drawing/2014/main" id="{29D5DACC-C187-47E2-B9B2-F4555915D46A}"/>
            </a:ext>
          </a:extLst>
        </xdr:cNvPr>
        <xdr:cNvSpPr txBox="1">
          <a:spLocks noChangeArrowheads="1"/>
        </xdr:cNvSpPr>
      </xdr:nvSpPr>
      <xdr:spPr bwMode="auto">
        <a:xfrm>
          <a:off x="93059250" y="6096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28</xdr:row>
      <xdr:rowOff>76200</xdr:rowOff>
    </xdr:from>
    <xdr:to>
      <xdr:col>127</xdr:col>
      <xdr:colOff>15240</xdr:colOff>
      <xdr:row>32</xdr:row>
      <xdr:rowOff>142875</xdr:rowOff>
    </xdr:to>
    <xdr:sp macro="" textlink="">
      <xdr:nvSpPr>
        <xdr:cNvPr id="270" name="Text Box 2">
          <a:extLst>
            <a:ext uri="{FF2B5EF4-FFF2-40B4-BE49-F238E27FC236}">
              <a16:creationId xmlns:a16="http://schemas.microsoft.com/office/drawing/2014/main" id="{7384926A-0AE5-4B4C-B107-2D8AE0CD4004}"/>
            </a:ext>
          </a:extLst>
        </xdr:cNvPr>
        <xdr:cNvSpPr txBox="1">
          <a:spLocks noChangeArrowheads="1"/>
        </xdr:cNvSpPr>
      </xdr:nvSpPr>
      <xdr:spPr bwMode="auto">
        <a:xfrm>
          <a:off x="93074490" y="5400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28</xdr:row>
      <xdr:rowOff>167640</xdr:rowOff>
    </xdr:from>
    <xdr:to>
      <xdr:col>127</xdr:col>
      <xdr:colOff>0</xdr:colOff>
      <xdr:row>31</xdr:row>
      <xdr:rowOff>93445</xdr:rowOff>
    </xdr:to>
    <xdr:sp macro="" textlink="">
      <xdr:nvSpPr>
        <xdr:cNvPr id="271" name="Text Box 3">
          <a:extLst>
            <a:ext uri="{FF2B5EF4-FFF2-40B4-BE49-F238E27FC236}">
              <a16:creationId xmlns:a16="http://schemas.microsoft.com/office/drawing/2014/main" id="{2AD86246-A29D-4F42-A594-5A7C747A4B86}"/>
            </a:ext>
          </a:extLst>
        </xdr:cNvPr>
        <xdr:cNvSpPr txBox="1">
          <a:spLocks noChangeArrowheads="1"/>
        </xdr:cNvSpPr>
      </xdr:nvSpPr>
      <xdr:spPr bwMode="auto">
        <a:xfrm>
          <a:off x="93059250" y="5492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36</xdr:row>
      <xdr:rowOff>160020</xdr:rowOff>
    </xdr:from>
    <xdr:to>
      <xdr:col>127</xdr:col>
      <xdr:colOff>0</xdr:colOff>
      <xdr:row>40</xdr:row>
      <xdr:rowOff>0</xdr:rowOff>
    </xdr:to>
    <xdr:sp macro="" textlink="">
      <xdr:nvSpPr>
        <xdr:cNvPr id="272" name="Text Box 4">
          <a:extLst>
            <a:ext uri="{FF2B5EF4-FFF2-40B4-BE49-F238E27FC236}">
              <a16:creationId xmlns:a16="http://schemas.microsoft.com/office/drawing/2014/main" id="{BB9BB682-A968-45B7-AA7A-96F9A20EE6ED}"/>
            </a:ext>
          </a:extLst>
        </xdr:cNvPr>
        <xdr:cNvSpPr txBox="1">
          <a:spLocks noChangeArrowheads="1"/>
        </xdr:cNvSpPr>
      </xdr:nvSpPr>
      <xdr:spPr bwMode="auto">
        <a:xfrm>
          <a:off x="93059250" y="7008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51</xdr:row>
      <xdr:rowOff>38100</xdr:rowOff>
    </xdr:from>
    <xdr:to>
      <xdr:col>127</xdr:col>
      <xdr:colOff>0</xdr:colOff>
      <xdr:row>54</xdr:row>
      <xdr:rowOff>38100</xdr:rowOff>
    </xdr:to>
    <xdr:sp macro="" textlink="">
      <xdr:nvSpPr>
        <xdr:cNvPr id="273" name="Text Box 5">
          <a:extLst>
            <a:ext uri="{FF2B5EF4-FFF2-40B4-BE49-F238E27FC236}">
              <a16:creationId xmlns:a16="http://schemas.microsoft.com/office/drawing/2014/main" id="{258B7D9B-4238-4A3F-A6E1-A0F38A2CE753}"/>
            </a:ext>
          </a:extLst>
        </xdr:cNvPr>
        <xdr:cNvSpPr txBox="1">
          <a:spLocks noChangeArrowheads="1"/>
        </xdr:cNvSpPr>
      </xdr:nvSpPr>
      <xdr:spPr bwMode="auto">
        <a:xfrm>
          <a:off x="93059250" y="97440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28</xdr:row>
      <xdr:rowOff>55245</xdr:rowOff>
    </xdr:from>
    <xdr:to>
      <xdr:col>127</xdr:col>
      <xdr:colOff>0</xdr:colOff>
      <xdr:row>31</xdr:row>
      <xdr:rowOff>0</xdr:rowOff>
    </xdr:to>
    <xdr:sp macro="" textlink="">
      <xdr:nvSpPr>
        <xdr:cNvPr id="274" name="Text Box 7">
          <a:extLst>
            <a:ext uri="{FF2B5EF4-FFF2-40B4-BE49-F238E27FC236}">
              <a16:creationId xmlns:a16="http://schemas.microsoft.com/office/drawing/2014/main" id="{27F55187-4977-41F5-B3A5-A8D9E5D73745}"/>
            </a:ext>
          </a:extLst>
        </xdr:cNvPr>
        <xdr:cNvSpPr txBox="1">
          <a:spLocks noChangeArrowheads="1"/>
        </xdr:cNvSpPr>
      </xdr:nvSpPr>
      <xdr:spPr bwMode="auto">
        <a:xfrm>
          <a:off x="93059250" y="5379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25</xdr:row>
      <xdr:rowOff>167640</xdr:rowOff>
    </xdr:from>
    <xdr:to>
      <xdr:col>127</xdr:col>
      <xdr:colOff>0</xdr:colOff>
      <xdr:row>30</xdr:row>
      <xdr:rowOff>131418</xdr:rowOff>
    </xdr:to>
    <xdr:sp macro="" textlink="">
      <xdr:nvSpPr>
        <xdr:cNvPr id="275" name="Text Box 8">
          <a:extLst>
            <a:ext uri="{FF2B5EF4-FFF2-40B4-BE49-F238E27FC236}">
              <a16:creationId xmlns:a16="http://schemas.microsoft.com/office/drawing/2014/main" id="{3DD392E2-86C6-4299-B70B-A994C62CCBD1}"/>
            </a:ext>
          </a:extLst>
        </xdr:cNvPr>
        <xdr:cNvSpPr txBox="1">
          <a:spLocks noChangeArrowheads="1"/>
        </xdr:cNvSpPr>
      </xdr:nvSpPr>
      <xdr:spPr bwMode="auto">
        <a:xfrm>
          <a:off x="93059250" y="4920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11</xdr:row>
      <xdr:rowOff>104775</xdr:rowOff>
    </xdr:from>
    <xdr:to>
      <xdr:col>127</xdr:col>
      <xdr:colOff>0</xdr:colOff>
      <xdr:row>16</xdr:row>
      <xdr:rowOff>121962</xdr:rowOff>
    </xdr:to>
    <xdr:sp macro="" textlink="">
      <xdr:nvSpPr>
        <xdr:cNvPr id="276" name="Text Box 9">
          <a:extLst>
            <a:ext uri="{FF2B5EF4-FFF2-40B4-BE49-F238E27FC236}">
              <a16:creationId xmlns:a16="http://schemas.microsoft.com/office/drawing/2014/main" id="{99F7A81D-BB69-4ED4-9077-5A4958F89DBB}"/>
            </a:ext>
          </a:extLst>
        </xdr:cNvPr>
        <xdr:cNvSpPr txBox="1">
          <a:spLocks noChangeArrowheads="1"/>
        </xdr:cNvSpPr>
      </xdr:nvSpPr>
      <xdr:spPr bwMode="auto">
        <a:xfrm>
          <a:off x="93059250" y="2190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33</xdr:row>
      <xdr:rowOff>76200</xdr:rowOff>
    </xdr:from>
    <xdr:to>
      <xdr:col>127</xdr:col>
      <xdr:colOff>0</xdr:colOff>
      <xdr:row>38</xdr:row>
      <xdr:rowOff>104775</xdr:rowOff>
    </xdr:to>
    <xdr:sp macro="" textlink="">
      <xdr:nvSpPr>
        <xdr:cNvPr id="277" name="Text Box 10">
          <a:extLst>
            <a:ext uri="{FF2B5EF4-FFF2-40B4-BE49-F238E27FC236}">
              <a16:creationId xmlns:a16="http://schemas.microsoft.com/office/drawing/2014/main" id="{647D1CC2-F0C6-4429-85D1-C46259B044F3}"/>
            </a:ext>
          </a:extLst>
        </xdr:cNvPr>
        <xdr:cNvSpPr txBox="1">
          <a:spLocks noChangeArrowheads="1"/>
        </xdr:cNvSpPr>
      </xdr:nvSpPr>
      <xdr:spPr bwMode="auto">
        <a:xfrm>
          <a:off x="93059250" y="6353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32</xdr:row>
      <xdr:rowOff>160020</xdr:rowOff>
    </xdr:from>
    <xdr:to>
      <xdr:col>127</xdr:col>
      <xdr:colOff>0</xdr:colOff>
      <xdr:row>38</xdr:row>
      <xdr:rowOff>19104</xdr:rowOff>
    </xdr:to>
    <xdr:sp macro="" textlink="">
      <xdr:nvSpPr>
        <xdr:cNvPr id="278" name="Text Box 11">
          <a:extLst>
            <a:ext uri="{FF2B5EF4-FFF2-40B4-BE49-F238E27FC236}">
              <a16:creationId xmlns:a16="http://schemas.microsoft.com/office/drawing/2014/main" id="{3D17A9C5-200D-426D-AA2C-B90053EC2B97}"/>
            </a:ext>
          </a:extLst>
        </xdr:cNvPr>
        <xdr:cNvSpPr txBox="1">
          <a:spLocks noChangeArrowheads="1"/>
        </xdr:cNvSpPr>
      </xdr:nvSpPr>
      <xdr:spPr bwMode="auto">
        <a:xfrm>
          <a:off x="93059250" y="6246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32</xdr:row>
      <xdr:rowOff>9525</xdr:rowOff>
    </xdr:from>
    <xdr:to>
      <xdr:col>127</xdr:col>
      <xdr:colOff>0</xdr:colOff>
      <xdr:row>46</xdr:row>
      <xdr:rowOff>104775</xdr:rowOff>
    </xdr:to>
    <xdr:sp macro="" textlink="">
      <xdr:nvSpPr>
        <xdr:cNvPr id="279" name="Text Box 1">
          <a:extLst>
            <a:ext uri="{FF2B5EF4-FFF2-40B4-BE49-F238E27FC236}">
              <a16:creationId xmlns:a16="http://schemas.microsoft.com/office/drawing/2014/main" id="{8CBBEC1C-EEE7-4FB8-B100-172BCB6282D4}"/>
            </a:ext>
          </a:extLst>
        </xdr:cNvPr>
        <xdr:cNvSpPr txBox="1">
          <a:spLocks noChangeArrowheads="1"/>
        </xdr:cNvSpPr>
      </xdr:nvSpPr>
      <xdr:spPr bwMode="auto">
        <a:xfrm>
          <a:off x="93059250" y="60960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28</xdr:row>
      <xdr:rowOff>76200</xdr:rowOff>
    </xdr:from>
    <xdr:to>
      <xdr:col>127</xdr:col>
      <xdr:colOff>15240</xdr:colOff>
      <xdr:row>32</xdr:row>
      <xdr:rowOff>142875</xdr:rowOff>
    </xdr:to>
    <xdr:sp macro="" textlink="">
      <xdr:nvSpPr>
        <xdr:cNvPr id="280" name="Text Box 2">
          <a:extLst>
            <a:ext uri="{FF2B5EF4-FFF2-40B4-BE49-F238E27FC236}">
              <a16:creationId xmlns:a16="http://schemas.microsoft.com/office/drawing/2014/main" id="{B8BAD78F-49F7-4467-9A1D-597DF1B4C56D}"/>
            </a:ext>
          </a:extLst>
        </xdr:cNvPr>
        <xdr:cNvSpPr txBox="1">
          <a:spLocks noChangeArrowheads="1"/>
        </xdr:cNvSpPr>
      </xdr:nvSpPr>
      <xdr:spPr bwMode="auto">
        <a:xfrm>
          <a:off x="93074490" y="5400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28</xdr:row>
      <xdr:rowOff>167640</xdr:rowOff>
    </xdr:from>
    <xdr:to>
      <xdr:col>127</xdr:col>
      <xdr:colOff>0</xdr:colOff>
      <xdr:row>31</xdr:row>
      <xdr:rowOff>93445</xdr:rowOff>
    </xdr:to>
    <xdr:sp macro="" textlink="">
      <xdr:nvSpPr>
        <xdr:cNvPr id="281" name="Text Box 3">
          <a:extLst>
            <a:ext uri="{FF2B5EF4-FFF2-40B4-BE49-F238E27FC236}">
              <a16:creationId xmlns:a16="http://schemas.microsoft.com/office/drawing/2014/main" id="{378293A4-A1DA-4813-8280-C74662D75755}"/>
            </a:ext>
          </a:extLst>
        </xdr:cNvPr>
        <xdr:cNvSpPr txBox="1">
          <a:spLocks noChangeArrowheads="1"/>
        </xdr:cNvSpPr>
      </xdr:nvSpPr>
      <xdr:spPr bwMode="auto">
        <a:xfrm>
          <a:off x="93059250" y="54921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36</xdr:row>
      <xdr:rowOff>160020</xdr:rowOff>
    </xdr:from>
    <xdr:to>
      <xdr:col>127</xdr:col>
      <xdr:colOff>0</xdr:colOff>
      <xdr:row>40</xdr:row>
      <xdr:rowOff>0</xdr:rowOff>
    </xdr:to>
    <xdr:sp macro="" textlink="">
      <xdr:nvSpPr>
        <xdr:cNvPr id="282" name="Text Box 4">
          <a:extLst>
            <a:ext uri="{FF2B5EF4-FFF2-40B4-BE49-F238E27FC236}">
              <a16:creationId xmlns:a16="http://schemas.microsoft.com/office/drawing/2014/main" id="{E50F62B0-63A1-4853-BFE2-209971706B01}"/>
            </a:ext>
          </a:extLst>
        </xdr:cNvPr>
        <xdr:cNvSpPr txBox="1">
          <a:spLocks noChangeArrowheads="1"/>
        </xdr:cNvSpPr>
      </xdr:nvSpPr>
      <xdr:spPr bwMode="auto">
        <a:xfrm>
          <a:off x="93059250" y="70084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51</xdr:row>
      <xdr:rowOff>38100</xdr:rowOff>
    </xdr:from>
    <xdr:to>
      <xdr:col>127</xdr:col>
      <xdr:colOff>0</xdr:colOff>
      <xdr:row>54</xdr:row>
      <xdr:rowOff>38100</xdr:rowOff>
    </xdr:to>
    <xdr:sp macro="" textlink="">
      <xdr:nvSpPr>
        <xdr:cNvPr id="283" name="Text Box 5">
          <a:extLst>
            <a:ext uri="{FF2B5EF4-FFF2-40B4-BE49-F238E27FC236}">
              <a16:creationId xmlns:a16="http://schemas.microsoft.com/office/drawing/2014/main" id="{0FF4D1DE-2BEB-469F-86C8-FCA23171B59A}"/>
            </a:ext>
          </a:extLst>
        </xdr:cNvPr>
        <xdr:cNvSpPr txBox="1">
          <a:spLocks noChangeArrowheads="1"/>
        </xdr:cNvSpPr>
      </xdr:nvSpPr>
      <xdr:spPr bwMode="auto">
        <a:xfrm>
          <a:off x="93059250" y="97440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28</xdr:row>
      <xdr:rowOff>55245</xdr:rowOff>
    </xdr:from>
    <xdr:to>
      <xdr:col>127</xdr:col>
      <xdr:colOff>0</xdr:colOff>
      <xdr:row>31</xdr:row>
      <xdr:rowOff>0</xdr:rowOff>
    </xdr:to>
    <xdr:sp macro="" textlink="">
      <xdr:nvSpPr>
        <xdr:cNvPr id="284" name="Text Box 7">
          <a:extLst>
            <a:ext uri="{FF2B5EF4-FFF2-40B4-BE49-F238E27FC236}">
              <a16:creationId xmlns:a16="http://schemas.microsoft.com/office/drawing/2014/main" id="{8C09883B-3A74-4D8F-9604-CEF4FAAC47A2}"/>
            </a:ext>
          </a:extLst>
        </xdr:cNvPr>
        <xdr:cNvSpPr txBox="1">
          <a:spLocks noChangeArrowheads="1"/>
        </xdr:cNvSpPr>
      </xdr:nvSpPr>
      <xdr:spPr bwMode="auto">
        <a:xfrm>
          <a:off x="93059250" y="53797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25</xdr:row>
      <xdr:rowOff>167640</xdr:rowOff>
    </xdr:from>
    <xdr:to>
      <xdr:col>127</xdr:col>
      <xdr:colOff>0</xdr:colOff>
      <xdr:row>30</xdr:row>
      <xdr:rowOff>131418</xdr:rowOff>
    </xdr:to>
    <xdr:sp macro="" textlink="">
      <xdr:nvSpPr>
        <xdr:cNvPr id="285" name="Text Box 8">
          <a:extLst>
            <a:ext uri="{FF2B5EF4-FFF2-40B4-BE49-F238E27FC236}">
              <a16:creationId xmlns:a16="http://schemas.microsoft.com/office/drawing/2014/main" id="{715B7A03-5A93-4C28-8348-7083E8C7354F}"/>
            </a:ext>
          </a:extLst>
        </xdr:cNvPr>
        <xdr:cNvSpPr txBox="1">
          <a:spLocks noChangeArrowheads="1"/>
        </xdr:cNvSpPr>
      </xdr:nvSpPr>
      <xdr:spPr bwMode="auto">
        <a:xfrm>
          <a:off x="93059250" y="49206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11</xdr:row>
      <xdr:rowOff>104775</xdr:rowOff>
    </xdr:from>
    <xdr:to>
      <xdr:col>127</xdr:col>
      <xdr:colOff>0</xdr:colOff>
      <xdr:row>16</xdr:row>
      <xdr:rowOff>121962</xdr:rowOff>
    </xdr:to>
    <xdr:sp macro="" textlink="">
      <xdr:nvSpPr>
        <xdr:cNvPr id="286" name="Text Box 9">
          <a:extLst>
            <a:ext uri="{FF2B5EF4-FFF2-40B4-BE49-F238E27FC236}">
              <a16:creationId xmlns:a16="http://schemas.microsoft.com/office/drawing/2014/main" id="{41661D29-1478-47F7-9BAA-123A5E69F0F2}"/>
            </a:ext>
          </a:extLst>
        </xdr:cNvPr>
        <xdr:cNvSpPr txBox="1">
          <a:spLocks noChangeArrowheads="1"/>
        </xdr:cNvSpPr>
      </xdr:nvSpPr>
      <xdr:spPr bwMode="auto">
        <a:xfrm>
          <a:off x="93059250" y="21907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33</xdr:row>
      <xdr:rowOff>76200</xdr:rowOff>
    </xdr:from>
    <xdr:to>
      <xdr:col>127</xdr:col>
      <xdr:colOff>0</xdr:colOff>
      <xdr:row>38</xdr:row>
      <xdr:rowOff>104775</xdr:rowOff>
    </xdr:to>
    <xdr:sp macro="" textlink="">
      <xdr:nvSpPr>
        <xdr:cNvPr id="287" name="Text Box 10">
          <a:extLst>
            <a:ext uri="{FF2B5EF4-FFF2-40B4-BE49-F238E27FC236}">
              <a16:creationId xmlns:a16="http://schemas.microsoft.com/office/drawing/2014/main" id="{5B78C943-2333-44DC-A6EF-63188519B4CF}"/>
            </a:ext>
          </a:extLst>
        </xdr:cNvPr>
        <xdr:cNvSpPr txBox="1">
          <a:spLocks noChangeArrowheads="1"/>
        </xdr:cNvSpPr>
      </xdr:nvSpPr>
      <xdr:spPr bwMode="auto">
        <a:xfrm>
          <a:off x="93059250" y="63531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32</xdr:row>
      <xdr:rowOff>160020</xdr:rowOff>
    </xdr:from>
    <xdr:to>
      <xdr:col>127</xdr:col>
      <xdr:colOff>0</xdr:colOff>
      <xdr:row>38</xdr:row>
      <xdr:rowOff>19104</xdr:rowOff>
    </xdr:to>
    <xdr:sp macro="" textlink="">
      <xdr:nvSpPr>
        <xdr:cNvPr id="288" name="Text Box 11">
          <a:extLst>
            <a:ext uri="{FF2B5EF4-FFF2-40B4-BE49-F238E27FC236}">
              <a16:creationId xmlns:a16="http://schemas.microsoft.com/office/drawing/2014/main" id="{A03D6DA6-C363-45B5-9FBA-46826B7DED27}"/>
            </a:ext>
          </a:extLst>
        </xdr:cNvPr>
        <xdr:cNvSpPr txBox="1">
          <a:spLocks noChangeArrowheads="1"/>
        </xdr:cNvSpPr>
      </xdr:nvSpPr>
      <xdr:spPr bwMode="auto">
        <a:xfrm>
          <a:off x="93059250" y="62464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289" name="Text Box 2">
          <a:extLst>
            <a:ext uri="{FF2B5EF4-FFF2-40B4-BE49-F238E27FC236}">
              <a16:creationId xmlns:a16="http://schemas.microsoft.com/office/drawing/2014/main" id="{8B07F63C-8C26-4C38-AAAB-DF01D642D18F}"/>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290" name="Text Box 2">
          <a:extLst>
            <a:ext uri="{FF2B5EF4-FFF2-40B4-BE49-F238E27FC236}">
              <a16:creationId xmlns:a16="http://schemas.microsoft.com/office/drawing/2014/main" id="{13E2A4EE-B653-497E-B2D4-885732FAABCD}"/>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291" name="Text Box 2">
          <a:extLst>
            <a:ext uri="{FF2B5EF4-FFF2-40B4-BE49-F238E27FC236}">
              <a16:creationId xmlns:a16="http://schemas.microsoft.com/office/drawing/2014/main" id="{9CAF7916-FA7C-4DFC-96BF-3834048CAC55}"/>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292" name="Text Box 2">
          <a:extLst>
            <a:ext uri="{FF2B5EF4-FFF2-40B4-BE49-F238E27FC236}">
              <a16:creationId xmlns:a16="http://schemas.microsoft.com/office/drawing/2014/main" id="{D5AACDEF-2452-42A7-825F-D4D302F70559}"/>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oneCellAnchor>
    <xdr:from>
      <xdr:col>73</xdr:col>
      <xdr:colOff>205740</xdr:colOff>
      <xdr:row>41</xdr:row>
      <xdr:rowOff>0</xdr:rowOff>
    </xdr:from>
    <xdr:ext cx="184731" cy="264560"/>
    <xdr:sp macro="" textlink="">
      <xdr:nvSpPr>
        <xdr:cNvPr id="293" name="TextBox 292">
          <a:extLst>
            <a:ext uri="{FF2B5EF4-FFF2-40B4-BE49-F238E27FC236}">
              <a16:creationId xmlns:a16="http://schemas.microsoft.com/office/drawing/2014/main" id="{800A0255-FE71-4AE5-91D2-874297149322}"/>
            </a:ext>
          </a:extLst>
        </xdr:cNvPr>
        <xdr:cNvSpPr txBox="1"/>
      </xdr:nvSpPr>
      <xdr:spPr>
        <a:xfrm>
          <a:off x="7471029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41</xdr:row>
      <xdr:rowOff>0</xdr:rowOff>
    </xdr:from>
    <xdr:ext cx="184731" cy="264560"/>
    <xdr:sp macro="" textlink="">
      <xdr:nvSpPr>
        <xdr:cNvPr id="294" name="TextBox 293">
          <a:extLst>
            <a:ext uri="{FF2B5EF4-FFF2-40B4-BE49-F238E27FC236}">
              <a16:creationId xmlns:a16="http://schemas.microsoft.com/office/drawing/2014/main" id="{1915FC10-8E8A-48DE-BDC5-94EACB2C65F4}"/>
            </a:ext>
          </a:extLst>
        </xdr:cNvPr>
        <xdr:cNvSpPr txBox="1"/>
      </xdr:nvSpPr>
      <xdr:spPr>
        <a:xfrm>
          <a:off x="7471029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41</xdr:row>
      <xdr:rowOff>0</xdr:rowOff>
    </xdr:from>
    <xdr:ext cx="184731" cy="264560"/>
    <xdr:sp macro="" textlink="">
      <xdr:nvSpPr>
        <xdr:cNvPr id="295" name="TextBox 294">
          <a:extLst>
            <a:ext uri="{FF2B5EF4-FFF2-40B4-BE49-F238E27FC236}">
              <a16:creationId xmlns:a16="http://schemas.microsoft.com/office/drawing/2014/main" id="{D77F661F-6E39-48C5-99D7-CE905CA87485}"/>
            </a:ext>
          </a:extLst>
        </xdr:cNvPr>
        <xdr:cNvSpPr txBox="1"/>
      </xdr:nvSpPr>
      <xdr:spPr>
        <a:xfrm>
          <a:off x="7471029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41</xdr:row>
      <xdr:rowOff>0</xdr:rowOff>
    </xdr:from>
    <xdr:ext cx="184731" cy="264560"/>
    <xdr:sp macro="" textlink="">
      <xdr:nvSpPr>
        <xdr:cNvPr id="296" name="TextBox 295">
          <a:extLst>
            <a:ext uri="{FF2B5EF4-FFF2-40B4-BE49-F238E27FC236}">
              <a16:creationId xmlns:a16="http://schemas.microsoft.com/office/drawing/2014/main" id="{B535E08B-5A55-469E-80C0-16E6BEB1C1A9}"/>
            </a:ext>
          </a:extLst>
        </xdr:cNvPr>
        <xdr:cNvSpPr txBox="1"/>
      </xdr:nvSpPr>
      <xdr:spPr>
        <a:xfrm>
          <a:off x="7471029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127</xdr:col>
      <xdr:colOff>15240</xdr:colOff>
      <xdr:row>110</xdr:row>
      <xdr:rowOff>76200</xdr:rowOff>
    </xdr:from>
    <xdr:to>
      <xdr:col>127</xdr:col>
      <xdr:colOff>15240</xdr:colOff>
      <xdr:row>114</xdr:row>
      <xdr:rowOff>142875</xdr:rowOff>
    </xdr:to>
    <xdr:sp macro="" textlink="">
      <xdr:nvSpPr>
        <xdr:cNvPr id="297" name="Text Box 2">
          <a:extLst>
            <a:ext uri="{FF2B5EF4-FFF2-40B4-BE49-F238E27FC236}">
              <a16:creationId xmlns:a16="http://schemas.microsoft.com/office/drawing/2014/main" id="{AEB1A4F2-A097-4926-9EAE-DBC72E58A6C4}"/>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15240</xdr:colOff>
      <xdr:row>110</xdr:row>
      <xdr:rowOff>76200</xdr:rowOff>
    </xdr:from>
    <xdr:to>
      <xdr:col>127</xdr:col>
      <xdr:colOff>15240</xdr:colOff>
      <xdr:row>114</xdr:row>
      <xdr:rowOff>142875</xdr:rowOff>
    </xdr:to>
    <xdr:sp macro="" textlink="">
      <xdr:nvSpPr>
        <xdr:cNvPr id="298" name="Text Box 2">
          <a:extLst>
            <a:ext uri="{FF2B5EF4-FFF2-40B4-BE49-F238E27FC236}">
              <a16:creationId xmlns:a16="http://schemas.microsoft.com/office/drawing/2014/main" id="{89F169DC-0C28-4E8D-B3DB-F7EA7127DE2D}"/>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15240</xdr:colOff>
      <xdr:row>110</xdr:row>
      <xdr:rowOff>76200</xdr:rowOff>
    </xdr:from>
    <xdr:to>
      <xdr:col>127</xdr:col>
      <xdr:colOff>15240</xdr:colOff>
      <xdr:row>114</xdr:row>
      <xdr:rowOff>142875</xdr:rowOff>
    </xdr:to>
    <xdr:sp macro="" textlink="">
      <xdr:nvSpPr>
        <xdr:cNvPr id="299" name="Text Box 2">
          <a:extLst>
            <a:ext uri="{FF2B5EF4-FFF2-40B4-BE49-F238E27FC236}">
              <a16:creationId xmlns:a16="http://schemas.microsoft.com/office/drawing/2014/main" id="{D713F5BC-03B9-4448-AEE5-FE51D640FCB8}"/>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15240</xdr:colOff>
      <xdr:row>110</xdr:row>
      <xdr:rowOff>76200</xdr:rowOff>
    </xdr:from>
    <xdr:to>
      <xdr:col>127</xdr:col>
      <xdr:colOff>15240</xdr:colOff>
      <xdr:row>114</xdr:row>
      <xdr:rowOff>142875</xdr:rowOff>
    </xdr:to>
    <xdr:sp macro="" textlink="">
      <xdr:nvSpPr>
        <xdr:cNvPr id="300" name="Text Box 2">
          <a:extLst>
            <a:ext uri="{FF2B5EF4-FFF2-40B4-BE49-F238E27FC236}">
              <a16:creationId xmlns:a16="http://schemas.microsoft.com/office/drawing/2014/main" id="{1C04A986-3A65-4E0E-A984-5B845BDBB547}"/>
            </a:ext>
          </a:extLst>
        </xdr:cNvPr>
        <xdr:cNvSpPr txBox="1">
          <a:spLocks noChangeArrowheads="1"/>
        </xdr:cNvSpPr>
      </xdr:nvSpPr>
      <xdr:spPr bwMode="auto">
        <a:xfrm>
          <a:off x="930744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301" name="Text Box 2">
          <a:extLst>
            <a:ext uri="{FF2B5EF4-FFF2-40B4-BE49-F238E27FC236}">
              <a16:creationId xmlns:a16="http://schemas.microsoft.com/office/drawing/2014/main" id="{0C0A3A9E-5C21-4235-B8A1-DD457985B740}"/>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302" name="Text Box 2">
          <a:extLst>
            <a:ext uri="{FF2B5EF4-FFF2-40B4-BE49-F238E27FC236}">
              <a16:creationId xmlns:a16="http://schemas.microsoft.com/office/drawing/2014/main" id="{83A941EF-C1FC-48C4-91D4-FED8BDF6EDF2}"/>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303" name="Text Box 2">
          <a:extLst>
            <a:ext uri="{FF2B5EF4-FFF2-40B4-BE49-F238E27FC236}">
              <a16:creationId xmlns:a16="http://schemas.microsoft.com/office/drawing/2014/main" id="{3B697585-924A-4FD4-93E4-E884084C742D}"/>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123</xdr:col>
      <xdr:colOff>15240</xdr:colOff>
      <xdr:row>110</xdr:row>
      <xdr:rowOff>76200</xdr:rowOff>
    </xdr:from>
    <xdr:to>
      <xdr:col>123</xdr:col>
      <xdr:colOff>15240</xdr:colOff>
      <xdr:row>114</xdr:row>
      <xdr:rowOff>142875</xdr:rowOff>
    </xdr:to>
    <xdr:sp macro="" textlink="">
      <xdr:nvSpPr>
        <xdr:cNvPr id="304" name="Text Box 2">
          <a:extLst>
            <a:ext uri="{FF2B5EF4-FFF2-40B4-BE49-F238E27FC236}">
              <a16:creationId xmlns:a16="http://schemas.microsoft.com/office/drawing/2014/main" id="{DC01BE2F-49AC-4C3F-9D60-C6894FB53156}"/>
            </a:ext>
          </a:extLst>
        </xdr:cNvPr>
        <xdr:cNvSpPr txBox="1">
          <a:spLocks noChangeArrowheads="1"/>
        </xdr:cNvSpPr>
      </xdr:nvSpPr>
      <xdr:spPr bwMode="auto">
        <a:xfrm>
          <a:off x="90750390" y="21021675"/>
          <a:ext cx="0" cy="828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oneCellAnchor>
    <xdr:from>
      <xdr:col>73</xdr:col>
      <xdr:colOff>205740</xdr:colOff>
      <xdr:row>21</xdr:row>
      <xdr:rowOff>0</xdr:rowOff>
    </xdr:from>
    <xdr:ext cx="184731" cy="264560"/>
    <xdr:sp macro="" textlink="">
      <xdr:nvSpPr>
        <xdr:cNvPr id="305" name="TextBox 304">
          <a:extLst>
            <a:ext uri="{FF2B5EF4-FFF2-40B4-BE49-F238E27FC236}">
              <a16:creationId xmlns:a16="http://schemas.microsoft.com/office/drawing/2014/main" id="{CFCA546E-C4DD-4E02-AB74-EB6BB2D02F31}"/>
            </a:ext>
          </a:extLst>
        </xdr:cNvPr>
        <xdr:cNvSpPr txBox="1"/>
      </xdr:nvSpPr>
      <xdr:spPr>
        <a:xfrm>
          <a:off x="74710290" y="399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21</xdr:row>
      <xdr:rowOff>0</xdr:rowOff>
    </xdr:from>
    <xdr:ext cx="184731" cy="264560"/>
    <xdr:sp macro="" textlink="">
      <xdr:nvSpPr>
        <xdr:cNvPr id="306" name="TextBox 305">
          <a:extLst>
            <a:ext uri="{FF2B5EF4-FFF2-40B4-BE49-F238E27FC236}">
              <a16:creationId xmlns:a16="http://schemas.microsoft.com/office/drawing/2014/main" id="{8CE08606-A991-4B44-A7F4-2C094F420258}"/>
            </a:ext>
          </a:extLst>
        </xdr:cNvPr>
        <xdr:cNvSpPr txBox="1"/>
      </xdr:nvSpPr>
      <xdr:spPr>
        <a:xfrm>
          <a:off x="74710290" y="399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21</xdr:row>
      <xdr:rowOff>0</xdr:rowOff>
    </xdr:from>
    <xdr:ext cx="184731" cy="264560"/>
    <xdr:sp macro="" textlink="">
      <xdr:nvSpPr>
        <xdr:cNvPr id="307" name="TextBox 306">
          <a:extLst>
            <a:ext uri="{FF2B5EF4-FFF2-40B4-BE49-F238E27FC236}">
              <a16:creationId xmlns:a16="http://schemas.microsoft.com/office/drawing/2014/main" id="{E632C430-62C8-4602-9661-54164D2C2358}"/>
            </a:ext>
          </a:extLst>
        </xdr:cNvPr>
        <xdr:cNvSpPr txBox="1"/>
      </xdr:nvSpPr>
      <xdr:spPr>
        <a:xfrm>
          <a:off x="74710290" y="399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73</xdr:col>
      <xdr:colOff>205740</xdr:colOff>
      <xdr:row>21</xdr:row>
      <xdr:rowOff>0</xdr:rowOff>
    </xdr:from>
    <xdr:ext cx="184731" cy="264560"/>
    <xdr:sp macro="" textlink="">
      <xdr:nvSpPr>
        <xdr:cNvPr id="308" name="TextBox 307">
          <a:extLst>
            <a:ext uri="{FF2B5EF4-FFF2-40B4-BE49-F238E27FC236}">
              <a16:creationId xmlns:a16="http://schemas.microsoft.com/office/drawing/2014/main" id="{2EE89136-58DE-4AB6-AC3A-7A51BEA826DE}"/>
            </a:ext>
          </a:extLst>
        </xdr:cNvPr>
        <xdr:cNvSpPr txBox="1"/>
      </xdr:nvSpPr>
      <xdr:spPr>
        <a:xfrm>
          <a:off x="74710290" y="399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127</xdr:col>
      <xdr:colOff>0</xdr:colOff>
      <xdr:row>35</xdr:row>
      <xdr:rowOff>9525</xdr:rowOff>
    </xdr:from>
    <xdr:to>
      <xdr:col>127</xdr:col>
      <xdr:colOff>0</xdr:colOff>
      <xdr:row>49</xdr:row>
      <xdr:rowOff>104775</xdr:rowOff>
    </xdr:to>
    <xdr:sp macro="" textlink="">
      <xdr:nvSpPr>
        <xdr:cNvPr id="309" name="Text Box 1">
          <a:extLst>
            <a:ext uri="{FF2B5EF4-FFF2-40B4-BE49-F238E27FC236}">
              <a16:creationId xmlns:a16="http://schemas.microsoft.com/office/drawing/2014/main" id="{2C0E1ACD-E37B-4277-82FE-E90C413ECF97}"/>
            </a:ext>
          </a:extLst>
        </xdr:cNvPr>
        <xdr:cNvSpPr txBox="1">
          <a:spLocks noChangeArrowheads="1"/>
        </xdr:cNvSpPr>
      </xdr:nvSpPr>
      <xdr:spPr bwMode="auto">
        <a:xfrm>
          <a:off x="93059250" y="66675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29</xdr:row>
      <xdr:rowOff>76200</xdr:rowOff>
    </xdr:from>
    <xdr:to>
      <xdr:col>127</xdr:col>
      <xdr:colOff>15240</xdr:colOff>
      <xdr:row>35</xdr:row>
      <xdr:rowOff>142875</xdr:rowOff>
    </xdr:to>
    <xdr:sp macro="" textlink="">
      <xdr:nvSpPr>
        <xdr:cNvPr id="310" name="Text Box 2">
          <a:extLst>
            <a:ext uri="{FF2B5EF4-FFF2-40B4-BE49-F238E27FC236}">
              <a16:creationId xmlns:a16="http://schemas.microsoft.com/office/drawing/2014/main" id="{C97AC436-045F-418D-8D50-116C9E4163D3}"/>
            </a:ext>
          </a:extLst>
        </xdr:cNvPr>
        <xdr:cNvSpPr txBox="1">
          <a:spLocks noChangeArrowheads="1"/>
        </xdr:cNvSpPr>
      </xdr:nvSpPr>
      <xdr:spPr bwMode="auto">
        <a:xfrm>
          <a:off x="93074490" y="5591175"/>
          <a:ext cx="0" cy="1209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29</xdr:row>
      <xdr:rowOff>167640</xdr:rowOff>
    </xdr:from>
    <xdr:to>
      <xdr:col>127</xdr:col>
      <xdr:colOff>0</xdr:colOff>
      <xdr:row>32</xdr:row>
      <xdr:rowOff>93445</xdr:rowOff>
    </xdr:to>
    <xdr:sp macro="" textlink="">
      <xdr:nvSpPr>
        <xdr:cNvPr id="311" name="Text Box 3">
          <a:extLst>
            <a:ext uri="{FF2B5EF4-FFF2-40B4-BE49-F238E27FC236}">
              <a16:creationId xmlns:a16="http://schemas.microsoft.com/office/drawing/2014/main" id="{14ED1AC0-60DE-4CE1-ACDC-DE653DC75F9E}"/>
            </a:ext>
          </a:extLst>
        </xdr:cNvPr>
        <xdr:cNvSpPr txBox="1">
          <a:spLocks noChangeArrowheads="1"/>
        </xdr:cNvSpPr>
      </xdr:nvSpPr>
      <xdr:spPr bwMode="auto">
        <a:xfrm>
          <a:off x="93059250" y="5682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39</xdr:row>
      <xdr:rowOff>160020</xdr:rowOff>
    </xdr:from>
    <xdr:to>
      <xdr:col>127</xdr:col>
      <xdr:colOff>0</xdr:colOff>
      <xdr:row>43</xdr:row>
      <xdr:rowOff>0</xdr:rowOff>
    </xdr:to>
    <xdr:sp macro="" textlink="">
      <xdr:nvSpPr>
        <xdr:cNvPr id="312" name="Text Box 4">
          <a:extLst>
            <a:ext uri="{FF2B5EF4-FFF2-40B4-BE49-F238E27FC236}">
              <a16:creationId xmlns:a16="http://schemas.microsoft.com/office/drawing/2014/main" id="{6F8F91AE-C0BE-45B6-980A-F4C2F1A00A8C}"/>
            </a:ext>
          </a:extLst>
        </xdr:cNvPr>
        <xdr:cNvSpPr txBox="1">
          <a:spLocks noChangeArrowheads="1"/>
        </xdr:cNvSpPr>
      </xdr:nvSpPr>
      <xdr:spPr bwMode="auto">
        <a:xfrm>
          <a:off x="93059250" y="7579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54</xdr:row>
      <xdr:rowOff>38100</xdr:rowOff>
    </xdr:from>
    <xdr:to>
      <xdr:col>127</xdr:col>
      <xdr:colOff>0</xdr:colOff>
      <xdr:row>57</xdr:row>
      <xdr:rowOff>38100</xdr:rowOff>
    </xdr:to>
    <xdr:sp macro="" textlink="">
      <xdr:nvSpPr>
        <xdr:cNvPr id="313" name="Text Box 5">
          <a:extLst>
            <a:ext uri="{FF2B5EF4-FFF2-40B4-BE49-F238E27FC236}">
              <a16:creationId xmlns:a16="http://schemas.microsoft.com/office/drawing/2014/main" id="{1DCC7DD0-2008-4AE4-B483-AA9BC4B03E0E}"/>
            </a:ext>
          </a:extLst>
        </xdr:cNvPr>
        <xdr:cNvSpPr txBox="1">
          <a:spLocks noChangeArrowheads="1"/>
        </xdr:cNvSpPr>
      </xdr:nvSpPr>
      <xdr:spPr bwMode="auto">
        <a:xfrm>
          <a:off x="93059250" y="10315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29</xdr:row>
      <xdr:rowOff>55245</xdr:rowOff>
    </xdr:from>
    <xdr:to>
      <xdr:col>127</xdr:col>
      <xdr:colOff>0</xdr:colOff>
      <xdr:row>32</xdr:row>
      <xdr:rowOff>0</xdr:rowOff>
    </xdr:to>
    <xdr:sp macro="" textlink="">
      <xdr:nvSpPr>
        <xdr:cNvPr id="314" name="Text Box 7">
          <a:extLst>
            <a:ext uri="{FF2B5EF4-FFF2-40B4-BE49-F238E27FC236}">
              <a16:creationId xmlns:a16="http://schemas.microsoft.com/office/drawing/2014/main" id="{A80C850B-79A6-445E-B82B-ACEA1B1483C4}"/>
            </a:ext>
          </a:extLst>
        </xdr:cNvPr>
        <xdr:cNvSpPr txBox="1">
          <a:spLocks noChangeArrowheads="1"/>
        </xdr:cNvSpPr>
      </xdr:nvSpPr>
      <xdr:spPr bwMode="auto">
        <a:xfrm>
          <a:off x="93059250" y="55702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26</xdr:row>
      <xdr:rowOff>167640</xdr:rowOff>
    </xdr:from>
    <xdr:to>
      <xdr:col>127</xdr:col>
      <xdr:colOff>0</xdr:colOff>
      <xdr:row>31</xdr:row>
      <xdr:rowOff>131418</xdr:rowOff>
    </xdr:to>
    <xdr:sp macro="" textlink="">
      <xdr:nvSpPr>
        <xdr:cNvPr id="315" name="Text Box 8">
          <a:extLst>
            <a:ext uri="{FF2B5EF4-FFF2-40B4-BE49-F238E27FC236}">
              <a16:creationId xmlns:a16="http://schemas.microsoft.com/office/drawing/2014/main" id="{2D96CE56-39A6-479C-B553-5223F9A15B07}"/>
            </a:ext>
          </a:extLst>
        </xdr:cNvPr>
        <xdr:cNvSpPr txBox="1">
          <a:spLocks noChangeArrowheads="1"/>
        </xdr:cNvSpPr>
      </xdr:nvSpPr>
      <xdr:spPr bwMode="auto">
        <a:xfrm>
          <a:off x="93059250" y="51111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12</xdr:row>
      <xdr:rowOff>104775</xdr:rowOff>
    </xdr:from>
    <xdr:to>
      <xdr:col>127</xdr:col>
      <xdr:colOff>0</xdr:colOff>
      <xdr:row>17</xdr:row>
      <xdr:rowOff>121962</xdr:rowOff>
    </xdr:to>
    <xdr:sp macro="" textlink="">
      <xdr:nvSpPr>
        <xdr:cNvPr id="316" name="Text Box 9">
          <a:extLst>
            <a:ext uri="{FF2B5EF4-FFF2-40B4-BE49-F238E27FC236}">
              <a16:creationId xmlns:a16="http://schemas.microsoft.com/office/drawing/2014/main" id="{7419CB5C-C539-401D-994D-5F4E29EA985B}"/>
            </a:ext>
          </a:extLst>
        </xdr:cNvPr>
        <xdr:cNvSpPr txBox="1">
          <a:spLocks noChangeArrowheads="1"/>
        </xdr:cNvSpPr>
      </xdr:nvSpPr>
      <xdr:spPr bwMode="auto">
        <a:xfrm>
          <a:off x="93059250" y="23812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36</xdr:row>
      <xdr:rowOff>76200</xdr:rowOff>
    </xdr:from>
    <xdr:to>
      <xdr:col>127</xdr:col>
      <xdr:colOff>0</xdr:colOff>
      <xdr:row>41</xdr:row>
      <xdr:rowOff>104775</xdr:rowOff>
    </xdr:to>
    <xdr:sp macro="" textlink="">
      <xdr:nvSpPr>
        <xdr:cNvPr id="317" name="Text Box 10">
          <a:extLst>
            <a:ext uri="{FF2B5EF4-FFF2-40B4-BE49-F238E27FC236}">
              <a16:creationId xmlns:a16="http://schemas.microsoft.com/office/drawing/2014/main" id="{CC57EDFB-54BC-4147-BEFB-FD051C20C2EB}"/>
            </a:ext>
          </a:extLst>
        </xdr:cNvPr>
        <xdr:cNvSpPr txBox="1">
          <a:spLocks noChangeArrowheads="1"/>
        </xdr:cNvSpPr>
      </xdr:nvSpPr>
      <xdr:spPr bwMode="auto">
        <a:xfrm>
          <a:off x="93059250" y="69246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35</xdr:row>
      <xdr:rowOff>160020</xdr:rowOff>
    </xdr:from>
    <xdr:to>
      <xdr:col>127</xdr:col>
      <xdr:colOff>0</xdr:colOff>
      <xdr:row>41</xdr:row>
      <xdr:rowOff>19104</xdr:rowOff>
    </xdr:to>
    <xdr:sp macro="" textlink="">
      <xdr:nvSpPr>
        <xdr:cNvPr id="318" name="Text Box 11">
          <a:extLst>
            <a:ext uri="{FF2B5EF4-FFF2-40B4-BE49-F238E27FC236}">
              <a16:creationId xmlns:a16="http://schemas.microsoft.com/office/drawing/2014/main" id="{764DE661-112E-499A-B5D8-0471D8E6D6A1}"/>
            </a:ext>
          </a:extLst>
        </xdr:cNvPr>
        <xdr:cNvSpPr txBox="1">
          <a:spLocks noChangeArrowheads="1"/>
        </xdr:cNvSpPr>
      </xdr:nvSpPr>
      <xdr:spPr bwMode="auto">
        <a:xfrm>
          <a:off x="93059250" y="68179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35</xdr:row>
      <xdr:rowOff>9525</xdr:rowOff>
    </xdr:from>
    <xdr:to>
      <xdr:col>127</xdr:col>
      <xdr:colOff>0</xdr:colOff>
      <xdr:row>49</xdr:row>
      <xdr:rowOff>104775</xdr:rowOff>
    </xdr:to>
    <xdr:sp macro="" textlink="">
      <xdr:nvSpPr>
        <xdr:cNvPr id="319" name="Text Box 1">
          <a:extLst>
            <a:ext uri="{FF2B5EF4-FFF2-40B4-BE49-F238E27FC236}">
              <a16:creationId xmlns:a16="http://schemas.microsoft.com/office/drawing/2014/main" id="{08DC1EB3-275B-4B35-99EE-97A7192E519C}"/>
            </a:ext>
          </a:extLst>
        </xdr:cNvPr>
        <xdr:cNvSpPr txBox="1">
          <a:spLocks noChangeArrowheads="1"/>
        </xdr:cNvSpPr>
      </xdr:nvSpPr>
      <xdr:spPr bwMode="auto">
        <a:xfrm>
          <a:off x="93059250" y="66675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29</xdr:row>
      <xdr:rowOff>76200</xdr:rowOff>
    </xdr:from>
    <xdr:to>
      <xdr:col>127</xdr:col>
      <xdr:colOff>15240</xdr:colOff>
      <xdr:row>35</xdr:row>
      <xdr:rowOff>142875</xdr:rowOff>
    </xdr:to>
    <xdr:sp macro="" textlink="">
      <xdr:nvSpPr>
        <xdr:cNvPr id="320" name="Text Box 2">
          <a:extLst>
            <a:ext uri="{FF2B5EF4-FFF2-40B4-BE49-F238E27FC236}">
              <a16:creationId xmlns:a16="http://schemas.microsoft.com/office/drawing/2014/main" id="{B2E807A9-F368-4781-9A85-8EE5766BA60E}"/>
            </a:ext>
          </a:extLst>
        </xdr:cNvPr>
        <xdr:cNvSpPr txBox="1">
          <a:spLocks noChangeArrowheads="1"/>
        </xdr:cNvSpPr>
      </xdr:nvSpPr>
      <xdr:spPr bwMode="auto">
        <a:xfrm>
          <a:off x="93074490" y="5591175"/>
          <a:ext cx="0" cy="1209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29</xdr:row>
      <xdr:rowOff>167640</xdr:rowOff>
    </xdr:from>
    <xdr:to>
      <xdr:col>127</xdr:col>
      <xdr:colOff>0</xdr:colOff>
      <xdr:row>32</xdr:row>
      <xdr:rowOff>93445</xdr:rowOff>
    </xdr:to>
    <xdr:sp macro="" textlink="">
      <xdr:nvSpPr>
        <xdr:cNvPr id="321" name="Text Box 3">
          <a:extLst>
            <a:ext uri="{FF2B5EF4-FFF2-40B4-BE49-F238E27FC236}">
              <a16:creationId xmlns:a16="http://schemas.microsoft.com/office/drawing/2014/main" id="{B020D791-A2C1-47C8-9BBB-218366FA496F}"/>
            </a:ext>
          </a:extLst>
        </xdr:cNvPr>
        <xdr:cNvSpPr txBox="1">
          <a:spLocks noChangeArrowheads="1"/>
        </xdr:cNvSpPr>
      </xdr:nvSpPr>
      <xdr:spPr bwMode="auto">
        <a:xfrm>
          <a:off x="93059250" y="5682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39</xdr:row>
      <xdr:rowOff>160020</xdr:rowOff>
    </xdr:from>
    <xdr:to>
      <xdr:col>127</xdr:col>
      <xdr:colOff>0</xdr:colOff>
      <xdr:row>43</xdr:row>
      <xdr:rowOff>0</xdr:rowOff>
    </xdr:to>
    <xdr:sp macro="" textlink="">
      <xdr:nvSpPr>
        <xdr:cNvPr id="322" name="Text Box 4">
          <a:extLst>
            <a:ext uri="{FF2B5EF4-FFF2-40B4-BE49-F238E27FC236}">
              <a16:creationId xmlns:a16="http://schemas.microsoft.com/office/drawing/2014/main" id="{22A69E37-8253-4E49-B6A1-80D20E4C3BA8}"/>
            </a:ext>
          </a:extLst>
        </xdr:cNvPr>
        <xdr:cNvSpPr txBox="1">
          <a:spLocks noChangeArrowheads="1"/>
        </xdr:cNvSpPr>
      </xdr:nvSpPr>
      <xdr:spPr bwMode="auto">
        <a:xfrm>
          <a:off x="93059250" y="7579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54</xdr:row>
      <xdr:rowOff>38100</xdr:rowOff>
    </xdr:from>
    <xdr:to>
      <xdr:col>127</xdr:col>
      <xdr:colOff>0</xdr:colOff>
      <xdr:row>57</xdr:row>
      <xdr:rowOff>38100</xdr:rowOff>
    </xdr:to>
    <xdr:sp macro="" textlink="">
      <xdr:nvSpPr>
        <xdr:cNvPr id="323" name="Text Box 5">
          <a:extLst>
            <a:ext uri="{FF2B5EF4-FFF2-40B4-BE49-F238E27FC236}">
              <a16:creationId xmlns:a16="http://schemas.microsoft.com/office/drawing/2014/main" id="{3A1DC52E-8B36-432F-97E3-9563E9FD8991}"/>
            </a:ext>
          </a:extLst>
        </xdr:cNvPr>
        <xdr:cNvSpPr txBox="1">
          <a:spLocks noChangeArrowheads="1"/>
        </xdr:cNvSpPr>
      </xdr:nvSpPr>
      <xdr:spPr bwMode="auto">
        <a:xfrm>
          <a:off x="93059250" y="10315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29</xdr:row>
      <xdr:rowOff>55245</xdr:rowOff>
    </xdr:from>
    <xdr:to>
      <xdr:col>127</xdr:col>
      <xdr:colOff>0</xdr:colOff>
      <xdr:row>32</xdr:row>
      <xdr:rowOff>0</xdr:rowOff>
    </xdr:to>
    <xdr:sp macro="" textlink="">
      <xdr:nvSpPr>
        <xdr:cNvPr id="324" name="Text Box 7">
          <a:extLst>
            <a:ext uri="{FF2B5EF4-FFF2-40B4-BE49-F238E27FC236}">
              <a16:creationId xmlns:a16="http://schemas.microsoft.com/office/drawing/2014/main" id="{7520EB63-5005-4140-B66C-0DA2C4643A7E}"/>
            </a:ext>
          </a:extLst>
        </xdr:cNvPr>
        <xdr:cNvSpPr txBox="1">
          <a:spLocks noChangeArrowheads="1"/>
        </xdr:cNvSpPr>
      </xdr:nvSpPr>
      <xdr:spPr bwMode="auto">
        <a:xfrm>
          <a:off x="93059250" y="55702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26</xdr:row>
      <xdr:rowOff>167640</xdr:rowOff>
    </xdr:from>
    <xdr:to>
      <xdr:col>127</xdr:col>
      <xdr:colOff>0</xdr:colOff>
      <xdr:row>31</xdr:row>
      <xdr:rowOff>131418</xdr:rowOff>
    </xdr:to>
    <xdr:sp macro="" textlink="">
      <xdr:nvSpPr>
        <xdr:cNvPr id="325" name="Text Box 8">
          <a:extLst>
            <a:ext uri="{FF2B5EF4-FFF2-40B4-BE49-F238E27FC236}">
              <a16:creationId xmlns:a16="http://schemas.microsoft.com/office/drawing/2014/main" id="{0089BA07-DD07-42B3-9AD9-83D7B9CB3D5D}"/>
            </a:ext>
          </a:extLst>
        </xdr:cNvPr>
        <xdr:cNvSpPr txBox="1">
          <a:spLocks noChangeArrowheads="1"/>
        </xdr:cNvSpPr>
      </xdr:nvSpPr>
      <xdr:spPr bwMode="auto">
        <a:xfrm>
          <a:off x="93059250" y="51111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12</xdr:row>
      <xdr:rowOff>104775</xdr:rowOff>
    </xdr:from>
    <xdr:to>
      <xdr:col>127</xdr:col>
      <xdr:colOff>0</xdr:colOff>
      <xdr:row>17</xdr:row>
      <xdr:rowOff>121962</xdr:rowOff>
    </xdr:to>
    <xdr:sp macro="" textlink="">
      <xdr:nvSpPr>
        <xdr:cNvPr id="326" name="Text Box 9">
          <a:extLst>
            <a:ext uri="{FF2B5EF4-FFF2-40B4-BE49-F238E27FC236}">
              <a16:creationId xmlns:a16="http://schemas.microsoft.com/office/drawing/2014/main" id="{7CD72AF8-29EE-499D-8D54-66CE9667B582}"/>
            </a:ext>
          </a:extLst>
        </xdr:cNvPr>
        <xdr:cNvSpPr txBox="1">
          <a:spLocks noChangeArrowheads="1"/>
        </xdr:cNvSpPr>
      </xdr:nvSpPr>
      <xdr:spPr bwMode="auto">
        <a:xfrm>
          <a:off x="93059250" y="23812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36</xdr:row>
      <xdr:rowOff>76200</xdr:rowOff>
    </xdr:from>
    <xdr:to>
      <xdr:col>127</xdr:col>
      <xdr:colOff>0</xdr:colOff>
      <xdr:row>41</xdr:row>
      <xdr:rowOff>104775</xdr:rowOff>
    </xdr:to>
    <xdr:sp macro="" textlink="">
      <xdr:nvSpPr>
        <xdr:cNvPr id="327" name="Text Box 10">
          <a:extLst>
            <a:ext uri="{FF2B5EF4-FFF2-40B4-BE49-F238E27FC236}">
              <a16:creationId xmlns:a16="http://schemas.microsoft.com/office/drawing/2014/main" id="{1A2017E1-5580-47FA-B9AC-BB6621EDAD3E}"/>
            </a:ext>
          </a:extLst>
        </xdr:cNvPr>
        <xdr:cNvSpPr txBox="1">
          <a:spLocks noChangeArrowheads="1"/>
        </xdr:cNvSpPr>
      </xdr:nvSpPr>
      <xdr:spPr bwMode="auto">
        <a:xfrm>
          <a:off x="93059250" y="69246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35</xdr:row>
      <xdr:rowOff>160020</xdr:rowOff>
    </xdr:from>
    <xdr:to>
      <xdr:col>127</xdr:col>
      <xdr:colOff>0</xdr:colOff>
      <xdr:row>41</xdr:row>
      <xdr:rowOff>19104</xdr:rowOff>
    </xdr:to>
    <xdr:sp macro="" textlink="">
      <xdr:nvSpPr>
        <xdr:cNvPr id="328" name="Text Box 11">
          <a:extLst>
            <a:ext uri="{FF2B5EF4-FFF2-40B4-BE49-F238E27FC236}">
              <a16:creationId xmlns:a16="http://schemas.microsoft.com/office/drawing/2014/main" id="{04784440-F524-4D7E-9339-7BCA2F9E3F6C}"/>
            </a:ext>
          </a:extLst>
        </xdr:cNvPr>
        <xdr:cNvSpPr txBox="1">
          <a:spLocks noChangeArrowheads="1"/>
        </xdr:cNvSpPr>
      </xdr:nvSpPr>
      <xdr:spPr bwMode="auto">
        <a:xfrm>
          <a:off x="93059250" y="68179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35</xdr:row>
      <xdr:rowOff>9525</xdr:rowOff>
    </xdr:from>
    <xdr:to>
      <xdr:col>127</xdr:col>
      <xdr:colOff>0</xdr:colOff>
      <xdr:row>49</xdr:row>
      <xdr:rowOff>104775</xdr:rowOff>
    </xdr:to>
    <xdr:sp macro="" textlink="">
      <xdr:nvSpPr>
        <xdr:cNvPr id="329" name="Text Box 1">
          <a:extLst>
            <a:ext uri="{FF2B5EF4-FFF2-40B4-BE49-F238E27FC236}">
              <a16:creationId xmlns:a16="http://schemas.microsoft.com/office/drawing/2014/main" id="{FB5D23A5-04F1-42D6-9C14-56C78D491E54}"/>
            </a:ext>
          </a:extLst>
        </xdr:cNvPr>
        <xdr:cNvSpPr txBox="1">
          <a:spLocks noChangeArrowheads="1"/>
        </xdr:cNvSpPr>
      </xdr:nvSpPr>
      <xdr:spPr bwMode="auto">
        <a:xfrm>
          <a:off x="93059250" y="66675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29</xdr:row>
      <xdr:rowOff>76200</xdr:rowOff>
    </xdr:from>
    <xdr:to>
      <xdr:col>127</xdr:col>
      <xdr:colOff>15240</xdr:colOff>
      <xdr:row>35</xdr:row>
      <xdr:rowOff>142875</xdr:rowOff>
    </xdr:to>
    <xdr:sp macro="" textlink="">
      <xdr:nvSpPr>
        <xdr:cNvPr id="330" name="Text Box 2">
          <a:extLst>
            <a:ext uri="{FF2B5EF4-FFF2-40B4-BE49-F238E27FC236}">
              <a16:creationId xmlns:a16="http://schemas.microsoft.com/office/drawing/2014/main" id="{763D7584-9856-42C7-92E4-F11EF6EB25AE}"/>
            </a:ext>
          </a:extLst>
        </xdr:cNvPr>
        <xdr:cNvSpPr txBox="1">
          <a:spLocks noChangeArrowheads="1"/>
        </xdr:cNvSpPr>
      </xdr:nvSpPr>
      <xdr:spPr bwMode="auto">
        <a:xfrm>
          <a:off x="93074490" y="5591175"/>
          <a:ext cx="0" cy="1209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29</xdr:row>
      <xdr:rowOff>167640</xdr:rowOff>
    </xdr:from>
    <xdr:to>
      <xdr:col>127</xdr:col>
      <xdr:colOff>0</xdr:colOff>
      <xdr:row>32</xdr:row>
      <xdr:rowOff>93445</xdr:rowOff>
    </xdr:to>
    <xdr:sp macro="" textlink="">
      <xdr:nvSpPr>
        <xdr:cNvPr id="331" name="Text Box 3">
          <a:extLst>
            <a:ext uri="{FF2B5EF4-FFF2-40B4-BE49-F238E27FC236}">
              <a16:creationId xmlns:a16="http://schemas.microsoft.com/office/drawing/2014/main" id="{DDC53A48-D0AD-4658-BC06-AC9455EA2025}"/>
            </a:ext>
          </a:extLst>
        </xdr:cNvPr>
        <xdr:cNvSpPr txBox="1">
          <a:spLocks noChangeArrowheads="1"/>
        </xdr:cNvSpPr>
      </xdr:nvSpPr>
      <xdr:spPr bwMode="auto">
        <a:xfrm>
          <a:off x="93059250" y="5682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39</xdr:row>
      <xdr:rowOff>160020</xdr:rowOff>
    </xdr:from>
    <xdr:to>
      <xdr:col>127</xdr:col>
      <xdr:colOff>0</xdr:colOff>
      <xdr:row>43</xdr:row>
      <xdr:rowOff>0</xdr:rowOff>
    </xdr:to>
    <xdr:sp macro="" textlink="">
      <xdr:nvSpPr>
        <xdr:cNvPr id="332" name="Text Box 4">
          <a:extLst>
            <a:ext uri="{FF2B5EF4-FFF2-40B4-BE49-F238E27FC236}">
              <a16:creationId xmlns:a16="http://schemas.microsoft.com/office/drawing/2014/main" id="{A25E95ED-CC13-4607-960A-B0C8C095660E}"/>
            </a:ext>
          </a:extLst>
        </xdr:cNvPr>
        <xdr:cNvSpPr txBox="1">
          <a:spLocks noChangeArrowheads="1"/>
        </xdr:cNvSpPr>
      </xdr:nvSpPr>
      <xdr:spPr bwMode="auto">
        <a:xfrm>
          <a:off x="93059250" y="7579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54</xdr:row>
      <xdr:rowOff>38100</xdr:rowOff>
    </xdr:from>
    <xdr:to>
      <xdr:col>127</xdr:col>
      <xdr:colOff>0</xdr:colOff>
      <xdr:row>57</xdr:row>
      <xdr:rowOff>38100</xdr:rowOff>
    </xdr:to>
    <xdr:sp macro="" textlink="">
      <xdr:nvSpPr>
        <xdr:cNvPr id="333" name="Text Box 5">
          <a:extLst>
            <a:ext uri="{FF2B5EF4-FFF2-40B4-BE49-F238E27FC236}">
              <a16:creationId xmlns:a16="http://schemas.microsoft.com/office/drawing/2014/main" id="{81C405CA-D4B8-436F-B1B5-B14002FED7C5}"/>
            </a:ext>
          </a:extLst>
        </xdr:cNvPr>
        <xdr:cNvSpPr txBox="1">
          <a:spLocks noChangeArrowheads="1"/>
        </xdr:cNvSpPr>
      </xdr:nvSpPr>
      <xdr:spPr bwMode="auto">
        <a:xfrm>
          <a:off x="93059250" y="10315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29</xdr:row>
      <xdr:rowOff>55245</xdr:rowOff>
    </xdr:from>
    <xdr:to>
      <xdr:col>127</xdr:col>
      <xdr:colOff>0</xdr:colOff>
      <xdr:row>32</xdr:row>
      <xdr:rowOff>0</xdr:rowOff>
    </xdr:to>
    <xdr:sp macro="" textlink="">
      <xdr:nvSpPr>
        <xdr:cNvPr id="334" name="Text Box 7">
          <a:extLst>
            <a:ext uri="{FF2B5EF4-FFF2-40B4-BE49-F238E27FC236}">
              <a16:creationId xmlns:a16="http://schemas.microsoft.com/office/drawing/2014/main" id="{497C6B8F-7F70-4DCC-B508-2738CBE86C5A}"/>
            </a:ext>
          </a:extLst>
        </xdr:cNvPr>
        <xdr:cNvSpPr txBox="1">
          <a:spLocks noChangeArrowheads="1"/>
        </xdr:cNvSpPr>
      </xdr:nvSpPr>
      <xdr:spPr bwMode="auto">
        <a:xfrm>
          <a:off x="93059250" y="55702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26</xdr:row>
      <xdr:rowOff>167640</xdr:rowOff>
    </xdr:from>
    <xdr:to>
      <xdr:col>127</xdr:col>
      <xdr:colOff>0</xdr:colOff>
      <xdr:row>31</xdr:row>
      <xdr:rowOff>131418</xdr:rowOff>
    </xdr:to>
    <xdr:sp macro="" textlink="">
      <xdr:nvSpPr>
        <xdr:cNvPr id="335" name="Text Box 8">
          <a:extLst>
            <a:ext uri="{FF2B5EF4-FFF2-40B4-BE49-F238E27FC236}">
              <a16:creationId xmlns:a16="http://schemas.microsoft.com/office/drawing/2014/main" id="{BEAF154A-D821-4554-862F-1DD9B2ECD98F}"/>
            </a:ext>
          </a:extLst>
        </xdr:cNvPr>
        <xdr:cNvSpPr txBox="1">
          <a:spLocks noChangeArrowheads="1"/>
        </xdr:cNvSpPr>
      </xdr:nvSpPr>
      <xdr:spPr bwMode="auto">
        <a:xfrm>
          <a:off x="93059250" y="51111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12</xdr:row>
      <xdr:rowOff>104775</xdr:rowOff>
    </xdr:from>
    <xdr:to>
      <xdr:col>127</xdr:col>
      <xdr:colOff>0</xdr:colOff>
      <xdr:row>17</xdr:row>
      <xdr:rowOff>121962</xdr:rowOff>
    </xdr:to>
    <xdr:sp macro="" textlink="">
      <xdr:nvSpPr>
        <xdr:cNvPr id="336" name="Text Box 9">
          <a:extLst>
            <a:ext uri="{FF2B5EF4-FFF2-40B4-BE49-F238E27FC236}">
              <a16:creationId xmlns:a16="http://schemas.microsoft.com/office/drawing/2014/main" id="{3E70881F-45E0-4695-A722-B63E8854923A}"/>
            </a:ext>
          </a:extLst>
        </xdr:cNvPr>
        <xdr:cNvSpPr txBox="1">
          <a:spLocks noChangeArrowheads="1"/>
        </xdr:cNvSpPr>
      </xdr:nvSpPr>
      <xdr:spPr bwMode="auto">
        <a:xfrm>
          <a:off x="93059250" y="23812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36</xdr:row>
      <xdr:rowOff>76200</xdr:rowOff>
    </xdr:from>
    <xdr:to>
      <xdr:col>127</xdr:col>
      <xdr:colOff>0</xdr:colOff>
      <xdr:row>41</xdr:row>
      <xdr:rowOff>104775</xdr:rowOff>
    </xdr:to>
    <xdr:sp macro="" textlink="">
      <xdr:nvSpPr>
        <xdr:cNvPr id="337" name="Text Box 10">
          <a:extLst>
            <a:ext uri="{FF2B5EF4-FFF2-40B4-BE49-F238E27FC236}">
              <a16:creationId xmlns:a16="http://schemas.microsoft.com/office/drawing/2014/main" id="{F5B8A6C3-F672-4862-9D4C-3A7EA9568FBF}"/>
            </a:ext>
          </a:extLst>
        </xdr:cNvPr>
        <xdr:cNvSpPr txBox="1">
          <a:spLocks noChangeArrowheads="1"/>
        </xdr:cNvSpPr>
      </xdr:nvSpPr>
      <xdr:spPr bwMode="auto">
        <a:xfrm>
          <a:off x="93059250" y="69246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35</xdr:row>
      <xdr:rowOff>160020</xdr:rowOff>
    </xdr:from>
    <xdr:to>
      <xdr:col>127</xdr:col>
      <xdr:colOff>0</xdr:colOff>
      <xdr:row>41</xdr:row>
      <xdr:rowOff>19104</xdr:rowOff>
    </xdr:to>
    <xdr:sp macro="" textlink="">
      <xdr:nvSpPr>
        <xdr:cNvPr id="338" name="Text Box 11">
          <a:extLst>
            <a:ext uri="{FF2B5EF4-FFF2-40B4-BE49-F238E27FC236}">
              <a16:creationId xmlns:a16="http://schemas.microsoft.com/office/drawing/2014/main" id="{09B73A65-0664-4811-BE20-6C40BADB5813}"/>
            </a:ext>
          </a:extLst>
        </xdr:cNvPr>
        <xdr:cNvSpPr txBox="1">
          <a:spLocks noChangeArrowheads="1"/>
        </xdr:cNvSpPr>
      </xdr:nvSpPr>
      <xdr:spPr bwMode="auto">
        <a:xfrm>
          <a:off x="93059250" y="68179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35</xdr:row>
      <xdr:rowOff>9525</xdr:rowOff>
    </xdr:from>
    <xdr:to>
      <xdr:col>127</xdr:col>
      <xdr:colOff>0</xdr:colOff>
      <xdr:row>49</xdr:row>
      <xdr:rowOff>104775</xdr:rowOff>
    </xdr:to>
    <xdr:sp macro="" textlink="">
      <xdr:nvSpPr>
        <xdr:cNvPr id="339" name="Text Box 1">
          <a:extLst>
            <a:ext uri="{FF2B5EF4-FFF2-40B4-BE49-F238E27FC236}">
              <a16:creationId xmlns:a16="http://schemas.microsoft.com/office/drawing/2014/main" id="{DD3814D8-ADC5-4E29-848C-6ABCAE4A152C}"/>
            </a:ext>
          </a:extLst>
        </xdr:cNvPr>
        <xdr:cNvSpPr txBox="1">
          <a:spLocks noChangeArrowheads="1"/>
        </xdr:cNvSpPr>
      </xdr:nvSpPr>
      <xdr:spPr bwMode="auto">
        <a:xfrm>
          <a:off x="93059250" y="6667500"/>
          <a:ext cx="0" cy="27622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Percentages are based on rounded totals.</a:t>
          </a:r>
        </a:p>
        <a:p>
          <a:pPr algn="l" rtl="1">
            <a:defRPr sz="1000"/>
          </a:pPr>
          <a:r>
            <a:rPr lang="en-US" sz="800" b="0" i="0" strike="noStrike">
              <a:solidFill>
                <a:srgbClr val="000000"/>
              </a:solidFill>
              <a:latin typeface="Arial"/>
              <a:cs typeface="Arial"/>
            </a:rPr>
            <a:t>Early = localized; Late = regional and distant.  Localized, regional</a:t>
          </a:r>
        </a:p>
        <a:p>
          <a:pPr algn="l" rtl="1">
            <a:defRPr sz="1000"/>
          </a:pPr>
          <a:r>
            <a:rPr lang="en-US" sz="800" b="0" i="0" strike="noStrike">
              <a:solidFill>
                <a:srgbClr val="000000"/>
              </a:solidFill>
              <a:latin typeface="Arial"/>
              <a:cs typeface="Arial"/>
            </a:rPr>
            <a:t>and distant are invasive.  In situ cases (non-invasive) are</a:t>
          </a:r>
        </a:p>
        <a:p>
          <a:pPr algn="l" rtl="1">
            <a:defRPr sz="1000"/>
          </a:pPr>
          <a:r>
            <a:rPr lang="en-US" sz="800" b="0" i="0" strike="noStrike">
              <a:solidFill>
                <a:srgbClr val="000000"/>
              </a:solidFill>
              <a:latin typeface="Arial"/>
              <a:cs typeface="Arial"/>
            </a:rPr>
            <a:t>not included.</a:t>
          </a:r>
        </a:p>
        <a:p>
          <a:pPr algn="l" rtl="1">
            <a:defRPr sz="1000"/>
          </a:pPr>
          <a:r>
            <a:rPr lang="en-US" sz="800" b="0" i="0" strike="noStrike">
              <a:solidFill>
                <a:srgbClr val="000000"/>
              </a:solidFill>
              <a:latin typeface="Arial"/>
              <a:cs typeface="Arial"/>
            </a:rPr>
            <a:t>*Fewer than 5 cases in the five-year time period.</a:t>
          </a:r>
        </a:p>
        <a:p>
          <a:pPr algn="l" rtl="1">
            <a:defRPr sz="1000"/>
          </a:pPr>
          <a:r>
            <a:rPr lang="en-US" sz="800" b="0" i="0" strike="noStrike">
              <a:solidFill>
                <a:srgbClr val="000000"/>
              </a:solidFill>
              <a:latin typeface="Arial"/>
              <a:cs typeface="Arial"/>
            </a:rPr>
            <a:t>Breast includes female cases only.</a:t>
          </a:r>
        </a:p>
        <a:p>
          <a:pPr algn="l" rtl="1">
            <a:defRPr sz="1000"/>
          </a:pPr>
          <a:r>
            <a:rPr lang="en-US" sz="800" b="0" i="0" strike="noStrike">
              <a:solidFill>
                <a:srgbClr val="000000"/>
              </a:solidFill>
              <a:latin typeface="Arial"/>
              <a:cs typeface="Arial"/>
            </a:rPr>
            <a:t>Colorectal includes cancer of the colon, rectum, anus, and rectosigmoid.</a:t>
          </a:r>
        </a:p>
        <a:p>
          <a:pPr algn="l" rtl="1">
            <a:defRPr sz="1000"/>
          </a:pPr>
          <a:r>
            <a:rPr lang="en-US" sz="800" b="0" i="0" strike="noStrike">
              <a:solidFill>
                <a:srgbClr val="000000"/>
              </a:solidFill>
              <a:latin typeface="Arial"/>
              <a:cs typeface="Arial"/>
            </a:rPr>
            <a:t>Lung includes cancer of the lung and bronchus.</a:t>
          </a:r>
        </a:p>
        <a:p>
          <a:pPr algn="l" rtl="1">
            <a:defRPr sz="1000"/>
          </a:pPr>
          <a:r>
            <a:rPr lang="en-US" sz="800" b="0" i="0" strike="noStrike">
              <a:solidFill>
                <a:srgbClr val="000000"/>
              </a:solidFill>
              <a:latin typeface="Arial"/>
              <a:cs typeface="Arial"/>
            </a:rPr>
            <a:t>Source: Guam Cancer Registry, Cancer Research Center, University of Guam.</a:t>
          </a:r>
        </a:p>
        <a:p>
          <a:pPr algn="l" rtl="1">
            <a:defRPr sz="1000"/>
          </a:pPr>
          <a:endParaRPr lang="en-US" sz="800" b="0" i="0" strike="noStrike">
            <a:solidFill>
              <a:srgbClr val="000000"/>
            </a:solidFill>
            <a:latin typeface="Arial"/>
            <a:cs typeface="Arial"/>
          </a:endParaRPr>
        </a:p>
      </xdr:txBody>
    </xdr:sp>
    <xdr:clientData/>
  </xdr:twoCellAnchor>
  <xdr:twoCellAnchor>
    <xdr:from>
      <xdr:col>127</xdr:col>
      <xdr:colOff>15240</xdr:colOff>
      <xdr:row>29</xdr:row>
      <xdr:rowOff>76200</xdr:rowOff>
    </xdr:from>
    <xdr:to>
      <xdr:col>127</xdr:col>
      <xdr:colOff>15240</xdr:colOff>
      <xdr:row>35</xdr:row>
      <xdr:rowOff>142875</xdr:rowOff>
    </xdr:to>
    <xdr:sp macro="" textlink="">
      <xdr:nvSpPr>
        <xdr:cNvPr id="340" name="Text Box 2">
          <a:extLst>
            <a:ext uri="{FF2B5EF4-FFF2-40B4-BE49-F238E27FC236}">
              <a16:creationId xmlns:a16="http://schemas.microsoft.com/office/drawing/2014/main" id="{1FDBA3B0-E8C7-442A-981A-0BDD074F65CF}"/>
            </a:ext>
          </a:extLst>
        </xdr:cNvPr>
        <xdr:cNvSpPr txBox="1">
          <a:spLocks noChangeArrowheads="1"/>
        </xdr:cNvSpPr>
      </xdr:nvSpPr>
      <xdr:spPr bwMode="auto">
        <a:xfrm>
          <a:off x="93074490" y="5591175"/>
          <a:ext cx="0" cy="12096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Ethinicity and Age, Guam: 2003-2007.</a:t>
          </a:r>
        </a:p>
      </xdr:txBody>
    </xdr:sp>
    <xdr:clientData/>
  </xdr:twoCellAnchor>
  <xdr:twoCellAnchor>
    <xdr:from>
      <xdr:col>127</xdr:col>
      <xdr:colOff>0</xdr:colOff>
      <xdr:row>29</xdr:row>
      <xdr:rowOff>167640</xdr:rowOff>
    </xdr:from>
    <xdr:to>
      <xdr:col>127</xdr:col>
      <xdr:colOff>0</xdr:colOff>
      <xdr:row>32</xdr:row>
      <xdr:rowOff>93445</xdr:rowOff>
    </xdr:to>
    <xdr:sp macro="" textlink="">
      <xdr:nvSpPr>
        <xdr:cNvPr id="341" name="Text Box 3">
          <a:extLst>
            <a:ext uri="{FF2B5EF4-FFF2-40B4-BE49-F238E27FC236}">
              <a16:creationId xmlns:a16="http://schemas.microsoft.com/office/drawing/2014/main" id="{FE9F425F-AC27-4EEF-BE9B-1ED9925E07CB}"/>
            </a:ext>
          </a:extLst>
        </xdr:cNvPr>
        <xdr:cNvSpPr txBox="1">
          <a:spLocks noChangeArrowheads="1"/>
        </xdr:cNvSpPr>
      </xdr:nvSpPr>
      <xdr:spPr bwMode="auto">
        <a:xfrm>
          <a:off x="93059250" y="5682615"/>
          <a:ext cx="0" cy="49730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a:p>
          <a:pPr algn="l" rtl="1">
            <a:defRPr sz="1000"/>
          </a:pPr>
          <a:endParaRPr lang="en-US" sz="800" b="1" i="1" strike="noStrike">
            <a:solidFill>
              <a:srgbClr val="000000"/>
            </a:solidFill>
            <a:latin typeface="Arial"/>
            <a:cs typeface="Arial"/>
          </a:endParaRPr>
        </a:p>
      </xdr:txBody>
    </xdr:sp>
    <xdr:clientData/>
  </xdr:twoCellAnchor>
  <xdr:twoCellAnchor>
    <xdr:from>
      <xdr:col>127</xdr:col>
      <xdr:colOff>0</xdr:colOff>
      <xdr:row>39</xdr:row>
      <xdr:rowOff>160020</xdr:rowOff>
    </xdr:from>
    <xdr:to>
      <xdr:col>127</xdr:col>
      <xdr:colOff>0</xdr:colOff>
      <xdr:row>43</xdr:row>
      <xdr:rowOff>0</xdr:rowOff>
    </xdr:to>
    <xdr:sp macro="" textlink="">
      <xdr:nvSpPr>
        <xdr:cNvPr id="342" name="Text Box 4">
          <a:extLst>
            <a:ext uri="{FF2B5EF4-FFF2-40B4-BE49-F238E27FC236}">
              <a16:creationId xmlns:a16="http://schemas.microsoft.com/office/drawing/2014/main" id="{25A46546-A1B3-4667-85A1-44EA6C5AB14A}"/>
            </a:ext>
          </a:extLst>
        </xdr:cNvPr>
        <xdr:cNvSpPr txBox="1">
          <a:spLocks noChangeArrowheads="1"/>
        </xdr:cNvSpPr>
      </xdr:nvSpPr>
      <xdr:spPr bwMode="auto">
        <a:xfrm>
          <a:off x="93059250" y="7579995"/>
          <a:ext cx="0" cy="6019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54</xdr:row>
      <xdr:rowOff>38100</xdr:rowOff>
    </xdr:from>
    <xdr:to>
      <xdr:col>127</xdr:col>
      <xdr:colOff>0</xdr:colOff>
      <xdr:row>57</xdr:row>
      <xdr:rowOff>38100</xdr:rowOff>
    </xdr:to>
    <xdr:sp macro="" textlink="">
      <xdr:nvSpPr>
        <xdr:cNvPr id="343" name="Text Box 5">
          <a:extLst>
            <a:ext uri="{FF2B5EF4-FFF2-40B4-BE49-F238E27FC236}">
              <a16:creationId xmlns:a16="http://schemas.microsoft.com/office/drawing/2014/main" id="{D382E388-3E21-45E6-AC4E-BD5AC88412AE}"/>
            </a:ext>
          </a:extLst>
        </xdr:cNvPr>
        <xdr:cNvSpPr txBox="1">
          <a:spLocks noChangeArrowheads="1"/>
        </xdr:cNvSpPr>
      </xdr:nvSpPr>
      <xdr:spPr bwMode="auto">
        <a:xfrm>
          <a:off x="93059250" y="10315575"/>
          <a:ext cx="0" cy="5715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29</xdr:row>
      <xdr:rowOff>55245</xdr:rowOff>
    </xdr:from>
    <xdr:to>
      <xdr:col>127</xdr:col>
      <xdr:colOff>0</xdr:colOff>
      <xdr:row>32</xdr:row>
      <xdr:rowOff>0</xdr:rowOff>
    </xdr:to>
    <xdr:sp macro="" textlink="">
      <xdr:nvSpPr>
        <xdr:cNvPr id="344" name="Text Box 7">
          <a:extLst>
            <a:ext uri="{FF2B5EF4-FFF2-40B4-BE49-F238E27FC236}">
              <a16:creationId xmlns:a16="http://schemas.microsoft.com/office/drawing/2014/main" id="{79F6CECD-8ED6-4D67-9525-42D00438FCFE}"/>
            </a:ext>
          </a:extLst>
        </xdr:cNvPr>
        <xdr:cNvSpPr txBox="1">
          <a:spLocks noChangeArrowheads="1"/>
        </xdr:cNvSpPr>
      </xdr:nvSpPr>
      <xdr:spPr bwMode="auto">
        <a:xfrm>
          <a:off x="93059250" y="5570220"/>
          <a:ext cx="0" cy="51625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26</xdr:row>
      <xdr:rowOff>167640</xdr:rowOff>
    </xdr:from>
    <xdr:to>
      <xdr:col>127</xdr:col>
      <xdr:colOff>0</xdr:colOff>
      <xdr:row>31</xdr:row>
      <xdr:rowOff>131418</xdr:rowOff>
    </xdr:to>
    <xdr:sp macro="" textlink="">
      <xdr:nvSpPr>
        <xdr:cNvPr id="345" name="Text Box 8">
          <a:extLst>
            <a:ext uri="{FF2B5EF4-FFF2-40B4-BE49-F238E27FC236}">
              <a16:creationId xmlns:a16="http://schemas.microsoft.com/office/drawing/2014/main" id="{12A467A8-F77F-4BE5-A14B-802630ABDF50}"/>
            </a:ext>
          </a:extLst>
        </xdr:cNvPr>
        <xdr:cNvSpPr txBox="1">
          <a:spLocks noChangeArrowheads="1"/>
        </xdr:cNvSpPr>
      </xdr:nvSpPr>
      <xdr:spPr bwMode="auto">
        <a:xfrm>
          <a:off x="93059250" y="5111115"/>
          <a:ext cx="0" cy="916278"/>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a:t>
          </a:r>
          <a:r>
            <a:rPr lang="en-US" sz="800" b="1" i="1" strike="noStrike">
              <a:solidFill>
                <a:srgbClr val="000000"/>
              </a:solidFill>
              <a:latin typeface="Arial"/>
              <a:cs typeface="Arial"/>
            </a:rPr>
            <a:t>Cancer Incidence and Mortality of Guam Residents by Site, Gender, Ethnicity, and Age, Guam: 2003-2007.</a:t>
          </a:r>
        </a:p>
      </xdr:txBody>
    </xdr:sp>
    <xdr:clientData/>
  </xdr:twoCellAnchor>
  <xdr:twoCellAnchor>
    <xdr:from>
      <xdr:col>127</xdr:col>
      <xdr:colOff>0</xdr:colOff>
      <xdr:row>12</xdr:row>
      <xdr:rowOff>104775</xdr:rowOff>
    </xdr:from>
    <xdr:to>
      <xdr:col>127</xdr:col>
      <xdr:colOff>0</xdr:colOff>
      <xdr:row>17</xdr:row>
      <xdr:rowOff>121962</xdr:rowOff>
    </xdr:to>
    <xdr:sp macro="" textlink="">
      <xdr:nvSpPr>
        <xdr:cNvPr id="346" name="Text Box 9">
          <a:extLst>
            <a:ext uri="{FF2B5EF4-FFF2-40B4-BE49-F238E27FC236}">
              <a16:creationId xmlns:a16="http://schemas.microsoft.com/office/drawing/2014/main" id="{D81C239F-0E61-431A-91D0-1669571DE7F1}"/>
            </a:ext>
          </a:extLst>
        </xdr:cNvPr>
        <xdr:cNvSpPr txBox="1">
          <a:spLocks noChangeArrowheads="1"/>
        </xdr:cNvSpPr>
      </xdr:nvSpPr>
      <xdr:spPr bwMode="auto">
        <a:xfrm>
          <a:off x="93059250" y="2381250"/>
          <a:ext cx="0" cy="969687"/>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Behavioral Risk Factor Surveillance System at:  http://www.cdc.gov/brfss/index.htm.</a:t>
          </a:r>
        </a:p>
      </xdr:txBody>
    </xdr:sp>
    <xdr:clientData/>
  </xdr:twoCellAnchor>
  <xdr:twoCellAnchor>
    <xdr:from>
      <xdr:col>127</xdr:col>
      <xdr:colOff>0</xdr:colOff>
      <xdr:row>36</xdr:row>
      <xdr:rowOff>76200</xdr:rowOff>
    </xdr:from>
    <xdr:to>
      <xdr:col>127</xdr:col>
      <xdr:colOff>0</xdr:colOff>
      <xdr:row>41</xdr:row>
      <xdr:rowOff>104775</xdr:rowOff>
    </xdr:to>
    <xdr:sp macro="" textlink="">
      <xdr:nvSpPr>
        <xdr:cNvPr id="347" name="Text Box 10">
          <a:extLst>
            <a:ext uri="{FF2B5EF4-FFF2-40B4-BE49-F238E27FC236}">
              <a16:creationId xmlns:a16="http://schemas.microsoft.com/office/drawing/2014/main" id="{FD719BA2-6EBF-4D82-9413-83CF3430EA6A}"/>
            </a:ext>
          </a:extLst>
        </xdr:cNvPr>
        <xdr:cNvSpPr txBox="1">
          <a:spLocks noChangeArrowheads="1"/>
        </xdr:cNvSpPr>
      </xdr:nvSpPr>
      <xdr:spPr bwMode="auto">
        <a:xfrm>
          <a:off x="93059250" y="6924675"/>
          <a:ext cx="0" cy="981075"/>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Youth Risk Behavior Survey, 1995-2007, extracted from the Guam Substance Abuse Epidemiological Profile, 2007 Update, Guam State Epidemiological Workgroup, 3rd Quarter, 2008.  PEACE, Hagatna, Guam, 2008.</a:t>
          </a:r>
        </a:p>
      </xdr:txBody>
    </xdr:sp>
    <xdr:clientData/>
  </xdr:twoCellAnchor>
  <xdr:twoCellAnchor>
    <xdr:from>
      <xdr:col>127</xdr:col>
      <xdr:colOff>0</xdr:colOff>
      <xdr:row>35</xdr:row>
      <xdr:rowOff>160020</xdr:rowOff>
    </xdr:from>
    <xdr:to>
      <xdr:col>127</xdr:col>
      <xdr:colOff>0</xdr:colOff>
      <xdr:row>41</xdr:row>
      <xdr:rowOff>19104</xdr:rowOff>
    </xdr:to>
    <xdr:sp macro="" textlink="">
      <xdr:nvSpPr>
        <xdr:cNvPr id="348" name="Text Box 11">
          <a:extLst>
            <a:ext uri="{FF2B5EF4-FFF2-40B4-BE49-F238E27FC236}">
              <a16:creationId xmlns:a16="http://schemas.microsoft.com/office/drawing/2014/main" id="{638D0BA9-F529-497F-9DB6-B9A2D8C59B58}"/>
            </a:ext>
          </a:extLst>
        </xdr:cNvPr>
        <xdr:cNvSpPr txBox="1">
          <a:spLocks noChangeArrowheads="1"/>
        </xdr:cNvSpPr>
      </xdr:nvSpPr>
      <xdr:spPr bwMode="auto">
        <a:xfrm>
          <a:off x="93059250" y="6817995"/>
          <a:ext cx="0" cy="1002084"/>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*Rates are suppressed if fewer than 5 cases were reported in a specific category.</a:t>
          </a:r>
        </a:p>
        <a:p>
          <a:pPr algn="l" rtl="1">
            <a:defRPr sz="1000"/>
          </a:pPr>
          <a:r>
            <a:rPr lang="en-US" sz="800" b="0" i="0" strike="noStrike">
              <a:solidFill>
                <a:srgbClr val="000000"/>
              </a:solidFill>
              <a:latin typeface="Arial"/>
              <a:cs typeface="Arial"/>
            </a:rPr>
            <a:t>Rates are per 100,000 persons and age-adjusted to the 2000 U.S. standard population.</a:t>
          </a:r>
        </a:p>
        <a:p>
          <a:pPr algn="l" rtl="1">
            <a:defRPr sz="1000"/>
          </a:pPr>
          <a:r>
            <a:rPr lang="en-US" sz="800" b="0" i="0" strike="noStrike">
              <a:solidFill>
                <a:srgbClr val="000000"/>
              </a:solidFill>
              <a:latin typeface="Arial"/>
              <a:cs typeface="Arial"/>
            </a:rPr>
            <a:t>Male and female incidence and mortality rates are mean, annual rates.</a:t>
          </a:r>
        </a:p>
      </xdr:txBody>
    </xdr:sp>
    <xdr:clientData/>
  </xdr:twoCellAnchor>
  <xdr:twoCellAnchor>
    <xdr:from>
      <xdr:col>127</xdr:col>
      <xdr:colOff>0</xdr:colOff>
      <xdr:row>117</xdr:row>
      <xdr:rowOff>160020</xdr:rowOff>
    </xdr:from>
    <xdr:to>
      <xdr:col>127</xdr:col>
      <xdr:colOff>0</xdr:colOff>
      <xdr:row>120</xdr:row>
      <xdr:rowOff>0</xdr:rowOff>
    </xdr:to>
    <xdr:sp macro="" textlink="">
      <xdr:nvSpPr>
        <xdr:cNvPr id="349" name="Text Box 4">
          <a:extLst>
            <a:ext uri="{FF2B5EF4-FFF2-40B4-BE49-F238E27FC236}">
              <a16:creationId xmlns:a16="http://schemas.microsoft.com/office/drawing/2014/main" id="{E6C516A6-E147-4722-AE18-D5AD38E71402}"/>
            </a:ext>
          </a:extLst>
        </xdr:cNvPr>
        <xdr:cNvSpPr txBox="1">
          <a:spLocks noChangeArrowheads="1"/>
        </xdr:cNvSpPr>
      </xdr:nvSpPr>
      <xdr:spPr bwMode="auto">
        <a:xfrm>
          <a:off x="93059250" y="22438995"/>
          <a:ext cx="0" cy="4114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123</xdr:row>
      <xdr:rowOff>38100</xdr:rowOff>
    </xdr:from>
    <xdr:to>
      <xdr:col>127</xdr:col>
      <xdr:colOff>0</xdr:colOff>
      <xdr:row>125</xdr:row>
      <xdr:rowOff>38100</xdr:rowOff>
    </xdr:to>
    <xdr:sp macro="" textlink="">
      <xdr:nvSpPr>
        <xdr:cNvPr id="350" name="Text Box 5">
          <a:extLst>
            <a:ext uri="{FF2B5EF4-FFF2-40B4-BE49-F238E27FC236}">
              <a16:creationId xmlns:a16="http://schemas.microsoft.com/office/drawing/2014/main" id="{B378B1C9-C641-4FDB-BB9D-2AD3819DB4F2}"/>
            </a:ext>
          </a:extLst>
        </xdr:cNvPr>
        <xdr:cNvSpPr txBox="1">
          <a:spLocks noChangeArrowheads="1"/>
        </xdr:cNvSpPr>
      </xdr:nvSpPr>
      <xdr:spPr bwMode="auto">
        <a:xfrm>
          <a:off x="93059250" y="234600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twoCellAnchor>
    <xdr:from>
      <xdr:col>127</xdr:col>
      <xdr:colOff>0</xdr:colOff>
      <xdr:row>58</xdr:row>
      <xdr:rowOff>160020</xdr:rowOff>
    </xdr:from>
    <xdr:to>
      <xdr:col>127</xdr:col>
      <xdr:colOff>0</xdr:colOff>
      <xdr:row>61</xdr:row>
      <xdr:rowOff>0</xdr:rowOff>
    </xdr:to>
    <xdr:sp macro="" textlink="">
      <xdr:nvSpPr>
        <xdr:cNvPr id="351" name="Text Box 4">
          <a:extLst>
            <a:ext uri="{FF2B5EF4-FFF2-40B4-BE49-F238E27FC236}">
              <a16:creationId xmlns:a16="http://schemas.microsoft.com/office/drawing/2014/main" id="{F0CDDE6D-4703-468D-A2DF-CF9CFAB1E328}"/>
            </a:ext>
          </a:extLst>
        </xdr:cNvPr>
        <xdr:cNvSpPr txBox="1">
          <a:spLocks noChangeArrowheads="1"/>
        </xdr:cNvSpPr>
      </xdr:nvSpPr>
      <xdr:spPr bwMode="auto">
        <a:xfrm>
          <a:off x="93059250" y="11199495"/>
          <a:ext cx="0" cy="41148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Ethnicity, and Age, Guam:  2003-2007.</a:t>
          </a:r>
        </a:p>
      </xdr:txBody>
    </xdr:sp>
    <xdr:clientData/>
  </xdr:twoCellAnchor>
  <xdr:twoCellAnchor>
    <xdr:from>
      <xdr:col>127</xdr:col>
      <xdr:colOff>0</xdr:colOff>
      <xdr:row>64</xdr:row>
      <xdr:rowOff>38100</xdr:rowOff>
    </xdr:from>
    <xdr:to>
      <xdr:col>127</xdr:col>
      <xdr:colOff>0</xdr:colOff>
      <xdr:row>66</xdr:row>
      <xdr:rowOff>38100</xdr:rowOff>
    </xdr:to>
    <xdr:sp macro="" textlink="">
      <xdr:nvSpPr>
        <xdr:cNvPr id="352" name="Text Box 5">
          <a:extLst>
            <a:ext uri="{FF2B5EF4-FFF2-40B4-BE49-F238E27FC236}">
              <a16:creationId xmlns:a16="http://schemas.microsoft.com/office/drawing/2014/main" id="{91C8C2BE-4A53-41F6-9F56-66F5AEE1BCB1}"/>
            </a:ext>
          </a:extLst>
        </xdr:cNvPr>
        <xdr:cNvSpPr txBox="1">
          <a:spLocks noChangeArrowheads="1"/>
        </xdr:cNvSpPr>
      </xdr:nvSpPr>
      <xdr:spPr bwMode="auto">
        <a:xfrm>
          <a:off x="93059250" y="12220575"/>
          <a:ext cx="0" cy="381000"/>
        </a:xfrm>
        <a:prstGeom prst="rect">
          <a:avLst/>
        </a:prstGeom>
        <a:solidFill>
          <a:srgbClr val="FFFFFF"/>
        </a:solidFill>
        <a:ln w="9525" algn="ctr">
          <a:noFill/>
          <a:miter lim="800000"/>
          <a:headEnd/>
          <a:tailEnd/>
        </a:ln>
        <a:effectLst/>
      </xdr:spPr>
      <xdr:txBody>
        <a:bodyPr vertOverflow="clip" wrap="square" lIns="27432" tIns="22860" rIns="0" bIns="0" anchor="t" upright="1"/>
        <a:lstStyle/>
        <a:p>
          <a:pPr algn="l" rtl="1">
            <a:defRPr sz="1000"/>
          </a:pPr>
          <a:r>
            <a:rPr lang="en-US" sz="800" b="0" i="0" strike="noStrike">
              <a:solidFill>
                <a:srgbClr val="000000"/>
              </a:solidFill>
              <a:latin typeface="Arial"/>
              <a:cs typeface="Arial"/>
            </a:rPr>
            <a:t>Source:  University of Guam, Cancer Research Center of Guam, Guam Cancer Registry, 2009.  Cancer Incidence and Mortality of Guam Residents by Site, Gender, Ethinicity, and Age, Guam:  2003-2007.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F91A-1511-429C-9017-656296278AF5}">
  <sheetPr>
    <tabColor rgb="FFFFFF00"/>
  </sheetPr>
  <dimension ref="B1:BD169"/>
  <sheetViews>
    <sheetView showGridLines="0" zoomScale="90" zoomScaleNormal="90" workbookViewId="0">
      <selection activeCell="B37" sqref="B37"/>
    </sheetView>
  </sheetViews>
  <sheetFormatPr defaultRowHeight="15"/>
  <cols>
    <col min="1" max="1" width="3.85546875" customWidth="1"/>
    <col min="2" max="2" width="26.7109375" customWidth="1"/>
    <col min="11" max="11" width="43.85546875" customWidth="1"/>
    <col min="12" max="18" width="11.7109375" customWidth="1"/>
    <col min="20" max="20" width="54.85546875" customWidth="1"/>
    <col min="30" max="30" width="34.28515625" customWidth="1"/>
    <col min="31" max="31" width="8.5703125" customWidth="1"/>
    <col min="32" max="32" width="12.28515625" customWidth="1"/>
    <col min="33" max="33" width="12.5703125" customWidth="1"/>
    <col min="34" max="34" width="13.140625" customWidth="1"/>
    <col min="35" max="35" width="4.28515625" customWidth="1"/>
    <col min="37" max="37" width="35.42578125" customWidth="1"/>
    <col min="38" max="46" width="11.7109375" customWidth="1"/>
    <col min="49" max="49" width="44.140625" customWidth="1"/>
    <col min="50" max="55" width="12.7109375" customWidth="1"/>
  </cols>
  <sheetData>
    <row r="1" spans="2:54" ht="18" customHeight="1">
      <c r="B1" s="219" t="s">
        <v>1962</v>
      </c>
      <c r="C1" s="2"/>
      <c r="D1" s="2"/>
      <c r="E1" s="2"/>
      <c r="F1" s="2"/>
      <c r="G1" s="2"/>
      <c r="H1" s="2"/>
      <c r="K1" s="219" t="s">
        <v>1965</v>
      </c>
      <c r="L1" s="2"/>
      <c r="M1" s="2"/>
      <c r="N1" s="2"/>
      <c r="O1" s="2"/>
      <c r="P1" s="2"/>
      <c r="Q1" s="2"/>
      <c r="R1" s="2"/>
      <c r="T1" s="219" t="s">
        <v>2023</v>
      </c>
      <c r="U1" s="3"/>
      <c r="V1" s="3"/>
      <c r="W1" s="3"/>
      <c r="X1" s="3"/>
      <c r="Y1" s="3"/>
      <c r="Z1" s="3"/>
      <c r="AA1" s="3"/>
      <c r="AB1" s="3"/>
      <c r="AD1" s="265" t="s">
        <v>2078</v>
      </c>
      <c r="AE1" s="202"/>
      <c r="AF1" s="202"/>
      <c r="AG1" s="202"/>
      <c r="AH1" s="202"/>
      <c r="AJ1" s="321"/>
      <c r="AK1" s="219" t="s">
        <v>2164</v>
      </c>
      <c r="AL1" s="3"/>
      <c r="AM1" s="3"/>
      <c r="AN1" s="3"/>
      <c r="AO1" s="3"/>
      <c r="AP1" s="3"/>
      <c r="AQ1" s="3"/>
      <c r="AR1" s="3"/>
      <c r="AS1" s="3"/>
      <c r="AT1" s="3"/>
      <c r="AW1" s="219" t="s">
        <v>2215</v>
      </c>
      <c r="AX1" s="2"/>
      <c r="AY1" s="2"/>
      <c r="AZ1" s="2"/>
      <c r="BA1" s="2"/>
      <c r="BB1" s="2"/>
    </row>
    <row r="2" spans="2:54" ht="15.75" customHeight="1">
      <c r="B2" s="202" t="s">
        <v>1940</v>
      </c>
      <c r="C2" s="2"/>
      <c r="D2" s="2"/>
      <c r="E2" s="2"/>
      <c r="F2" s="2"/>
      <c r="G2" s="2"/>
      <c r="H2" s="2"/>
      <c r="K2" s="218" t="s">
        <v>1966</v>
      </c>
      <c r="L2" s="309" t="s">
        <v>1967</v>
      </c>
      <c r="M2" s="1838" t="s">
        <v>473</v>
      </c>
      <c r="N2" s="1838" t="s">
        <v>1968</v>
      </c>
      <c r="O2" s="380" t="s">
        <v>1967</v>
      </c>
      <c r="P2" s="380" t="s">
        <v>473</v>
      </c>
      <c r="Q2" s="379" t="s">
        <v>1968</v>
      </c>
      <c r="R2" s="201"/>
      <c r="S2" s="91"/>
      <c r="T2" s="218" t="s">
        <v>1966</v>
      </c>
      <c r="U2" s="2023" t="s">
        <v>1967</v>
      </c>
      <c r="V2" s="2024"/>
      <c r="W2" s="2024"/>
      <c r="X2" s="2025"/>
      <c r="Y2" s="2024" t="s">
        <v>473</v>
      </c>
      <c r="Z2" s="2024"/>
      <c r="AA2" s="2024"/>
      <c r="AB2" s="2024"/>
      <c r="AC2" s="91"/>
      <c r="AD2" s="319" t="s">
        <v>2079</v>
      </c>
      <c r="AE2" s="310" t="s">
        <v>1665</v>
      </c>
      <c r="AF2" s="320" t="s">
        <v>1666</v>
      </c>
      <c r="AG2" s="3"/>
      <c r="AH2" s="2"/>
      <c r="AK2" s="8"/>
      <c r="AL2" s="2031" t="s">
        <v>2165</v>
      </c>
      <c r="AM2" s="2031"/>
      <c r="AN2" s="2032" t="s">
        <v>507</v>
      </c>
      <c r="AO2" s="2032"/>
      <c r="AP2" s="2032"/>
      <c r="AQ2" s="2032" t="s">
        <v>2166</v>
      </c>
      <c r="AR2" s="2032"/>
      <c r="AS2" s="2032" t="s">
        <v>2167</v>
      </c>
      <c r="AT2" s="2023"/>
      <c r="AW2" s="340" t="s">
        <v>1648</v>
      </c>
      <c r="AX2" s="310">
        <v>2024</v>
      </c>
      <c r="AY2" s="314">
        <v>2023</v>
      </c>
      <c r="AZ2" s="314">
        <v>2022</v>
      </c>
      <c r="BA2" s="314">
        <v>2019</v>
      </c>
      <c r="BB2" s="315">
        <v>2018</v>
      </c>
    </row>
    <row r="3" spans="2:54" ht="14.25" customHeight="1">
      <c r="B3" s="306" t="s">
        <v>1648</v>
      </c>
      <c r="C3" s="310">
        <v>2024</v>
      </c>
      <c r="D3" s="314">
        <v>2023</v>
      </c>
      <c r="E3" s="314" t="s">
        <v>1941</v>
      </c>
      <c r="F3" s="314" t="s">
        <v>1942</v>
      </c>
      <c r="G3" s="315" t="s">
        <v>1943</v>
      </c>
      <c r="H3" s="3"/>
      <c r="K3" s="209" t="s">
        <v>1969</v>
      </c>
      <c r="L3" s="309">
        <v>2024</v>
      </c>
      <c r="M3" s="310">
        <v>2024</v>
      </c>
      <c r="N3" s="309">
        <v>2024</v>
      </c>
      <c r="O3" s="303">
        <v>2023</v>
      </c>
      <c r="P3" s="303">
        <v>2023</v>
      </c>
      <c r="Q3" s="313">
        <v>2023</v>
      </c>
      <c r="R3" s="201"/>
      <c r="S3" s="91"/>
      <c r="T3" s="209" t="s">
        <v>1969</v>
      </c>
      <c r="U3" s="314">
        <v>2022</v>
      </c>
      <c r="V3" s="314">
        <v>2021</v>
      </c>
      <c r="W3" s="314">
        <v>2020</v>
      </c>
      <c r="X3" s="314">
        <v>2019</v>
      </c>
      <c r="Y3" s="314">
        <v>2022</v>
      </c>
      <c r="Z3" s="314">
        <v>2021</v>
      </c>
      <c r="AA3" s="314">
        <v>2020</v>
      </c>
      <c r="AB3" s="315">
        <v>2019</v>
      </c>
      <c r="AD3" s="322">
        <v>2024</v>
      </c>
      <c r="AE3" s="323"/>
      <c r="AF3" s="323"/>
      <c r="AG3" s="2"/>
      <c r="AH3" s="2"/>
      <c r="AK3" s="335" t="s">
        <v>2095</v>
      </c>
      <c r="AL3" s="338" t="s">
        <v>2096</v>
      </c>
      <c r="AM3" s="2"/>
      <c r="AN3" s="188"/>
      <c r="AO3" s="218" t="s">
        <v>2096</v>
      </c>
      <c r="AP3" s="188"/>
      <c r="AQ3" s="218" t="s">
        <v>2096</v>
      </c>
      <c r="AR3" s="188"/>
      <c r="AS3" s="218" t="s">
        <v>2096</v>
      </c>
      <c r="AT3" s="8"/>
      <c r="AW3" s="207" t="s">
        <v>2218</v>
      </c>
      <c r="AX3" s="215">
        <v>15878</v>
      </c>
      <c r="AY3" s="215">
        <v>15666</v>
      </c>
      <c r="AZ3" s="215">
        <v>14811</v>
      </c>
      <c r="BA3" s="215">
        <v>104846</v>
      </c>
      <c r="BB3" s="215">
        <v>11149</v>
      </c>
    </row>
    <row r="4" spans="2:54" ht="14.1" customHeight="1">
      <c r="B4" s="207" t="s">
        <v>1964</v>
      </c>
      <c r="C4" s="205">
        <v>81.5</v>
      </c>
      <c r="D4" s="205">
        <v>81.2</v>
      </c>
      <c r="E4" s="205">
        <v>81.2</v>
      </c>
      <c r="F4" s="205">
        <v>82.1</v>
      </c>
      <c r="G4" s="205">
        <v>82.4</v>
      </c>
      <c r="H4" s="2"/>
      <c r="K4" s="207" t="s">
        <v>129</v>
      </c>
      <c r="L4" s="215">
        <v>29442</v>
      </c>
      <c r="M4" s="215">
        <v>12105</v>
      </c>
      <c r="N4" s="215">
        <v>15297</v>
      </c>
      <c r="O4" s="215">
        <v>36388</v>
      </c>
      <c r="P4" s="215">
        <v>14305</v>
      </c>
      <c r="Q4" s="215">
        <v>28065</v>
      </c>
      <c r="R4" s="215"/>
      <c r="S4" s="91"/>
      <c r="T4" s="218" t="s">
        <v>129</v>
      </c>
      <c r="U4" s="316">
        <v>28656</v>
      </c>
      <c r="V4" s="316">
        <v>18558</v>
      </c>
      <c r="W4" s="316">
        <v>4739</v>
      </c>
      <c r="X4" s="316">
        <v>11761</v>
      </c>
      <c r="Y4" s="316">
        <v>19094</v>
      </c>
      <c r="Z4" s="316">
        <v>19627</v>
      </c>
      <c r="AA4" s="316">
        <v>20800</v>
      </c>
      <c r="AB4" s="316">
        <v>33447</v>
      </c>
      <c r="AD4" s="207" t="s">
        <v>129</v>
      </c>
      <c r="AE4" s="215">
        <v>20296</v>
      </c>
      <c r="AF4" s="205">
        <v>100</v>
      </c>
      <c r="AG4" s="2"/>
      <c r="AH4" s="2"/>
      <c r="AK4" s="336" t="s">
        <v>2097</v>
      </c>
      <c r="AL4" s="339" t="s">
        <v>2098</v>
      </c>
      <c r="AM4" s="212" t="s">
        <v>2099</v>
      </c>
      <c r="AN4" s="251" t="s">
        <v>2024</v>
      </c>
      <c r="AO4" s="209" t="s">
        <v>2098</v>
      </c>
      <c r="AP4" s="251" t="s">
        <v>2099</v>
      </c>
      <c r="AQ4" s="209" t="s">
        <v>2098</v>
      </c>
      <c r="AR4" s="251" t="s">
        <v>2099</v>
      </c>
      <c r="AS4" s="209" t="s">
        <v>2098</v>
      </c>
      <c r="AT4" s="212" t="s">
        <v>2099</v>
      </c>
      <c r="AW4" s="207" t="s">
        <v>2216</v>
      </c>
      <c r="AX4" s="215">
        <v>3139</v>
      </c>
      <c r="AY4" s="205">
        <v>948</v>
      </c>
      <c r="AZ4" s="215">
        <v>2517</v>
      </c>
      <c r="BA4" s="215">
        <v>4652</v>
      </c>
      <c r="BB4" s="215">
        <v>1440</v>
      </c>
    </row>
    <row r="5" spans="2:54" ht="14.1" customHeight="1">
      <c r="B5" s="207" t="s">
        <v>1944</v>
      </c>
      <c r="C5" s="205">
        <v>80</v>
      </c>
      <c r="D5" s="205">
        <v>80.2</v>
      </c>
      <c r="E5" s="205">
        <v>79.7</v>
      </c>
      <c r="F5" s="205">
        <v>80.7</v>
      </c>
      <c r="G5" s="205">
        <v>80.5</v>
      </c>
      <c r="H5" s="2"/>
      <c r="K5" s="1841" t="s">
        <v>1970</v>
      </c>
      <c r="L5" s="204">
        <v>478</v>
      </c>
      <c r="M5" s="204">
        <v>472</v>
      </c>
      <c r="N5" s="204">
        <v>219</v>
      </c>
      <c r="O5" s="1842">
        <v>501</v>
      </c>
      <c r="P5" s="1842">
        <v>601</v>
      </c>
      <c r="Q5" s="1842">
        <v>397</v>
      </c>
      <c r="R5" s="311"/>
      <c r="S5" s="91"/>
      <c r="T5" s="317" t="s">
        <v>2071</v>
      </c>
      <c r="U5" s="203">
        <v>24079</v>
      </c>
      <c r="V5" s="203">
        <v>17307</v>
      </c>
      <c r="W5" s="203">
        <v>4172</v>
      </c>
      <c r="X5" s="203">
        <v>8345</v>
      </c>
      <c r="Y5" s="203">
        <v>14025</v>
      </c>
      <c r="Z5" s="203">
        <v>12905</v>
      </c>
      <c r="AA5" s="203">
        <v>14047</v>
      </c>
      <c r="AB5" s="203">
        <v>23206</v>
      </c>
      <c r="AD5" s="207" t="s">
        <v>1974</v>
      </c>
      <c r="AE5" s="215">
        <v>4642</v>
      </c>
      <c r="AF5" s="205">
        <v>22.9</v>
      </c>
      <c r="AG5" s="2"/>
      <c r="AH5" s="2"/>
      <c r="AK5" s="218" t="s">
        <v>129</v>
      </c>
      <c r="AL5" s="316">
        <v>12339</v>
      </c>
      <c r="AM5" s="337">
        <v>771</v>
      </c>
      <c r="AN5" s="316">
        <v>3927</v>
      </c>
      <c r="AO5" s="316">
        <v>94391</v>
      </c>
      <c r="AP5" s="316">
        <v>3985</v>
      </c>
      <c r="AQ5" s="316">
        <v>8584</v>
      </c>
      <c r="AR5" s="337" t="s">
        <v>546</v>
      </c>
      <c r="AS5" s="316">
        <v>24893</v>
      </c>
      <c r="AT5" s="337" t="s">
        <v>546</v>
      </c>
      <c r="AW5" s="207" t="s">
        <v>1717</v>
      </c>
      <c r="AX5" s="215">
        <v>12557</v>
      </c>
      <c r="AY5" s="215">
        <v>14587</v>
      </c>
      <c r="AZ5" s="215">
        <v>12194</v>
      </c>
      <c r="BA5" s="215">
        <v>100061</v>
      </c>
      <c r="BB5" s="215">
        <v>9677</v>
      </c>
    </row>
    <row r="6" spans="2:54" ht="14.1" customHeight="1">
      <c r="B6" s="207" t="s">
        <v>1945</v>
      </c>
      <c r="C6" s="205">
        <v>79.7</v>
      </c>
      <c r="D6" s="205">
        <v>80.5</v>
      </c>
      <c r="E6" s="205">
        <v>80.599999999999994</v>
      </c>
      <c r="F6" s="205">
        <v>81.400000000000006</v>
      </c>
      <c r="G6" s="205">
        <v>80.3</v>
      </c>
      <c r="H6" s="2"/>
      <c r="K6" s="1841" t="s">
        <v>1971</v>
      </c>
      <c r="L6" s="204">
        <v>842</v>
      </c>
      <c r="M6" s="204">
        <v>650</v>
      </c>
      <c r="N6" s="204">
        <v>430</v>
      </c>
      <c r="O6" s="1842">
        <v>888</v>
      </c>
      <c r="P6" s="1842">
        <v>735</v>
      </c>
      <c r="Q6" s="1842">
        <v>777</v>
      </c>
      <c r="R6" s="311"/>
      <c r="S6" s="91"/>
      <c r="T6" s="202" t="s">
        <v>2024</v>
      </c>
      <c r="U6" s="203">
        <v>1089</v>
      </c>
      <c r="V6" s="204">
        <v>943</v>
      </c>
      <c r="W6" s="204">
        <v>42</v>
      </c>
      <c r="X6" s="204">
        <v>483</v>
      </c>
      <c r="Y6" s="203">
        <v>1288</v>
      </c>
      <c r="Z6" s="203">
        <v>1097</v>
      </c>
      <c r="AA6" s="203">
        <v>1164</v>
      </c>
      <c r="AB6" s="203">
        <v>1769</v>
      </c>
      <c r="AD6" s="207" t="s">
        <v>2012</v>
      </c>
      <c r="AE6" s="215">
        <v>2546</v>
      </c>
      <c r="AF6" s="205">
        <v>12.5</v>
      </c>
      <c r="AG6" s="2"/>
      <c r="AH6" s="2"/>
      <c r="AK6" s="202" t="s">
        <v>2168</v>
      </c>
      <c r="AL6" s="203">
        <v>1462</v>
      </c>
      <c r="AM6" s="204">
        <v>195</v>
      </c>
      <c r="AN6" s="204">
        <v>50</v>
      </c>
      <c r="AO6" s="203">
        <v>1250</v>
      </c>
      <c r="AP6" s="204">
        <v>37</v>
      </c>
      <c r="AQ6" s="204">
        <v>35</v>
      </c>
      <c r="AR6" s="204" t="s">
        <v>546</v>
      </c>
      <c r="AS6" s="204">
        <v>409</v>
      </c>
      <c r="AT6" s="204" t="s">
        <v>546</v>
      </c>
      <c r="AW6" s="207" t="s">
        <v>2217</v>
      </c>
      <c r="AX6" s="205">
        <v>145</v>
      </c>
      <c r="AY6" s="205">
        <v>69</v>
      </c>
      <c r="AZ6" s="205">
        <v>71</v>
      </c>
      <c r="BA6" s="205">
        <v>62</v>
      </c>
      <c r="BB6" s="205">
        <v>12</v>
      </c>
    </row>
    <row r="7" spans="2:54" ht="14.1" customHeight="1">
      <c r="B7" s="207" t="s">
        <v>1946</v>
      </c>
      <c r="C7" s="205">
        <v>80.5</v>
      </c>
      <c r="D7" s="205">
        <v>80.3</v>
      </c>
      <c r="E7" s="205">
        <v>81.7</v>
      </c>
      <c r="F7" s="205">
        <v>81.5</v>
      </c>
      <c r="G7" s="205">
        <v>82.1</v>
      </c>
      <c r="H7" s="2"/>
      <c r="K7" s="1841" t="s">
        <v>1972</v>
      </c>
      <c r="L7" s="203">
        <v>1250</v>
      </c>
      <c r="M7" s="204">
        <v>178</v>
      </c>
      <c r="N7" s="204">
        <v>838</v>
      </c>
      <c r="O7" s="1843">
        <v>2556</v>
      </c>
      <c r="P7" s="1842">
        <v>392</v>
      </c>
      <c r="Q7" s="1843">
        <v>1992</v>
      </c>
      <c r="R7" s="312"/>
      <c r="S7" s="91"/>
      <c r="T7" s="202" t="s">
        <v>2077</v>
      </c>
      <c r="U7" s="204">
        <v>58</v>
      </c>
      <c r="V7" s="204">
        <v>0</v>
      </c>
      <c r="W7" s="204">
        <v>0</v>
      </c>
      <c r="X7" s="204">
        <v>56</v>
      </c>
      <c r="Y7" s="204">
        <v>82</v>
      </c>
      <c r="Z7" s="204">
        <v>163</v>
      </c>
      <c r="AA7" s="204">
        <v>113</v>
      </c>
      <c r="AB7" s="204">
        <v>411</v>
      </c>
      <c r="AD7" s="207" t="s">
        <v>1978</v>
      </c>
      <c r="AE7" s="215">
        <v>2537</v>
      </c>
      <c r="AF7" s="205">
        <v>12.5</v>
      </c>
      <c r="AG7" s="2"/>
      <c r="AH7" s="2"/>
      <c r="AK7" s="202" t="s">
        <v>2169</v>
      </c>
      <c r="AL7" s="204">
        <v>394</v>
      </c>
      <c r="AM7" s="204">
        <v>39</v>
      </c>
      <c r="AN7" s="204">
        <v>450</v>
      </c>
      <c r="AO7" s="203">
        <v>13500</v>
      </c>
      <c r="AP7" s="204">
        <v>217</v>
      </c>
      <c r="AQ7" s="204" t="s">
        <v>546</v>
      </c>
      <c r="AR7" s="204" t="s">
        <v>546</v>
      </c>
      <c r="AS7" s="203">
        <v>2000</v>
      </c>
      <c r="AT7" s="204" t="s">
        <v>546</v>
      </c>
      <c r="AW7" s="207" t="s">
        <v>2024</v>
      </c>
      <c r="AX7" s="205">
        <v>37</v>
      </c>
      <c r="AY7" s="205">
        <v>62</v>
      </c>
      <c r="AZ7" s="205">
        <v>29</v>
      </c>
      <c r="BA7" s="205">
        <v>71</v>
      </c>
      <c r="BB7" s="205" t="s">
        <v>546</v>
      </c>
    </row>
    <row r="8" spans="2:54" ht="14.1" customHeight="1">
      <c r="B8" s="207" t="s">
        <v>1947</v>
      </c>
      <c r="C8" s="205">
        <v>82.4</v>
      </c>
      <c r="D8" s="205">
        <v>81.2</v>
      </c>
      <c r="E8" s="205">
        <v>81.3</v>
      </c>
      <c r="F8" s="205">
        <v>82.6</v>
      </c>
      <c r="G8" s="205">
        <v>83.3</v>
      </c>
      <c r="H8" s="2"/>
      <c r="K8" s="1841" t="s">
        <v>1973</v>
      </c>
      <c r="L8" s="203">
        <v>1904</v>
      </c>
      <c r="M8" s="204">
        <v>841</v>
      </c>
      <c r="N8" s="203">
        <v>1020</v>
      </c>
      <c r="O8" s="1843">
        <v>2289</v>
      </c>
      <c r="P8" s="1842">
        <v>657</v>
      </c>
      <c r="Q8" s="1843">
        <v>1974</v>
      </c>
      <c r="R8" s="312"/>
      <c r="S8" s="91"/>
      <c r="T8" s="202" t="s">
        <v>2076</v>
      </c>
      <c r="U8" s="203">
        <v>1031</v>
      </c>
      <c r="V8" s="204">
        <v>943</v>
      </c>
      <c r="W8" s="204">
        <v>42</v>
      </c>
      <c r="X8" s="204">
        <v>427</v>
      </c>
      <c r="Y8" s="203">
        <v>1206</v>
      </c>
      <c r="Z8" s="204">
        <v>934</v>
      </c>
      <c r="AA8" s="203">
        <v>1051</v>
      </c>
      <c r="AB8" s="203">
        <v>1358</v>
      </c>
      <c r="AD8" s="207" t="s">
        <v>1973</v>
      </c>
      <c r="AE8" s="215">
        <v>1904</v>
      </c>
      <c r="AF8" s="205">
        <v>9.4</v>
      </c>
      <c r="AG8" s="2"/>
      <c r="AH8" s="2"/>
      <c r="AK8" s="202" t="s">
        <v>2170</v>
      </c>
      <c r="AL8" s="204" t="s">
        <v>546</v>
      </c>
      <c r="AM8" s="204" t="s">
        <v>546</v>
      </c>
      <c r="AN8" s="204" t="s">
        <v>546</v>
      </c>
      <c r="AO8" s="204" t="s">
        <v>546</v>
      </c>
      <c r="AP8" s="204" t="s">
        <v>546</v>
      </c>
      <c r="AQ8" s="204" t="s">
        <v>546</v>
      </c>
      <c r="AR8" s="204" t="s">
        <v>546</v>
      </c>
      <c r="AS8" s="204" t="s">
        <v>546</v>
      </c>
      <c r="AT8" s="204" t="s">
        <v>546</v>
      </c>
      <c r="AW8" s="3"/>
      <c r="AX8" s="3"/>
      <c r="AY8" s="3"/>
      <c r="AZ8" s="3"/>
      <c r="BA8" s="3"/>
      <c r="BB8" s="3"/>
    </row>
    <row r="9" spans="2:54" ht="14.1" customHeight="1">
      <c r="B9" s="207" t="s">
        <v>1948</v>
      </c>
      <c r="C9" s="205">
        <v>82.6</v>
      </c>
      <c r="D9" s="205">
        <v>81.7</v>
      </c>
      <c r="E9" s="205">
        <v>82.5</v>
      </c>
      <c r="F9" s="205">
        <v>82.6</v>
      </c>
      <c r="G9" s="205">
        <v>83.7</v>
      </c>
      <c r="H9" s="2"/>
      <c r="K9" s="1841" t="s">
        <v>1974</v>
      </c>
      <c r="L9" s="203">
        <v>4642</v>
      </c>
      <c r="M9" s="203">
        <v>1928</v>
      </c>
      <c r="N9" s="204">
        <v>529</v>
      </c>
      <c r="O9" s="1843">
        <v>8089</v>
      </c>
      <c r="P9" s="1843">
        <v>1267</v>
      </c>
      <c r="Q9" s="1843">
        <v>1021</v>
      </c>
      <c r="R9" s="312"/>
      <c r="S9" s="91"/>
      <c r="T9" s="202" t="s">
        <v>1997</v>
      </c>
      <c r="U9" s="204">
        <v>28</v>
      </c>
      <c r="V9" s="204">
        <v>2</v>
      </c>
      <c r="W9" s="204">
        <v>0</v>
      </c>
      <c r="X9" s="204">
        <v>26</v>
      </c>
      <c r="Y9" s="204">
        <v>106</v>
      </c>
      <c r="Z9" s="204">
        <v>135</v>
      </c>
      <c r="AA9" s="204">
        <v>70</v>
      </c>
      <c r="AB9" s="204">
        <v>74</v>
      </c>
      <c r="AD9" s="207" t="s">
        <v>1977</v>
      </c>
      <c r="AE9" s="215">
        <v>1839</v>
      </c>
      <c r="AF9" s="205">
        <v>9.1</v>
      </c>
      <c r="AG9" s="2"/>
      <c r="AH9" s="2"/>
      <c r="AK9" s="202" t="s">
        <v>2171</v>
      </c>
      <c r="AL9" s="204" t="s">
        <v>546</v>
      </c>
      <c r="AM9" s="204" t="s">
        <v>546</v>
      </c>
      <c r="AN9" s="204" t="s">
        <v>546</v>
      </c>
      <c r="AO9" s="204" t="s">
        <v>546</v>
      </c>
      <c r="AP9" s="204" t="s">
        <v>546</v>
      </c>
      <c r="AQ9" s="204" t="s">
        <v>546</v>
      </c>
      <c r="AR9" s="204" t="s">
        <v>546</v>
      </c>
      <c r="AS9" s="204" t="s">
        <v>546</v>
      </c>
      <c r="AT9" s="204" t="s">
        <v>546</v>
      </c>
      <c r="AW9" s="207" t="s">
        <v>2219</v>
      </c>
      <c r="AX9" s="215">
        <v>15556</v>
      </c>
      <c r="AY9" s="215">
        <v>14780</v>
      </c>
      <c r="AZ9" s="215">
        <v>14711</v>
      </c>
      <c r="BA9" s="215">
        <v>104526</v>
      </c>
      <c r="BB9" s="215">
        <v>11025</v>
      </c>
    </row>
    <row r="10" spans="2:54" ht="14.1" customHeight="1">
      <c r="B10" s="207" t="s">
        <v>1949</v>
      </c>
      <c r="C10" s="205">
        <v>82.4</v>
      </c>
      <c r="D10" s="205">
        <v>81.900000000000006</v>
      </c>
      <c r="E10" s="205">
        <v>82.3</v>
      </c>
      <c r="F10" s="205">
        <v>83.7</v>
      </c>
      <c r="G10" s="205">
        <v>84.5</v>
      </c>
      <c r="H10" s="2"/>
      <c r="K10" s="1841" t="s">
        <v>1975</v>
      </c>
      <c r="L10" s="204">
        <v>280</v>
      </c>
      <c r="M10" s="204">
        <v>59</v>
      </c>
      <c r="N10" s="204" t="s">
        <v>546</v>
      </c>
      <c r="O10" s="1842">
        <v>446</v>
      </c>
      <c r="P10" s="1842">
        <v>127</v>
      </c>
      <c r="Q10" s="1842">
        <v>49</v>
      </c>
      <c r="R10" s="311"/>
      <c r="S10" s="91"/>
      <c r="T10" s="202" t="s">
        <v>2025</v>
      </c>
      <c r="U10" s="203">
        <v>2755</v>
      </c>
      <c r="V10" s="204">
        <v>266</v>
      </c>
      <c r="W10" s="204">
        <v>134</v>
      </c>
      <c r="X10" s="204">
        <v>452</v>
      </c>
      <c r="Y10" s="204">
        <v>967</v>
      </c>
      <c r="Z10" s="204">
        <v>692</v>
      </c>
      <c r="AA10" s="204">
        <v>933</v>
      </c>
      <c r="AB10" s="203">
        <v>1569</v>
      </c>
      <c r="AD10" s="207" t="s">
        <v>1991</v>
      </c>
      <c r="AE10" s="215">
        <v>1747</v>
      </c>
      <c r="AF10" s="205">
        <v>8.6</v>
      </c>
      <c r="AG10" s="2"/>
      <c r="AH10" s="2"/>
      <c r="AK10" s="202" t="s">
        <v>2172</v>
      </c>
      <c r="AL10" s="204" t="s">
        <v>546</v>
      </c>
      <c r="AM10" s="204" t="s">
        <v>546</v>
      </c>
      <c r="AN10" s="2"/>
      <c r="AO10" s="2"/>
      <c r="AP10" s="2"/>
      <c r="AQ10" s="204" t="s">
        <v>546</v>
      </c>
      <c r="AR10" s="204" t="s">
        <v>546</v>
      </c>
      <c r="AS10" s="204">
        <v>428</v>
      </c>
      <c r="AT10" s="204" t="s">
        <v>546</v>
      </c>
      <c r="AW10" s="207" t="s">
        <v>2216</v>
      </c>
      <c r="AX10" s="215">
        <v>3107</v>
      </c>
      <c r="AY10" s="205">
        <v>907</v>
      </c>
      <c r="AZ10" s="215">
        <v>2463</v>
      </c>
      <c r="BA10" s="215">
        <v>4617</v>
      </c>
      <c r="BB10" s="215">
        <v>1336</v>
      </c>
    </row>
    <row r="11" spans="2:54" ht="14.1" customHeight="1">
      <c r="B11" s="207" t="s">
        <v>1950</v>
      </c>
      <c r="C11" s="205">
        <v>82.3</v>
      </c>
      <c r="D11" s="205">
        <v>81.8</v>
      </c>
      <c r="E11" s="205">
        <v>81</v>
      </c>
      <c r="F11" s="205">
        <v>83.4</v>
      </c>
      <c r="G11" s="205">
        <v>83.9</v>
      </c>
      <c r="H11" s="2"/>
      <c r="K11" s="1841" t="s">
        <v>1976</v>
      </c>
      <c r="L11" s="204">
        <v>999</v>
      </c>
      <c r="M11" s="204">
        <v>221</v>
      </c>
      <c r="N11" s="203">
        <v>2466</v>
      </c>
      <c r="O11" s="1843">
        <v>1355</v>
      </c>
      <c r="P11" s="1842">
        <v>331</v>
      </c>
      <c r="Q11" s="1843">
        <v>4359</v>
      </c>
      <c r="R11" s="312"/>
      <c r="S11" s="91"/>
      <c r="T11" s="202" t="s">
        <v>2026</v>
      </c>
      <c r="U11" s="203">
        <v>2102</v>
      </c>
      <c r="V11" s="204">
        <v>20</v>
      </c>
      <c r="W11" s="204">
        <v>19</v>
      </c>
      <c r="X11" s="204">
        <v>636</v>
      </c>
      <c r="Y11" s="204">
        <v>200</v>
      </c>
      <c r="Z11" s="204">
        <v>284</v>
      </c>
      <c r="AA11" s="204">
        <v>444</v>
      </c>
      <c r="AB11" s="204">
        <v>833</v>
      </c>
      <c r="AD11" s="207" t="s">
        <v>1984</v>
      </c>
      <c r="AE11" s="215">
        <v>1403</v>
      </c>
      <c r="AF11" s="205">
        <v>6.9</v>
      </c>
      <c r="AG11" s="2"/>
      <c r="AH11" s="2"/>
      <c r="AK11" s="202" t="s">
        <v>2173</v>
      </c>
      <c r="AL11" s="204" t="s">
        <v>546</v>
      </c>
      <c r="AM11" s="204" t="s">
        <v>546</v>
      </c>
      <c r="AN11" s="204">
        <v>9</v>
      </c>
      <c r="AO11" s="204">
        <v>280</v>
      </c>
      <c r="AP11" s="204">
        <v>35</v>
      </c>
      <c r="AQ11" s="204" t="s">
        <v>546</v>
      </c>
      <c r="AR11" s="204" t="s">
        <v>546</v>
      </c>
      <c r="AS11" s="204">
        <v>500</v>
      </c>
      <c r="AT11" s="204" t="s">
        <v>546</v>
      </c>
      <c r="AW11" s="207" t="s">
        <v>1717</v>
      </c>
      <c r="AX11" s="215">
        <v>12270</v>
      </c>
      <c r="AY11" s="215">
        <v>13747</v>
      </c>
      <c r="AZ11" s="215">
        <v>12158</v>
      </c>
      <c r="BA11" s="215">
        <v>99781</v>
      </c>
      <c r="BB11" s="215">
        <v>9677</v>
      </c>
    </row>
    <row r="12" spans="2:54" ht="14.1" customHeight="1">
      <c r="B12" s="207" t="s">
        <v>1951</v>
      </c>
      <c r="C12" s="205">
        <v>82.2</v>
      </c>
      <c r="D12" s="205">
        <v>81.599999999999994</v>
      </c>
      <c r="E12" s="205">
        <v>80.900000000000006</v>
      </c>
      <c r="F12" s="205">
        <v>81.8</v>
      </c>
      <c r="G12" s="205">
        <v>82.9</v>
      </c>
      <c r="H12" s="2"/>
      <c r="K12" s="1841" t="s">
        <v>1977</v>
      </c>
      <c r="L12" s="203">
        <v>1839</v>
      </c>
      <c r="M12" s="204">
        <v>531</v>
      </c>
      <c r="N12" s="203">
        <v>1510</v>
      </c>
      <c r="O12" s="1843">
        <v>1473</v>
      </c>
      <c r="P12" s="1842">
        <v>619</v>
      </c>
      <c r="Q12" s="1843">
        <v>2332</v>
      </c>
      <c r="R12" s="312"/>
      <c r="S12" s="91"/>
      <c r="T12" s="202" t="s">
        <v>2027</v>
      </c>
      <c r="U12" s="203">
        <v>6087</v>
      </c>
      <c r="V12" s="204">
        <v>76</v>
      </c>
      <c r="W12" s="204">
        <v>122</v>
      </c>
      <c r="X12" s="204">
        <v>761</v>
      </c>
      <c r="Y12" s="203">
        <v>3406</v>
      </c>
      <c r="Z12" s="203">
        <v>1806</v>
      </c>
      <c r="AA12" s="203">
        <v>2486</v>
      </c>
      <c r="AB12" s="203">
        <v>4730</v>
      </c>
      <c r="AD12" s="207" t="s">
        <v>2004</v>
      </c>
      <c r="AE12" s="215">
        <v>1385</v>
      </c>
      <c r="AF12" s="205">
        <v>6.8</v>
      </c>
      <c r="AG12" s="2"/>
      <c r="AH12" s="2"/>
      <c r="AK12" s="202" t="s">
        <v>2174</v>
      </c>
      <c r="AL12" s="204" t="s">
        <v>546</v>
      </c>
      <c r="AM12" s="204" t="s">
        <v>546</v>
      </c>
      <c r="AN12" s="204" t="s">
        <v>546</v>
      </c>
      <c r="AO12" s="204" t="s">
        <v>546</v>
      </c>
      <c r="AP12" s="204" t="s">
        <v>546</v>
      </c>
      <c r="AQ12" s="204" t="s">
        <v>546</v>
      </c>
      <c r="AR12" s="204" t="s">
        <v>546</v>
      </c>
      <c r="AS12" s="204" t="s">
        <v>546</v>
      </c>
      <c r="AT12" s="204" t="s">
        <v>546</v>
      </c>
      <c r="AW12" s="207" t="s">
        <v>2217</v>
      </c>
      <c r="AX12" s="205">
        <v>145</v>
      </c>
      <c r="AY12" s="205">
        <v>68</v>
      </c>
      <c r="AZ12" s="205">
        <v>61</v>
      </c>
      <c r="BA12" s="205">
        <v>57</v>
      </c>
      <c r="BB12" s="205">
        <v>12</v>
      </c>
    </row>
    <row r="13" spans="2:54" ht="14.1" customHeight="1">
      <c r="B13" s="207" t="s">
        <v>1952</v>
      </c>
      <c r="C13" s="205">
        <v>81.8</v>
      </c>
      <c r="D13" s="205">
        <v>81.7</v>
      </c>
      <c r="E13" s="205">
        <v>81.099999999999994</v>
      </c>
      <c r="F13" s="205">
        <v>82.5</v>
      </c>
      <c r="G13" s="205">
        <v>82.6</v>
      </c>
      <c r="H13" s="2"/>
      <c r="K13" s="1841" t="s">
        <v>1978</v>
      </c>
      <c r="L13" s="203">
        <v>2537</v>
      </c>
      <c r="M13" s="203">
        <v>1451</v>
      </c>
      <c r="N13" s="204">
        <v>502</v>
      </c>
      <c r="O13" s="1843">
        <v>1702</v>
      </c>
      <c r="P13" s="1843">
        <v>2960</v>
      </c>
      <c r="Q13" s="1843">
        <v>1132</v>
      </c>
      <c r="R13" s="312"/>
      <c r="S13" s="91"/>
      <c r="T13" s="202" t="s">
        <v>2028</v>
      </c>
      <c r="U13" s="204">
        <v>572</v>
      </c>
      <c r="V13" s="204">
        <v>725</v>
      </c>
      <c r="W13" s="204">
        <v>47</v>
      </c>
      <c r="X13" s="204">
        <v>0</v>
      </c>
      <c r="Y13" s="204">
        <v>36</v>
      </c>
      <c r="Z13" s="204">
        <v>66</v>
      </c>
      <c r="AA13" s="204">
        <v>55</v>
      </c>
      <c r="AB13" s="204">
        <v>0</v>
      </c>
      <c r="AD13" s="207" t="s">
        <v>1972</v>
      </c>
      <c r="AE13" s="215">
        <v>1250</v>
      </c>
      <c r="AF13" s="205">
        <v>6.2</v>
      </c>
      <c r="AG13" s="2"/>
      <c r="AH13" s="2"/>
      <c r="AK13" s="202" t="s">
        <v>2175</v>
      </c>
      <c r="AL13" s="203">
        <v>4622</v>
      </c>
      <c r="AM13" s="204">
        <v>90</v>
      </c>
      <c r="AN13" s="204" t="s">
        <v>546</v>
      </c>
      <c r="AO13" s="204" t="s">
        <v>546</v>
      </c>
      <c r="AP13" s="204" t="s">
        <v>546</v>
      </c>
      <c r="AQ13" s="204" t="s">
        <v>546</v>
      </c>
      <c r="AR13" s="204" t="s">
        <v>546</v>
      </c>
      <c r="AS13" s="204" t="s">
        <v>546</v>
      </c>
      <c r="AT13" s="204" t="s">
        <v>546</v>
      </c>
      <c r="AW13" s="207" t="s">
        <v>2024</v>
      </c>
      <c r="AX13" s="205">
        <v>34</v>
      </c>
      <c r="AY13" s="205">
        <v>58</v>
      </c>
      <c r="AZ13" s="205">
        <v>29</v>
      </c>
      <c r="BA13" s="205">
        <v>71</v>
      </c>
      <c r="BB13" s="205" t="s">
        <v>546</v>
      </c>
    </row>
    <row r="14" spans="2:54" ht="14.1" customHeight="1">
      <c r="B14" s="207" t="s">
        <v>1953</v>
      </c>
      <c r="C14" s="205">
        <v>81.099999999999994</v>
      </c>
      <c r="D14" s="205">
        <v>81.599999999999994</v>
      </c>
      <c r="E14" s="205">
        <v>80.5</v>
      </c>
      <c r="F14" s="205">
        <v>80.5</v>
      </c>
      <c r="G14" s="205">
        <v>81.599999999999994</v>
      </c>
      <c r="H14" s="2"/>
      <c r="K14" s="1841" t="s">
        <v>1979</v>
      </c>
      <c r="L14" s="204">
        <v>353</v>
      </c>
      <c r="M14" s="204">
        <v>211</v>
      </c>
      <c r="N14" s="204">
        <v>120</v>
      </c>
      <c r="O14" s="1842">
        <v>471</v>
      </c>
      <c r="P14" s="1842">
        <v>360</v>
      </c>
      <c r="Q14" s="1842">
        <v>285</v>
      </c>
      <c r="R14" s="311"/>
      <c r="S14" s="91"/>
      <c r="T14" s="202" t="s">
        <v>2029</v>
      </c>
      <c r="U14" s="203">
        <v>2713</v>
      </c>
      <c r="V14" s="203">
        <v>6439</v>
      </c>
      <c r="W14" s="203">
        <v>1479</v>
      </c>
      <c r="X14" s="203">
        <v>1078</v>
      </c>
      <c r="Y14" s="203">
        <v>1059</v>
      </c>
      <c r="Z14" s="203">
        <v>1541</v>
      </c>
      <c r="AA14" s="203">
        <v>1277</v>
      </c>
      <c r="AB14" s="203">
        <v>2583</v>
      </c>
      <c r="AD14" s="202" t="s">
        <v>2005</v>
      </c>
      <c r="AE14" s="215">
        <v>1043</v>
      </c>
      <c r="AF14" s="205">
        <v>5.0999999999999996</v>
      </c>
      <c r="AG14" s="2"/>
      <c r="AH14" s="2"/>
      <c r="AK14" s="202" t="s">
        <v>2176</v>
      </c>
      <c r="AL14" s="204" t="s">
        <v>546</v>
      </c>
      <c r="AM14" s="204" t="s">
        <v>546</v>
      </c>
      <c r="AN14" s="204">
        <v>11</v>
      </c>
      <c r="AO14" s="204">
        <v>161</v>
      </c>
      <c r="AP14" s="204">
        <v>12</v>
      </c>
      <c r="AQ14" s="204">
        <v>86</v>
      </c>
      <c r="AR14" s="204" t="s">
        <v>546</v>
      </c>
      <c r="AS14" s="204" t="s">
        <v>546</v>
      </c>
      <c r="AT14" s="204" t="s">
        <v>546</v>
      </c>
      <c r="AW14" s="3"/>
      <c r="AX14" s="3"/>
      <c r="AY14" s="3"/>
      <c r="AZ14" s="3"/>
      <c r="BA14" s="3"/>
      <c r="BB14" s="3"/>
    </row>
    <row r="15" spans="2:54" ht="14.1" customHeight="1">
      <c r="B15" s="207" t="s">
        <v>1954</v>
      </c>
      <c r="C15" s="205">
        <v>81.900000000000006</v>
      </c>
      <c r="D15" s="205">
        <v>82.1</v>
      </c>
      <c r="E15" s="205">
        <v>81.900000000000006</v>
      </c>
      <c r="F15" s="205">
        <v>82</v>
      </c>
      <c r="G15" s="205">
        <v>82.1</v>
      </c>
      <c r="H15" s="2"/>
      <c r="K15" s="1841" t="s">
        <v>1980</v>
      </c>
      <c r="L15" s="204">
        <v>423</v>
      </c>
      <c r="M15" s="204">
        <v>143</v>
      </c>
      <c r="N15" s="204">
        <v>224</v>
      </c>
      <c r="O15" s="1842">
        <v>306</v>
      </c>
      <c r="P15" s="1842">
        <v>108</v>
      </c>
      <c r="Q15" s="1842">
        <v>307</v>
      </c>
      <c r="R15" s="311"/>
      <c r="S15" s="91"/>
      <c r="T15" s="202" t="s">
        <v>2030</v>
      </c>
      <c r="U15" s="204">
        <v>341</v>
      </c>
      <c r="V15" s="204">
        <v>0</v>
      </c>
      <c r="W15" s="204">
        <v>0</v>
      </c>
      <c r="X15" s="204">
        <v>0</v>
      </c>
      <c r="Y15" s="204">
        <v>44</v>
      </c>
      <c r="Z15" s="204">
        <v>0</v>
      </c>
      <c r="AA15" s="204">
        <v>0</v>
      </c>
      <c r="AB15" s="204">
        <v>0</v>
      </c>
      <c r="AD15" s="202"/>
      <c r="AE15" s="202"/>
      <c r="AF15" s="202"/>
      <c r="AG15" s="2"/>
      <c r="AH15" s="2"/>
      <c r="AK15" s="202" t="s">
        <v>2177</v>
      </c>
      <c r="AL15" s="204">
        <v>455</v>
      </c>
      <c r="AM15" s="204">
        <v>55</v>
      </c>
      <c r="AN15" s="204" t="s">
        <v>546</v>
      </c>
      <c r="AO15" s="204" t="s">
        <v>546</v>
      </c>
      <c r="AP15" s="204" t="s">
        <v>546</v>
      </c>
      <c r="AQ15" s="204" t="s">
        <v>546</v>
      </c>
      <c r="AR15" s="204" t="s">
        <v>546</v>
      </c>
      <c r="AS15" s="204" t="s">
        <v>546</v>
      </c>
      <c r="AT15" s="204" t="s">
        <v>546</v>
      </c>
      <c r="AW15" s="207" t="s">
        <v>2220</v>
      </c>
      <c r="AX15" s="205">
        <v>322</v>
      </c>
      <c r="AY15" s="205">
        <v>886</v>
      </c>
      <c r="AZ15" s="205">
        <v>100</v>
      </c>
      <c r="BA15" s="205">
        <v>320</v>
      </c>
      <c r="BB15" s="205">
        <v>124</v>
      </c>
    </row>
    <row r="16" spans="2:54" ht="14.1" customHeight="1">
      <c r="B16" s="207" t="s">
        <v>1955</v>
      </c>
      <c r="C16" s="205">
        <v>81.400000000000006</v>
      </c>
      <c r="D16" s="205">
        <v>81.400000000000006</v>
      </c>
      <c r="E16" s="205">
        <v>81.2</v>
      </c>
      <c r="F16" s="205">
        <v>81</v>
      </c>
      <c r="G16" s="205">
        <v>81.5</v>
      </c>
      <c r="H16" s="2"/>
      <c r="K16" s="1841" t="s">
        <v>1981</v>
      </c>
      <c r="L16" s="204">
        <v>558</v>
      </c>
      <c r="M16" s="204">
        <v>240</v>
      </c>
      <c r="N16" s="204">
        <v>481</v>
      </c>
      <c r="O16" s="1842">
        <v>302</v>
      </c>
      <c r="P16" s="1842">
        <v>184</v>
      </c>
      <c r="Q16" s="1842">
        <v>758</v>
      </c>
      <c r="R16" s="311"/>
      <c r="S16" s="91"/>
      <c r="T16" s="202" t="s">
        <v>2031</v>
      </c>
      <c r="U16" s="203">
        <v>1608</v>
      </c>
      <c r="V16" s="204">
        <v>166</v>
      </c>
      <c r="W16" s="204">
        <v>41</v>
      </c>
      <c r="X16" s="204">
        <v>512</v>
      </c>
      <c r="Y16" s="203">
        <v>1298</v>
      </c>
      <c r="Z16" s="203">
        <v>1062</v>
      </c>
      <c r="AA16" s="203">
        <v>1574</v>
      </c>
      <c r="AB16" s="203">
        <v>2049</v>
      </c>
      <c r="AD16" s="318">
        <v>2023</v>
      </c>
      <c r="AE16" s="202"/>
      <c r="AF16" s="202"/>
      <c r="AG16" s="2"/>
      <c r="AH16" s="2"/>
      <c r="AK16" s="202" t="s">
        <v>2178</v>
      </c>
      <c r="AL16" s="204" t="s">
        <v>546</v>
      </c>
      <c r="AM16" s="204" t="s">
        <v>546</v>
      </c>
      <c r="AN16" s="204">
        <v>100</v>
      </c>
      <c r="AO16" s="203">
        <v>3300</v>
      </c>
      <c r="AP16" s="204">
        <v>280</v>
      </c>
      <c r="AQ16" s="204" t="s">
        <v>546</v>
      </c>
      <c r="AR16" s="204" t="s">
        <v>546</v>
      </c>
      <c r="AS16" s="204" t="s">
        <v>546</v>
      </c>
      <c r="AT16" s="204" t="s">
        <v>546</v>
      </c>
      <c r="AW16" s="207" t="s">
        <v>2216</v>
      </c>
      <c r="AX16" s="205">
        <v>32</v>
      </c>
      <c r="AY16" s="205">
        <v>41</v>
      </c>
      <c r="AZ16" s="205">
        <v>54</v>
      </c>
      <c r="BA16" s="205">
        <v>35</v>
      </c>
      <c r="BB16" s="205">
        <v>104</v>
      </c>
    </row>
    <row r="17" spans="2:56" ht="14.1" customHeight="1">
      <c r="B17" s="3"/>
      <c r="C17" s="3"/>
      <c r="D17" s="3"/>
      <c r="E17" s="3"/>
      <c r="F17" s="3"/>
      <c r="G17" s="3"/>
      <c r="H17" s="2"/>
      <c r="K17" s="1841" t="s">
        <v>1982</v>
      </c>
      <c r="L17" s="204">
        <v>307</v>
      </c>
      <c r="M17" s="204">
        <v>66</v>
      </c>
      <c r="N17" s="204">
        <v>160</v>
      </c>
      <c r="O17" s="1842">
        <v>246</v>
      </c>
      <c r="P17" s="1842">
        <v>159</v>
      </c>
      <c r="Q17" s="1842">
        <v>241</v>
      </c>
      <c r="R17" s="311"/>
      <c r="S17" s="91"/>
      <c r="T17" s="202" t="s">
        <v>2032</v>
      </c>
      <c r="U17" s="203">
        <v>1977</v>
      </c>
      <c r="V17" s="204">
        <v>546</v>
      </c>
      <c r="W17" s="204">
        <v>114</v>
      </c>
      <c r="X17" s="204">
        <v>844</v>
      </c>
      <c r="Y17" s="203">
        <v>1504</v>
      </c>
      <c r="Z17" s="203">
        <v>1556</v>
      </c>
      <c r="AA17" s="203">
        <v>2027</v>
      </c>
      <c r="AB17" s="203">
        <v>2453</v>
      </c>
      <c r="AD17" s="202" t="s">
        <v>129</v>
      </c>
      <c r="AE17" s="203">
        <v>27141</v>
      </c>
      <c r="AF17" s="204">
        <v>100</v>
      </c>
      <c r="AG17" s="2"/>
      <c r="AH17" s="2"/>
      <c r="AK17" s="202" t="s">
        <v>2179</v>
      </c>
      <c r="AL17" s="204" t="s">
        <v>546</v>
      </c>
      <c r="AM17" s="204" t="s">
        <v>546</v>
      </c>
      <c r="AN17" s="204" t="s">
        <v>546</v>
      </c>
      <c r="AO17" s="204" t="s">
        <v>546</v>
      </c>
      <c r="AP17" s="204" t="s">
        <v>546</v>
      </c>
      <c r="AQ17" s="204" t="s">
        <v>546</v>
      </c>
      <c r="AR17" s="204" t="s">
        <v>546</v>
      </c>
      <c r="AS17" s="203">
        <v>2875</v>
      </c>
      <c r="AT17" s="204" t="s">
        <v>546</v>
      </c>
      <c r="AW17" s="207" t="s">
        <v>1717</v>
      </c>
      <c r="AX17" s="205">
        <v>287</v>
      </c>
      <c r="AY17" s="205">
        <v>840</v>
      </c>
      <c r="AZ17" s="205">
        <v>36</v>
      </c>
      <c r="BA17" s="205">
        <v>280</v>
      </c>
      <c r="BB17" s="205">
        <v>20</v>
      </c>
    </row>
    <row r="18" spans="2:56" ht="14.1" customHeight="1">
      <c r="B18" s="207" t="s">
        <v>1963</v>
      </c>
      <c r="C18" s="3"/>
      <c r="D18" s="3"/>
      <c r="E18" s="3"/>
      <c r="F18" s="3"/>
      <c r="G18" s="3"/>
      <c r="H18" s="2"/>
      <c r="K18" s="1841" t="s">
        <v>1983</v>
      </c>
      <c r="L18" s="204">
        <v>346</v>
      </c>
      <c r="M18" s="204">
        <v>170</v>
      </c>
      <c r="N18" s="204">
        <v>265</v>
      </c>
      <c r="O18" s="1842">
        <v>296</v>
      </c>
      <c r="P18" s="1842">
        <v>285</v>
      </c>
      <c r="Q18" s="1842">
        <v>269</v>
      </c>
      <c r="R18" s="311"/>
      <c r="S18" s="91"/>
      <c r="T18" s="202" t="s">
        <v>2033</v>
      </c>
      <c r="U18" s="204">
        <v>182</v>
      </c>
      <c r="V18" s="204">
        <v>16</v>
      </c>
      <c r="W18" s="204">
        <v>22</v>
      </c>
      <c r="X18" s="204">
        <v>0</v>
      </c>
      <c r="Y18" s="204">
        <v>25</v>
      </c>
      <c r="Z18" s="204">
        <v>85</v>
      </c>
      <c r="AA18" s="204">
        <v>70</v>
      </c>
      <c r="AB18" s="204">
        <v>0</v>
      </c>
      <c r="AD18" s="202" t="s">
        <v>1974</v>
      </c>
      <c r="AE18" s="203">
        <v>8089</v>
      </c>
      <c r="AF18" s="204">
        <v>29.8</v>
      </c>
      <c r="AG18" s="2"/>
      <c r="AH18" s="2"/>
      <c r="AK18" s="202" t="s">
        <v>2180</v>
      </c>
      <c r="AL18" s="204" t="s">
        <v>546</v>
      </c>
      <c r="AM18" s="204" t="s">
        <v>546</v>
      </c>
      <c r="AN18" s="204" t="s">
        <v>546</v>
      </c>
      <c r="AO18" s="204" t="s">
        <v>546</v>
      </c>
      <c r="AP18" s="204" t="s">
        <v>546</v>
      </c>
      <c r="AQ18" s="204" t="s">
        <v>546</v>
      </c>
      <c r="AR18" s="204" t="s">
        <v>546</v>
      </c>
      <c r="AS18" s="204">
        <v>830</v>
      </c>
      <c r="AT18" s="204" t="s">
        <v>546</v>
      </c>
      <c r="AW18" s="207" t="s">
        <v>2217</v>
      </c>
      <c r="AX18" s="205" t="s">
        <v>546</v>
      </c>
      <c r="AY18" s="205">
        <v>1</v>
      </c>
      <c r="AZ18" s="205">
        <v>10</v>
      </c>
      <c r="BA18" s="205">
        <v>5</v>
      </c>
      <c r="BB18" s="205" t="s">
        <v>546</v>
      </c>
    </row>
    <row r="19" spans="2:56" ht="14.1" customHeight="1">
      <c r="B19" s="207" t="s">
        <v>1956</v>
      </c>
      <c r="C19" s="205">
        <v>90</v>
      </c>
      <c r="D19" s="205">
        <v>90</v>
      </c>
      <c r="E19" s="205">
        <v>89</v>
      </c>
      <c r="F19" s="205">
        <v>92</v>
      </c>
      <c r="G19" s="205">
        <v>91</v>
      </c>
      <c r="H19" s="2"/>
      <c r="K19" s="1841" t="s">
        <v>1984</v>
      </c>
      <c r="L19" s="203">
        <v>1403</v>
      </c>
      <c r="M19" s="204">
        <v>983</v>
      </c>
      <c r="N19" s="204">
        <v>844</v>
      </c>
      <c r="O19" s="1843">
        <v>1959</v>
      </c>
      <c r="P19" s="1843">
        <v>1023</v>
      </c>
      <c r="Q19" s="1843">
        <v>2232</v>
      </c>
      <c r="R19" s="312"/>
      <c r="S19" s="91"/>
      <c r="T19" s="202" t="s">
        <v>2034</v>
      </c>
      <c r="U19" s="204">
        <v>0</v>
      </c>
      <c r="V19" s="204">
        <v>0</v>
      </c>
      <c r="W19" s="204">
        <v>0</v>
      </c>
      <c r="X19" s="204">
        <v>0</v>
      </c>
      <c r="Y19" s="204">
        <v>0</v>
      </c>
      <c r="Z19" s="2"/>
      <c r="AA19" s="204">
        <v>0</v>
      </c>
      <c r="AB19" s="204">
        <v>0</v>
      </c>
      <c r="AD19" s="202" t="s">
        <v>2012</v>
      </c>
      <c r="AE19" s="203">
        <v>3837</v>
      </c>
      <c r="AF19" s="204">
        <v>14.1</v>
      </c>
      <c r="AG19" s="2"/>
      <c r="AH19" s="2"/>
      <c r="AK19" s="202" t="s">
        <v>2181</v>
      </c>
      <c r="AL19" s="204" t="s">
        <v>546</v>
      </c>
      <c r="AM19" s="204" t="s">
        <v>546</v>
      </c>
      <c r="AN19" s="204" t="s">
        <v>546</v>
      </c>
      <c r="AO19" s="204" t="s">
        <v>546</v>
      </c>
      <c r="AP19" s="204" t="s">
        <v>546</v>
      </c>
      <c r="AQ19" s="204" t="s">
        <v>546</v>
      </c>
      <c r="AR19" s="204" t="s">
        <v>546</v>
      </c>
      <c r="AS19" s="204" t="s">
        <v>546</v>
      </c>
      <c r="AT19" s="204" t="s">
        <v>546</v>
      </c>
      <c r="AW19" s="209" t="s">
        <v>2024</v>
      </c>
      <c r="AX19" s="213">
        <v>3</v>
      </c>
      <c r="AY19" s="213">
        <v>4</v>
      </c>
      <c r="AZ19" s="213" t="s">
        <v>546</v>
      </c>
      <c r="BA19" s="213" t="s">
        <v>546</v>
      </c>
      <c r="BB19" s="213" t="s">
        <v>546</v>
      </c>
    </row>
    <row r="20" spans="2:56" ht="14.1" customHeight="1">
      <c r="B20" s="209" t="s">
        <v>1957</v>
      </c>
      <c r="C20" s="213">
        <v>70</v>
      </c>
      <c r="D20" s="213">
        <v>72</v>
      </c>
      <c r="E20" s="213">
        <v>72</v>
      </c>
      <c r="F20" s="213">
        <v>69</v>
      </c>
      <c r="G20" s="213">
        <v>71</v>
      </c>
      <c r="H20" s="2022"/>
      <c r="I20" s="2022"/>
      <c r="K20" s="1841" t="s">
        <v>1985</v>
      </c>
      <c r="L20" s="204">
        <v>417</v>
      </c>
      <c r="M20" s="204">
        <v>232</v>
      </c>
      <c r="N20" s="204">
        <v>257</v>
      </c>
      <c r="O20" s="1842">
        <v>329</v>
      </c>
      <c r="P20" s="1842">
        <v>217</v>
      </c>
      <c r="Q20" s="1842">
        <v>477</v>
      </c>
      <c r="R20" s="311"/>
      <c r="S20" s="91"/>
      <c r="T20" s="202" t="s">
        <v>2035</v>
      </c>
      <c r="U20" s="204">
        <v>66</v>
      </c>
      <c r="V20" s="204">
        <v>0</v>
      </c>
      <c r="W20" s="204">
        <v>0</v>
      </c>
      <c r="X20" s="204">
        <v>20</v>
      </c>
      <c r="Y20" s="204">
        <v>28</v>
      </c>
      <c r="Z20" s="204">
        <v>115</v>
      </c>
      <c r="AA20" s="204">
        <v>80</v>
      </c>
      <c r="AB20" s="204">
        <v>270</v>
      </c>
      <c r="AD20" s="202" t="s">
        <v>1972</v>
      </c>
      <c r="AE20" s="203">
        <v>2556</v>
      </c>
      <c r="AF20" s="204">
        <v>9.4</v>
      </c>
      <c r="AG20" s="2"/>
      <c r="AH20" s="2"/>
      <c r="AK20" s="202" t="s">
        <v>2182</v>
      </c>
      <c r="AL20" s="204" t="s">
        <v>546</v>
      </c>
      <c r="AM20" s="204" t="s">
        <v>546</v>
      </c>
      <c r="AN20" s="204">
        <v>100</v>
      </c>
      <c r="AO20" s="203">
        <v>3300</v>
      </c>
      <c r="AP20" s="204">
        <v>215</v>
      </c>
      <c r="AQ20" s="204" t="s">
        <v>546</v>
      </c>
      <c r="AR20" s="204" t="s">
        <v>546</v>
      </c>
      <c r="AS20" s="204" t="s">
        <v>546</v>
      </c>
      <c r="AT20" s="204" t="s">
        <v>546</v>
      </c>
      <c r="AW20" s="14" t="s">
        <v>2021</v>
      </c>
      <c r="AX20" s="14"/>
      <c r="AY20" s="14"/>
      <c r="AZ20" s="14"/>
      <c r="BA20" s="14"/>
      <c r="BB20" s="14"/>
      <c r="BC20" s="25"/>
      <c r="BD20" s="25"/>
    </row>
    <row r="21" spans="2:56" ht="14.1" customHeight="1">
      <c r="B21" s="219" t="s">
        <v>1958</v>
      </c>
      <c r="C21" s="2"/>
      <c r="D21" s="2"/>
      <c r="E21" s="2"/>
      <c r="F21" s="2"/>
      <c r="G21" s="2"/>
      <c r="H21" s="2"/>
      <c r="K21" s="1841" t="s">
        <v>1986</v>
      </c>
      <c r="L21" s="204">
        <v>542</v>
      </c>
      <c r="M21" s="204">
        <v>223</v>
      </c>
      <c r="N21" s="204">
        <v>507</v>
      </c>
      <c r="O21" s="1842">
        <v>419</v>
      </c>
      <c r="P21" s="1842">
        <v>225</v>
      </c>
      <c r="Q21" s="1842">
        <v>932</v>
      </c>
      <c r="R21" s="311"/>
      <c r="S21" s="91"/>
      <c r="T21" s="202" t="s">
        <v>2036</v>
      </c>
      <c r="U21" s="204">
        <v>0</v>
      </c>
      <c r="V21" s="204">
        <v>0</v>
      </c>
      <c r="W21" s="204">
        <v>0</v>
      </c>
      <c r="X21" s="204">
        <v>0</v>
      </c>
      <c r="Y21" s="204">
        <v>0</v>
      </c>
      <c r="Z21" s="204">
        <v>0</v>
      </c>
      <c r="AA21" s="204">
        <v>0</v>
      </c>
      <c r="AB21" s="204">
        <v>0</v>
      </c>
      <c r="AD21" s="202" t="s">
        <v>1973</v>
      </c>
      <c r="AE21" s="203">
        <v>2289</v>
      </c>
      <c r="AF21" s="204">
        <v>8.4</v>
      </c>
      <c r="AG21" s="2"/>
      <c r="AH21" s="2"/>
      <c r="AK21" s="202" t="s">
        <v>2183</v>
      </c>
      <c r="AL21" s="204">
        <v>128</v>
      </c>
      <c r="AM21" s="204">
        <v>12</v>
      </c>
      <c r="AN21" s="204">
        <v>150</v>
      </c>
      <c r="AO21" s="203">
        <v>4500</v>
      </c>
      <c r="AP21" s="204">
        <v>84</v>
      </c>
      <c r="AQ21" s="204">
        <v>300</v>
      </c>
      <c r="AR21" s="204" t="s">
        <v>546</v>
      </c>
      <c r="AS21" s="203">
        <v>1700</v>
      </c>
      <c r="AT21" s="204" t="s">
        <v>546</v>
      </c>
      <c r="AW21" s="13" t="s">
        <v>2212</v>
      </c>
      <c r="AX21" s="14"/>
      <c r="AY21" s="14"/>
      <c r="AZ21" s="14"/>
      <c r="BA21" s="14"/>
      <c r="BB21" s="14"/>
      <c r="BC21" s="25"/>
      <c r="BD21" s="25"/>
    </row>
    <row r="22" spans="2:56" ht="14.1" customHeight="1">
      <c r="B22" s="207" t="s">
        <v>1959</v>
      </c>
      <c r="C22" s="2"/>
      <c r="D22" s="2"/>
      <c r="E22" s="2"/>
      <c r="F22" s="2"/>
      <c r="G22" s="2"/>
      <c r="H22" s="2"/>
      <c r="K22" s="1841" t="s">
        <v>1987</v>
      </c>
      <c r="L22" s="204">
        <v>802</v>
      </c>
      <c r="M22" s="204">
        <v>247</v>
      </c>
      <c r="N22" s="204">
        <v>400</v>
      </c>
      <c r="O22" s="1842">
        <v>759</v>
      </c>
      <c r="P22" s="1842">
        <v>276</v>
      </c>
      <c r="Q22" s="1842">
        <v>780</v>
      </c>
      <c r="R22" s="311"/>
      <c r="S22" s="91"/>
      <c r="T22" s="202" t="s">
        <v>2037</v>
      </c>
      <c r="U22" s="204">
        <v>280</v>
      </c>
      <c r="V22" s="204">
        <v>94</v>
      </c>
      <c r="W22" s="204">
        <v>26</v>
      </c>
      <c r="X22" s="204">
        <v>179</v>
      </c>
      <c r="Y22" s="204">
        <v>209</v>
      </c>
      <c r="Z22" s="204">
        <v>364</v>
      </c>
      <c r="AA22" s="204">
        <v>387</v>
      </c>
      <c r="AB22" s="204">
        <v>472</v>
      </c>
      <c r="AD22" s="202" t="s">
        <v>1984</v>
      </c>
      <c r="AE22" s="203">
        <v>1959</v>
      </c>
      <c r="AF22" s="204">
        <v>7.2</v>
      </c>
      <c r="AG22" s="2"/>
      <c r="AH22" s="2"/>
      <c r="AK22" s="202" t="s">
        <v>2184</v>
      </c>
      <c r="AL22" s="204" t="s">
        <v>546</v>
      </c>
      <c r="AM22" s="204" t="s">
        <v>546</v>
      </c>
      <c r="AN22" s="204">
        <v>800</v>
      </c>
      <c r="AO22" s="203">
        <v>16000</v>
      </c>
      <c r="AP22" s="204">
        <v>528</v>
      </c>
      <c r="AQ22" s="203">
        <v>1500</v>
      </c>
      <c r="AR22" s="204" t="s">
        <v>546</v>
      </c>
      <c r="AS22" s="203">
        <v>3000</v>
      </c>
      <c r="AT22" s="204" t="s">
        <v>546</v>
      </c>
      <c r="AW22" s="25"/>
      <c r="AX22" s="25"/>
      <c r="AY22" s="25"/>
      <c r="AZ22" s="25"/>
      <c r="BA22" s="25"/>
      <c r="BB22" s="25"/>
      <c r="BC22" s="25"/>
      <c r="BD22" s="25"/>
    </row>
    <row r="23" spans="2:56" ht="14.1" customHeight="1">
      <c r="B23" s="207"/>
      <c r="C23" s="2"/>
      <c r="D23" s="2"/>
      <c r="E23" s="2"/>
      <c r="F23" s="2"/>
      <c r="G23" s="2"/>
      <c r="H23" s="2"/>
      <c r="K23" s="1841" t="s">
        <v>1988</v>
      </c>
      <c r="L23" s="204">
        <v>355</v>
      </c>
      <c r="M23" s="204">
        <v>156</v>
      </c>
      <c r="N23" s="204">
        <v>430</v>
      </c>
      <c r="O23" s="1842">
        <v>516</v>
      </c>
      <c r="P23" s="1842">
        <v>328</v>
      </c>
      <c r="Q23" s="1842">
        <v>332</v>
      </c>
      <c r="R23" s="311"/>
      <c r="S23" s="91"/>
      <c r="T23" s="202" t="s">
        <v>2038</v>
      </c>
      <c r="U23" s="204">
        <v>0</v>
      </c>
      <c r="V23" s="204">
        <v>0</v>
      </c>
      <c r="W23" s="204">
        <v>0</v>
      </c>
      <c r="X23" s="204">
        <v>1</v>
      </c>
      <c r="Y23" s="204">
        <v>0</v>
      </c>
      <c r="Z23" s="204">
        <v>26</v>
      </c>
      <c r="AA23" s="204">
        <v>6</v>
      </c>
      <c r="AB23" s="204">
        <v>11</v>
      </c>
      <c r="AD23" s="202" t="s">
        <v>2004</v>
      </c>
      <c r="AE23" s="203">
        <v>1957</v>
      </c>
      <c r="AF23" s="204">
        <v>7.2</v>
      </c>
      <c r="AG23" s="2"/>
      <c r="AH23" s="2"/>
      <c r="AK23" s="202" t="s">
        <v>2185</v>
      </c>
      <c r="AL23" s="204">
        <v>159</v>
      </c>
      <c r="AM23" s="204">
        <v>12</v>
      </c>
      <c r="AN23" s="204" t="s">
        <v>546</v>
      </c>
      <c r="AO23" s="204" t="s">
        <v>546</v>
      </c>
      <c r="AP23" s="204" t="s">
        <v>546</v>
      </c>
      <c r="AQ23" s="204" t="s">
        <v>546</v>
      </c>
      <c r="AR23" s="204" t="s">
        <v>546</v>
      </c>
      <c r="AS23" s="204" t="s">
        <v>546</v>
      </c>
      <c r="AT23" s="204" t="s">
        <v>546</v>
      </c>
    </row>
    <row r="24" spans="2:56" ht="14.1" customHeight="1">
      <c r="B24" s="207"/>
      <c r="C24" s="2"/>
      <c r="D24" s="2"/>
      <c r="E24" s="2"/>
      <c r="F24" s="2"/>
      <c r="G24" s="2"/>
      <c r="H24" s="2"/>
      <c r="K24" s="1841" t="s">
        <v>1989</v>
      </c>
      <c r="L24" s="204">
        <v>96</v>
      </c>
      <c r="M24" s="204">
        <v>18</v>
      </c>
      <c r="N24" s="204">
        <v>1</v>
      </c>
      <c r="O24" s="1842">
        <v>52</v>
      </c>
      <c r="P24" s="1842">
        <v>15</v>
      </c>
      <c r="Q24" s="1842">
        <v>5</v>
      </c>
      <c r="R24" s="311"/>
      <c r="S24" s="91"/>
      <c r="T24" s="202" t="s">
        <v>238</v>
      </c>
      <c r="U24" s="204">
        <v>102</v>
      </c>
      <c r="V24" s="204">
        <v>59</v>
      </c>
      <c r="W24" s="204">
        <v>36</v>
      </c>
      <c r="X24" s="204">
        <v>46</v>
      </c>
      <c r="Y24" s="204">
        <v>12</v>
      </c>
      <c r="Z24" s="204">
        <v>21</v>
      </c>
      <c r="AA24" s="204">
        <v>22</v>
      </c>
      <c r="AB24" s="204">
        <v>8</v>
      </c>
      <c r="AD24" s="202" t="s">
        <v>2005</v>
      </c>
      <c r="AE24" s="203">
        <v>1924</v>
      </c>
      <c r="AF24" s="204">
        <v>7.1</v>
      </c>
      <c r="AG24" s="2"/>
      <c r="AH24" s="2"/>
      <c r="AK24" s="202" t="s">
        <v>2186</v>
      </c>
      <c r="AL24" s="204" t="s">
        <v>546</v>
      </c>
      <c r="AM24" s="204" t="s">
        <v>546</v>
      </c>
      <c r="AN24" s="204">
        <v>50</v>
      </c>
      <c r="AO24" s="203">
        <v>1050</v>
      </c>
      <c r="AP24" s="204">
        <v>18</v>
      </c>
      <c r="AQ24" s="204" t="s">
        <v>546</v>
      </c>
      <c r="AR24" s="204" t="s">
        <v>546</v>
      </c>
      <c r="AS24" s="204" t="s">
        <v>546</v>
      </c>
      <c r="AT24" s="204" t="s">
        <v>546</v>
      </c>
    </row>
    <row r="25" spans="2:56" s="91" customFormat="1" ht="14.1" customHeight="1">
      <c r="B25" s="3"/>
      <c r="C25" s="3"/>
      <c r="D25" s="3"/>
      <c r="E25" s="3"/>
      <c r="F25" s="3"/>
      <c r="G25" s="3"/>
      <c r="H25" s="3"/>
      <c r="K25" s="1841" t="s">
        <v>1990</v>
      </c>
      <c r="L25" s="204">
        <v>38</v>
      </c>
      <c r="M25" s="204">
        <v>6</v>
      </c>
      <c r="N25" s="204">
        <v>59</v>
      </c>
      <c r="O25" s="1842">
        <v>49</v>
      </c>
      <c r="P25" s="1842">
        <v>16</v>
      </c>
      <c r="Q25" s="1842">
        <v>30</v>
      </c>
      <c r="R25" s="311"/>
      <c r="T25" s="207" t="s">
        <v>2039</v>
      </c>
      <c r="U25" s="215">
        <v>2173</v>
      </c>
      <c r="V25" s="215">
        <v>7955</v>
      </c>
      <c r="W25" s="215">
        <v>2090</v>
      </c>
      <c r="X25" s="215">
        <v>1754</v>
      </c>
      <c r="Y25" s="215">
        <v>3473</v>
      </c>
      <c r="Z25" s="215">
        <v>3372</v>
      </c>
      <c r="AA25" s="215">
        <v>3296</v>
      </c>
      <c r="AB25" s="215">
        <v>5650</v>
      </c>
      <c r="AD25" s="207" t="s">
        <v>1978</v>
      </c>
      <c r="AE25" s="215">
        <v>1702</v>
      </c>
      <c r="AF25" s="205">
        <v>6.3</v>
      </c>
      <c r="AG25" s="3"/>
      <c r="AH25" s="3"/>
      <c r="AK25" s="207" t="s">
        <v>2187</v>
      </c>
      <c r="AL25" s="205" t="s">
        <v>546</v>
      </c>
      <c r="AM25" s="205" t="s">
        <v>546</v>
      </c>
      <c r="AN25" s="205">
        <v>50</v>
      </c>
      <c r="AO25" s="215">
        <v>1000</v>
      </c>
      <c r="AP25" s="205">
        <v>41</v>
      </c>
      <c r="AQ25" s="205">
        <v>200</v>
      </c>
      <c r="AR25" s="205" t="s">
        <v>546</v>
      </c>
      <c r="AS25" s="205">
        <v>400</v>
      </c>
      <c r="AT25" s="205" t="s">
        <v>546</v>
      </c>
    </row>
    <row r="26" spans="2:56" ht="14.1" customHeight="1">
      <c r="B26" s="2021" t="s">
        <v>8710</v>
      </c>
      <c r="C26" s="2021"/>
      <c r="D26" s="2021"/>
      <c r="E26" s="2021"/>
      <c r="F26" s="2021"/>
      <c r="G26" s="2021"/>
      <c r="H26" s="2"/>
      <c r="K26" s="1841" t="s">
        <v>1991</v>
      </c>
      <c r="L26" s="203">
        <v>1747</v>
      </c>
      <c r="M26" s="204">
        <v>90</v>
      </c>
      <c r="N26" s="204">
        <v>176</v>
      </c>
      <c r="O26" s="1842">
        <v>400</v>
      </c>
      <c r="P26" s="1842">
        <v>106</v>
      </c>
      <c r="Q26" s="1843">
        <v>1033</v>
      </c>
      <c r="R26" s="312"/>
      <c r="S26" s="91"/>
      <c r="T26" s="202" t="s">
        <v>2040</v>
      </c>
      <c r="U26" s="204">
        <v>0</v>
      </c>
      <c r="V26" s="204">
        <v>0</v>
      </c>
      <c r="W26" s="204">
        <v>0</v>
      </c>
      <c r="X26" s="203">
        <v>1553</v>
      </c>
      <c r="Y26" s="204">
        <v>0</v>
      </c>
      <c r="Z26" s="204">
        <v>683</v>
      </c>
      <c r="AA26" s="204">
        <v>156</v>
      </c>
      <c r="AB26" s="204">
        <v>735</v>
      </c>
      <c r="AD26" s="202" t="s">
        <v>1977</v>
      </c>
      <c r="AE26" s="203">
        <v>1473</v>
      </c>
      <c r="AF26" s="204">
        <v>5.4</v>
      </c>
      <c r="AG26" s="2"/>
      <c r="AH26" s="2"/>
      <c r="AK26" s="202" t="s">
        <v>2188</v>
      </c>
      <c r="AL26" s="204" t="s">
        <v>546</v>
      </c>
      <c r="AM26" s="204" t="s">
        <v>546</v>
      </c>
      <c r="AN26" s="204" t="s">
        <v>546</v>
      </c>
      <c r="AO26" s="204" t="s">
        <v>546</v>
      </c>
      <c r="AP26" s="204" t="s">
        <v>546</v>
      </c>
      <c r="AQ26" s="204" t="s">
        <v>546</v>
      </c>
      <c r="AR26" s="204" t="s">
        <v>546</v>
      </c>
      <c r="AS26" s="204" t="s">
        <v>546</v>
      </c>
      <c r="AT26" s="204" t="s">
        <v>546</v>
      </c>
      <c r="AW26" s="2028" t="s">
        <v>2221</v>
      </c>
      <c r="AX26" s="2028"/>
      <c r="AY26" s="2028"/>
      <c r="AZ26" s="2028"/>
      <c r="BA26" s="3"/>
      <c r="BB26" s="3"/>
      <c r="BC26" s="3"/>
    </row>
    <row r="27" spans="2:56" ht="14.1" customHeight="1">
      <c r="B27" s="202" t="s">
        <v>1960</v>
      </c>
      <c r="C27" s="3"/>
      <c r="D27" s="3"/>
      <c r="E27" s="3"/>
      <c r="F27" s="3"/>
      <c r="G27" s="3"/>
      <c r="H27" s="3"/>
      <c r="K27" s="1841" t="s">
        <v>1993</v>
      </c>
      <c r="L27" s="204">
        <v>85</v>
      </c>
      <c r="M27" s="204">
        <v>41</v>
      </c>
      <c r="N27" s="204">
        <v>81</v>
      </c>
      <c r="O27" s="1842">
        <v>99</v>
      </c>
      <c r="P27" s="1842">
        <v>35</v>
      </c>
      <c r="Q27" s="1842">
        <v>19</v>
      </c>
      <c r="R27" s="311"/>
      <c r="S27" s="91"/>
      <c r="T27" s="202" t="s">
        <v>2042</v>
      </c>
      <c r="U27" s="204">
        <v>986</v>
      </c>
      <c r="V27" s="204">
        <v>0</v>
      </c>
      <c r="W27" s="204">
        <v>0</v>
      </c>
      <c r="X27" s="204">
        <v>0</v>
      </c>
      <c r="Y27" s="204">
        <v>221</v>
      </c>
      <c r="Z27" s="204">
        <v>0</v>
      </c>
      <c r="AA27" s="204">
        <v>0</v>
      </c>
      <c r="AB27" s="204">
        <v>0</v>
      </c>
      <c r="AD27" s="202"/>
      <c r="AE27" s="202"/>
      <c r="AF27" s="202"/>
      <c r="AG27" s="2"/>
      <c r="AH27" s="2"/>
      <c r="AK27" s="202" t="s">
        <v>2189</v>
      </c>
      <c r="AL27" s="204" t="s">
        <v>546</v>
      </c>
      <c r="AM27" s="204" t="s">
        <v>546</v>
      </c>
      <c r="AN27" s="204" t="s">
        <v>546</v>
      </c>
      <c r="AO27" s="204" t="s">
        <v>546</v>
      </c>
      <c r="AP27" s="204" t="s">
        <v>546</v>
      </c>
      <c r="AQ27" s="203">
        <v>1900</v>
      </c>
      <c r="AR27" s="204" t="s">
        <v>546</v>
      </c>
      <c r="AS27" s="204" t="s">
        <v>546</v>
      </c>
      <c r="AT27" s="204" t="s">
        <v>546</v>
      </c>
      <c r="AW27" s="340" t="s">
        <v>1810</v>
      </c>
      <c r="AX27" s="310">
        <v>2024</v>
      </c>
      <c r="AY27" s="314">
        <v>2023</v>
      </c>
      <c r="AZ27" s="314">
        <v>2022</v>
      </c>
      <c r="BA27" s="314">
        <v>2021</v>
      </c>
      <c r="BB27" s="314">
        <v>2020</v>
      </c>
      <c r="BC27" s="315">
        <v>2019</v>
      </c>
    </row>
    <row r="28" spans="2:56" ht="14.1" customHeight="1">
      <c r="B28" s="306" t="s">
        <v>1648</v>
      </c>
      <c r="C28" s="304">
        <v>2024</v>
      </c>
      <c r="D28" s="305">
        <v>2023</v>
      </c>
      <c r="E28" s="305">
        <v>2022</v>
      </c>
      <c r="F28" s="305">
        <v>2021</v>
      </c>
      <c r="G28" s="307" t="s">
        <v>1943</v>
      </c>
      <c r="H28" s="2"/>
      <c r="K28" s="1841" t="s">
        <v>1994</v>
      </c>
      <c r="L28" s="204">
        <v>205</v>
      </c>
      <c r="M28" s="204">
        <v>305</v>
      </c>
      <c r="N28" s="204">
        <v>426</v>
      </c>
      <c r="O28" s="1842">
        <v>349</v>
      </c>
      <c r="P28" s="1842">
        <v>223</v>
      </c>
      <c r="Q28" s="1842">
        <v>399</v>
      </c>
      <c r="R28" s="311"/>
      <c r="S28" s="91"/>
      <c r="T28" s="2"/>
      <c r="U28" s="2"/>
      <c r="V28" s="2"/>
      <c r="W28" s="2"/>
      <c r="X28" s="2"/>
      <c r="Y28" s="2"/>
      <c r="Z28" s="2"/>
      <c r="AA28" s="2"/>
      <c r="AB28" s="2"/>
      <c r="AD28" s="318">
        <v>2022</v>
      </c>
      <c r="AE28" s="202"/>
      <c r="AF28" s="202"/>
      <c r="AG28" s="2"/>
      <c r="AH28" s="2"/>
      <c r="AK28" s="202" t="s">
        <v>2190</v>
      </c>
      <c r="AL28" s="204" t="s">
        <v>546</v>
      </c>
      <c r="AM28" s="204" t="s">
        <v>546</v>
      </c>
      <c r="AN28" s="204">
        <v>400</v>
      </c>
      <c r="AO28" s="203">
        <v>8200</v>
      </c>
      <c r="AP28" s="204">
        <v>205</v>
      </c>
      <c r="AQ28" s="204" t="s">
        <v>546</v>
      </c>
      <c r="AR28" s="204" t="s">
        <v>546</v>
      </c>
      <c r="AS28" s="203">
        <v>1000</v>
      </c>
      <c r="AT28" s="204" t="s">
        <v>546</v>
      </c>
      <c r="AW28" s="207" t="s">
        <v>2222</v>
      </c>
      <c r="AX28" s="205">
        <v>34.72</v>
      </c>
      <c r="AY28" s="205">
        <v>60.1</v>
      </c>
      <c r="AZ28" s="205">
        <v>38.200000000000003</v>
      </c>
      <c r="BA28" s="205">
        <v>29.21</v>
      </c>
      <c r="BB28" s="205">
        <v>26.4</v>
      </c>
      <c r="BC28" s="205">
        <v>31.42</v>
      </c>
    </row>
    <row r="29" spans="2:56" ht="14.1" customHeight="1">
      <c r="B29" s="207" t="s">
        <v>1961</v>
      </c>
      <c r="C29" s="205">
        <v>100.35</v>
      </c>
      <c r="D29" s="205">
        <v>140.01</v>
      </c>
      <c r="E29" s="205">
        <v>90.07</v>
      </c>
      <c r="F29" s="205">
        <v>99.89</v>
      </c>
      <c r="G29" s="205">
        <v>89.12</v>
      </c>
      <c r="H29" s="2"/>
      <c r="K29" s="1841" t="s">
        <v>1995</v>
      </c>
      <c r="L29" s="204">
        <v>300</v>
      </c>
      <c r="M29" s="204">
        <v>76</v>
      </c>
      <c r="N29" s="204">
        <v>104</v>
      </c>
      <c r="O29" s="1842">
        <v>419</v>
      </c>
      <c r="P29" s="1842">
        <v>47</v>
      </c>
      <c r="Q29" s="1842">
        <v>101</v>
      </c>
      <c r="R29" s="311"/>
      <c r="S29" s="91"/>
      <c r="T29" s="317" t="s">
        <v>2072</v>
      </c>
      <c r="U29" s="204">
        <v>669</v>
      </c>
      <c r="V29" s="204">
        <v>437</v>
      </c>
      <c r="W29" s="204">
        <v>191</v>
      </c>
      <c r="X29" s="204">
        <v>219</v>
      </c>
      <c r="Y29" s="204">
        <v>614</v>
      </c>
      <c r="Z29" s="204">
        <v>550</v>
      </c>
      <c r="AA29" s="204">
        <v>411</v>
      </c>
      <c r="AB29" s="203">
        <v>1179</v>
      </c>
      <c r="AD29" s="202" t="s">
        <v>129</v>
      </c>
      <c r="AE29" s="203">
        <v>21927</v>
      </c>
      <c r="AF29" s="204">
        <v>100</v>
      </c>
      <c r="AG29" s="2"/>
      <c r="AH29" s="2"/>
      <c r="AK29" s="202" t="s">
        <v>2191</v>
      </c>
      <c r="AL29" s="204" t="s">
        <v>546</v>
      </c>
      <c r="AM29" s="204" t="s">
        <v>546</v>
      </c>
      <c r="AN29" s="204">
        <v>63</v>
      </c>
      <c r="AO29" s="203">
        <v>1000</v>
      </c>
      <c r="AP29" s="204">
        <v>105</v>
      </c>
      <c r="AQ29" s="204">
        <v>285</v>
      </c>
      <c r="AR29" s="204" t="s">
        <v>546</v>
      </c>
      <c r="AS29" s="204">
        <v>868</v>
      </c>
      <c r="AT29" s="204" t="s">
        <v>546</v>
      </c>
      <c r="AW29" s="2"/>
      <c r="AX29" s="2"/>
      <c r="AY29" s="2"/>
      <c r="AZ29" s="2"/>
      <c r="BA29" s="2"/>
      <c r="BB29" s="2"/>
      <c r="BC29" s="2"/>
    </row>
    <row r="30" spans="2:56" ht="14.1" customHeight="1">
      <c r="B30" s="202" t="s">
        <v>1944</v>
      </c>
      <c r="C30" s="204">
        <v>2.38</v>
      </c>
      <c r="D30" s="204">
        <v>14.02</v>
      </c>
      <c r="E30" s="204">
        <v>5.84</v>
      </c>
      <c r="F30" s="204">
        <v>4.1100000000000003</v>
      </c>
      <c r="G30" s="204">
        <v>2.99</v>
      </c>
      <c r="H30" s="2"/>
      <c r="K30" s="1841" t="s">
        <v>1996</v>
      </c>
      <c r="L30" s="204">
        <v>272</v>
      </c>
      <c r="M30" s="204">
        <v>43</v>
      </c>
      <c r="N30" s="204">
        <v>118</v>
      </c>
      <c r="O30" s="1842">
        <v>493</v>
      </c>
      <c r="P30" s="1842">
        <v>85</v>
      </c>
      <c r="Q30" s="1842">
        <v>74</v>
      </c>
      <c r="R30" s="311"/>
      <c r="S30" s="91"/>
      <c r="T30" s="202" t="s">
        <v>2043</v>
      </c>
      <c r="U30" s="204">
        <v>115</v>
      </c>
      <c r="V30" s="204">
        <v>0</v>
      </c>
      <c r="W30" s="204">
        <v>0</v>
      </c>
      <c r="X30" s="204">
        <v>59</v>
      </c>
      <c r="Y30" s="204">
        <v>323</v>
      </c>
      <c r="Z30" s="204">
        <v>197</v>
      </c>
      <c r="AA30" s="204">
        <v>146</v>
      </c>
      <c r="AB30" s="204">
        <v>645</v>
      </c>
      <c r="AD30" s="202" t="s">
        <v>2027</v>
      </c>
      <c r="AE30" s="203">
        <v>6087</v>
      </c>
      <c r="AF30" s="204">
        <v>27.8</v>
      </c>
      <c r="AG30" s="2"/>
      <c r="AH30" s="2"/>
      <c r="AK30" s="202" t="s">
        <v>2192</v>
      </c>
      <c r="AL30" s="204" t="s">
        <v>546</v>
      </c>
      <c r="AM30" s="204" t="s">
        <v>546</v>
      </c>
      <c r="AN30" s="204">
        <v>150</v>
      </c>
      <c r="AO30" s="203">
        <v>4500</v>
      </c>
      <c r="AP30" s="204">
        <v>138</v>
      </c>
      <c r="AQ30" s="204" t="s">
        <v>546</v>
      </c>
      <c r="AR30" s="204" t="s">
        <v>546</v>
      </c>
      <c r="AS30" s="203">
        <v>1410</v>
      </c>
      <c r="AT30" s="204" t="s">
        <v>546</v>
      </c>
      <c r="AW30" s="202" t="s">
        <v>2223</v>
      </c>
      <c r="AX30" s="2"/>
      <c r="AY30" s="2"/>
      <c r="AZ30" s="2"/>
      <c r="BA30" s="2"/>
      <c r="BB30" s="2"/>
      <c r="BC30" s="2"/>
    </row>
    <row r="31" spans="2:56" ht="14.1" customHeight="1">
      <c r="B31" s="202" t="s">
        <v>1945</v>
      </c>
      <c r="C31" s="204">
        <v>1.88</v>
      </c>
      <c r="D31" s="204">
        <v>5.69</v>
      </c>
      <c r="E31" s="204">
        <v>1.28</v>
      </c>
      <c r="F31" s="204">
        <v>1.01</v>
      </c>
      <c r="G31" s="204">
        <v>3.79</v>
      </c>
      <c r="H31" s="2"/>
      <c r="K31" s="1841" t="s">
        <v>1997</v>
      </c>
      <c r="L31" s="204">
        <v>28</v>
      </c>
      <c r="M31" s="204">
        <v>63</v>
      </c>
      <c r="N31" s="204">
        <v>90</v>
      </c>
      <c r="O31" s="1842">
        <v>27</v>
      </c>
      <c r="P31" s="1842">
        <v>28</v>
      </c>
      <c r="Q31" s="1842">
        <v>215</v>
      </c>
      <c r="R31" s="311"/>
      <c r="S31" s="91"/>
      <c r="T31" s="202" t="s">
        <v>2044</v>
      </c>
      <c r="U31" s="204">
        <v>0</v>
      </c>
      <c r="V31" s="204">
        <v>0</v>
      </c>
      <c r="W31" s="204">
        <v>0</v>
      </c>
      <c r="X31" s="204">
        <v>13</v>
      </c>
      <c r="Y31" s="204">
        <v>0</v>
      </c>
      <c r="Z31" s="204">
        <v>21</v>
      </c>
      <c r="AA31" s="204">
        <v>3</v>
      </c>
      <c r="AB31" s="204">
        <v>29</v>
      </c>
      <c r="AD31" s="202" t="s">
        <v>2080</v>
      </c>
      <c r="AE31" s="203">
        <v>3097</v>
      </c>
      <c r="AF31" s="204">
        <v>14.1</v>
      </c>
      <c r="AG31" s="2"/>
      <c r="AH31" s="2"/>
      <c r="AK31" s="202" t="s">
        <v>2193</v>
      </c>
      <c r="AL31" s="204" t="s">
        <v>546</v>
      </c>
      <c r="AM31" s="204" t="s">
        <v>546</v>
      </c>
      <c r="AN31" s="204">
        <v>60</v>
      </c>
      <c r="AO31" s="203">
        <v>1800</v>
      </c>
      <c r="AP31" s="204">
        <v>670</v>
      </c>
      <c r="AQ31" s="204" t="s">
        <v>546</v>
      </c>
      <c r="AR31" s="204" t="s">
        <v>546</v>
      </c>
      <c r="AS31" s="203">
        <v>3000</v>
      </c>
      <c r="AT31" s="204" t="s">
        <v>546</v>
      </c>
      <c r="AW31" s="202" t="s">
        <v>2224</v>
      </c>
      <c r="AX31" s="2"/>
      <c r="AY31" s="341">
        <v>7748.65</v>
      </c>
      <c r="AZ31" s="341">
        <v>6660.19</v>
      </c>
      <c r="BA31" s="341">
        <v>9245</v>
      </c>
      <c r="BB31" s="341">
        <v>9486.34</v>
      </c>
      <c r="BC31" s="341">
        <v>9861.7999999999993</v>
      </c>
    </row>
    <row r="32" spans="2:56" ht="14.1" customHeight="1">
      <c r="B32" s="202" t="s">
        <v>1946</v>
      </c>
      <c r="C32" s="204">
        <v>1.62</v>
      </c>
      <c r="D32" s="204">
        <v>5.45</v>
      </c>
      <c r="E32" s="204">
        <v>2.2799999999999998</v>
      </c>
      <c r="F32" s="204">
        <v>2.7</v>
      </c>
      <c r="G32" s="204">
        <v>1.33</v>
      </c>
      <c r="H32" s="2"/>
      <c r="K32" s="1841" t="s">
        <v>1998</v>
      </c>
      <c r="L32" s="204">
        <v>296</v>
      </c>
      <c r="M32" s="204">
        <v>67</v>
      </c>
      <c r="N32" s="204">
        <v>1</v>
      </c>
      <c r="O32" s="1842">
        <v>489</v>
      </c>
      <c r="P32" s="1842">
        <v>31</v>
      </c>
      <c r="Q32" s="1842">
        <v>37</v>
      </c>
      <c r="R32" s="311"/>
      <c r="S32" s="91"/>
      <c r="T32" s="202" t="s">
        <v>2045</v>
      </c>
      <c r="U32" s="204">
        <v>0</v>
      </c>
      <c r="V32" s="204">
        <v>0</v>
      </c>
      <c r="W32" s="204">
        <v>0</v>
      </c>
      <c r="X32" s="204">
        <v>0</v>
      </c>
      <c r="Y32" s="204">
        <v>0</v>
      </c>
      <c r="Z32" s="204">
        <v>0</v>
      </c>
      <c r="AA32" s="204">
        <v>0</v>
      </c>
      <c r="AB32" s="204">
        <v>0</v>
      </c>
      <c r="AD32" s="202" t="s">
        <v>2081</v>
      </c>
      <c r="AE32" s="203">
        <v>2755</v>
      </c>
      <c r="AF32" s="204">
        <v>12.6</v>
      </c>
      <c r="AG32" s="2"/>
      <c r="AH32" s="2"/>
      <c r="AK32" s="202" t="s">
        <v>2194</v>
      </c>
      <c r="AL32" s="204" t="s">
        <v>546</v>
      </c>
      <c r="AM32" s="204" t="s">
        <v>546</v>
      </c>
      <c r="AN32" s="204" t="s">
        <v>546</v>
      </c>
      <c r="AO32" s="204" t="s">
        <v>546</v>
      </c>
      <c r="AP32" s="204" t="s">
        <v>546</v>
      </c>
      <c r="AQ32" s="204" t="s">
        <v>546</v>
      </c>
      <c r="AR32" s="204" t="s">
        <v>546</v>
      </c>
      <c r="AS32" s="204" t="s">
        <v>546</v>
      </c>
      <c r="AT32" s="204" t="s">
        <v>546</v>
      </c>
      <c r="AW32" s="202" t="s">
        <v>2225</v>
      </c>
      <c r="AX32" s="341">
        <v>7794.18</v>
      </c>
      <c r="AY32" s="341">
        <v>7483.77</v>
      </c>
      <c r="AZ32" s="341">
        <v>6445.19</v>
      </c>
      <c r="BA32" s="341">
        <v>9245</v>
      </c>
      <c r="BB32" s="341">
        <v>9230.73</v>
      </c>
      <c r="BC32" s="341">
        <v>9667.7999999999993</v>
      </c>
    </row>
    <row r="33" spans="2:55" ht="14.1" customHeight="1">
      <c r="B33" s="202" t="s">
        <v>1947</v>
      </c>
      <c r="C33" s="204">
        <v>7.17</v>
      </c>
      <c r="D33" s="204">
        <v>5.01</v>
      </c>
      <c r="E33" s="204">
        <v>4.74</v>
      </c>
      <c r="F33" s="204">
        <v>3.02</v>
      </c>
      <c r="G33" s="204">
        <v>2.4700000000000002</v>
      </c>
      <c r="H33" s="2"/>
      <c r="K33" s="1841" t="s">
        <v>1999</v>
      </c>
      <c r="L33" s="204">
        <v>33</v>
      </c>
      <c r="M33" s="204">
        <v>8</v>
      </c>
      <c r="N33" s="204" t="s">
        <v>546</v>
      </c>
      <c r="O33" s="1842">
        <v>14</v>
      </c>
      <c r="P33" s="1842">
        <v>2</v>
      </c>
      <c r="Q33" s="1842">
        <v>6</v>
      </c>
      <c r="R33" s="311"/>
      <c r="S33" s="91"/>
      <c r="T33" s="202" t="s">
        <v>2046</v>
      </c>
      <c r="U33" s="204">
        <v>0</v>
      </c>
      <c r="V33" s="204">
        <v>0</v>
      </c>
      <c r="W33" s="204">
        <v>0</v>
      </c>
      <c r="X33" s="204">
        <v>0</v>
      </c>
      <c r="Y33" s="204">
        <v>0</v>
      </c>
      <c r="Z33" s="204">
        <v>0</v>
      </c>
      <c r="AA33" s="204">
        <v>0</v>
      </c>
      <c r="AB33" s="204">
        <v>0</v>
      </c>
      <c r="AD33" s="202" t="s">
        <v>2026</v>
      </c>
      <c r="AE33" s="203">
        <v>2102</v>
      </c>
      <c r="AF33" s="204">
        <v>9.6</v>
      </c>
      <c r="AG33" s="2"/>
      <c r="AH33" s="2"/>
      <c r="AK33" s="202" t="s">
        <v>2195</v>
      </c>
      <c r="AL33" s="203">
        <v>1362</v>
      </c>
      <c r="AM33" s="204">
        <v>39</v>
      </c>
      <c r="AN33" s="204" t="s">
        <v>546</v>
      </c>
      <c r="AO33" s="204" t="s">
        <v>546</v>
      </c>
      <c r="AP33" s="204" t="s">
        <v>546</v>
      </c>
      <c r="AQ33" s="204" t="s">
        <v>546</v>
      </c>
      <c r="AR33" s="204" t="s">
        <v>546</v>
      </c>
      <c r="AS33" s="204" t="s">
        <v>546</v>
      </c>
      <c r="AT33" s="204" t="s">
        <v>546</v>
      </c>
      <c r="AW33" s="202" t="s">
        <v>2226</v>
      </c>
      <c r="AX33" s="2"/>
      <c r="AY33" s="204">
        <v>264.88</v>
      </c>
      <c r="AZ33" s="204">
        <v>215</v>
      </c>
      <c r="BA33" s="204" t="s">
        <v>546</v>
      </c>
      <c r="BB33" s="204">
        <v>255.61</v>
      </c>
      <c r="BC33" s="204">
        <v>194</v>
      </c>
    </row>
    <row r="34" spans="2:55" ht="14.1" customHeight="1">
      <c r="B34" s="202" t="s">
        <v>1948</v>
      </c>
      <c r="C34" s="204">
        <v>3.82</v>
      </c>
      <c r="D34" s="204">
        <v>31.15</v>
      </c>
      <c r="E34" s="204">
        <v>2.35</v>
      </c>
      <c r="F34" s="204">
        <v>7.14</v>
      </c>
      <c r="G34" s="204">
        <v>8.16</v>
      </c>
      <c r="H34" s="2"/>
      <c r="K34" s="1841" t="s">
        <v>2000</v>
      </c>
      <c r="L34" s="204">
        <v>91</v>
      </c>
      <c r="M34" s="204">
        <v>14</v>
      </c>
      <c r="N34" s="204">
        <v>1</v>
      </c>
      <c r="O34" s="1842">
        <v>103</v>
      </c>
      <c r="P34" s="1842">
        <v>31</v>
      </c>
      <c r="Q34" s="1842">
        <v>1</v>
      </c>
      <c r="R34" s="311"/>
      <c r="S34" s="91"/>
      <c r="T34" s="202" t="s">
        <v>2047</v>
      </c>
      <c r="U34" s="204">
        <v>9</v>
      </c>
      <c r="V34" s="204">
        <v>148</v>
      </c>
      <c r="W34" s="204">
        <v>89</v>
      </c>
      <c r="X34" s="204">
        <v>49</v>
      </c>
      <c r="Y34" s="204">
        <v>0</v>
      </c>
      <c r="Z34" s="204">
        <v>15</v>
      </c>
      <c r="AA34" s="204">
        <v>72</v>
      </c>
      <c r="AB34" s="204">
        <v>58</v>
      </c>
      <c r="AD34" s="202" t="s">
        <v>2082</v>
      </c>
      <c r="AE34" s="203">
        <v>2037</v>
      </c>
      <c r="AF34" s="204">
        <v>9.3000000000000007</v>
      </c>
      <c r="AG34" s="2"/>
      <c r="AH34" s="2"/>
      <c r="AK34" s="202" t="s">
        <v>2196</v>
      </c>
      <c r="AL34" s="204" t="s">
        <v>546</v>
      </c>
      <c r="AM34" s="204" t="s">
        <v>546</v>
      </c>
      <c r="AN34" s="204">
        <v>50</v>
      </c>
      <c r="AO34" s="203">
        <v>1500</v>
      </c>
      <c r="AP34" s="204">
        <v>47</v>
      </c>
      <c r="AQ34" s="204">
        <v>100</v>
      </c>
      <c r="AR34" s="204" t="s">
        <v>546</v>
      </c>
      <c r="AS34" s="204">
        <v>495</v>
      </c>
      <c r="AT34" s="204" t="s">
        <v>546</v>
      </c>
      <c r="AW34" s="2"/>
      <c r="AX34" s="2"/>
      <c r="AY34" s="2"/>
      <c r="AZ34" s="2"/>
      <c r="BA34" s="2"/>
      <c r="BB34" s="2"/>
      <c r="BC34" s="2"/>
    </row>
    <row r="35" spans="2:55" ht="14.1" customHeight="1">
      <c r="B35" s="202" t="s">
        <v>1949</v>
      </c>
      <c r="C35" s="204">
        <v>8</v>
      </c>
      <c r="D35" s="204">
        <v>9</v>
      </c>
      <c r="E35" s="204">
        <v>4.88</v>
      </c>
      <c r="F35" s="204">
        <v>5.08</v>
      </c>
      <c r="G35" s="204">
        <v>3.4</v>
      </c>
      <c r="H35" s="2"/>
      <c r="K35" s="1841" t="s">
        <v>2001</v>
      </c>
      <c r="L35" s="204">
        <v>176</v>
      </c>
      <c r="M35" s="204">
        <v>7</v>
      </c>
      <c r="N35" s="204" t="s">
        <v>546</v>
      </c>
      <c r="O35" s="1842">
        <v>255</v>
      </c>
      <c r="P35" s="1842">
        <v>17</v>
      </c>
      <c r="Q35" s="1842">
        <v>11</v>
      </c>
      <c r="R35" s="311"/>
      <c r="S35" s="91"/>
      <c r="T35" s="202" t="s">
        <v>2048</v>
      </c>
      <c r="U35" s="204">
        <v>0</v>
      </c>
      <c r="V35" s="204">
        <v>0</v>
      </c>
      <c r="W35" s="204">
        <v>0</v>
      </c>
      <c r="X35" s="204">
        <v>15</v>
      </c>
      <c r="Y35" s="204">
        <v>0</v>
      </c>
      <c r="Z35" s="204">
        <v>24</v>
      </c>
      <c r="AA35" s="204">
        <v>10</v>
      </c>
      <c r="AB35" s="204">
        <v>38</v>
      </c>
      <c r="AD35" s="202" t="s">
        <v>2083</v>
      </c>
      <c r="AE35" s="203">
        <v>1471</v>
      </c>
      <c r="AF35" s="204">
        <v>6.7</v>
      </c>
      <c r="AG35" s="2"/>
      <c r="AH35" s="2"/>
      <c r="AK35" s="202" t="s">
        <v>2197</v>
      </c>
      <c r="AL35" s="204" t="s">
        <v>546</v>
      </c>
      <c r="AM35" s="204" t="s">
        <v>546</v>
      </c>
      <c r="AN35" s="204" t="s">
        <v>546</v>
      </c>
      <c r="AO35" s="204" t="s">
        <v>546</v>
      </c>
      <c r="AP35" s="204" t="s">
        <v>546</v>
      </c>
      <c r="AQ35" s="204" t="s">
        <v>546</v>
      </c>
      <c r="AR35" s="204" t="s">
        <v>546</v>
      </c>
      <c r="AS35" s="204" t="s">
        <v>546</v>
      </c>
      <c r="AT35" s="204" t="s">
        <v>546</v>
      </c>
      <c r="AW35" s="2"/>
      <c r="AX35" s="2"/>
      <c r="AY35" s="2"/>
      <c r="AZ35" s="2"/>
      <c r="BA35" s="2"/>
      <c r="BB35" s="2"/>
      <c r="BC35" s="2"/>
    </row>
    <row r="36" spans="2:55" ht="14.1" customHeight="1">
      <c r="B36" s="202" t="s">
        <v>1950</v>
      </c>
      <c r="C36" s="204">
        <v>7.51</v>
      </c>
      <c r="D36" s="204">
        <v>8.69</v>
      </c>
      <c r="E36" s="204">
        <v>13.71</v>
      </c>
      <c r="F36" s="204">
        <v>8.76</v>
      </c>
      <c r="G36" s="204">
        <v>8.26</v>
      </c>
      <c r="H36" s="2"/>
      <c r="K36" s="1841" t="s">
        <v>2002</v>
      </c>
      <c r="L36" s="204">
        <v>105</v>
      </c>
      <c r="M36" s="204">
        <v>43</v>
      </c>
      <c r="N36" s="204">
        <v>220</v>
      </c>
      <c r="O36" s="1842">
        <v>84</v>
      </c>
      <c r="P36" s="1842">
        <v>42</v>
      </c>
      <c r="Q36" s="1842">
        <v>337</v>
      </c>
      <c r="R36" s="311"/>
      <c r="S36" s="91"/>
      <c r="T36" s="202" t="s">
        <v>2049</v>
      </c>
      <c r="U36" s="204">
        <v>0</v>
      </c>
      <c r="V36" s="204">
        <v>0</v>
      </c>
      <c r="W36" s="204">
        <v>0</v>
      </c>
      <c r="X36" s="204">
        <v>0</v>
      </c>
      <c r="Y36" s="204">
        <v>0</v>
      </c>
      <c r="Z36" s="204">
        <v>0</v>
      </c>
      <c r="AA36" s="204">
        <v>0</v>
      </c>
      <c r="AB36" s="204">
        <v>0</v>
      </c>
      <c r="AD36" s="202" t="s">
        <v>2084</v>
      </c>
      <c r="AE36" s="203">
        <v>1415</v>
      </c>
      <c r="AF36" s="204">
        <v>6.5</v>
      </c>
      <c r="AG36" s="2"/>
      <c r="AH36" s="2"/>
      <c r="AK36" s="202" t="s">
        <v>2198</v>
      </c>
      <c r="AL36" s="204">
        <v>298</v>
      </c>
      <c r="AM36" s="204">
        <v>16</v>
      </c>
      <c r="AN36" s="204" t="s">
        <v>546</v>
      </c>
      <c r="AO36" s="204" t="s">
        <v>546</v>
      </c>
      <c r="AP36" s="204" t="s">
        <v>546</v>
      </c>
      <c r="AQ36" s="204" t="s">
        <v>546</v>
      </c>
      <c r="AR36" s="204" t="s">
        <v>546</v>
      </c>
      <c r="AS36" s="204" t="s">
        <v>546</v>
      </c>
      <c r="AT36" s="204" t="s">
        <v>546</v>
      </c>
      <c r="AW36" s="202" t="s">
        <v>2227</v>
      </c>
      <c r="AX36" s="341">
        <v>22529.38</v>
      </c>
      <c r="AY36" s="341">
        <v>30168.959999999999</v>
      </c>
      <c r="AZ36" s="341">
        <v>22829.29</v>
      </c>
      <c r="BA36" s="341">
        <v>21091.79</v>
      </c>
      <c r="BB36" s="341">
        <v>13275.33</v>
      </c>
      <c r="BC36" s="341">
        <v>16191.21</v>
      </c>
    </row>
    <row r="37" spans="2:55" ht="14.1" customHeight="1">
      <c r="B37" s="202" t="s">
        <v>1951</v>
      </c>
      <c r="C37" s="204">
        <v>14.84</v>
      </c>
      <c r="D37" s="204">
        <v>19.47</v>
      </c>
      <c r="E37" s="204">
        <v>9.15</v>
      </c>
      <c r="F37" s="204">
        <v>15.44</v>
      </c>
      <c r="G37" s="204">
        <v>12.68</v>
      </c>
      <c r="H37" s="2"/>
      <c r="K37" s="1841" t="s">
        <v>2003</v>
      </c>
      <c r="L37" s="204">
        <v>162</v>
      </c>
      <c r="M37" s="204">
        <v>146</v>
      </c>
      <c r="N37" s="204">
        <v>163</v>
      </c>
      <c r="O37" s="1842">
        <v>283</v>
      </c>
      <c r="P37" s="1842">
        <v>141</v>
      </c>
      <c r="Q37" s="1842">
        <v>478</v>
      </c>
      <c r="R37" s="311"/>
      <c r="S37" s="91"/>
      <c r="T37" s="202" t="s">
        <v>2050</v>
      </c>
      <c r="U37" s="204">
        <v>0</v>
      </c>
      <c r="V37" s="204">
        <v>0</v>
      </c>
      <c r="W37" s="204">
        <v>0</v>
      </c>
      <c r="X37" s="204">
        <v>25</v>
      </c>
      <c r="Y37" s="204">
        <v>0</v>
      </c>
      <c r="Z37" s="204">
        <v>29</v>
      </c>
      <c r="AA37" s="204">
        <v>35</v>
      </c>
      <c r="AB37" s="204">
        <v>24</v>
      </c>
      <c r="AD37" s="202" t="s">
        <v>2041</v>
      </c>
      <c r="AE37" s="203">
        <v>1018</v>
      </c>
      <c r="AF37" s="204">
        <v>4.5999999999999996</v>
      </c>
      <c r="AG37" s="2"/>
      <c r="AH37" s="2"/>
      <c r="AK37" s="202" t="s">
        <v>2199</v>
      </c>
      <c r="AL37" s="204" t="s">
        <v>546</v>
      </c>
      <c r="AM37" s="204" t="s">
        <v>546</v>
      </c>
      <c r="AN37" s="204">
        <v>55</v>
      </c>
      <c r="AO37" s="203">
        <v>1800</v>
      </c>
      <c r="AP37" s="204">
        <v>100</v>
      </c>
      <c r="AQ37" s="2"/>
      <c r="AR37" s="2"/>
      <c r="AS37" s="2"/>
      <c r="AT37" s="2"/>
      <c r="AW37" s="202" t="s">
        <v>2228</v>
      </c>
      <c r="AX37" s="341">
        <v>1868.57</v>
      </c>
      <c r="AY37" s="341">
        <v>2055.5700000000002</v>
      </c>
      <c r="AZ37" s="341">
        <v>1256.26</v>
      </c>
      <c r="BA37" s="341">
        <v>2185.92</v>
      </c>
      <c r="BB37" s="204">
        <v>872.8</v>
      </c>
      <c r="BC37" s="204">
        <v>729.92</v>
      </c>
    </row>
    <row r="38" spans="2:55" ht="14.1" customHeight="1">
      <c r="B38" s="202" t="s">
        <v>1952</v>
      </c>
      <c r="C38" s="204">
        <v>24.38</v>
      </c>
      <c r="D38" s="204">
        <v>12.46</v>
      </c>
      <c r="E38" s="204">
        <v>13.74</v>
      </c>
      <c r="F38" s="204">
        <v>11.61</v>
      </c>
      <c r="G38" s="204">
        <v>10.96</v>
      </c>
      <c r="H38" s="2"/>
      <c r="K38" s="1841" t="s">
        <v>238</v>
      </c>
      <c r="L38" s="204">
        <v>178</v>
      </c>
      <c r="M38" s="204">
        <v>7</v>
      </c>
      <c r="N38" s="204">
        <v>3</v>
      </c>
      <c r="O38" s="1842">
        <v>289</v>
      </c>
      <c r="P38" s="1842">
        <v>23</v>
      </c>
      <c r="Q38" s="1842">
        <v>16</v>
      </c>
      <c r="R38" s="311"/>
      <c r="S38" s="91"/>
      <c r="T38" s="202" t="s">
        <v>2051</v>
      </c>
      <c r="U38" s="204">
        <v>0</v>
      </c>
      <c r="V38" s="204">
        <v>0</v>
      </c>
      <c r="W38" s="204">
        <v>0</v>
      </c>
      <c r="X38" s="204">
        <v>0</v>
      </c>
      <c r="Y38" s="204">
        <v>0</v>
      </c>
      <c r="Z38" s="204">
        <v>0</v>
      </c>
      <c r="AA38" s="204">
        <v>0</v>
      </c>
      <c r="AB38" s="204">
        <v>0</v>
      </c>
      <c r="AD38" s="202" t="s">
        <v>2085</v>
      </c>
      <c r="AE38" s="204">
        <v>986</v>
      </c>
      <c r="AF38" s="204">
        <v>4.5</v>
      </c>
      <c r="AG38" s="2"/>
      <c r="AH38" s="2"/>
      <c r="AK38" s="202" t="s">
        <v>2200</v>
      </c>
      <c r="AL38" s="204" t="s">
        <v>546</v>
      </c>
      <c r="AM38" s="204" t="s">
        <v>546</v>
      </c>
      <c r="AN38" s="204">
        <v>100</v>
      </c>
      <c r="AO38" s="203">
        <v>3000</v>
      </c>
      <c r="AP38" s="204">
        <v>130</v>
      </c>
      <c r="AQ38" s="204" t="s">
        <v>546</v>
      </c>
      <c r="AR38" s="204" t="s">
        <v>546</v>
      </c>
      <c r="AS38" s="203">
        <v>1500</v>
      </c>
      <c r="AT38" s="204" t="s">
        <v>546</v>
      </c>
      <c r="AW38" s="202" t="s">
        <v>795</v>
      </c>
      <c r="AX38" s="341">
        <v>1235.5899999999999</v>
      </c>
      <c r="AY38" s="341">
        <v>1572.86</v>
      </c>
      <c r="AZ38" s="204">
        <v>903.69</v>
      </c>
      <c r="BA38" s="341">
        <v>1068.1199999999999</v>
      </c>
      <c r="BB38" s="204">
        <v>552.01</v>
      </c>
      <c r="BC38" s="341">
        <v>1125.72</v>
      </c>
    </row>
    <row r="39" spans="2:55" ht="14.1" customHeight="1">
      <c r="B39" s="202" t="s">
        <v>1953</v>
      </c>
      <c r="C39" s="204">
        <v>18.09</v>
      </c>
      <c r="D39" s="204">
        <v>17.399999999999999</v>
      </c>
      <c r="E39" s="204">
        <v>17.12</v>
      </c>
      <c r="F39" s="204">
        <v>26.68</v>
      </c>
      <c r="G39" s="204">
        <v>16.75</v>
      </c>
      <c r="H39" s="2"/>
      <c r="K39" s="1841" t="s">
        <v>2004</v>
      </c>
      <c r="L39" s="203">
        <v>1385</v>
      </c>
      <c r="M39" s="204">
        <v>22</v>
      </c>
      <c r="N39" s="204">
        <v>1</v>
      </c>
      <c r="O39" s="1843">
        <v>1957</v>
      </c>
      <c r="P39" s="1842">
        <v>223</v>
      </c>
      <c r="Q39" s="1842">
        <v>170</v>
      </c>
      <c r="R39" s="311"/>
      <c r="S39" s="91"/>
      <c r="T39" s="202" t="s">
        <v>2052</v>
      </c>
      <c r="U39" s="204">
        <v>109</v>
      </c>
      <c r="V39" s="204">
        <v>0</v>
      </c>
      <c r="W39" s="204">
        <v>0</v>
      </c>
      <c r="X39" s="204">
        <v>17</v>
      </c>
      <c r="Y39" s="204">
        <v>56</v>
      </c>
      <c r="Z39" s="204">
        <v>103</v>
      </c>
      <c r="AA39" s="204">
        <v>40</v>
      </c>
      <c r="AB39" s="204">
        <v>225</v>
      </c>
      <c r="AD39" s="202" t="s">
        <v>2086</v>
      </c>
      <c r="AE39" s="204">
        <v>959</v>
      </c>
      <c r="AF39" s="204">
        <v>4.4000000000000004</v>
      </c>
      <c r="AG39" s="2"/>
      <c r="AH39" s="2"/>
      <c r="AK39" s="202" t="s">
        <v>2201</v>
      </c>
      <c r="AL39" s="204">
        <v>506</v>
      </c>
      <c r="AM39" s="204">
        <v>68</v>
      </c>
      <c r="AN39" s="204" t="s">
        <v>546</v>
      </c>
      <c r="AO39" s="204" t="s">
        <v>546</v>
      </c>
      <c r="AP39" s="204" t="s">
        <v>546</v>
      </c>
      <c r="AQ39" s="204" t="s">
        <v>546</v>
      </c>
      <c r="AR39" s="204" t="s">
        <v>546</v>
      </c>
      <c r="AS39" s="204" t="s">
        <v>546</v>
      </c>
      <c r="AT39" s="204" t="s">
        <v>546</v>
      </c>
      <c r="AW39" s="202" t="s">
        <v>2229</v>
      </c>
      <c r="AX39" s="341">
        <v>17716.32</v>
      </c>
      <c r="AY39" s="341">
        <v>24759.78</v>
      </c>
      <c r="AZ39" s="341">
        <v>19141.97</v>
      </c>
      <c r="BA39" s="341">
        <v>16330.18</v>
      </c>
      <c r="BB39" s="341">
        <v>11167.29</v>
      </c>
      <c r="BC39" s="341">
        <v>13777.49</v>
      </c>
    </row>
    <row r="40" spans="2:55" ht="14.1" customHeight="1">
      <c r="B40" s="202" t="s">
        <v>1954</v>
      </c>
      <c r="C40" s="204">
        <v>5.96</v>
      </c>
      <c r="D40" s="204">
        <v>6.18</v>
      </c>
      <c r="E40" s="204">
        <v>5.66</v>
      </c>
      <c r="F40" s="204">
        <v>9.8699999999999992</v>
      </c>
      <c r="G40" s="204">
        <v>10.31</v>
      </c>
      <c r="H40" s="2"/>
      <c r="K40" s="1841" t="s">
        <v>2005</v>
      </c>
      <c r="L40" s="203">
        <v>1043</v>
      </c>
      <c r="M40" s="204">
        <v>238</v>
      </c>
      <c r="N40" s="204" t="s">
        <v>546</v>
      </c>
      <c r="O40" s="1843">
        <v>1924</v>
      </c>
      <c r="P40" s="1842">
        <v>364</v>
      </c>
      <c r="Q40" s="1842">
        <v>444</v>
      </c>
      <c r="R40" s="311"/>
      <c r="S40" s="91"/>
      <c r="T40" s="202" t="s">
        <v>2053</v>
      </c>
      <c r="U40" s="204">
        <v>0</v>
      </c>
      <c r="V40" s="204">
        <v>0</v>
      </c>
      <c r="W40" s="204">
        <v>0</v>
      </c>
      <c r="X40" s="204">
        <v>23</v>
      </c>
      <c r="Y40" s="204">
        <v>0</v>
      </c>
      <c r="Z40" s="204">
        <v>40</v>
      </c>
      <c r="AA40" s="204">
        <v>38</v>
      </c>
      <c r="AB40" s="204">
        <v>48</v>
      </c>
      <c r="AD40" s="202"/>
      <c r="AE40" s="202"/>
      <c r="AF40" s="202"/>
      <c r="AG40" s="2"/>
      <c r="AH40" s="2"/>
      <c r="AK40" s="202" t="s">
        <v>2202</v>
      </c>
      <c r="AL40" s="204">
        <v>997</v>
      </c>
      <c r="AM40" s="204">
        <v>165</v>
      </c>
      <c r="AN40" s="204" t="s">
        <v>546</v>
      </c>
      <c r="AO40" s="204" t="s">
        <v>546</v>
      </c>
      <c r="AP40" s="204" t="s">
        <v>546</v>
      </c>
      <c r="AQ40" s="204" t="s">
        <v>546</v>
      </c>
      <c r="AR40" s="204" t="s">
        <v>546</v>
      </c>
      <c r="AS40" s="204" t="s">
        <v>546</v>
      </c>
      <c r="AT40" s="204" t="s">
        <v>546</v>
      </c>
      <c r="AW40" s="202" t="s">
        <v>2230</v>
      </c>
      <c r="AX40" s="341">
        <v>1708.9</v>
      </c>
      <c r="AY40" s="341">
        <v>1780.75</v>
      </c>
      <c r="AZ40" s="341">
        <v>1527.37</v>
      </c>
      <c r="BA40" s="341">
        <v>1507.57</v>
      </c>
      <c r="BB40" s="204">
        <v>683.23</v>
      </c>
      <c r="BC40" s="204">
        <v>558.08000000000004</v>
      </c>
    </row>
    <row r="41" spans="2:55" ht="14.1" customHeight="1">
      <c r="B41" s="212" t="s">
        <v>1955</v>
      </c>
      <c r="C41" s="214">
        <v>4.7</v>
      </c>
      <c r="D41" s="214">
        <v>5.49</v>
      </c>
      <c r="E41" s="214">
        <v>9.32</v>
      </c>
      <c r="F41" s="214">
        <v>4.47</v>
      </c>
      <c r="G41" s="214">
        <v>8.02</v>
      </c>
      <c r="H41" s="2022"/>
      <c r="I41" s="2022"/>
      <c r="K41" s="1841" t="s">
        <v>2006</v>
      </c>
      <c r="L41" s="204">
        <v>8</v>
      </c>
      <c r="M41" s="204">
        <v>18</v>
      </c>
      <c r="N41" s="204">
        <v>164</v>
      </c>
      <c r="O41" s="1842">
        <v>10</v>
      </c>
      <c r="P41" s="1842">
        <v>10</v>
      </c>
      <c r="Q41" s="1842">
        <v>158</v>
      </c>
      <c r="R41" s="311"/>
      <c r="S41" s="91"/>
      <c r="T41" s="202" t="s">
        <v>2054</v>
      </c>
      <c r="U41" s="204">
        <v>225</v>
      </c>
      <c r="V41" s="204">
        <v>289</v>
      </c>
      <c r="W41" s="204">
        <v>102</v>
      </c>
      <c r="X41" s="204">
        <v>18</v>
      </c>
      <c r="Y41" s="204">
        <v>105</v>
      </c>
      <c r="Z41" s="204">
        <v>121</v>
      </c>
      <c r="AA41" s="204">
        <v>67</v>
      </c>
      <c r="AB41" s="204">
        <v>112</v>
      </c>
      <c r="AD41" s="318">
        <v>2021</v>
      </c>
      <c r="AE41" s="202"/>
      <c r="AF41" s="202"/>
      <c r="AG41" s="2"/>
      <c r="AH41" s="2"/>
      <c r="AK41" s="202" t="s">
        <v>2203</v>
      </c>
      <c r="AL41" s="204" t="s">
        <v>546</v>
      </c>
      <c r="AM41" s="204" t="s">
        <v>546</v>
      </c>
      <c r="AN41" s="204">
        <v>625</v>
      </c>
      <c r="AO41" s="203">
        <v>8500</v>
      </c>
      <c r="AP41" s="204">
        <v>444</v>
      </c>
      <c r="AQ41" s="203">
        <v>3630</v>
      </c>
      <c r="AR41" s="204" t="s">
        <v>546</v>
      </c>
      <c r="AS41" s="203">
        <v>3378</v>
      </c>
      <c r="AT41" s="204" t="s">
        <v>546</v>
      </c>
      <c r="AW41" s="2"/>
      <c r="AX41" s="2"/>
      <c r="AY41" s="2"/>
      <c r="AZ41" s="2"/>
      <c r="BA41" s="2"/>
      <c r="BB41" s="2"/>
      <c r="BC41" s="2"/>
    </row>
    <row r="42" spans="2:55" ht="14.1" customHeight="1">
      <c r="B42" s="219" t="s">
        <v>1958</v>
      </c>
      <c r="C42" s="2"/>
      <c r="D42" s="2"/>
      <c r="E42" s="2"/>
      <c r="F42" s="2"/>
      <c r="G42" s="2"/>
      <c r="H42" s="2"/>
      <c r="K42" s="1841" t="s">
        <v>2007</v>
      </c>
      <c r="L42" s="204">
        <v>24</v>
      </c>
      <c r="M42" s="204">
        <v>9</v>
      </c>
      <c r="N42" s="204" t="s">
        <v>546</v>
      </c>
      <c r="O42" s="1842">
        <v>9</v>
      </c>
      <c r="P42" s="1842">
        <v>13</v>
      </c>
      <c r="Q42" s="5" t="s">
        <v>546</v>
      </c>
      <c r="R42" s="22"/>
      <c r="S42" s="91"/>
      <c r="T42" s="202" t="s">
        <v>1988</v>
      </c>
      <c r="U42" s="204">
        <v>211</v>
      </c>
      <c r="V42" s="204">
        <v>0</v>
      </c>
      <c r="W42" s="204">
        <v>0</v>
      </c>
      <c r="X42" s="204">
        <v>0</v>
      </c>
      <c r="Y42" s="204">
        <v>130</v>
      </c>
      <c r="Z42" s="204">
        <v>0</v>
      </c>
      <c r="AA42" s="204">
        <v>0</v>
      </c>
      <c r="AB42" s="204">
        <v>0</v>
      </c>
      <c r="AD42" s="202" t="s">
        <v>129</v>
      </c>
      <c r="AE42" s="203">
        <v>17743</v>
      </c>
      <c r="AF42" s="204">
        <v>100</v>
      </c>
      <c r="AG42" s="2"/>
      <c r="AH42" s="2"/>
      <c r="AK42" s="202" t="s">
        <v>2204</v>
      </c>
      <c r="AL42" s="204" t="s">
        <v>546</v>
      </c>
      <c r="AM42" s="204" t="s">
        <v>546</v>
      </c>
      <c r="AN42" s="204">
        <v>55</v>
      </c>
      <c r="AO42" s="203">
        <v>1800</v>
      </c>
      <c r="AP42" s="204">
        <v>100</v>
      </c>
      <c r="AQ42" s="204">
        <v>28</v>
      </c>
      <c r="AR42" s="204" t="s">
        <v>546</v>
      </c>
      <c r="AS42" s="204">
        <v>500</v>
      </c>
      <c r="AT42" s="204" t="s">
        <v>546</v>
      </c>
      <c r="AW42" s="202" t="s">
        <v>2231</v>
      </c>
      <c r="AX42" s="2"/>
      <c r="AY42" s="204" t="s">
        <v>546</v>
      </c>
      <c r="AZ42" s="204" t="s">
        <v>546</v>
      </c>
      <c r="BA42" s="204" t="s">
        <v>546</v>
      </c>
      <c r="BB42" s="204" t="s">
        <v>546</v>
      </c>
      <c r="BC42" s="204">
        <v>164</v>
      </c>
    </row>
    <row r="43" spans="2:55" ht="14.1" customHeight="1">
      <c r="B43" s="207" t="s">
        <v>1959</v>
      </c>
      <c r="C43" s="2"/>
      <c r="D43" s="2"/>
      <c r="E43" s="2"/>
      <c r="F43" s="2"/>
      <c r="G43" s="2"/>
      <c r="H43" s="2"/>
      <c r="K43" s="1841" t="s">
        <v>2008</v>
      </c>
      <c r="L43" s="204">
        <v>82</v>
      </c>
      <c r="M43" s="204">
        <v>12</v>
      </c>
      <c r="N43" s="204">
        <v>71</v>
      </c>
      <c r="O43" s="1842">
        <v>93</v>
      </c>
      <c r="P43" s="1842">
        <v>70</v>
      </c>
      <c r="Q43" s="1842">
        <v>87</v>
      </c>
      <c r="R43" s="311"/>
      <c r="S43" s="91"/>
      <c r="T43" s="2"/>
      <c r="U43" s="2"/>
      <c r="V43" s="2"/>
      <c r="W43" s="2"/>
      <c r="X43" s="2"/>
      <c r="Y43" s="2"/>
      <c r="Z43" s="2"/>
      <c r="AA43" s="2"/>
      <c r="AB43" s="2"/>
      <c r="AD43" s="202" t="s">
        <v>2087</v>
      </c>
      <c r="AE43" s="203">
        <v>7955</v>
      </c>
      <c r="AF43" s="204">
        <v>44.8</v>
      </c>
      <c r="AG43" s="2"/>
      <c r="AH43" s="2"/>
      <c r="AK43" s="202" t="s">
        <v>2205</v>
      </c>
      <c r="AL43" s="204" t="s">
        <v>546</v>
      </c>
      <c r="AM43" s="204" t="s">
        <v>546</v>
      </c>
      <c r="AN43" s="204">
        <v>195</v>
      </c>
      <c r="AO43" s="203">
        <v>5850</v>
      </c>
      <c r="AP43" s="204">
        <v>81</v>
      </c>
      <c r="AQ43" s="204">
        <v>520</v>
      </c>
      <c r="AR43" s="204" t="s">
        <v>546</v>
      </c>
      <c r="AS43" s="204" t="s">
        <v>546</v>
      </c>
      <c r="AT43" s="204" t="s">
        <v>546</v>
      </c>
      <c r="AW43" s="2"/>
      <c r="AX43" s="2"/>
      <c r="AY43" s="2"/>
      <c r="AZ43" s="2"/>
      <c r="BA43" s="2"/>
      <c r="BB43" s="2"/>
      <c r="BC43" s="2"/>
    </row>
    <row r="44" spans="2:55" ht="14.1" customHeight="1">
      <c r="K44" s="1841" t="s">
        <v>2009</v>
      </c>
      <c r="L44" s="204">
        <v>195</v>
      </c>
      <c r="M44" s="204">
        <v>108</v>
      </c>
      <c r="N44" s="204" t="s">
        <v>546</v>
      </c>
      <c r="O44" s="1842">
        <v>145</v>
      </c>
      <c r="P44" s="1842">
        <v>54</v>
      </c>
      <c r="Q44" s="1842">
        <v>60</v>
      </c>
      <c r="R44" s="311"/>
      <c r="S44" s="91"/>
      <c r="T44" s="317" t="s">
        <v>2073</v>
      </c>
      <c r="U44" s="203">
        <v>3395</v>
      </c>
      <c r="V44" s="204">
        <v>397</v>
      </c>
      <c r="W44" s="204">
        <v>47</v>
      </c>
      <c r="X44" s="203">
        <v>1784</v>
      </c>
      <c r="Y44" s="203">
        <v>3910</v>
      </c>
      <c r="Z44" s="203">
        <v>5190</v>
      </c>
      <c r="AA44" s="203">
        <v>4520</v>
      </c>
      <c r="AB44" s="203">
        <v>8290</v>
      </c>
      <c r="AD44" s="202" t="s">
        <v>2084</v>
      </c>
      <c r="AE44" s="203">
        <v>6123</v>
      </c>
      <c r="AF44" s="204">
        <v>34.5</v>
      </c>
      <c r="AG44" s="2"/>
      <c r="AH44" s="2"/>
      <c r="AK44" s="202" t="s">
        <v>2206</v>
      </c>
      <c r="AL44" s="204" t="s">
        <v>546</v>
      </c>
      <c r="AM44" s="204" t="s">
        <v>546</v>
      </c>
      <c r="AN44" s="204">
        <v>34</v>
      </c>
      <c r="AO44" s="203">
        <v>1000</v>
      </c>
      <c r="AP44" s="204">
        <v>70</v>
      </c>
      <c r="AQ44" s="204" t="s">
        <v>546</v>
      </c>
      <c r="AR44" s="204" t="s">
        <v>546</v>
      </c>
      <c r="AS44" s="204">
        <v>100</v>
      </c>
      <c r="AT44" s="204" t="s">
        <v>546</v>
      </c>
      <c r="AW44" s="202" t="s">
        <v>2232</v>
      </c>
      <c r="AX44" s="341">
        <v>1747.36</v>
      </c>
      <c r="AY44" s="204">
        <v>1609.27</v>
      </c>
      <c r="AZ44" s="204">
        <v>784.75</v>
      </c>
      <c r="BA44" s="341">
        <v>1096.1400000000001</v>
      </c>
      <c r="BB44" s="204">
        <v>399.49</v>
      </c>
      <c r="BC44" s="204">
        <v>807.58</v>
      </c>
    </row>
    <row r="45" spans="2:55" ht="15" customHeight="1">
      <c r="K45" s="1841" t="s">
        <v>2010</v>
      </c>
      <c r="L45" s="204">
        <v>7</v>
      </c>
      <c r="M45" s="204">
        <v>10</v>
      </c>
      <c r="N45" s="204">
        <v>18</v>
      </c>
      <c r="O45" s="1842">
        <v>11</v>
      </c>
      <c r="P45" s="1842">
        <v>1</v>
      </c>
      <c r="Q45" s="1842">
        <v>4</v>
      </c>
      <c r="R45" s="311"/>
      <c r="S45" s="91"/>
      <c r="T45" s="202" t="s">
        <v>2055</v>
      </c>
      <c r="U45" s="203">
        <v>3097</v>
      </c>
      <c r="V45" s="204">
        <v>5</v>
      </c>
      <c r="W45" s="204">
        <v>22</v>
      </c>
      <c r="X45" s="203">
        <v>1579</v>
      </c>
      <c r="Y45" s="203">
        <v>3706</v>
      </c>
      <c r="Z45" s="203">
        <v>4422</v>
      </c>
      <c r="AA45" s="203">
        <v>3992</v>
      </c>
      <c r="AB45" s="203">
        <v>7712</v>
      </c>
      <c r="AD45" s="202" t="s">
        <v>2088</v>
      </c>
      <c r="AE45" s="204">
        <v>943</v>
      </c>
      <c r="AF45" s="204">
        <v>5.3</v>
      </c>
      <c r="AG45" s="2"/>
      <c r="AH45" s="2"/>
      <c r="AK45" s="202" t="s">
        <v>2207</v>
      </c>
      <c r="AL45" s="204" t="s">
        <v>546</v>
      </c>
      <c r="AM45" s="204" t="s">
        <v>546</v>
      </c>
      <c r="AN45" s="204">
        <v>220</v>
      </c>
      <c r="AO45" s="203">
        <v>6600</v>
      </c>
      <c r="AP45" s="204">
        <v>357</v>
      </c>
      <c r="AQ45" s="204" t="s">
        <v>546</v>
      </c>
      <c r="AR45" s="204" t="s">
        <v>546</v>
      </c>
      <c r="AS45" s="204" t="s">
        <v>546</v>
      </c>
      <c r="AT45" s="204" t="s">
        <v>546</v>
      </c>
      <c r="AW45" s="2"/>
      <c r="AX45" s="2"/>
      <c r="AY45" s="2"/>
      <c r="AZ45" s="2"/>
      <c r="BA45" s="2"/>
      <c r="BB45" s="2"/>
      <c r="BC45" s="2"/>
    </row>
    <row r="46" spans="2:55" ht="14.1" customHeight="1">
      <c r="K46" s="1841" t="s">
        <v>2011</v>
      </c>
      <c r="L46" s="204">
        <v>15</v>
      </c>
      <c r="M46" s="204">
        <v>7</v>
      </c>
      <c r="N46" s="204">
        <v>23</v>
      </c>
      <c r="O46" s="1842">
        <v>30</v>
      </c>
      <c r="P46" s="1842">
        <v>7</v>
      </c>
      <c r="Q46" s="1842">
        <v>66</v>
      </c>
      <c r="R46" s="311"/>
      <c r="S46" s="91"/>
      <c r="T46" s="202" t="s">
        <v>2056</v>
      </c>
      <c r="U46" s="204">
        <v>172</v>
      </c>
      <c r="V46" s="204">
        <v>0</v>
      </c>
      <c r="W46" s="204">
        <v>0</v>
      </c>
      <c r="X46" s="204">
        <v>26</v>
      </c>
      <c r="Y46" s="204">
        <v>184</v>
      </c>
      <c r="Z46" s="204">
        <v>218</v>
      </c>
      <c r="AA46" s="204">
        <v>196</v>
      </c>
      <c r="AB46" s="204">
        <v>238</v>
      </c>
      <c r="AD46" s="202" t="s">
        <v>2089</v>
      </c>
      <c r="AE46" s="204">
        <v>725</v>
      </c>
      <c r="AF46" s="204">
        <v>4.0999999999999996</v>
      </c>
      <c r="AG46" s="2"/>
      <c r="AH46" s="2"/>
      <c r="AK46" s="202" t="s">
        <v>2208</v>
      </c>
      <c r="AL46" s="204">
        <v>959</v>
      </c>
      <c r="AM46" s="204">
        <v>21</v>
      </c>
      <c r="AN46" s="204" t="s">
        <v>546</v>
      </c>
      <c r="AO46" s="204" t="s">
        <v>546</v>
      </c>
      <c r="AP46" s="204" t="s">
        <v>546</v>
      </c>
      <c r="AQ46" s="204" t="s">
        <v>546</v>
      </c>
      <c r="AR46" s="204" t="s">
        <v>546</v>
      </c>
      <c r="AS46" s="204" t="s">
        <v>546</v>
      </c>
      <c r="AT46" s="204" t="s">
        <v>546</v>
      </c>
      <c r="AW46" s="202" t="s">
        <v>2233</v>
      </c>
      <c r="AX46" s="204">
        <v>356.59</v>
      </c>
      <c r="AY46" s="204" t="s">
        <v>546</v>
      </c>
      <c r="AZ46" s="204" t="s">
        <v>546</v>
      </c>
      <c r="BA46" s="204" t="s">
        <v>546</v>
      </c>
      <c r="BB46" s="204">
        <v>16.3</v>
      </c>
      <c r="BC46" s="204">
        <v>71</v>
      </c>
    </row>
    <row r="47" spans="2:55" ht="14.1" customHeight="1">
      <c r="K47" s="1841" t="s">
        <v>2012</v>
      </c>
      <c r="L47" s="203">
        <v>2546</v>
      </c>
      <c r="M47" s="203">
        <v>1729</v>
      </c>
      <c r="N47" s="203">
        <v>2332</v>
      </c>
      <c r="O47" s="1843">
        <v>3837</v>
      </c>
      <c r="P47" s="1843">
        <v>1854</v>
      </c>
      <c r="Q47" s="1843">
        <v>3620</v>
      </c>
      <c r="R47" s="312"/>
      <c r="S47" s="91"/>
      <c r="T47" s="202" t="s">
        <v>2057</v>
      </c>
      <c r="U47" s="204">
        <v>54</v>
      </c>
      <c r="V47" s="204">
        <v>0</v>
      </c>
      <c r="W47" s="204">
        <v>0</v>
      </c>
      <c r="X47" s="204">
        <v>0</v>
      </c>
      <c r="Y47" s="204">
        <v>0</v>
      </c>
      <c r="Z47" s="204">
        <v>161</v>
      </c>
      <c r="AA47" s="204">
        <v>33</v>
      </c>
      <c r="AB47" s="204">
        <v>0</v>
      </c>
      <c r="AD47" s="202" t="s">
        <v>2090</v>
      </c>
      <c r="AE47" s="204">
        <v>525</v>
      </c>
      <c r="AF47" s="204">
        <v>3</v>
      </c>
      <c r="AG47" s="2"/>
      <c r="AH47" s="2"/>
      <c r="AK47" s="202" t="s">
        <v>2209</v>
      </c>
      <c r="AL47" s="204">
        <v>705</v>
      </c>
      <c r="AM47" s="204">
        <v>31</v>
      </c>
      <c r="AN47" s="204" t="s">
        <v>546</v>
      </c>
      <c r="AO47" s="204" t="s">
        <v>546</v>
      </c>
      <c r="AP47" s="204" t="s">
        <v>546</v>
      </c>
      <c r="AQ47" s="204" t="s">
        <v>546</v>
      </c>
      <c r="AR47" s="204" t="s">
        <v>546</v>
      </c>
      <c r="AS47" s="204" t="s">
        <v>546</v>
      </c>
      <c r="AT47" s="204" t="s">
        <v>546</v>
      </c>
      <c r="AW47" s="2"/>
      <c r="AX47" s="2"/>
      <c r="AY47" s="2"/>
      <c r="AZ47" s="2"/>
      <c r="BA47" s="2"/>
      <c r="BB47" s="2"/>
      <c r="BC47" s="2"/>
    </row>
    <row r="48" spans="2:55" ht="14.1" customHeight="1">
      <c r="K48" s="1841" t="s">
        <v>2013</v>
      </c>
      <c r="L48" s="1842" t="s">
        <v>546</v>
      </c>
      <c r="M48" s="204" t="s">
        <v>546</v>
      </c>
      <c r="N48" s="1842" t="s">
        <v>546</v>
      </c>
      <c r="O48" s="1842" t="s">
        <v>546</v>
      </c>
      <c r="P48" s="204" t="s">
        <v>546</v>
      </c>
      <c r="Q48" s="1842" t="s">
        <v>546</v>
      </c>
      <c r="R48" s="311"/>
      <c r="S48" s="91"/>
      <c r="T48" s="202" t="s">
        <v>2058</v>
      </c>
      <c r="U48" s="2"/>
      <c r="V48" s="204">
        <v>0</v>
      </c>
      <c r="W48" s="204">
        <v>0</v>
      </c>
      <c r="X48" s="204">
        <v>13</v>
      </c>
      <c r="Y48" s="204">
        <v>0</v>
      </c>
      <c r="Z48" s="204">
        <v>141</v>
      </c>
      <c r="AA48" s="204">
        <v>61</v>
      </c>
      <c r="AB48" s="204">
        <v>149</v>
      </c>
      <c r="AD48" s="202" t="s">
        <v>2059</v>
      </c>
      <c r="AE48" s="204">
        <v>366</v>
      </c>
      <c r="AF48" s="204">
        <v>2.1</v>
      </c>
      <c r="AG48" s="2"/>
      <c r="AH48" s="2"/>
      <c r="AK48" s="202" t="s">
        <v>2210</v>
      </c>
      <c r="AL48" s="204" t="s">
        <v>546</v>
      </c>
      <c r="AM48" s="204" t="s">
        <v>546</v>
      </c>
      <c r="AN48" s="204" t="s">
        <v>546</v>
      </c>
      <c r="AO48" s="204" t="s">
        <v>546</v>
      </c>
      <c r="AP48" s="204" t="s">
        <v>546</v>
      </c>
      <c r="AQ48" s="204" t="s">
        <v>546</v>
      </c>
      <c r="AR48" s="204" t="s">
        <v>546</v>
      </c>
      <c r="AS48" s="204" t="s">
        <v>546</v>
      </c>
      <c r="AT48" s="204" t="s">
        <v>546</v>
      </c>
      <c r="AW48" s="202" t="s">
        <v>2234</v>
      </c>
      <c r="AX48" s="2"/>
      <c r="AY48" s="341">
        <v>146762.79999999999</v>
      </c>
      <c r="AZ48" s="341">
        <v>29411.78</v>
      </c>
      <c r="BA48" s="341">
        <v>10140.39</v>
      </c>
      <c r="BB48" s="341">
        <v>8131.18</v>
      </c>
      <c r="BC48" s="341">
        <v>11941.89</v>
      </c>
    </row>
    <row r="49" spans="11:55" ht="14.1" customHeight="1">
      <c r="K49" s="1841" t="s">
        <v>2014</v>
      </c>
      <c r="L49" s="1842" t="s">
        <v>546</v>
      </c>
      <c r="M49" s="204" t="s">
        <v>546</v>
      </c>
      <c r="N49" s="1842" t="s">
        <v>546</v>
      </c>
      <c r="O49" s="1842" t="s">
        <v>546</v>
      </c>
      <c r="P49" s="204" t="s">
        <v>546</v>
      </c>
      <c r="Q49" s="1842" t="s">
        <v>546</v>
      </c>
      <c r="R49" s="311"/>
      <c r="S49" s="91"/>
      <c r="T49" s="202" t="s">
        <v>2059</v>
      </c>
      <c r="U49" s="204">
        <v>50</v>
      </c>
      <c r="V49" s="204">
        <v>366</v>
      </c>
      <c r="W49" s="204">
        <v>22</v>
      </c>
      <c r="X49" s="204">
        <v>166</v>
      </c>
      <c r="Y49" s="204">
        <v>8</v>
      </c>
      <c r="Z49" s="204">
        <v>120</v>
      </c>
      <c r="AA49" s="204">
        <v>178</v>
      </c>
      <c r="AB49" s="204">
        <v>191</v>
      </c>
      <c r="AD49" s="202" t="s">
        <v>2091</v>
      </c>
      <c r="AE49" s="204">
        <v>314</v>
      </c>
      <c r="AF49" s="204">
        <v>1.8</v>
      </c>
      <c r="AG49" s="2"/>
      <c r="AH49" s="2"/>
      <c r="AK49" s="212" t="s">
        <v>2211</v>
      </c>
      <c r="AL49" s="214" t="s">
        <v>546</v>
      </c>
      <c r="AM49" s="10"/>
      <c r="AN49" s="214" t="s">
        <v>546</v>
      </c>
      <c r="AO49" s="214" t="s">
        <v>546</v>
      </c>
      <c r="AP49" s="214" t="s">
        <v>546</v>
      </c>
      <c r="AQ49" s="214" t="s">
        <v>546</v>
      </c>
      <c r="AR49" s="214" t="s">
        <v>546</v>
      </c>
      <c r="AS49" s="214" t="s">
        <v>546</v>
      </c>
      <c r="AT49" s="214" t="s">
        <v>546</v>
      </c>
      <c r="AW49" s="202" t="s">
        <v>2235</v>
      </c>
      <c r="AX49" s="204">
        <v>93.68</v>
      </c>
      <c r="AY49" s="204" t="s">
        <v>546</v>
      </c>
      <c r="AZ49" s="204">
        <v>5.99</v>
      </c>
      <c r="BA49" s="2"/>
      <c r="BB49" s="2"/>
      <c r="BC49" s="2"/>
    </row>
    <row r="50" spans="11:55" ht="14.1" customHeight="1">
      <c r="K50" s="1841" t="s">
        <v>2015</v>
      </c>
      <c r="L50" s="1842" t="s">
        <v>546</v>
      </c>
      <c r="M50" s="204" t="s">
        <v>546</v>
      </c>
      <c r="N50" s="1842" t="s">
        <v>546</v>
      </c>
      <c r="O50" s="1842" t="s">
        <v>546</v>
      </c>
      <c r="P50" s="204" t="s">
        <v>546</v>
      </c>
      <c r="Q50" s="1842" t="s">
        <v>546</v>
      </c>
      <c r="R50" s="311"/>
      <c r="S50" s="91"/>
      <c r="T50" s="202" t="s">
        <v>2060</v>
      </c>
      <c r="U50" s="204">
        <v>22</v>
      </c>
      <c r="V50" s="204">
        <v>26</v>
      </c>
      <c r="W50" s="204">
        <v>3</v>
      </c>
      <c r="X50" s="204">
        <v>0</v>
      </c>
      <c r="Y50" s="204">
        <v>12</v>
      </c>
      <c r="Z50" s="204">
        <v>128</v>
      </c>
      <c r="AA50" s="204">
        <v>60</v>
      </c>
      <c r="AB50" s="204">
        <v>0</v>
      </c>
      <c r="AD50" s="202" t="s">
        <v>2092</v>
      </c>
      <c r="AE50" s="204">
        <v>289</v>
      </c>
      <c r="AF50" s="204">
        <v>1.6</v>
      </c>
      <c r="AG50" s="2"/>
      <c r="AH50" s="2"/>
      <c r="AK50" s="13" t="s">
        <v>2133</v>
      </c>
      <c r="AL50" s="14"/>
      <c r="AM50" s="14"/>
      <c r="AN50" s="14"/>
      <c r="AO50" s="14"/>
      <c r="AP50" s="14"/>
      <c r="AQ50" s="2"/>
      <c r="AR50" s="2"/>
      <c r="AS50" s="2"/>
      <c r="AT50" s="2"/>
      <c r="AW50" s="202" t="s">
        <v>2236</v>
      </c>
      <c r="AX50" s="203">
        <v>12294</v>
      </c>
      <c r="AY50" s="341">
        <v>96771.8</v>
      </c>
      <c r="AZ50" s="341">
        <v>7166.32</v>
      </c>
      <c r="BA50" s="341">
        <v>1977.07</v>
      </c>
      <c r="BB50" s="341">
        <v>3429.2</v>
      </c>
      <c r="BC50" s="341">
        <v>7800.5</v>
      </c>
    </row>
    <row r="51" spans="11:55" ht="14.1" customHeight="1">
      <c r="K51" s="1841" t="s">
        <v>2016</v>
      </c>
      <c r="L51" s="1842" t="s">
        <v>546</v>
      </c>
      <c r="M51" s="204" t="s">
        <v>546</v>
      </c>
      <c r="N51" s="1842" t="s">
        <v>546</v>
      </c>
      <c r="O51" s="1842" t="s">
        <v>546</v>
      </c>
      <c r="P51" s="204" t="s">
        <v>546</v>
      </c>
      <c r="Q51" s="1842" t="s">
        <v>546</v>
      </c>
      <c r="R51" s="311"/>
      <c r="S51" s="91"/>
      <c r="T51" s="2"/>
      <c r="U51" s="2"/>
      <c r="V51" s="2"/>
      <c r="W51" s="2"/>
      <c r="X51" s="2"/>
      <c r="Y51" s="2"/>
      <c r="Z51" s="2"/>
      <c r="AA51" s="2"/>
      <c r="AB51" s="2"/>
      <c r="AD51" s="202" t="s">
        <v>2081</v>
      </c>
      <c r="AE51" s="204">
        <v>266</v>
      </c>
      <c r="AF51" s="204">
        <v>1.5</v>
      </c>
      <c r="AG51" s="2"/>
      <c r="AH51" s="2"/>
      <c r="AK51" s="14" t="s">
        <v>2134</v>
      </c>
      <c r="AL51" s="14"/>
      <c r="AM51" s="14"/>
      <c r="AN51" s="14"/>
      <c r="AO51" s="14"/>
      <c r="AP51" s="14"/>
      <c r="AQ51" s="2"/>
      <c r="AR51" s="2"/>
      <c r="AS51" s="2"/>
      <c r="AT51" s="2"/>
      <c r="AW51" s="202" t="s">
        <v>2237</v>
      </c>
      <c r="AX51" s="203">
        <v>21442</v>
      </c>
      <c r="AY51" s="341">
        <v>49991</v>
      </c>
      <c r="AZ51" s="341">
        <v>22239.47</v>
      </c>
      <c r="BA51" s="341">
        <v>8163.32</v>
      </c>
      <c r="BB51" s="341">
        <v>4701.9799999999996</v>
      </c>
      <c r="BC51" s="341">
        <v>4141.3900000000003</v>
      </c>
    </row>
    <row r="52" spans="11:55" ht="14.1" customHeight="1">
      <c r="K52" s="1841" t="s">
        <v>2017</v>
      </c>
      <c r="L52" s="1842" t="s">
        <v>546</v>
      </c>
      <c r="M52" s="204" t="s">
        <v>546</v>
      </c>
      <c r="N52" s="1842" t="s">
        <v>546</v>
      </c>
      <c r="O52" s="1842" t="s">
        <v>546</v>
      </c>
      <c r="P52" s="204" t="s">
        <v>546</v>
      </c>
      <c r="Q52" s="1842" t="s">
        <v>546</v>
      </c>
      <c r="R52" s="311"/>
      <c r="S52" s="91"/>
      <c r="T52" s="317" t="s">
        <v>2074</v>
      </c>
      <c r="U52" s="204">
        <v>365</v>
      </c>
      <c r="V52" s="204">
        <v>248</v>
      </c>
      <c r="W52" s="204">
        <v>303</v>
      </c>
      <c r="X52" s="203">
        <v>1299</v>
      </c>
      <c r="Y52" s="204">
        <v>428</v>
      </c>
      <c r="Z52" s="204">
        <v>893</v>
      </c>
      <c r="AA52" s="203">
        <v>1713</v>
      </c>
      <c r="AB52" s="204">
        <v>627</v>
      </c>
      <c r="AD52" s="202" t="s">
        <v>2066</v>
      </c>
      <c r="AE52" s="204">
        <v>237</v>
      </c>
      <c r="AF52" s="204">
        <v>1.3</v>
      </c>
      <c r="AG52" s="2"/>
      <c r="AH52" s="2"/>
      <c r="AK52" s="14" t="s">
        <v>2135</v>
      </c>
      <c r="AL52" s="14"/>
      <c r="AM52" s="14"/>
      <c r="AN52" s="14"/>
      <c r="AO52" s="14"/>
      <c r="AP52" s="14"/>
      <c r="AQ52" s="2"/>
      <c r="AR52" s="2"/>
      <c r="AS52" s="2"/>
      <c r="AT52" s="2"/>
      <c r="AW52" s="2"/>
      <c r="AX52" s="2"/>
      <c r="AY52" s="2"/>
      <c r="AZ52" s="2"/>
      <c r="BA52" s="2"/>
      <c r="BB52" s="2"/>
      <c r="BC52" s="2"/>
    </row>
    <row r="53" spans="11:55" ht="14.1" customHeight="1">
      <c r="K53" s="1841" t="s">
        <v>2018</v>
      </c>
      <c r="L53" s="1842" t="s">
        <v>546</v>
      </c>
      <c r="M53" s="204" t="s">
        <v>546</v>
      </c>
      <c r="N53" s="1842" t="s">
        <v>546</v>
      </c>
      <c r="O53" s="1842" t="s">
        <v>546</v>
      </c>
      <c r="P53" s="204" t="s">
        <v>546</v>
      </c>
      <c r="Q53" s="1842" t="s">
        <v>546</v>
      </c>
      <c r="R53" s="311"/>
      <c r="S53" s="91"/>
      <c r="T53" s="202" t="s">
        <v>2061</v>
      </c>
      <c r="U53" s="204">
        <v>11</v>
      </c>
      <c r="V53" s="204">
        <v>0</v>
      </c>
      <c r="W53" s="204">
        <v>0</v>
      </c>
      <c r="X53" s="204">
        <v>3</v>
      </c>
      <c r="Y53" s="204">
        <v>17</v>
      </c>
      <c r="Z53" s="204">
        <v>9</v>
      </c>
      <c r="AA53" s="204">
        <v>8</v>
      </c>
      <c r="AB53" s="204">
        <v>51</v>
      </c>
      <c r="AD53" s="202"/>
      <c r="AE53" s="202"/>
      <c r="AF53" s="202"/>
      <c r="AG53" s="2"/>
      <c r="AH53" s="2"/>
      <c r="AK53" s="14" t="s">
        <v>2136</v>
      </c>
      <c r="AL53" s="14"/>
      <c r="AM53" s="14"/>
      <c r="AN53" s="14"/>
      <c r="AO53" s="14"/>
      <c r="AP53" s="14"/>
      <c r="AQ53" s="2"/>
      <c r="AR53" s="2"/>
      <c r="AS53" s="2"/>
      <c r="AT53" s="2"/>
      <c r="AW53" s="202" t="s">
        <v>2238</v>
      </c>
      <c r="AX53" s="341">
        <v>33829.68</v>
      </c>
      <c r="AY53" s="341">
        <v>146763</v>
      </c>
      <c r="AZ53" s="204" t="s">
        <v>546</v>
      </c>
      <c r="BA53" s="341">
        <v>41574.32</v>
      </c>
      <c r="BB53" s="204" t="s">
        <v>546</v>
      </c>
      <c r="BC53" s="341">
        <v>11941.89</v>
      </c>
    </row>
    <row r="54" spans="11:55" ht="14.1" customHeight="1">
      <c r="K54" s="1841" t="s">
        <v>2019</v>
      </c>
      <c r="L54" s="1842" t="s">
        <v>546</v>
      </c>
      <c r="M54" s="204" t="s">
        <v>546</v>
      </c>
      <c r="N54" s="1842" t="s">
        <v>546</v>
      </c>
      <c r="O54" s="1842" t="s">
        <v>546</v>
      </c>
      <c r="P54" s="204" t="s">
        <v>546</v>
      </c>
      <c r="Q54" s="1842" t="s">
        <v>546</v>
      </c>
      <c r="R54" s="311"/>
      <c r="S54" s="91"/>
      <c r="T54" s="202" t="s">
        <v>2062</v>
      </c>
      <c r="U54" s="204">
        <v>69</v>
      </c>
      <c r="V54" s="204">
        <v>0</v>
      </c>
      <c r="W54" s="204">
        <v>0</v>
      </c>
      <c r="X54" s="204">
        <v>0</v>
      </c>
      <c r="Y54" s="204">
        <v>20</v>
      </c>
      <c r="Z54" s="204">
        <v>0</v>
      </c>
      <c r="AA54" s="204">
        <v>0</v>
      </c>
      <c r="AB54" s="204">
        <v>0</v>
      </c>
      <c r="AD54" s="318">
        <v>2020</v>
      </c>
      <c r="AE54" s="202"/>
      <c r="AF54" s="202"/>
      <c r="AG54" s="2"/>
      <c r="AH54" s="2"/>
      <c r="AK54" s="13" t="s">
        <v>2212</v>
      </c>
      <c r="AL54" s="14"/>
      <c r="AM54" s="14"/>
      <c r="AN54" s="14"/>
      <c r="AO54" s="14"/>
      <c r="AP54" s="14"/>
      <c r="AQ54" s="2"/>
      <c r="AR54" s="2"/>
      <c r="AS54" s="2"/>
      <c r="AT54" s="2"/>
      <c r="AW54" s="2"/>
      <c r="AX54" s="2"/>
      <c r="AY54" s="2"/>
      <c r="AZ54" s="2"/>
      <c r="BA54" s="2"/>
      <c r="BB54" s="2"/>
      <c r="BC54" s="2"/>
    </row>
    <row r="55" spans="11:55" ht="14.1" customHeight="1">
      <c r="K55" s="1844" t="s">
        <v>2020</v>
      </c>
      <c r="L55" s="214" t="s">
        <v>546</v>
      </c>
      <c r="M55" s="214" t="s">
        <v>546</v>
      </c>
      <c r="N55" s="1845" t="s">
        <v>546</v>
      </c>
      <c r="O55" s="214" t="s">
        <v>546</v>
      </c>
      <c r="P55" s="214" t="s">
        <v>546</v>
      </c>
      <c r="Q55" s="1845" t="s">
        <v>546</v>
      </c>
      <c r="R55" s="311"/>
      <c r="S55" s="91"/>
      <c r="T55" s="202" t="s">
        <v>2063</v>
      </c>
      <c r="U55" s="204">
        <v>194</v>
      </c>
      <c r="V55" s="204">
        <v>10</v>
      </c>
      <c r="W55" s="204">
        <v>6</v>
      </c>
      <c r="X55" s="204">
        <v>54</v>
      </c>
      <c r="Y55" s="204">
        <v>124</v>
      </c>
      <c r="Z55" s="204">
        <v>144</v>
      </c>
      <c r="AA55" s="204">
        <v>170</v>
      </c>
      <c r="AB55" s="204">
        <v>268</v>
      </c>
      <c r="AD55" s="202" t="s">
        <v>129</v>
      </c>
      <c r="AE55" s="203">
        <v>4454</v>
      </c>
      <c r="AF55" s="204">
        <v>100</v>
      </c>
      <c r="AG55" s="2"/>
      <c r="AH55" s="2"/>
      <c r="AK55" s="13" t="s">
        <v>2213</v>
      </c>
      <c r="AL55" s="14"/>
      <c r="AM55" s="14"/>
      <c r="AN55" s="14"/>
      <c r="AO55" s="14"/>
      <c r="AP55" s="14"/>
      <c r="AQ55" s="2"/>
      <c r="AR55" s="2"/>
      <c r="AS55" s="2"/>
      <c r="AT55" s="2"/>
      <c r="AW55" s="202" t="s">
        <v>2239</v>
      </c>
      <c r="AX55" s="2"/>
      <c r="AY55" s="341">
        <v>122899.72</v>
      </c>
      <c r="AZ55" s="203">
        <v>162722</v>
      </c>
      <c r="BA55" s="341">
        <v>100147.79</v>
      </c>
      <c r="BB55" s="341">
        <v>90593.95</v>
      </c>
      <c r="BC55" s="341">
        <v>88058.68</v>
      </c>
    </row>
    <row r="56" spans="11:55" ht="12.95" customHeight="1">
      <c r="K56" s="14" t="s">
        <v>2021</v>
      </c>
      <c r="L56" s="2"/>
      <c r="M56" s="2"/>
      <c r="N56" s="2"/>
      <c r="O56" s="2"/>
      <c r="P56" s="2"/>
      <c r="Q56" s="2"/>
      <c r="R56" s="2"/>
      <c r="T56" s="202" t="s">
        <v>2064</v>
      </c>
      <c r="U56" s="2"/>
      <c r="V56" s="204">
        <v>0</v>
      </c>
      <c r="W56" s="204">
        <v>0</v>
      </c>
      <c r="X56" s="204">
        <v>0</v>
      </c>
      <c r="Y56" s="204">
        <v>0</v>
      </c>
      <c r="Z56" s="204">
        <v>0</v>
      </c>
      <c r="AA56" s="204">
        <v>0</v>
      </c>
      <c r="AB56" s="204">
        <v>0</v>
      </c>
      <c r="AD56" s="202" t="s">
        <v>2087</v>
      </c>
      <c r="AE56" s="203">
        <v>2090</v>
      </c>
      <c r="AF56" s="204">
        <v>46.9</v>
      </c>
      <c r="AG56" s="2"/>
      <c r="AH56" s="2"/>
      <c r="AK56" s="13" t="s">
        <v>2214</v>
      </c>
      <c r="AL56" s="14"/>
      <c r="AM56" s="14"/>
      <c r="AN56" s="14"/>
      <c r="AO56" s="14"/>
      <c r="AP56" s="14"/>
      <c r="AQ56" s="2"/>
      <c r="AR56" s="2"/>
      <c r="AS56" s="2"/>
      <c r="AT56" s="2"/>
      <c r="AW56" s="202" t="s">
        <v>2240</v>
      </c>
      <c r="AX56" s="2"/>
      <c r="AY56" s="204" t="s">
        <v>546</v>
      </c>
      <c r="AZ56" s="203">
        <v>66920</v>
      </c>
      <c r="BA56" s="204" t="s">
        <v>546</v>
      </c>
      <c r="BB56" s="204" t="s">
        <v>546</v>
      </c>
      <c r="BC56" s="204" t="s">
        <v>546</v>
      </c>
    </row>
    <row r="57" spans="11:55" ht="12.95" customHeight="1">
      <c r="K57" s="13" t="s">
        <v>2022</v>
      </c>
      <c r="L57" s="2"/>
      <c r="M57" s="2"/>
      <c r="N57" s="2"/>
      <c r="O57" s="2"/>
      <c r="P57" s="2"/>
      <c r="Q57" s="2"/>
      <c r="R57" s="2"/>
      <c r="T57" s="202" t="s">
        <v>2065</v>
      </c>
      <c r="U57" s="2"/>
      <c r="V57" s="204">
        <v>0</v>
      </c>
      <c r="W57" s="204">
        <v>0</v>
      </c>
      <c r="X57" s="204">
        <v>0</v>
      </c>
      <c r="Y57" s="204">
        <v>0</v>
      </c>
      <c r="Z57" s="204">
        <v>0</v>
      </c>
      <c r="AA57" s="204">
        <v>0</v>
      </c>
      <c r="AB57" s="204">
        <v>0</v>
      </c>
      <c r="AD57" s="202" t="s">
        <v>2084</v>
      </c>
      <c r="AE57" s="203">
        <v>1430</v>
      </c>
      <c r="AF57" s="204">
        <v>32.1</v>
      </c>
      <c r="AG57" s="2"/>
      <c r="AH57" s="2"/>
      <c r="AK57" s="25"/>
      <c r="AL57" s="25"/>
      <c r="AM57" s="25"/>
      <c r="AN57" s="25"/>
      <c r="AO57" s="25"/>
      <c r="AP57" s="25"/>
      <c r="AW57" s="202" t="s">
        <v>2241</v>
      </c>
      <c r="AX57" s="2"/>
      <c r="AY57" s="204" t="s">
        <v>546</v>
      </c>
      <c r="AZ57" s="2"/>
      <c r="BA57" s="204" t="s">
        <v>546</v>
      </c>
      <c r="BB57" s="204" t="s">
        <v>546</v>
      </c>
      <c r="BC57" s="204" t="s">
        <v>546</v>
      </c>
    </row>
    <row r="58" spans="11:55" ht="12.95" customHeight="1">
      <c r="T58" s="202" t="s">
        <v>1992</v>
      </c>
      <c r="U58" s="204">
        <v>30</v>
      </c>
      <c r="V58" s="204">
        <v>1</v>
      </c>
      <c r="W58" s="204">
        <v>0</v>
      </c>
      <c r="X58" s="204">
        <v>4</v>
      </c>
      <c r="Y58" s="204">
        <v>13</v>
      </c>
      <c r="Z58" s="204">
        <v>18</v>
      </c>
      <c r="AA58" s="204">
        <v>15</v>
      </c>
      <c r="AB58" s="204">
        <v>32</v>
      </c>
      <c r="AD58" s="202" t="s">
        <v>2066</v>
      </c>
      <c r="AE58" s="204">
        <v>297</v>
      </c>
      <c r="AF58" s="204">
        <v>6.7</v>
      </c>
      <c r="AG58" s="2"/>
      <c r="AH58" s="2"/>
      <c r="AW58" s="202" t="s">
        <v>2242</v>
      </c>
      <c r="AX58" s="341">
        <v>124045.73</v>
      </c>
      <c r="AY58" s="341">
        <v>122899.72</v>
      </c>
      <c r="AZ58" s="341">
        <v>95801.58</v>
      </c>
      <c r="BA58" s="341">
        <v>100147.79</v>
      </c>
      <c r="BB58" s="342">
        <v>90593.95</v>
      </c>
      <c r="BC58" s="341">
        <v>88048.25</v>
      </c>
    </row>
    <row r="59" spans="11:55" ht="12.95" customHeight="1">
      <c r="T59" s="202" t="s">
        <v>2066</v>
      </c>
      <c r="U59" s="204">
        <v>61</v>
      </c>
      <c r="V59" s="204">
        <v>237</v>
      </c>
      <c r="W59" s="204">
        <v>297</v>
      </c>
      <c r="X59" s="203">
        <v>1238</v>
      </c>
      <c r="Y59" s="204">
        <v>254</v>
      </c>
      <c r="Z59" s="204">
        <v>722</v>
      </c>
      <c r="AA59" s="203">
        <v>1520</v>
      </c>
      <c r="AB59" s="204">
        <v>276</v>
      </c>
      <c r="AD59" s="202" t="s">
        <v>2081</v>
      </c>
      <c r="AE59" s="204">
        <v>134</v>
      </c>
      <c r="AF59" s="204">
        <v>3</v>
      </c>
      <c r="AG59" s="2"/>
      <c r="AH59" s="2"/>
      <c r="AW59" s="202" t="s">
        <v>2243</v>
      </c>
      <c r="AX59" s="2"/>
      <c r="AY59" s="2"/>
      <c r="AZ59" s="2"/>
      <c r="BA59" s="204" t="s">
        <v>546</v>
      </c>
      <c r="BB59" s="204" t="s">
        <v>546</v>
      </c>
      <c r="BC59" s="204">
        <v>10.43</v>
      </c>
    </row>
    <row r="60" spans="11:55" ht="12.95" customHeight="1">
      <c r="T60" s="2"/>
      <c r="U60" s="2"/>
      <c r="V60" s="2"/>
      <c r="W60" s="2"/>
      <c r="X60" s="2"/>
      <c r="Y60" s="2"/>
      <c r="Z60" s="2"/>
      <c r="AA60" s="2"/>
      <c r="AB60" s="2"/>
      <c r="AD60" s="202" t="s">
        <v>2027</v>
      </c>
      <c r="AE60" s="204">
        <v>122</v>
      </c>
      <c r="AF60" s="204">
        <v>2.7</v>
      </c>
      <c r="AG60" s="2"/>
      <c r="AH60" s="2"/>
      <c r="AW60" s="2"/>
      <c r="AX60" s="2"/>
      <c r="AY60" s="2"/>
      <c r="AZ60" s="2"/>
      <c r="BA60" s="2"/>
      <c r="BB60" s="2"/>
      <c r="BC60" s="2"/>
    </row>
    <row r="61" spans="11:55" ht="12.95" customHeight="1">
      <c r="T61" s="317" t="s">
        <v>2075</v>
      </c>
      <c r="U61" s="204">
        <v>148</v>
      </c>
      <c r="V61" s="204">
        <v>169</v>
      </c>
      <c r="W61" s="204">
        <v>26</v>
      </c>
      <c r="X61" s="204">
        <v>114</v>
      </c>
      <c r="Y61" s="204">
        <v>117</v>
      </c>
      <c r="Z61" s="204">
        <v>89</v>
      </c>
      <c r="AA61" s="204">
        <v>109</v>
      </c>
      <c r="AB61" s="204">
        <v>145</v>
      </c>
      <c r="AD61" s="202" t="s">
        <v>2092</v>
      </c>
      <c r="AE61" s="204">
        <v>102</v>
      </c>
      <c r="AF61" s="204">
        <v>2.2999999999999998</v>
      </c>
      <c r="AG61" s="2"/>
      <c r="AH61" s="2"/>
      <c r="AW61" s="202" t="s">
        <v>2244</v>
      </c>
      <c r="AX61" s="2"/>
      <c r="AY61" s="341">
        <v>122899.72</v>
      </c>
      <c r="AZ61" s="204" t="s">
        <v>546</v>
      </c>
      <c r="BA61" s="341">
        <v>163766.79</v>
      </c>
      <c r="BB61" s="204" t="s">
        <v>546</v>
      </c>
      <c r="BC61" s="341">
        <v>89369.279999999999</v>
      </c>
    </row>
    <row r="62" spans="11:55" ht="12.95" customHeight="1">
      <c r="T62" s="202" t="s">
        <v>2006</v>
      </c>
      <c r="U62" s="204">
        <v>10</v>
      </c>
      <c r="V62" s="204">
        <v>0</v>
      </c>
      <c r="W62" s="204">
        <v>0</v>
      </c>
      <c r="X62" s="204">
        <v>7</v>
      </c>
      <c r="Y62" s="204">
        <v>40</v>
      </c>
      <c r="Z62" s="204">
        <v>11</v>
      </c>
      <c r="AA62" s="204">
        <v>1</v>
      </c>
      <c r="AB62" s="204">
        <v>16</v>
      </c>
      <c r="AD62" s="202" t="s">
        <v>2090</v>
      </c>
      <c r="AE62" s="204">
        <v>101</v>
      </c>
      <c r="AF62" s="204">
        <v>2.2999999999999998</v>
      </c>
      <c r="AG62" s="2"/>
      <c r="AH62" s="2"/>
      <c r="AW62" s="2"/>
      <c r="AX62" s="2"/>
      <c r="AY62" s="2"/>
      <c r="AZ62" s="2"/>
      <c r="BA62" s="2"/>
      <c r="BB62" s="2"/>
      <c r="BC62" s="2"/>
    </row>
    <row r="63" spans="11:55" ht="12.95" customHeight="1">
      <c r="T63" s="202" t="s">
        <v>2008</v>
      </c>
      <c r="U63" s="204">
        <v>66</v>
      </c>
      <c r="V63" s="204">
        <v>0</v>
      </c>
      <c r="W63" s="204">
        <v>0</v>
      </c>
      <c r="X63" s="204">
        <v>12</v>
      </c>
      <c r="Y63" s="204">
        <v>37</v>
      </c>
      <c r="Z63" s="204">
        <v>23</v>
      </c>
      <c r="AA63" s="204">
        <v>57</v>
      </c>
      <c r="AB63" s="204">
        <v>41</v>
      </c>
      <c r="AD63" s="202" t="s">
        <v>2047</v>
      </c>
      <c r="AE63" s="204">
        <v>89</v>
      </c>
      <c r="AF63" s="204">
        <v>2</v>
      </c>
      <c r="AG63" s="2"/>
      <c r="AH63" s="2"/>
      <c r="AW63" s="212" t="s">
        <v>2245</v>
      </c>
      <c r="AX63" s="10"/>
      <c r="AY63" s="214" t="s">
        <v>546</v>
      </c>
      <c r="AZ63" s="214" t="s">
        <v>546</v>
      </c>
      <c r="BA63" s="214" t="s">
        <v>546</v>
      </c>
      <c r="BB63" s="214" t="s">
        <v>546</v>
      </c>
      <c r="BC63" s="343">
        <v>128406.76</v>
      </c>
    </row>
    <row r="64" spans="11:55" ht="12.95" customHeight="1">
      <c r="T64" s="202" t="s">
        <v>2010</v>
      </c>
      <c r="U64" s="204">
        <v>8</v>
      </c>
      <c r="V64" s="204">
        <v>0</v>
      </c>
      <c r="W64" s="204">
        <v>0</v>
      </c>
      <c r="X64" s="204">
        <v>1</v>
      </c>
      <c r="Y64" s="204">
        <v>3</v>
      </c>
      <c r="Z64" s="204">
        <v>0</v>
      </c>
      <c r="AA64" s="204">
        <v>0</v>
      </c>
      <c r="AB64" s="204">
        <v>3</v>
      </c>
      <c r="AD64" s="202" t="s">
        <v>2089</v>
      </c>
      <c r="AE64" s="204">
        <v>47</v>
      </c>
      <c r="AF64" s="204">
        <v>1.1000000000000001</v>
      </c>
      <c r="AG64" s="2"/>
      <c r="AH64" s="2"/>
      <c r="AW64" s="14" t="s">
        <v>2246</v>
      </c>
      <c r="AX64" s="2"/>
      <c r="AY64" s="2"/>
      <c r="AZ64" s="2"/>
      <c r="BA64" s="2"/>
      <c r="BB64" s="2"/>
      <c r="BC64" s="2"/>
    </row>
    <row r="65" spans="20:35" ht="12.95" customHeight="1">
      <c r="T65" s="202" t="s">
        <v>2067</v>
      </c>
      <c r="U65" s="204">
        <v>11</v>
      </c>
      <c r="V65" s="204">
        <v>0</v>
      </c>
      <c r="W65" s="204">
        <v>0</v>
      </c>
      <c r="X65" s="204">
        <v>15</v>
      </c>
      <c r="Y65" s="204">
        <v>31</v>
      </c>
      <c r="Z65" s="204">
        <v>4</v>
      </c>
      <c r="AA65" s="204">
        <v>1</v>
      </c>
      <c r="AB65" s="204">
        <v>22</v>
      </c>
      <c r="AD65" s="212" t="s">
        <v>2088</v>
      </c>
      <c r="AE65" s="214">
        <v>42</v>
      </c>
      <c r="AF65" s="214">
        <v>0.9</v>
      </c>
      <c r="AG65" s="2"/>
      <c r="AH65" s="2"/>
    </row>
    <row r="66" spans="20:35" ht="13.5" customHeight="1">
      <c r="T66" s="202" t="s">
        <v>2068</v>
      </c>
      <c r="U66" s="204">
        <v>31</v>
      </c>
      <c r="V66" s="204">
        <v>0</v>
      </c>
      <c r="W66" s="204">
        <v>0</v>
      </c>
      <c r="X66" s="204">
        <v>0</v>
      </c>
      <c r="Y66" s="2"/>
      <c r="Z66" s="204">
        <v>0</v>
      </c>
      <c r="AA66" s="204">
        <v>0</v>
      </c>
      <c r="AB66" s="204">
        <v>0</v>
      </c>
      <c r="AD66" s="30" t="s">
        <v>2021</v>
      </c>
      <c r="AE66" s="2"/>
      <c r="AF66" s="2"/>
      <c r="AG66" s="2"/>
      <c r="AH66" s="2"/>
    </row>
    <row r="67" spans="20:35" ht="13.5" customHeight="1">
      <c r="T67" s="212" t="s">
        <v>2069</v>
      </c>
      <c r="U67" s="214">
        <v>22</v>
      </c>
      <c r="V67" s="214">
        <v>169</v>
      </c>
      <c r="W67" s="214">
        <v>26</v>
      </c>
      <c r="X67" s="214">
        <v>79</v>
      </c>
      <c r="Y67" s="214">
        <v>6</v>
      </c>
      <c r="Z67" s="214">
        <v>51</v>
      </c>
      <c r="AA67" s="214">
        <v>50</v>
      </c>
      <c r="AB67" s="214">
        <v>63</v>
      </c>
    </row>
    <row r="68" spans="20:35" ht="11.1" customHeight="1">
      <c r="T68" s="30" t="s">
        <v>2021</v>
      </c>
      <c r="U68" s="3"/>
      <c r="V68" s="3"/>
      <c r="W68" s="3"/>
      <c r="X68" s="3"/>
      <c r="Y68" s="3"/>
      <c r="Z68" s="3"/>
      <c r="AA68" s="3"/>
      <c r="AB68" s="3"/>
    </row>
    <row r="69" spans="20:35" ht="11.1" customHeight="1">
      <c r="T69" s="30" t="s">
        <v>2022</v>
      </c>
      <c r="U69" s="2"/>
      <c r="V69" s="2"/>
      <c r="W69" s="2"/>
      <c r="X69" s="2"/>
      <c r="Y69" s="2"/>
      <c r="Z69" s="2"/>
      <c r="AA69" s="2"/>
      <c r="AB69" s="2"/>
    </row>
    <row r="70" spans="20:35" ht="11.1" customHeight="1">
      <c r="T70" s="30" t="s">
        <v>2070</v>
      </c>
      <c r="U70" s="2"/>
      <c r="V70" s="2"/>
      <c r="W70" s="2"/>
      <c r="X70" s="2"/>
      <c r="Y70" s="2"/>
      <c r="Z70" s="2"/>
      <c r="AA70" s="2"/>
      <c r="AB70" s="2"/>
      <c r="AD70" s="112" t="s">
        <v>2093</v>
      </c>
      <c r="AE70" s="245"/>
      <c r="AF70" s="245"/>
      <c r="AG70" s="245"/>
      <c r="AH70" s="245"/>
      <c r="AI70" s="271"/>
    </row>
    <row r="71" spans="20:35" ht="12.95" customHeight="1">
      <c r="AD71" s="328"/>
      <c r="AE71" s="2026" t="s">
        <v>2094</v>
      </c>
      <c r="AF71" s="2027"/>
      <c r="AG71" s="2027"/>
      <c r="AH71" s="113"/>
      <c r="AI71" s="113"/>
    </row>
    <row r="72" spans="20:35" ht="12.95" customHeight="1">
      <c r="AD72" s="1839" t="s">
        <v>8711</v>
      </c>
      <c r="AE72" s="324"/>
      <c r="AF72" s="326" t="s">
        <v>2096</v>
      </c>
      <c r="AG72" s="329"/>
      <c r="AH72" s="113"/>
      <c r="AI72" s="113"/>
    </row>
    <row r="73" spans="20:35" ht="12.95" customHeight="1">
      <c r="AD73" s="1840" t="s">
        <v>2097</v>
      </c>
      <c r="AE73" s="325" t="s">
        <v>2024</v>
      </c>
      <c r="AF73" s="327" t="s">
        <v>2098</v>
      </c>
      <c r="AG73" s="325" t="s">
        <v>2099</v>
      </c>
      <c r="AH73" s="113"/>
      <c r="AI73" s="113"/>
    </row>
    <row r="74" spans="20:35">
      <c r="AD74" s="207" t="s">
        <v>129</v>
      </c>
      <c r="AE74" s="205">
        <v>23</v>
      </c>
      <c r="AF74" s="215">
        <v>10286</v>
      </c>
      <c r="AG74" s="215">
        <v>1129</v>
      </c>
      <c r="AH74" s="2"/>
      <c r="AI74" s="2"/>
    </row>
    <row r="75" spans="20:35">
      <c r="AD75" s="207" t="s">
        <v>2100</v>
      </c>
      <c r="AE75" s="205" t="s">
        <v>546</v>
      </c>
      <c r="AF75" s="205">
        <v>7</v>
      </c>
      <c r="AG75" s="205">
        <v>18</v>
      </c>
      <c r="AH75" s="2"/>
      <c r="AI75" s="2"/>
    </row>
    <row r="76" spans="20:35">
      <c r="AD76" s="207" t="s">
        <v>2101</v>
      </c>
      <c r="AE76" s="205" t="s">
        <v>546</v>
      </c>
      <c r="AF76" s="205">
        <v>518</v>
      </c>
      <c r="AG76" s="205">
        <v>12</v>
      </c>
      <c r="AH76" s="2"/>
      <c r="AI76" s="2"/>
    </row>
    <row r="77" spans="20:35">
      <c r="AD77" s="207" t="s">
        <v>2102</v>
      </c>
      <c r="AE77" s="205">
        <v>1</v>
      </c>
      <c r="AF77" s="205">
        <v>48</v>
      </c>
      <c r="AG77" s="205">
        <v>9</v>
      </c>
      <c r="AH77" s="2"/>
      <c r="AI77" s="2"/>
    </row>
    <row r="78" spans="20:35">
      <c r="AD78" s="207" t="s">
        <v>2103</v>
      </c>
      <c r="AE78" s="205" t="s">
        <v>546</v>
      </c>
      <c r="AF78" s="215">
        <v>1132</v>
      </c>
      <c r="AG78" s="205">
        <v>40</v>
      </c>
      <c r="AH78" s="2"/>
      <c r="AI78" s="2"/>
    </row>
    <row r="79" spans="20:35">
      <c r="AD79" s="207" t="s">
        <v>2104</v>
      </c>
      <c r="AE79" s="205" t="s">
        <v>546</v>
      </c>
      <c r="AF79" s="205">
        <v>536</v>
      </c>
      <c r="AG79" s="205">
        <v>104</v>
      </c>
      <c r="AH79" s="2"/>
      <c r="AI79" s="2"/>
    </row>
    <row r="80" spans="20:35">
      <c r="AD80" s="207" t="s">
        <v>2105</v>
      </c>
      <c r="AE80" s="205" t="s">
        <v>546</v>
      </c>
      <c r="AF80" s="205">
        <v>1</v>
      </c>
      <c r="AG80" s="205">
        <v>1</v>
      </c>
      <c r="AH80" s="2"/>
      <c r="AI80" s="2"/>
    </row>
    <row r="81" spans="30:35">
      <c r="AD81" s="207" t="s">
        <v>2106</v>
      </c>
      <c r="AE81" s="205">
        <v>5</v>
      </c>
      <c r="AF81" s="205">
        <v>344</v>
      </c>
      <c r="AG81" s="205">
        <v>46</v>
      </c>
      <c r="AH81" s="2"/>
      <c r="AI81" s="2"/>
    </row>
    <row r="82" spans="30:35">
      <c r="AD82" s="207" t="s">
        <v>2107</v>
      </c>
      <c r="AE82" s="205" t="s">
        <v>546</v>
      </c>
      <c r="AF82" s="205">
        <v>10</v>
      </c>
      <c r="AG82" s="205">
        <v>4</v>
      </c>
      <c r="AH82" s="2"/>
      <c r="AI82" s="2"/>
    </row>
    <row r="83" spans="30:35">
      <c r="AD83" s="207" t="s">
        <v>2108</v>
      </c>
      <c r="AE83" s="205" t="s">
        <v>546</v>
      </c>
      <c r="AF83" s="215">
        <v>3413</v>
      </c>
      <c r="AG83" s="205">
        <v>19</v>
      </c>
      <c r="AH83" s="2"/>
      <c r="AI83" s="2"/>
    </row>
    <row r="84" spans="30:35">
      <c r="AD84" s="207" t="s">
        <v>2109</v>
      </c>
      <c r="AE84" s="205" t="s">
        <v>546</v>
      </c>
      <c r="AF84" s="215">
        <v>1082</v>
      </c>
      <c r="AG84" s="205">
        <v>66</v>
      </c>
      <c r="AH84" s="2"/>
      <c r="AI84" s="2"/>
    </row>
    <row r="85" spans="30:35">
      <c r="AD85" s="207" t="s">
        <v>2110</v>
      </c>
      <c r="AE85" s="205" t="s">
        <v>546</v>
      </c>
      <c r="AF85" s="205">
        <v>192</v>
      </c>
      <c r="AG85" s="205">
        <v>288</v>
      </c>
      <c r="AH85" s="2"/>
      <c r="AI85" s="2"/>
    </row>
    <row r="86" spans="30:35">
      <c r="AD86" s="207" t="s">
        <v>2111</v>
      </c>
      <c r="AE86" s="205" t="s">
        <v>546</v>
      </c>
      <c r="AF86" s="205">
        <v>116</v>
      </c>
      <c r="AG86" s="205">
        <v>15</v>
      </c>
      <c r="AH86" s="2"/>
      <c r="AI86" s="2"/>
    </row>
    <row r="87" spans="30:35">
      <c r="AD87" s="207" t="s">
        <v>2112</v>
      </c>
      <c r="AE87" s="205" t="s">
        <v>546</v>
      </c>
      <c r="AF87" s="205">
        <v>45</v>
      </c>
      <c r="AG87" s="205">
        <v>2</v>
      </c>
      <c r="AH87" s="2"/>
      <c r="AI87" s="2"/>
    </row>
    <row r="88" spans="30:35">
      <c r="AD88" s="207" t="s">
        <v>2113</v>
      </c>
      <c r="AE88" s="205" t="s">
        <v>546</v>
      </c>
      <c r="AF88" s="205">
        <v>1</v>
      </c>
      <c r="AG88" s="205">
        <v>4</v>
      </c>
      <c r="AH88" s="2"/>
      <c r="AI88" s="2"/>
    </row>
    <row r="89" spans="30:35">
      <c r="AD89" s="207" t="s">
        <v>2114</v>
      </c>
      <c r="AE89" s="205" t="s">
        <v>546</v>
      </c>
      <c r="AF89" s="205">
        <v>0</v>
      </c>
      <c r="AG89" s="205">
        <v>1</v>
      </c>
      <c r="AH89" s="2"/>
      <c r="AI89" s="2"/>
    </row>
    <row r="90" spans="30:35">
      <c r="AD90" s="207" t="s">
        <v>2115</v>
      </c>
      <c r="AE90" s="205" t="s">
        <v>546</v>
      </c>
      <c r="AF90" s="205">
        <v>24</v>
      </c>
      <c r="AG90" s="205">
        <v>7</v>
      </c>
      <c r="AH90" s="2"/>
      <c r="AI90" s="2"/>
    </row>
    <row r="91" spans="30:35">
      <c r="AD91" s="207" t="s">
        <v>2116</v>
      </c>
      <c r="AE91" s="205" t="s">
        <v>546</v>
      </c>
      <c r="AF91" s="205">
        <v>10</v>
      </c>
      <c r="AG91" s="205">
        <v>7</v>
      </c>
      <c r="AH91" s="2"/>
      <c r="AI91" s="2"/>
    </row>
    <row r="92" spans="30:35">
      <c r="AD92" s="207" t="s">
        <v>2117</v>
      </c>
      <c r="AE92" s="205">
        <v>7</v>
      </c>
      <c r="AF92" s="205">
        <v>82</v>
      </c>
      <c r="AG92" s="205">
        <v>28</v>
      </c>
      <c r="AH92" s="2"/>
      <c r="AI92" s="2"/>
    </row>
    <row r="93" spans="30:35">
      <c r="AD93" s="207" t="s">
        <v>2118</v>
      </c>
      <c r="AE93" s="205">
        <v>2</v>
      </c>
      <c r="AF93" s="205">
        <v>23</v>
      </c>
      <c r="AG93" s="205">
        <v>1</v>
      </c>
      <c r="AH93" s="2"/>
      <c r="AI93" s="2"/>
    </row>
    <row r="94" spans="30:35">
      <c r="AD94" s="207" t="s">
        <v>2119</v>
      </c>
      <c r="AE94" s="205" t="s">
        <v>546</v>
      </c>
      <c r="AF94" s="205">
        <v>0</v>
      </c>
      <c r="AG94" s="205">
        <v>1</v>
      </c>
      <c r="AH94" s="2"/>
      <c r="AI94" s="2"/>
    </row>
    <row r="95" spans="30:35">
      <c r="AD95" s="207" t="s">
        <v>2120</v>
      </c>
      <c r="AE95" s="205" t="s">
        <v>546</v>
      </c>
      <c r="AF95" s="205">
        <v>1</v>
      </c>
      <c r="AG95" s="205">
        <v>1</v>
      </c>
      <c r="AH95" s="2"/>
      <c r="AI95" s="2"/>
    </row>
    <row r="96" spans="30:35">
      <c r="AD96" s="207" t="s">
        <v>2121</v>
      </c>
      <c r="AE96" s="205">
        <v>1</v>
      </c>
      <c r="AF96" s="205">
        <v>12</v>
      </c>
      <c r="AG96" s="205">
        <v>2</v>
      </c>
      <c r="AH96" s="2"/>
      <c r="AI96" s="2"/>
    </row>
    <row r="97" spans="30:35">
      <c r="AD97" s="207" t="s">
        <v>2122</v>
      </c>
      <c r="AE97" s="205" t="s">
        <v>546</v>
      </c>
      <c r="AF97" s="205">
        <v>372</v>
      </c>
      <c r="AG97" s="205">
        <v>19</v>
      </c>
      <c r="AH97" s="2"/>
      <c r="AI97" s="2"/>
    </row>
    <row r="98" spans="30:35">
      <c r="AD98" s="207" t="s">
        <v>2123</v>
      </c>
      <c r="AE98" s="205" t="s">
        <v>546</v>
      </c>
      <c r="AF98" s="205">
        <v>44</v>
      </c>
      <c r="AG98" s="205">
        <v>3</v>
      </c>
      <c r="AH98" s="2"/>
      <c r="AI98" s="2"/>
    </row>
    <row r="99" spans="30:35">
      <c r="AD99" s="207" t="s">
        <v>2124</v>
      </c>
      <c r="AE99" s="205" t="s">
        <v>546</v>
      </c>
      <c r="AF99" s="205">
        <v>23</v>
      </c>
      <c r="AG99" s="205">
        <v>6</v>
      </c>
      <c r="AH99" s="2"/>
      <c r="AI99" s="2"/>
    </row>
    <row r="100" spans="30:35">
      <c r="AD100" s="207" t="s">
        <v>2125</v>
      </c>
      <c r="AE100" s="205" t="s">
        <v>546</v>
      </c>
      <c r="AF100" s="205">
        <v>322</v>
      </c>
      <c r="AG100" s="205">
        <v>8</v>
      </c>
      <c r="AH100" s="2"/>
      <c r="AI100" s="2"/>
    </row>
    <row r="101" spans="30:35">
      <c r="AD101" s="207" t="s">
        <v>2126</v>
      </c>
      <c r="AE101" s="205">
        <v>6</v>
      </c>
      <c r="AF101" s="205">
        <v>214</v>
      </c>
      <c r="AG101" s="205">
        <v>85</v>
      </c>
      <c r="AH101" s="2"/>
      <c r="AI101" s="2"/>
    </row>
    <row r="102" spans="30:35">
      <c r="AD102" s="207" t="s">
        <v>2127</v>
      </c>
      <c r="AE102" s="205" t="s">
        <v>546</v>
      </c>
      <c r="AF102" s="205">
        <v>239</v>
      </c>
      <c r="AG102" s="205">
        <v>9</v>
      </c>
      <c r="AH102" s="2"/>
      <c r="AI102" s="2"/>
    </row>
    <row r="103" spans="30:35">
      <c r="AD103" s="207" t="s">
        <v>2128</v>
      </c>
      <c r="AE103" s="205" t="s">
        <v>546</v>
      </c>
      <c r="AF103" s="205">
        <v>0</v>
      </c>
      <c r="AG103" s="205">
        <v>2</v>
      </c>
      <c r="AH103" s="2"/>
      <c r="AI103" s="2"/>
    </row>
    <row r="104" spans="30:35">
      <c r="AD104" s="207" t="s">
        <v>2129</v>
      </c>
      <c r="AE104" s="205" t="s">
        <v>546</v>
      </c>
      <c r="AF104" s="205">
        <v>49</v>
      </c>
      <c r="AG104" s="205">
        <v>10</v>
      </c>
      <c r="AH104" s="2"/>
      <c r="AI104" s="2"/>
    </row>
    <row r="105" spans="30:35">
      <c r="AD105" s="207" t="s">
        <v>2130</v>
      </c>
      <c r="AE105" s="205">
        <v>1</v>
      </c>
      <c r="AF105" s="205">
        <v>4</v>
      </c>
      <c r="AG105" s="205">
        <v>2</v>
      </c>
      <c r="AH105" s="2"/>
      <c r="AI105" s="2"/>
    </row>
    <row r="106" spans="30:35">
      <c r="AD106" s="207" t="s">
        <v>2131</v>
      </c>
      <c r="AE106" s="205" t="s">
        <v>546</v>
      </c>
      <c r="AF106" s="205">
        <v>504</v>
      </c>
      <c r="AG106" s="205">
        <v>24</v>
      </c>
      <c r="AH106" s="2"/>
      <c r="AI106" s="2"/>
    </row>
    <row r="107" spans="30:35">
      <c r="AD107" s="207" t="s">
        <v>2132</v>
      </c>
      <c r="AE107" s="3"/>
      <c r="AF107" s="205">
        <v>918</v>
      </c>
      <c r="AG107" s="205">
        <v>285</v>
      </c>
      <c r="AH107" s="2"/>
      <c r="AI107" s="2"/>
    </row>
    <row r="108" spans="30:35" ht="12" customHeight="1">
      <c r="AD108" s="60" t="s">
        <v>2133</v>
      </c>
      <c r="AE108" s="61"/>
      <c r="AF108" s="61"/>
      <c r="AG108" s="61"/>
      <c r="AH108" s="2"/>
      <c r="AI108" s="2"/>
    </row>
    <row r="109" spans="30:35" ht="12" customHeight="1">
      <c r="AD109" s="14" t="s">
        <v>2134</v>
      </c>
      <c r="AE109" s="14"/>
      <c r="AF109" s="14"/>
      <c r="AG109" s="14"/>
      <c r="AH109" s="2"/>
      <c r="AI109" s="2"/>
    </row>
    <row r="110" spans="30:35" ht="12" customHeight="1">
      <c r="AD110" s="14" t="s">
        <v>2135</v>
      </c>
      <c r="AE110" s="14"/>
      <c r="AF110" s="14"/>
      <c r="AG110" s="14"/>
      <c r="AH110" s="2"/>
      <c r="AI110" s="2"/>
    </row>
    <row r="111" spans="30:35" ht="12" customHeight="1">
      <c r="AD111" s="13" t="s">
        <v>2136</v>
      </c>
      <c r="AE111" s="14"/>
      <c r="AF111" s="14"/>
      <c r="AG111" s="14"/>
      <c r="AH111" s="2"/>
      <c r="AI111" s="2"/>
    </row>
    <row r="113" spans="30:33" ht="12" customHeight="1">
      <c r="AD113" s="219" t="s">
        <v>2137</v>
      </c>
      <c r="AE113" s="2"/>
      <c r="AF113" s="2"/>
      <c r="AG113" s="2"/>
    </row>
    <row r="114" spans="30:33" ht="12" customHeight="1">
      <c r="AD114" s="8"/>
      <c r="AE114" s="2029" t="s">
        <v>2138</v>
      </c>
      <c r="AF114" s="2030"/>
      <c r="AG114" s="2030"/>
    </row>
    <row r="115" spans="30:33" ht="12" customHeight="1">
      <c r="AD115" s="207" t="s">
        <v>2095</v>
      </c>
      <c r="AE115" s="330"/>
      <c r="AF115" s="332" t="s">
        <v>2096</v>
      </c>
      <c r="AG115" s="3"/>
    </row>
    <row r="116" spans="30:33" ht="12" customHeight="1">
      <c r="AD116" s="209" t="s">
        <v>2097</v>
      </c>
      <c r="AE116" s="331" t="s">
        <v>2024</v>
      </c>
      <c r="AF116" s="333" t="s">
        <v>2098</v>
      </c>
      <c r="AG116" s="213" t="s">
        <v>2099</v>
      </c>
    </row>
    <row r="117" spans="30:33" ht="12" customHeight="1">
      <c r="AD117" s="207" t="s">
        <v>129</v>
      </c>
      <c r="AE117" s="205">
        <v>62</v>
      </c>
      <c r="AF117" s="215">
        <v>14186</v>
      </c>
      <c r="AG117" s="215">
        <v>2680</v>
      </c>
    </row>
    <row r="118" spans="30:33" ht="12" customHeight="1">
      <c r="AD118" s="207" t="s">
        <v>2139</v>
      </c>
      <c r="AE118" s="205">
        <v>4</v>
      </c>
      <c r="AF118" s="205">
        <v>279</v>
      </c>
      <c r="AG118" s="205">
        <v>36</v>
      </c>
    </row>
    <row r="119" spans="30:33" ht="12" customHeight="1">
      <c r="AD119" s="207" t="s">
        <v>2140</v>
      </c>
      <c r="AE119" s="205" t="s">
        <v>546</v>
      </c>
      <c r="AF119" s="205">
        <v>295</v>
      </c>
      <c r="AG119" s="205">
        <v>150</v>
      </c>
    </row>
    <row r="120" spans="30:33" ht="12" customHeight="1">
      <c r="AD120" s="207" t="s">
        <v>2141</v>
      </c>
      <c r="AE120" s="205">
        <v>2</v>
      </c>
      <c r="AF120" s="205">
        <v>972</v>
      </c>
      <c r="AG120" s="205">
        <v>208</v>
      </c>
    </row>
    <row r="121" spans="30:33" ht="12" customHeight="1">
      <c r="AD121" s="207" t="s">
        <v>2142</v>
      </c>
      <c r="AE121" s="205">
        <v>3</v>
      </c>
      <c r="AF121" s="205">
        <v>298</v>
      </c>
      <c r="AG121" s="205">
        <v>77</v>
      </c>
    </row>
    <row r="122" spans="30:33" ht="12" customHeight="1">
      <c r="AD122" s="207" t="s">
        <v>2143</v>
      </c>
      <c r="AE122" s="205">
        <v>3</v>
      </c>
      <c r="AF122" s="215">
        <v>2390</v>
      </c>
      <c r="AG122" s="205">
        <v>150</v>
      </c>
    </row>
    <row r="123" spans="30:33" ht="12" customHeight="1">
      <c r="AD123" s="207" t="s">
        <v>2144</v>
      </c>
      <c r="AE123" s="205" t="s">
        <v>546</v>
      </c>
      <c r="AF123" s="205">
        <v>0</v>
      </c>
      <c r="AG123" s="205">
        <v>18</v>
      </c>
    </row>
    <row r="124" spans="30:33" ht="12" customHeight="1">
      <c r="AD124" s="207" t="s">
        <v>2145</v>
      </c>
      <c r="AE124" s="205">
        <v>1</v>
      </c>
      <c r="AF124" s="215">
        <v>1305</v>
      </c>
      <c r="AG124" s="205">
        <v>133</v>
      </c>
    </row>
    <row r="125" spans="30:33" ht="12" customHeight="1">
      <c r="AD125" s="207" t="s">
        <v>2146</v>
      </c>
      <c r="AE125" s="205" t="s">
        <v>546</v>
      </c>
      <c r="AF125" s="205">
        <v>113</v>
      </c>
      <c r="AG125" s="205">
        <v>45</v>
      </c>
    </row>
    <row r="126" spans="30:33" ht="12" customHeight="1">
      <c r="AD126" s="207" t="s">
        <v>2147</v>
      </c>
      <c r="AE126" s="3"/>
      <c r="AF126" s="3"/>
      <c r="AG126" s="3"/>
    </row>
    <row r="127" spans="30:33" ht="12" customHeight="1">
      <c r="AD127" s="207" t="s">
        <v>2148</v>
      </c>
      <c r="AE127" s="205" t="s">
        <v>546</v>
      </c>
      <c r="AF127" s="205" t="s">
        <v>546</v>
      </c>
      <c r="AG127" s="205">
        <v>28</v>
      </c>
    </row>
    <row r="128" spans="30:33" ht="12" customHeight="1">
      <c r="AD128" s="207" t="s">
        <v>2149</v>
      </c>
      <c r="AE128" s="205" t="s">
        <v>546</v>
      </c>
      <c r="AF128" s="205">
        <v>128</v>
      </c>
      <c r="AG128" s="205">
        <v>65</v>
      </c>
    </row>
    <row r="129" spans="30:33" ht="12" customHeight="1">
      <c r="AD129" s="207" t="s">
        <v>2150</v>
      </c>
      <c r="AE129" s="205">
        <v>4</v>
      </c>
      <c r="AF129" s="205">
        <v>276</v>
      </c>
      <c r="AG129" s="205">
        <v>250</v>
      </c>
    </row>
    <row r="130" spans="30:33" ht="12" customHeight="1">
      <c r="AD130" s="207" t="s">
        <v>2151</v>
      </c>
      <c r="AE130" s="205" t="s">
        <v>546</v>
      </c>
      <c r="AF130" s="205">
        <v>279</v>
      </c>
      <c r="AG130" s="205">
        <v>70</v>
      </c>
    </row>
    <row r="131" spans="30:33" ht="12" customHeight="1">
      <c r="AD131" s="207" t="s">
        <v>2152</v>
      </c>
      <c r="AE131" s="205" t="s">
        <v>546</v>
      </c>
      <c r="AF131" s="205">
        <v>76</v>
      </c>
      <c r="AG131" s="205">
        <v>46</v>
      </c>
    </row>
    <row r="132" spans="30:33" ht="12" customHeight="1">
      <c r="AD132" s="207" t="s">
        <v>2153</v>
      </c>
      <c r="AE132" s="205" t="s">
        <v>546</v>
      </c>
      <c r="AF132" s="205">
        <v>437</v>
      </c>
      <c r="AG132" s="205">
        <v>225</v>
      </c>
    </row>
    <row r="133" spans="30:33" ht="12" customHeight="1">
      <c r="AD133" s="207" t="s">
        <v>2154</v>
      </c>
      <c r="AE133" s="205" t="s">
        <v>546</v>
      </c>
      <c r="AF133" s="215">
        <v>4622</v>
      </c>
      <c r="AG133" s="205">
        <v>100</v>
      </c>
    </row>
    <row r="134" spans="30:33" ht="12" customHeight="1">
      <c r="AD134" s="207" t="s">
        <v>2155</v>
      </c>
      <c r="AE134" s="205" t="s">
        <v>546</v>
      </c>
      <c r="AF134" s="205" t="s">
        <v>546</v>
      </c>
      <c r="AG134" s="205">
        <v>248</v>
      </c>
    </row>
    <row r="135" spans="30:33" ht="12" customHeight="1">
      <c r="AD135" s="207" t="s">
        <v>2156</v>
      </c>
      <c r="AE135" s="205" t="s">
        <v>546</v>
      </c>
      <c r="AF135" s="205">
        <v>176</v>
      </c>
      <c r="AG135" s="205">
        <v>81</v>
      </c>
    </row>
    <row r="136" spans="30:33" ht="12" customHeight="1">
      <c r="AD136" s="207" t="s">
        <v>2157</v>
      </c>
      <c r="AE136" s="205">
        <v>2</v>
      </c>
      <c r="AF136" s="205">
        <v>109</v>
      </c>
      <c r="AG136" s="205">
        <v>31</v>
      </c>
    </row>
    <row r="137" spans="30:33" ht="12" customHeight="1">
      <c r="AD137" s="207" t="s">
        <v>2158</v>
      </c>
      <c r="AE137" s="205" t="s">
        <v>546</v>
      </c>
      <c r="AF137" s="205" t="s">
        <v>546</v>
      </c>
      <c r="AG137" s="205">
        <v>225</v>
      </c>
    </row>
    <row r="138" spans="30:33" ht="12" customHeight="1">
      <c r="AD138" s="207" t="s">
        <v>2159</v>
      </c>
      <c r="AE138" s="205">
        <v>9</v>
      </c>
      <c r="AF138" s="205">
        <v>959</v>
      </c>
      <c r="AG138" s="205">
        <v>88</v>
      </c>
    </row>
    <row r="139" spans="30:33" ht="12" customHeight="1">
      <c r="AD139" s="207" t="s">
        <v>2160</v>
      </c>
      <c r="AE139" s="205" t="s">
        <v>546</v>
      </c>
      <c r="AF139" s="205">
        <v>777</v>
      </c>
      <c r="AG139" s="205">
        <v>150</v>
      </c>
    </row>
    <row r="140" spans="30:33" ht="12" customHeight="1">
      <c r="AD140" s="207" t="s">
        <v>2161</v>
      </c>
      <c r="AE140" s="205" t="s">
        <v>546</v>
      </c>
      <c r="AF140" s="205">
        <v>7</v>
      </c>
      <c r="AG140" s="205">
        <v>177</v>
      </c>
    </row>
    <row r="141" spans="30:33" ht="12" customHeight="1">
      <c r="AD141" s="207" t="s">
        <v>2162</v>
      </c>
      <c r="AE141" s="205" t="s">
        <v>546</v>
      </c>
      <c r="AF141" s="205">
        <v>529</v>
      </c>
      <c r="AG141" s="205">
        <v>2</v>
      </c>
    </row>
    <row r="142" spans="30:33" ht="12" customHeight="1">
      <c r="AD142" s="209" t="s">
        <v>2163</v>
      </c>
      <c r="AE142" s="213">
        <v>1</v>
      </c>
      <c r="AF142" s="213">
        <v>159</v>
      </c>
      <c r="AG142" s="213">
        <v>77</v>
      </c>
    </row>
    <row r="143" spans="30:33" ht="12" customHeight="1">
      <c r="AD143" s="13" t="s">
        <v>2133</v>
      </c>
      <c r="AE143" s="14"/>
      <c r="AF143" s="14"/>
      <c r="AG143" s="14"/>
    </row>
    <row r="144" spans="30:33" ht="12" customHeight="1">
      <c r="AD144" s="14" t="s">
        <v>2134</v>
      </c>
      <c r="AE144" s="14"/>
      <c r="AF144" s="14"/>
      <c r="AG144" s="14"/>
    </row>
    <row r="145" spans="30:33" ht="12" customHeight="1">
      <c r="AD145" s="14" t="s">
        <v>2135</v>
      </c>
      <c r="AE145" s="14"/>
      <c r="AF145" s="14"/>
      <c r="AG145" s="14"/>
    </row>
    <row r="146" spans="30:33" ht="12" customHeight="1">
      <c r="AD146" s="14" t="s">
        <v>2136</v>
      </c>
      <c r="AE146" s="14"/>
      <c r="AF146" s="14"/>
      <c r="AG146" s="14"/>
    </row>
    <row r="147" spans="30:33" ht="12" customHeight="1"/>
    <row r="148" spans="30:33" ht="12" customHeight="1"/>
    <row r="149" spans="30:33" ht="12" customHeight="1"/>
    <row r="150" spans="30:33" ht="12" customHeight="1"/>
    <row r="151" spans="30:33" ht="12" customHeight="1"/>
    <row r="152" spans="30:33" ht="12" customHeight="1"/>
    <row r="153" spans="30:33" ht="12" customHeight="1"/>
    <row r="154" spans="30:33" ht="12" customHeight="1"/>
    <row r="155" spans="30:33" ht="12" customHeight="1"/>
    <row r="156" spans="30:33" ht="12" customHeight="1"/>
    <row r="157" spans="30:33" ht="12" customHeight="1"/>
    <row r="158" spans="30:33" ht="12" customHeight="1"/>
    <row r="159" spans="30:33" ht="12" customHeight="1"/>
    <row r="160" spans="30:33" ht="12" customHeight="1"/>
    <row r="161" ht="12" customHeight="1"/>
    <row r="162" ht="12" customHeight="1"/>
    <row r="163" ht="12" customHeight="1"/>
    <row r="164" ht="12" customHeight="1"/>
    <row r="165" ht="12" customHeight="1"/>
    <row r="166" ht="12" customHeight="1"/>
    <row r="167" ht="12" customHeight="1"/>
    <row r="168" ht="12" customHeight="1"/>
    <row r="169" ht="12" customHeight="1"/>
  </sheetData>
  <mergeCells count="12">
    <mergeCell ref="AE71:AG71"/>
    <mergeCell ref="AW26:AZ26"/>
    <mergeCell ref="AE114:AG114"/>
    <mergeCell ref="AL2:AM2"/>
    <mergeCell ref="AN2:AP2"/>
    <mergeCell ref="AQ2:AR2"/>
    <mergeCell ref="AS2:AT2"/>
    <mergeCell ref="B26:G26"/>
    <mergeCell ref="H41:I41"/>
    <mergeCell ref="H20:I20"/>
    <mergeCell ref="U2:X2"/>
    <mergeCell ref="Y2:A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E6F11-26F2-44A2-BC19-41B5A1AF12F8}">
  <sheetPr>
    <tabColor rgb="FFFFFF00"/>
  </sheetPr>
  <dimension ref="A1:BY141"/>
  <sheetViews>
    <sheetView showGridLines="0" topLeftCell="BA82" zoomScale="90" zoomScaleNormal="90" workbookViewId="0">
      <selection activeCell="AD51" sqref="AD51"/>
    </sheetView>
  </sheetViews>
  <sheetFormatPr defaultRowHeight="12.75"/>
  <cols>
    <col min="1" max="1" width="26.7109375" style="382" customWidth="1"/>
    <col min="2" max="9" width="9.140625" style="382"/>
    <col min="10" max="12" width="9.28515625" style="382" customWidth="1"/>
    <col min="13" max="13" width="35.140625" style="382" customWidth="1"/>
    <col min="14" max="17" width="12.7109375" style="382" customWidth="1"/>
    <col min="18" max="19" width="9.28515625" style="382" customWidth="1"/>
    <col min="20" max="20" width="9.140625" style="382"/>
    <col min="21" max="21" width="35.140625" style="382" customWidth="1"/>
    <col min="22" max="22" width="9.28515625" style="382" customWidth="1"/>
    <col min="23" max="24" width="9.28515625" style="382" bestFit="1" customWidth="1"/>
    <col min="25" max="25" width="9.42578125" style="382" bestFit="1" customWidth="1"/>
    <col min="26" max="26" width="9.28515625" style="382" bestFit="1" customWidth="1"/>
    <col min="27" max="27" width="9.28515625" style="382" customWidth="1"/>
    <col min="28" max="31" width="9.140625" style="382"/>
    <col min="32" max="32" width="12.7109375" style="382" customWidth="1"/>
    <col min="33" max="33" width="10.7109375" style="382" customWidth="1"/>
    <col min="34" max="34" width="14.7109375" style="382" customWidth="1"/>
    <col min="35" max="36" width="15.7109375" style="382" customWidth="1"/>
    <col min="37" max="39" width="9.140625" style="382"/>
    <col min="40" max="40" width="19.7109375" style="382" customWidth="1"/>
    <col min="41" max="52" width="9.140625" style="382"/>
    <col min="53" max="53" width="19.140625" style="382" customWidth="1"/>
    <col min="54" max="65" width="9.140625" style="382"/>
    <col min="66" max="66" width="28.7109375" style="382" customWidth="1"/>
    <col min="67" max="67" width="15.28515625" style="382" bestFit="1" customWidth="1"/>
    <col min="68" max="72" width="12.7109375" style="382" customWidth="1"/>
    <col min="73" max="75" width="11.85546875" style="382" customWidth="1"/>
    <col min="76" max="76" width="9.140625" style="382"/>
    <col min="77" max="77" width="12" style="382" bestFit="1" customWidth="1"/>
    <col min="78" max="256" width="9.140625" style="382"/>
    <col min="257" max="257" width="26.7109375" style="382" customWidth="1"/>
    <col min="258" max="265" width="9.140625" style="382"/>
    <col min="266" max="268" width="9.28515625" style="382" customWidth="1"/>
    <col min="269" max="269" width="35.140625" style="382" customWidth="1"/>
    <col min="270" max="273" width="12.7109375" style="382" customWidth="1"/>
    <col min="274" max="275" width="9.28515625" style="382" customWidth="1"/>
    <col min="276" max="276" width="9.140625" style="382"/>
    <col min="277" max="277" width="35.140625" style="382" customWidth="1"/>
    <col min="278" max="278" width="9.28515625" style="382" customWidth="1"/>
    <col min="279" max="280" width="9.28515625" style="382" bestFit="1" customWidth="1"/>
    <col min="281" max="281" width="9.42578125" style="382" bestFit="1" customWidth="1"/>
    <col min="282" max="282" width="9.28515625" style="382" bestFit="1" customWidth="1"/>
    <col min="283" max="283" width="9.28515625" style="382" customWidth="1"/>
    <col min="284" max="287" width="9.140625" style="382"/>
    <col min="288" max="288" width="12.7109375" style="382" customWidth="1"/>
    <col min="289" max="289" width="10.7109375" style="382" customWidth="1"/>
    <col min="290" max="290" width="14.7109375" style="382" customWidth="1"/>
    <col min="291" max="292" width="15.7109375" style="382" customWidth="1"/>
    <col min="293" max="295" width="9.140625" style="382"/>
    <col min="296" max="296" width="19.7109375" style="382" customWidth="1"/>
    <col min="297" max="308" width="9.140625" style="382"/>
    <col min="309" max="309" width="19.140625" style="382" customWidth="1"/>
    <col min="310" max="321" width="9.140625" style="382"/>
    <col min="322" max="322" width="28.7109375" style="382" customWidth="1"/>
    <col min="323" max="323" width="15.28515625" style="382" bestFit="1" customWidth="1"/>
    <col min="324" max="328" width="12.7109375" style="382" customWidth="1"/>
    <col min="329" max="331" width="11.85546875" style="382" customWidth="1"/>
    <col min="332" max="332" width="9.140625" style="382"/>
    <col min="333" max="333" width="12" style="382" bestFit="1" customWidth="1"/>
    <col min="334" max="512" width="9.140625" style="382"/>
    <col min="513" max="513" width="26.7109375" style="382" customWidth="1"/>
    <col min="514" max="521" width="9.140625" style="382"/>
    <col min="522" max="524" width="9.28515625" style="382" customWidth="1"/>
    <col min="525" max="525" width="35.140625" style="382" customWidth="1"/>
    <col min="526" max="529" width="12.7109375" style="382" customWidth="1"/>
    <col min="530" max="531" width="9.28515625" style="382" customWidth="1"/>
    <col min="532" max="532" width="9.140625" style="382"/>
    <col min="533" max="533" width="35.140625" style="382" customWidth="1"/>
    <col min="534" max="534" width="9.28515625" style="382" customWidth="1"/>
    <col min="535" max="536" width="9.28515625" style="382" bestFit="1" customWidth="1"/>
    <col min="537" max="537" width="9.42578125" style="382" bestFit="1" customWidth="1"/>
    <col min="538" max="538" width="9.28515625" style="382" bestFit="1" customWidth="1"/>
    <col min="539" max="539" width="9.28515625" style="382" customWidth="1"/>
    <col min="540" max="543" width="9.140625" style="382"/>
    <col min="544" max="544" width="12.7109375" style="382" customWidth="1"/>
    <col min="545" max="545" width="10.7109375" style="382" customWidth="1"/>
    <col min="546" max="546" width="14.7109375" style="382" customWidth="1"/>
    <col min="547" max="548" width="15.7109375" style="382" customWidth="1"/>
    <col min="549" max="551" width="9.140625" style="382"/>
    <col min="552" max="552" width="19.7109375" style="382" customWidth="1"/>
    <col min="553" max="564" width="9.140625" style="382"/>
    <col min="565" max="565" width="19.140625" style="382" customWidth="1"/>
    <col min="566" max="577" width="9.140625" style="382"/>
    <col min="578" max="578" width="28.7109375" style="382" customWidth="1"/>
    <col min="579" max="579" width="15.28515625" style="382" bestFit="1" customWidth="1"/>
    <col min="580" max="584" width="12.7109375" style="382" customWidth="1"/>
    <col min="585" max="587" width="11.85546875" style="382" customWidth="1"/>
    <col min="588" max="588" width="9.140625" style="382"/>
    <col min="589" max="589" width="12" style="382" bestFit="1" customWidth="1"/>
    <col min="590" max="768" width="9.140625" style="382"/>
    <col min="769" max="769" width="26.7109375" style="382" customWidth="1"/>
    <col min="770" max="777" width="9.140625" style="382"/>
    <col min="778" max="780" width="9.28515625" style="382" customWidth="1"/>
    <col min="781" max="781" width="35.140625" style="382" customWidth="1"/>
    <col min="782" max="785" width="12.7109375" style="382" customWidth="1"/>
    <col min="786" max="787" width="9.28515625" style="382" customWidth="1"/>
    <col min="788" max="788" width="9.140625" style="382"/>
    <col min="789" max="789" width="35.140625" style="382" customWidth="1"/>
    <col min="790" max="790" width="9.28515625" style="382" customWidth="1"/>
    <col min="791" max="792" width="9.28515625" style="382" bestFit="1" customWidth="1"/>
    <col min="793" max="793" width="9.42578125" style="382" bestFit="1" customWidth="1"/>
    <col min="794" max="794" width="9.28515625" style="382" bestFit="1" customWidth="1"/>
    <col min="795" max="795" width="9.28515625" style="382" customWidth="1"/>
    <col min="796" max="799" width="9.140625" style="382"/>
    <col min="800" max="800" width="12.7109375" style="382" customWidth="1"/>
    <col min="801" max="801" width="10.7109375" style="382" customWidth="1"/>
    <col min="802" max="802" width="14.7109375" style="382" customWidth="1"/>
    <col min="803" max="804" width="15.7109375" style="382" customWidth="1"/>
    <col min="805" max="807" width="9.140625" style="382"/>
    <col min="808" max="808" width="19.7109375" style="382" customWidth="1"/>
    <col min="809" max="820" width="9.140625" style="382"/>
    <col min="821" max="821" width="19.140625" style="382" customWidth="1"/>
    <col min="822" max="833" width="9.140625" style="382"/>
    <col min="834" max="834" width="28.7109375" style="382" customWidth="1"/>
    <col min="835" max="835" width="15.28515625" style="382" bestFit="1" customWidth="1"/>
    <col min="836" max="840" width="12.7109375" style="382" customWidth="1"/>
    <col min="841" max="843" width="11.85546875" style="382" customWidth="1"/>
    <col min="844" max="844" width="9.140625" style="382"/>
    <col min="845" max="845" width="12" style="382" bestFit="1" customWidth="1"/>
    <col min="846" max="1024" width="9.140625" style="382"/>
    <col min="1025" max="1025" width="26.7109375" style="382" customWidth="1"/>
    <col min="1026" max="1033" width="9.140625" style="382"/>
    <col min="1034" max="1036" width="9.28515625" style="382" customWidth="1"/>
    <col min="1037" max="1037" width="35.140625" style="382" customWidth="1"/>
    <col min="1038" max="1041" width="12.7109375" style="382" customWidth="1"/>
    <col min="1042" max="1043" width="9.28515625" style="382" customWidth="1"/>
    <col min="1044" max="1044" width="9.140625" style="382"/>
    <col min="1045" max="1045" width="35.140625" style="382" customWidth="1"/>
    <col min="1046" max="1046" width="9.28515625" style="382" customWidth="1"/>
    <col min="1047" max="1048" width="9.28515625" style="382" bestFit="1" customWidth="1"/>
    <col min="1049" max="1049" width="9.42578125" style="382" bestFit="1" customWidth="1"/>
    <col min="1050" max="1050" width="9.28515625" style="382" bestFit="1" customWidth="1"/>
    <col min="1051" max="1051" width="9.28515625" style="382" customWidth="1"/>
    <col min="1052" max="1055" width="9.140625" style="382"/>
    <col min="1056" max="1056" width="12.7109375" style="382" customWidth="1"/>
    <col min="1057" max="1057" width="10.7109375" style="382" customWidth="1"/>
    <col min="1058" max="1058" width="14.7109375" style="382" customWidth="1"/>
    <col min="1059" max="1060" width="15.7109375" style="382" customWidth="1"/>
    <col min="1061" max="1063" width="9.140625" style="382"/>
    <col min="1064" max="1064" width="19.7109375" style="382" customWidth="1"/>
    <col min="1065" max="1076" width="9.140625" style="382"/>
    <col min="1077" max="1077" width="19.140625" style="382" customWidth="1"/>
    <col min="1078" max="1089" width="9.140625" style="382"/>
    <col min="1090" max="1090" width="28.7109375" style="382" customWidth="1"/>
    <col min="1091" max="1091" width="15.28515625" style="382" bestFit="1" customWidth="1"/>
    <col min="1092" max="1096" width="12.7109375" style="382" customWidth="1"/>
    <col min="1097" max="1099" width="11.85546875" style="382" customWidth="1"/>
    <col min="1100" max="1100" width="9.140625" style="382"/>
    <col min="1101" max="1101" width="12" style="382" bestFit="1" customWidth="1"/>
    <col min="1102" max="1280" width="9.140625" style="382"/>
    <col min="1281" max="1281" width="26.7109375" style="382" customWidth="1"/>
    <col min="1282" max="1289" width="9.140625" style="382"/>
    <col min="1290" max="1292" width="9.28515625" style="382" customWidth="1"/>
    <col min="1293" max="1293" width="35.140625" style="382" customWidth="1"/>
    <col min="1294" max="1297" width="12.7109375" style="382" customWidth="1"/>
    <col min="1298" max="1299" width="9.28515625" style="382" customWidth="1"/>
    <col min="1300" max="1300" width="9.140625" style="382"/>
    <col min="1301" max="1301" width="35.140625" style="382" customWidth="1"/>
    <col min="1302" max="1302" width="9.28515625" style="382" customWidth="1"/>
    <col min="1303" max="1304" width="9.28515625" style="382" bestFit="1" customWidth="1"/>
    <col min="1305" max="1305" width="9.42578125" style="382" bestFit="1" customWidth="1"/>
    <col min="1306" max="1306" width="9.28515625" style="382" bestFit="1" customWidth="1"/>
    <col min="1307" max="1307" width="9.28515625" style="382" customWidth="1"/>
    <col min="1308" max="1311" width="9.140625" style="382"/>
    <col min="1312" max="1312" width="12.7109375" style="382" customWidth="1"/>
    <col min="1313" max="1313" width="10.7109375" style="382" customWidth="1"/>
    <col min="1314" max="1314" width="14.7109375" style="382" customWidth="1"/>
    <col min="1315" max="1316" width="15.7109375" style="382" customWidth="1"/>
    <col min="1317" max="1319" width="9.140625" style="382"/>
    <col min="1320" max="1320" width="19.7109375" style="382" customWidth="1"/>
    <col min="1321" max="1332" width="9.140625" style="382"/>
    <col min="1333" max="1333" width="19.140625" style="382" customWidth="1"/>
    <col min="1334" max="1345" width="9.140625" style="382"/>
    <col min="1346" max="1346" width="28.7109375" style="382" customWidth="1"/>
    <col min="1347" max="1347" width="15.28515625" style="382" bestFit="1" customWidth="1"/>
    <col min="1348" max="1352" width="12.7109375" style="382" customWidth="1"/>
    <col min="1353" max="1355" width="11.85546875" style="382" customWidth="1"/>
    <col min="1356" max="1356" width="9.140625" style="382"/>
    <col min="1357" max="1357" width="12" style="382" bestFit="1" customWidth="1"/>
    <col min="1358" max="1536" width="9.140625" style="382"/>
    <col min="1537" max="1537" width="26.7109375" style="382" customWidth="1"/>
    <col min="1538" max="1545" width="9.140625" style="382"/>
    <col min="1546" max="1548" width="9.28515625" style="382" customWidth="1"/>
    <col min="1549" max="1549" width="35.140625" style="382" customWidth="1"/>
    <col min="1550" max="1553" width="12.7109375" style="382" customWidth="1"/>
    <col min="1554" max="1555" width="9.28515625" style="382" customWidth="1"/>
    <col min="1556" max="1556" width="9.140625" style="382"/>
    <col min="1557" max="1557" width="35.140625" style="382" customWidth="1"/>
    <col min="1558" max="1558" width="9.28515625" style="382" customWidth="1"/>
    <col min="1559" max="1560" width="9.28515625" style="382" bestFit="1" customWidth="1"/>
    <col min="1561" max="1561" width="9.42578125" style="382" bestFit="1" customWidth="1"/>
    <col min="1562" max="1562" width="9.28515625" style="382" bestFit="1" customWidth="1"/>
    <col min="1563" max="1563" width="9.28515625" style="382" customWidth="1"/>
    <col min="1564" max="1567" width="9.140625" style="382"/>
    <col min="1568" max="1568" width="12.7109375" style="382" customWidth="1"/>
    <col min="1569" max="1569" width="10.7109375" style="382" customWidth="1"/>
    <col min="1570" max="1570" width="14.7109375" style="382" customWidth="1"/>
    <col min="1571" max="1572" width="15.7109375" style="382" customWidth="1"/>
    <col min="1573" max="1575" width="9.140625" style="382"/>
    <col min="1576" max="1576" width="19.7109375" style="382" customWidth="1"/>
    <col min="1577" max="1588" width="9.140625" style="382"/>
    <col min="1589" max="1589" width="19.140625" style="382" customWidth="1"/>
    <col min="1590" max="1601" width="9.140625" style="382"/>
    <col min="1602" max="1602" width="28.7109375" style="382" customWidth="1"/>
    <col min="1603" max="1603" width="15.28515625" style="382" bestFit="1" customWidth="1"/>
    <col min="1604" max="1608" width="12.7109375" style="382" customWidth="1"/>
    <col min="1609" max="1611" width="11.85546875" style="382" customWidth="1"/>
    <col min="1612" max="1612" width="9.140625" style="382"/>
    <col min="1613" max="1613" width="12" style="382" bestFit="1" customWidth="1"/>
    <col min="1614" max="1792" width="9.140625" style="382"/>
    <col min="1793" max="1793" width="26.7109375" style="382" customWidth="1"/>
    <col min="1794" max="1801" width="9.140625" style="382"/>
    <col min="1802" max="1804" width="9.28515625" style="382" customWidth="1"/>
    <col min="1805" max="1805" width="35.140625" style="382" customWidth="1"/>
    <col min="1806" max="1809" width="12.7109375" style="382" customWidth="1"/>
    <col min="1810" max="1811" width="9.28515625" style="382" customWidth="1"/>
    <col min="1812" max="1812" width="9.140625" style="382"/>
    <col min="1813" max="1813" width="35.140625" style="382" customWidth="1"/>
    <col min="1814" max="1814" width="9.28515625" style="382" customWidth="1"/>
    <col min="1815" max="1816" width="9.28515625" style="382" bestFit="1" customWidth="1"/>
    <col min="1817" max="1817" width="9.42578125" style="382" bestFit="1" customWidth="1"/>
    <col min="1818" max="1818" width="9.28515625" style="382" bestFit="1" customWidth="1"/>
    <col min="1819" max="1819" width="9.28515625" style="382" customWidth="1"/>
    <col min="1820" max="1823" width="9.140625" style="382"/>
    <col min="1824" max="1824" width="12.7109375" style="382" customWidth="1"/>
    <col min="1825" max="1825" width="10.7109375" style="382" customWidth="1"/>
    <col min="1826" max="1826" width="14.7109375" style="382" customWidth="1"/>
    <col min="1827" max="1828" width="15.7109375" style="382" customWidth="1"/>
    <col min="1829" max="1831" width="9.140625" style="382"/>
    <col min="1832" max="1832" width="19.7109375" style="382" customWidth="1"/>
    <col min="1833" max="1844" width="9.140625" style="382"/>
    <col min="1845" max="1845" width="19.140625" style="382" customWidth="1"/>
    <col min="1846" max="1857" width="9.140625" style="382"/>
    <col min="1858" max="1858" width="28.7109375" style="382" customWidth="1"/>
    <col min="1859" max="1859" width="15.28515625" style="382" bestFit="1" customWidth="1"/>
    <col min="1860" max="1864" width="12.7109375" style="382" customWidth="1"/>
    <col min="1865" max="1867" width="11.85546875" style="382" customWidth="1"/>
    <col min="1868" max="1868" width="9.140625" style="382"/>
    <col min="1869" max="1869" width="12" style="382" bestFit="1" customWidth="1"/>
    <col min="1870" max="2048" width="9.140625" style="382"/>
    <col min="2049" max="2049" width="26.7109375" style="382" customWidth="1"/>
    <col min="2050" max="2057" width="9.140625" style="382"/>
    <col min="2058" max="2060" width="9.28515625" style="382" customWidth="1"/>
    <col min="2061" max="2061" width="35.140625" style="382" customWidth="1"/>
    <col min="2062" max="2065" width="12.7109375" style="382" customWidth="1"/>
    <col min="2066" max="2067" width="9.28515625" style="382" customWidth="1"/>
    <col min="2068" max="2068" width="9.140625" style="382"/>
    <col min="2069" max="2069" width="35.140625" style="382" customWidth="1"/>
    <col min="2070" max="2070" width="9.28515625" style="382" customWidth="1"/>
    <col min="2071" max="2072" width="9.28515625" style="382" bestFit="1" customWidth="1"/>
    <col min="2073" max="2073" width="9.42578125" style="382" bestFit="1" customWidth="1"/>
    <col min="2074" max="2074" width="9.28515625" style="382" bestFit="1" customWidth="1"/>
    <col min="2075" max="2075" width="9.28515625" style="382" customWidth="1"/>
    <col min="2076" max="2079" width="9.140625" style="382"/>
    <col min="2080" max="2080" width="12.7109375" style="382" customWidth="1"/>
    <col min="2081" max="2081" width="10.7109375" style="382" customWidth="1"/>
    <col min="2082" max="2082" width="14.7109375" style="382" customWidth="1"/>
    <col min="2083" max="2084" width="15.7109375" style="382" customWidth="1"/>
    <col min="2085" max="2087" width="9.140625" style="382"/>
    <col min="2088" max="2088" width="19.7109375" style="382" customWidth="1"/>
    <col min="2089" max="2100" width="9.140625" style="382"/>
    <col min="2101" max="2101" width="19.140625" style="382" customWidth="1"/>
    <col min="2102" max="2113" width="9.140625" style="382"/>
    <col min="2114" max="2114" width="28.7109375" style="382" customWidth="1"/>
    <col min="2115" max="2115" width="15.28515625" style="382" bestFit="1" customWidth="1"/>
    <col min="2116" max="2120" width="12.7109375" style="382" customWidth="1"/>
    <col min="2121" max="2123" width="11.85546875" style="382" customWidth="1"/>
    <col min="2124" max="2124" width="9.140625" style="382"/>
    <col min="2125" max="2125" width="12" style="382" bestFit="1" customWidth="1"/>
    <col min="2126" max="2304" width="9.140625" style="382"/>
    <col min="2305" max="2305" width="26.7109375" style="382" customWidth="1"/>
    <col min="2306" max="2313" width="9.140625" style="382"/>
    <col min="2314" max="2316" width="9.28515625" style="382" customWidth="1"/>
    <col min="2317" max="2317" width="35.140625" style="382" customWidth="1"/>
    <col min="2318" max="2321" width="12.7109375" style="382" customWidth="1"/>
    <col min="2322" max="2323" width="9.28515625" style="382" customWidth="1"/>
    <col min="2324" max="2324" width="9.140625" style="382"/>
    <col min="2325" max="2325" width="35.140625" style="382" customWidth="1"/>
    <col min="2326" max="2326" width="9.28515625" style="382" customWidth="1"/>
    <col min="2327" max="2328" width="9.28515625" style="382" bestFit="1" customWidth="1"/>
    <col min="2329" max="2329" width="9.42578125" style="382" bestFit="1" customWidth="1"/>
    <col min="2330" max="2330" width="9.28515625" style="382" bestFit="1" customWidth="1"/>
    <col min="2331" max="2331" width="9.28515625" style="382" customWidth="1"/>
    <col min="2332" max="2335" width="9.140625" style="382"/>
    <col min="2336" max="2336" width="12.7109375" style="382" customWidth="1"/>
    <col min="2337" max="2337" width="10.7109375" style="382" customWidth="1"/>
    <col min="2338" max="2338" width="14.7109375" style="382" customWidth="1"/>
    <col min="2339" max="2340" width="15.7109375" style="382" customWidth="1"/>
    <col min="2341" max="2343" width="9.140625" style="382"/>
    <col min="2344" max="2344" width="19.7109375" style="382" customWidth="1"/>
    <col min="2345" max="2356" width="9.140625" style="382"/>
    <col min="2357" max="2357" width="19.140625" style="382" customWidth="1"/>
    <col min="2358" max="2369" width="9.140625" style="382"/>
    <col min="2370" max="2370" width="28.7109375" style="382" customWidth="1"/>
    <col min="2371" max="2371" width="15.28515625" style="382" bestFit="1" customWidth="1"/>
    <col min="2372" max="2376" width="12.7109375" style="382" customWidth="1"/>
    <col min="2377" max="2379" width="11.85546875" style="382" customWidth="1"/>
    <col min="2380" max="2380" width="9.140625" style="382"/>
    <col min="2381" max="2381" width="12" style="382" bestFit="1" customWidth="1"/>
    <col min="2382" max="2560" width="9.140625" style="382"/>
    <col min="2561" max="2561" width="26.7109375" style="382" customWidth="1"/>
    <col min="2562" max="2569" width="9.140625" style="382"/>
    <col min="2570" max="2572" width="9.28515625" style="382" customWidth="1"/>
    <col min="2573" max="2573" width="35.140625" style="382" customWidth="1"/>
    <col min="2574" max="2577" width="12.7109375" style="382" customWidth="1"/>
    <col min="2578" max="2579" width="9.28515625" style="382" customWidth="1"/>
    <col min="2580" max="2580" width="9.140625" style="382"/>
    <col min="2581" max="2581" width="35.140625" style="382" customWidth="1"/>
    <col min="2582" max="2582" width="9.28515625" style="382" customWidth="1"/>
    <col min="2583" max="2584" width="9.28515625" style="382" bestFit="1" customWidth="1"/>
    <col min="2585" max="2585" width="9.42578125" style="382" bestFit="1" customWidth="1"/>
    <col min="2586" max="2586" width="9.28515625" style="382" bestFit="1" customWidth="1"/>
    <col min="2587" max="2587" width="9.28515625" style="382" customWidth="1"/>
    <col min="2588" max="2591" width="9.140625" style="382"/>
    <col min="2592" max="2592" width="12.7109375" style="382" customWidth="1"/>
    <col min="2593" max="2593" width="10.7109375" style="382" customWidth="1"/>
    <col min="2594" max="2594" width="14.7109375" style="382" customWidth="1"/>
    <col min="2595" max="2596" width="15.7109375" style="382" customWidth="1"/>
    <col min="2597" max="2599" width="9.140625" style="382"/>
    <col min="2600" max="2600" width="19.7109375" style="382" customWidth="1"/>
    <col min="2601" max="2612" width="9.140625" style="382"/>
    <col min="2613" max="2613" width="19.140625" style="382" customWidth="1"/>
    <col min="2614" max="2625" width="9.140625" style="382"/>
    <col min="2626" max="2626" width="28.7109375" style="382" customWidth="1"/>
    <col min="2627" max="2627" width="15.28515625" style="382" bestFit="1" customWidth="1"/>
    <col min="2628" max="2632" width="12.7109375" style="382" customWidth="1"/>
    <col min="2633" max="2635" width="11.85546875" style="382" customWidth="1"/>
    <col min="2636" max="2636" width="9.140625" style="382"/>
    <col min="2637" max="2637" width="12" style="382" bestFit="1" customWidth="1"/>
    <col min="2638" max="2816" width="9.140625" style="382"/>
    <col min="2817" max="2817" width="26.7109375" style="382" customWidth="1"/>
    <col min="2818" max="2825" width="9.140625" style="382"/>
    <col min="2826" max="2828" width="9.28515625" style="382" customWidth="1"/>
    <col min="2829" max="2829" width="35.140625" style="382" customWidth="1"/>
    <col min="2830" max="2833" width="12.7109375" style="382" customWidth="1"/>
    <col min="2834" max="2835" width="9.28515625" style="382" customWidth="1"/>
    <col min="2836" max="2836" width="9.140625" style="382"/>
    <col min="2837" max="2837" width="35.140625" style="382" customWidth="1"/>
    <col min="2838" max="2838" width="9.28515625" style="382" customWidth="1"/>
    <col min="2839" max="2840" width="9.28515625" style="382" bestFit="1" customWidth="1"/>
    <col min="2841" max="2841" width="9.42578125" style="382" bestFit="1" customWidth="1"/>
    <col min="2842" max="2842" width="9.28515625" style="382" bestFit="1" customWidth="1"/>
    <col min="2843" max="2843" width="9.28515625" style="382" customWidth="1"/>
    <col min="2844" max="2847" width="9.140625" style="382"/>
    <col min="2848" max="2848" width="12.7109375" style="382" customWidth="1"/>
    <col min="2849" max="2849" width="10.7109375" style="382" customWidth="1"/>
    <col min="2850" max="2850" width="14.7109375" style="382" customWidth="1"/>
    <col min="2851" max="2852" width="15.7109375" style="382" customWidth="1"/>
    <col min="2853" max="2855" width="9.140625" style="382"/>
    <col min="2856" max="2856" width="19.7109375" style="382" customWidth="1"/>
    <col min="2857" max="2868" width="9.140625" style="382"/>
    <col min="2869" max="2869" width="19.140625" style="382" customWidth="1"/>
    <col min="2870" max="2881" width="9.140625" style="382"/>
    <col min="2882" max="2882" width="28.7109375" style="382" customWidth="1"/>
    <col min="2883" max="2883" width="15.28515625" style="382" bestFit="1" customWidth="1"/>
    <col min="2884" max="2888" width="12.7109375" style="382" customWidth="1"/>
    <col min="2889" max="2891" width="11.85546875" style="382" customWidth="1"/>
    <col min="2892" max="2892" width="9.140625" style="382"/>
    <col min="2893" max="2893" width="12" style="382" bestFit="1" customWidth="1"/>
    <col min="2894" max="3072" width="9.140625" style="382"/>
    <col min="3073" max="3073" width="26.7109375" style="382" customWidth="1"/>
    <col min="3074" max="3081" width="9.140625" style="382"/>
    <col min="3082" max="3084" width="9.28515625" style="382" customWidth="1"/>
    <col min="3085" max="3085" width="35.140625" style="382" customWidth="1"/>
    <col min="3086" max="3089" width="12.7109375" style="382" customWidth="1"/>
    <col min="3090" max="3091" width="9.28515625" style="382" customWidth="1"/>
    <col min="3092" max="3092" width="9.140625" style="382"/>
    <col min="3093" max="3093" width="35.140625" style="382" customWidth="1"/>
    <col min="3094" max="3094" width="9.28515625" style="382" customWidth="1"/>
    <col min="3095" max="3096" width="9.28515625" style="382" bestFit="1" customWidth="1"/>
    <col min="3097" max="3097" width="9.42578125" style="382" bestFit="1" customWidth="1"/>
    <col min="3098" max="3098" width="9.28515625" style="382" bestFit="1" customWidth="1"/>
    <col min="3099" max="3099" width="9.28515625" style="382" customWidth="1"/>
    <col min="3100" max="3103" width="9.140625" style="382"/>
    <col min="3104" max="3104" width="12.7109375" style="382" customWidth="1"/>
    <col min="3105" max="3105" width="10.7109375" style="382" customWidth="1"/>
    <col min="3106" max="3106" width="14.7109375" style="382" customWidth="1"/>
    <col min="3107" max="3108" width="15.7109375" style="382" customWidth="1"/>
    <col min="3109" max="3111" width="9.140625" style="382"/>
    <col min="3112" max="3112" width="19.7109375" style="382" customWidth="1"/>
    <col min="3113" max="3124" width="9.140625" style="382"/>
    <col min="3125" max="3125" width="19.140625" style="382" customWidth="1"/>
    <col min="3126" max="3137" width="9.140625" style="382"/>
    <col min="3138" max="3138" width="28.7109375" style="382" customWidth="1"/>
    <col min="3139" max="3139" width="15.28515625" style="382" bestFit="1" customWidth="1"/>
    <col min="3140" max="3144" width="12.7109375" style="382" customWidth="1"/>
    <col min="3145" max="3147" width="11.85546875" style="382" customWidth="1"/>
    <col min="3148" max="3148" width="9.140625" style="382"/>
    <col min="3149" max="3149" width="12" style="382" bestFit="1" customWidth="1"/>
    <col min="3150" max="3328" width="9.140625" style="382"/>
    <col min="3329" max="3329" width="26.7109375" style="382" customWidth="1"/>
    <col min="3330" max="3337" width="9.140625" style="382"/>
    <col min="3338" max="3340" width="9.28515625" style="382" customWidth="1"/>
    <col min="3341" max="3341" width="35.140625" style="382" customWidth="1"/>
    <col min="3342" max="3345" width="12.7109375" style="382" customWidth="1"/>
    <col min="3346" max="3347" width="9.28515625" style="382" customWidth="1"/>
    <col min="3348" max="3348" width="9.140625" style="382"/>
    <col min="3349" max="3349" width="35.140625" style="382" customWidth="1"/>
    <col min="3350" max="3350" width="9.28515625" style="382" customWidth="1"/>
    <col min="3351" max="3352" width="9.28515625" style="382" bestFit="1" customWidth="1"/>
    <col min="3353" max="3353" width="9.42578125" style="382" bestFit="1" customWidth="1"/>
    <col min="3354" max="3354" width="9.28515625" style="382" bestFit="1" customWidth="1"/>
    <col min="3355" max="3355" width="9.28515625" style="382" customWidth="1"/>
    <col min="3356" max="3359" width="9.140625" style="382"/>
    <col min="3360" max="3360" width="12.7109375" style="382" customWidth="1"/>
    <col min="3361" max="3361" width="10.7109375" style="382" customWidth="1"/>
    <col min="3362" max="3362" width="14.7109375" style="382" customWidth="1"/>
    <col min="3363" max="3364" width="15.7109375" style="382" customWidth="1"/>
    <col min="3365" max="3367" width="9.140625" style="382"/>
    <col min="3368" max="3368" width="19.7109375" style="382" customWidth="1"/>
    <col min="3369" max="3380" width="9.140625" style="382"/>
    <col min="3381" max="3381" width="19.140625" style="382" customWidth="1"/>
    <col min="3382" max="3393" width="9.140625" style="382"/>
    <col min="3394" max="3394" width="28.7109375" style="382" customWidth="1"/>
    <col min="3395" max="3395" width="15.28515625" style="382" bestFit="1" customWidth="1"/>
    <col min="3396" max="3400" width="12.7109375" style="382" customWidth="1"/>
    <col min="3401" max="3403" width="11.85546875" style="382" customWidth="1"/>
    <col min="3404" max="3404" width="9.140625" style="382"/>
    <col min="3405" max="3405" width="12" style="382" bestFit="1" customWidth="1"/>
    <col min="3406" max="3584" width="9.140625" style="382"/>
    <col min="3585" max="3585" width="26.7109375" style="382" customWidth="1"/>
    <col min="3586" max="3593" width="9.140625" style="382"/>
    <col min="3594" max="3596" width="9.28515625" style="382" customWidth="1"/>
    <col min="3597" max="3597" width="35.140625" style="382" customWidth="1"/>
    <col min="3598" max="3601" width="12.7109375" style="382" customWidth="1"/>
    <col min="3602" max="3603" width="9.28515625" style="382" customWidth="1"/>
    <col min="3604" max="3604" width="9.140625" style="382"/>
    <col min="3605" max="3605" width="35.140625" style="382" customWidth="1"/>
    <col min="3606" max="3606" width="9.28515625" style="382" customWidth="1"/>
    <col min="3607" max="3608" width="9.28515625" style="382" bestFit="1" customWidth="1"/>
    <col min="3609" max="3609" width="9.42578125" style="382" bestFit="1" customWidth="1"/>
    <col min="3610" max="3610" width="9.28515625" style="382" bestFit="1" customWidth="1"/>
    <col min="3611" max="3611" width="9.28515625" style="382" customWidth="1"/>
    <col min="3612" max="3615" width="9.140625" style="382"/>
    <col min="3616" max="3616" width="12.7109375" style="382" customWidth="1"/>
    <col min="3617" max="3617" width="10.7109375" style="382" customWidth="1"/>
    <col min="3618" max="3618" width="14.7109375" style="382" customWidth="1"/>
    <col min="3619" max="3620" width="15.7109375" style="382" customWidth="1"/>
    <col min="3621" max="3623" width="9.140625" style="382"/>
    <col min="3624" max="3624" width="19.7109375" style="382" customWidth="1"/>
    <col min="3625" max="3636" width="9.140625" style="382"/>
    <col min="3637" max="3637" width="19.140625" style="382" customWidth="1"/>
    <col min="3638" max="3649" width="9.140625" style="382"/>
    <col min="3650" max="3650" width="28.7109375" style="382" customWidth="1"/>
    <col min="3651" max="3651" width="15.28515625" style="382" bestFit="1" customWidth="1"/>
    <col min="3652" max="3656" width="12.7109375" style="382" customWidth="1"/>
    <col min="3657" max="3659" width="11.85546875" style="382" customWidth="1"/>
    <col min="3660" max="3660" width="9.140625" style="382"/>
    <col min="3661" max="3661" width="12" style="382" bestFit="1" customWidth="1"/>
    <col min="3662" max="3840" width="9.140625" style="382"/>
    <col min="3841" max="3841" width="26.7109375" style="382" customWidth="1"/>
    <col min="3842" max="3849" width="9.140625" style="382"/>
    <col min="3850" max="3852" width="9.28515625" style="382" customWidth="1"/>
    <col min="3853" max="3853" width="35.140625" style="382" customWidth="1"/>
    <col min="3854" max="3857" width="12.7109375" style="382" customWidth="1"/>
    <col min="3858" max="3859" width="9.28515625" style="382" customWidth="1"/>
    <col min="3860" max="3860" width="9.140625" style="382"/>
    <col min="3861" max="3861" width="35.140625" style="382" customWidth="1"/>
    <col min="3862" max="3862" width="9.28515625" style="382" customWidth="1"/>
    <col min="3863" max="3864" width="9.28515625" style="382" bestFit="1" customWidth="1"/>
    <col min="3865" max="3865" width="9.42578125" style="382" bestFit="1" customWidth="1"/>
    <col min="3866" max="3866" width="9.28515625" style="382" bestFit="1" customWidth="1"/>
    <col min="3867" max="3867" width="9.28515625" style="382" customWidth="1"/>
    <col min="3868" max="3871" width="9.140625" style="382"/>
    <col min="3872" max="3872" width="12.7109375" style="382" customWidth="1"/>
    <col min="3873" max="3873" width="10.7109375" style="382" customWidth="1"/>
    <col min="3874" max="3874" width="14.7109375" style="382" customWidth="1"/>
    <col min="3875" max="3876" width="15.7109375" style="382" customWidth="1"/>
    <col min="3877" max="3879" width="9.140625" style="382"/>
    <col min="3880" max="3880" width="19.7109375" style="382" customWidth="1"/>
    <col min="3881" max="3892" width="9.140625" style="382"/>
    <col min="3893" max="3893" width="19.140625" style="382" customWidth="1"/>
    <col min="3894" max="3905" width="9.140625" style="382"/>
    <col min="3906" max="3906" width="28.7109375" style="382" customWidth="1"/>
    <col min="3907" max="3907" width="15.28515625" style="382" bestFit="1" customWidth="1"/>
    <col min="3908" max="3912" width="12.7109375" style="382" customWidth="1"/>
    <col min="3913" max="3915" width="11.85546875" style="382" customWidth="1"/>
    <col min="3916" max="3916" width="9.140625" style="382"/>
    <col min="3917" max="3917" width="12" style="382" bestFit="1" customWidth="1"/>
    <col min="3918" max="4096" width="9.140625" style="382"/>
    <col min="4097" max="4097" width="26.7109375" style="382" customWidth="1"/>
    <col min="4098" max="4105" width="9.140625" style="382"/>
    <col min="4106" max="4108" width="9.28515625" style="382" customWidth="1"/>
    <col min="4109" max="4109" width="35.140625" style="382" customWidth="1"/>
    <col min="4110" max="4113" width="12.7109375" style="382" customWidth="1"/>
    <col min="4114" max="4115" width="9.28515625" style="382" customWidth="1"/>
    <col min="4116" max="4116" width="9.140625" style="382"/>
    <col min="4117" max="4117" width="35.140625" style="382" customWidth="1"/>
    <col min="4118" max="4118" width="9.28515625" style="382" customWidth="1"/>
    <col min="4119" max="4120" width="9.28515625" style="382" bestFit="1" customWidth="1"/>
    <col min="4121" max="4121" width="9.42578125" style="382" bestFit="1" customWidth="1"/>
    <col min="4122" max="4122" width="9.28515625" style="382" bestFit="1" customWidth="1"/>
    <col min="4123" max="4123" width="9.28515625" style="382" customWidth="1"/>
    <col min="4124" max="4127" width="9.140625" style="382"/>
    <col min="4128" max="4128" width="12.7109375" style="382" customWidth="1"/>
    <col min="4129" max="4129" width="10.7109375" style="382" customWidth="1"/>
    <col min="4130" max="4130" width="14.7109375" style="382" customWidth="1"/>
    <col min="4131" max="4132" width="15.7109375" style="382" customWidth="1"/>
    <col min="4133" max="4135" width="9.140625" style="382"/>
    <col min="4136" max="4136" width="19.7109375" style="382" customWidth="1"/>
    <col min="4137" max="4148" width="9.140625" style="382"/>
    <col min="4149" max="4149" width="19.140625" style="382" customWidth="1"/>
    <col min="4150" max="4161" width="9.140625" style="382"/>
    <col min="4162" max="4162" width="28.7109375" style="382" customWidth="1"/>
    <col min="4163" max="4163" width="15.28515625" style="382" bestFit="1" customWidth="1"/>
    <col min="4164" max="4168" width="12.7109375" style="382" customWidth="1"/>
    <col min="4169" max="4171" width="11.85546875" style="382" customWidth="1"/>
    <col min="4172" max="4172" width="9.140625" style="382"/>
    <col min="4173" max="4173" width="12" style="382" bestFit="1" customWidth="1"/>
    <col min="4174" max="4352" width="9.140625" style="382"/>
    <col min="4353" max="4353" width="26.7109375" style="382" customWidth="1"/>
    <col min="4354" max="4361" width="9.140625" style="382"/>
    <col min="4362" max="4364" width="9.28515625" style="382" customWidth="1"/>
    <col min="4365" max="4365" width="35.140625" style="382" customWidth="1"/>
    <col min="4366" max="4369" width="12.7109375" style="382" customWidth="1"/>
    <col min="4370" max="4371" width="9.28515625" style="382" customWidth="1"/>
    <col min="4372" max="4372" width="9.140625" style="382"/>
    <col min="4373" max="4373" width="35.140625" style="382" customWidth="1"/>
    <col min="4374" max="4374" width="9.28515625" style="382" customWidth="1"/>
    <col min="4375" max="4376" width="9.28515625" style="382" bestFit="1" customWidth="1"/>
    <col min="4377" max="4377" width="9.42578125" style="382" bestFit="1" customWidth="1"/>
    <col min="4378" max="4378" width="9.28515625" style="382" bestFit="1" customWidth="1"/>
    <col min="4379" max="4379" width="9.28515625" style="382" customWidth="1"/>
    <col min="4380" max="4383" width="9.140625" style="382"/>
    <col min="4384" max="4384" width="12.7109375" style="382" customWidth="1"/>
    <col min="4385" max="4385" width="10.7109375" style="382" customWidth="1"/>
    <col min="4386" max="4386" width="14.7109375" style="382" customWidth="1"/>
    <col min="4387" max="4388" width="15.7109375" style="382" customWidth="1"/>
    <col min="4389" max="4391" width="9.140625" style="382"/>
    <col min="4392" max="4392" width="19.7109375" style="382" customWidth="1"/>
    <col min="4393" max="4404" width="9.140625" style="382"/>
    <col min="4405" max="4405" width="19.140625" style="382" customWidth="1"/>
    <col min="4406" max="4417" width="9.140625" style="382"/>
    <col min="4418" max="4418" width="28.7109375" style="382" customWidth="1"/>
    <col min="4419" max="4419" width="15.28515625" style="382" bestFit="1" customWidth="1"/>
    <col min="4420" max="4424" width="12.7109375" style="382" customWidth="1"/>
    <col min="4425" max="4427" width="11.85546875" style="382" customWidth="1"/>
    <col min="4428" max="4428" width="9.140625" style="382"/>
    <col min="4429" max="4429" width="12" style="382" bestFit="1" customWidth="1"/>
    <col min="4430" max="4608" width="9.140625" style="382"/>
    <col min="4609" max="4609" width="26.7109375" style="382" customWidth="1"/>
    <col min="4610" max="4617" width="9.140625" style="382"/>
    <col min="4618" max="4620" width="9.28515625" style="382" customWidth="1"/>
    <col min="4621" max="4621" width="35.140625" style="382" customWidth="1"/>
    <col min="4622" max="4625" width="12.7109375" style="382" customWidth="1"/>
    <col min="4626" max="4627" width="9.28515625" style="382" customWidth="1"/>
    <col min="4628" max="4628" width="9.140625" style="382"/>
    <col min="4629" max="4629" width="35.140625" style="382" customWidth="1"/>
    <col min="4630" max="4630" width="9.28515625" style="382" customWidth="1"/>
    <col min="4631" max="4632" width="9.28515625" style="382" bestFit="1" customWidth="1"/>
    <col min="4633" max="4633" width="9.42578125" style="382" bestFit="1" customWidth="1"/>
    <col min="4634" max="4634" width="9.28515625" style="382" bestFit="1" customWidth="1"/>
    <col min="4635" max="4635" width="9.28515625" style="382" customWidth="1"/>
    <col min="4636" max="4639" width="9.140625" style="382"/>
    <col min="4640" max="4640" width="12.7109375" style="382" customWidth="1"/>
    <col min="4641" max="4641" width="10.7109375" style="382" customWidth="1"/>
    <col min="4642" max="4642" width="14.7109375" style="382" customWidth="1"/>
    <col min="4643" max="4644" width="15.7109375" style="382" customWidth="1"/>
    <col min="4645" max="4647" width="9.140625" style="382"/>
    <col min="4648" max="4648" width="19.7109375" style="382" customWidth="1"/>
    <col min="4649" max="4660" width="9.140625" style="382"/>
    <col min="4661" max="4661" width="19.140625" style="382" customWidth="1"/>
    <col min="4662" max="4673" width="9.140625" style="382"/>
    <col min="4674" max="4674" width="28.7109375" style="382" customWidth="1"/>
    <col min="4675" max="4675" width="15.28515625" style="382" bestFit="1" customWidth="1"/>
    <col min="4676" max="4680" width="12.7109375" style="382" customWidth="1"/>
    <col min="4681" max="4683" width="11.85546875" style="382" customWidth="1"/>
    <col min="4684" max="4684" width="9.140625" style="382"/>
    <col min="4685" max="4685" width="12" style="382" bestFit="1" customWidth="1"/>
    <col min="4686" max="4864" width="9.140625" style="382"/>
    <col min="4865" max="4865" width="26.7109375" style="382" customWidth="1"/>
    <col min="4866" max="4873" width="9.140625" style="382"/>
    <col min="4874" max="4876" width="9.28515625" style="382" customWidth="1"/>
    <col min="4877" max="4877" width="35.140625" style="382" customWidth="1"/>
    <col min="4878" max="4881" width="12.7109375" style="382" customWidth="1"/>
    <col min="4882" max="4883" width="9.28515625" style="382" customWidth="1"/>
    <col min="4884" max="4884" width="9.140625" style="382"/>
    <col min="4885" max="4885" width="35.140625" style="382" customWidth="1"/>
    <col min="4886" max="4886" width="9.28515625" style="382" customWidth="1"/>
    <col min="4887" max="4888" width="9.28515625" style="382" bestFit="1" customWidth="1"/>
    <col min="4889" max="4889" width="9.42578125" style="382" bestFit="1" customWidth="1"/>
    <col min="4890" max="4890" width="9.28515625" style="382" bestFit="1" customWidth="1"/>
    <col min="4891" max="4891" width="9.28515625" style="382" customWidth="1"/>
    <col min="4892" max="4895" width="9.140625" style="382"/>
    <col min="4896" max="4896" width="12.7109375" style="382" customWidth="1"/>
    <col min="4897" max="4897" width="10.7109375" style="382" customWidth="1"/>
    <col min="4898" max="4898" width="14.7109375" style="382" customWidth="1"/>
    <col min="4899" max="4900" width="15.7109375" style="382" customWidth="1"/>
    <col min="4901" max="4903" width="9.140625" style="382"/>
    <col min="4904" max="4904" width="19.7109375" style="382" customWidth="1"/>
    <col min="4905" max="4916" width="9.140625" style="382"/>
    <col min="4917" max="4917" width="19.140625" style="382" customWidth="1"/>
    <col min="4918" max="4929" width="9.140625" style="382"/>
    <col min="4930" max="4930" width="28.7109375" style="382" customWidth="1"/>
    <col min="4931" max="4931" width="15.28515625" style="382" bestFit="1" customWidth="1"/>
    <col min="4932" max="4936" width="12.7109375" style="382" customWidth="1"/>
    <col min="4937" max="4939" width="11.85546875" style="382" customWidth="1"/>
    <col min="4940" max="4940" width="9.140625" style="382"/>
    <col min="4941" max="4941" width="12" style="382" bestFit="1" customWidth="1"/>
    <col min="4942" max="5120" width="9.140625" style="382"/>
    <col min="5121" max="5121" width="26.7109375" style="382" customWidth="1"/>
    <col min="5122" max="5129" width="9.140625" style="382"/>
    <col min="5130" max="5132" width="9.28515625" style="382" customWidth="1"/>
    <col min="5133" max="5133" width="35.140625" style="382" customWidth="1"/>
    <col min="5134" max="5137" width="12.7109375" style="382" customWidth="1"/>
    <col min="5138" max="5139" width="9.28515625" style="382" customWidth="1"/>
    <col min="5140" max="5140" width="9.140625" style="382"/>
    <col min="5141" max="5141" width="35.140625" style="382" customWidth="1"/>
    <col min="5142" max="5142" width="9.28515625" style="382" customWidth="1"/>
    <col min="5143" max="5144" width="9.28515625" style="382" bestFit="1" customWidth="1"/>
    <col min="5145" max="5145" width="9.42578125" style="382" bestFit="1" customWidth="1"/>
    <col min="5146" max="5146" width="9.28515625" style="382" bestFit="1" customWidth="1"/>
    <col min="5147" max="5147" width="9.28515625" style="382" customWidth="1"/>
    <col min="5148" max="5151" width="9.140625" style="382"/>
    <col min="5152" max="5152" width="12.7109375" style="382" customWidth="1"/>
    <col min="5153" max="5153" width="10.7109375" style="382" customWidth="1"/>
    <col min="5154" max="5154" width="14.7109375" style="382" customWidth="1"/>
    <col min="5155" max="5156" width="15.7109375" style="382" customWidth="1"/>
    <col min="5157" max="5159" width="9.140625" style="382"/>
    <col min="5160" max="5160" width="19.7109375" style="382" customWidth="1"/>
    <col min="5161" max="5172" width="9.140625" style="382"/>
    <col min="5173" max="5173" width="19.140625" style="382" customWidth="1"/>
    <col min="5174" max="5185" width="9.140625" style="382"/>
    <col min="5186" max="5186" width="28.7109375" style="382" customWidth="1"/>
    <col min="5187" max="5187" width="15.28515625" style="382" bestFit="1" customWidth="1"/>
    <col min="5188" max="5192" width="12.7109375" style="382" customWidth="1"/>
    <col min="5193" max="5195" width="11.85546875" style="382" customWidth="1"/>
    <col min="5196" max="5196" width="9.140625" style="382"/>
    <col min="5197" max="5197" width="12" style="382" bestFit="1" customWidth="1"/>
    <col min="5198" max="5376" width="9.140625" style="382"/>
    <col min="5377" max="5377" width="26.7109375" style="382" customWidth="1"/>
    <col min="5378" max="5385" width="9.140625" style="382"/>
    <col min="5386" max="5388" width="9.28515625" style="382" customWidth="1"/>
    <col min="5389" max="5389" width="35.140625" style="382" customWidth="1"/>
    <col min="5390" max="5393" width="12.7109375" style="382" customWidth="1"/>
    <col min="5394" max="5395" width="9.28515625" style="382" customWidth="1"/>
    <col min="5396" max="5396" width="9.140625" style="382"/>
    <col min="5397" max="5397" width="35.140625" style="382" customWidth="1"/>
    <col min="5398" max="5398" width="9.28515625" style="382" customWidth="1"/>
    <col min="5399" max="5400" width="9.28515625" style="382" bestFit="1" customWidth="1"/>
    <col min="5401" max="5401" width="9.42578125" style="382" bestFit="1" customWidth="1"/>
    <col min="5402" max="5402" width="9.28515625" style="382" bestFit="1" customWidth="1"/>
    <col min="5403" max="5403" width="9.28515625" style="382" customWidth="1"/>
    <col min="5404" max="5407" width="9.140625" style="382"/>
    <col min="5408" max="5408" width="12.7109375" style="382" customWidth="1"/>
    <col min="5409" max="5409" width="10.7109375" style="382" customWidth="1"/>
    <col min="5410" max="5410" width="14.7109375" style="382" customWidth="1"/>
    <col min="5411" max="5412" width="15.7109375" style="382" customWidth="1"/>
    <col min="5413" max="5415" width="9.140625" style="382"/>
    <col min="5416" max="5416" width="19.7109375" style="382" customWidth="1"/>
    <col min="5417" max="5428" width="9.140625" style="382"/>
    <col min="5429" max="5429" width="19.140625" style="382" customWidth="1"/>
    <col min="5430" max="5441" width="9.140625" style="382"/>
    <col min="5442" max="5442" width="28.7109375" style="382" customWidth="1"/>
    <col min="5443" max="5443" width="15.28515625" style="382" bestFit="1" customWidth="1"/>
    <col min="5444" max="5448" width="12.7109375" style="382" customWidth="1"/>
    <col min="5449" max="5451" width="11.85546875" style="382" customWidth="1"/>
    <col min="5452" max="5452" width="9.140625" style="382"/>
    <col min="5453" max="5453" width="12" style="382" bestFit="1" customWidth="1"/>
    <col min="5454" max="5632" width="9.140625" style="382"/>
    <col min="5633" max="5633" width="26.7109375" style="382" customWidth="1"/>
    <col min="5634" max="5641" width="9.140625" style="382"/>
    <col min="5642" max="5644" width="9.28515625" style="382" customWidth="1"/>
    <col min="5645" max="5645" width="35.140625" style="382" customWidth="1"/>
    <col min="5646" max="5649" width="12.7109375" style="382" customWidth="1"/>
    <col min="5650" max="5651" width="9.28515625" style="382" customWidth="1"/>
    <col min="5652" max="5652" width="9.140625" style="382"/>
    <col min="5653" max="5653" width="35.140625" style="382" customWidth="1"/>
    <col min="5654" max="5654" width="9.28515625" style="382" customWidth="1"/>
    <col min="5655" max="5656" width="9.28515625" style="382" bestFit="1" customWidth="1"/>
    <col min="5657" max="5657" width="9.42578125" style="382" bestFit="1" customWidth="1"/>
    <col min="5658" max="5658" width="9.28515625" style="382" bestFit="1" customWidth="1"/>
    <col min="5659" max="5659" width="9.28515625" style="382" customWidth="1"/>
    <col min="5660" max="5663" width="9.140625" style="382"/>
    <col min="5664" max="5664" width="12.7109375" style="382" customWidth="1"/>
    <col min="5665" max="5665" width="10.7109375" style="382" customWidth="1"/>
    <col min="5666" max="5666" width="14.7109375" style="382" customWidth="1"/>
    <col min="5667" max="5668" width="15.7109375" style="382" customWidth="1"/>
    <col min="5669" max="5671" width="9.140625" style="382"/>
    <col min="5672" max="5672" width="19.7109375" style="382" customWidth="1"/>
    <col min="5673" max="5684" width="9.140625" style="382"/>
    <col min="5685" max="5685" width="19.140625" style="382" customWidth="1"/>
    <col min="5686" max="5697" width="9.140625" style="382"/>
    <col min="5698" max="5698" width="28.7109375" style="382" customWidth="1"/>
    <col min="5699" max="5699" width="15.28515625" style="382" bestFit="1" customWidth="1"/>
    <col min="5700" max="5704" width="12.7109375" style="382" customWidth="1"/>
    <col min="5705" max="5707" width="11.85546875" style="382" customWidth="1"/>
    <col min="5708" max="5708" width="9.140625" style="382"/>
    <col min="5709" max="5709" width="12" style="382" bestFit="1" customWidth="1"/>
    <col min="5710" max="5888" width="9.140625" style="382"/>
    <col min="5889" max="5889" width="26.7109375" style="382" customWidth="1"/>
    <col min="5890" max="5897" width="9.140625" style="382"/>
    <col min="5898" max="5900" width="9.28515625" style="382" customWidth="1"/>
    <col min="5901" max="5901" width="35.140625" style="382" customWidth="1"/>
    <col min="5902" max="5905" width="12.7109375" style="382" customWidth="1"/>
    <col min="5906" max="5907" width="9.28515625" style="382" customWidth="1"/>
    <col min="5908" max="5908" width="9.140625" style="382"/>
    <col min="5909" max="5909" width="35.140625" style="382" customWidth="1"/>
    <col min="5910" max="5910" width="9.28515625" style="382" customWidth="1"/>
    <col min="5911" max="5912" width="9.28515625" style="382" bestFit="1" customWidth="1"/>
    <col min="5913" max="5913" width="9.42578125" style="382" bestFit="1" customWidth="1"/>
    <col min="5914" max="5914" width="9.28515625" style="382" bestFit="1" customWidth="1"/>
    <col min="5915" max="5915" width="9.28515625" style="382" customWidth="1"/>
    <col min="5916" max="5919" width="9.140625" style="382"/>
    <col min="5920" max="5920" width="12.7109375" style="382" customWidth="1"/>
    <col min="5921" max="5921" width="10.7109375" style="382" customWidth="1"/>
    <col min="5922" max="5922" width="14.7109375" style="382" customWidth="1"/>
    <col min="5923" max="5924" width="15.7109375" style="382" customWidth="1"/>
    <col min="5925" max="5927" width="9.140625" style="382"/>
    <col min="5928" max="5928" width="19.7109375" style="382" customWidth="1"/>
    <col min="5929" max="5940" width="9.140625" style="382"/>
    <col min="5941" max="5941" width="19.140625" style="382" customWidth="1"/>
    <col min="5942" max="5953" width="9.140625" style="382"/>
    <col min="5954" max="5954" width="28.7109375" style="382" customWidth="1"/>
    <col min="5955" max="5955" width="15.28515625" style="382" bestFit="1" customWidth="1"/>
    <col min="5956" max="5960" width="12.7109375" style="382" customWidth="1"/>
    <col min="5961" max="5963" width="11.85546875" style="382" customWidth="1"/>
    <col min="5964" max="5964" width="9.140625" style="382"/>
    <col min="5965" max="5965" width="12" style="382" bestFit="1" customWidth="1"/>
    <col min="5966" max="6144" width="9.140625" style="382"/>
    <col min="6145" max="6145" width="26.7109375" style="382" customWidth="1"/>
    <col min="6146" max="6153" width="9.140625" style="382"/>
    <col min="6154" max="6156" width="9.28515625" style="382" customWidth="1"/>
    <col min="6157" max="6157" width="35.140625" style="382" customWidth="1"/>
    <col min="6158" max="6161" width="12.7109375" style="382" customWidth="1"/>
    <col min="6162" max="6163" width="9.28515625" style="382" customWidth="1"/>
    <col min="6164" max="6164" width="9.140625" style="382"/>
    <col min="6165" max="6165" width="35.140625" style="382" customWidth="1"/>
    <col min="6166" max="6166" width="9.28515625" style="382" customWidth="1"/>
    <col min="6167" max="6168" width="9.28515625" style="382" bestFit="1" customWidth="1"/>
    <col min="6169" max="6169" width="9.42578125" style="382" bestFit="1" customWidth="1"/>
    <col min="6170" max="6170" width="9.28515625" style="382" bestFit="1" customWidth="1"/>
    <col min="6171" max="6171" width="9.28515625" style="382" customWidth="1"/>
    <col min="6172" max="6175" width="9.140625" style="382"/>
    <col min="6176" max="6176" width="12.7109375" style="382" customWidth="1"/>
    <col min="6177" max="6177" width="10.7109375" style="382" customWidth="1"/>
    <col min="6178" max="6178" width="14.7109375" style="382" customWidth="1"/>
    <col min="6179" max="6180" width="15.7109375" style="382" customWidth="1"/>
    <col min="6181" max="6183" width="9.140625" style="382"/>
    <col min="6184" max="6184" width="19.7109375" style="382" customWidth="1"/>
    <col min="6185" max="6196" width="9.140625" style="382"/>
    <col min="6197" max="6197" width="19.140625" style="382" customWidth="1"/>
    <col min="6198" max="6209" width="9.140625" style="382"/>
    <col min="6210" max="6210" width="28.7109375" style="382" customWidth="1"/>
    <col min="6211" max="6211" width="15.28515625" style="382" bestFit="1" customWidth="1"/>
    <col min="6212" max="6216" width="12.7109375" style="382" customWidth="1"/>
    <col min="6217" max="6219" width="11.85546875" style="382" customWidth="1"/>
    <col min="6220" max="6220" width="9.140625" style="382"/>
    <col min="6221" max="6221" width="12" style="382" bestFit="1" customWidth="1"/>
    <col min="6222" max="6400" width="9.140625" style="382"/>
    <col min="6401" max="6401" width="26.7109375" style="382" customWidth="1"/>
    <col min="6402" max="6409" width="9.140625" style="382"/>
    <col min="6410" max="6412" width="9.28515625" style="382" customWidth="1"/>
    <col min="6413" max="6413" width="35.140625" style="382" customWidth="1"/>
    <col min="6414" max="6417" width="12.7109375" style="382" customWidth="1"/>
    <col min="6418" max="6419" width="9.28515625" style="382" customWidth="1"/>
    <col min="6420" max="6420" width="9.140625" style="382"/>
    <col min="6421" max="6421" width="35.140625" style="382" customWidth="1"/>
    <col min="6422" max="6422" width="9.28515625" style="382" customWidth="1"/>
    <col min="6423" max="6424" width="9.28515625" style="382" bestFit="1" customWidth="1"/>
    <col min="6425" max="6425" width="9.42578125" style="382" bestFit="1" customWidth="1"/>
    <col min="6426" max="6426" width="9.28515625" style="382" bestFit="1" customWidth="1"/>
    <col min="6427" max="6427" width="9.28515625" style="382" customWidth="1"/>
    <col min="6428" max="6431" width="9.140625" style="382"/>
    <col min="6432" max="6432" width="12.7109375" style="382" customWidth="1"/>
    <col min="6433" max="6433" width="10.7109375" style="382" customWidth="1"/>
    <col min="6434" max="6434" width="14.7109375" style="382" customWidth="1"/>
    <col min="6435" max="6436" width="15.7109375" style="382" customWidth="1"/>
    <col min="6437" max="6439" width="9.140625" style="382"/>
    <col min="6440" max="6440" width="19.7109375" style="382" customWidth="1"/>
    <col min="6441" max="6452" width="9.140625" style="382"/>
    <col min="6453" max="6453" width="19.140625" style="382" customWidth="1"/>
    <col min="6454" max="6465" width="9.140625" style="382"/>
    <col min="6466" max="6466" width="28.7109375" style="382" customWidth="1"/>
    <col min="6467" max="6467" width="15.28515625" style="382" bestFit="1" customWidth="1"/>
    <col min="6468" max="6472" width="12.7109375" style="382" customWidth="1"/>
    <col min="6473" max="6475" width="11.85546875" style="382" customWidth="1"/>
    <col min="6476" max="6476" width="9.140625" style="382"/>
    <col min="6477" max="6477" width="12" style="382" bestFit="1" customWidth="1"/>
    <col min="6478" max="6656" width="9.140625" style="382"/>
    <col min="6657" max="6657" width="26.7109375" style="382" customWidth="1"/>
    <col min="6658" max="6665" width="9.140625" style="382"/>
    <col min="6666" max="6668" width="9.28515625" style="382" customWidth="1"/>
    <col min="6669" max="6669" width="35.140625" style="382" customWidth="1"/>
    <col min="6670" max="6673" width="12.7109375" style="382" customWidth="1"/>
    <col min="6674" max="6675" width="9.28515625" style="382" customWidth="1"/>
    <col min="6676" max="6676" width="9.140625" style="382"/>
    <col min="6677" max="6677" width="35.140625" style="382" customWidth="1"/>
    <col min="6678" max="6678" width="9.28515625" style="382" customWidth="1"/>
    <col min="6679" max="6680" width="9.28515625" style="382" bestFit="1" customWidth="1"/>
    <col min="6681" max="6681" width="9.42578125" style="382" bestFit="1" customWidth="1"/>
    <col min="6682" max="6682" width="9.28515625" style="382" bestFit="1" customWidth="1"/>
    <col min="6683" max="6683" width="9.28515625" style="382" customWidth="1"/>
    <col min="6684" max="6687" width="9.140625" style="382"/>
    <col min="6688" max="6688" width="12.7109375" style="382" customWidth="1"/>
    <col min="6689" max="6689" width="10.7109375" style="382" customWidth="1"/>
    <col min="6690" max="6690" width="14.7109375" style="382" customWidth="1"/>
    <col min="6691" max="6692" width="15.7109375" style="382" customWidth="1"/>
    <col min="6693" max="6695" width="9.140625" style="382"/>
    <col min="6696" max="6696" width="19.7109375" style="382" customWidth="1"/>
    <col min="6697" max="6708" width="9.140625" style="382"/>
    <col min="6709" max="6709" width="19.140625" style="382" customWidth="1"/>
    <col min="6710" max="6721" width="9.140625" style="382"/>
    <col min="6722" max="6722" width="28.7109375" style="382" customWidth="1"/>
    <col min="6723" max="6723" width="15.28515625" style="382" bestFit="1" customWidth="1"/>
    <col min="6724" max="6728" width="12.7109375" style="382" customWidth="1"/>
    <col min="6729" max="6731" width="11.85546875" style="382" customWidth="1"/>
    <col min="6732" max="6732" width="9.140625" style="382"/>
    <col min="6733" max="6733" width="12" style="382" bestFit="1" customWidth="1"/>
    <col min="6734" max="6912" width="9.140625" style="382"/>
    <col min="6913" max="6913" width="26.7109375" style="382" customWidth="1"/>
    <col min="6914" max="6921" width="9.140625" style="382"/>
    <col min="6922" max="6924" width="9.28515625" style="382" customWidth="1"/>
    <col min="6925" max="6925" width="35.140625" style="382" customWidth="1"/>
    <col min="6926" max="6929" width="12.7109375" style="382" customWidth="1"/>
    <col min="6930" max="6931" width="9.28515625" style="382" customWidth="1"/>
    <col min="6932" max="6932" width="9.140625" style="382"/>
    <col min="6933" max="6933" width="35.140625" style="382" customWidth="1"/>
    <col min="6934" max="6934" width="9.28515625" style="382" customWidth="1"/>
    <col min="6935" max="6936" width="9.28515625" style="382" bestFit="1" customWidth="1"/>
    <col min="6937" max="6937" width="9.42578125" style="382" bestFit="1" customWidth="1"/>
    <col min="6938" max="6938" width="9.28515625" style="382" bestFit="1" customWidth="1"/>
    <col min="6939" max="6939" width="9.28515625" style="382" customWidth="1"/>
    <col min="6940" max="6943" width="9.140625" style="382"/>
    <col min="6944" max="6944" width="12.7109375" style="382" customWidth="1"/>
    <col min="6945" max="6945" width="10.7109375" style="382" customWidth="1"/>
    <col min="6946" max="6946" width="14.7109375" style="382" customWidth="1"/>
    <col min="6947" max="6948" width="15.7109375" style="382" customWidth="1"/>
    <col min="6949" max="6951" width="9.140625" style="382"/>
    <col min="6952" max="6952" width="19.7109375" style="382" customWidth="1"/>
    <col min="6953" max="6964" width="9.140625" style="382"/>
    <col min="6965" max="6965" width="19.140625" style="382" customWidth="1"/>
    <col min="6966" max="6977" width="9.140625" style="382"/>
    <col min="6978" max="6978" width="28.7109375" style="382" customWidth="1"/>
    <col min="6979" max="6979" width="15.28515625" style="382" bestFit="1" customWidth="1"/>
    <col min="6980" max="6984" width="12.7109375" style="382" customWidth="1"/>
    <col min="6985" max="6987" width="11.85546875" style="382" customWidth="1"/>
    <col min="6988" max="6988" width="9.140625" style="382"/>
    <col min="6989" max="6989" width="12" style="382" bestFit="1" customWidth="1"/>
    <col min="6990" max="7168" width="9.140625" style="382"/>
    <col min="7169" max="7169" width="26.7109375" style="382" customWidth="1"/>
    <col min="7170" max="7177" width="9.140625" style="382"/>
    <col min="7178" max="7180" width="9.28515625" style="382" customWidth="1"/>
    <col min="7181" max="7181" width="35.140625" style="382" customWidth="1"/>
    <col min="7182" max="7185" width="12.7109375" style="382" customWidth="1"/>
    <col min="7186" max="7187" width="9.28515625" style="382" customWidth="1"/>
    <col min="7188" max="7188" width="9.140625" style="382"/>
    <col min="7189" max="7189" width="35.140625" style="382" customWidth="1"/>
    <col min="7190" max="7190" width="9.28515625" style="382" customWidth="1"/>
    <col min="7191" max="7192" width="9.28515625" style="382" bestFit="1" customWidth="1"/>
    <col min="7193" max="7193" width="9.42578125" style="382" bestFit="1" customWidth="1"/>
    <col min="7194" max="7194" width="9.28515625" style="382" bestFit="1" customWidth="1"/>
    <col min="7195" max="7195" width="9.28515625" style="382" customWidth="1"/>
    <col min="7196" max="7199" width="9.140625" style="382"/>
    <col min="7200" max="7200" width="12.7109375" style="382" customWidth="1"/>
    <col min="7201" max="7201" width="10.7109375" style="382" customWidth="1"/>
    <col min="7202" max="7202" width="14.7109375" style="382" customWidth="1"/>
    <col min="7203" max="7204" width="15.7109375" style="382" customWidth="1"/>
    <col min="7205" max="7207" width="9.140625" style="382"/>
    <col min="7208" max="7208" width="19.7109375" style="382" customWidth="1"/>
    <col min="7209" max="7220" width="9.140625" style="382"/>
    <col min="7221" max="7221" width="19.140625" style="382" customWidth="1"/>
    <col min="7222" max="7233" width="9.140625" style="382"/>
    <col min="7234" max="7234" width="28.7109375" style="382" customWidth="1"/>
    <col min="7235" max="7235" width="15.28515625" style="382" bestFit="1" customWidth="1"/>
    <col min="7236" max="7240" width="12.7109375" style="382" customWidth="1"/>
    <col min="7241" max="7243" width="11.85546875" style="382" customWidth="1"/>
    <col min="7244" max="7244" width="9.140625" style="382"/>
    <col min="7245" max="7245" width="12" style="382" bestFit="1" customWidth="1"/>
    <col min="7246" max="7424" width="9.140625" style="382"/>
    <col min="7425" max="7425" width="26.7109375" style="382" customWidth="1"/>
    <col min="7426" max="7433" width="9.140625" style="382"/>
    <col min="7434" max="7436" width="9.28515625" style="382" customWidth="1"/>
    <col min="7437" max="7437" width="35.140625" style="382" customWidth="1"/>
    <col min="7438" max="7441" width="12.7109375" style="382" customWidth="1"/>
    <col min="7442" max="7443" width="9.28515625" style="382" customWidth="1"/>
    <col min="7444" max="7444" width="9.140625" style="382"/>
    <col min="7445" max="7445" width="35.140625" style="382" customWidth="1"/>
    <col min="7446" max="7446" width="9.28515625" style="382" customWidth="1"/>
    <col min="7447" max="7448" width="9.28515625" style="382" bestFit="1" customWidth="1"/>
    <col min="7449" max="7449" width="9.42578125" style="382" bestFit="1" customWidth="1"/>
    <col min="7450" max="7450" width="9.28515625" style="382" bestFit="1" customWidth="1"/>
    <col min="7451" max="7451" width="9.28515625" style="382" customWidth="1"/>
    <col min="7452" max="7455" width="9.140625" style="382"/>
    <col min="7456" max="7456" width="12.7109375" style="382" customWidth="1"/>
    <col min="7457" max="7457" width="10.7109375" style="382" customWidth="1"/>
    <col min="7458" max="7458" width="14.7109375" style="382" customWidth="1"/>
    <col min="7459" max="7460" width="15.7109375" style="382" customWidth="1"/>
    <col min="7461" max="7463" width="9.140625" style="382"/>
    <col min="7464" max="7464" width="19.7109375" style="382" customWidth="1"/>
    <col min="7465" max="7476" width="9.140625" style="382"/>
    <col min="7477" max="7477" width="19.140625" style="382" customWidth="1"/>
    <col min="7478" max="7489" width="9.140625" style="382"/>
    <col min="7490" max="7490" width="28.7109375" style="382" customWidth="1"/>
    <col min="7491" max="7491" width="15.28515625" style="382" bestFit="1" customWidth="1"/>
    <col min="7492" max="7496" width="12.7109375" style="382" customWidth="1"/>
    <col min="7497" max="7499" width="11.85546875" style="382" customWidth="1"/>
    <col min="7500" max="7500" width="9.140625" style="382"/>
    <col min="7501" max="7501" width="12" style="382" bestFit="1" customWidth="1"/>
    <col min="7502" max="7680" width="9.140625" style="382"/>
    <col min="7681" max="7681" width="26.7109375" style="382" customWidth="1"/>
    <col min="7682" max="7689" width="9.140625" style="382"/>
    <col min="7690" max="7692" width="9.28515625" style="382" customWidth="1"/>
    <col min="7693" max="7693" width="35.140625" style="382" customWidth="1"/>
    <col min="7694" max="7697" width="12.7109375" style="382" customWidth="1"/>
    <col min="7698" max="7699" width="9.28515625" style="382" customWidth="1"/>
    <col min="7700" max="7700" width="9.140625" style="382"/>
    <col min="7701" max="7701" width="35.140625" style="382" customWidth="1"/>
    <col min="7702" max="7702" width="9.28515625" style="382" customWidth="1"/>
    <col min="7703" max="7704" width="9.28515625" style="382" bestFit="1" customWidth="1"/>
    <col min="7705" max="7705" width="9.42578125" style="382" bestFit="1" customWidth="1"/>
    <col min="7706" max="7706" width="9.28515625" style="382" bestFit="1" customWidth="1"/>
    <col min="7707" max="7707" width="9.28515625" style="382" customWidth="1"/>
    <col min="7708" max="7711" width="9.140625" style="382"/>
    <col min="7712" max="7712" width="12.7109375" style="382" customWidth="1"/>
    <col min="7713" max="7713" width="10.7109375" style="382" customWidth="1"/>
    <col min="7714" max="7714" width="14.7109375" style="382" customWidth="1"/>
    <col min="7715" max="7716" width="15.7109375" style="382" customWidth="1"/>
    <col min="7717" max="7719" width="9.140625" style="382"/>
    <col min="7720" max="7720" width="19.7109375" style="382" customWidth="1"/>
    <col min="7721" max="7732" width="9.140625" style="382"/>
    <col min="7733" max="7733" width="19.140625" style="382" customWidth="1"/>
    <col min="7734" max="7745" width="9.140625" style="382"/>
    <col min="7746" max="7746" width="28.7109375" style="382" customWidth="1"/>
    <col min="7747" max="7747" width="15.28515625" style="382" bestFit="1" customWidth="1"/>
    <col min="7748" max="7752" width="12.7109375" style="382" customWidth="1"/>
    <col min="7753" max="7755" width="11.85546875" style="382" customWidth="1"/>
    <col min="7756" max="7756" width="9.140625" style="382"/>
    <col min="7757" max="7757" width="12" style="382" bestFit="1" customWidth="1"/>
    <col min="7758" max="7936" width="9.140625" style="382"/>
    <col min="7937" max="7937" width="26.7109375" style="382" customWidth="1"/>
    <col min="7938" max="7945" width="9.140625" style="382"/>
    <col min="7946" max="7948" width="9.28515625" style="382" customWidth="1"/>
    <col min="7949" max="7949" width="35.140625" style="382" customWidth="1"/>
    <col min="7950" max="7953" width="12.7109375" style="382" customWidth="1"/>
    <col min="7954" max="7955" width="9.28515625" style="382" customWidth="1"/>
    <col min="7956" max="7956" width="9.140625" style="382"/>
    <col min="7957" max="7957" width="35.140625" style="382" customWidth="1"/>
    <col min="7958" max="7958" width="9.28515625" style="382" customWidth="1"/>
    <col min="7959" max="7960" width="9.28515625" style="382" bestFit="1" customWidth="1"/>
    <col min="7961" max="7961" width="9.42578125" style="382" bestFit="1" customWidth="1"/>
    <col min="7962" max="7962" width="9.28515625" style="382" bestFit="1" customWidth="1"/>
    <col min="7963" max="7963" width="9.28515625" style="382" customWidth="1"/>
    <col min="7964" max="7967" width="9.140625" style="382"/>
    <col min="7968" max="7968" width="12.7109375" style="382" customWidth="1"/>
    <col min="7969" max="7969" width="10.7109375" style="382" customWidth="1"/>
    <col min="7970" max="7970" width="14.7109375" style="382" customWidth="1"/>
    <col min="7971" max="7972" width="15.7109375" style="382" customWidth="1"/>
    <col min="7973" max="7975" width="9.140625" style="382"/>
    <col min="7976" max="7976" width="19.7109375" style="382" customWidth="1"/>
    <col min="7977" max="7988" width="9.140625" style="382"/>
    <col min="7989" max="7989" width="19.140625" style="382" customWidth="1"/>
    <col min="7990" max="8001" width="9.140625" style="382"/>
    <col min="8002" max="8002" width="28.7109375" style="382" customWidth="1"/>
    <col min="8003" max="8003" width="15.28515625" style="382" bestFit="1" customWidth="1"/>
    <col min="8004" max="8008" width="12.7109375" style="382" customWidth="1"/>
    <col min="8009" max="8011" width="11.85546875" style="382" customWidth="1"/>
    <col min="8012" max="8012" width="9.140625" style="382"/>
    <col min="8013" max="8013" width="12" style="382" bestFit="1" customWidth="1"/>
    <col min="8014" max="8192" width="9.140625" style="382"/>
    <col min="8193" max="8193" width="26.7109375" style="382" customWidth="1"/>
    <col min="8194" max="8201" width="9.140625" style="382"/>
    <col min="8202" max="8204" width="9.28515625" style="382" customWidth="1"/>
    <col min="8205" max="8205" width="35.140625" style="382" customWidth="1"/>
    <col min="8206" max="8209" width="12.7109375" style="382" customWidth="1"/>
    <col min="8210" max="8211" width="9.28515625" style="382" customWidth="1"/>
    <col min="8212" max="8212" width="9.140625" style="382"/>
    <col min="8213" max="8213" width="35.140625" style="382" customWidth="1"/>
    <col min="8214" max="8214" width="9.28515625" style="382" customWidth="1"/>
    <col min="8215" max="8216" width="9.28515625" style="382" bestFit="1" customWidth="1"/>
    <col min="8217" max="8217" width="9.42578125" style="382" bestFit="1" customWidth="1"/>
    <col min="8218" max="8218" width="9.28515625" style="382" bestFit="1" customWidth="1"/>
    <col min="8219" max="8219" width="9.28515625" style="382" customWidth="1"/>
    <col min="8220" max="8223" width="9.140625" style="382"/>
    <col min="8224" max="8224" width="12.7109375" style="382" customWidth="1"/>
    <col min="8225" max="8225" width="10.7109375" style="382" customWidth="1"/>
    <col min="8226" max="8226" width="14.7109375" style="382" customWidth="1"/>
    <col min="8227" max="8228" width="15.7109375" style="382" customWidth="1"/>
    <col min="8229" max="8231" width="9.140625" style="382"/>
    <col min="8232" max="8232" width="19.7109375" style="382" customWidth="1"/>
    <col min="8233" max="8244" width="9.140625" style="382"/>
    <col min="8245" max="8245" width="19.140625" style="382" customWidth="1"/>
    <col min="8246" max="8257" width="9.140625" style="382"/>
    <col min="8258" max="8258" width="28.7109375" style="382" customWidth="1"/>
    <col min="8259" max="8259" width="15.28515625" style="382" bestFit="1" customWidth="1"/>
    <col min="8260" max="8264" width="12.7109375" style="382" customWidth="1"/>
    <col min="8265" max="8267" width="11.85546875" style="382" customWidth="1"/>
    <col min="8268" max="8268" width="9.140625" style="382"/>
    <col min="8269" max="8269" width="12" style="382" bestFit="1" customWidth="1"/>
    <col min="8270" max="8448" width="9.140625" style="382"/>
    <col min="8449" max="8449" width="26.7109375" style="382" customWidth="1"/>
    <col min="8450" max="8457" width="9.140625" style="382"/>
    <col min="8458" max="8460" width="9.28515625" style="382" customWidth="1"/>
    <col min="8461" max="8461" width="35.140625" style="382" customWidth="1"/>
    <col min="8462" max="8465" width="12.7109375" style="382" customWidth="1"/>
    <col min="8466" max="8467" width="9.28515625" style="382" customWidth="1"/>
    <col min="8468" max="8468" width="9.140625" style="382"/>
    <col min="8469" max="8469" width="35.140625" style="382" customWidth="1"/>
    <col min="8470" max="8470" width="9.28515625" style="382" customWidth="1"/>
    <col min="8471" max="8472" width="9.28515625" style="382" bestFit="1" customWidth="1"/>
    <col min="8473" max="8473" width="9.42578125" style="382" bestFit="1" customWidth="1"/>
    <col min="8474" max="8474" width="9.28515625" style="382" bestFit="1" customWidth="1"/>
    <col min="8475" max="8475" width="9.28515625" style="382" customWidth="1"/>
    <col min="8476" max="8479" width="9.140625" style="382"/>
    <col min="8480" max="8480" width="12.7109375" style="382" customWidth="1"/>
    <col min="8481" max="8481" width="10.7109375" style="382" customWidth="1"/>
    <col min="8482" max="8482" width="14.7109375" style="382" customWidth="1"/>
    <col min="8483" max="8484" width="15.7109375" style="382" customWidth="1"/>
    <col min="8485" max="8487" width="9.140625" style="382"/>
    <col min="8488" max="8488" width="19.7109375" style="382" customWidth="1"/>
    <col min="8489" max="8500" width="9.140625" style="382"/>
    <col min="8501" max="8501" width="19.140625" style="382" customWidth="1"/>
    <col min="8502" max="8513" width="9.140625" style="382"/>
    <col min="8514" max="8514" width="28.7109375" style="382" customWidth="1"/>
    <col min="8515" max="8515" width="15.28515625" style="382" bestFit="1" customWidth="1"/>
    <col min="8516" max="8520" width="12.7109375" style="382" customWidth="1"/>
    <col min="8521" max="8523" width="11.85546875" style="382" customWidth="1"/>
    <col min="8524" max="8524" width="9.140625" style="382"/>
    <col min="8525" max="8525" width="12" style="382" bestFit="1" customWidth="1"/>
    <col min="8526" max="8704" width="9.140625" style="382"/>
    <col min="8705" max="8705" width="26.7109375" style="382" customWidth="1"/>
    <col min="8706" max="8713" width="9.140625" style="382"/>
    <col min="8714" max="8716" width="9.28515625" style="382" customWidth="1"/>
    <col min="8717" max="8717" width="35.140625" style="382" customWidth="1"/>
    <col min="8718" max="8721" width="12.7109375" style="382" customWidth="1"/>
    <col min="8722" max="8723" width="9.28515625" style="382" customWidth="1"/>
    <col min="8724" max="8724" width="9.140625" style="382"/>
    <col min="8725" max="8725" width="35.140625" style="382" customWidth="1"/>
    <col min="8726" max="8726" width="9.28515625" style="382" customWidth="1"/>
    <col min="8727" max="8728" width="9.28515625" style="382" bestFit="1" customWidth="1"/>
    <col min="8729" max="8729" width="9.42578125" style="382" bestFit="1" customWidth="1"/>
    <col min="8730" max="8730" width="9.28515625" style="382" bestFit="1" customWidth="1"/>
    <col min="8731" max="8731" width="9.28515625" style="382" customWidth="1"/>
    <col min="8732" max="8735" width="9.140625" style="382"/>
    <col min="8736" max="8736" width="12.7109375" style="382" customWidth="1"/>
    <col min="8737" max="8737" width="10.7109375" style="382" customWidth="1"/>
    <col min="8738" max="8738" width="14.7109375" style="382" customWidth="1"/>
    <col min="8739" max="8740" width="15.7109375" style="382" customWidth="1"/>
    <col min="8741" max="8743" width="9.140625" style="382"/>
    <col min="8744" max="8744" width="19.7109375" style="382" customWidth="1"/>
    <col min="8745" max="8756" width="9.140625" style="382"/>
    <col min="8757" max="8757" width="19.140625" style="382" customWidth="1"/>
    <col min="8758" max="8769" width="9.140625" style="382"/>
    <col min="8770" max="8770" width="28.7109375" style="382" customWidth="1"/>
    <col min="8771" max="8771" width="15.28515625" style="382" bestFit="1" customWidth="1"/>
    <col min="8772" max="8776" width="12.7109375" style="382" customWidth="1"/>
    <col min="8777" max="8779" width="11.85546875" style="382" customWidth="1"/>
    <col min="8780" max="8780" width="9.140625" style="382"/>
    <col min="8781" max="8781" width="12" style="382" bestFit="1" customWidth="1"/>
    <col min="8782" max="8960" width="9.140625" style="382"/>
    <col min="8961" max="8961" width="26.7109375" style="382" customWidth="1"/>
    <col min="8962" max="8969" width="9.140625" style="382"/>
    <col min="8970" max="8972" width="9.28515625" style="382" customWidth="1"/>
    <col min="8973" max="8973" width="35.140625" style="382" customWidth="1"/>
    <col min="8974" max="8977" width="12.7109375" style="382" customWidth="1"/>
    <col min="8978" max="8979" width="9.28515625" style="382" customWidth="1"/>
    <col min="8980" max="8980" width="9.140625" style="382"/>
    <col min="8981" max="8981" width="35.140625" style="382" customWidth="1"/>
    <col min="8982" max="8982" width="9.28515625" style="382" customWidth="1"/>
    <col min="8983" max="8984" width="9.28515625" style="382" bestFit="1" customWidth="1"/>
    <col min="8985" max="8985" width="9.42578125" style="382" bestFit="1" customWidth="1"/>
    <col min="8986" max="8986" width="9.28515625" style="382" bestFit="1" customWidth="1"/>
    <col min="8987" max="8987" width="9.28515625" style="382" customWidth="1"/>
    <col min="8988" max="8991" width="9.140625" style="382"/>
    <col min="8992" max="8992" width="12.7109375" style="382" customWidth="1"/>
    <col min="8993" max="8993" width="10.7109375" style="382" customWidth="1"/>
    <col min="8994" max="8994" width="14.7109375" style="382" customWidth="1"/>
    <col min="8995" max="8996" width="15.7109375" style="382" customWidth="1"/>
    <col min="8997" max="8999" width="9.140625" style="382"/>
    <col min="9000" max="9000" width="19.7109375" style="382" customWidth="1"/>
    <col min="9001" max="9012" width="9.140625" style="382"/>
    <col min="9013" max="9013" width="19.140625" style="382" customWidth="1"/>
    <col min="9014" max="9025" width="9.140625" style="382"/>
    <col min="9026" max="9026" width="28.7109375" style="382" customWidth="1"/>
    <col min="9027" max="9027" width="15.28515625" style="382" bestFit="1" customWidth="1"/>
    <col min="9028" max="9032" width="12.7109375" style="382" customWidth="1"/>
    <col min="9033" max="9035" width="11.85546875" style="382" customWidth="1"/>
    <col min="9036" max="9036" width="9.140625" style="382"/>
    <col min="9037" max="9037" width="12" style="382" bestFit="1" customWidth="1"/>
    <col min="9038" max="9216" width="9.140625" style="382"/>
    <col min="9217" max="9217" width="26.7109375" style="382" customWidth="1"/>
    <col min="9218" max="9225" width="9.140625" style="382"/>
    <col min="9226" max="9228" width="9.28515625" style="382" customWidth="1"/>
    <col min="9229" max="9229" width="35.140625" style="382" customWidth="1"/>
    <col min="9230" max="9233" width="12.7109375" style="382" customWidth="1"/>
    <col min="9234" max="9235" width="9.28515625" style="382" customWidth="1"/>
    <col min="9236" max="9236" width="9.140625" style="382"/>
    <col min="9237" max="9237" width="35.140625" style="382" customWidth="1"/>
    <col min="9238" max="9238" width="9.28515625" style="382" customWidth="1"/>
    <col min="9239" max="9240" width="9.28515625" style="382" bestFit="1" customWidth="1"/>
    <col min="9241" max="9241" width="9.42578125" style="382" bestFit="1" customWidth="1"/>
    <col min="9242" max="9242" width="9.28515625" style="382" bestFit="1" customWidth="1"/>
    <col min="9243" max="9243" width="9.28515625" style="382" customWidth="1"/>
    <col min="9244" max="9247" width="9.140625" style="382"/>
    <col min="9248" max="9248" width="12.7109375" style="382" customWidth="1"/>
    <col min="9249" max="9249" width="10.7109375" style="382" customWidth="1"/>
    <col min="9250" max="9250" width="14.7109375" style="382" customWidth="1"/>
    <col min="9251" max="9252" width="15.7109375" style="382" customWidth="1"/>
    <col min="9253" max="9255" width="9.140625" style="382"/>
    <col min="9256" max="9256" width="19.7109375" style="382" customWidth="1"/>
    <col min="9257" max="9268" width="9.140625" style="382"/>
    <col min="9269" max="9269" width="19.140625" style="382" customWidth="1"/>
    <col min="9270" max="9281" width="9.140625" style="382"/>
    <col min="9282" max="9282" width="28.7109375" style="382" customWidth="1"/>
    <col min="9283" max="9283" width="15.28515625" style="382" bestFit="1" customWidth="1"/>
    <col min="9284" max="9288" width="12.7109375" style="382" customWidth="1"/>
    <col min="9289" max="9291" width="11.85546875" style="382" customWidth="1"/>
    <col min="9292" max="9292" width="9.140625" style="382"/>
    <col min="9293" max="9293" width="12" style="382" bestFit="1" customWidth="1"/>
    <col min="9294" max="9472" width="9.140625" style="382"/>
    <col min="9473" max="9473" width="26.7109375" style="382" customWidth="1"/>
    <col min="9474" max="9481" width="9.140625" style="382"/>
    <col min="9482" max="9484" width="9.28515625" style="382" customWidth="1"/>
    <col min="9485" max="9485" width="35.140625" style="382" customWidth="1"/>
    <col min="9486" max="9489" width="12.7109375" style="382" customWidth="1"/>
    <col min="9490" max="9491" width="9.28515625" style="382" customWidth="1"/>
    <col min="9492" max="9492" width="9.140625" style="382"/>
    <col min="9493" max="9493" width="35.140625" style="382" customWidth="1"/>
    <col min="9494" max="9494" width="9.28515625" style="382" customWidth="1"/>
    <col min="9495" max="9496" width="9.28515625" style="382" bestFit="1" customWidth="1"/>
    <col min="9497" max="9497" width="9.42578125" style="382" bestFit="1" customWidth="1"/>
    <col min="9498" max="9498" width="9.28515625" style="382" bestFit="1" customWidth="1"/>
    <col min="9499" max="9499" width="9.28515625" style="382" customWidth="1"/>
    <col min="9500" max="9503" width="9.140625" style="382"/>
    <col min="9504" max="9504" width="12.7109375" style="382" customWidth="1"/>
    <col min="9505" max="9505" width="10.7109375" style="382" customWidth="1"/>
    <col min="9506" max="9506" width="14.7109375" style="382" customWidth="1"/>
    <col min="9507" max="9508" width="15.7109375" style="382" customWidth="1"/>
    <col min="9509" max="9511" width="9.140625" style="382"/>
    <col min="9512" max="9512" width="19.7109375" style="382" customWidth="1"/>
    <col min="9513" max="9524" width="9.140625" style="382"/>
    <col min="9525" max="9525" width="19.140625" style="382" customWidth="1"/>
    <col min="9526" max="9537" width="9.140625" style="382"/>
    <col min="9538" max="9538" width="28.7109375" style="382" customWidth="1"/>
    <col min="9539" max="9539" width="15.28515625" style="382" bestFit="1" customWidth="1"/>
    <col min="9540" max="9544" width="12.7109375" style="382" customWidth="1"/>
    <col min="9545" max="9547" width="11.85546875" style="382" customWidth="1"/>
    <col min="9548" max="9548" width="9.140625" style="382"/>
    <col min="9549" max="9549" width="12" style="382" bestFit="1" customWidth="1"/>
    <col min="9550" max="9728" width="9.140625" style="382"/>
    <col min="9729" max="9729" width="26.7109375" style="382" customWidth="1"/>
    <col min="9730" max="9737" width="9.140625" style="382"/>
    <col min="9738" max="9740" width="9.28515625" style="382" customWidth="1"/>
    <col min="9741" max="9741" width="35.140625" style="382" customWidth="1"/>
    <col min="9742" max="9745" width="12.7109375" style="382" customWidth="1"/>
    <col min="9746" max="9747" width="9.28515625" style="382" customWidth="1"/>
    <col min="9748" max="9748" width="9.140625" style="382"/>
    <col min="9749" max="9749" width="35.140625" style="382" customWidth="1"/>
    <col min="9750" max="9750" width="9.28515625" style="382" customWidth="1"/>
    <col min="9751" max="9752" width="9.28515625" style="382" bestFit="1" customWidth="1"/>
    <col min="9753" max="9753" width="9.42578125" style="382" bestFit="1" customWidth="1"/>
    <col min="9754" max="9754" width="9.28515625" style="382" bestFit="1" customWidth="1"/>
    <col min="9755" max="9755" width="9.28515625" style="382" customWidth="1"/>
    <col min="9756" max="9759" width="9.140625" style="382"/>
    <col min="9760" max="9760" width="12.7109375" style="382" customWidth="1"/>
    <col min="9761" max="9761" width="10.7109375" style="382" customWidth="1"/>
    <col min="9762" max="9762" width="14.7109375" style="382" customWidth="1"/>
    <col min="9763" max="9764" width="15.7109375" style="382" customWidth="1"/>
    <col min="9765" max="9767" width="9.140625" style="382"/>
    <col min="9768" max="9768" width="19.7109375" style="382" customWidth="1"/>
    <col min="9769" max="9780" width="9.140625" style="382"/>
    <col min="9781" max="9781" width="19.140625" style="382" customWidth="1"/>
    <col min="9782" max="9793" width="9.140625" style="382"/>
    <col min="9794" max="9794" width="28.7109375" style="382" customWidth="1"/>
    <col min="9795" max="9795" width="15.28515625" style="382" bestFit="1" customWidth="1"/>
    <col min="9796" max="9800" width="12.7109375" style="382" customWidth="1"/>
    <col min="9801" max="9803" width="11.85546875" style="382" customWidth="1"/>
    <col min="9804" max="9804" width="9.140625" style="382"/>
    <col min="9805" max="9805" width="12" style="382" bestFit="1" customWidth="1"/>
    <col min="9806" max="9984" width="9.140625" style="382"/>
    <col min="9985" max="9985" width="26.7109375" style="382" customWidth="1"/>
    <col min="9986" max="9993" width="9.140625" style="382"/>
    <col min="9994" max="9996" width="9.28515625" style="382" customWidth="1"/>
    <col min="9997" max="9997" width="35.140625" style="382" customWidth="1"/>
    <col min="9998" max="10001" width="12.7109375" style="382" customWidth="1"/>
    <col min="10002" max="10003" width="9.28515625" style="382" customWidth="1"/>
    <col min="10004" max="10004" width="9.140625" style="382"/>
    <col min="10005" max="10005" width="35.140625" style="382" customWidth="1"/>
    <col min="10006" max="10006" width="9.28515625" style="382" customWidth="1"/>
    <col min="10007" max="10008" width="9.28515625" style="382" bestFit="1" customWidth="1"/>
    <col min="10009" max="10009" width="9.42578125" style="382" bestFit="1" customWidth="1"/>
    <col min="10010" max="10010" width="9.28515625" style="382" bestFit="1" customWidth="1"/>
    <col min="10011" max="10011" width="9.28515625" style="382" customWidth="1"/>
    <col min="10012" max="10015" width="9.140625" style="382"/>
    <col min="10016" max="10016" width="12.7109375" style="382" customWidth="1"/>
    <col min="10017" max="10017" width="10.7109375" style="382" customWidth="1"/>
    <col min="10018" max="10018" width="14.7109375" style="382" customWidth="1"/>
    <col min="10019" max="10020" width="15.7109375" style="382" customWidth="1"/>
    <col min="10021" max="10023" width="9.140625" style="382"/>
    <col min="10024" max="10024" width="19.7109375" style="382" customWidth="1"/>
    <col min="10025" max="10036" width="9.140625" style="382"/>
    <col min="10037" max="10037" width="19.140625" style="382" customWidth="1"/>
    <col min="10038" max="10049" width="9.140625" style="382"/>
    <col min="10050" max="10050" width="28.7109375" style="382" customWidth="1"/>
    <col min="10051" max="10051" width="15.28515625" style="382" bestFit="1" customWidth="1"/>
    <col min="10052" max="10056" width="12.7109375" style="382" customWidth="1"/>
    <col min="10057" max="10059" width="11.85546875" style="382" customWidth="1"/>
    <col min="10060" max="10060" width="9.140625" style="382"/>
    <col min="10061" max="10061" width="12" style="382" bestFit="1" customWidth="1"/>
    <col min="10062" max="10240" width="9.140625" style="382"/>
    <col min="10241" max="10241" width="26.7109375" style="382" customWidth="1"/>
    <col min="10242" max="10249" width="9.140625" style="382"/>
    <col min="10250" max="10252" width="9.28515625" style="382" customWidth="1"/>
    <col min="10253" max="10253" width="35.140625" style="382" customWidth="1"/>
    <col min="10254" max="10257" width="12.7109375" style="382" customWidth="1"/>
    <col min="10258" max="10259" width="9.28515625" style="382" customWidth="1"/>
    <col min="10260" max="10260" width="9.140625" style="382"/>
    <col min="10261" max="10261" width="35.140625" style="382" customWidth="1"/>
    <col min="10262" max="10262" width="9.28515625" style="382" customWidth="1"/>
    <col min="10263" max="10264" width="9.28515625" style="382" bestFit="1" customWidth="1"/>
    <col min="10265" max="10265" width="9.42578125" style="382" bestFit="1" customWidth="1"/>
    <col min="10266" max="10266" width="9.28515625" style="382" bestFit="1" customWidth="1"/>
    <col min="10267" max="10267" width="9.28515625" style="382" customWidth="1"/>
    <col min="10268" max="10271" width="9.140625" style="382"/>
    <col min="10272" max="10272" width="12.7109375" style="382" customWidth="1"/>
    <col min="10273" max="10273" width="10.7109375" style="382" customWidth="1"/>
    <col min="10274" max="10274" width="14.7109375" style="382" customWidth="1"/>
    <col min="10275" max="10276" width="15.7109375" style="382" customWidth="1"/>
    <col min="10277" max="10279" width="9.140625" style="382"/>
    <col min="10280" max="10280" width="19.7109375" style="382" customWidth="1"/>
    <col min="10281" max="10292" width="9.140625" style="382"/>
    <col min="10293" max="10293" width="19.140625" style="382" customWidth="1"/>
    <col min="10294" max="10305" width="9.140625" style="382"/>
    <col min="10306" max="10306" width="28.7109375" style="382" customWidth="1"/>
    <col min="10307" max="10307" width="15.28515625" style="382" bestFit="1" customWidth="1"/>
    <col min="10308" max="10312" width="12.7109375" style="382" customWidth="1"/>
    <col min="10313" max="10315" width="11.85546875" style="382" customWidth="1"/>
    <col min="10316" max="10316" width="9.140625" style="382"/>
    <col min="10317" max="10317" width="12" style="382" bestFit="1" customWidth="1"/>
    <col min="10318" max="10496" width="9.140625" style="382"/>
    <col min="10497" max="10497" width="26.7109375" style="382" customWidth="1"/>
    <col min="10498" max="10505" width="9.140625" style="382"/>
    <col min="10506" max="10508" width="9.28515625" style="382" customWidth="1"/>
    <col min="10509" max="10509" width="35.140625" style="382" customWidth="1"/>
    <col min="10510" max="10513" width="12.7109375" style="382" customWidth="1"/>
    <col min="10514" max="10515" width="9.28515625" style="382" customWidth="1"/>
    <col min="10516" max="10516" width="9.140625" style="382"/>
    <col min="10517" max="10517" width="35.140625" style="382" customWidth="1"/>
    <col min="10518" max="10518" width="9.28515625" style="382" customWidth="1"/>
    <col min="10519" max="10520" width="9.28515625" style="382" bestFit="1" customWidth="1"/>
    <col min="10521" max="10521" width="9.42578125" style="382" bestFit="1" customWidth="1"/>
    <col min="10522" max="10522" width="9.28515625" style="382" bestFit="1" customWidth="1"/>
    <col min="10523" max="10523" width="9.28515625" style="382" customWidth="1"/>
    <col min="10524" max="10527" width="9.140625" style="382"/>
    <col min="10528" max="10528" width="12.7109375" style="382" customWidth="1"/>
    <col min="10529" max="10529" width="10.7109375" style="382" customWidth="1"/>
    <col min="10530" max="10530" width="14.7109375" style="382" customWidth="1"/>
    <col min="10531" max="10532" width="15.7109375" style="382" customWidth="1"/>
    <col min="10533" max="10535" width="9.140625" style="382"/>
    <col min="10536" max="10536" width="19.7109375" style="382" customWidth="1"/>
    <col min="10537" max="10548" width="9.140625" style="382"/>
    <col min="10549" max="10549" width="19.140625" style="382" customWidth="1"/>
    <col min="10550" max="10561" width="9.140625" style="382"/>
    <col min="10562" max="10562" width="28.7109375" style="382" customWidth="1"/>
    <col min="10563" max="10563" width="15.28515625" style="382" bestFit="1" customWidth="1"/>
    <col min="10564" max="10568" width="12.7109375" style="382" customWidth="1"/>
    <col min="10569" max="10571" width="11.85546875" style="382" customWidth="1"/>
    <col min="10572" max="10572" width="9.140625" style="382"/>
    <col min="10573" max="10573" width="12" style="382" bestFit="1" customWidth="1"/>
    <col min="10574" max="10752" width="9.140625" style="382"/>
    <col min="10753" max="10753" width="26.7109375" style="382" customWidth="1"/>
    <col min="10754" max="10761" width="9.140625" style="382"/>
    <col min="10762" max="10764" width="9.28515625" style="382" customWidth="1"/>
    <col min="10765" max="10765" width="35.140625" style="382" customWidth="1"/>
    <col min="10766" max="10769" width="12.7109375" style="382" customWidth="1"/>
    <col min="10770" max="10771" width="9.28515625" style="382" customWidth="1"/>
    <col min="10772" max="10772" width="9.140625" style="382"/>
    <col min="10773" max="10773" width="35.140625" style="382" customWidth="1"/>
    <col min="10774" max="10774" width="9.28515625" style="382" customWidth="1"/>
    <col min="10775" max="10776" width="9.28515625" style="382" bestFit="1" customWidth="1"/>
    <col min="10777" max="10777" width="9.42578125" style="382" bestFit="1" customWidth="1"/>
    <col min="10778" max="10778" width="9.28515625" style="382" bestFit="1" customWidth="1"/>
    <col min="10779" max="10779" width="9.28515625" style="382" customWidth="1"/>
    <col min="10780" max="10783" width="9.140625" style="382"/>
    <col min="10784" max="10784" width="12.7109375" style="382" customWidth="1"/>
    <col min="10785" max="10785" width="10.7109375" style="382" customWidth="1"/>
    <col min="10786" max="10786" width="14.7109375" style="382" customWidth="1"/>
    <col min="10787" max="10788" width="15.7109375" style="382" customWidth="1"/>
    <col min="10789" max="10791" width="9.140625" style="382"/>
    <col min="10792" max="10792" width="19.7109375" style="382" customWidth="1"/>
    <col min="10793" max="10804" width="9.140625" style="382"/>
    <col min="10805" max="10805" width="19.140625" style="382" customWidth="1"/>
    <col min="10806" max="10817" width="9.140625" style="382"/>
    <col min="10818" max="10818" width="28.7109375" style="382" customWidth="1"/>
    <col min="10819" max="10819" width="15.28515625" style="382" bestFit="1" customWidth="1"/>
    <col min="10820" max="10824" width="12.7109375" style="382" customWidth="1"/>
    <col min="10825" max="10827" width="11.85546875" style="382" customWidth="1"/>
    <col min="10828" max="10828" width="9.140625" style="382"/>
    <col min="10829" max="10829" width="12" style="382" bestFit="1" customWidth="1"/>
    <col min="10830" max="11008" width="9.140625" style="382"/>
    <col min="11009" max="11009" width="26.7109375" style="382" customWidth="1"/>
    <col min="11010" max="11017" width="9.140625" style="382"/>
    <col min="11018" max="11020" width="9.28515625" style="382" customWidth="1"/>
    <col min="11021" max="11021" width="35.140625" style="382" customWidth="1"/>
    <col min="11022" max="11025" width="12.7109375" style="382" customWidth="1"/>
    <col min="11026" max="11027" width="9.28515625" style="382" customWidth="1"/>
    <col min="11028" max="11028" width="9.140625" style="382"/>
    <col min="11029" max="11029" width="35.140625" style="382" customWidth="1"/>
    <col min="11030" max="11030" width="9.28515625" style="382" customWidth="1"/>
    <col min="11031" max="11032" width="9.28515625" style="382" bestFit="1" customWidth="1"/>
    <col min="11033" max="11033" width="9.42578125" style="382" bestFit="1" customWidth="1"/>
    <col min="11034" max="11034" width="9.28515625" style="382" bestFit="1" customWidth="1"/>
    <col min="11035" max="11035" width="9.28515625" style="382" customWidth="1"/>
    <col min="11036" max="11039" width="9.140625" style="382"/>
    <col min="11040" max="11040" width="12.7109375" style="382" customWidth="1"/>
    <col min="11041" max="11041" width="10.7109375" style="382" customWidth="1"/>
    <col min="11042" max="11042" width="14.7109375" style="382" customWidth="1"/>
    <col min="11043" max="11044" width="15.7109375" style="382" customWidth="1"/>
    <col min="11045" max="11047" width="9.140625" style="382"/>
    <col min="11048" max="11048" width="19.7109375" style="382" customWidth="1"/>
    <col min="11049" max="11060" width="9.140625" style="382"/>
    <col min="11061" max="11061" width="19.140625" style="382" customWidth="1"/>
    <col min="11062" max="11073" width="9.140625" style="382"/>
    <col min="11074" max="11074" width="28.7109375" style="382" customWidth="1"/>
    <col min="11075" max="11075" width="15.28515625" style="382" bestFit="1" customWidth="1"/>
    <col min="11076" max="11080" width="12.7109375" style="382" customWidth="1"/>
    <col min="11081" max="11083" width="11.85546875" style="382" customWidth="1"/>
    <col min="11084" max="11084" width="9.140625" style="382"/>
    <col min="11085" max="11085" width="12" style="382" bestFit="1" customWidth="1"/>
    <col min="11086" max="11264" width="9.140625" style="382"/>
    <col min="11265" max="11265" width="26.7109375" style="382" customWidth="1"/>
    <col min="11266" max="11273" width="9.140625" style="382"/>
    <col min="11274" max="11276" width="9.28515625" style="382" customWidth="1"/>
    <col min="11277" max="11277" width="35.140625" style="382" customWidth="1"/>
    <col min="11278" max="11281" width="12.7109375" style="382" customWidth="1"/>
    <col min="11282" max="11283" width="9.28515625" style="382" customWidth="1"/>
    <col min="11284" max="11284" width="9.140625" style="382"/>
    <col min="11285" max="11285" width="35.140625" style="382" customWidth="1"/>
    <col min="11286" max="11286" width="9.28515625" style="382" customWidth="1"/>
    <col min="11287" max="11288" width="9.28515625" style="382" bestFit="1" customWidth="1"/>
    <col min="11289" max="11289" width="9.42578125" style="382" bestFit="1" customWidth="1"/>
    <col min="11290" max="11290" width="9.28515625" style="382" bestFit="1" customWidth="1"/>
    <col min="11291" max="11291" width="9.28515625" style="382" customWidth="1"/>
    <col min="11292" max="11295" width="9.140625" style="382"/>
    <col min="11296" max="11296" width="12.7109375" style="382" customWidth="1"/>
    <col min="11297" max="11297" width="10.7109375" style="382" customWidth="1"/>
    <col min="11298" max="11298" width="14.7109375" style="382" customWidth="1"/>
    <col min="11299" max="11300" width="15.7109375" style="382" customWidth="1"/>
    <col min="11301" max="11303" width="9.140625" style="382"/>
    <col min="11304" max="11304" width="19.7109375" style="382" customWidth="1"/>
    <col min="11305" max="11316" width="9.140625" style="382"/>
    <col min="11317" max="11317" width="19.140625" style="382" customWidth="1"/>
    <col min="11318" max="11329" width="9.140625" style="382"/>
    <col min="11330" max="11330" width="28.7109375" style="382" customWidth="1"/>
    <col min="11331" max="11331" width="15.28515625" style="382" bestFit="1" customWidth="1"/>
    <col min="11332" max="11336" width="12.7109375" style="382" customWidth="1"/>
    <col min="11337" max="11339" width="11.85546875" style="382" customWidth="1"/>
    <col min="11340" max="11340" width="9.140625" style="382"/>
    <col min="11341" max="11341" width="12" style="382" bestFit="1" customWidth="1"/>
    <col min="11342" max="11520" width="9.140625" style="382"/>
    <col min="11521" max="11521" width="26.7109375" style="382" customWidth="1"/>
    <col min="11522" max="11529" width="9.140625" style="382"/>
    <col min="11530" max="11532" width="9.28515625" style="382" customWidth="1"/>
    <col min="11533" max="11533" width="35.140625" style="382" customWidth="1"/>
    <col min="11534" max="11537" width="12.7109375" style="382" customWidth="1"/>
    <col min="11538" max="11539" width="9.28515625" style="382" customWidth="1"/>
    <col min="11540" max="11540" width="9.140625" style="382"/>
    <col min="11541" max="11541" width="35.140625" style="382" customWidth="1"/>
    <col min="11542" max="11542" width="9.28515625" style="382" customWidth="1"/>
    <col min="11543" max="11544" width="9.28515625" style="382" bestFit="1" customWidth="1"/>
    <col min="11545" max="11545" width="9.42578125" style="382" bestFit="1" customWidth="1"/>
    <col min="11546" max="11546" width="9.28515625" style="382" bestFit="1" customWidth="1"/>
    <col min="11547" max="11547" width="9.28515625" style="382" customWidth="1"/>
    <col min="11548" max="11551" width="9.140625" style="382"/>
    <col min="11552" max="11552" width="12.7109375" style="382" customWidth="1"/>
    <col min="11553" max="11553" width="10.7109375" style="382" customWidth="1"/>
    <col min="11554" max="11554" width="14.7109375" style="382" customWidth="1"/>
    <col min="11555" max="11556" width="15.7109375" style="382" customWidth="1"/>
    <col min="11557" max="11559" width="9.140625" style="382"/>
    <col min="11560" max="11560" width="19.7109375" style="382" customWidth="1"/>
    <col min="11561" max="11572" width="9.140625" style="382"/>
    <col min="11573" max="11573" width="19.140625" style="382" customWidth="1"/>
    <col min="11574" max="11585" width="9.140625" style="382"/>
    <col min="11586" max="11586" width="28.7109375" style="382" customWidth="1"/>
    <col min="11587" max="11587" width="15.28515625" style="382" bestFit="1" customWidth="1"/>
    <col min="11588" max="11592" width="12.7109375" style="382" customWidth="1"/>
    <col min="11593" max="11595" width="11.85546875" style="382" customWidth="1"/>
    <col min="11596" max="11596" width="9.140625" style="382"/>
    <col min="11597" max="11597" width="12" style="382" bestFit="1" customWidth="1"/>
    <col min="11598" max="11776" width="9.140625" style="382"/>
    <col min="11777" max="11777" width="26.7109375" style="382" customWidth="1"/>
    <col min="11778" max="11785" width="9.140625" style="382"/>
    <col min="11786" max="11788" width="9.28515625" style="382" customWidth="1"/>
    <col min="11789" max="11789" width="35.140625" style="382" customWidth="1"/>
    <col min="11790" max="11793" width="12.7109375" style="382" customWidth="1"/>
    <col min="11794" max="11795" width="9.28515625" style="382" customWidth="1"/>
    <col min="11796" max="11796" width="9.140625" style="382"/>
    <col min="11797" max="11797" width="35.140625" style="382" customWidth="1"/>
    <col min="11798" max="11798" width="9.28515625" style="382" customWidth="1"/>
    <col min="11799" max="11800" width="9.28515625" style="382" bestFit="1" customWidth="1"/>
    <col min="11801" max="11801" width="9.42578125" style="382" bestFit="1" customWidth="1"/>
    <col min="11802" max="11802" width="9.28515625" style="382" bestFit="1" customWidth="1"/>
    <col min="11803" max="11803" width="9.28515625" style="382" customWidth="1"/>
    <col min="11804" max="11807" width="9.140625" style="382"/>
    <col min="11808" max="11808" width="12.7109375" style="382" customWidth="1"/>
    <col min="11809" max="11809" width="10.7109375" style="382" customWidth="1"/>
    <col min="11810" max="11810" width="14.7109375" style="382" customWidth="1"/>
    <col min="11811" max="11812" width="15.7109375" style="382" customWidth="1"/>
    <col min="11813" max="11815" width="9.140625" style="382"/>
    <col min="11816" max="11816" width="19.7109375" style="382" customWidth="1"/>
    <col min="11817" max="11828" width="9.140625" style="382"/>
    <col min="11829" max="11829" width="19.140625" style="382" customWidth="1"/>
    <col min="11830" max="11841" width="9.140625" style="382"/>
    <col min="11842" max="11842" width="28.7109375" style="382" customWidth="1"/>
    <col min="11843" max="11843" width="15.28515625" style="382" bestFit="1" customWidth="1"/>
    <col min="11844" max="11848" width="12.7109375" style="382" customWidth="1"/>
    <col min="11849" max="11851" width="11.85546875" style="382" customWidth="1"/>
    <col min="11852" max="11852" width="9.140625" style="382"/>
    <col min="11853" max="11853" width="12" style="382" bestFit="1" customWidth="1"/>
    <col min="11854" max="12032" width="9.140625" style="382"/>
    <col min="12033" max="12033" width="26.7109375" style="382" customWidth="1"/>
    <col min="12034" max="12041" width="9.140625" style="382"/>
    <col min="12042" max="12044" width="9.28515625" style="382" customWidth="1"/>
    <col min="12045" max="12045" width="35.140625" style="382" customWidth="1"/>
    <col min="12046" max="12049" width="12.7109375" style="382" customWidth="1"/>
    <col min="12050" max="12051" width="9.28515625" style="382" customWidth="1"/>
    <col min="12052" max="12052" width="9.140625" style="382"/>
    <col min="12053" max="12053" width="35.140625" style="382" customWidth="1"/>
    <col min="12054" max="12054" width="9.28515625" style="382" customWidth="1"/>
    <col min="12055" max="12056" width="9.28515625" style="382" bestFit="1" customWidth="1"/>
    <col min="12057" max="12057" width="9.42578125" style="382" bestFit="1" customWidth="1"/>
    <col min="12058" max="12058" width="9.28515625" style="382" bestFit="1" customWidth="1"/>
    <col min="12059" max="12059" width="9.28515625" style="382" customWidth="1"/>
    <col min="12060" max="12063" width="9.140625" style="382"/>
    <col min="12064" max="12064" width="12.7109375" style="382" customWidth="1"/>
    <col min="12065" max="12065" width="10.7109375" style="382" customWidth="1"/>
    <col min="12066" max="12066" width="14.7109375" style="382" customWidth="1"/>
    <col min="12067" max="12068" width="15.7109375" style="382" customWidth="1"/>
    <col min="12069" max="12071" width="9.140625" style="382"/>
    <col min="12072" max="12072" width="19.7109375" style="382" customWidth="1"/>
    <col min="12073" max="12084" width="9.140625" style="382"/>
    <col min="12085" max="12085" width="19.140625" style="382" customWidth="1"/>
    <col min="12086" max="12097" width="9.140625" style="382"/>
    <col min="12098" max="12098" width="28.7109375" style="382" customWidth="1"/>
    <col min="12099" max="12099" width="15.28515625" style="382" bestFit="1" customWidth="1"/>
    <col min="12100" max="12104" width="12.7109375" style="382" customWidth="1"/>
    <col min="12105" max="12107" width="11.85546875" style="382" customWidth="1"/>
    <col min="12108" max="12108" width="9.140625" style="382"/>
    <col min="12109" max="12109" width="12" style="382" bestFit="1" customWidth="1"/>
    <col min="12110" max="12288" width="9.140625" style="382"/>
    <col min="12289" max="12289" width="26.7109375" style="382" customWidth="1"/>
    <col min="12290" max="12297" width="9.140625" style="382"/>
    <col min="12298" max="12300" width="9.28515625" style="382" customWidth="1"/>
    <col min="12301" max="12301" width="35.140625" style="382" customWidth="1"/>
    <col min="12302" max="12305" width="12.7109375" style="382" customWidth="1"/>
    <col min="12306" max="12307" width="9.28515625" style="382" customWidth="1"/>
    <col min="12308" max="12308" width="9.140625" style="382"/>
    <col min="12309" max="12309" width="35.140625" style="382" customWidth="1"/>
    <col min="12310" max="12310" width="9.28515625" style="382" customWidth="1"/>
    <col min="12311" max="12312" width="9.28515625" style="382" bestFit="1" customWidth="1"/>
    <col min="12313" max="12313" width="9.42578125" style="382" bestFit="1" customWidth="1"/>
    <col min="12314" max="12314" width="9.28515625" style="382" bestFit="1" customWidth="1"/>
    <col min="12315" max="12315" width="9.28515625" style="382" customWidth="1"/>
    <col min="12316" max="12319" width="9.140625" style="382"/>
    <col min="12320" max="12320" width="12.7109375" style="382" customWidth="1"/>
    <col min="12321" max="12321" width="10.7109375" style="382" customWidth="1"/>
    <col min="12322" max="12322" width="14.7109375" style="382" customWidth="1"/>
    <col min="12323" max="12324" width="15.7109375" style="382" customWidth="1"/>
    <col min="12325" max="12327" width="9.140625" style="382"/>
    <col min="12328" max="12328" width="19.7109375" style="382" customWidth="1"/>
    <col min="12329" max="12340" width="9.140625" style="382"/>
    <col min="12341" max="12341" width="19.140625" style="382" customWidth="1"/>
    <col min="12342" max="12353" width="9.140625" style="382"/>
    <col min="12354" max="12354" width="28.7109375" style="382" customWidth="1"/>
    <col min="12355" max="12355" width="15.28515625" style="382" bestFit="1" customWidth="1"/>
    <col min="12356" max="12360" width="12.7109375" style="382" customWidth="1"/>
    <col min="12361" max="12363" width="11.85546875" style="382" customWidth="1"/>
    <col min="12364" max="12364" width="9.140625" style="382"/>
    <col min="12365" max="12365" width="12" style="382" bestFit="1" customWidth="1"/>
    <col min="12366" max="12544" width="9.140625" style="382"/>
    <col min="12545" max="12545" width="26.7109375" style="382" customWidth="1"/>
    <col min="12546" max="12553" width="9.140625" style="382"/>
    <col min="12554" max="12556" width="9.28515625" style="382" customWidth="1"/>
    <col min="12557" max="12557" width="35.140625" style="382" customWidth="1"/>
    <col min="12558" max="12561" width="12.7109375" style="382" customWidth="1"/>
    <col min="12562" max="12563" width="9.28515625" style="382" customWidth="1"/>
    <col min="12564" max="12564" width="9.140625" style="382"/>
    <col min="12565" max="12565" width="35.140625" style="382" customWidth="1"/>
    <col min="12566" max="12566" width="9.28515625" style="382" customWidth="1"/>
    <col min="12567" max="12568" width="9.28515625" style="382" bestFit="1" customWidth="1"/>
    <col min="12569" max="12569" width="9.42578125" style="382" bestFit="1" customWidth="1"/>
    <col min="12570" max="12570" width="9.28515625" style="382" bestFit="1" customWidth="1"/>
    <col min="12571" max="12571" width="9.28515625" style="382" customWidth="1"/>
    <col min="12572" max="12575" width="9.140625" style="382"/>
    <col min="12576" max="12576" width="12.7109375" style="382" customWidth="1"/>
    <col min="12577" max="12577" width="10.7109375" style="382" customWidth="1"/>
    <col min="12578" max="12578" width="14.7109375" style="382" customWidth="1"/>
    <col min="12579" max="12580" width="15.7109375" style="382" customWidth="1"/>
    <col min="12581" max="12583" width="9.140625" style="382"/>
    <col min="12584" max="12584" width="19.7109375" style="382" customWidth="1"/>
    <col min="12585" max="12596" width="9.140625" style="382"/>
    <col min="12597" max="12597" width="19.140625" style="382" customWidth="1"/>
    <col min="12598" max="12609" width="9.140625" style="382"/>
    <col min="12610" max="12610" width="28.7109375" style="382" customWidth="1"/>
    <col min="12611" max="12611" width="15.28515625" style="382" bestFit="1" customWidth="1"/>
    <col min="12612" max="12616" width="12.7109375" style="382" customWidth="1"/>
    <col min="12617" max="12619" width="11.85546875" style="382" customWidth="1"/>
    <col min="12620" max="12620" width="9.140625" style="382"/>
    <col min="12621" max="12621" width="12" style="382" bestFit="1" customWidth="1"/>
    <col min="12622" max="12800" width="9.140625" style="382"/>
    <col min="12801" max="12801" width="26.7109375" style="382" customWidth="1"/>
    <col min="12802" max="12809" width="9.140625" style="382"/>
    <col min="12810" max="12812" width="9.28515625" style="382" customWidth="1"/>
    <col min="12813" max="12813" width="35.140625" style="382" customWidth="1"/>
    <col min="12814" max="12817" width="12.7109375" style="382" customWidth="1"/>
    <col min="12818" max="12819" width="9.28515625" style="382" customWidth="1"/>
    <col min="12820" max="12820" width="9.140625" style="382"/>
    <col min="12821" max="12821" width="35.140625" style="382" customWidth="1"/>
    <col min="12822" max="12822" width="9.28515625" style="382" customWidth="1"/>
    <col min="12823" max="12824" width="9.28515625" style="382" bestFit="1" customWidth="1"/>
    <col min="12825" max="12825" width="9.42578125" style="382" bestFit="1" customWidth="1"/>
    <col min="12826" max="12826" width="9.28515625" style="382" bestFit="1" customWidth="1"/>
    <col min="12827" max="12827" width="9.28515625" style="382" customWidth="1"/>
    <col min="12828" max="12831" width="9.140625" style="382"/>
    <col min="12832" max="12832" width="12.7109375" style="382" customWidth="1"/>
    <col min="12833" max="12833" width="10.7109375" style="382" customWidth="1"/>
    <col min="12834" max="12834" width="14.7109375" style="382" customWidth="1"/>
    <col min="12835" max="12836" width="15.7109375" style="382" customWidth="1"/>
    <col min="12837" max="12839" width="9.140625" style="382"/>
    <col min="12840" max="12840" width="19.7109375" style="382" customWidth="1"/>
    <col min="12841" max="12852" width="9.140625" style="382"/>
    <col min="12853" max="12853" width="19.140625" style="382" customWidth="1"/>
    <col min="12854" max="12865" width="9.140625" style="382"/>
    <col min="12866" max="12866" width="28.7109375" style="382" customWidth="1"/>
    <col min="12867" max="12867" width="15.28515625" style="382" bestFit="1" customWidth="1"/>
    <col min="12868" max="12872" width="12.7109375" style="382" customWidth="1"/>
    <col min="12873" max="12875" width="11.85546875" style="382" customWidth="1"/>
    <col min="12876" max="12876" width="9.140625" style="382"/>
    <col min="12877" max="12877" width="12" style="382" bestFit="1" customWidth="1"/>
    <col min="12878" max="13056" width="9.140625" style="382"/>
    <col min="13057" max="13057" width="26.7109375" style="382" customWidth="1"/>
    <col min="13058" max="13065" width="9.140625" style="382"/>
    <col min="13066" max="13068" width="9.28515625" style="382" customWidth="1"/>
    <col min="13069" max="13069" width="35.140625" style="382" customWidth="1"/>
    <col min="13070" max="13073" width="12.7109375" style="382" customWidth="1"/>
    <col min="13074" max="13075" width="9.28515625" style="382" customWidth="1"/>
    <col min="13076" max="13076" width="9.140625" style="382"/>
    <col min="13077" max="13077" width="35.140625" style="382" customWidth="1"/>
    <col min="13078" max="13078" width="9.28515625" style="382" customWidth="1"/>
    <col min="13079" max="13080" width="9.28515625" style="382" bestFit="1" customWidth="1"/>
    <col min="13081" max="13081" width="9.42578125" style="382" bestFit="1" customWidth="1"/>
    <col min="13082" max="13082" width="9.28515625" style="382" bestFit="1" customWidth="1"/>
    <col min="13083" max="13083" width="9.28515625" style="382" customWidth="1"/>
    <col min="13084" max="13087" width="9.140625" style="382"/>
    <col min="13088" max="13088" width="12.7109375" style="382" customWidth="1"/>
    <col min="13089" max="13089" width="10.7109375" style="382" customWidth="1"/>
    <col min="13090" max="13090" width="14.7109375" style="382" customWidth="1"/>
    <col min="13091" max="13092" width="15.7109375" style="382" customWidth="1"/>
    <col min="13093" max="13095" width="9.140625" style="382"/>
    <col min="13096" max="13096" width="19.7109375" style="382" customWidth="1"/>
    <col min="13097" max="13108" width="9.140625" style="382"/>
    <col min="13109" max="13109" width="19.140625" style="382" customWidth="1"/>
    <col min="13110" max="13121" width="9.140625" style="382"/>
    <col min="13122" max="13122" width="28.7109375" style="382" customWidth="1"/>
    <col min="13123" max="13123" width="15.28515625" style="382" bestFit="1" customWidth="1"/>
    <col min="13124" max="13128" width="12.7109375" style="382" customWidth="1"/>
    <col min="13129" max="13131" width="11.85546875" style="382" customWidth="1"/>
    <col min="13132" max="13132" width="9.140625" style="382"/>
    <col min="13133" max="13133" width="12" style="382" bestFit="1" customWidth="1"/>
    <col min="13134" max="13312" width="9.140625" style="382"/>
    <col min="13313" max="13313" width="26.7109375" style="382" customWidth="1"/>
    <col min="13314" max="13321" width="9.140625" style="382"/>
    <col min="13322" max="13324" width="9.28515625" style="382" customWidth="1"/>
    <col min="13325" max="13325" width="35.140625" style="382" customWidth="1"/>
    <col min="13326" max="13329" width="12.7109375" style="382" customWidth="1"/>
    <col min="13330" max="13331" width="9.28515625" style="382" customWidth="1"/>
    <col min="13332" max="13332" width="9.140625" style="382"/>
    <col min="13333" max="13333" width="35.140625" style="382" customWidth="1"/>
    <col min="13334" max="13334" width="9.28515625" style="382" customWidth="1"/>
    <col min="13335" max="13336" width="9.28515625" style="382" bestFit="1" customWidth="1"/>
    <col min="13337" max="13337" width="9.42578125" style="382" bestFit="1" customWidth="1"/>
    <col min="13338" max="13338" width="9.28515625" style="382" bestFit="1" customWidth="1"/>
    <col min="13339" max="13339" width="9.28515625" style="382" customWidth="1"/>
    <col min="13340" max="13343" width="9.140625" style="382"/>
    <col min="13344" max="13344" width="12.7109375" style="382" customWidth="1"/>
    <col min="13345" max="13345" width="10.7109375" style="382" customWidth="1"/>
    <col min="13346" max="13346" width="14.7109375" style="382" customWidth="1"/>
    <col min="13347" max="13348" width="15.7109375" style="382" customWidth="1"/>
    <col min="13349" max="13351" width="9.140625" style="382"/>
    <col min="13352" max="13352" width="19.7109375" style="382" customWidth="1"/>
    <col min="13353" max="13364" width="9.140625" style="382"/>
    <col min="13365" max="13365" width="19.140625" style="382" customWidth="1"/>
    <col min="13366" max="13377" width="9.140625" style="382"/>
    <col min="13378" max="13378" width="28.7109375" style="382" customWidth="1"/>
    <col min="13379" max="13379" width="15.28515625" style="382" bestFit="1" customWidth="1"/>
    <col min="13380" max="13384" width="12.7109375" style="382" customWidth="1"/>
    <col min="13385" max="13387" width="11.85546875" style="382" customWidth="1"/>
    <col min="13388" max="13388" width="9.140625" style="382"/>
    <col min="13389" max="13389" width="12" style="382" bestFit="1" customWidth="1"/>
    <col min="13390" max="13568" width="9.140625" style="382"/>
    <col min="13569" max="13569" width="26.7109375" style="382" customWidth="1"/>
    <col min="13570" max="13577" width="9.140625" style="382"/>
    <col min="13578" max="13580" width="9.28515625" style="382" customWidth="1"/>
    <col min="13581" max="13581" width="35.140625" style="382" customWidth="1"/>
    <col min="13582" max="13585" width="12.7109375" style="382" customWidth="1"/>
    <col min="13586" max="13587" width="9.28515625" style="382" customWidth="1"/>
    <col min="13588" max="13588" width="9.140625" style="382"/>
    <col min="13589" max="13589" width="35.140625" style="382" customWidth="1"/>
    <col min="13590" max="13590" width="9.28515625" style="382" customWidth="1"/>
    <col min="13591" max="13592" width="9.28515625" style="382" bestFit="1" customWidth="1"/>
    <col min="13593" max="13593" width="9.42578125" style="382" bestFit="1" customWidth="1"/>
    <col min="13594" max="13594" width="9.28515625" style="382" bestFit="1" customWidth="1"/>
    <col min="13595" max="13595" width="9.28515625" style="382" customWidth="1"/>
    <col min="13596" max="13599" width="9.140625" style="382"/>
    <col min="13600" max="13600" width="12.7109375" style="382" customWidth="1"/>
    <col min="13601" max="13601" width="10.7109375" style="382" customWidth="1"/>
    <col min="13602" max="13602" width="14.7109375" style="382" customWidth="1"/>
    <col min="13603" max="13604" width="15.7109375" style="382" customWidth="1"/>
    <col min="13605" max="13607" width="9.140625" style="382"/>
    <col min="13608" max="13608" width="19.7109375" style="382" customWidth="1"/>
    <col min="13609" max="13620" width="9.140625" style="382"/>
    <col min="13621" max="13621" width="19.140625" style="382" customWidth="1"/>
    <col min="13622" max="13633" width="9.140625" style="382"/>
    <col min="13634" max="13634" width="28.7109375" style="382" customWidth="1"/>
    <col min="13635" max="13635" width="15.28515625" style="382" bestFit="1" customWidth="1"/>
    <col min="13636" max="13640" width="12.7109375" style="382" customWidth="1"/>
    <col min="13641" max="13643" width="11.85546875" style="382" customWidth="1"/>
    <col min="13644" max="13644" width="9.140625" style="382"/>
    <col min="13645" max="13645" width="12" style="382" bestFit="1" customWidth="1"/>
    <col min="13646" max="13824" width="9.140625" style="382"/>
    <col min="13825" max="13825" width="26.7109375" style="382" customWidth="1"/>
    <col min="13826" max="13833" width="9.140625" style="382"/>
    <col min="13834" max="13836" width="9.28515625" style="382" customWidth="1"/>
    <col min="13837" max="13837" width="35.140625" style="382" customWidth="1"/>
    <col min="13838" max="13841" width="12.7109375" style="382" customWidth="1"/>
    <col min="13842" max="13843" width="9.28515625" style="382" customWidth="1"/>
    <col min="13844" max="13844" width="9.140625" style="382"/>
    <col min="13845" max="13845" width="35.140625" style="382" customWidth="1"/>
    <col min="13846" max="13846" width="9.28515625" style="382" customWidth="1"/>
    <col min="13847" max="13848" width="9.28515625" style="382" bestFit="1" customWidth="1"/>
    <col min="13849" max="13849" width="9.42578125" style="382" bestFit="1" customWidth="1"/>
    <col min="13850" max="13850" width="9.28515625" style="382" bestFit="1" customWidth="1"/>
    <col min="13851" max="13851" width="9.28515625" style="382" customWidth="1"/>
    <col min="13852" max="13855" width="9.140625" style="382"/>
    <col min="13856" max="13856" width="12.7109375" style="382" customWidth="1"/>
    <col min="13857" max="13857" width="10.7109375" style="382" customWidth="1"/>
    <col min="13858" max="13858" width="14.7109375" style="382" customWidth="1"/>
    <col min="13859" max="13860" width="15.7109375" style="382" customWidth="1"/>
    <col min="13861" max="13863" width="9.140625" style="382"/>
    <col min="13864" max="13864" width="19.7109375" style="382" customWidth="1"/>
    <col min="13865" max="13876" width="9.140625" style="382"/>
    <col min="13877" max="13877" width="19.140625" style="382" customWidth="1"/>
    <col min="13878" max="13889" width="9.140625" style="382"/>
    <col min="13890" max="13890" width="28.7109375" style="382" customWidth="1"/>
    <col min="13891" max="13891" width="15.28515625" style="382" bestFit="1" customWidth="1"/>
    <col min="13892" max="13896" width="12.7109375" style="382" customWidth="1"/>
    <col min="13897" max="13899" width="11.85546875" style="382" customWidth="1"/>
    <col min="13900" max="13900" width="9.140625" style="382"/>
    <col min="13901" max="13901" width="12" style="382" bestFit="1" customWidth="1"/>
    <col min="13902" max="14080" width="9.140625" style="382"/>
    <col min="14081" max="14081" width="26.7109375" style="382" customWidth="1"/>
    <col min="14082" max="14089" width="9.140625" style="382"/>
    <col min="14090" max="14092" width="9.28515625" style="382" customWidth="1"/>
    <col min="14093" max="14093" width="35.140625" style="382" customWidth="1"/>
    <col min="14094" max="14097" width="12.7109375" style="382" customWidth="1"/>
    <col min="14098" max="14099" width="9.28515625" style="382" customWidth="1"/>
    <col min="14100" max="14100" width="9.140625" style="382"/>
    <col min="14101" max="14101" width="35.140625" style="382" customWidth="1"/>
    <col min="14102" max="14102" width="9.28515625" style="382" customWidth="1"/>
    <col min="14103" max="14104" width="9.28515625" style="382" bestFit="1" customWidth="1"/>
    <col min="14105" max="14105" width="9.42578125" style="382" bestFit="1" customWidth="1"/>
    <col min="14106" max="14106" width="9.28515625" style="382" bestFit="1" customWidth="1"/>
    <col min="14107" max="14107" width="9.28515625" style="382" customWidth="1"/>
    <col min="14108" max="14111" width="9.140625" style="382"/>
    <col min="14112" max="14112" width="12.7109375" style="382" customWidth="1"/>
    <col min="14113" max="14113" width="10.7109375" style="382" customWidth="1"/>
    <col min="14114" max="14114" width="14.7109375" style="382" customWidth="1"/>
    <col min="14115" max="14116" width="15.7109375" style="382" customWidth="1"/>
    <col min="14117" max="14119" width="9.140625" style="382"/>
    <col min="14120" max="14120" width="19.7109375" style="382" customWidth="1"/>
    <col min="14121" max="14132" width="9.140625" style="382"/>
    <col min="14133" max="14133" width="19.140625" style="382" customWidth="1"/>
    <col min="14134" max="14145" width="9.140625" style="382"/>
    <col min="14146" max="14146" width="28.7109375" style="382" customWidth="1"/>
    <col min="14147" max="14147" width="15.28515625" style="382" bestFit="1" customWidth="1"/>
    <col min="14148" max="14152" width="12.7109375" style="382" customWidth="1"/>
    <col min="14153" max="14155" width="11.85546875" style="382" customWidth="1"/>
    <col min="14156" max="14156" width="9.140625" style="382"/>
    <col min="14157" max="14157" width="12" style="382" bestFit="1" customWidth="1"/>
    <col min="14158" max="14336" width="9.140625" style="382"/>
    <col min="14337" max="14337" width="26.7109375" style="382" customWidth="1"/>
    <col min="14338" max="14345" width="9.140625" style="382"/>
    <col min="14346" max="14348" width="9.28515625" style="382" customWidth="1"/>
    <col min="14349" max="14349" width="35.140625" style="382" customWidth="1"/>
    <col min="14350" max="14353" width="12.7109375" style="382" customWidth="1"/>
    <col min="14354" max="14355" width="9.28515625" style="382" customWidth="1"/>
    <col min="14356" max="14356" width="9.140625" style="382"/>
    <col min="14357" max="14357" width="35.140625" style="382" customWidth="1"/>
    <col min="14358" max="14358" width="9.28515625" style="382" customWidth="1"/>
    <col min="14359" max="14360" width="9.28515625" style="382" bestFit="1" customWidth="1"/>
    <col min="14361" max="14361" width="9.42578125" style="382" bestFit="1" customWidth="1"/>
    <col min="14362" max="14362" width="9.28515625" style="382" bestFit="1" customWidth="1"/>
    <col min="14363" max="14363" width="9.28515625" style="382" customWidth="1"/>
    <col min="14364" max="14367" width="9.140625" style="382"/>
    <col min="14368" max="14368" width="12.7109375" style="382" customWidth="1"/>
    <col min="14369" max="14369" width="10.7109375" style="382" customWidth="1"/>
    <col min="14370" max="14370" width="14.7109375" style="382" customWidth="1"/>
    <col min="14371" max="14372" width="15.7109375" style="382" customWidth="1"/>
    <col min="14373" max="14375" width="9.140625" style="382"/>
    <col min="14376" max="14376" width="19.7109375" style="382" customWidth="1"/>
    <col min="14377" max="14388" width="9.140625" style="382"/>
    <col min="14389" max="14389" width="19.140625" style="382" customWidth="1"/>
    <col min="14390" max="14401" width="9.140625" style="382"/>
    <col min="14402" max="14402" width="28.7109375" style="382" customWidth="1"/>
    <col min="14403" max="14403" width="15.28515625" style="382" bestFit="1" customWidth="1"/>
    <col min="14404" max="14408" width="12.7109375" style="382" customWidth="1"/>
    <col min="14409" max="14411" width="11.85546875" style="382" customWidth="1"/>
    <col min="14412" max="14412" width="9.140625" style="382"/>
    <col min="14413" max="14413" width="12" style="382" bestFit="1" customWidth="1"/>
    <col min="14414" max="14592" width="9.140625" style="382"/>
    <col min="14593" max="14593" width="26.7109375" style="382" customWidth="1"/>
    <col min="14594" max="14601" width="9.140625" style="382"/>
    <col min="14602" max="14604" width="9.28515625" style="382" customWidth="1"/>
    <col min="14605" max="14605" width="35.140625" style="382" customWidth="1"/>
    <col min="14606" max="14609" width="12.7109375" style="382" customWidth="1"/>
    <col min="14610" max="14611" width="9.28515625" style="382" customWidth="1"/>
    <col min="14612" max="14612" width="9.140625" style="382"/>
    <col min="14613" max="14613" width="35.140625" style="382" customWidth="1"/>
    <col min="14614" max="14614" width="9.28515625" style="382" customWidth="1"/>
    <col min="14615" max="14616" width="9.28515625" style="382" bestFit="1" customWidth="1"/>
    <col min="14617" max="14617" width="9.42578125" style="382" bestFit="1" customWidth="1"/>
    <col min="14618" max="14618" width="9.28515625" style="382" bestFit="1" customWidth="1"/>
    <col min="14619" max="14619" width="9.28515625" style="382" customWidth="1"/>
    <col min="14620" max="14623" width="9.140625" style="382"/>
    <col min="14624" max="14624" width="12.7109375" style="382" customWidth="1"/>
    <col min="14625" max="14625" width="10.7109375" style="382" customWidth="1"/>
    <col min="14626" max="14626" width="14.7109375" style="382" customWidth="1"/>
    <col min="14627" max="14628" width="15.7109375" style="382" customWidth="1"/>
    <col min="14629" max="14631" width="9.140625" style="382"/>
    <col min="14632" max="14632" width="19.7109375" style="382" customWidth="1"/>
    <col min="14633" max="14644" width="9.140625" style="382"/>
    <col min="14645" max="14645" width="19.140625" style="382" customWidth="1"/>
    <col min="14646" max="14657" width="9.140625" style="382"/>
    <col min="14658" max="14658" width="28.7109375" style="382" customWidth="1"/>
    <col min="14659" max="14659" width="15.28515625" style="382" bestFit="1" customWidth="1"/>
    <col min="14660" max="14664" width="12.7109375" style="382" customWidth="1"/>
    <col min="14665" max="14667" width="11.85546875" style="382" customWidth="1"/>
    <col min="14668" max="14668" width="9.140625" style="382"/>
    <col min="14669" max="14669" width="12" style="382" bestFit="1" customWidth="1"/>
    <col min="14670" max="14848" width="9.140625" style="382"/>
    <col min="14849" max="14849" width="26.7109375" style="382" customWidth="1"/>
    <col min="14850" max="14857" width="9.140625" style="382"/>
    <col min="14858" max="14860" width="9.28515625" style="382" customWidth="1"/>
    <col min="14861" max="14861" width="35.140625" style="382" customWidth="1"/>
    <col min="14862" max="14865" width="12.7109375" style="382" customWidth="1"/>
    <col min="14866" max="14867" width="9.28515625" style="382" customWidth="1"/>
    <col min="14868" max="14868" width="9.140625" style="382"/>
    <col min="14869" max="14869" width="35.140625" style="382" customWidth="1"/>
    <col min="14870" max="14870" width="9.28515625" style="382" customWidth="1"/>
    <col min="14871" max="14872" width="9.28515625" style="382" bestFit="1" customWidth="1"/>
    <col min="14873" max="14873" width="9.42578125" style="382" bestFit="1" customWidth="1"/>
    <col min="14874" max="14874" width="9.28515625" style="382" bestFit="1" customWidth="1"/>
    <col min="14875" max="14875" width="9.28515625" style="382" customWidth="1"/>
    <col min="14876" max="14879" width="9.140625" style="382"/>
    <col min="14880" max="14880" width="12.7109375" style="382" customWidth="1"/>
    <col min="14881" max="14881" width="10.7109375" style="382" customWidth="1"/>
    <col min="14882" max="14882" width="14.7109375" style="382" customWidth="1"/>
    <col min="14883" max="14884" width="15.7109375" style="382" customWidth="1"/>
    <col min="14885" max="14887" width="9.140625" style="382"/>
    <col min="14888" max="14888" width="19.7109375" style="382" customWidth="1"/>
    <col min="14889" max="14900" width="9.140625" style="382"/>
    <col min="14901" max="14901" width="19.140625" style="382" customWidth="1"/>
    <col min="14902" max="14913" width="9.140625" style="382"/>
    <col min="14914" max="14914" width="28.7109375" style="382" customWidth="1"/>
    <col min="14915" max="14915" width="15.28515625" style="382" bestFit="1" customWidth="1"/>
    <col min="14916" max="14920" width="12.7109375" style="382" customWidth="1"/>
    <col min="14921" max="14923" width="11.85546875" style="382" customWidth="1"/>
    <col min="14924" max="14924" width="9.140625" style="382"/>
    <col min="14925" max="14925" width="12" style="382" bestFit="1" customWidth="1"/>
    <col min="14926" max="15104" width="9.140625" style="382"/>
    <col min="15105" max="15105" width="26.7109375" style="382" customWidth="1"/>
    <col min="15106" max="15113" width="9.140625" style="382"/>
    <col min="15114" max="15116" width="9.28515625" style="382" customWidth="1"/>
    <col min="15117" max="15117" width="35.140625" style="382" customWidth="1"/>
    <col min="15118" max="15121" width="12.7109375" style="382" customWidth="1"/>
    <col min="15122" max="15123" width="9.28515625" style="382" customWidth="1"/>
    <col min="15124" max="15124" width="9.140625" style="382"/>
    <col min="15125" max="15125" width="35.140625" style="382" customWidth="1"/>
    <col min="15126" max="15126" width="9.28515625" style="382" customWidth="1"/>
    <col min="15127" max="15128" width="9.28515625" style="382" bestFit="1" customWidth="1"/>
    <col min="15129" max="15129" width="9.42578125" style="382" bestFit="1" customWidth="1"/>
    <col min="15130" max="15130" width="9.28515625" style="382" bestFit="1" customWidth="1"/>
    <col min="15131" max="15131" width="9.28515625" style="382" customWidth="1"/>
    <col min="15132" max="15135" width="9.140625" style="382"/>
    <col min="15136" max="15136" width="12.7109375" style="382" customWidth="1"/>
    <col min="15137" max="15137" width="10.7109375" style="382" customWidth="1"/>
    <col min="15138" max="15138" width="14.7109375" style="382" customWidth="1"/>
    <col min="15139" max="15140" width="15.7109375" style="382" customWidth="1"/>
    <col min="15141" max="15143" width="9.140625" style="382"/>
    <col min="15144" max="15144" width="19.7109375" style="382" customWidth="1"/>
    <col min="15145" max="15156" width="9.140625" style="382"/>
    <col min="15157" max="15157" width="19.140625" style="382" customWidth="1"/>
    <col min="15158" max="15169" width="9.140625" style="382"/>
    <col min="15170" max="15170" width="28.7109375" style="382" customWidth="1"/>
    <col min="15171" max="15171" width="15.28515625" style="382" bestFit="1" customWidth="1"/>
    <col min="15172" max="15176" width="12.7109375" style="382" customWidth="1"/>
    <col min="15177" max="15179" width="11.85546875" style="382" customWidth="1"/>
    <col min="15180" max="15180" width="9.140625" style="382"/>
    <col min="15181" max="15181" width="12" style="382" bestFit="1" customWidth="1"/>
    <col min="15182" max="15360" width="9.140625" style="382"/>
    <col min="15361" max="15361" width="26.7109375" style="382" customWidth="1"/>
    <col min="15362" max="15369" width="9.140625" style="382"/>
    <col min="15370" max="15372" width="9.28515625" style="382" customWidth="1"/>
    <col min="15373" max="15373" width="35.140625" style="382" customWidth="1"/>
    <col min="15374" max="15377" width="12.7109375" style="382" customWidth="1"/>
    <col min="15378" max="15379" width="9.28515625" style="382" customWidth="1"/>
    <col min="15380" max="15380" width="9.140625" style="382"/>
    <col min="15381" max="15381" width="35.140625" style="382" customWidth="1"/>
    <col min="15382" max="15382" width="9.28515625" style="382" customWidth="1"/>
    <col min="15383" max="15384" width="9.28515625" style="382" bestFit="1" customWidth="1"/>
    <col min="15385" max="15385" width="9.42578125" style="382" bestFit="1" customWidth="1"/>
    <col min="15386" max="15386" width="9.28515625" style="382" bestFit="1" customWidth="1"/>
    <col min="15387" max="15387" width="9.28515625" style="382" customWidth="1"/>
    <col min="15388" max="15391" width="9.140625" style="382"/>
    <col min="15392" max="15392" width="12.7109375" style="382" customWidth="1"/>
    <col min="15393" max="15393" width="10.7109375" style="382" customWidth="1"/>
    <col min="15394" max="15394" width="14.7109375" style="382" customWidth="1"/>
    <col min="15395" max="15396" width="15.7109375" style="382" customWidth="1"/>
    <col min="15397" max="15399" width="9.140625" style="382"/>
    <col min="15400" max="15400" width="19.7109375" style="382" customWidth="1"/>
    <col min="15401" max="15412" width="9.140625" style="382"/>
    <col min="15413" max="15413" width="19.140625" style="382" customWidth="1"/>
    <col min="15414" max="15425" width="9.140625" style="382"/>
    <col min="15426" max="15426" width="28.7109375" style="382" customWidth="1"/>
    <col min="15427" max="15427" width="15.28515625" style="382" bestFit="1" customWidth="1"/>
    <col min="15428" max="15432" width="12.7109375" style="382" customWidth="1"/>
    <col min="15433" max="15435" width="11.85546875" style="382" customWidth="1"/>
    <col min="15436" max="15436" width="9.140625" style="382"/>
    <col min="15437" max="15437" width="12" style="382" bestFit="1" customWidth="1"/>
    <col min="15438" max="15616" width="9.140625" style="382"/>
    <col min="15617" max="15617" width="26.7109375" style="382" customWidth="1"/>
    <col min="15618" max="15625" width="9.140625" style="382"/>
    <col min="15626" max="15628" width="9.28515625" style="382" customWidth="1"/>
    <col min="15629" max="15629" width="35.140625" style="382" customWidth="1"/>
    <col min="15630" max="15633" width="12.7109375" style="382" customWidth="1"/>
    <col min="15634" max="15635" width="9.28515625" style="382" customWidth="1"/>
    <col min="15636" max="15636" width="9.140625" style="382"/>
    <col min="15637" max="15637" width="35.140625" style="382" customWidth="1"/>
    <col min="15638" max="15638" width="9.28515625" style="382" customWidth="1"/>
    <col min="15639" max="15640" width="9.28515625" style="382" bestFit="1" customWidth="1"/>
    <col min="15641" max="15641" width="9.42578125" style="382" bestFit="1" customWidth="1"/>
    <col min="15642" max="15642" width="9.28515625" style="382" bestFit="1" customWidth="1"/>
    <col min="15643" max="15643" width="9.28515625" style="382" customWidth="1"/>
    <col min="15644" max="15647" width="9.140625" style="382"/>
    <col min="15648" max="15648" width="12.7109375" style="382" customWidth="1"/>
    <col min="15649" max="15649" width="10.7109375" style="382" customWidth="1"/>
    <col min="15650" max="15650" width="14.7109375" style="382" customWidth="1"/>
    <col min="15651" max="15652" width="15.7109375" style="382" customWidth="1"/>
    <col min="15653" max="15655" width="9.140625" style="382"/>
    <col min="15656" max="15656" width="19.7109375" style="382" customWidth="1"/>
    <col min="15657" max="15668" width="9.140625" style="382"/>
    <col min="15669" max="15669" width="19.140625" style="382" customWidth="1"/>
    <col min="15670" max="15681" width="9.140625" style="382"/>
    <col min="15682" max="15682" width="28.7109375" style="382" customWidth="1"/>
    <col min="15683" max="15683" width="15.28515625" style="382" bestFit="1" customWidth="1"/>
    <col min="15684" max="15688" width="12.7109375" style="382" customWidth="1"/>
    <col min="15689" max="15691" width="11.85546875" style="382" customWidth="1"/>
    <col min="15692" max="15692" width="9.140625" style="382"/>
    <col min="15693" max="15693" width="12" style="382" bestFit="1" customWidth="1"/>
    <col min="15694" max="15872" width="9.140625" style="382"/>
    <col min="15873" max="15873" width="26.7109375" style="382" customWidth="1"/>
    <col min="15874" max="15881" width="9.140625" style="382"/>
    <col min="15882" max="15884" width="9.28515625" style="382" customWidth="1"/>
    <col min="15885" max="15885" width="35.140625" style="382" customWidth="1"/>
    <col min="15886" max="15889" width="12.7109375" style="382" customWidth="1"/>
    <col min="15890" max="15891" width="9.28515625" style="382" customWidth="1"/>
    <col min="15892" max="15892" width="9.140625" style="382"/>
    <col min="15893" max="15893" width="35.140625" style="382" customWidth="1"/>
    <col min="15894" max="15894" width="9.28515625" style="382" customWidth="1"/>
    <col min="15895" max="15896" width="9.28515625" style="382" bestFit="1" customWidth="1"/>
    <col min="15897" max="15897" width="9.42578125" style="382" bestFit="1" customWidth="1"/>
    <col min="15898" max="15898" width="9.28515625" style="382" bestFit="1" customWidth="1"/>
    <col min="15899" max="15899" width="9.28515625" style="382" customWidth="1"/>
    <col min="15900" max="15903" width="9.140625" style="382"/>
    <col min="15904" max="15904" width="12.7109375" style="382" customWidth="1"/>
    <col min="15905" max="15905" width="10.7109375" style="382" customWidth="1"/>
    <col min="15906" max="15906" width="14.7109375" style="382" customWidth="1"/>
    <col min="15907" max="15908" width="15.7109375" style="382" customWidth="1"/>
    <col min="15909" max="15911" width="9.140625" style="382"/>
    <col min="15912" max="15912" width="19.7109375" style="382" customWidth="1"/>
    <col min="15913" max="15924" width="9.140625" style="382"/>
    <col min="15925" max="15925" width="19.140625" style="382" customWidth="1"/>
    <col min="15926" max="15937" width="9.140625" style="382"/>
    <col min="15938" max="15938" width="28.7109375" style="382" customWidth="1"/>
    <col min="15939" max="15939" width="15.28515625" style="382" bestFit="1" customWidth="1"/>
    <col min="15940" max="15944" width="12.7109375" style="382" customWidth="1"/>
    <col min="15945" max="15947" width="11.85546875" style="382" customWidth="1"/>
    <col min="15948" max="15948" width="9.140625" style="382"/>
    <col min="15949" max="15949" width="12" style="382" bestFit="1" customWidth="1"/>
    <col min="15950" max="16128" width="9.140625" style="382"/>
    <col min="16129" max="16129" width="26.7109375" style="382" customWidth="1"/>
    <col min="16130" max="16137" width="9.140625" style="382"/>
    <col min="16138" max="16140" width="9.28515625" style="382" customWidth="1"/>
    <col min="16141" max="16141" width="35.140625" style="382" customWidth="1"/>
    <col min="16142" max="16145" width="12.7109375" style="382" customWidth="1"/>
    <col min="16146" max="16147" width="9.28515625" style="382" customWidth="1"/>
    <col min="16148" max="16148" width="9.140625" style="382"/>
    <col min="16149" max="16149" width="35.140625" style="382" customWidth="1"/>
    <col min="16150" max="16150" width="9.28515625" style="382" customWidth="1"/>
    <col min="16151" max="16152" width="9.28515625" style="382" bestFit="1" customWidth="1"/>
    <col min="16153" max="16153" width="9.42578125" style="382" bestFit="1" customWidth="1"/>
    <col min="16154" max="16154" width="9.28515625" style="382" bestFit="1" customWidth="1"/>
    <col min="16155" max="16155" width="9.28515625" style="382" customWidth="1"/>
    <col min="16156" max="16159" width="9.140625" style="382"/>
    <col min="16160" max="16160" width="12.7109375" style="382" customWidth="1"/>
    <col min="16161" max="16161" width="10.7109375" style="382" customWidth="1"/>
    <col min="16162" max="16162" width="14.7109375" style="382" customWidth="1"/>
    <col min="16163" max="16164" width="15.7109375" style="382" customWidth="1"/>
    <col min="16165" max="16167" width="9.140625" style="382"/>
    <col min="16168" max="16168" width="19.7109375" style="382" customWidth="1"/>
    <col min="16169" max="16180" width="9.140625" style="382"/>
    <col min="16181" max="16181" width="19.140625" style="382" customWidth="1"/>
    <col min="16182" max="16193" width="9.140625" style="382"/>
    <col min="16194" max="16194" width="28.7109375" style="382" customWidth="1"/>
    <col min="16195" max="16195" width="15.28515625" style="382" bestFit="1" customWidth="1"/>
    <col min="16196" max="16200" width="12.7109375" style="382" customWidth="1"/>
    <col min="16201" max="16203" width="11.85546875" style="382" customWidth="1"/>
    <col min="16204" max="16204" width="9.140625" style="382"/>
    <col min="16205" max="16205" width="12" style="382" bestFit="1" customWidth="1"/>
    <col min="16206" max="16384" width="9.140625" style="382"/>
  </cols>
  <sheetData>
    <row r="1" spans="1:75">
      <c r="A1" s="899" t="s">
        <v>4339</v>
      </c>
      <c r="B1" s="899"/>
      <c r="C1" s="899"/>
      <c r="D1" s="840"/>
      <c r="E1" s="840"/>
      <c r="F1" s="840"/>
      <c r="G1" s="840"/>
      <c r="H1" s="398"/>
      <c r="I1" s="398"/>
      <c r="J1" s="398"/>
      <c r="K1" s="398"/>
      <c r="L1" s="398"/>
      <c r="M1" s="384" t="s">
        <v>4340</v>
      </c>
      <c r="N1" s="384"/>
      <c r="O1" s="387"/>
      <c r="P1" s="387"/>
      <c r="Q1" s="387"/>
      <c r="R1" s="398"/>
      <c r="S1" s="398"/>
      <c r="U1" s="384" t="s">
        <v>4341</v>
      </c>
      <c r="V1" s="824"/>
      <c r="W1" s="824"/>
      <c r="X1" s="824"/>
      <c r="Y1" s="824"/>
      <c r="Z1" s="824"/>
      <c r="AA1" s="381"/>
      <c r="AE1" s="381" t="s">
        <v>4342</v>
      </c>
      <c r="AF1" s="381"/>
      <c r="AG1" s="381"/>
      <c r="AH1" s="381"/>
      <c r="AI1" s="381"/>
      <c r="AJ1" s="381"/>
      <c r="AN1" s="398" t="s">
        <v>4343</v>
      </c>
      <c r="AO1" s="900"/>
      <c r="AP1" s="900"/>
      <c r="AQ1" s="900"/>
      <c r="AR1" s="900"/>
      <c r="AS1" s="900"/>
      <c r="AT1" s="900"/>
      <c r="AU1" s="900"/>
      <c r="AV1" s="900"/>
      <c r="AW1" s="900"/>
      <c r="AX1" s="900"/>
      <c r="BA1" s="398" t="s">
        <v>4344</v>
      </c>
      <c r="BB1" s="900"/>
      <c r="BC1" s="900"/>
      <c r="BD1" s="900"/>
      <c r="BE1" s="900"/>
      <c r="BF1" s="900"/>
      <c r="BG1" s="900"/>
      <c r="BH1" s="900"/>
      <c r="BI1" s="900"/>
      <c r="BJ1" s="900"/>
      <c r="BK1" s="900"/>
      <c r="BL1" s="900"/>
      <c r="BN1" s="398" t="s">
        <v>4345</v>
      </c>
      <c r="BO1" s="385"/>
      <c r="BP1" s="385"/>
      <c r="BQ1" s="385"/>
      <c r="BR1" s="385"/>
      <c r="BS1" s="901"/>
      <c r="BT1" s="902"/>
    </row>
    <row r="2" spans="1:75">
      <c r="A2" s="398" t="s">
        <v>4346</v>
      </c>
      <c r="B2" s="398"/>
      <c r="C2" s="398"/>
      <c r="D2" s="840"/>
      <c r="E2" s="840"/>
      <c r="F2" s="840"/>
      <c r="G2" s="840"/>
      <c r="H2" s="398"/>
      <c r="I2" s="398"/>
      <c r="J2" s="398"/>
      <c r="K2" s="398"/>
      <c r="L2" s="398"/>
      <c r="M2" s="903" t="s">
        <v>4347</v>
      </c>
      <c r="N2" s="904">
        <v>2024</v>
      </c>
      <c r="O2" s="905">
        <v>2023</v>
      </c>
      <c r="P2" s="905">
        <v>2022</v>
      </c>
      <c r="Q2" s="906">
        <v>2021</v>
      </c>
      <c r="R2" s="398"/>
      <c r="S2" s="398"/>
      <c r="U2" s="903" t="s">
        <v>4348</v>
      </c>
      <c r="V2" s="389">
        <v>2020</v>
      </c>
      <c r="W2" s="389">
        <v>2019</v>
      </c>
      <c r="X2" s="389">
        <v>2017</v>
      </c>
      <c r="Y2" s="389">
        <v>2016</v>
      </c>
      <c r="Z2" s="389">
        <v>2015</v>
      </c>
      <c r="AA2" s="390">
        <v>2014</v>
      </c>
      <c r="AF2" s="907"/>
      <c r="AG2" s="2149" t="s">
        <v>4349</v>
      </c>
      <c r="AH2" s="2076"/>
      <c r="AI2" s="846" t="s">
        <v>4350</v>
      </c>
      <c r="AJ2" s="907"/>
      <c r="AN2" s="2159" t="s">
        <v>4351</v>
      </c>
      <c r="AO2" s="2161" t="s">
        <v>129</v>
      </c>
      <c r="AP2" s="459"/>
      <c r="AQ2" s="2078" t="s">
        <v>4352</v>
      </c>
      <c r="AR2" s="2079"/>
      <c r="AS2" s="404"/>
      <c r="AT2" s="2164" t="s">
        <v>4353</v>
      </c>
      <c r="AU2" s="401"/>
      <c r="AV2" s="2078" t="s">
        <v>4352</v>
      </c>
      <c r="AW2" s="2079"/>
      <c r="AX2" s="907"/>
      <c r="BA2" s="2159" t="s">
        <v>4351</v>
      </c>
      <c r="BB2" s="2161" t="s">
        <v>129</v>
      </c>
      <c r="BC2" s="459"/>
      <c r="BD2" s="2078" t="s">
        <v>4352</v>
      </c>
      <c r="BE2" s="2079"/>
      <c r="BF2" s="404"/>
      <c r="BG2" s="2164" t="s">
        <v>4353</v>
      </c>
      <c r="BH2" s="401"/>
      <c r="BI2" s="2078" t="s">
        <v>4352</v>
      </c>
      <c r="BJ2" s="2079"/>
      <c r="BK2" s="907"/>
      <c r="BN2" s="398" t="s">
        <v>4346</v>
      </c>
      <c r="BO2" s="385"/>
      <c r="BP2" s="385"/>
      <c r="BQ2" s="385"/>
      <c r="BR2" s="385"/>
      <c r="BS2" s="571"/>
      <c r="BT2" s="902"/>
    </row>
    <row r="3" spans="1:75">
      <c r="A3" s="909" t="s">
        <v>1810</v>
      </c>
      <c r="B3" s="389">
        <v>2010</v>
      </c>
      <c r="C3" s="389">
        <v>2009</v>
      </c>
      <c r="D3" s="389">
        <v>2008</v>
      </c>
      <c r="E3" s="389">
        <v>2007</v>
      </c>
      <c r="F3" s="389">
        <v>2006</v>
      </c>
      <c r="G3" s="728">
        <v>2005</v>
      </c>
      <c r="H3" s="728">
        <v>2004</v>
      </c>
      <c r="I3" s="729">
        <v>2003</v>
      </c>
      <c r="J3" s="385"/>
      <c r="K3" s="385"/>
      <c r="L3" s="385"/>
      <c r="M3" s="908" t="s">
        <v>4354</v>
      </c>
      <c r="N3" s="754">
        <f>N4+N11+N19</f>
        <v>10860</v>
      </c>
      <c r="O3" s="754">
        <f>O4+O11+O19</f>
        <v>10300</v>
      </c>
      <c r="P3" s="754">
        <f>P4+P11+P19</f>
        <v>9783</v>
      </c>
      <c r="Q3" s="754">
        <f>Q4+Q11+Q19</f>
        <v>11258</v>
      </c>
      <c r="R3" s="385"/>
      <c r="S3" s="385"/>
      <c r="U3" s="908" t="s">
        <v>4355</v>
      </c>
      <c r="V3" s="463">
        <f t="shared" ref="V3:AA3" si="0">V4+V10</f>
        <v>6217</v>
      </c>
      <c r="W3" s="463">
        <f t="shared" si="0"/>
        <v>6140</v>
      </c>
      <c r="X3" s="463">
        <f t="shared" si="0"/>
        <v>11559</v>
      </c>
      <c r="Y3" s="463">
        <f t="shared" si="0"/>
        <v>12807</v>
      </c>
      <c r="Z3" s="463">
        <f t="shared" si="0"/>
        <v>13326</v>
      </c>
      <c r="AA3" s="463">
        <f t="shared" si="0"/>
        <v>12654</v>
      </c>
      <c r="AB3" s="463"/>
      <c r="AC3" s="463"/>
      <c r="AF3" s="465" t="s">
        <v>4356</v>
      </c>
      <c r="AG3" s="2081" t="s">
        <v>4357</v>
      </c>
      <c r="AH3" s="2082"/>
      <c r="AI3" s="400" t="s">
        <v>4358</v>
      </c>
      <c r="AJ3" s="400" t="s">
        <v>4359</v>
      </c>
      <c r="AN3" s="2160"/>
      <c r="AO3" s="2162"/>
      <c r="AP3" s="667" t="s">
        <v>4360</v>
      </c>
      <c r="AQ3" s="667" t="s">
        <v>4361</v>
      </c>
      <c r="AR3" s="667" t="s">
        <v>1709</v>
      </c>
      <c r="AS3" s="910"/>
      <c r="AT3" s="2165"/>
      <c r="AU3" s="667" t="s">
        <v>4360</v>
      </c>
      <c r="AV3" s="667" t="s">
        <v>4361</v>
      </c>
      <c r="AW3" s="404" t="s">
        <v>1709</v>
      </c>
      <c r="AX3" s="465"/>
      <c r="BA3" s="2160"/>
      <c r="BB3" s="2162"/>
      <c r="BC3" s="667" t="s">
        <v>4360</v>
      </c>
      <c r="BD3" s="667" t="s">
        <v>4361</v>
      </c>
      <c r="BE3" s="667" t="s">
        <v>1709</v>
      </c>
      <c r="BF3" s="910"/>
      <c r="BG3" s="2165"/>
      <c r="BH3" s="667" t="s">
        <v>4360</v>
      </c>
      <c r="BI3" s="667" t="s">
        <v>4361</v>
      </c>
      <c r="BJ3" s="404" t="s">
        <v>1709</v>
      </c>
      <c r="BK3" s="465"/>
      <c r="BL3" s="439"/>
      <c r="BN3" s="911" t="s">
        <v>3526</v>
      </c>
      <c r="BO3" s="389">
        <v>2010</v>
      </c>
      <c r="BP3" s="389">
        <v>2009</v>
      </c>
      <c r="BQ3" s="389">
        <v>2008</v>
      </c>
      <c r="BR3" s="389">
        <v>2007</v>
      </c>
      <c r="BS3" s="389">
        <v>2006</v>
      </c>
      <c r="BT3" s="390">
        <v>2005</v>
      </c>
      <c r="BU3" s="388">
        <v>2004</v>
      </c>
      <c r="BV3" s="729">
        <v>2003</v>
      </c>
      <c r="BW3" s="385"/>
    </row>
    <row r="4" spans="1:75">
      <c r="A4" s="398" t="s">
        <v>4362</v>
      </c>
      <c r="B4" s="463">
        <v>2012</v>
      </c>
      <c r="C4" s="463">
        <v>1396</v>
      </c>
      <c r="D4" s="463">
        <v>1533</v>
      </c>
      <c r="E4" s="463">
        <v>1479</v>
      </c>
      <c r="F4" s="463">
        <v>1380</v>
      </c>
      <c r="G4" s="515">
        <v>1413</v>
      </c>
      <c r="H4" s="515">
        <v>1250</v>
      </c>
      <c r="I4" s="515">
        <v>1540</v>
      </c>
      <c r="J4" s="515"/>
      <c r="K4" s="515"/>
      <c r="L4" s="515"/>
      <c r="M4" s="382" t="s">
        <v>4363</v>
      </c>
      <c r="N4" s="515">
        <f>SUM(N5:N10)</f>
        <v>6725</v>
      </c>
      <c r="O4" s="515">
        <f>SUM(O5:O10)</f>
        <v>6456</v>
      </c>
      <c r="P4" s="515">
        <f>SUM(P5:P10)</f>
        <v>6282</v>
      </c>
      <c r="Q4" s="515">
        <f>SUM(Q5:Q10)</f>
        <v>6281</v>
      </c>
      <c r="R4" s="515"/>
      <c r="S4" s="515"/>
      <c r="U4" s="382" t="s">
        <v>4363</v>
      </c>
      <c r="V4" s="463">
        <f t="shared" ref="V4:AA4" si="1">SUM(V5:V9)</f>
        <v>6217</v>
      </c>
      <c r="W4" s="463">
        <f t="shared" si="1"/>
        <v>6140</v>
      </c>
      <c r="X4" s="463">
        <f t="shared" si="1"/>
        <v>5685</v>
      </c>
      <c r="Y4" s="463">
        <f t="shared" si="1"/>
        <v>5572</v>
      </c>
      <c r="Z4" s="463">
        <f t="shared" si="1"/>
        <v>6115</v>
      </c>
      <c r="AA4" s="463">
        <f t="shared" si="1"/>
        <v>6006</v>
      </c>
      <c r="AB4" s="463"/>
      <c r="AC4" s="463"/>
      <c r="AE4" s="477" t="s">
        <v>121</v>
      </c>
      <c r="AF4" s="442" t="s">
        <v>4364</v>
      </c>
      <c r="AG4" s="442" t="s">
        <v>1665</v>
      </c>
      <c r="AH4" s="642" t="s">
        <v>4365</v>
      </c>
      <c r="AI4" s="413" t="s">
        <v>4366</v>
      </c>
      <c r="AJ4" s="413" t="s">
        <v>4367</v>
      </c>
      <c r="AN4" s="2160"/>
      <c r="AO4" s="2162"/>
      <c r="AP4" s="667" t="s">
        <v>4368</v>
      </c>
      <c r="AQ4" s="667" t="s">
        <v>4368</v>
      </c>
      <c r="AR4" s="667" t="s">
        <v>4369</v>
      </c>
      <c r="AS4" s="667" t="s">
        <v>1709</v>
      </c>
      <c r="AT4" s="2165"/>
      <c r="AU4" s="667" t="s">
        <v>4368</v>
      </c>
      <c r="AV4" s="667" t="s">
        <v>4368</v>
      </c>
      <c r="AW4" s="667" t="s">
        <v>4369</v>
      </c>
      <c r="AX4" s="465" t="s">
        <v>1709</v>
      </c>
      <c r="BA4" s="2160"/>
      <c r="BB4" s="2162"/>
      <c r="BC4" s="667" t="s">
        <v>4368</v>
      </c>
      <c r="BD4" s="667" t="s">
        <v>4368</v>
      </c>
      <c r="BE4" s="667" t="s">
        <v>4369</v>
      </c>
      <c r="BF4" s="667" t="s">
        <v>1709</v>
      </c>
      <c r="BG4" s="2165"/>
      <c r="BH4" s="667" t="s">
        <v>4368</v>
      </c>
      <c r="BI4" s="667" t="s">
        <v>4368</v>
      </c>
      <c r="BJ4" s="667" t="s">
        <v>4369</v>
      </c>
      <c r="BK4" s="465" t="s">
        <v>1709</v>
      </c>
      <c r="BL4" s="439"/>
      <c r="BN4" s="709" t="s">
        <v>4370</v>
      </c>
      <c r="BO4" s="857">
        <v>1064.2</v>
      </c>
      <c r="BP4" s="382">
        <v>556.1</v>
      </c>
      <c r="BQ4" s="382">
        <v>775.2</v>
      </c>
      <c r="BR4" s="857">
        <v>791</v>
      </c>
      <c r="BS4" s="382">
        <f>SUM(BS5:BS7)</f>
        <v>696.7</v>
      </c>
      <c r="BT4" s="382">
        <f>SUM(BT5:BT7)</f>
        <v>682.40000000000009</v>
      </c>
      <c r="BU4" s="382">
        <v>624.29999999999995</v>
      </c>
      <c r="BV4" s="772">
        <v>788</v>
      </c>
      <c r="BW4" s="772"/>
    </row>
    <row r="5" spans="1:75">
      <c r="A5" s="398" t="s">
        <v>4371</v>
      </c>
      <c r="B5" s="382">
        <v>450</v>
      </c>
      <c r="C5" s="382">
        <v>387</v>
      </c>
      <c r="D5" s="463">
        <v>361</v>
      </c>
      <c r="E5" s="463">
        <v>299</v>
      </c>
      <c r="F5" s="463">
        <v>289</v>
      </c>
      <c r="G5" s="398">
        <v>368</v>
      </c>
      <c r="H5" s="398">
        <v>269</v>
      </c>
      <c r="I5" s="398">
        <v>400</v>
      </c>
      <c r="J5" s="398"/>
      <c r="K5" s="398"/>
      <c r="L5" s="398"/>
      <c r="M5" s="612" t="s">
        <v>4372</v>
      </c>
      <c r="N5" s="463">
        <v>2317</v>
      </c>
      <c r="O5" s="515">
        <v>2242</v>
      </c>
      <c r="P5" s="515">
        <v>2206</v>
      </c>
      <c r="Q5" s="515">
        <v>2179</v>
      </c>
      <c r="R5" s="398"/>
      <c r="S5" s="754"/>
      <c r="U5" s="612" t="s">
        <v>4372</v>
      </c>
      <c r="V5" s="463">
        <v>2089</v>
      </c>
      <c r="W5" s="463">
        <v>2108</v>
      </c>
      <c r="X5" s="463">
        <v>2091</v>
      </c>
      <c r="Y5" s="463">
        <v>1852</v>
      </c>
      <c r="Z5" s="463">
        <v>2074</v>
      </c>
      <c r="AA5" s="463">
        <v>2074</v>
      </c>
      <c r="AB5" s="463"/>
      <c r="AC5" s="463"/>
      <c r="AE5" s="439">
        <v>2016</v>
      </c>
      <c r="AF5" s="435">
        <v>5572</v>
      </c>
      <c r="AG5" s="435">
        <v>3477</v>
      </c>
      <c r="AH5" s="439">
        <v>62.4</v>
      </c>
      <c r="AI5" s="435">
        <v>7235</v>
      </c>
      <c r="AJ5" s="912">
        <v>3.08</v>
      </c>
      <c r="AN5" s="2150"/>
      <c r="AO5" s="2163"/>
      <c r="AP5" s="441" t="s">
        <v>4373</v>
      </c>
      <c r="AQ5" s="441" t="s">
        <v>4374</v>
      </c>
      <c r="AR5" s="441" t="s">
        <v>4375</v>
      </c>
      <c r="AS5" s="441" t="s">
        <v>4376</v>
      </c>
      <c r="AT5" s="2166"/>
      <c r="AU5" s="441" t="s">
        <v>4373</v>
      </c>
      <c r="AV5" s="441" t="s">
        <v>4374</v>
      </c>
      <c r="AW5" s="441" t="s">
        <v>4375</v>
      </c>
      <c r="AX5" s="442" t="s">
        <v>4376</v>
      </c>
      <c r="BA5" s="2150"/>
      <c r="BB5" s="2163"/>
      <c r="BC5" s="441" t="s">
        <v>4373</v>
      </c>
      <c r="BD5" s="441" t="s">
        <v>4374</v>
      </c>
      <c r="BE5" s="441" t="s">
        <v>4375</v>
      </c>
      <c r="BF5" s="441" t="s">
        <v>4376</v>
      </c>
      <c r="BG5" s="2166"/>
      <c r="BH5" s="441" t="s">
        <v>4373</v>
      </c>
      <c r="BI5" s="441" t="s">
        <v>4374</v>
      </c>
      <c r="BJ5" s="441" t="s">
        <v>4375</v>
      </c>
      <c r="BK5" s="442" t="s">
        <v>4376</v>
      </c>
      <c r="BL5" s="439"/>
      <c r="BN5" s="398" t="s">
        <v>4377</v>
      </c>
      <c r="BO5" s="382">
        <v>257.2</v>
      </c>
      <c r="BP5" s="382">
        <v>200.2</v>
      </c>
      <c r="BQ5" s="382">
        <v>115.2</v>
      </c>
      <c r="BR5" s="382">
        <v>234.8</v>
      </c>
      <c r="BS5" s="382">
        <v>252.5</v>
      </c>
      <c r="BT5" s="382">
        <v>234.8</v>
      </c>
      <c r="BU5" s="382">
        <v>227.1</v>
      </c>
      <c r="BV5" s="385">
        <v>224.5</v>
      </c>
      <c r="BW5" s="385"/>
    </row>
    <row r="6" spans="1:75">
      <c r="A6" s="398" t="s">
        <v>4378</v>
      </c>
      <c r="B6" s="382">
        <v>377</v>
      </c>
      <c r="C6" s="382">
        <v>312</v>
      </c>
      <c r="D6" s="463">
        <v>220</v>
      </c>
      <c r="E6" s="463">
        <v>333</v>
      </c>
      <c r="F6" s="463">
        <v>348</v>
      </c>
      <c r="G6" s="398">
        <v>328</v>
      </c>
      <c r="H6" s="515">
        <v>320</v>
      </c>
      <c r="I6" s="398">
        <v>315</v>
      </c>
      <c r="J6" s="398"/>
      <c r="K6" s="398"/>
      <c r="L6" s="398"/>
      <c r="M6" s="612" t="s">
        <v>4379</v>
      </c>
      <c r="N6" s="463">
        <v>0</v>
      </c>
      <c r="O6" s="515">
        <v>1</v>
      </c>
      <c r="P6" s="754" t="s">
        <v>2825</v>
      </c>
      <c r="Q6" s="515">
        <v>215</v>
      </c>
      <c r="R6" s="398"/>
      <c r="S6" s="754"/>
      <c r="U6" s="612" t="s">
        <v>4379</v>
      </c>
      <c r="V6" s="463">
        <v>189</v>
      </c>
      <c r="W6" s="463">
        <v>183</v>
      </c>
      <c r="X6" s="463">
        <v>39</v>
      </c>
      <c r="Y6" s="463">
        <v>240</v>
      </c>
      <c r="Z6" s="463">
        <v>253</v>
      </c>
      <c r="AA6" s="463">
        <v>257</v>
      </c>
      <c r="AB6" s="463"/>
      <c r="AC6" s="463"/>
      <c r="AE6" s="439">
        <v>2015</v>
      </c>
      <c r="AF6" s="913">
        <v>6115</v>
      </c>
      <c r="AG6" s="913">
        <v>3252</v>
      </c>
      <c r="AH6" s="752">
        <v>53.2</v>
      </c>
      <c r="AI6" s="913">
        <v>7211</v>
      </c>
      <c r="AJ6" s="914">
        <v>3.22</v>
      </c>
      <c r="AN6" s="398" t="s">
        <v>4314</v>
      </c>
      <c r="AO6" s="754">
        <f>SUM(AO7:AO25)</f>
        <v>159358</v>
      </c>
      <c r="AP6" s="754">
        <f>SUM(AP7:AP25)</f>
        <v>5006</v>
      </c>
      <c r="AQ6" s="754">
        <f>SUM(AQ7:AQ25)</f>
        <v>7211</v>
      </c>
      <c r="AR6" s="754">
        <f>SUM(AR7:AR25)</f>
        <v>5036</v>
      </c>
      <c r="AS6" s="915">
        <f>AO6-AP6-AQ6-AR6</f>
        <v>142105</v>
      </c>
      <c r="AT6" s="772">
        <v>100</v>
      </c>
      <c r="AU6" s="772">
        <f>AP6/AO6*100</f>
        <v>3.141354685676276</v>
      </c>
      <c r="AV6" s="772">
        <f>AQ6/AO6*100</f>
        <v>4.5250316896547398</v>
      </c>
      <c r="AW6" s="772">
        <f>AR6/AO6*100</f>
        <v>3.1601802231453711</v>
      </c>
      <c r="AX6" s="772">
        <f>AS6/AO6*100</f>
        <v>89.17343340152361</v>
      </c>
      <c r="BA6" s="398" t="s">
        <v>4314</v>
      </c>
      <c r="BB6" s="754">
        <v>154805</v>
      </c>
      <c r="BC6" s="754">
        <f>SUM(BC7:BC25)</f>
        <v>4375</v>
      </c>
      <c r="BD6" s="754">
        <f>SUM(BD7:BD25)</f>
        <v>6968</v>
      </c>
      <c r="BE6" s="754">
        <f>SUM(BE7:BE25)</f>
        <v>4872</v>
      </c>
      <c r="BF6" s="915">
        <f>BB6-BC6-BD6-BE6</f>
        <v>138590</v>
      </c>
      <c r="BG6" s="772">
        <v>100</v>
      </c>
      <c r="BH6" s="772">
        <f>BC6/BB6*100</f>
        <v>2.8261361067148991</v>
      </c>
      <c r="BI6" s="772">
        <f>BD6/BB6*100</f>
        <v>4.5011466037918675</v>
      </c>
      <c r="BJ6" s="772">
        <f>BE6/BB6*100</f>
        <v>3.1471851684377121</v>
      </c>
      <c r="BK6" s="772">
        <f>BF6/BB6*100</f>
        <v>89.525532121055519</v>
      </c>
      <c r="BL6" s="772"/>
      <c r="BN6" s="398" t="s">
        <v>4380</v>
      </c>
      <c r="BO6" s="382">
        <v>72.900000000000006</v>
      </c>
      <c r="BP6" s="382">
        <v>66.2</v>
      </c>
      <c r="BQ6" s="382">
        <v>60.8</v>
      </c>
      <c r="BR6" s="382">
        <v>58.4</v>
      </c>
      <c r="BS6" s="382">
        <v>56.1</v>
      </c>
      <c r="BT6" s="382">
        <v>55.3</v>
      </c>
      <c r="BU6" s="382">
        <v>54.1</v>
      </c>
      <c r="BV6" s="385">
        <v>54.4</v>
      </c>
      <c r="BW6" s="385"/>
    </row>
    <row r="7" spans="1:75">
      <c r="A7" s="398" t="s">
        <v>4381</v>
      </c>
      <c r="B7" s="382">
        <v>140</v>
      </c>
      <c r="C7" s="382">
        <v>119</v>
      </c>
      <c r="D7" s="463">
        <v>96</v>
      </c>
      <c r="E7" s="463">
        <v>90</v>
      </c>
      <c r="F7" s="463">
        <v>92</v>
      </c>
      <c r="G7" s="398">
        <v>81</v>
      </c>
      <c r="H7" s="398">
        <v>85</v>
      </c>
      <c r="I7" s="398">
        <v>92</v>
      </c>
      <c r="J7" s="398"/>
      <c r="K7" s="398"/>
      <c r="L7" s="398"/>
      <c r="M7" s="612" t="s">
        <v>4382</v>
      </c>
      <c r="N7" s="463">
        <v>320</v>
      </c>
      <c r="O7" s="515">
        <v>283</v>
      </c>
      <c r="P7" s="515">
        <v>0</v>
      </c>
      <c r="Q7" s="515">
        <v>0</v>
      </c>
      <c r="R7" s="398"/>
      <c r="S7" s="754"/>
      <c r="U7" s="612" t="s">
        <v>4382</v>
      </c>
      <c r="V7" s="463">
        <v>0</v>
      </c>
      <c r="W7" s="463">
        <v>0</v>
      </c>
      <c r="X7" s="463">
        <v>183</v>
      </c>
      <c r="Y7" s="463">
        <v>195</v>
      </c>
      <c r="Z7" s="463">
        <v>184</v>
      </c>
      <c r="AA7" s="463">
        <v>206</v>
      </c>
      <c r="AB7" s="463"/>
      <c r="AC7" s="463"/>
      <c r="AE7" s="439">
        <v>2014</v>
      </c>
      <c r="AF7" s="435">
        <v>6006</v>
      </c>
      <c r="AG7" s="435">
        <v>3139</v>
      </c>
      <c r="AH7" s="439">
        <v>52.3</v>
      </c>
      <c r="AI7" s="435">
        <v>6648</v>
      </c>
      <c r="AJ7" s="439">
        <v>3.12</v>
      </c>
      <c r="AN7" s="858" t="s">
        <v>2384</v>
      </c>
      <c r="AO7" s="754">
        <v>1051</v>
      </c>
      <c r="AP7" s="754">
        <v>3</v>
      </c>
      <c r="AQ7" s="754">
        <v>12</v>
      </c>
      <c r="AR7" s="754">
        <v>26</v>
      </c>
      <c r="AS7" s="916">
        <f t="shared" ref="AS7:AS25" si="2">AO7-AP7-AQ7-AR7</f>
        <v>1010</v>
      </c>
      <c r="AT7" s="772">
        <v>100</v>
      </c>
      <c r="AU7" s="772">
        <f t="shared" ref="AU7:AU25" si="3">AP7/AO7*100</f>
        <v>0.28544243577545197</v>
      </c>
      <c r="AV7" s="772">
        <f t="shared" ref="AV7:AV25" si="4">AQ7/AO7*100</f>
        <v>1.1417697431018079</v>
      </c>
      <c r="AW7" s="772">
        <f t="shared" ref="AW7:AW25" si="5">AR7/AO7*100</f>
        <v>2.4738344433872501</v>
      </c>
      <c r="AX7" s="772">
        <f t="shared" ref="AX7:AX25" si="6">AS7/AO7*100</f>
        <v>96.098953377735484</v>
      </c>
      <c r="BA7" s="858" t="s">
        <v>2384</v>
      </c>
      <c r="BB7" s="754">
        <v>1100</v>
      </c>
      <c r="BC7" s="754">
        <v>4</v>
      </c>
      <c r="BD7" s="754">
        <v>4</v>
      </c>
      <c r="BE7" s="754">
        <v>30</v>
      </c>
      <c r="BF7" s="916">
        <f t="shared" ref="BF7:BF25" si="7">BB7-BC7-BD7-BE7</f>
        <v>1062</v>
      </c>
      <c r="BG7" s="772">
        <v>100</v>
      </c>
      <c r="BH7" s="772">
        <f t="shared" ref="BH7:BH25" si="8">BC7/BB7*100</f>
        <v>0.36363636363636365</v>
      </c>
      <c r="BI7" s="772">
        <f t="shared" ref="BI7:BI25" si="9">BD7/BB7*100</f>
        <v>0.36363636363636365</v>
      </c>
      <c r="BJ7" s="772">
        <f t="shared" ref="BJ7:BJ25" si="10">BE7/BB7*100</f>
        <v>2.7272727272727271</v>
      </c>
      <c r="BK7" s="772">
        <f t="shared" ref="BK7:BK25" si="11">BF7/BB7*100</f>
        <v>96.545454545454547</v>
      </c>
      <c r="BL7" s="772"/>
      <c r="BN7" s="387" t="s">
        <v>4383</v>
      </c>
      <c r="BO7" s="381">
        <v>734.1</v>
      </c>
      <c r="BP7" s="381">
        <v>289.7</v>
      </c>
      <c r="BQ7" s="381">
        <v>599.20000000000005</v>
      </c>
      <c r="BR7" s="381">
        <v>497.8</v>
      </c>
      <c r="BS7" s="381">
        <v>388.1</v>
      </c>
      <c r="BT7" s="381">
        <v>392.3</v>
      </c>
      <c r="BU7" s="381">
        <v>343.1</v>
      </c>
      <c r="BV7" s="824">
        <v>509.1</v>
      </c>
      <c r="BW7" s="385"/>
    </row>
    <row r="8" spans="1:75">
      <c r="A8" s="398" t="s">
        <v>4384</v>
      </c>
      <c r="B8" s="382">
        <v>752</v>
      </c>
      <c r="C8" s="382">
        <v>305</v>
      </c>
      <c r="D8" s="463">
        <v>611</v>
      </c>
      <c r="E8" s="463">
        <v>507</v>
      </c>
      <c r="F8" s="463">
        <v>401</v>
      </c>
      <c r="G8" s="398">
        <v>411</v>
      </c>
      <c r="H8" s="398">
        <v>355</v>
      </c>
      <c r="I8" s="398">
        <v>526</v>
      </c>
      <c r="J8" s="398"/>
      <c r="K8" s="398"/>
      <c r="L8" s="398"/>
      <c r="M8" s="612" t="s">
        <v>4385</v>
      </c>
      <c r="N8" s="463">
        <v>146</v>
      </c>
      <c r="O8" s="515">
        <v>117</v>
      </c>
      <c r="P8" s="515">
        <v>100</v>
      </c>
      <c r="Q8" s="515">
        <v>86</v>
      </c>
      <c r="R8" s="398"/>
      <c r="S8" s="754"/>
      <c r="U8" s="612" t="s">
        <v>4385</v>
      </c>
      <c r="V8" s="463">
        <v>115</v>
      </c>
      <c r="W8" s="463">
        <v>48</v>
      </c>
      <c r="X8" s="463">
        <v>18</v>
      </c>
      <c r="Y8" s="463">
        <v>28</v>
      </c>
      <c r="Z8" s="463">
        <v>21</v>
      </c>
      <c r="AA8" s="463">
        <v>16</v>
      </c>
      <c r="AB8" s="463"/>
      <c r="AC8" s="463"/>
      <c r="AE8" s="382">
        <v>2013</v>
      </c>
      <c r="AF8" s="463">
        <v>5819</v>
      </c>
      <c r="AG8" s="463">
        <v>2973</v>
      </c>
      <c r="AH8" s="382">
        <v>51.1</v>
      </c>
      <c r="AI8" s="463">
        <v>7252</v>
      </c>
      <c r="AJ8" s="382">
        <v>3.44</v>
      </c>
      <c r="AN8" s="398" t="s">
        <v>2251</v>
      </c>
      <c r="AO8" s="754">
        <v>3808</v>
      </c>
      <c r="AP8" s="754">
        <v>102</v>
      </c>
      <c r="AQ8" s="754">
        <v>112</v>
      </c>
      <c r="AR8" s="754">
        <v>101</v>
      </c>
      <c r="AS8" s="916">
        <f t="shared" si="2"/>
        <v>3493</v>
      </c>
      <c r="AT8" s="772">
        <v>100</v>
      </c>
      <c r="AU8" s="772">
        <f t="shared" si="3"/>
        <v>2.6785714285714284</v>
      </c>
      <c r="AV8" s="772">
        <f t="shared" si="4"/>
        <v>2.9411764705882351</v>
      </c>
      <c r="AW8" s="772">
        <f t="shared" si="5"/>
        <v>2.6523109243697478</v>
      </c>
      <c r="AX8" s="772">
        <f t="shared" si="6"/>
        <v>91.72794117647058</v>
      </c>
      <c r="BA8" s="398" t="s">
        <v>2251</v>
      </c>
      <c r="BB8" s="754">
        <v>3940</v>
      </c>
      <c r="BC8" s="754">
        <v>95</v>
      </c>
      <c r="BD8" s="754">
        <v>111</v>
      </c>
      <c r="BE8" s="754">
        <v>169</v>
      </c>
      <c r="BF8" s="916">
        <f t="shared" si="7"/>
        <v>3565</v>
      </c>
      <c r="BG8" s="772">
        <v>100</v>
      </c>
      <c r="BH8" s="772">
        <f t="shared" si="8"/>
        <v>2.4111675126903553</v>
      </c>
      <c r="BI8" s="772">
        <f t="shared" si="9"/>
        <v>2.8172588832487309</v>
      </c>
      <c r="BJ8" s="772">
        <f t="shared" si="10"/>
        <v>4.2893401015228427</v>
      </c>
      <c r="BK8" s="772">
        <f t="shared" si="11"/>
        <v>90.482233502538065</v>
      </c>
      <c r="BL8" s="772"/>
      <c r="BN8" s="398" t="s">
        <v>4386</v>
      </c>
      <c r="BO8" s="385"/>
      <c r="BP8" s="385"/>
      <c r="BQ8" s="385"/>
      <c r="BR8" s="439"/>
      <c r="BS8" s="439"/>
      <c r="BT8" s="439"/>
      <c r="BU8" s="439"/>
      <c r="BV8" s="385"/>
      <c r="BW8" s="385"/>
    </row>
    <row r="9" spans="1:75">
      <c r="A9" s="398" t="s">
        <v>4387</v>
      </c>
      <c r="B9" s="382">
        <v>294</v>
      </c>
      <c r="C9" s="382">
        <v>272</v>
      </c>
      <c r="D9" s="463">
        <v>245</v>
      </c>
      <c r="E9" s="463">
        <v>250</v>
      </c>
      <c r="F9" s="463">
        <v>250</v>
      </c>
      <c r="G9" s="398">
        <v>224</v>
      </c>
      <c r="H9" s="398">
        <v>221</v>
      </c>
      <c r="I9" s="398">
        <v>207</v>
      </c>
      <c r="J9" s="398"/>
      <c r="K9" s="398"/>
      <c r="L9" s="398"/>
      <c r="M9" s="612" t="s">
        <v>4388</v>
      </c>
      <c r="N9" s="463">
        <v>3941</v>
      </c>
      <c r="O9" s="515">
        <v>3811</v>
      </c>
      <c r="P9" s="515">
        <v>3976</v>
      </c>
      <c r="Q9" s="515">
        <v>3801</v>
      </c>
      <c r="R9" s="398"/>
      <c r="S9" s="754"/>
      <c r="U9" s="612" t="s">
        <v>4388</v>
      </c>
      <c r="V9" s="463">
        <v>3824</v>
      </c>
      <c r="W9" s="463">
        <v>3801</v>
      </c>
      <c r="X9" s="463">
        <v>3354</v>
      </c>
      <c r="Y9" s="463">
        <v>3257</v>
      </c>
      <c r="Z9" s="463">
        <v>3583</v>
      </c>
      <c r="AA9" s="463">
        <v>3453</v>
      </c>
      <c r="AB9" s="463"/>
      <c r="AC9" s="463"/>
      <c r="AE9" s="917">
        <v>2012</v>
      </c>
      <c r="AF9" s="463">
        <v>5315</v>
      </c>
      <c r="AG9" s="463">
        <v>2626</v>
      </c>
      <c r="AH9" s="799">
        <f t="shared" ref="AH9:AH16" si="12">AG9/AF9*100</f>
        <v>49.40733772342427</v>
      </c>
      <c r="AI9" s="463">
        <v>5389</v>
      </c>
      <c r="AJ9" s="918">
        <f t="shared" ref="AJ9:AJ16" si="13">(AI9+AG9)/AG9</f>
        <v>3.0521706016755523</v>
      </c>
      <c r="AN9" s="398" t="s">
        <v>2381</v>
      </c>
      <c r="AO9" s="754">
        <v>4917</v>
      </c>
      <c r="AP9" s="754">
        <v>70</v>
      </c>
      <c r="AQ9" s="754">
        <v>127</v>
      </c>
      <c r="AR9" s="754">
        <v>223</v>
      </c>
      <c r="AS9" s="916">
        <f t="shared" si="2"/>
        <v>4497</v>
      </c>
      <c r="AT9" s="772">
        <v>100</v>
      </c>
      <c r="AU9" s="772">
        <f t="shared" si="3"/>
        <v>1.4236322961155174</v>
      </c>
      <c r="AV9" s="772">
        <f t="shared" si="4"/>
        <v>2.5828757372381532</v>
      </c>
      <c r="AW9" s="772">
        <f t="shared" si="5"/>
        <v>4.5352857433394345</v>
      </c>
      <c r="AX9" s="772">
        <f t="shared" si="6"/>
        <v>91.458206223306888</v>
      </c>
      <c r="BA9" s="398" t="s">
        <v>2381</v>
      </c>
      <c r="BB9" s="754">
        <v>5655</v>
      </c>
      <c r="BC9" s="754">
        <v>25</v>
      </c>
      <c r="BD9" s="754">
        <v>81</v>
      </c>
      <c r="BE9" s="754">
        <v>270</v>
      </c>
      <c r="BF9" s="916">
        <f t="shared" si="7"/>
        <v>5279</v>
      </c>
      <c r="BG9" s="772">
        <v>100</v>
      </c>
      <c r="BH9" s="772">
        <f t="shared" si="8"/>
        <v>0.44208664898320071</v>
      </c>
      <c r="BI9" s="772">
        <f t="shared" si="9"/>
        <v>1.4323607427055705</v>
      </c>
      <c r="BJ9" s="772">
        <f t="shared" si="10"/>
        <v>4.774535809018567</v>
      </c>
      <c r="BK9" s="772">
        <f t="shared" si="11"/>
        <v>93.351016799292665</v>
      </c>
      <c r="BL9" s="772"/>
      <c r="BN9" s="825" t="s">
        <v>4389</v>
      </c>
      <c r="BO9" s="385"/>
      <c r="BP9" s="385"/>
      <c r="BQ9" s="385"/>
      <c r="BR9" s="385"/>
      <c r="BS9" s="901"/>
      <c r="BT9" s="902"/>
    </row>
    <row r="10" spans="1:75">
      <c r="A10" s="398"/>
      <c r="D10" s="463"/>
      <c r="E10" s="463"/>
      <c r="F10" s="463"/>
      <c r="G10" s="398"/>
      <c r="M10" s="612" t="s">
        <v>4390</v>
      </c>
      <c r="N10" s="463">
        <v>1</v>
      </c>
      <c r="O10" s="463">
        <v>2</v>
      </c>
      <c r="P10" s="435" t="s">
        <v>4391</v>
      </c>
      <c r="Q10" s="435" t="s">
        <v>4391</v>
      </c>
      <c r="U10" s="382" t="s">
        <v>4392</v>
      </c>
      <c r="V10" s="463">
        <f t="shared" ref="V10:AA10" si="14">SUM(V11:V15)</f>
        <v>0</v>
      </c>
      <c r="W10" s="463">
        <f t="shared" si="14"/>
        <v>0</v>
      </c>
      <c r="X10" s="463">
        <f t="shared" si="14"/>
        <v>5874</v>
      </c>
      <c r="Y10" s="463">
        <f t="shared" si="14"/>
        <v>7235</v>
      </c>
      <c r="Z10" s="463">
        <f t="shared" si="14"/>
        <v>7211</v>
      </c>
      <c r="AA10" s="463">
        <f t="shared" si="14"/>
        <v>6648</v>
      </c>
      <c r="AB10" s="463"/>
      <c r="AC10" s="463"/>
      <c r="AE10" s="917">
        <v>2011</v>
      </c>
      <c r="AF10" s="463">
        <v>6272</v>
      </c>
      <c r="AG10" s="463">
        <v>3149</v>
      </c>
      <c r="AH10" s="799">
        <f t="shared" si="12"/>
        <v>50.207270408163261</v>
      </c>
      <c r="AI10" s="463">
        <v>7247</v>
      </c>
      <c r="AJ10" s="918">
        <f t="shared" si="13"/>
        <v>3.3013655128612256</v>
      </c>
      <c r="AN10" s="398" t="s">
        <v>4393</v>
      </c>
      <c r="AO10" s="754">
        <v>2137</v>
      </c>
      <c r="AP10" s="754">
        <v>52</v>
      </c>
      <c r="AQ10" s="754">
        <v>102</v>
      </c>
      <c r="AR10" s="754">
        <v>106</v>
      </c>
      <c r="AS10" s="916">
        <f t="shared" si="2"/>
        <v>1877</v>
      </c>
      <c r="AT10" s="772">
        <v>100</v>
      </c>
      <c r="AU10" s="772">
        <f t="shared" si="3"/>
        <v>2.4333177351427238</v>
      </c>
      <c r="AV10" s="772">
        <f t="shared" si="4"/>
        <v>4.7730463266261109</v>
      </c>
      <c r="AW10" s="772">
        <f t="shared" si="5"/>
        <v>4.9602246139447823</v>
      </c>
      <c r="AX10" s="772">
        <f t="shared" si="6"/>
        <v>87.833411324286388</v>
      </c>
      <c r="BA10" s="398" t="s">
        <v>4393</v>
      </c>
      <c r="BB10" s="754">
        <v>2090</v>
      </c>
      <c r="BC10" s="754">
        <v>25</v>
      </c>
      <c r="BD10" s="754">
        <v>65</v>
      </c>
      <c r="BE10" s="754">
        <v>93</v>
      </c>
      <c r="BF10" s="916">
        <f t="shared" si="7"/>
        <v>1907</v>
      </c>
      <c r="BG10" s="772">
        <v>100</v>
      </c>
      <c r="BH10" s="772">
        <f t="shared" si="8"/>
        <v>1.1961722488038278</v>
      </c>
      <c r="BI10" s="772">
        <f t="shared" si="9"/>
        <v>3.1100478468899522</v>
      </c>
      <c r="BJ10" s="772">
        <f t="shared" si="10"/>
        <v>4.4497607655502387</v>
      </c>
      <c r="BK10" s="772">
        <f t="shared" si="11"/>
        <v>91.244019138755988</v>
      </c>
      <c r="BL10" s="772"/>
      <c r="BN10" s="919" t="s">
        <v>4394</v>
      </c>
      <c r="BR10" s="385"/>
      <c r="BS10" s="901"/>
      <c r="BT10" s="902"/>
    </row>
    <row r="11" spans="1:75">
      <c r="A11" s="398" t="s">
        <v>4395</v>
      </c>
      <c r="B11" s="382">
        <v>48</v>
      </c>
      <c r="C11" s="382">
        <v>91</v>
      </c>
      <c r="D11" s="463">
        <v>2</v>
      </c>
      <c r="E11" s="463">
        <v>3</v>
      </c>
      <c r="F11" s="463">
        <v>7</v>
      </c>
      <c r="G11" s="398">
        <v>5</v>
      </c>
      <c r="H11" s="398">
        <v>6</v>
      </c>
      <c r="I11" s="398">
        <v>154</v>
      </c>
      <c r="J11" s="398"/>
      <c r="K11" s="398"/>
      <c r="L11" s="398"/>
      <c r="M11" s="398" t="s">
        <v>4396</v>
      </c>
      <c r="N11" s="515">
        <f>SUM(N12:N18)</f>
        <v>940</v>
      </c>
      <c r="O11" s="515">
        <f>SUM(O12:O18)</f>
        <v>956</v>
      </c>
      <c r="P11" s="515">
        <f>SUM(P12:P18)</f>
        <v>826</v>
      </c>
      <c r="Q11" s="515">
        <f>SUM(Q12:Q18)</f>
        <v>2505</v>
      </c>
      <c r="R11" s="398"/>
      <c r="S11" s="398"/>
      <c r="U11" s="612" t="s">
        <v>4372</v>
      </c>
      <c r="V11" s="862" t="s">
        <v>1627</v>
      </c>
      <c r="W11" s="862" t="s">
        <v>1627</v>
      </c>
      <c r="X11" s="463">
        <v>2785</v>
      </c>
      <c r="Y11" s="463">
        <v>1786</v>
      </c>
      <c r="Z11" s="463">
        <v>1847</v>
      </c>
      <c r="AA11" s="463">
        <v>1846</v>
      </c>
      <c r="AB11" s="463"/>
      <c r="AC11" s="463"/>
      <c r="AE11" s="917">
        <v>2010</v>
      </c>
      <c r="AF11" s="463">
        <v>6408</v>
      </c>
      <c r="AG11" s="463">
        <v>3588</v>
      </c>
      <c r="AH11" s="799">
        <f t="shared" si="12"/>
        <v>55.992509363295881</v>
      </c>
      <c r="AI11" s="463">
        <v>7059</v>
      </c>
      <c r="AJ11" s="918">
        <f t="shared" si="13"/>
        <v>2.9673913043478262</v>
      </c>
      <c r="AN11" s="398" t="s">
        <v>2253</v>
      </c>
      <c r="AO11" s="754">
        <v>8875</v>
      </c>
      <c r="AP11" s="754">
        <v>130</v>
      </c>
      <c r="AQ11" s="754">
        <v>313</v>
      </c>
      <c r="AR11" s="754">
        <v>408</v>
      </c>
      <c r="AS11" s="916">
        <f t="shared" si="2"/>
        <v>8024</v>
      </c>
      <c r="AT11" s="772">
        <v>100</v>
      </c>
      <c r="AU11" s="772">
        <f t="shared" si="3"/>
        <v>1.4647887323943662</v>
      </c>
      <c r="AV11" s="772">
        <f t="shared" si="4"/>
        <v>3.5267605633802814</v>
      </c>
      <c r="AW11" s="772">
        <f t="shared" si="5"/>
        <v>4.5971830985915494</v>
      </c>
      <c r="AX11" s="772">
        <f t="shared" si="6"/>
        <v>90.41126760563381</v>
      </c>
      <c r="BA11" s="398" t="s">
        <v>2253</v>
      </c>
      <c r="BB11" s="754">
        <v>8650</v>
      </c>
      <c r="BC11" s="754">
        <v>25</v>
      </c>
      <c r="BD11" s="754">
        <v>93</v>
      </c>
      <c r="BE11" s="754">
        <v>360</v>
      </c>
      <c r="BF11" s="916">
        <f t="shared" si="7"/>
        <v>8172</v>
      </c>
      <c r="BG11" s="772">
        <v>100</v>
      </c>
      <c r="BH11" s="772">
        <f t="shared" si="8"/>
        <v>0.28901734104046239</v>
      </c>
      <c r="BI11" s="772">
        <f t="shared" si="9"/>
        <v>1.0751445086705202</v>
      </c>
      <c r="BJ11" s="772">
        <f t="shared" si="10"/>
        <v>4.1618497109826587</v>
      </c>
      <c r="BK11" s="772">
        <f t="shared" si="11"/>
        <v>94.473988439306353</v>
      </c>
      <c r="BL11" s="772"/>
      <c r="BT11" s="902"/>
    </row>
    <row r="12" spans="1:75">
      <c r="A12" s="398" t="s">
        <v>4397</v>
      </c>
      <c r="B12" s="382">
        <v>63</v>
      </c>
      <c r="C12" s="382">
        <v>63</v>
      </c>
      <c r="D12" s="463">
        <v>21</v>
      </c>
      <c r="E12" s="463">
        <v>38</v>
      </c>
      <c r="F12" s="463">
        <v>41</v>
      </c>
      <c r="G12" s="398">
        <v>40</v>
      </c>
      <c r="H12" s="398">
        <v>30</v>
      </c>
      <c r="I12" s="398">
        <v>19</v>
      </c>
      <c r="J12" s="398"/>
      <c r="K12" s="398"/>
      <c r="L12" s="398"/>
      <c r="M12" s="612" t="s">
        <v>4398</v>
      </c>
      <c r="N12" s="463">
        <v>31</v>
      </c>
      <c r="O12" s="515">
        <v>8</v>
      </c>
      <c r="P12" s="754" t="s">
        <v>2825</v>
      </c>
      <c r="Q12" s="515">
        <v>1163</v>
      </c>
      <c r="R12" s="398"/>
      <c r="S12" s="398"/>
      <c r="U12" s="612" t="s">
        <v>4379</v>
      </c>
      <c r="V12" s="862" t="s">
        <v>1627</v>
      </c>
      <c r="W12" s="862" t="s">
        <v>1627</v>
      </c>
      <c r="X12" s="463">
        <v>62</v>
      </c>
      <c r="Y12" s="463">
        <v>3110</v>
      </c>
      <c r="Z12" s="463">
        <v>2916</v>
      </c>
      <c r="AA12" s="463">
        <v>2498</v>
      </c>
      <c r="AB12" s="463"/>
      <c r="AC12" s="463"/>
      <c r="AE12" s="917">
        <v>2009</v>
      </c>
      <c r="AF12" s="463">
        <v>6432</v>
      </c>
      <c r="AG12" s="463">
        <v>2952</v>
      </c>
      <c r="AH12" s="799">
        <f t="shared" si="12"/>
        <v>45.895522388059703</v>
      </c>
      <c r="AI12" s="463">
        <v>6821</v>
      </c>
      <c r="AJ12" s="918">
        <f t="shared" si="13"/>
        <v>3.3106368563685638</v>
      </c>
      <c r="AN12" s="398" t="s">
        <v>2352</v>
      </c>
      <c r="AO12" s="754">
        <v>6822</v>
      </c>
      <c r="AP12" s="754">
        <v>115</v>
      </c>
      <c r="AQ12" s="754">
        <v>263</v>
      </c>
      <c r="AR12" s="754">
        <v>269</v>
      </c>
      <c r="AS12" s="916">
        <f t="shared" si="2"/>
        <v>6175</v>
      </c>
      <c r="AT12" s="772">
        <v>100</v>
      </c>
      <c r="AU12" s="772">
        <f t="shared" si="3"/>
        <v>1.68572266197596</v>
      </c>
      <c r="AV12" s="772">
        <f t="shared" si="4"/>
        <v>3.8551744356493693</v>
      </c>
      <c r="AW12" s="772">
        <f t="shared" si="5"/>
        <v>3.9431251832307246</v>
      </c>
      <c r="AX12" s="772">
        <f t="shared" si="6"/>
        <v>90.515977719143947</v>
      </c>
      <c r="BA12" s="398" t="s">
        <v>2352</v>
      </c>
      <c r="BB12" s="754">
        <v>5925</v>
      </c>
      <c r="BC12" s="754">
        <v>50</v>
      </c>
      <c r="BD12" s="754">
        <v>69</v>
      </c>
      <c r="BE12" s="754">
        <v>191</v>
      </c>
      <c r="BF12" s="916">
        <f t="shared" si="7"/>
        <v>5615</v>
      </c>
      <c r="BG12" s="772">
        <v>100</v>
      </c>
      <c r="BH12" s="772">
        <f t="shared" si="8"/>
        <v>0.8438818565400843</v>
      </c>
      <c r="BI12" s="772">
        <f t="shared" si="9"/>
        <v>1.1645569620253164</v>
      </c>
      <c r="BJ12" s="772">
        <f t="shared" si="10"/>
        <v>3.2236286919831221</v>
      </c>
      <c r="BK12" s="772">
        <f t="shared" si="11"/>
        <v>94.767932489451482</v>
      </c>
      <c r="BL12" s="772"/>
    </row>
    <row r="13" spans="1:75">
      <c r="A13" s="387" t="s">
        <v>4399</v>
      </c>
      <c r="B13" s="381">
        <v>50</v>
      </c>
      <c r="C13" s="381">
        <v>52</v>
      </c>
      <c r="D13" s="497">
        <v>48</v>
      </c>
      <c r="E13" s="497">
        <v>46</v>
      </c>
      <c r="F13" s="497">
        <v>39</v>
      </c>
      <c r="G13" s="387">
        <v>36</v>
      </c>
      <c r="H13" s="387">
        <v>32</v>
      </c>
      <c r="I13" s="792">
        <v>32</v>
      </c>
      <c r="J13" s="754"/>
      <c r="K13" s="754"/>
      <c r="L13" s="754"/>
      <c r="M13" s="890" t="s">
        <v>4400</v>
      </c>
      <c r="N13" s="463">
        <v>45</v>
      </c>
      <c r="O13" s="754">
        <v>89</v>
      </c>
      <c r="P13" s="754" t="s">
        <v>2825</v>
      </c>
      <c r="Q13" s="754">
        <v>514</v>
      </c>
      <c r="R13" s="754"/>
      <c r="S13" s="754"/>
      <c r="U13" s="612" t="s">
        <v>4382</v>
      </c>
      <c r="V13" s="862" t="s">
        <v>1627</v>
      </c>
      <c r="W13" s="862" t="s">
        <v>1627</v>
      </c>
      <c r="X13" s="463">
        <v>207</v>
      </c>
      <c r="Y13" s="463">
        <v>213</v>
      </c>
      <c r="Z13" s="463">
        <v>200</v>
      </c>
      <c r="AA13" s="463">
        <v>211</v>
      </c>
      <c r="AB13" s="463"/>
      <c r="AC13" s="463"/>
      <c r="AE13" s="917">
        <v>2008</v>
      </c>
      <c r="AF13" s="463">
        <v>6531</v>
      </c>
      <c r="AG13" s="463">
        <v>2870</v>
      </c>
      <c r="AH13" s="799">
        <f t="shared" si="12"/>
        <v>43.944265809217576</v>
      </c>
      <c r="AI13" s="463">
        <v>5833</v>
      </c>
      <c r="AJ13" s="918">
        <f t="shared" si="13"/>
        <v>3.0324041811846691</v>
      </c>
      <c r="AN13" s="398" t="s">
        <v>2177</v>
      </c>
      <c r="AO13" s="754">
        <v>44943</v>
      </c>
      <c r="AP13" s="754">
        <v>671</v>
      </c>
      <c r="AQ13" s="754">
        <v>1234</v>
      </c>
      <c r="AR13" s="754">
        <v>1124</v>
      </c>
      <c r="AS13" s="916">
        <f t="shared" si="2"/>
        <v>41914</v>
      </c>
      <c r="AT13" s="772">
        <v>100</v>
      </c>
      <c r="AU13" s="772">
        <f t="shared" si="3"/>
        <v>1.4930022472910132</v>
      </c>
      <c r="AV13" s="772">
        <f t="shared" si="4"/>
        <v>2.7457001090269899</v>
      </c>
      <c r="AW13" s="772">
        <f t="shared" si="5"/>
        <v>2.5009456422579714</v>
      </c>
      <c r="AX13" s="772">
        <f t="shared" si="6"/>
        <v>93.260352001424025</v>
      </c>
      <c r="BA13" s="398" t="s">
        <v>2177</v>
      </c>
      <c r="BB13" s="754">
        <v>42980</v>
      </c>
      <c r="BC13" s="754">
        <v>665</v>
      </c>
      <c r="BD13" s="754">
        <v>1299</v>
      </c>
      <c r="BE13" s="754">
        <v>1028</v>
      </c>
      <c r="BF13" s="916">
        <f t="shared" si="7"/>
        <v>39988</v>
      </c>
      <c r="BG13" s="772">
        <v>100</v>
      </c>
      <c r="BH13" s="772">
        <f t="shared" si="8"/>
        <v>1.5472312703583062</v>
      </c>
      <c r="BI13" s="772">
        <f t="shared" si="9"/>
        <v>3.0223359702187063</v>
      </c>
      <c r="BJ13" s="772">
        <f t="shared" si="10"/>
        <v>2.391810144253141</v>
      </c>
      <c r="BK13" s="772">
        <f t="shared" si="11"/>
        <v>93.038622615169842</v>
      </c>
      <c r="BL13" s="772"/>
    </row>
    <row r="14" spans="1:75">
      <c r="A14" s="398" t="s">
        <v>4401</v>
      </c>
      <c r="B14" s="398"/>
      <c r="C14" s="398"/>
      <c r="D14" s="754"/>
      <c r="E14" s="754"/>
      <c r="F14" s="754"/>
      <c r="G14" s="754"/>
      <c r="H14" s="754"/>
      <c r="I14" s="754"/>
      <c r="J14" s="754"/>
      <c r="K14" s="754"/>
      <c r="L14" s="754"/>
      <c r="M14" s="890" t="s">
        <v>4402</v>
      </c>
      <c r="N14" s="463">
        <v>198</v>
      </c>
      <c r="O14" s="754">
        <v>183</v>
      </c>
      <c r="P14" s="754">
        <v>181</v>
      </c>
      <c r="Q14" s="754">
        <v>178</v>
      </c>
      <c r="R14" s="754"/>
      <c r="S14" s="754"/>
      <c r="U14" s="612" t="s">
        <v>4385</v>
      </c>
      <c r="V14" s="862" t="s">
        <v>1627</v>
      </c>
      <c r="W14" s="862" t="s">
        <v>1627</v>
      </c>
      <c r="X14" s="463">
        <v>33</v>
      </c>
      <c r="Y14" s="463">
        <v>50</v>
      </c>
      <c r="Z14" s="463">
        <v>31</v>
      </c>
      <c r="AA14" s="463">
        <v>36</v>
      </c>
      <c r="AB14" s="463"/>
      <c r="AC14" s="463"/>
      <c r="AE14" s="917">
        <v>2007</v>
      </c>
      <c r="AF14" s="463">
        <v>6285</v>
      </c>
      <c r="AG14" s="463">
        <v>2778</v>
      </c>
      <c r="AH14" s="799">
        <f t="shared" si="12"/>
        <v>44.200477326968972</v>
      </c>
      <c r="AI14" s="463">
        <v>6051</v>
      </c>
      <c r="AJ14" s="918">
        <f t="shared" si="13"/>
        <v>3.178185745140389</v>
      </c>
      <c r="AN14" s="398" t="s">
        <v>2276</v>
      </c>
      <c r="AO14" s="754">
        <v>2273</v>
      </c>
      <c r="AP14" s="754">
        <v>17</v>
      </c>
      <c r="AQ14" s="754">
        <v>47</v>
      </c>
      <c r="AR14" s="754">
        <v>135</v>
      </c>
      <c r="AS14" s="916">
        <f t="shared" si="2"/>
        <v>2074</v>
      </c>
      <c r="AT14" s="772">
        <v>100</v>
      </c>
      <c r="AU14" s="772">
        <f t="shared" si="3"/>
        <v>0.74791025076990758</v>
      </c>
      <c r="AV14" s="772">
        <f t="shared" si="4"/>
        <v>2.067751869775627</v>
      </c>
      <c r="AW14" s="772">
        <f t="shared" si="5"/>
        <v>5.9392872855257375</v>
      </c>
      <c r="AX14" s="772">
        <f t="shared" si="6"/>
        <v>91.245050593928738</v>
      </c>
      <c r="BA14" s="398" t="s">
        <v>2276</v>
      </c>
      <c r="BB14" s="754">
        <v>3050</v>
      </c>
      <c r="BC14" s="754">
        <v>10</v>
      </c>
      <c r="BD14" s="754">
        <v>46</v>
      </c>
      <c r="BE14" s="754">
        <v>129</v>
      </c>
      <c r="BF14" s="916">
        <f t="shared" si="7"/>
        <v>2865</v>
      </c>
      <c r="BG14" s="772">
        <v>100</v>
      </c>
      <c r="BH14" s="772">
        <f t="shared" si="8"/>
        <v>0.32786885245901637</v>
      </c>
      <c r="BI14" s="772">
        <f t="shared" si="9"/>
        <v>1.5081967213114755</v>
      </c>
      <c r="BJ14" s="772">
        <f t="shared" si="10"/>
        <v>4.2295081967213113</v>
      </c>
      <c r="BK14" s="772">
        <f t="shared" si="11"/>
        <v>93.93442622950819</v>
      </c>
      <c r="BL14" s="772"/>
      <c r="BN14" s="398" t="s">
        <v>4403</v>
      </c>
      <c r="BO14" s="385"/>
      <c r="BP14" s="385"/>
    </row>
    <row r="15" spans="1:75">
      <c r="A15" s="398" t="s">
        <v>4404</v>
      </c>
      <c r="B15" s="398"/>
      <c r="C15" s="398"/>
      <c r="D15" s="684"/>
      <c r="E15" s="684"/>
      <c r="F15" s="684"/>
      <c r="G15" s="684"/>
      <c r="H15" s="684"/>
      <c r="I15" s="684"/>
      <c r="J15" s="684"/>
      <c r="K15" s="684"/>
      <c r="L15" s="684"/>
      <c r="M15" s="612" t="s">
        <v>4405</v>
      </c>
      <c r="N15" s="463">
        <v>0</v>
      </c>
      <c r="O15" s="515">
        <v>0</v>
      </c>
      <c r="P15" s="515">
        <v>0</v>
      </c>
      <c r="Q15" s="515">
        <v>0</v>
      </c>
      <c r="R15" s="684"/>
      <c r="S15" s="684"/>
      <c r="U15" s="612" t="s">
        <v>4388</v>
      </c>
      <c r="V15" s="862" t="s">
        <v>1627</v>
      </c>
      <c r="W15" s="862" t="s">
        <v>1627</v>
      </c>
      <c r="X15" s="463">
        <v>2787</v>
      </c>
      <c r="Y15" s="463">
        <v>2076</v>
      </c>
      <c r="Z15" s="463">
        <v>2217</v>
      </c>
      <c r="AA15" s="463">
        <v>2057</v>
      </c>
      <c r="AB15" s="463"/>
      <c r="AC15" s="463"/>
      <c r="AE15" s="917">
        <v>2006</v>
      </c>
      <c r="AF15" s="463">
        <v>6253</v>
      </c>
      <c r="AG15" s="463">
        <v>2842</v>
      </c>
      <c r="AH15" s="799">
        <f t="shared" si="12"/>
        <v>45.450183911722377</v>
      </c>
      <c r="AI15" s="463">
        <v>6058</v>
      </c>
      <c r="AJ15" s="918">
        <f t="shared" si="13"/>
        <v>3.1315974665728361</v>
      </c>
      <c r="AN15" s="398" t="s">
        <v>2185</v>
      </c>
      <c r="AO15" s="754">
        <v>15191</v>
      </c>
      <c r="AP15" s="754">
        <v>321</v>
      </c>
      <c r="AQ15" s="754">
        <v>512</v>
      </c>
      <c r="AR15" s="754">
        <v>506</v>
      </c>
      <c r="AS15" s="916">
        <f t="shared" si="2"/>
        <v>13852</v>
      </c>
      <c r="AT15" s="772">
        <v>100</v>
      </c>
      <c r="AU15" s="772">
        <f t="shared" si="3"/>
        <v>2.1130932789151471</v>
      </c>
      <c r="AV15" s="772">
        <f t="shared" si="4"/>
        <v>3.3704166940951881</v>
      </c>
      <c r="AW15" s="772">
        <f t="shared" si="5"/>
        <v>3.3309196234612601</v>
      </c>
      <c r="AX15" s="772">
        <f t="shared" si="6"/>
        <v>91.185570403528402</v>
      </c>
      <c r="BA15" s="398" t="s">
        <v>2185</v>
      </c>
      <c r="BB15" s="754">
        <v>13315</v>
      </c>
      <c r="BC15" s="754">
        <v>80</v>
      </c>
      <c r="BD15" s="754">
        <v>190</v>
      </c>
      <c r="BE15" s="754">
        <v>458</v>
      </c>
      <c r="BF15" s="916">
        <f t="shared" si="7"/>
        <v>12587</v>
      </c>
      <c r="BG15" s="772">
        <v>100</v>
      </c>
      <c r="BH15" s="772">
        <f t="shared" si="8"/>
        <v>0.60082613593691325</v>
      </c>
      <c r="BI15" s="772">
        <f t="shared" si="9"/>
        <v>1.4269620728501691</v>
      </c>
      <c r="BJ15" s="772">
        <f t="shared" si="10"/>
        <v>3.4397296282388288</v>
      </c>
      <c r="BK15" s="772">
        <f t="shared" si="11"/>
        <v>94.532482162974091</v>
      </c>
      <c r="BL15" s="772"/>
      <c r="BN15" s="398" t="s">
        <v>4346</v>
      </c>
      <c r="BO15" s="385"/>
      <c r="BP15" s="385"/>
    </row>
    <row r="16" spans="1:75">
      <c r="A16" s="919" t="s">
        <v>4406</v>
      </c>
      <c r="B16" s="571"/>
      <c r="C16" s="571"/>
      <c r="D16" s="902"/>
      <c r="E16" s="902"/>
      <c r="F16" s="902"/>
      <c r="G16" s="902"/>
      <c r="H16" s="902"/>
      <c r="I16" s="902"/>
      <c r="J16" s="902"/>
      <c r="K16" s="902"/>
      <c r="L16" s="902"/>
      <c r="M16" s="612" t="s">
        <v>4407</v>
      </c>
      <c r="N16" s="917">
        <v>391</v>
      </c>
      <c r="O16" s="813">
        <v>406</v>
      </c>
      <c r="P16" s="515">
        <v>399</v>
      </c>
      <c r="Q16" s="515">
        <v>390</v>
      </c>
      <c r="R16" s="902"/>
      <c r="S16" s="902"/>
      <c r="U16" s="398"/>
      <c r="V16" s="463"/>
      <c r="W16" s="463"/>
      <c r="X16" s="463"/>
      <c r="Y16" s="463"/>
      <c r="Z16" s="463"/>
      <c r="AA16" s="463"/>
      <c r="AE16" s="920">
        <v>2005</v>
      </c>
      <c r="AF16" s="497">
        <v>6518</v>
      </c>
      <c r="AG16" s="497">
        <v>2785</v>
      </c>
      <c r="AH16" s="805">
        <f t="shared" si="12"/>
        <v>42.727830622890458</v>
      </c>
      <c r="AI16" s="497">
        <v>6187</v>
      </c>
      <c r="AJ16" s="921">
        <f t="shared" si="13"/>
        <v>3.2215439856373429</v>
      </c>
      <c r="AN16" s="398" t="s">
        <v>2353</v>
      </c>
      <c r="AO16" s="754">
        <v>1850</v>
      </c>
      <c r="AP16" s="754">
        <v>13</v>
      </c>
      <c r="AQ16" s="754">
        <v>62</v>
      </c>
      <c r="AR16" s="754">
        <v>85</v>
      </c>
      <c r="AS16" s="916">
        <f t="shared" si="2"/>
        <v>1690</v>
      </c>
      <c r="AT16" s="772">
        <v>100</v>
      </c>
      <c r="AU16" s="772">
        <f t="shared" si="3"/>
        <v>0.70270270270270274</v>
      </c>
      <c r="AV16" s="772">
        <f t="shared" si="4"/>
        <v>3.3513513513513513</v>
      </c>
      <c r="AW16" s="772">
        <f t="shared" si="5"/>
        <v>4.5945945945945947</v>
      </c>
      <c r="AX16" s="772">
        <f t="shared" si="6"/>
        <v>91.351351351351354</v>
      </c>
      <c r="BA16" s="398" t="s">
        <v>2353</v>
      </c>
      <c r="BB16" s="754">
        <v>2165</v>
      </c>
      <c r="BC16" s="754">
        <v>10</v>
      </c>
      <c r="BD16" s="754">
        <v>31</v>
      </c>
      <c r="BE16" s="754">
        <v>94</v>
      </c>
      <c r="BF16" s="916">
        <f t="shared" si="7"/>
        <v>2030</v>
      </c>
      <c r="BG16" s="772">
        <v>100</v>
      </c>
      <c r="BH16" s="772">
        <f t="shared" si="8"/>
        <v>0.46189376443418012</v>
      </c>
      <c r="BI16" s="772">
        <f t="shared" si="9"/>
        <v>1.4318706697459584</v>
      </c>
      <c r="BJ16" s="772">
        <f t="shared" si="10"/>
        <v>4.3418013856812934</v>
      </c>
      <c r="BK16" s="772">
        <f t="shared" si="11"/>
        <v>93.764434180138565</v>
      </c>
      <c r="BL16" s="772"/>
      <c r="BN16" s="911" t="s">
        <v>4408</v>
      </c>
      <c r="BO16" s="389">
        <v>2010</v>
      </c>
      <c r="BP16" s="389">
        <v>2009</v>
      </c>
      <c r="BQ16" s="389">
        <v>2008</v>
      </c>
      <c r="BR16" s="389">
        <v>2007</v>
      </c>
      <c r="BS16" s="389">
        <v>2006</v>
      </c>
      <c r="BT16" s="389">
        <v>2005</v>
      </c>
      <c r="BU16" s="390">
        <v>2004</v>
      </c>
      <c r="BV16" s="729">
        <v>2003</v>
      </c>
      <c r="BW16" s="385"/>
    </row>
    <row r="17" spans="1:75">
      <c r="A17" s="919" t="s">
        <v>4394</v>
      </c>
      <c r="B17" s="571"/>
      <c r="C17" s="571"/>
      <c r="D17" s="902"/>
      <c r="E17" s="902"/>
      <c r="F17" s="902"/>
      <c r="G17" s="902"/>
      <c r="H17" s="902"/>
      <c r="I17" s="902"/>
      <c r="J17" s="902"/>
      <c r="K17" s="902"/>
      <c r="L17" s="902"/>
      <c r="M17" s="612" t="s">
        <v>4409</v>
      </c>
      <c r="N17" s="917">
        <v>238</v>
      </c>
      <c r="O17" s="813">
        <v>240</v>
      </c>
      <c r="P17" s="515">
        <v>246</v>
      </c>
      <c r="Q17" s="515">
        <v>260</v>
      </c>
      <c r="R17" s="902"/>
      <c r="S17" s="902"/>
      <c r="U17" s="382" t="s">
        <v>4410</v>
      </c>
      <c r="V17" s="463">
        <v>153836</v>
      </c>
      <c r="W17" s="463">
        <v>154388</v>
      </c>
      <c r="X17" s="463">
        <v>155493</v>
      </c>
      <c r="Y17" s="463">
        <v>156045</v>
      </c>
      <c r="Z17" s="463">
        <v>156597</v>
      </c>
      <c r="AA17" s="463">
        <v>157149</v>
      </c>
      <c r="AB17" s="463"/>
      <c r="AC17" s="463"/>
      <c r="AE17" s="382" t="s">
        <v>4411</v>
      </c>
      <c r="AN17" s="398" t="s">
        <v>4412</v>
      </c>
      <c r="AO17" s="754">
        <v>6825</v>
      </c>
      <c r="AP17" s="754">
        <v>82</v>
      </c>
      <c r="AQ17" s="754">
        <v>187</v>
      </c>
      <c r="AR17" s="754">
        <v>154</v>
      </c>
      <c r="AS17" s="916">
        <f t="shared" si="2"/>
        <v>6402</v>
      </c>
      <c r="AT17" s="772">
        <v>100</v>
      </c>
      <c r="AU17" s="772">
        <f t="shared" si="3"/>
        <v>1.2014652014652014</v>
      </c>
      <c r="AV17" s="772">
        <f t="shared" si="4"/>
        <v>2.73992673992674</v>
      </c>
      <c r="AW17" s="772">
        <f t="shared" si="5"/>
        <v>2.2564102564102564</v>
      </c>
      <c r="AX17" s="772">
        <f t="shared" si="6"/>
        <v>93.80219780219781</v>
      </c>
      <c r="BA17" s="398" t="s">
        <v>4412</v>
      </c>
      <c r="BB17" s="754">
        <v>5845</v>
      </c>
      <c r="BC17" s="754">
        <v>35</v>
      </c>
      <c r="BD17" s="754">
        <v>74</v>
      </c>
      <c r="BE17" s="754">
        <v>174</v>
      </c>
      <c r="BF17" s="916">
        <f t="shared" si="7"/>
        <v>5562</v>
      </c>
      <c r="BG17" s="772">
        <v>100</v>
      </c>
      <c r="BH17" s="772">
        <f t="shared" si="8"/>
        <v>0.5988023952095809</v>
      </c>
      <c r="BI17" s="772">
        <f t="shared" si="9"/>
        <v>1.2660393498716851</v>
      </c>
      <c r="BJ17" s="772">
        <f t="shared" si="10"/>
        <v>2.9769033361847734</v>
      </c>
      <c r="BK17" s="772">
        <f t="shared" si="11"/>
        <v>95.158254918733959</v>
      </c>
      <c r="BL17" s="772"/>
      <c r="BN17" s="709" t="s">
        <v>4413</v>
      </c>
      <c r="BO17" s="857">
        <v>2012.4</v>
      </c>
      <c r="BP17" s="857">
        <v>1396</v>
      </c>
      <c r="BQ17" s="857">
        <v>1532.8</v>
      </c>
      <c r="BR17" s="857">
        <v>1478.9</v>
      </c>
      <c r="BS17" s="857">
        <f>SUM(BS18:BS19)</f>
        <v>1380.6</v>
      </c>
      <c r="BT17" s="857">
        <f>SUM(BT18:BT19)</f>
        <v>1413</v>
      </c>
      <c r="BU17" s="857">
        <v>1249.5</v>
      </c>
      <c r="BV17" s="804">
        <v>1538.6</v>
      </c>
      <c r="BW17" s="804"/>
    </row>
    <row r="18" spans="1:75">
      <c r="A18" s="571"/>
      <c r="B18" s="571"/>
      <c r="C18" s="571"/>
      <c r="D18" s="902"/>
      <c r="E18" s="902"/>
      <c r="F18" s="902"/>
      <c r="G18" s="902"/>
      <c r="H18" s="902"/>
      <c r="I18" s="902"/>
      <c r="J18" s="902"/>
      <c r="K18" s="902"/>
      <c r="L18" s="902"/>
      <c r="M18" s="612" t="s">
        <v>4414</v>
      </c>
      <c r="N18" s="917">
        <v>37</v>
      </c>
      <c r="O18" s="813">
        <v>30</v>
      </c>
      <c r="P18" s="515">
        <v>0</v>
      </c>
      <c r="Q18" s="515">
        <v>0</v>
      </c>
      <c r="R18" s="902"/>
      <c r="S18" s="902"/>
      <c r="U18" s="892" t="s">
        <v>4415</v>
      </c>
      <c r="V18" s="869">
        <f t="shared" ref="V18:AA18" si="15">V3/V17*100</f>
        <v>4.0413167269039754</v>
      </c>
      <c r="W18" s="869">
        <f t="shared" si="15"/>
        <v>3.9769930305464154</v>
      </c>
      <c r="X18" s="869">
        <f t="shared" si="15"/>
        <v>7.4337751538654473</v>
      </c>
      <c r="Y18" s="869">
        <f t="shared" si="15"/>
        <v>8.2072479092569459</v>
      </c>
      <c r="Z18" s="869">
        <f t="shared" si="15"/>
        <v>8.5097415659303817</v>
      </c>
      <c r="AA18" s="869">
        <f t="shared" si="15"/>
        <v>8.0522306855277481</v>
      </c>
      <c r="AE18" s="382" t="s">
        <v>4416</v>
      </c>
      <c r="AN18" s="398" t="s">
        <v>2195</v>
      </c>
      <c r="AO18" s="754">
        <v>1454</v>
      </c>
      <c r="AP18" s="754">
        <v>83</v>
      </c>
      <c r="AQ18" s="754">
        <v>123</v>
      </c>
      <c r="AR18" s="754">
        <v>83</v>
      </c>
      <c r="AS18" s="916">
        <f t="shared" si="2"/>
        <v>1165</v>
      </c>
      <c r="AT18" s="772">
        <v>100</v>
      </c>
      <c r="AU18" s="772">
        <f t="shared" si="3"/>
        <v>5.7083906464924343</v>
      </c>
      <c r="AV18" s="772">
        <f t="shared" si="4"/>
        <v>8.4594222833562593</v>
      </c>
      <c r="AW18" s="772">
        <f t="shared" si="5"/>
        <v>5.7083906464924343</v>
      </c>
      <c r="AX18" s="772">
        <f t="shared" si="6"/>
        <v>80.123796423658874</v>
      </c>
      <c r="BA18" s="398" t="s">
        <v>2195</v>
      </c>
      <c r="BB18" s="754">
        <v>1665</v>
      </c>
      <c r="BC18" s="754">
        <v>45</v>
      </c>
      <c r="BD18" s="754">
        <v>35</v>
      </c>
      <c r="BE18" s="754">
        <v>110</v>
      </c>
      <c r="BF18" s="916">
        <f t="shared" si="7"/>
        <v>1475</v>
      </c>
      <c r="BG18" s="772">
        <v>100</v>
      </c>
      <c r="BH18" s="772">
        <f t="shared" si="8"/>
        <v>2.7027027027027026</v>
      </c>
      <c r="BI18" s="772">
        <f t="shared" si="9"/>
        <v>2.1021021021021022</v>
      </c>
      <c r="BJ18" s="772">
        <f t="shared" si="10"/>
        <v>6.606606606606606</v>
      </c>
      <c r="BK18" s="772">
        <f t="shared" si="11"/>
        <v>88.588588588588593</v>
      </c>
      <c r="BL18" s="772"/>
      <c r="BN18" s="398" t="s">
        <v>4417</v>
      </c>
      <c r="BO18" s="857">
        <v>1092.5999999999999</v>
      </c>
      <c r="BP18" s="382">
        <v>567.29999999999995</v>
      </c>
      <c r="BQ18" s="382">
        <v>789.4</v>
      </c>
      <c r="BR18" s="382">
        <v>817.7</v>
      </c>
      <c r="BS18" s="799">
        <v>738.8</v>
      </c>
      <c r="BT18" s="799">
        <v>712</v>
      </c>
      <c r="BU18" s="382">
        <v>659.7</v>
      </c>
      <c r="BV18" s="385">
        <v>816.6</v>
      </c>
      <c r="BW18" s="385"/>
    </row>
    <row r="19" spans="1:75">
      <c r="A19" s="899"/>
      <c r="B19" s="899"/>
      <c r="M19" s="382" t="s">
        <v>4418</v>
      </c>
      <c r="N19" s="463">
        <f>SUM(N20:N24)</f>
        <v>3195</v>
      </c>
      <c r="O19" s="463">
        <f>SUM(O20:O24)</f>
        <v>2888</v>
      </c>
      <c r="P19" s="463">
        <f>SUM(P20:P24)</f>
        <v>2675</v>
      </c>
      <c r="Q19" s="463">
        <f>SUM(Q20:Q24)</f>
        <v>2472</v>
      </c>
      <c r="U19" s="382" t="s">
        <v>4419</v>
      </c>
      <c r="V19" s="385"/>
      <c r="W19" s="385"/>
      <c r="X19" s="385"/>
      <c r="Y19" s="385"/>
      <c r="Z19" s="385"/>
      <c r="AE19" s="508" t="s">
        <v>4420</v>
      </c>
      <c r="AN19" s="398" t="s">
        <v>2198</v>
      </c>
      <c r="AO19" s="754">
        <v>6084</v>
      </c>
      <c r="AP19" s="754">
        <v>1221</v>
      </c>
      <c r="AQ19" s="754">
        <v>1066</v>
      </c>
      <c r="AR19" s="754">
        <v>254</v>
      </c>
      <c r="AS19" s="916">
        <f t="shared" si="2"/>
        <v>3543</v>
      </c>
      <c r="AT19" s="772">
        <v>100</v>
      </c>
      <c r="AU19" s="772">
        <f t="shared" si="3"/>
        <v>20.069033530571993</v>
      </c>
      <c r="AV19" s="772">
        <f t="shared" si="4"/>
        <v>17.52136752136752</v>
      </c>
      <c r="AW19" s="772">
        <f t="shared" si="5"/>
        <v>4.1748849441157132</v>
      </c>
      <c r="AX19" s="772">
        <f t="shared" si="6"/>
        <v>58.234714003944774</v>
      </c>
      <c r="BA19" s="398" t="s">
        <v>2198</v>
      </c>
      <c r="BB19" s="754">
        <v>7500</v>
      </c>
      <c r="BC19" s="754">
        <v>1302</v>
      </c>
      <c r="BD19" s="754">
        <v>1685</v>
      </c>
      <c r="BE19" s="754">
        <v>249</v>
      </c>
      <c r="BF19" s="916">
        <f t="shared" si="7"/>
        <v>4264</v>
      </c>
      <c r="BG19" s="772">
        <v>100</v>
      </c>
      <c r="BH19" s="772">
        <f t="shared" si="8"/>
        <v>17.36</v>
      </c>
      <c r="BI19" s="772">
        <f t="shared" si="9"/>
        <v>22.466666666666665</v>
      </c>
      <c r="BJ19" s="772">
        <f t="shared" si="10"/>
        <v>3.32</v>
      </c>
      <c r="BK19" s="772">
        <f t="shared" si="11"/>
        <v>56.853333333333332</v>
      </c>
      <c r="BL19" s="772"/>
      <c r="BN19" s="387" t="s">
        <v>4421</v>
      </c>
      <c r="BO19" s="869">
        <v>919.8</v>
      </c>
      <c r="BP19" s="381">
        <v>828.7</v>
      </c>
      <c r="BQ19" s="381">
        <v>743.4</v>
      </c>
      <c r="BR19" s="381">
        <v>661.2</v>
      </c>
      <c r="BS19" s="805">
        <v>641.79999999999995</v>
      </c>
      <c r="BT19" s="805">
        <v>701</v>
      </c>
      <c r="BU19" s="381">
        <v>589.79999999999995</v>
      </c>
      <c r="BV19" s="922">
        <v>722</v>
      </c>
      <c r="BW19" s="385"/>
    </row>
    <row r="20" spans="1:75">
      <c r="A20" s="398"/>
      <c r="B20" s="398"/>
      <c r="M20" s="612" t="s">
        <v>4372</v>
      </c>
      <c r="N20" s="917">
        <v>560</v>
      </c>
      <c r="O20" s="463">
        <v>474</v>
      </c>
      <c r="P20" s="463">
        <v>423</v>
      </c>
      <c r="Q20" s="463">
        <v>396</v>
      </c>
      <c r="U20" s="382" t="s">
        <v>4422</v>
      </c>
      <c r="V20" s="900"/>
      <c r="W20" s="900"/>
      <c r="X20" s="900"/>
      <c r="Y20" s="900"/>
      <c r="Z20" s="900"/>
      <c r="AN20" s="398" t="s">
        <v>2261</v>
      </c>
      <c r="AO20" s="754">
        <v>2592</v>
      </c>
      <c r="AP20" s="754">
        <v>53</v>
      </c>
      <c r="AQ20" s="754">
        <v>86</v>
      </c>
      <c r="AR20" s="754">
        <v>89</v>
      </c>
      <c r="AS20" s="916">
        <f t="shared" si="2"/>
        <v>2364</v>
      </c>
      <c r="AT20" s="772">
        <v>100</v>
      </c>
      <c r="AU20" s="772">
        <f t="shared" si="3"/>
        <v>2.0447530864197532</v>
      </c>
      <c r="AV20" s="772">
        <f t="shared" si="4"/>
        <v>3.3179012345679015</v>
      </c>
      <c r="AW20" s="772">
        <f t="shared" si="5"/>
        <v>3.433641975308642</v>
      </c>
      <c r="AX20" s="772">
        <f t="shared" si="6"/>
        <v>91.203703703703709</v>
      </c>
      <c r="BA20" s="398" t="s">
        <v>2261</v>
      </c>
      <c r="BB20" s="754">
        <v>2855</v>
      </c>
      <c r="BC20" s="754">
        <v>30</v>
      </c>
      <c r="BD20" s="754">
        <v>42</v>
      </c>
      <c r="BE20" s="754">
        <v>114</v>
      </c>
      <c r="BF20" s="916">
        <f t="shared" si="7"/>
        <v>2669</v>
      </c>
      <c r="BG20" s="772">
        <v>100</v>
      </c>
      <c r="BH20" s="772">
        <f t="shared" si="8"/>
        <v>1.0507880910683012</v>
      </c>
      <c r="BI20" s="772">
        <f t="shared" si="9"/>
        <v>1.4711033274956218</v>
      </c>
      <c r="BJ20" s="772">
        <f t="shared" si="10"/>
        <v>3.9929947460595443</v>
      </c>
      <c r="BK20" s="772">
        <f t="shared" si="11"/>
        <v>93.485113835376538</v>
      </c>
      <c r="BL20" s="772"/>
      <c r="BN20" s="398" t="s">
        <v>4386</v>
      </c>
      <c r="BO20" s="385"/>
      <c r="BP20" s="385"/>
      <c r="BQ20" s="385"/>
      <c r="BR20" s="385"/>
    </row>
    <row r="21" spans="1:75">
      <c r="A21" s="386"/>
      <c r="B21" s="385"/>
      <c r="C21" s="385"/>
      <c r="E21" s="385"/>
      <c r="F21" s="385"/>
      <c r="G21" s="385"/>
      <c r="H21" s="385"/>
      <c r="I21" s="385"/>
      <c r="J21" s="385"/>
      <c r="K21" s="385"/>
      <c r="L21" s="385"/>
      <c r="M21" s="612" t="s">
        <v>4379</v>
      </c>
      <c r="N21" s="917">
        <v>208</v>
      </c>
      <c r="O21" s="754">
        <v>203</v>
      </c>
      <c r="P21" s="754">
        <v>173</v>
      </c>
      <c r="Q21" s="754">
        <v>147</v>
      </c>
      <c r="R21" s="385"/>
      <c r="S21" s="385"/>
      <c r="U21" s="382" t="s">
        <v>4423</v>
      </c>
      <c r="V21" s="900"/>
      <c r="W21" s="900"/>
      <c r="X21" s="900"/>
      <c r="Y21" s="900"/>
      <c r="Z21" s="900"/>
      <c r="AN21" s="398" t="s">
        <v>2201</v>
      </c>
      <c r="AO21" s="754">
        <v>3050</v>
      </c>
      <c r="AP21" s="754">
        <v>89</v>
      </c>
      <c r="AQ21" s="754">
        <v>170</v>
      </c>
      <c r="AR21" s="754">
        <v>153</v>
      </c>
      <c r="AS21" s="916">
        <f t="shared" si="2"/>
        <v>2638</v>
      </c>
      <c r="AT21" s="772">
        <v>100</v>
      </c>
      <c r="AU21" s="772">
        <f t="shared" si="3"/>
        <v>2.9180327868852456</v>
      </c>
      <c r="AV21" s="772">
        <f t="shared" si="4"/>
        <v>5.5737704918032787</v>
      </c>
      <c r="AW21" s="772">
        <f t="shared" si="5"/>
        <v>5.0163934426229506</v>
      </c>
      <c r="AX21" s="772">
        <f t="shared" si="6"/>
        <v>86.491803278688522</v>
      </c>
      <c r="BA21" s="398" t="s">
        <v>2201</v>
      </c>
      <c r="BB21" s="754">
        <v>3215</v>
      </c>
      <c r="BC21" s="754">
        <v>10</v>
      </c>
      <c r="BD21" s="754">
        <v>48</v>
      </c>
      <c r="BE21" s="754">
        <v>143</v>
      </c>
      <c r="BF21" s="916">
        <f t="shared" si="7"/>
        <v>3014</v>
      </c>
      <c r="BG21" s="772">
        <v>100</v>
      </c>
      <c r="BH21" s="772">
        <f t="shared" si="8"/>
        <v>0.31104199066874028</v>
      </c>
      <c r="BI21" s="772">
        <f t="shared" si="9"/>
        <v>1.4930015552099534</v>
      </c>
      <c r="BJ21" s="772">
        <f t="shared" si="10"/>
        <v>4.4479004665629862</v>
      </c>
      <c r="BK21" s="772">
        <f t="shared" si="11"/>
        <v>93.748055987558317</v>
      </c>
      <c r="BL21" s="772"/>
      <c r="BN21" s="825" t="s">
        <v>4389</v>
      </c>
      <c r="BO21" s="857"/>
      <c r="BP21" s="857"/>
      <c r="BQ21" s="857"/>
      <c r="BR21" s="857"/>
      <c r="BS21" s="857"/>
      <c r="BT21" s="857"/>
      <c r="BU21" s="857"/>
    </row>
    <row r="22" spans="1:75">
      <c r="A22" s="398"/>
      <c r="B22" s="515"/>
      <c r="C22" s="515"/>
      <c r="D22" s="515"/>
      <c r="E22" s="515"/>
      <c r="F22" s="515"/>
      <c r="G22" s="515"/>
      <c r="H22" s="515"/>
      <c r="I22" s="515"/>
      <c r="J22" s="515"/>
      <c r="K22" s="515"/>
      <c r="L22" s="515"/>
      <c r="M22" s="612" t="s">
        <v>4385</v>
      </c>
      <c r="N22" s="917">
        <v>8</v>
      </c>
      <c r="O22" s="515">
        <v>7</v>
      </c>
      <c r="P22" s="515">
        <v>9</v>
      </c>
      <c r="Q22" s="515">
        <v>5</v>
      </c>
      <c r="R22" s="515"/>
      <c r="S22" s="515"/>
      <c r="U22" s="382" t="s">
        <v>4424</v>
      </c>
      <c r="V22" s="900"/>
      <c r="W22" s="900"/>
      <c r="X22" s="900"/>
      <c r="Y22" s="900"/>
      <c r="Z22" s="900"/>
      <c r="AN22" s="398" t="s">
        <v>2202</v>
      </c>
      <c r="AO22" s="754">
        <v>19685</v>
      </c>
      <c r="AP22" s="754">
        <v>737</v>
      </c>
      <c r="AQ22" s="754">
        <v>517</v>
      </c>
      <c r="AR22" s="754">
        <v>332</v>
      </c>
      <c r="AS22" s="916">
        <f t="shared" si="2"/>
        <v>18099</v>
      </c>
      <c r="AT22" s="772">
        <v>100</v>
      </c>
      <c r="AU22" s="772">
        <f t="shared" si="3"/>
        <v>3.743967487934976</v>
      </c>
      <c r="AV22" s="772">
        <f t="shared" si="4"/>
        <v>2.6263652527305057</v>
      </c>
      <c r="AW22" s="772">
        <f t="shared" si="5"/>
        <v>1.6865633731267462</v>
      </c>
      <c r="AX22" s="772">
        <f t="shared" si="6"/>
        <v>91.94310388620778</v>
      </c>
      <c r="BA22" s="398" t="s">
        <v>2202</v>
      </c>
      <c r="BB22" s="754">
        <v>18010</v>
      </c>
      <c r="BC22" s="754">
        <v>275</v>
      </c>
      <c r="BD22" s="754">
        <v>224</v>
      </c>
      <c r="BE22" s="754">
        <v>304</v>
      </c>
      <c r="BF22" s="916">
        <f t="shared" si="7"/>
        <v>17207</v>
      </c>
      <c r="BG22" s="772">
        <v>100</v>
      </c>
      <c r="BH22" s="772">
        <f t="shared" si="8"/>
        <v>1.526929483620211</v>
      </c>
      <c r="BI22" s="772">
        <f t="shared" si="9"/>
        <v>1.243753470294281</v>
      </c>
      <c r="BJ22" s="772">
        <f t="shared" si="10"/>
        <v>1.6879511382565244</v>
      </c>
      <c r="BK22" s="772">
        <f t="shared" si="11"/>
        <v>95.541365907828975</v>
      </c>
      <c r="BL22" s="772"/>
      <c r="BN22" s="919" t="s">
        <v>4394</v>
      </c>
    </row>
    <row r="23" spans="1:75">
      <c r="A23" s="398"/>
      <c r="B23" s="398"/>
      <c r="C23" s="754"/>
      <c r="D23" s="754"/>
      <c r="E23" s="754"/>
      <c r="F23" s="754"/>
      <c r="G23" s="754"/>
      <c r="H23" s="754"/>
      <c r="I23" s="754"/>
      <c r="J23" s="754"/>
      <c r="K23" s="754"/>
      <c r="L23" s="754"/>
      <c r="M23" s="612" t="s">
        <v>4388</v>
      </c>
      <c r="N23" s="463">
        <v>1592</v>
      </c>
      <c r="O23" s="754">
        <v>1435</v>
      </c>
      <c r="P23" s="754">
        <v>1332</v>
      </c>
      <c r="Q23" s="754">
        <v>1345</v>
      </c>
      <c r="R23" s="754"/>
      <c r="S23" s="754"/>
      <c r="U23" s="382" t="s">
        <v>4425</v>
      </c>
      <c r="V23" s="900"/>
      <c r="W23" s="900"/>
      <c r="X23" s="900"/>
      <c r="Y23" s="900"/>
      <c r="Z23" s="900"/>
      <c r="AN23" s="398" t="s">
        <v>2356</v>
      </c>
      <c r="AO23" s="754">
        <v>782</v>
      </c>
      <c r="AP23" s="754">
        <v>4</v>
      </c>
      <c r="AQ23" s="754">
        <v>12</v>
      </c>
      <c r="AR23" s="754">
        <v>23</v>
      </c>
      <c r="AS23" s="916">
        <f t="shared" si="2"/>
        <v>743</v>
      </c>
      <c r="AT23" s="772">
        <v>100</v>
      </c>
      <c r="AU23" s="772">
        <f t="shared" si="3"/>
        <v>0.51150895140664965</v>
      </c>
      <c r="AV23" s="772">
        <f t="shared" si="4"/>
        <v>1.5345268542199488</v>
      </c>
      <c r="AW23" s="772">
        <f t="shared" si="5"/>
        <v>2.9411764705882351</v>
      </c>
      <c r="AX23" s="772">
        <f t="shared" si="6"/>
        <v>95.012787723785166</v>
      </c>
      <c r="BA23" s="398" t="s">
        <v>2356</v>
      </c>
      <c r="BB23" s="754">
        <v>885</v>
      </c>
      <c r="BC23" s="754">
        <v>4</v>
      </c>
      <c r="BD23" s="754">
        <v>22</v>
      </c>
      <c r="BE23" s="754">
        <v>29</v>
      </c>
      <c r="BF23" s="916">
        <f t="shared" si="7"/>
        <v>830</v>
      </c>
      <c r="BG23" s="772">
        <v>100</v>
      </c>
      <c r="BH23" s="772">
        <f t="shared" si="8"/>
        <v>0.4519774011299435</v>
      </c>
      <c r="BI23" s="772">
        <f t="shared" si="9"/>
        <v>2.4858757062146895</v>
      </c>
      <c r="BJ23" s="772">
        <f t="shared" si="10"/>
        <v>3.2768361581920904</v>
      </c>
      <c r="BK23" s="772">
        <f t="shared" si="11"/>
        <v>93.78531073446328</v>
      </c>
      <c r="BL23" s="772"/>
    </row>
    <row r="24" spans="1:75">
      <c r="A24" s="398"/>
      <c r="B24" s="398"/>
      <c r="C24" s="754"/>
      <c r="D24" s="754"/>
      <c r="E24" s="754"/>
      <c r="F24" s="754"/>
      <c r="G24" s="754"/>
      <c r="H24" s="754"/>
      <c r="I24" s="754"/>
      <c r="J24" s="754"/>
      <c r="K24" s="754"/>
      <c r="L24" s="754"/>
      <c r="M24" s="892" t="s">
        <v>4426</v>
      </c>
      <c r="N24" s="920">
        <v>827</v>
      </c>
      <c r="O24" s="792">
        <v>769</v>
      </c>
      <c r="P24" s="792">
        <v>738</v>
      </c>
      <c r="Q24" s="792">
        <v>579</v>
      </c>
      <c r="R24" s="754"/>
      <c r="S24" s="754"/>
      <c r="U24" s="382" t="s">
        <v>4427</v>
      </c>
      <c r="V24" s="900"/>
      <c r="W24" s="900"/>
      <c r="X24" s="900"/>
      <c r="Y24" s="900"/>
      <c r="Z24" s="900"/>
      <c r="AN24" s="398" t="s">
        <v>2208</v>
      </c>
      <c r="AO24" s="754">
        <v>20539</v>
      </c>
      <c r="AP24" s="754">
        <v>1157</v>
      </c>
      <c r="AQ24" s="754">
        <v>2062</v>
      </c>
      <c r="AR24" s="754">
        <v>614</v>
      </c>
      <c r="AS24" s="916">
        <f t="shared" si="2"/>
        <v>16706</v>
      </c>
      <c r="AT24" s="772">
        <v>100</v>
      </c>
      <c r="AU24" s="772">
        <f t="shared" si="3"/>
        <v>5.6331856468182488</v>
      </c>
      <c r="AV24" s="772">
        <f t="shared" si="4"/>
        <v>10.039437168313938</v>
      </c>
      <c r="AW24" s="772">
        <f t="shared" si="5"/>
        <v>2.9894347339208336</v>
      </c>
      <c r="AX24" s="772">
        <f t="shared" si="6"/>
        <v>81.337942450946983</v>
      </c>
      <c r="BA24" s="398" t="s">
        <v>2208</v>
      </c>
      <c r="BB24" s="754">
        <v>19475</v>
      </c>
      <c r="BC24" s="754">
        <v>1660</v>
      </c>
      <c r="BD24" s="754">
        <v>2743</v>
      </c>
      <c r="BE24" s="754">
        <v>594</v>
      </c>
      <c r="BF24" s="916">
        <f t="shared" si="7"/>
        <v>14478</v>
      </c>
      <c r="BG24" s="772">
        <v>100</v>
      </c>
      <c r="BH24" s="772">
        <f t="shared" si="8"/>
        <v>8.5237483953786892</v>
      </c>
      <c r="BI24" s="772">
        <f t="shared" si="9"/>
        <v>14.084724005134788</v>
      </c>
      <c r="BJ24" s="772">
        <f t="shared" si="10"/>
        <v>3.0500641848523751</v>
      </c>
      <c r="BK24" s="772">
        <f t="shared" si="11"/>
        <v>74.341463414634148</v>
      </c>
      <c r="BL24" s="772"/>
    </row>
    <row r="25" spans="1:75">
      <c r="A25" s="398"/>
      <c r="B25" s="398"/>
      <c r="C25" s="754"/>
      <c r="D25" s="754"/>
      <c r="E25" s="754"/>
      <c r="F25" s="754"/>
      <c r="G25" s="754"/>
      <c r="H25" s="754"/>
      <c r="I25" s="754"/>
      <c r="J25" s="754"/>
      <c r="K25" s="754"/>
      <c r="L25" s="754"/>
      <c r="M25" s="382" t="s">
        <v>4428</v>
      </c>
      <c r="O25" s="754"/>
      <c r="P25" s="754"/>
      <c r="Q25" s="754"/>
      <c r="R25" s="754"/>
      <c r="S25" s="754"/>
      <c r="U25" s="382" t="s">
        <v>4429</v>
      </c>
      <c r="AB25" s="923"/>
      <c r="AN25" s="387" t="s">
        <v>2209</v>
      </c>
      <c r="AO25" s="792">
        <v>6480</v>
      </c>
      <c r="AP25" s="792">
        <v>86</v>
      </c>
      <c r="AQ25" s="792">
        <v>204</v>
      </c>
      <c r="AR25" s="792">
        <v>351</v>
      </c>
      <c r="AS25" s="924">
        <f t="shared" si="2"/>
        <v>5839</v>
      </c>
      <c r="AT25" s="922">
        <v>100</v>
      </c>
      <c r="AU25" s="772">
        <f t="shared" si="3"/>
        <v>1.3271604938271606</v>
      </c>
      <c r="AV25" s="772">
        <f t="shared" si="4"/>
        <v>3.1481481481481479</v>
      </c>
      <c r="AW25" s="772">
        <f t="shared" si="5"/>
        <v>5.416666666666667</v>
      </c>
      <c r="AX25" s="772">
        <f t="shared" si="6"/>
        <v>90.108024691358025</v>
      </c>
      <c r="BA25" s="387" t="s">
        <v>2209</v>
      </c>
      <c r="BB25" s="792">
        <v>6485</v>
      </c>
      <c r="BC25" s="792">
        <v>25</v>
      </c>
      <c r="BD25" s="792">
        <v>106</v>
      </c>
      <c r="BE25" s="792">
        <v>333</v>
      </c>
      <c r="BF25" s="924">
        <f t="shared" si="7"/>
        <v>6021</v>
      </c>
      <c r="BG25" s="922">
        <v>100</v>
      </c>
      <c r="BH25" s="772">
        <f t="shared" si="8"/>
        <v>0.38550501156515038</v>
      </c>
      <c r="BI25" s="772">
        <f t="shared" si="9"/>
        <v>1.6345412490362377</v>
      </c>
      <c r="BJ25" s="772">
        <f t="shared" si="10"/>
        <v>5.134926754047803</v>
      </c>
      <c r="BK25" s="772">
        <f t="shared" si="11"/>
        <v>92.845026985350813</v>
      </c>
      <c r="BL25" s="772"/>
    </row>
    <row r="26" spans="1:75">
      <c r="A26" s="398"/>
      <c r="B26" s="398"/>
      <c r="C26" s="754"/>
      <c r="D26" s="754"/>
      <c r="E26" s="754"/>
      <c r="F26" s="754"/>
      <c r="G26" s="754"/>
      <c r="H26" s="754"/>
      <c r="I26" s="754"/>
      <c r="J26" s="754"/>
      <c r="K26" s="754"/>
      <c r="L26" s="754"/>
      <c r="M26" s="463" t="s">
        <v>4430</v>
      </c>
      <c r="N26" s="463"/>
      <c r="O26" s="754"/>
      <c r="P26" s="754"/>
      <c r="Q26" s="754"/>
      <c r="R26" s="754"/>
      <c r="S26" s="754"/>
      <c r="V26" s="857"/>
      <c r="W26" s="857"/>
      <c r="X26" s="857"/>
      <c r="Y26" s="857"/>
      <c r="Z26" s="857"/>
      <c r="AA26" s="857"/>
      <c r="AN26" s="709" t="s">
        <v>4431</v>
      </c>
      <c r="AO26" s="925"/>
      <c r="AP26" s="925"/>
      <c r="AQ26" s="925"/>
      <c r="AR26" s="925"/>
      <c r="AS26" s="925"/>
      <c r="AT26" s="925"/>
      <c r="AU26" s="925"/>
      <c r="AV26" s="925"/>
      <c r="AW26" s="925"/>
      <c r="AX26" s="925"/>
      <c r="BA26" s="709" t="s">
        <v>4432</v>
      </c>
      <c r="BB26" s="925"/>
      <c r="BC26" s="925"/>
      <c r="BD26" s="925"/>
      <c r="BE26" s="925"/>
      <c r="BF26" s="925"/>
      <c r="BG26" s="925"/>
      <c r="BH26" s="925"/>
      <c r="BI26" s="925"/>
      <c r="BJ26" s="925"/>
      <c r="BK26" s="925"/>
      <c r="BL26" s="900"/>
      <c r="BN26" s="398" t="s">
        <v>4433</v>
      </c>
    </row>
    <row r="27" spans="1:75">
      <c r="A27" s="398"/>
      <c r="B27" s="398"/>
      <c r="C27" s="754"/>
      <c r="D27" s="754"/>
      <c r="E27" s="754"/>
      <c r="F27" s="754"/>
      <c r="G27" s="754"/>
      <c r="H27" s="754"/>
      <c r="I27" s="754"/>
      <c r="J27" s="754"/>
      <c r="K27" s="754"/>
      <c r="L27" s="754"/>
      <c r="M27" s="463" t="s">
        <v>4434</v>
      </c>
      <c r="N27" s="463"/>
      <c r="O27" s="754"/>
      <c r="P27" s="754"/>
      <c r="Q27" s="754"/>
      <c r="R27" s="754"/>
      <c r="S27" s="754"/>
      <c r="W27" s="473"/>
      <c r="X27" s="473"/>
      <c r="Y27" s="473"/>
      <c r="Z27" s="923"/>
      <c r="AA27" s="923"/>
      <c r="AC27" s="439"/>
      <c r="AN27" s="398" t="s">
        <v>4435</v>
      </c>
      <c r="AO27" s="926"/>
      <c r="AP27" s="926"/>
      <c r="AQ27" s="926"/>
      <c r="AR27" s="926"/>
      <c r="AS27" s="926"/>
      <c r="AT27" s="926"/>
      <c r="AU27" s="926"/>
      <c r="AV27" s="926"/>
      <c r="AW27" s="926"/>
      <c r="AX27" s="926"/>
      <c r="BA27" s="398" t="s">
        <v>4436</v>
      </c>
      <c r="BB27" s="926"/>
      <c r="BC27" s="926"/>
      <c r="BD27" s="926"/>
      <c r="BE27" s="926"/>
      <c r="BF27" s="926"/>
      <c r="BG27" s="926"/>
      <c r="BH27" s="926"/>
      <c r="BI27" s="926"/>
      <c r="BJ27" s="926"/>
      <c r="BK27" s="926"/>
      <c r="BL27" s="926"/>
      <c r="BN27" s="398" t="s">
        <v>4437</v>
      </c>
    </row>
    <row r="28" spans="1:75">
      <c r="A28" s="398"/>
      <c r="M28" s="382" t="s">
        <v>4438</v>
      </c>
      <c r="AB28" s="439"/>
      <c r="AC28" s="435"/>
      <c r="AN28" s="398" t="s">
        <v>4439</v>
      </c>
      <c r="AO28" s="385"/>
      <c r="AP28" s="385"/>
      <c r="AQ28" s="385"/>
      <c r="AR28" s="385"/>
      <c r="AS28" s="385"/>
      <c r="AT28" s="385"/>
      <c r="AU28" s="385"/>
      <c r="AV28" s="385"/>
      <c r="AW28" s="385"/>
      <c r="AX28" s="385"/>
      <c r="BA28" s="398" t="s">
        <v>4439</v>
      </c>
      <c r="BB28" s="385"/>
      <c r="BC28" s="385"/>
      <c r="BD28" s="385"/>
      <c r="BE28" s="385"/>
      <c r="BF28" s="385"/>
      <c r="BG28" s="385"/>
      <c r="BH28" s="385"/>
      <c r="BI28" s="385"/>
      <c r="BJ28" s="385"/>
      <c r="BK28" s="385"/>
      <c r="BL28" s="385"/>
      <c r="BN28" s="911" t="s">
        <v>4440</v>
      </c>
      <c r="BO28" s="927">
        <v>2010</v>
      </c>
      <c r="BP28" s="927">
        <v>2009</v>
      </c>
      <c r="BQ28" s="927">
        <v>2008</v>
      </c>
      <c r="BR28" s="927">
        <v>2007</v>
      </c>
      <c r="BS28" s="729">
        <v>2006</v>
      </c>
      <c r="BT28" s="728">
        <v>2005</v>
      </c>
      <c r="BU28" s="729">
        <v>2004</v>
      </c>
      <c r="BV28" s="729">
        <v>2003</v>
      </c>
      <c r="BW28" s="928"/>
    </row>
    <row r="29" spans="1:75">
      <c r="A29" s="398"/>
      <c r="B29" s="398"/>
      <c r="C29" s="398"/>
      <c r="D29" s="398"/>
      <c r="E29" s="398"/>
      <c r="F29" s="398"/>
      <c r="G29" s="398"/>
      <c r="H29" s="398"/>
      <c r="I29" s="398"/>
      <c r="J29" s="398"/>
      <c r="K29" s="398"/>
      <c r="L29" s="398"/>
      <c r="M29" s="398" t="s">
        <v>4441</v>
      </c>
      <c r="N29" s="398"/>
      <c r="O29" s="398"/>
      <c r="P29" s="398"/>
      <c r="Q29" s="398"/>
      <c r="R29" s="398"/>
      <c r="S29" s="398"/>
      <c r="U29" s="384" t="s">
        <v>4442</v>
      </c>
      <c r="V29" s="824"/>
      <c r="W29" s="824"/>
      <c r="X29" s="824"/>
      <c r="Y29" s="824"/>
      <c r="Z29" s="381"/>
      <c r="AB29" s="435"/>
      <c r="AC29" s="435"/>
      <c r="AN29" s="398" t="s">
        <v>4443</v>
      </c>
      <c r="AO29" s="398"/>
      <c r="AP29" s="398"/>
      <c r="AQ29" s="398"/>
      <c r="AR29" s="398"/>
      <c r="AS29" s="398"/>
      <c r="AT29" s="398"/>
      <c r="AU29" s="398"/>
      <c r="AV29" s="398"/>
      <c r="AW29" s="398"/>
      <c r="AX29" s="398"/>
      <c r="BA29" s="398" t="s">
        <v>4443</v>
      </c>
      <c r="BB29" s="398"/>
      <c r="BC29" s="398"/>
      <c r="BD29" s="398"/>
      <c r="BE29" s="398"/>
      <c r="BF29" s="398"/>
      <c r="BG29" s="398"/>
      <c r="BH29" s="398"/>
      <c r="BI29" s="398"/>
      <c r="BJ29" s="398"/>
      <c r="BK29" s="398"/>
      <c r="BL29" s="398"/>
      <c r="BN29" s="709" t="s">
        <v>4413</v>
      </c>
      <c r="BO29" s="857">
        <v>11118.6</v>
      </c>
      <c r="BP29" s="857">
        <v>7823.8</v>
      </c>
      <c r="BQ29" s="857">
        <v>8709.5</v>
      </c>
      <c r="BR29" s="857">
        <f>SUM(BR30:BR31)</f>
        <v>8647.5</v>
      </c>
      <c r="BS29" s="929">
        <f>SUM(BS30:BS31)</f>
        <v>8071.33</v>
      </c>
      <c r="BT29" s="929">
        <f>SUM(BT30:BT31)</f>
        <v>8381.2199999999993</v>
      </c>
      <c r="BU29" s="929">
        <f>SUM(BU30:BU31)</f>
        <v>7637.43</v>
      </c>
      <c r="BV29" s="929">
        <f>SUM(BV30:BV31)</f>
        <v>9405.52</v>
      </c>
      <c r="BW29" s="804"/>
    </row>
    <row r="30" spans="1:75">
      <c r="A30" s="398"/>
      <c r="B30" s="398"/>
      <c r="C30" s="398"/>
      <c r="D30" s="398"/>
      <c r="E30" s="398"/>
      <c r="F30" s="398"/>
      <c r="G30" s="398"/>
      <c r="H30" s="398"/>
      <c r="I30" s="398"/>
      <c r="J30" s="398"/>
      <c r="K30" s="398"/>
      <c r="L30" s="398"/>
      <c r="M30" s="398"/>
      <c r="N30" s="398"/>
      <c r="O30" s="398"/>
      <c r="P30" s="398"/>
      <c r="Q30" s="398"/>
      <c r="R30" s="398"/>
      <c r="S30" s="398"/>
      <c r="U30" s="903" t="s">
        <v>4348</v>
      </c>
      <c r="V30" s="390">
        <v>2013</v>
      </c>
      <c r="W30" s="390">
        <v>2012</v>
      </c>
      <c r="X30" s="390">
        <v>2011</v>
      </c>
      <c r="Y30" s="390">
        <v>2010</v>
      </c>
      <c r="Z30" s="390">
        <v>2009</v>
      </c>
      <c r="AA30" s="390">
        <v>2008</v>
      </c>
      <c r="AB30" s="435"/>
      <c r="AC30" s="435"/>
      <c r="AN30" s="398" t="s">
        <v>4444</v>
      </c>
      <c r="AO30" s="900"/>
      <c r="AP30" s="900"/>
      <c r="AQ30" s="900"/>
      <c r="AR30" s="900"/>
      <c r="AS30" s="900"/>
      <c r="AT30" s="900"/>
      <c r="AU30" s="900"/>
      <c r="AV30" s="900"/>
      <c r="AW30" s="900"/>
      <c r="AX30" s="900"/>
      <c r="BA30" s="398" t="s">
        <v>4444</v>
      </c>
      <c r="BB30" s="900"/>
      <c r="BC30" s="900"/>
      <c r="BD30" s="900"/>
      <c r="BE30" s="900"/>
      <c r="BF30" s="900"/>
      <c r="BG30" s="900"/>
      <c r="BH30" s="900"/>
      <c r="BI30" s="900"/>
      <c r="BJ30" s="900"/>
      <c r="BK30" s="900"/>
      <c r="BL30" s="900"/>
      <c r="BN30" s="398" t="s">
        <v>4417</v>
      </c>
      <c r="BO30" s="857">
        <v>6036.7</v>
      </c>
      <c r="BP30" s="857">
        <v>3179.6</v>
      </c>
      <c r="BQ30" s="804">
        <v>4485.3</v>
      </c>
      <c r="BR30" s="804">
        <v>4781.3999999999996</v>
      </c>
      <c r="BS30" s="804">
        <v>4318.6400000000003</v>
      </c>
      <c r="BT30" s="804">
        <v>4222.1099999999997</v>
      </c>
      <c r="BU30" s="804">
        <v>4032.43</v>
      </c>
      <c r="BV30" s="804">
        <v>4992</v>
      </c>
      <c r="BW30" s="804"/>
    </row>
    <row r="31" spans="1:75">
      <c r="A31" s="398"/>
      <c r="B31" s="754"/>
      <c r="C31" s="754"/>
      <c r="D31" s="754"/>
      <c r="E31" s="754"/>
      <c r="F31" s="754"/>
      <c r="G31" s="754"/>
      <c r="H31" s="754"/>
      <c r="I31" s="754"/>
      <c r="J31" s="398"/>
      <c r="K31" s="398"/>
      <c r="L31" s="398"/>
      <c r="M31" s="398"/>
      <c r="N31" s="398"/>
      <c r="O31" s="398"/>
      <c r="P31" s="398"/>
      <c r="Q31" s="398"/>
      <c r="R31" s="398"/>
      <c r="S31" s="398"/>
      <c r="U31" s="908" t="s">
        <v>4355</v>
      </c>
      <c r="V31" s="463">
        <f t="shared" ref="V31:AA31" si="16">V32+V38</f>
        <v>13071</v>
      </c>
      <c r="W31" s="463">
        <f t="shared" si="16"/>
        <v>10696</v>
      </c>
      <c r="X31" s="463">
        <f t="shared" si="16"/>
        <v>13519</v>
      </c>
      <c r="Y31" s="463">
        <f t="shared" si="16"/>
        <v>13467</v>
      </c>
      <c r="Z31" s="463">
        <f t="shared" si="16"/>
        <v>13253</v>
      </c>
      <c r="AA31" s="754">
        <f t="shared" si="16"/>
        <v>12364</v>
      </c>
      <c r="AB31" s="435"/>
      <c r="AC31" s="435"/>
      <c r="AN31" s="398" t="s">
        <v>4445</v>
      </c>
      <c r="AO31" s="900"/>
      <c r="AP31" s="900"/>
      <c r="AQ31" s="900"/>
      <c r="AR31" s="900"/>
      <c r="AS31" s="900"/>
      <c r="AT31" s="900"/>
      <c r="AU31" s="900"/>
      <c r="AV31" s="900"/>
      <c r="AW31" s="900"/>
      <c r="AX31" s="900"/>
      <c r="BA31" s="398" t="s">
        <v>4445</v>
      </c>
      <c r="BB31" s="900"/>
      <c r="BC31" s="900"/>
      <c r="BD31" s="900"/>
      <c r="BE31" s="900"/>
      <c r="BF31" s="900"/>
      <c r="BG31" s="900"/>
      <c r="BH31" s="900"/>
      <c r="BI31" s="900"/>
      <c r="BJ31" s="900"/>
      <c r="BK31" s="900"/>
      <c r="BL31" s="900"/>
      <c r="BN31" s="387" t="s">
        <v>4421</v>
      </c>
      <c r="BO31" s="869">
        <v>5081.8999999999996</v>
      </c>
      <c r="BP31" s="869">
        <v>4644.2</v>
      </c>
      <c r="BQ31" s="869">
        <v>4224.2</v>
      </c>
      <c r="BR31" s="869">
        <v>3866.1</v>
      </c>
      <c r="BS31" s="930">
        <v>3752.69</v>
      </c>
      <c r="BT31" s="930">
        <v>4159.1099999999997</v>
      </c>
      <c r="BU31" s="930">
        <v>3605</v>
      </c>
      <c r="BV31" s="930">
        <v>4413.5200000000004</v>
      </c>
      <c r="BW31" s="804"/>
    </row>
    <row r="32" spans="1:75">
      <c r="A32" s="398"/>
      <c r="B32" s="398"/>
      <c r="U32" s="382" t="s">
        <v>4363</v>
      </c>
      <c r="V32" s="463">
        <f t="shared" ref="V32:AA32" si="17">SUM(V33:V37)</f>
        <v>5819</v>
      </c>
      <c r="W32" s="463">
        <f t="shared" si="17"/>
        <v>5315</v>
      </c>
      <c r="X32" s="463">
        <f t="shared" si="17"/>
        <v>6272</v>
      </c>
      <c r="Y32" s="463">
        <f t="shared" si="17"/>
        <v>6408</v>
      </c>
      <c r="Z32" s="463">
        <f t="shared" si="17"/>
        <v>6432</v>
      </c>
      <c r="AA32" s="515">
        <f t="shared" si="17"/>
        <v>6531</v>
      </c>
      <c r="AB32" s="435"/>
      <c r="AC32" s="435"/>
      <c r="AN32" s="398"/>
      <c r="AO32" s="900"/>
      <c r="AP32" s="900"/>
      <c r="AQ32" s="900"/>
      <c r="AR32" s="900"/>
      <c r="AS32" s="900"/>
      <c r="AT32" s="900"/>
      <c r="AU32" s="900"/>
      <c r="AV32" s="900"/>
      <c r="AW32" s="900"/>
      <c r="AX32" s="900"/>
      <c r="BA32" s="398"/>
      <c r="BB32" s="900"/>
      <c r="BC32" s="900"/>
      <c r="BD32" s="900"/>
      <c r="BE32" s="900"/>
      <c r="BF32" s="900"/>
      <c r="BG32" s="900"/>
      <c r="BH32" s="900"/>
      <c r="BI32" s="900"/>
      <c r="BJ32" s="900"/>
      <c r="BK32" s="900"/>
      <c r="BL32" s="900"/>
      <c r="BN32" s="398" t="s">
        <v>4386</v>
      </c>
    </row>
    <row r="33" spans="1:72">
      <c r="A33" s="398"/>
      <c r="B33" s="398"/>
      <c r="U33" s="612" t="s">
        <v>4372</v>
      </c>
      <c r="V33" s="463">
        <v>2010</v>
      </c>
      <c r="W33" s="463">
        <v>2007</v>
      </c>
      <c r="X33" s="463">
        <v>1865</v>
      </c>
      <c r="Y33" s="463">
        <v>2071</v>
      </c>
      <c r="Z33" s="463">
        <v>2042</v>
      </c>
      <c r="AA33" s="463">
        <v>1930</v>
      </c>
      <c r="AB33" s="435"/>
      <c r="AC33" s="435"/>
      <c r="BN33" s="825" t="s">
        <v>4389</v>
      </c>
      <c r="BO33" s="857"/>
      <c r="BP33" s="857"/>
    </row>
    <row r="34" spans="1:72">
      <c r="U34" s="612" t="s">
        <v>4379</v>
      </c>
      <c r="V34" s="463">
        <v>257</v>
      </c>
      <c r="W34" s="463">
        <v>260</v>
      </c>
      <c r="X34" s="463">
        <v>615</v>
      </c>
      <c r="Y34" s="463">
        <v>618</v>
      </c>
      <c r="Z34" s="463">
        <v>618</v>
      </c>
      <c r="AA34" s="463">
        <v>624</v>
      </c>
      <c r="AB34" s="435"/>
      <c r="AC34" s="435"/>
      <c r="AS34" s="463"/>
      <c r="BN34" s="919" t="s">
        <v>4394</v>
      </c>
    </row>
    <row r="35" spans="1:72">
      <c r="U35" s="612" t="s">
        <v>4382</v>
      </c>
      <c r="V35" s="463">
        <v>216</v>
      </c>
      <c r="W35" s="463">
        <v>223</v>
      </c>
      <c r="X35" s="463">
        <v>208</v>
      </c>
      <c r="Y35" s="463">
        <v>191</v>
      </c>
      <c r="Z35" s="463">
        <v>191</v>
      </c>
      <c r="AA35" s="463">
        <v>188</v>
      </c>
      <c r="AB35" s="435"/>
      <c r="AC35" s="435"/>
    </row>
    <row r="36" spans="1:72">
      <c r="U36" s="612" t="s">
        <v>4385</v>
      </c>
      <c r="V36" s="463">
        <v>18</v>
      </c>
      <c r="W36" s="463">
        <v>13</v>
      </c>
      <c r="X36" s="463">
        <v>5</v>
      </c>
      <c r="Y36" s="463">
        <v>4</v>
      </c>
      <c r="Z36" s="463">
        <v>4</v>
      </c>
      <c r="AA36" s="463">
        <v>4</v>
      </c>
      <c r="AB36" s="435"/>
      <c r="AC36" s="435"/>
      <c r="BA36" s="398"/>
      <c r="BB36" s="900"/>
      <c r="BC36" s="900"/>
      <c r="BD36" s="900"/>
      <c r="BE36" s="900"/>
      <c r="BF36" s="900"/>
      <c r="BG36" s="900"/>
      <c r="BH36" s="900"/>
      <c r="BI36" s="900"/>
      <c r="BJ36" s="900"/>
      <c r="BK36" s="900"/>
      <c r="BL36" s="900"/>
    </row>
    <row r="37" spans="1:72">
      <c r="U37" s="612" t="s">
        <v>4388</v>
      </c>
      <c r="V37" s="463">
        <v>3318</v>
      </c>
      <c r="W37" s="463">
        <v>2812</v>
      </c>
      <c r="X37" s="463">
        <v>3579</v>
      </c>
      <c r="Y37" s="463">
        <v>3524</v>
      </c>
      <c r="Z37" s="463">
        <v>3577</v>
      </c>
      <c r="AA37" s="463">
        <v>3785</v>
      </c>
      <c r="AB37" s="435"/>
      <c r="AC37" s="435"/>
      <c r="BC37" s="414"/>
      <c r="BD37" s="2073"/>
      <c r="BE37" s="2073"/>
      <c r="BF37" s="439"/>
      <c r="BG37" s="2158"/>
      <c r="BH37" s="414"/>
      <c r="BI37" s="2073"/>
      <c r="BJ37" s="2073"/>
      <c r="BK37" s="439"/>
      <c r="BL37" s="439"/>
    </row>
    <row r="38" spans="1:72">
      <c r="U38" s="382" t="s">
        <v>4392</v>
      </c>
      <c r="V38" s="463">
        <f>SUM(V39:V43)</f>
        <v>7252</v>
      </c>
      <c r="W38" s="463">
        <f>SUM(W39:W43)</f>
        <v>5381</v>
      </c>
      <c r="X38" s="463">
        <f>SUM(X39:X43)</f>
        <v>7247</v>
      </c>
      <c r="Y38" s="463">
        <f>SUM(Y39:Y43)</f>
        <v>7059</v>
      </c>
      <c r="Z38" s="463">
        <f>SUM(Z39:Z43)</f>
        <v>6821</v>
      </c>
      <c r="AA38" s="463">
        <v>5833</v>
      </c>
      <c r="AB38" s="435"/>
      <c r="AC38" s="435"/>
      <c r="BC38" s="439"/>
      <c r="BD38" s="439"/>
      <c r="BE38" s="439"/>
      <c r="BF38" s="398"/>
      <c r="BG38" s="2158"/>
      <c r="BH38" s="439"/>
      <c r="BI38" s="439"/>
      <c r="BJ38" s="439"/>
      <c r="BK38" s="398"/>
      <c r="BL38" s="398"/>
      <c r="BN38" s="382" t="s">
        <v>4446</v>
      </c>
    </row>
    <row r="39" spans="1:72">
      <c r="U39" s="612" t="s">
        <v>4372</v>
      </c>
      <c r="V39" s="463">
        <v>2099</v>
      </c>
      <c r="W39" s="463">
        <v>2319</v>
      </c>
      <c r="X39" s="463">
        <v>3365</v>
      </c>
      <c r="Y39" s="463">
        <v>2442</v>
      </c>
      <c r="Z39" s="463">
        <v>3410</v>
      </c>
      <c r="AA39" s="463">
        <v>2434</v>
      </c>
      <c r="AB39" s="435"/>
      <c r="AC39" s="435"/>
      <c r="BC39" s="439"/>
      <c r="BD39" s="439"/>
      <c r="BE39" s="439"/>
      <c r="BF39" s="439"/>
      <c r="BG39" s="2158"/>
      <c r="BH39" s="439"/>
      <c r="BI39" s="439"/>
      <c r="BJ39" s="439"/>
      <c r="BK39" s="439"/>
      <c r="BL39" s="439"/>
      <c r="BN39" s="382" t="s">
        <v>4447</v>
      </c>
    </row>
    <row r="40" spans="1:72">
      <c r="U40" s="612" t="s">
        <v>4379</v>
      </c>
      <c r="V40" s="463">
        <v>2384</v>
      </c>
      <c r="W40" s="463">
        <v>600</v>
      </c>
      <c r="X40" s="463">
        <v>1199</v>
      </c>
      <c r="Y40" s="463">
        <v>1172</v>
      </c>
      <c r="Z40" s="463">
        <v>1201</v>
      </c>
      <c r="AA40" s="463">
        <v>1204</v>
      </c>
      <c r="AB40" s="435"/>
      <c r="AC40" s="435"/>
      <c r="BC40" s="439"/>
      <c r="BD40" s="439"/>
      <c r="BE40" s="439"/>
      <c r="BF40" s="439"/>
      <c r="BG40" s="2158"/>
      <c r="BH40" s="439"/>
      <c r="BI40" s="439"/>
      <c r="BJ40" s="439"/>
      <c r="BK40" s="439"/>
      <c r="BL40" s="439"/>
      <c r="BN40" s="381" t="s">
        <v>4346</v>
      </c>
    </row>
    <row r="41" spans="1:72">
      <c r="U41" s="612" t="s">
        <v>4382</v>
      </c>
      <c r="V41" s="463">
        <v>348</v>
      </c>
      <c r="W41" s="463">
        <v>281</v>
      </c>
      <c r="X41" s="463">
        <v>228</v>
      </c>
      <c r="Y41" s="463">
        <v>228</v>
      </c>
      <c r="Z41" s="463">
        <v>228</v>
      </c>
      <c r="AA41" s="463">
        <v>143</v>
      </c>
      <c r="AB41" s="435"/>
      <c r="AC41" s="385"/>
      <c r="BA41" s="398"/>
      <c r="BB41" s="754"/>
      <c r="BC41" s="754"/>
      <c r="BD41" s="754"/>
      <c r="BE41" s="754"/>
      <c r="BF41" s="754"/>
      <c r="BG41" s="772"/>
      <c r="BH41" s="772"/>
      <c r="BI41" s="772"/>
      <c r="BJ41" s="772"/>
      <c r="BK41" s="772"/>
      <c r="BL41" s="772"/>
      <c r="BN41" s="388" t="s">
        <v>1810</v>
      </c>
      <c r="BO41" s="389">
        <v>2010</v>
      </c>
      <c r="BP41" s="389">
        <v>2009</v>
      </c>
      <c r="BQ41" s="389">
        <v>2008</v>
      </c>
      <c r="BR41" s="389">
        <v>2007</v>
      </c>
      <c r="BS41" s="390">
        <v>2006</v>
      </c>
      <c r="BT41" s="390">
        <v>2005</v>
      </c>
    </row>
    <row r="42" spans="1:72">
      <c r="U42" s="612" t="s">
        <v>4385</v>
      </c>
      <c r="V42" s="463">
        <v>36</v>
      </c>
      <c r="W42" s="463">
        <v>11</v>
      </c>
      <c r="X42" s="463">
        <v>10</v>
      </c>
      <c r="Y42" s="463">
        <v>10</v>
      </c>
      <c r="Z42" s="463">
        <v>7</v>
      </c>
      <c r="AA42" s="463">
        <v>4</v>
      </c>
      <c r="AB42" s="385"/>
      <c r="AC42" s="754"/>
      <c r="BA42" s="858"/>
      <c r="BB42" s="754"/>
      <c r="BC42" s="754"/>
      <c r="BD42" s="754"/>
      <c r="BE42" s="754"/>
      <c r="BF42" s="754"/>
      <c r="BG42" s="772"/>
      <c r="BH42" s="772"/>
      <c r="BI42" s="772"/>
      <c r="BJ42" s="772"/>
      <c r="BK42" s="772"/>
      <c r="BL42" s="772"/>
      <c r="BN42" s="382" t="s">
        <v>3051</v>
      </c>
      <c r="BO42" s="382">
        <v>33.299999999999997</v>
      </c>
      <c r="BP42" s="382">
        <v>43.1</v>
      </c>
      <c r="BQ42" s="382">
        <v>31.2</v>
      </c>
      <c r="BR42" s="382">
        <v>34.200000000000003</v>
      </c>
      <c r="BS42" s="382">
        <v>32.5</v>
      </c>
      <c r="BT42" s="382">
        <v>30.4</v>
      </c>
    </row>
    <row r="43" spans="1:72">
      <c r="U43" s="612" t="s">
        <v>4388</v>
      </c>
      <c r="V43" s="463">
        <v>2385</v>
      </c>
      <c r="W43" s="463">
        <v>2170</v>
      </c>
      <c r="X43" s="463">
        <v>2445</v>
      </c>
      <c r="Y43" s="463">
        <v>3207</v>
      </c>
      <c r="Z43" s="463">
        <v>1975</v>
      </c>
      <c r="AA43" s="463">
        <v>2048</v>
      </c>
      <c r="AB43" s="754"/>
      <c r="AC43" s="799"/>
      <c r="BA43" s="398"/>
      <c r="BB43" s="754"/>
      <c r="BC43" s="754"/>
      <c r="BD43" s="754"/>
      <c r="BE43" s="754"/>
      <c r="BF43" s="754"/>
      <c r="BG43" s="772"/>
      <c r="BH43" s="772"/>
      <c r="BI43" s="772"/>
      <c r="BJ43" s="772"/>
      <c r="BK43" s="772"/>
      <c r="BL43" s="772"/>
      <c r="BN43" s="382" t="s">
        <v>484</v>
      </c>
      <c r="BO43" s="382">
        <v>108.5</v>
      </c>
      <c r="BP43" s="382">
        <v>88.5</v>
      </c>
      <c r="BQ43" s="382">
        <v>80.400000000000006</v>
      </c>
      <c r="BR43" s="382">
        <v>83.8</v>
      </c>
      <c r="BS43" s="382">
        <v>79.5</v>
      </c>
      <c r="BT43" s="382">
        <v>90.5</v>
      </c>
    </row>
    <row r="44" spans="1:72">
      <c r="U44" s="398"/>
      <c r="V44" s="463"/>
      <c r="W44" s="463"/>
      <c r="X44" s="463"/>
      <c r="Y44" s="463"/>
      <c r="Z44" s="463"/>
      <c r="AA44" s="463"/>
      <c r="AB44" s="799"/>
      <c r="BA44" s="398"/>
      <c r="BB44" s="754"/>
      <c r="BC44" s="754"/>
      <c r="BD44" s="754"/>
      <c r="BE44" s="754"/>
      <c r="BF44" s="754"/>
      <c r="BG44" s="772"/>
      <c r="BH44" s="772"/>
      <c r="BI44" s="772"/>
      <c r="BJ44" s="772"/>
      <c r="BK44" s="772"/>
      <c r="BL44" s="772"/>
      <c r="BN44" s="382" t="s">
        <v>1967</v>
      </c>
      <c r="BO44" s="382">
        <v>51.9</v>
      </c>
      <c r="BP44" s="382">
        <v>57.8</v>
      </c>
      <c r="BQ44" s="382">
        <v>63.2</v>
      </c>
      <c r="BR44" s="382">
        <v>93.4</v>
      </c>
      <c r="BS44" s="382">
        <v>64.900000000000006</v>
      </c>
      <c r="BT44" s="799">
        <v>78</v>
      </c>
    </row>
    <row r="45" spans="1:72">
      <c r="U45" s="382" t="s">
        <v>4410</v>
      </c>
      <c r="V45" s="463">
        <v>157701</v>
      </c>
      <c r="W45" s="463">
        <v>158254</v>
      </c>
      <c r="X45" s="463">
        <v>158806</v>
      </c>
      <c r="Y45" s="463">
        <v>159358</v>
      </c>
      <c r="Z45" s="463">
        <v>159323</v>
      </c>
      <c r="AA45" s="463">
        <v>159169</v>
      </c>
      <c r="BA45" s="398"/>
      <c r="BB45" s="754"/>
      <c r="BC45" s="754"/>
      <c r="BD45" s="754"/>
      <c r="BE45" s="754"/>
      <c r="BF45" s="754"/>
      <c r="BG45" s="772"/>
      <c r="BH45" s="772"/>
      <c r="BI45" s="772"/>
      <c r="BJ45" s="772"/>
      <c r="BK45" s="772"/>
      <c r="BL45" s="772"/>
      <c r="BN45" s="382" t="s">
        <v>479</v>
      </c>
      <c r="BO45" s="799">
        <v>13</v>
      </c>
      <c r="BP45" s="382">
        <v>17.8</v>
      </c>
      <c r="BQ45" s="382">
        <v>19.5</v>
      </c>
      <c r="BR45" s="382">
        <v>8.8000000000000007</v>
      </c>
      <c r="BS45" s="382">
        <v>30.6</v>
      </c>
      <c r="BT45" s="382">
        <v>29.9</v>
      </c>
    </row>
    <row r="46" spans="1:72">
      <c r="C46" s="463"/>
      <c r="D46" s="463"/>
      <c r="E46" s="398"/>
      <c r="F46" s="398"/>
      <c r="G46" s="754"/>
      <c r="H46" s="754"/>
      <c r="I46" s="754"/>
      <c r="U46" s="892" t="s">
        <v>4415</v>
      </c>
      <c r="V46" s="869">
        <f t="shared" ref="V46:AA46" si="18">V31/V45*100</f>
        <v>8.2884699526318784</v>
      </c>
      <c r="W46" s="869">
        <f t="shared" si="18"/>
        <v>6.7587549129879809</v>
      </c>
      <c r="X46" s="869">
        <f t="shared" si="18"/>
        <v>8.5129025351686973</v>
      </c>
      <c r="Y46" s="869">
        <f t="shared" si="18"/>
        <v>8.4507837698766295</v>
      </c>
      <c r="Z46" s="869">
        <f t="shared" si="18"/>
        <v>8.318321899537418</v>
      </c>
      <c r="AA46" s="805">
        <f t="shared" si="18"/>
        <v>7.7678442410268334</v>
      </c>
      <c r="BA46" s="398"/>
      <c r="BB46" s="754"/>
      <c r="BC46" s="754"/>
      <c r="BD46" s="754"/>
      <c r="BE46" s="754"/>
      <c r="BF46" s="754"/>
      <c r="BG46" s="772"/>
      <c r="BH46" s="772"/>
      <c r="BI46" s="772"/>
      <c r="BJ46" s="772"/>
      <c r="BK46" s="772"/>
      <c r="BL46" s="772"/>
      <c r="BN46" s="382" t="s">
        <v>528</v>
      </c>
      <c r="BO46" s="382">
        <v>12.8</v>
      </c>
      <c r="BP46" s="382">
        <v>14.9</v>
      </c>
      <c r="BQ46" s="382">
        <v>15.9</v>
      </c>
      <c r="BR46" s="382">
        <v>17.7</v>
      </c>
      <c r="BS46" s="382">
        <v>22.5</v>
      </c>
      <c r="BT46" s="382">
        <v>32.200000000000003</v>
      </c>
    </row>
    <row r="47" spans="1:72">
      <c r="U47" s="382" t="s">
        <v>4419</v>
      </c>
      <c r="V47" s="385"/>
      <c r="W47" s="385"/>
      <c r="X47" s="385"/>
      <c r="Y47" s="385"/>
      <c r="Z47" s="456"/>
      <c r="BA47" s="398"/>
      <c r="BB47" s="754"/>
      <c r="BC47" s="754"/>
      <c r="BD47" s="754"/>
      <c r="BE47" s="754"/>
      <c r="BF47" s="754"/>
      <c r="BG47" s="772"/>
      <c r="BH47" s="772"/>
      <c r="BI47" s="772"/>
      <c r="BJ47" s="772"/>
      <c r="BK47" s="772"/>
      <c r="BL47" s="772"/>
      <c r="BN47" s="381" t="s">
        <v>4448</v>
      </c>
      <c r="BO47" s="381">
        <v>143.4</v>
      </c>
      <c r="BP47" s="381">
        <v>111.8</v>
      </c>
      <c r="BQ47" s="381">
        <v>90.9</v>
      </c>
      <c r="BR47" s="381">
        <v>64.7</v>
      </c>
      <c r="BS47" s="381">
        <v>82.2</v>
      </c>
      <c r="BT47" s="381">
        <v>90.7</v>
      </c>
    </row>
    <row r="48" spans="1:72">
      <c r="U48" s="382" t="s">
        <v>4449</v>
      </c>
      <c r="V48" s="900"/>
      <c r="W48" s="900"/>
      <c r="X48" s="900"/>
      <c r="Y48" s="900"/>
      <c r="Z48" s="456"/>
      <c r="BA48" s="398"/>
      <c r="BB48" s="754"/>
      <c r="BC48" s="754"/>
      <c r="BD48" s="754"/>
      <c r="BE48" s="754"/>
      <c r="BF48" s="754"/>
      <c r="BG48" s="772"/>
      <c r="BH48" s="772"/>
      <c r="BI48" s="772"/>
      <c r="BJ48" s="772"/>
      <c r="BK48" s="772"/>
      <c r="BL48" s="772"/>
      <c r="BN48" s="382" t="s">
        <v>4450</v>
      </c>
    </row>
    <row r="49" spans="21:71">
      <c r="U49" s="382" t="s">
        <v>4451</v>
      </c>
      <c r="V49" s="900"/>
      <c r="W49" s="900"/>
      <c r="X49" s="900"/>
      <c r="Y49" s="900"/>
      <c r="Z49" s="456"/>
      <c r="BA49" s="398"/>
      <c r="BB49" s="754"/>
      <c r="BC49" s="754"/>
      <c r="BD49" s="754"/>
      <c r="BE49" s="754"/>
      <c r="BF49" s="754"/>
      <c r="BG49" s="772"/>
      <c r="BH49" s="772"/>
      <c r="BI49" s="772"/>
      <c r="BJ49" s="772"/>
      <c r="BK49" s="772"/>
      <c r="BL49" s="772"/>
      <c r="BN49" s="825" t="s">
        <v>4452</v>
      </c>
    </row>
    <row r="50" spans="21:71">
      <c r="U50" s="382" t="s">
        <v>4453</v>
      </c>
      <c r="V50" s="900"/>
      <c r="W50" s="900"/>
      <c r="X50" s="900"/>
      <c r="Y50" s="900"/>
      <c r="Z50" s="456"/>
      <c r="BA50" s="398"/>
      <c r="BB50" s="754"/>
      <c r="BC50" s="754"/>
      <c r="BD50" s="754"/>
      <c r="BE50" s="754"/>
      <c r="BF50" s="754"/>
      <c r="BG50" s="772"/>
      <c r="BH50" s="772"/>
      <c r="BI50" s="772"/>
      <c r="BJ50" s="772"/>
      <c r="BK50" s="772"/>
      <c r="BL50" s="772"/>
      <c r="BN50" s="919" t="s">
        <v>4454</v>
      </c>
    </row>
    <row r="51" spans="21:71">
      <c r="U51" s="382" t="s">
        <v>4455</v>
      </c>
      <c r="V51" s="900"/>
      <c r="W51" s="900"/>
      <c r="X51" s="900"/>
      <c r="Y51" s="900"/>
      <c r="Z51" s="456"/>
      <c r="BA51" s="398"/>
      <c r="BB51" s="754"/>
      <c r="BC51" s="754"/>
      <c r="BD51" s="754"/>
      <c r="BE51" s="754"/>
      <c r="BF51" s="754"/>
      <c r="BG51" s="772"/>
      <c r="BH51" s="772"/>
      <c r="BI51" s="772"/>
      <c r="BJ51" s="772"/>
      <c r="BK51" s="772"/>
      <c r="BL51" s="772"/>
    </row>
    <row r="52" spans="21:71">
      <c r="BA52" s="398"/>
      <c r="BB52" s="754"/>
      <c r="BC52" s="754"/>
      <c r="BD52" s="754"/>
      <c r="BE52" s="754"/>
      <c r="BF52" s="754"/>
      <c r="BG52" s="772"/>
      <c r="BH52" s="772"/>
      <c r="BI52" s="772"/>
      <c r="BJ52" s="772"/>
      <c r="BK52" s="772"/>
      <c r="BL52" s="772"/>
    </row>
    <row r="53" spans="21:71">
      <c r="V53" s="799"/>
      <c r="W53" s="799"/>
      <c r="X53" s="799"/>
      <c r="BA53" s="398"/>
      <c r="BB53" s="754"/>
      <c r="BC53" s="754"/>
      <c r="BD53" s="754"/>
      <c r="BE53" s="754"/>
      <c r="BF53" s="754"/>
      <c r="BG53" s="772"/>
      <c r="BH53" s="772"/>
      <c r="BI53" s="772"/>
      <c r="BJ53" s="772"/>
      <c r="BK53" s="772"/>
      <c r="BL53" s="772"/>
    </row>
    <row r="54" spans="21:71">
      <c r="BA54" s="398"/>
      <c r="BB54" s="754"/>
      <c r="BC54" s="754"/>
      <c r="BD54" s="754"/>
      <c r="BE54" s="754"/>
      <c r="BF54" s="754"/>
      <c r="BG54" s="772"/>
      <c r="BH54" s="772"/>
      <c r="BI54" s="772"/>
      <c r="BJ54" s="772"/>
      <c r="BK54" s="772"/>
      <c r="BL54" s="772"/>
      <c r="BN54" s="382" t="s">
        <v>4456</v>
      </c>
    </row>
    <row r="55" spans="21:71">
      <c r="V55" s="857"/>
      <c r="W55" s="857"/>
      <c r="X55" s="857"/>
      <c r="Y55" s="857"/>
      <c r="AB55" s="439"/>
      <c r="BA55" s="398"/>
      <c r="BB55" s="754"/>
      <c r="BC55" s="754"/>
      <c r="BD55" s="754"/>
      <c r="BE55" s="754"/>
      <c r="BF55" s="754"/>
      <c r="BG55" s="772"/>
      <c r="BH55" s="772"/>
      <c r="BI55" s="772"/>
      <c r="BJ55" s="772"/>
      <c r="BK55" s="772"/>
      <c r="BL55" s="772"/>
      <c r="BN55" s="382" t="s">
        <v>4457</v>
      </c>
    </row>
    <row r="56" spans="21:71">
      <c r="U56" s="386"/>
      <c r="Z56" s="923"/>
      <c r="AB56" s="456"/>
      <c r="BA56" s="398"/>
      <c r="BB56" s="754"/>
      <c r="BC56" s="754"/>
      <c r="BD56" s="754"/>
      <c r="BE56" s="754"/>
      <c r="BF56" s="754"/>
      <c r="BG56" s="772"/>
      <c r="BH56" s="772"/>
      <c r="BI56" s="772"/>
      <c r="BJ56" s="772"/>
      <c r="BK56" s="772"/>
      <c r="BL56" s="772"/>
      <c r="BN56" s="381" t="s">
        <v>4346</v>
      </c>
    </row>
    <row r="57" spans="21:71">
      <c r="U57" s="391"/>
      <c r="V57" s="439"/>
      <c r="W57" s="439"/>
      <c r="X57" s="439"/>
      <c r="Y57" s="439"/>
      <c r="Z57" s="439"/>
      <c r="AA57" s="439"/>
      <c r="AB57" s="456"/>
      <c r="BA57" s="398"/>
      <c r="BB57" s="754"/>
      <c r="BC57" s="754"/>
      <c r="BD57" s="754"/>
      <c r="BE57" s="754"/>
      <c r="BF57" s="754"/>
      <c r="BG57" s="772"/>
      <c r="BH57" s="772"/>
      <c r="BI57" s="772"/>
      <c r="BJ57" s="772"/>
      <c r="BK57" s="772"/>
      <c r="BL57" s="772"/>
      <c r="BN57" s="388" t="s">
        <v>1810</v>
      </c>
      <c r="BO57" s="389">
        <v>2004</v>
      </c>
      <c r="BP57" s="389">
        <v>2003</v>
      </c>
      <c r="BQ57" s="389">
        <v>2002</v>
      </c>
      <c r="BR57" s="389">
        <v>2001</v>
      </c>
      <c r="BS57" s="388">
        <v>2000</v>
      </c>
    </row>
    <row r="58" spans="21:71">
      <c r="U58" s="391"/>
      <c r="V58" s="435"/>
      <c r="W58" s="456"/>
      <c r="X58" s="456"/>
      <c r="Y58" s="456"/>
      <c r="Z58" s="456"/>
      <c r="AA58" s="456"/>
      <c r="AB58" s="456"/>
      <c r="BA58" s="398"/>
      <c r="BB58" s="754"/>
      <c r="BC58" s="754"/>
      <c r="BD58" s="754"/>
      <c r="BE58" s="754"/>
      <c r="BF58" s="754"/>
      <c r="BG58" s="772"/>
      <c r="BH58" s="772"/>
      <c r="BI58" s="772"/>
      <c r="BJ58" s="772"/>
      <c r="BK58" s="772"/>
      <c r="BL58" s="772"/>
      <c r="BN58" s="382" t="s">
        <v>3051</v>
      </c>
      <c r="BO58" s="382">
        <v>32.799999999999997</v>
      </c>
      <c r="BP58" s="382">
        <v>33.9</v>
      </c>
      <c r="BQ58" s="382">
        <v>35.700000000000003</v>
      </c>
      <c r="BR58" s="382">
        <v>33.5</v>
      </c>
      <c r="BS58" s="382">
        <v>35.1</v>
      </c>
    </row>
    <row r="59" spans="21:71">
      <c r="V59" s="435"/>
      <c r="W59" s="456"/>
      <c r="X59" s="456"/>
      <c r="Y59" s="456"/>
      <c r="Z59" s="456"/>
      <c r="AA59" s="456"/>
      <c r="AB59" s="456"/>
      <c r="BA59" s="398"/>
      <c r="BB59" s="754"/>
      <c r="BC59" s="754"/>
      <c r="BD59" s="754"/>
      <c r="BE59" s="754"/>
      <c r="BF59" s="754"/>
      <c r="BG59" s="772"/>
      <c r="BH59" s="772"/>
      <c r="BI59" s="772"/>
      <c r="BJ59" s="772"/>
      <c r="BK59" s="772"/>
      <c r="BL59" s="772"/>
      <c r="BN59" s="382" t="s">
        <v>484</v>
      </c>
      <c r="BO59" s="382">
        <v>52.3</v>
      </c>
      <c r="BP59" s="382">
        <v>103.8</v>
      </c>
      <c r="BQ59" s="382">
        <v>100.1</v>
      </c>
      <c r="BR59" s="439" t="s">
        <v>2825</v>
      </c>
      <c r="BS59" s="439" t="s">
        <v>2825</v>
      </c>
    </row>
    <row r="60" spans="21:71">
      <c r="U60" s="612"/>
      <c r="V60" s="435"/>
      <c r="W60" s="456"/>
      <c r="X60" s="456"/>
      <c r="Y60" s="456"/>
      <c r="Z60" s="456"/>
      <c r="AA60" s="456"/>
      <c r="AB60" s="456"/>
      <c r="BA60" s="398"/>
      <c r="BB60" s="754"/>
      <c r="BC60" s="754"/>
      <c r="BD60" s="754"/>
      <c r="BE60" s="754"/>
      <c r="BF60" s="754"/>
      <c r="BG60" s="772"/>
      <c r="BH60" s="772"/>
      <c r="BI60" s="772"/>
      <c r="BJ60" s="772"/>
      <c r="BK60" s="772"/>
      <c r="BL60" s="772"/>
      <c r="BN60" s="382" t="s">
        <v>1967</v>
      </c>
      <c r="BO60" s="382">
        <v>59.8</v>
      </c>
      <c r="BP60" s="382">
        <v>36.299999999999997</v>
      </c>
      <c r="BQ60" s="382">
        <v>61.6</v>
      </c>
      <c r="BR60" s="382">
        <v>64.599999999999994</v>
      </c>
      <c r="BS60" s="382">
        <v>58.6</v>
      </c>
    </row>
    <row r="61" spans="21:71">
      <c r="U61" s="612"/>
      <c r="V61" s="435"/>
      <c r="W61" s="456"/>
      <c r="X61" s="456"/>
      <c r="Y61" s="456"/>
      <c r="Z61" s="456"/>
      <c r="AA61" s="456"/>
      <c r="AB61" s="456"/>
      <c r="BA61" s="398"/>
      <c r="BB61" s="900"/>
      <c r="BC61" s="900"/>
      <c r="BD61" s="900"/>
      <c r="BE61" s="900"/>
      <c r="BF61" s="900"/>
      <c r="BG61" s="900"/>
      <c r="BH61" s="900"/>
      <c r="BI61" s="900"/>
      <c r="BJ61" s="900"/>
      <c r="BK61" s="900"/>
      <c r="BL61" s="900"/>
      <c r="BN61" s="382" t="s">
        <v>479</v>
      </c>
      <c r="BO61" s="382">
        <v>11.5</v>
      </c>
      <c r="BP61" s="382">
        <v>19.100000000000001</v>
      </c>
      <c r="BQ61" s="382">
        <v>21.6</v>
      </c>
      <c r="BR61" s="382">
        <v>16.7</v>
      </c>
      <c r="BS61" s="382">
        <v>16.600000000000001</v>
      </c>
    </row>
    <row r="62" spans="21:71">
      <c r="U62" s="612"/>
      <c r="V62" s="435"/>
      <c r="W62" s="456"/>
      <c r="X62" s="456"/>
      <c r="Y62" s="456"/>
      <c r="Z62" s="456"/>
      <c r="AA62" s="456"/>
      <c r="AB62" s="456"/>
      <c r="BA62" s="398"/>
      <c r="BB62" s="926"/>
      <c r="BC62" s="926"/>
      <c r="BD62" s="926"/>
      <c r="BE62" s="926"/>
      <c r="BF62" s="926"/>
      <c r="BG62" s="926"/>
      <c r="BH62" s="926"/>
      <c r="BI62" s="926"/>
      <c r="BJ62" s="926"/>
      <c r="BK62" s="926"/>
      <c r="BL62" s="926"/>
      <c r="BN62" s="382" t="s">
        <v>528</v>
      </c>
      <c r="BO62" s="382">
        <v>38.4</v>
      </c>
      <c r="BP62" s="382">
        <v>42.6</v>
      </c>
      <c r="BQ62" s="382">
        <v>37.700000000000003</v>
      </c>
      <c r="BR62" s="439" t="s">
        <v>2825</v>
      </c>
      <c r="BS62" s="439" t="s">
        <v>2825</v>
      </c>
    </row>
    <row r="63" spans="21:71">
      <c r="U63" s="612"/>
      <c r="V63" s="435"/>
      <c r="W63" s="456"/>
      <c r="X63" s="456"/>
      <c r="Y63" s="456"/>
      <c r="Z63" s="456"/>
      <c r="AA63" s="456"/>
      <c r="AB63" s="456"/>
      <c r="BA63" s="398"/>
      <c r="BB63" s="385"/>
      <c r="BC63" s="385"/>
      <c r="BD63" s="385"/>
      <c r="BE63" s="385"/>
      <c r="BF63" s="385"/>
      <c r="BG63" s="385"/>
      <c r="BH63" s="385"/>
      <c r="BI63" s="385"/>
      <c r="BJ63" s="385"/>
      <c r="BK63" s="385"/>
      <c r="BL63" s="385"/>
      <c r="BN63" s="381" t="s">
        <v>4448</v>
      </c>
      <c r="BO63" s="381">
        <v>69.3</v>
      </c>
      <c r="BP63" s="381">
        <v>67.8</v>
      </c>
      <c r="BQ63" s="381">
        <v>79.5</v>
      </c>
      <c r="BR63" s="381">
        <v>55.4</v>
      </c>
      <c r="BS63" s="381">
        <v>95.4</v>
      </c>
    </row>
    <row r="64" spans="21:71">
      <c r="U64" s="612"/>
      <c r="V64" s="435"/>
      <c r="W64" s="456"/>
      <c r="X64" s="456"/>
      <c r="Y64" s="456"/>
      <c r="Z64" s="456"/>
      <c r="AA64" s="456"/>
      <c r="AB64" s="456"/>
      <c r="BA64" s="398"/>
      <c r="BB64" s="398"/>
      <c r="BC64" s="398"/>
      <c r="BD64" s="398"/>
      <c r="BE64" s="398"/>
      <c r="BF64" s="398"/>
      <c r="BG64" s="398"/>
      <c r="BH64" s="398"/>
      <c r="BI64" s="398"/>
      <c r="BJ64" s="398"/>
      <c r="BK64" s="398"/>
      <c r="BL64" s="398"/>
      <c r="BN64" s="382" t="s">
        <v>4458</v>
      </c>
    </row>
    <row r="65" spans="21:77">
      <c r="V65" s="435"/>
      <c r="W65" s="456"/>
      <c r="X65" s="456"/>
      <c r="Y65" s="456"/>
      <c r="Z65" s="456"/>
      <c r="AA65" s="456"/>
      <c r="AB65" s="456"/>
      <c r="BA65" s="398"/>
      <c r="BB65" s="900"/>
      <c r="BC65" s="900"/>
      <c r="BD65" s="900"/>
      <c r="BE65" s="900"/>
      <c r="BF65" s="900"/>
      <c r="BG65" s="900"/>
      <c r="BH65" s="900"/>
      <c r="BI65" s="900"/>
      <c r="BJ65" s="900"/>
      <c r="BK65" s="900"/>
      <c r="BL65" s="900"/>
      <c r="BN65" s="382" t="s">
        <v>4459</v>
      </c>
    </row>
    <row r="66" spans="21:77">
      <c r="U66" s="612"/>
      <c r="V66" s="435"/>
      <c r="W66" s="456"/>
      <c r="X66" s="456"/>
      <c r="Y66" s="456"/>
      <c r="Z66" s="456"/>
      <c r="AA66" s="456"/>
      <c r="AB66" s="456"/>
      <c r="BA66" s="398"/>
      <c r="BB66" s="900"/>
      <c r="BC66" s="900"/>
      <c r="BD66" s="900"/>
      <c r="BE66" s="900"/>
      <c r="BF66" s="900"/>
      <c r="BG66" s="900"/>
      <c r="BH66" s="900"/>
      <c r="BI66" s="900"/>
      <c r="BJ66" s="900"/>
      <c r="BK66" s="900"/>
      <c r="BL66" s="900"/>
    </row>
    <row r="67" spans="21:77">
      <c r="U67" s="612"/>
      <c r="V67" s="435"/>
      <c r="W67" s="456"/>
      <c r="X67" s="456"/>
      <c r="Y67" s="456"/>
      <c r="Z67" s="456"/>
      <c r="AA67" s="456"/>
      <c r="AB67" s="456"/>
      <c r="BA67" s="398"/>
      <c r="BB67" s="900"/>
      <c r="BC67" s="900"/>
      <c r="BD67" s="900"/>
      <c r="BE67" s="900"/>
      <c r="BF67" s="900"/>
      <c r="BG67" s="900"/>
      <c r="BH67" s="900"/>
      <c r="BI67" s="900"/>
      <c r="BJ67" s="900"/>
      <c r="BK67" s="900"/>
      <c r="BL67" s="900"/>
    </row>
    <row r="68" spans="21:77">
      <c r="U68" s="612"/>
      <c r="V68" s="435"/>
      <c r="W68" s="456"/>
      <c r="X68" s="456"/>
      <c r="Y68" s="456"/>
      <c r="Z68" s="456"/>
      <c r="AA68" s="456"/>
      <c r="AB68" s="456"/>
    </row>
    <row r="69" spans="21:77">
      <c r="U69" s="612"/>
      <c r="V69" s="435"/>
      <c r="W69" s="456"/>
      <c r="X69" s="456"/>
      <c r="Y69" s="456"/>
      <c r="Z69" s="456"/>
      <c r="AA69" s="456"/>
      <c r="AB69" s="900"/>
      <c r="BN69" s="382" t="s">
        <v>4460</v>
      </c>
    </row>
    <row r="70" spans="21:77">
      <c r="U70" s="612"/>
      <c r="V70" s="435"/>
      <c r="W70" s="456"/>
      <c r="X70" s="456"/>
      <c r="Y70" s="456"/>
      <c r="Z70" s="456"/>
      <c r="AA70" s="456"/>
      <c r="AB70" s="931"/>
      <c r="BN70" s="382" t="s">
        <v>4437</v>
      </c>
    </row>
    <row r="71" spans="21:77">
      <c r="U71" s="684"/>
      <c r="V71" s="385"/>
      <c r="W71" s="385"/>
      <c r="X71" s="900"/>
      <c r="Y71" s="900"/>
      <c r="Z71" s="900"/>
      <c r="AA71" s="900"/>
      <c r="AB71" s="923"/>
      <c r="BN71" s="904" t="s">
        <v>4461</v>
      </c>
      <c r="BO71" s="389">
        <v>2021</v>
      </c>
      <c r="BP71" s="389">
        <v>2020</v>
      </c>
      <c r="BQ71" s="389">
        <v>2019</v>
      </c>
      <c r="BR71" s="389">
        <v>2018</v>
      </c>
      <c r="BS71" s="389">
        <v>2017</v>
      </c>
      <c r="BT71" s="390">
        <v>2016</v>
      </c>
    </row>
    <row r="72" spans="21:77">
      <c r="V72" s="754"/>
      <c r="W72" s="931"/>
      <c r="X72" s="931"/>
      <c r="Y72" s="931"/>
      <c r="Z72" s="931"/>
      <c r="AA72" s="931"/>
      <c r="BN72" s="382" t="s">
        <v>3507</v>
      </c>
      <c r="BO72" s="463">
        <f t="shared" ref="BO72:BT72" si="19">SUM(BO73:BO80)</f>
        <v>2091750817</v>
      </c>
      <c r="BP72" s="463">
        <f t="shared" si="19"/>
        <v>1277026488.7499998</v>
      </c>
      <c r="BQ72" s="463">
        <f t="shared" si="19"/>
        <v>1119358281.1600001</v>
      </c>
      <c r="BR72" s="463">
        <f t="shared" si="19"/>
        <v>816513465.83000016</v>
      </c>
      <c r="BS72" s="463">
        <f t="shared" si="19"/>
        <v>510907971.21000016</v>
      </c>
      <c r="BT72" s="463">
        <f t="shared" si="19"/>
        <v>665902523</v>
      </c>
      <c r="BU72" s="463"/>
      <c r="BV72" s="463"/>
      <c r="BW72" s="463"/>
      <c r="BY72" s="463"/>
    </row>
    <row r="73" spans="21:77">
      <c r="U73" s="612"/>
      <c r="W73" s="923"/>
      <c r="X73" s="923"/>
      <c r="Y73" s="923"/>
      <c r="Z73" s="923"/>
      <c r="AA73" s="923"/>
      <c r="BN73" s="382" t="s">
        <v>4462</v>
      </c>
      <c r="BO73" s="525">
        <v>1837518226</v>
      </c>
      <c r="BP73" s="525">
        <v>1106554002.53</v>
      </c>
      <c r="BQ73" s="876">
        <v>980340979.88999999</v>
      </c>
      <c r="BR73" s="876">
        <v>621759455.84000003</v>
      </c>
      <c r="BS73" s="876">
        <v>476108851.72000015</v>
      </c>
      <c r="BT73" s="876">
        <v>575304549</v>
      </c>
      <c r="BU73" s="876"/>
      <c r="BV73" s="463"/>
      <c r="BW73" s="463"/>
      <c r="BY73" s="463"/>
    </row>
    <row r="74" spans="21:77">
      <c r="BN74" s="382" t="s">
        <v>4463</v>
      </c>
      <c r="BO74" s="876">
        <v>4910174</v>
      </c>
      <c r="BP74" s="876">
        <v>3403571.62</v>
      </c>
      <c r="BQ74" s="876">
        <v>4656514.2699999996</v>
      </c>
      <c r="BR74" s="876">
        <v>2294429.5</v>
      </c>
      <c r="BS74" s="876">
        <v>2247021.98</v>
      </c>
      <c r="BT74" s="876">
        <v>3282659</v>
      </c>
      <c r="BU74" s="876"/>
      <c r="BV74" s="932"/>
      <c r="BW74" s="463"/>
      <c r="BY74" s="463"/>
    </row>
    <row r="75" spans="21:77">
      <c r="BN75" s="382" t="s">
        <v>4464</v>
      </c>
      <c r="BO75" s="933">
        <v>64937255</v>
      </c>
      <c r="BP75" s="933">
        <v>46405884.840000004</v>
      </c>
      <c r="BQ75" s="933">
        <v>37327415.390000001</v>
      </c>
      <c r="BR75" s="933">
        <v>36549220.590000004</v>
      </c>
      <c r="BS75" s="933">
        <v>14776982.980000023</v>
      </c>
      <c r="BT75" s="933">
        <v>34863360</v>
      </c>
      <c r="BU75" s="933"/>
      <c r="BV75" s="463"/>
      <c r="BW75" s="463"/>
      <c r="BY75" s="463"/>
    </row>
    <row r="76" spans="21:77">
      <c r="BN76" s="382" t="s">
        <v>4465</v>
      </c>
      <c r="BO76" s="876">
        <v>248943</v>
      </c>
      <c r="BP76" s="876">
        <v>374342.96</v>
      </c>
      <c r="BQ76" s="876">
        <v>8407</v>
      </c>
      <c r="BR76" s="876">
        <v>2039619.4</v>
      </c>
      <c r="BS76" s="876">
        <v>0</v>
      </c>
      <c r="BT76" s="876">
        <v>58434</v>
      </c>
      <c r="BU76" s="876"/>
      <c r="BV76" s="463"/>
      <c r="BW76" s="463"/>
      <c r="BY76" s="463"/>
    </row>
    <row r="77" spans="21:77">
      <c r="AB77" s="439"/>
      <c r="BN77" s="382" t="s">
        <v>4466</v>
      </c>
      <c r="BO77" s="876">
        <v>7936871</v>
      </c>
      <c r="BP77" s="876">
        <v>3073106.07</v>
      </c>
      <c r="BQ77" s="876">
        <v>5485371.71</v>
      </c>
      <c r="BR77" s="876">
        <v>4331805.9400000004</v>
      </c>
      <c r="BS77" s="876">
        <v>8581776.8000000026</v>
      </c>
      <c r="BT77" s="876">
        <v>4327274</v>
      </c>
      <c r="BU77" s="876"/>
      <c r="BV77" s="463"/>
      <c r="BW77" s="463"/>
      <c r="BY77" s="463"/>
    </row>
    <row r="78" spans="21:77">
      <c r="AB78" s="456"/>
      <c r="BN78" s="382" t="s">
        <v>4467</v>
      </c>
      <c r="BO78" s="876">
        <v>121320912</v>
      </c>
      <c r="BP78" s="876">
        <v>86662372.920000002</v>
      </c>
      <c r="BQ78" s="876">
        <v>48650863.259999998</v>
      </c>
      <c r="BR78" s="876">
        <v>12167757.08</v>
      </c>
      <c r="BS78" s="876">
        <v>8135157.5299999975</v>
      </c>
      <c r="BT78" s="876">
        <v>19438006</v>
      </c>
      <c r="BU78" s="876"/>
      <c r="BV78" s="463"/>
      <c r="BW78" s="463"/>
      <c r="BY78" s="463"/>
    </row>
    <row r="79" spans="21:77">
      <c r="W79" s="439"/>
      <c r="X79" s="439"/>
      <c r="Y79" s="439"/>
      <c r="Z79" s="439"/>
      <c r="AA79" s="439"/>
      <c r="AB79" s="456"/>
      <c r="BN79" s="382" t="s">
        <v>4468</v>
      </c>
      <c r="BO79" s="933">
        <v>4546577</v>
      </c>
      <c r="BP79" s="933">
        <v>1886969.83</v>
      </c>
      <c r="BQ79" s="933">
        <v>26551650.710000001</v>
      </c>
      <c r="BR79" s="933">
        <v>1317269.72</v>
      </c>
      <c r="BS79" s="933">
        <v>270289</v>
      </c>
      <c r="BT79" s="933">
        <v>6186700</v>
      </c>
      <c r="BU79" s="933"/>
      <c r="BV79" s="463"/>
      <c r="BW79" s="439"/>
      <c r="BY79" s="463"/>
    </row>
    <row r="80" spans="21:77">
      <c r="W80" s="456"/>
      <c r="X80" s="456"/>
      <c r="Y80" s="456"/>
      <c r="Z80" s="456"/>
      <c r="AA80" s="456"/>
      <c r="AB80" s="456"/>
      <c r="BN80" s="381" t="s">
        <v>1709</v>
      </c>
      <c r="BO80" s="934">
        <v>50331859</v>
      </c>
      <c r="BP80" s="934">
        <v>28666237.98</v>
      </c>
      <c r="BQ80" s="934">
        <v>16337078.93</v>
      </c>
      <c r="BR80" s="934">
        <v>136053907.75999999</v>
      </c>
      <c r="BS80" s="934">
        <v>787891.19999999995</v>
      </c>
      <c r="BT80" s="934">
        <v>22441541</v>
      </c>
      <c r="BU80" s="933"/>
      <c r="BV80" s="474"/>
      <c r="BW80" s="463"/>
      <c r="BY80" s="463"/>
    </row>
    <row r="81" spans="23:75">
      <c r="W81" s="456"/>
      <c r="X81" s="456"/>
      <c r="Y81" s="456"/>
      <c r="Z81" s="456"/>
      <c r="AA81" s="456"/>
      <c r="AB81" s="456"/>
      <c r="BN81" s="382" t="s">
        <v>4469</v>
      </c>
    </row>
    <row r="82" spans="23:75">
      <c r="W82" s="456"/>
      <c r="X82" s="456"/>
      <c r="Y82" s="456"/>
      <c r="Z82" s="456"/>
      <c r="AA82" s="456"/>
      <c r="AB82" s="456"/>
      <c r="BN82" s="382" t="s">
        <v>4470</v>
      </c>
    </row>
    <row r="83" spans="23:75">
      <c r="W83" s="456"/>
      <c r="X83" s="456"/>
      <c r="Y83" s="456"/>
      <c r="Z83" s="456"/>
      <c r="AA83" s="456"/>
      <c r="AB83" s="456"/>
      <c r="BN83" s="382" t="s">
        <v>4471</v>
      </c>
    </row>
    <row r="84" spans="23:75">
      <c r="W84" s="456"/>
      <c r="X84" s="456"/>
      <c r="Y84" s="456"/>
      <c r="Z84" s="456"/>
      <c r="AA84" s="456"/>
      <c r="AB84" s="456"/>
      <c r="BN84" s="382" t="s">
        <v>4472</v>
      </c>
    </row>
    <row r="85" spans="23:75">
      <c r="W85" s="456"/>
      <c r="X85" s="456"/>
      <c r="Y85" s="456"/>
      <c r="Z85" s="456"/>
      <c r="AA85" s="456"/>
      <c r="AB85" s="456"/>
      <c r="BN85" s="382" t="s">
        <v>4473</v>
      </c>
    </row>
    <row r="86" spans="23:75">
      <c r="W86" s="456"/>
      <c r="X86" s="456"/>
      <c r="Y86" s="456"/>
      <c r="Z86" s="456"/>
      <c r="AA86" s="456"/>
      <c r="AB86" s="456"/>
      <c r="BN86" s="382" t="s">
        <v>4474</v>
      </c>
      <c r="BS86" s="463"/>
      <c r="BT86" s="463"/>
      <c r="BU86" s="463"/>
      <c r="BV86" s="463"/>
      <c r="BW86" s="463"/>
    </row>
    <row r="87" spans="23:75">
      <c r="W87" s="456"/>
      <c r="X87" s="456"/>
      <c r="Y87" s="456"/>
      <c r="Z87" s="456"/>
      <c r="AA87" s="456"/>
      <c r="AB87" s="456"/>
      <c r="BN87" s="382" t="s">
        <v>4475</v>
      </c>
    </row>
    <row r="88" spans="23:75">
      <c r="W88" s="456"/>
      <c r="X88" s="456"/>
      <c r="Y88" s="456"/>
      <c r="Z88" s="456"/>
      <c r="AA88" s="456"/>
      <c r="AB88" s="456"/>
    </row>
    <row r="89" spans="23:75">
      <c r="W89" s="456"/>
      <c r="X89" s="456"/>
      <c r="Y89" s="456"/>
      <c r="Z89" s="456"/>
      <c r="AA89" s="456"/>
      <c r="AB89" s="456"/>
      <c r="BN89" s="932"/>
      <c r="BO89" s="932"/>
    </row>
    <row r="90" spans="23:75">
      <c r="W90" s="456"/>
      <c r="X90" s="456"/>
      <c r="Y90" s="456"/>
      <c r="Z90" s="456"/>
      <c r="AA90" s="456"/>
      <c r="AB90" s="456"/>
      <c r="BN90" s="932"/>
    </row>
    <row r="91" spans="23:75">
      <c r="W91" s="456"/>
      <c r="X91" s="456"/>
      <c r="Y91" s="456"/>
      <c r="Z91" s="456"/>
      <c r="AA91" s="456"/>
      <c r="AB91" s="900"/>
      <c r="BN91" s="932"/>
    </row>
    <row r="92" spans="23:75">
      <c r="W92" s="456"/>
      <c r="X92" s="456"/>
      <c r="Y92" s="456"/>
      <c r="Z92" s="456"/>
      <c r="AA92" s="456"/>
      <c r="AB92" s="931"/>
    </row>
    <row r="93" spans="23:75">
      <c r="W93" s="385"/>
      <c r="X93" s="900"/>
      <c r="Y93" s="900"/>
      <c r="Z93" s="900"/>
      <c r="AA93" s="900"/>
      <c r="AB93" s="923"/>
      <c r="BN93" s="382" t="s">
        <v>4476</v>
      </c>
    </row>
    <row r="94" spans="23:75">
      <c r="W94" s="931"/>
      <c r="X94" s="931"/>
      <c r="Y94" s="931"/>
      <c r="Z94" s="931"/>
      <c r="AA94" s="931"/>
      <c r="BN94" s="382" t="s">
        <v>4437</v>
      </c>
    </row>
    <row r="95" spans="23:75">
      <c r="W95" s="923"/>
      <c r="X95" s="923"/>
      <c r="Y95" s="923"/>
      <c r="Z95" s="923"/>
      <c r="AA95" s="923"/>
      <c r="BN95" s="904" t="s">
        <v>4461</v>
      </c>
      <c r="BO95" s="390">
        <v>2015</v>
      </c>
      <c r="BP95" s="390">
        <v>2014</v>
      </c>
      <c r="BQ95" s="390">
        <v>2013</v>
      </c>
      <c r="BR95" s="390">
        <v>2012</v>
      </c>
      <c r="BS95" s="390">
        <v>2011</v>
      </c>
      <c r="BT95" s="390">
        <v>2010</v>
      </c>
    </row>
    <row r="96" spans="23:75">
      <c r="BN96" s="382" t="s">
        <v>3507</v>
      </c>
      <c r="BO96" s="463">
        <f t="shared" ref="BO96:BT96" si="20">SUM(BO97:BO104)</f>
        <v>766823569</v>
      </c>
      <c r="BP96" s="463">
        <f t="shared" si="20"/>
        <v>752967927</v>
      </c>
      <c r="BQ96" s="463">
        <f t="shared" si="20"/>
        <v>517884483</v>
      </c>
      <c r="BR96" s="463">
        <f t="shared" si="20"/>
        <v>644575390</v>
      </c>
      <c r="BS96" s="463">
        <f t="shared" si="20"/>
        <v>733755851</v>
      </c>
      <c r="BT96" s="463">
        <f t="shared" si="20"/>
        <v>644332882</v>
      </c>
      <c r="BU96" s="463"/>
      <c r="BV96" s="463"/>
      <c r="BW96" s="463"/>
    </row>
    <row r="97" spans="66:75">
      <c r="BN97" s="382" t="s">
        <v>4462</v>
      </c>
      <c r="BO97" s="876">
        <v>706212082</v>
      </c>
      <c r="BP97" s="876">
        <v>670105706</v>
      </c>
      <c r="BQ97" s="876">
        <v>421836794</v>
      </c>
      <c r="BR97" s="876">
        <v>537274396</v>
      </c>
      <c r="BS97" s="876">
        <v>657563172</v>
      </c>
      <c r="BT97" s="463">
        <v>577026862</v>
      </c>
      <c r="BU97" s="463"/>
      <c r="BV97" s="463"/>
      <c r="BW97" s="463"/>
    </row>
    <row r="98" spans="66:75">
      <c r="BN98" s="382" t="s">
        <v>4463</v>
      </c>
      <c r="BO98" s="876">
        <v>2772650</v>
      </c>
      <c r="BP98" s="876">
        <v>1745479</v>
      </c>
      <c r="BQ98" s="876">
        <v>5560045</v>
      </c>
      <c r="BR98" s="876">
        <v>7072966</v>
      </c>
      <c r="BS98" s="876">
        <v>7667429</v>
      </c>
      <c r="BT98" s="463">
        <v>4559902</v>
      </c>
      <c r="BU98" s="463"/>
      <c r="BV98" s="463"/>
      <c r="BW98" s="463"/>
    </row>
    <row r="99" spans="66:75">
      <c r="BN99" s="382" t="s">
        <v>4464</v>
      </c>
      <c r="BO99" s="933">
        <v>29230381</v>
      </c>
      <c r="BP99" s="933">
        <v>41362798</v>
      </c>
      <c r="BQ99" s="933">
        <v>52629376</v>
      </c>
      <c r="BR99" s="933">
        <v>26401148</v>
      </c>
      <c r="BS99" s="933">
        <v>39542447</v>
      </c>
      <c r="BT99" s="463">
        <v>18456935</v>
      </c>
      <c r="BU99" s="463"/>
      <c r="BV99" s="463"/>
      <c r="BW99" s="463"/>
    </row>
    <row r="100" spans="66:75">
      <c r="BN100" s="382" t="s">
        <v>4465</v>
      </c>
      <c r="BO100" s="876">
        <v>81694</v>
      </c>
      <c r="BP100" s="876">
        <v>898319</v>
      </c>
      <c r="BQ100" s="876">
        <v>5778510</v>
      </c>
      <c r="BR100" s="933">
        <v>2296621</v>
      </c>
      <c r="BS100" s="933">
        <v>2029129</v>
      </c>
      <c r="BT100" s="463">
        <v>2201037</v>
      </c>
      <c r="BU100" s="463"/>
      <c r="BV100" s="463"/>
      <c r="BW100" s="463"/>
    </row>
    <row r="101" spans="66:75">
      <c r="BN101" s="382" t="s">
        <v>4466</v>
      </c>
      <c r="BO101" s="876">
        <v>6441578</v>
      </c>
      <c r="BP101" s="876">
        <v>12894630</v>
      </c>
      <c r="BQ101" s="876">
        <v>7233283</v>
      </c>
      <c r="BR101" s="876">
        <v>43384883</v>
      </c>
      <c r="BS101" s="876">
        <v>10393102</v>
      </c>
      <c r="BT101" s="463">
        <v>2136673</v>
      </c>
      <c r="BU101" s="463"/>
      <c r="BV101" s="463"/>
      <c r="BW101" s="463"/>
    </row>
    <row r="102" spans="66:75">
      <c r="BN102" s="382" t="s">
        <v>4467</v>
      </c>
      <c r="BO102" s="876">
        <v>16515244</v>
      </c>
      <c r="BP102" s="876">
        <v>14020157</v>
      </c>
      <c r="BQ102" s="876">
        <v>11311173</v>
      </c>
      <c r="BR102" s="876">
        <v>18551339</v>
      </c>
      <c r="BS102" s="876">
        <v>13060882</v>
      </c>
      <c r="BT102" s="463">
        <v>36770158</v>
      </c>
      <c r="BU102" s="463"/>
      <c r="BV102" s="463"/>
      <c r="BW102" s="463"/>
    </row>
    <row r="103" spans="66:75">
      <c r="BN103" s="585" t="s">
        <v>4468</v>
      </c>
      <c r="BO103" s="933">
        <v>3278977</v>
      </c>
      <c r="BP103" s="933">
        <v>2715677</v>
      </c>
      <c r="BQ103" s="933">
        <v>3365020</v>
      </c>
      <c r="BR103" s="933">
        <v>1364144</v>
      </c>
      <c r="BS103" s="933">
        <v>2448610</v>
      </c>
      <c r="BT103" s="463">
        <v>314759</v>
      </c>
      <c r="BU103" s="463"/>
      <c r="BV103" s="463"/>
      <c r="BW103" s="439"/>
    </row>
    <row r="104" spans="66:75">
      <c r="BN104" s="381" t="s">
        <v>1709</v>
      </c>
      <c r="BO104" s="934">
        <v>2290963</v>
      </c>
      <c r="BP104" s="934">
        <v>9225161</v>
      </c>
      <c r="BQ104" s="934">
        <v>10170282</v>
      </c>
      <c r="BR104" s="934">
        <v>8229893</v>
      </c>
      <c r="BS104" s="934">
        <v>1051080</v>
      </c>
      <c r="BT104" s="497">
        <v>2866556</v>
      </c>
      <c r="BU104" s="474"/>
      <c r="BV104" s="474"/>
      <c r="BW104" s="463"/>
    </row>
    <row r="105" spans="66:75">
      <c r="BN105" s="382" t="s">
        <v>4469</v>
      </c>
    </row>
    <row r="106" spans="66:75">
      <c r="BN106" s="382" t="s">
        <v>4470</v>
      </c>
      <c r="BS106" s="463"/>
      <c r="BT106" s="463"/>
      <c r="BU106" s="463"/>
      <c r="BV106" s="463"/>
      <c r="BW106" s="463"/>
    </row>
    <row r="107" spans="66:75">
      <c r="BN107" s="382" t="s">
        <v>4471</v>
      </c>
    </row>
    <row r="108" spans="66:75">
      <c r="BN108" s="382" t="s">
        <v>4472</v>
      </c>
    </row>
    <row r="109" spans="66:75">
      <c r="BN109" s="382" t="s">
        <v>4473</v>
      </c>
    </row>
    <row r="110" spans="66:75">
      <c r="BN110" s="382" t="s">
        <v>4474</v>
      </c>
    </row>
    <row r="111" spans="66:75">
      <c r="BN111" s="382" t="s">
        <v>4477</v>
      </c>
    </row>
    <row r="112" spans="66:75">
      <c r="BT112" s="799"/>
    </row>
    <row r="113" spans="66:72">
      <c r="BT113" s="752"/>
    </row>
    <row r="114" spans="66:72">
      <c r="BO114" s="2073"/>
      <c r="BP114" s="2073"/>
      <c r="BQ114" s="2073"/>
      <c r="BR114" s="2073"/>
      <c r="BS114" s="2073"/>
      <c r="BT114" s="799"/>
    </row>
    <row r="115" spans="66:72">
      <c r="BO115" s="439"/>
      <c r="BP115" s="439"/>
      <c r="BQ115" s="439"/>
      <c r="BR115" s="439"/>
      <c r="BS115" s="439"/>
      <c r="BT115" s="799"/>
    </row>
    <row r="116" spans="66:72">
      <c r="BO116" s="463"/>
      <c r="BP116" s="463"/>
      <c r="BQ116" s="799"/>
      <c r="BR116" s="463"/>
      <c r="BS116" s="799"/>
      <c r="BT116" s="799"/>
    </row>
    <row r="117" spans="66:72">
      <c r="BO117" s="463"/>
      <c r="BP117" s="463"/>
      <c r="BQ117" s="463"/>
      <c r="BR117" s="463"/>
      <c r="BS117" s="463"/>
      <c r="BT117" s="799"/>
    </row>
    <row r="118" spans="66:72">
      <c r="BO118" s="463"/>
      <c r="BP118" s="463"/>
      <c r="BQ118" s="463"/>
      <c r="BR118" s="463"/>
      <c r="BS118" s="463"/>
      <c r="BT118" s="799"/>
    </row>
    <row r="119" spans="66:72">
      <c r="BO119" s="463"/>
      <c r="BP119" s="463"/>
      <c r="BQ119" s="463"/>
      <c r="BR119" s="463"/>
      <c r="BS119" s="463"/>
      <c r="BT119" s="799"/>
    </row>
    <row r="120" spans="66:72">
      <c r="BN120" s="391"/>
      <c r="BO120" s="799"/>
      <c r="BP120" s="799"/>
      <c r="BQ120" s="799"/>
      <c r="BR120" s="799"/>
      <c r="BS120" s="799"/>
      <c r="BT120" s="799"/>
    </row>
    <row r="121" spans="66:72">
      <c r="BO121" s="463"/>
      <c r="BP121" s="463"/>
      <c r="BQ121" s="799"/>
      <c r="BR121" s="463"/>
      <c r="BS121" s="799"/>
    </row>
    <row r="122" spans="66:72">
      <c r="BO122" s="463"/>
      <c r="BP122" s="463"/>
      <c r="BQ122" s="463"/>
      <c r="BR122" s="463"/>
      <c r="BS122" s="463"/>
    </row>
    <row r="123" spans="66:72">
      <c r="BO123" s="463"/>
      <c r="BP123" s="463"/>
      <c r="BQ123" s="463"/>
      <c r="BR123" s="463"/>
      <c r="BS123" s="463"/>
    </row>
    <row r="124" spans="66:72">
      <c r="BO124" s="463"/>
      <c r="BP124" s="463"/>
      <c r="BQ124" s="463"/>
      <c r="BR124" s="463"/>
      <c r="BS124" s="463"/>
    </row>
    <row r="125" spans="66:72">
      <c r="BO125" s="799"/>
      <c r="BP125" s="799"/>
      <c r="BQ125" s="799"/>
      <c r="BR125" s="799"/>
      <c r="BS125" s="799"/>
    </row>
    <row r="127" spans="66:72">
      <c r="BT127" s="439"/>
    </row>
    <row r="128" spans="66:72">
      <c r="BT128" s="799"/>
    </row>
    <row r="129" spans="66:72">
      <c r="BT129" s="799"/>
    </row>
    <row r="130" spans="66:72">
      <c r="BO130" s="2073"/>
      <c r="BP130" s="2073"/>
      <c r="BQ130" s="2073"/>
      <c r="BR130" s="2073"/>
      <c r="BS130" s="2073"/>
      <c r="BT130" s="752"/>
    </row>
    <row r="131" spans="66:72">
      <c r="BP131" s="439"/>
      <c r="BQ131" s="439"/>
      <c r="BR131" s="439"/>
      <c r="BS131" s="439"/>
      <c r="BT131" s="799"/>
    </row>
    <row r="132" spans="66:72">
      <c r="BO132" s="463"/>
      <c r="BP132" s="463"/>
      <c r="BQ132" s="463"/>
      <c r="BR132" s="463"/>
      <c r="BS132" s="463"/>
      <c r="BT132" s="799"/>
    </row>
    <row r="133" spans="66:72">
      <c r="BO133" s="463"/>
      <c r="BP133" s="463"/>
      <c r="BQ133" s="463"/>
      <c r="BR133" s="463"/>
      <c r="BS133" s="463"/>
      <c r="BT133" s="799"/>
    </row>
    <row r="134" spans="66:72">
      <c r="BO134" s="463"/>
      <c r="BP134" s="463"/>
      <c r="BQ134" s="463"/>
      <c r="BR134" s="463"/>
      <c r="BS134" s="463"/>
      <c r="BT134" s="799"/>
    </row>
    <row r="135" spans="66:72">
      <c r="BO135" s="463"/>
      <c r="BP135" s="463"/>
      <c r="BQ135" s="463"/>
      <c r="BR135" s="463"/>
      <c r="BS135" s="463"/>
      <c r="BT135" s="799"/>
    </row>
    <row r="136" spans="66:72">
      <c r="BN136" s="391"/>
      <c r="BO136" s="799"/>
      <c r="BP136" s="799"/>
      <c r="BQ136" s="799"/>
      <c r="BR136" s="799"/>
      <c r="BS136" s="799"/>
      <c r="BT136" s="799"/>
    </row>
    <row r="137" spans="66:72">
      <c r="BP137" s="463"/>
      <c r="BQ137" s="799"/>
      <c r="BR137" s="463"/>
      <c r="BT137" s="799"/>
    </row>
    <row r="138" spans="66:72">
      <c r="BO138" s="463"/>
      <c r="BP138" s="463"/>
      <c r="BQ138" s="463"/>
      <c r="BR138" s="463"/>
    </row>
    <row r="139" spans="66:72">
      <c r="BO139" s="463"/>
      <c r="BP139" s="463"/>
      <c r="BQ139" s="463"/>
      <c r="BR139" s="463"/>
      <c r="BS139" s="463"/>
    </row>
    <row r="140" spans="66:72">
      <c r="BO140" s="463"/>
      <c r="BP140" s="463"/>
      <c r="BQ140" s="463"/>
      <c r="BR140" s="463"/>
      <c r="BS140" s="463"/>
    </row>
    <row r="141" spans="66:72">
      <c r="BO141" s="799"/>
      <c r="BP141" s="799"/>
      <c r="BQ141" s="799"/>
      <c r="BR141" s="799"/>
      <c r="BS141" s="799"/>
    </row>
  </sheetData>
  <mergeCells count="17">
    <mergeCell ref="AT2:AT5"/>
    <mergeCell ref="AV2:AW2"/>
    <mergeCell ref="AG3:AH3"/>
    <mergeCell ref="AG2:AH2"/>
    <mergeCell ref="AN2:AN5"/>
    <mergeCell ref="AO2:AO5"/>
    <mergeCell ref="AQ2:AR2"/>
    <mergeCell ref="BA2:BA5"/>
    <mergeCell ref="BB2:BB5"/>
    <mergeCell ref="BD2:BE2"/>
    <mergeCell ref="BG2:BG5"/>
    <mergeCell ref="BI2:BJ2"/>
    <mergeCell ref="BD37:BE37"/>
    <mergeCell ref="BG37:BG40"/>
    <mergeCell ref="BI37:BJ37"/>
    <mergeCell ref="BO114:BS114"/>
    <mergeCell ref="BO130:BS130"/>
  </mergeCells>
  <pageMargins left="0.75" right="0.75" top="1" bottom="1" header="0.5" footer="0.5"/>
  <pageSetup scale="80" orientation="portrait" r:id="rId1"/>
  <headerFooter alignWithMargins="0"/>
  <ignoredErrors>
    <ignoredError sqref="AA32"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5C71-5B07-4AF7-A5A1-F63672FEB26C}">
  <sheetPr>
    <tabColor rgb="FFFFFF00"/>
  </sheetPr>
  <dimension ref="A1:CN193"/>
  <sheetViews>
    <sheetView showGridLines="0" topLeftCell="BH46" zoomScale="90" zoomScaleNormal="90" workbookViewId="0">
      <selection activeCell="T64" sqref="T64"/>
    </sheetView>
  </sheetViews>
  <sheetFormatPr defaultColWidth="9.140625" defaultRowHeight="12.75"/>
  <cols>
    <col min="1" max="1" width="17" style="585" customWidth="1"/>
    <col min="2" max="4" width="10.7109375" style="585" customWidth="1"/>
    <col min="5" max="5" width="11.28515625" style="585" bestFit="1" customWidth="1"/>
    <col min="6" max="9" width="10.7109375" style="585" customWidth="1"/>
    <col min="10" max="10" width="16" style="585" customWidth="1"/>
    <col min="11" max="18" width="9.7109375" style="585" customWidth="1"/>
    <col min="19" max="19" width="13.28515625" style="585" customWidth="1"/>
    <col min="20" max="20" width="19.5703125" style="585" customWidth="1"/>
    <col min="21" max="29" width="11.7109375" style="585" customWidth="1"/>
    <col min="30" max="30" width="17.42578125" style="585" customWidth="1"/>
    <col min="31" max="37" width="13.7109375" style="585" customWidth="1"/>
    <col min="38" max="38" width="11.7109375" style="585" customWidth="1"/>
    <col min="39" max="39" width="22.7109375" style="585" customWidth="1"/>
    <col min="40" max="46" width="9.7109375" style="585" customWidth="1"/>
    <col min="47" max="47" width="13.7109375" style="585" customWidth="1"/>
    <col min="48" max="48" width="17.140625" style="585" customWidth="1"/>
    <col min="49" max="54" width="12.7109375" style="585" customWidth="1"/>
    <col min="55" max="56" width="10.7109375" style="585" customWidth="1"/>
    <col min="57" max="57" width="28.7109375" style="585" customWidth="1"/>
    <col min="58" max="62" width="14.7109375" style="585" customWidth="1"/>
    <col min="63" max="63" width="6.140625" style="585" customWidth="1"/>
    <col min="64" max="65" width="10.7109375" style="585" customWidth="1"/>
    <col min="66" max="66" width="28.7109375" style="585" customWidth="1"/>
    <col min="67" max="73" width="14.7109375" style="585" customWidth="1"/>
    <col min="74" max="74" width="12.7109375" style="585" customWidth="1"/>
    <col min="75" max="75" width="15.85546875" style="585" customWidth="1"/>
    <col min="76" max="76" width="13.28515625" style="585" customWidth="1"/>
    <col min="77" max="77" width="9.140625" style="585"/>
    <col min="78" max="78" width="15" style="585" bestFit="1" customWidth="1"/>
    <col min="79" max="80" width="9.140625" style="585"/>
    <col min="81" max="81" width="14" style="585" customWidth="1"/>
    <col min="82" max="82" width="13.28515625" style="585" customWidth="1"/>
    <col min="83" max="83" width="9.140625" style="585"/>
    <col min="84" max="84" width="16.140625" style="585" customWidth="1"/>
    <col min="85" max="89" width="13.7109375" style="585" customWidth="1"/>
    <col min="90" max="16384" width="9.140625" style="585"/>
  </cols>
  <sheetData>
    <row r="1" spans="1:76">
      <c r="A1" s="386" t="s">
        <v>4478</v>
      </c>
      <c r="B1" s="398"/>
      <c r="C1" s="398"/>
      <c r="D1" s="398"/>
      <c r="E1" s="398"/>
      <c r="F1" s="398"/>
      <c r="J1" s="386" t="s">
        <v>4479</v>
      </c>
      <c r="K1" s="387"/>
      <c r="L1" s="398"/>
      <c r="M1" s="398"/>
      <c r="N1" s="398"/>
      <c r="O1" s="398"/>
      <c r="P1" s="398"/>
      <c r="Q1" s="398"/>
      <c r="R1" s="398"/>
      <c r="T1" s="386" t="s">
        <v>4480</v>
      </c>
      <c r="U1" s="386"/>
      <c r="V1" s="398"/>
      <c r="W1" s="398"/>
      <c r="X1" s="398"/>
      <c r="Y1" s="398"/>
      <c r="Z1" s="398"/>
      <c r="AA1" s="398"/>
      <c r="AB1" s="398"/>
      <c r="AC1" s="398"/>
      <c r="AD1" s="391" t="s">
        <v>4481</v>
      </c>
      <c r="AE1" s="391"/>
      <c r="AF1" s="391"/>
      <c r="AG1" s="391"/>
      <c r="AH1" s="382"/>
      <c r="AI1" s="382"/>
      <c r="AJ1" s="382"/>
      <c r="AK1" s="382"/>
      <c r="AL1" s="398"/>
      <c r="AM1" s="386" t="s">
        <v>4482</v>
      </c>
      <c r="AN1" s="384"/>
      <c r="AO1" s="386"/>
      <c r="AP1" s="386"/>
      <c r="AQ1" s="387"/>
      <c r="AR1" s="398"/>
      <c r="AS1" s="398"/>
      <c r="AT1" s="398"/>
      <c r="AU1" s="398"/>
      <c r="AV1" s="386" t="s">
        <v>4483</v>
      </c>
      <c r="AW1" s="935"/>
      <c r="AX1" s="935"/>
      <c r="AY1" s="830"/>
      <c r="AZ1" s="811"/>
      <c r="BA1" s="811"/>
      <c r="BB1" s="811"/>
      <c r="BC1" s="398"/>
      <c r="BD1" s="549"/>
      <c r="BE1" s="571" t="s">
        <v>4484</v>
      </c>
      <c r="BF1" s="549"/>
      <c r="BG1" s="549"/>
      <c r="BH1" s="549"/>
      <c r="BI1" s="549"/>
      <c r="BJ1" s="571"/>
      <c r="BK1" s="549"/>
      <c r="BL1" s="549"/>
      <c r="BM1" s="936"/>
      <c r="BN1" s="571" t="s">
        <v>4485</v>
      </c>
      <c r="BO1" s="571"/>
      <c r="BP1" s="549"/>
      <c r="BQ1" s="549"/>
      <c r="BR1" s="549"/>
      <c r="BS1" s="549"/>
      <c r="BT1" s="571"/>
      <c r="BU1" s="549"/>
      <c r="BV1" s="571"/>
      <c r="BW1" s="571"/>
      <c r="BX1" s="571"/>
    </row>
    <row r="2" spans="1:76">
      <c r="A2" s="386" t="s">
        <v>127</v>
      </c>
      <c r="B2" s="398"/>
      <c r="C2" s="398"/>
      <c r="D2" s="398"/>
      <c r="E2" s="398"/>
      <c r="F2" s="398"/>
      <c r="G2" s="398"/>
      <c r="H2" s="398"/>
      <c r="I2" s="398"/>
      <c r="J2" s="903" t="s">
        <v>4486</v>
      </c>
      <c r="K2" s="389">
        <v>2024</v>
      </c>
      <c r="L2" s="389">
        <v>2023</v>
      </c>
      <c r="M2" s="389">
        <v>2022</v>
      </c>
      <c r="N2" s="389">
        <v>2021</v>
      </c>
      <c r="O2" s="389">
        <v>2020</v>
      </c>
      <c r="P2" s="390">
        <v>2019</v>
      </c>
      <c r="Q2" s="382"/>
      <c r="R2" s="382"/>
      <c r="T2" s="386" t="s">
        <v>127</v>
      </c>
      <c r="U2" s="384"/>
      <c r="V2" s="387"/>
      <c r="W2" s="398"/>
      <c r="X2" s="398"/>
      <c r="Y2" s="387"/>
      <c r="Z2" s="398"/>
      <c r="AA2" s="398"/>
      <c r="AB2" s="398"/>
      <c r="AC2" s="398"/>
      <c r="AD2" s="391" t="s">
        <v>4346</v>
      </c>
      <c r="AE2" s="391"/>
      <c r="AF2" s="423"/>
      <c r="AG2" s="423"/>
      <c r="AH2" s="381"/>
      <c r="AI2" s="382"/>
      <c r="AJ2" s="382"/>
      <c r="AK2" s="382"/>
      <c r="AM2" s="937" t="s">
        <v>1648</v>
      </c>
      <c r="AN2" s="938">
        <v>2024</v>
      </c>
      <c r="AO2" s="938">
        <v>2023</v>
      </c>
      <c r="AP2" s="938">
        <v>2022</v>
      </c>
      <c r="AQ2" s="938">
        <v>2021</v>
      </c>
      <c r="AR2" s="938">
        <v>2020</v>
      </c>
      <c r="AS2" s="939">
        <v>2019</v>
      </c>
      <c r="AT2" s="398"/>
      <c r="AV2" s="937" t="s">
        <v>1648</v>
      </c>
      <c r="AW2" s="939">
        <v>2024</v>
      </c>
      <c r="AX2" s="939">
        <v>2023</v>
      </c>
      <c r="AY2" s="939">
        <v>2022</v>
      </c>
      <c r="AZ2" s="939">
        <v>2021</v>
      </c>
      <c r="BA2" s="939">
        <v>2020</v>
      </c>
      <c r="BB2" s="939">
        <v>2019</v>
      </c>
      <c r="BC2" s="398"/>
      <c r="BD2" s="571"/>
      <c r="BE2" s="571" t="s">
        <v>127</v>
      </c>
      <c r="BF2" s="549"/>
      <c r="BG2" s="549"/>
      <c r="BH2" s="549"/>
      <c r="BI2" s="940"/>
      <c r="BJ2" s="940"/>
      <c r="BK2" s="571"/>
      <c r="BL2" s="571"/>
      <c r="BM2" s="571"/>
      <c r="BN2" s="571" t="s">
        <v>127</v>
      </c>
      <c r="BO2" s="571"/>
      <c r="BP2" s="549"/>
      <c r="BQ2" s="549"/>
      <c r="BR2" s="549"/>
      <c r="BS2" s="571"/>
      <c r="BT2" s="571"/>
      <c r="BU2" s="571"/>
      <c r="BV2" s="571"/>
      <c r="BW2" s="571"/>
      <c r="BX2" s="571"/>
    </row>
    <row r="3" spans="1:76" ht="12.75" customHeight="1">
      <c r="A3" s="937" t="s">
        <v>4487</v>
      </c>
      <c r="B3" s="938">
        <v>2023</v>
      </c>
      <c r="C3" s="938">
        <v>2022</v>
      </c>
      <c r="D3" s="938">
        <v>2021</v>
      </c>
      <c r="E3" s="938">
        <v>2020</v>
      </c>
      <c r="F3" s="938">
        <v>2019</v>
      </c>
      <c r="G3" s="939">
        <v>2018</v>
      </c>
      <c r="H3" s="941"/>
      <c r="I3" s="941"/>
      <c r="J3" s="908" t="s">
        <v>4314</v>
      </c>
      <c r="K3" s="942">
        <f t="shared" ref="K3:P3" si="0">SUM(K4:K6)</f>
        <v>219</v>
      </c>
      <c r="L3" s="942">
        <f t="shared" si="0"/>
        <v>223</v>
      </c>
      <c r="M3" s="942">
        <f t="shared" si="0"/>
        <v>220</v>
      </c>
      <c r="N3" s="942">
        <f t="shared" si="0"/>
        <v>243</v>
      </c>
      <c r="O3" s="942">
        <f t="shared" si="0"/>
        <v>224</v>
      </c>
      <c r="P3" s="942">
        <f t="shared" si="0"/>
        <v>170</v>
      </c>
      <c r="Q3" s="439"/>
      <c r="R3" s="439"/>
      <c r="T3" s="937" t="s">
        <v>1648</v>
      </c>
      <c r="U3" s="939">
        <v>2024</v>
      </c>
      <c r="V3" s="939">
        <v>2023</v>
      </c>
      <c r="W3" s="939">
        <v>2022</v>
      </c>
      <c r="X3" s="939">
        <v>2021</v>
      </c>
      <c r="Y3" s="939">
        <v>2020</v>
      </c>
      <c r="Z3" s="939">
        <v>2019</v>
      </c>
      <c r="AA3" s="398"/>
      <c r="AB3" s="398"/>
      <c r="AD3" s="903" t="s">
        <v>1648</v>
      </c>
      <c r="AE3" s="642">
        <v>2024</v>
      </c>
      <c r="AF3" s="642">
        <v>2023</v>
      </c>
      <c r="AG3" s="642">
        <v>2022</v>
      </c>
      <c r="AH3" s="642">
        <v>2021</v>
      </c>
      <c r="AI3" s="939">
        <v>2020</v>
      </c>
      <c r="AJ3" s="939">
        <v>2019</v>
      </c>
      <c r="AK3" s="439"/>
      <c r="AM3" s="386" t="s">
        <v>4314</v>
      </c>
      <c r="AN3" s="525">
        <f t="shared" ref="AN3:AS3" si="1">SUM(AN4:AN10)</f>
        <v>1132</v>
      </c>
      <c r="AO3" s="525">
        <f t="shared" si="1"/>
        <v>2095</v>
      </c>
      <c r="AP3" s="525">
        <f t="shared" si="1"/>
        <v>2131</v>
      </c>
      <c r="AQ3" s="525">
        <f t="shared" si="1"/>
        <v>2065</v>
      </c>
      <c r="AR3" s="525">
        <f t="shared" si="1"/>
        <v>2019</v>
      </c>
      <c r="AS3" s="525">
        <f t="shared" si="1"/>
        <v>2032</v>
      </c>
      <c r="AT3" s="943"/>
      <c r="AV3" s="386" t="s">
        <v>3502</v>
      </c>
      <c r="AW3" s="382">
        <f>SUM(AW4:AW6)</f>
        <v>206</v>
      </c>
      <c r="AX3" s="382">
        <f t="shared" ref="AX3:AY3" si="2">SUM(AX4:AX6)</f>
        <v>199</v>
      </c>
      <c r="AY3" s="585">
        <f t="shared" si="2"/>
        <v>198</v>
      </c>
      <c r="AZ3" s="585">
        <f>SUM(AZ4:AZ6)</f>
        <v>210</v>
      </c>
      <c r="BA3" s="585">
        <f t="shared" ref="BA3" si="3">SUM(BA4:BA6)</f>
        <v>263</v>
      </c>
      <c r="BB3" s="585">
        <f>SUM(BB4:BB6)</f>
        <v>261</v>
      </c>
      <c r="BC3" s="398"/>
      <c r="BD3" s="571"/>
      <c r="BE3" s="944" t="s">
        <v>4488</v>
      </c>
      <c r="BF3" s="945" t="s">
        <v>4489</v>
      </c>
      <c r="BG3" s="946" t="s">
        <v>129</v>
      </c>
      <c r="BH3" s="945" t="s">
        <v>4490</v>
      </c>
      <c r="BI3" s="947" t="s">
        <v>4491</v>
      </c>
      <c r="BJ3" s="901" t="s">
        <v>4492</v>
      </c>
      <c r="BK3" s="901"/>
      <c r="BL3" s="571"/>
      <c r="BM3" s="571"/>
      <c r="BN3" s="944" t="s">
        <v>4488</v>
      </c>
      <c r="BO3" s="945" t="s">
        <v>4489</v>
      </c>
      <c r="BP3" s="946" t="s">
        <v>129</v>
      </c>
      <c r="BQ3" s="948" t="s">
        <v>4493</v>
      </c>
      <c r="BR3" s="2167" t="s">
        <v>4494</v>
      </c>
      <c r="BS3" s="2168"/>
      <c r="BT3" s="2169"/>
      <c r="BU3" s="2170"/>
      <c r="BV3" s="901"/>
      <c r="BW3" s="549"/>
      <c r="BX3" s="571"/>
    </row>
    <row r="4" spans="1:76" ht="14.25" customHeight="1">
      <c r="A4" s="949" t="s">
        <v>3502</v>
      </c>
      <c r="B4" s="463">
        <v>4158959</v>
      </c>
      <c r="C4" s="463">
        <v>3931674</v>
      </c>
      <c r="D4" s="950">
        <v>4066645</v>
      </c>
      <c r="E4" s="951">
        <f>SUM(E5:E6)</f>
        <v>3630804</v>
      </c>
      <c r="F4" s="951">
        <f>SUM(F5:F6)</f>
        <v>3175730</v>
      </c>
      <c r="G4" s="951">
        <f>SUM(G5:G6)</f>
        <v>2973864</v>
      </c>
      <c r="H4" s="463"/>
      <c r="I4" s="463"/>
      <c r="J4" s="391" t="s">
        <v>4495</v>
      </c>
      <c r="K4" s="382">
        <v>44</v>
      </c>
      <c r="L4" s="382">
        <v>40</v>
      </c>
      <c r="M4" s="382">
        <v>49</v>
      </c>
      <c r="N4" s="382">
        <v>50</v>
      </c>
      <c r="O4" s="382">
        <v>41</v>
      </c>
      <c r="P4" s="382">
        <v>27</v>
      </c>
      <c r="Q4" s="382"/>
      <c r="R4" s="382"/>
      <c r="T4" s="949" t="s">
        <v>4496</v>
      </c>
      <c r="U4" s="952">
        <v>617612</v>
      </c>
      <c r="V4" s="953">
        <v>618459</v>
      </c>
      <c r="W4" s="953">
        <v>640021</v>
      </c>
      <c r="X4" s="525">
        <v>601299</v>
      </c>
      <c r="Y4" s="525">
        <v>583728</v>
      </c>
      <c r="Z4" s="525">
        <v>578254</v>
      </c>
      <c r="AA4" s="515"/>
      <c r="AB4" s="515"/>
      <c r="AD4" s="391" t="s">
        <v>4497</v>
      </c>
      <c r="AE4" s="463">
        <v>206</v>
      </c>
      <c r="AF4" s="463">
        <v>213</v>
      </c>
      <c r="AG4" s="463">
        <v>208</v>
      </c>
      <c r="AH4" s="463">
        <v>207</v>
      </c>
      <c r="AI4" s="463">
        <v>263</v>
      </c>
      <c r="AJ4" s="463">
        <v>261</v>
      </c>
      <c r="AK4" s="754"/>
      <c r="AM4" s="386" t="s">
        <v>4498</v>
      </c>
      <c r="AN4" s="585">
        <v>58</v>
      </c>
      <c r="AO4" s="585">
        <v>235</v>
      </c>
      <c r="AP4" s="585">
        <v>232</v>
      </c>
      <c r="AQ4" s="585">
        <v>241</v>
      </c>
      <c r="AR4" s="585">
        <v>237</v>
      </c>
      <c r="AS4" s="754">
        <v>235</v>
      </c>
      <c r="AT4" s="398"/>
      <c r="AV4" s="386" t="s">
        <v>4499</v>
      </c>
      <c r="AW4" s="585">
        <v>161</v>
      </c>
      <c r="AX4" s="585">
        <v>151</v>
      </c>
      <c r="AY4" s="585">
        <v>153</v>
      </c>
      <c r="AZ4" s="382">
        <v>148</v>
      </c>
      <c r="BA4" s="382">
        <v>226</v>
      </c>
      <c r="BB4" s="382">
        <v>223</v>
      </c>
      <c r="BC4" s="398"/>
      <c r="BD4" s="571"/>
      <c r="BE4" s="954" t="s">
        <v>4500</v>
      </c>
      <c r="BF4" s="955" t="s">
        <v>4501</v>
      </c>
      <c r="BG4" s="956" t="s">
        <v>4502</v>
      </c>
      <c r="BH4" s="955" t="s">
        <v>4502</v>
      </c>
      <c r="BI4" s="1614" t="s">
        <v>4503</v>
      </c>
      <c r="BJ4" s="956" t="s">
        <v>4502</v>
      </c>
      <c r="BK4" s="901"/>
      <c r="BL4" s="571"/>
      <c r="BM4" s="571"/>
      <c r="BN4" s="954" t="s">
        <v>4500</v>
      </c>
      <c r="BO4" s="955" t="s">
        <v>4501</v>
      </c>
      <c r="BP4" s="956" t="s">
        <v>4504</v>
      </c>
      <c r="BQ4" s="957" t="s">
        <v>4504</v>
      </c>
      <c r="BR4" s="955" t="s">
        <v>4504</v>
      </c>
      <c r="BS4" s="958" t="s">
        <v>4505</v>
      </c>
      <c r="BT4" s="955" t="s">
        <v>4504</v>
      </c>
      <c r="BU4" s="957" t="s">
        <v>4505</v>
      </c>
      <c r="BV4" s="901"/>
      <c r="BW4" s="562"/>
      <c r="BX4" s="571"/>
    </row>
    <row r="5" spans="1:76">
      <c r="A5" s="386" t="s">
        <v>4506</v>
      </c>
      <c r="B5" s="950">
        <v>1709393</v>
      </c>
      <c r="C5" s="950">
        <v>1582974</v>
      </c>
      <c r="D5" s="950">
        <v>1595074</v>
      </c>
      <c r="E5" s="951">
        <v>1473518</v>
      </c>
      <c r="F5" s="951">
        <v>1355924</v>
      </c>
      <c r="G5" s="951">
        <v>1368552</v>
      </c>
      <c r="H5" s="515"/>
      <c r="I5" s="515"/>
      <c r="J5" s="391" t="s">
        <v>4507</v>
      </c>
      <c r="K5" s="382">
        <v>105</v>
      </c>
      <c r="L5" s="382">
        <v>103</v>
      </c>
      <c r="M5" s="382">
        <v>103</v>
      </c>
      <c r="N5" s="382">
        <v>127</v>
      </c>
      <c r="O5" s="382">
        <v>123</v>
      </c>
      <c r="P5" s="382">
        <v>95</v>
      </c>
      <c r="Q5" s="382"/>
      <c r="R5" s="382"/>
      <c r="T5" s="386" t="s">
        <v>4508</v>
      </c>
      <c r="U5" s="952">
        <v>364693</v>
      </c>
      <c r="V5" s="953">
        <v>586049</v>
      </c>
      <c r="W5" s="953">
        <v>618729</v>
      </c>
      <c r="X5" s="525">
        <v>571235</v>
      </c>
      <c r="Y5" s="525">
        <v>569448</v>
      </c>
      <c r="Z5" s="525">
        <v>572266</v>
      </c>
      <c r="AA5" s="515"/>
      <c r="AB5" s="515"/>
      <c r="AD5" s="391" t="s">
        <v>4509</v>
      </c>
      <c r="AE5" s="463">
        <v>3170018</v>
      </c>
      <c r="AF5" s="463">
        <v>3534699</v>
      </c>
      <c r="AG5" s="463">
        <v>3022609</v>
      </c>
      <c r="AH5" s="463">
        <v>2552435</v>
      </c>
      <c r="AI5" s="525">
        <v>2980532</v>
      </c>
      <c r="AJ5" s="525">
        <v>2216650</v>
      </c>
      <c r="AK5" s="959"/>
      <c r="AM5" s="386" t="s">
        <v>4510</v>
      </c>
      <c r="AN5" s="525">
        <v>667</v>
      </c>
      <c r="AO5" s="525">
        <v>1461</v>
      </c>
      <c r="AP5" s="525">
        <v>1525</v>
      </c>
      <c r="AQ5" s="525">
        <v>1436</v>
      </c>
      <c r="AR5" s="525">
        <v>1410</v>
      </c>
      <c r="AS5" s="754">
        <v>1406</v>
      </c>
      <c r="AT5" s="515"/>
      <c r="AV5" s="386" t="s">
        <v>4511</v>
      </c>
      <c r="AW5" s="585">
        <v>31</v>
      </c>
      <c r="AX5" s="585">
        <v>34</v>
      </c>
      <c r="AY5" s="585">
        <v>31</v>
      </c>
      <c r="AZ5" s="382">
        <v>46</v>
      </c>
      <c r="BA5" s="382">
        <v>21</v>
      </c>
      <c r="BB5" s="382">
        <v>21</v>
      </c>
      <c r="BC5" s="398"/>
      <c r="BD5" s="571"/>
      <c r="BE5" s="571" t="s">
        <v>4512</v>
      </c>
      <c r="BF5" s="960">
        <v>45016</v>
      </c>
      <c r="BG5" s="822">
        <v>3856814</v>
      </c>
      <c r="BH5" s="822">
        <v>2245404</v>
      </c>
      <c r="BI5" s="822">
        <v>630570</v>
      </c>
      <c r="BJ5" s="822">
        <v>980840</v>
      </c>
      <c r="BK5" s="961"/>
      <c r="BL5" s="571"/>
      <c r="BM5" s="571"/>
      <c r="BN5" s="571" t="s">
        <v>4512</v>
      </c>
      <c r="BO5" s="960">
        <v>45016</v>
      </c>
      <c r="BP5" s="962">
        <v>3233808</v>
      </c>
      <c r="BQ5" s="962">
        <v>599209</v>
      </c>
      <c r="BR5" s="962">
        <v>1359280</v>
      </c>
      <c r="BS5" s="901" t="s">
        <v>2825</v>
      </c>
      <c r="BT5" s="962">
        <v>1275319</v>
      </c>
      <c r="BU5" s="901" t="s">
        <v>2825</v>
      </c>
      <c r="BV5" s="822"/>
      <c r="BW5" s="562"/>
      <c r="BX5" s="571"/>
    </row>
    <row r="6" spans="1:76" ht="12.75" customHeight="1">
      <c r="A6" s="384" t="s">
        <v>4513</v>
      </c>
      <c r="B6" s="963">
        <v>2449566</v>
      </c>
      <c r="C6" s="963">
        <v>2348700</v>
      </c>
      <c r="D6" s="950">
        <v>2471571</v>
      </c>
      <c r="E6" s="951">
        <v>2157286</v>
      </c>
      <c r="F6" s="964">
        <v>1819806</v>
      </c>
      <c r="G6" s="964">
        <v>1605312</v>
      </c>
      <c r="H6" s="515"/>
      <c r="I6" s="515"/>
      <c r="J6" s="423" t="s">
        <v>4514</v>
      </c>
      <c r="K6" s="381">
        <v>70</v>
      </c>
      <c r="L6" s="381">
        <v>80</v>
      </c>
      <c r="M6" s="381">
        <v>68</v>
      </c>
      <c r="N6" s="381">
        <v>66</v>
      </c>
      <c r="O6" s="381">
        <v>60</v>
      </c>
      <c r="P6" s="381">
        <v>48</v>
      </c>
      <c r="Q6" s="382"/>
      <c r="R6" s="382"/>
      <c r="T6" s="386" t="s">
        <v>4515</v>
      </c>
      <c r="U6" s="952">
        <v>426455</v>
      </c>
      <c r="V6" s="953">
        <v>532049</v>
      </c>
      <c r="W6" s="953">
        <v>428013</v>
      </c>
      <c r="X6" s="525">
        <v>370564</v>
      </c>
      <c r="Y6" s="525">
        <v>348314</v>
      </c>
      <c r="Z6" s="525">
        <v>411739</v>
      </c>
      <c r="AA6" s="515"/>
      <c r="AB6" s="515"/>
      <c r="AD6" s="391" t="s">
        <v>4516</v>
      </c>
      <c r="AE6" s="463">
        <v>2624595</v>
      </c>
      <c r="AF6" s="463">
        <v>3152840</v>
      </c>
      <c r="AG6" s="463">
        <v>2554695</v>
      </c>
      <c r="AH6" s="463">
        <v>2109465</v>
      </c>
      <c r="AI6" s="525">
        <v>2445924</v>
      </c>
      <c r="AJ6" s="525">
        <v>1869975</v>
      </c>
      <c r="AK6" s="959"/>
      <c r="AM6" s="386" t="s">
        <v>4517</v>
      </c>
      <c r="AN6" s="754" t="s">
        <v>1627</v>
      </c>
      <c r="AO6" s="754" t="s">
        <v>1627</v>
      </c>
      <c r="AP6" s="754" t="s">
        <v>1627</v>
      </c>
      <c r="AQ6" s="754" t="s">
        <v>1627</v>
      </c>
      <c r="AR6" s="754" t="s">
        <v>1626</v>
      </c>
      <c r="AS6" s="754" t="s">
        <v>1626</v>
      </c>
      <c r="AT6" s="757"/>
      <c r="AV6" s="384" t="s">
        <v>4518</v>
      </c>
      <c r="AW6" s="586">
        <v>14</v>
      </c>
      <c r="AX6" s="586">
        <v>14</v>
      </c>
      <c r="AY6" s="586">
        <v>14</v>
      </c>
      <c r="AZ6" s="586">
        <v>16</v>
      </c>
      <c r="BA6" s="586">
        <v>16</v>
      </c>
      <c r="BB6" s="586">
        <v>17</v>
      </c>
      <c r="BC6" s="398"/>
      <c r="BD6" s="571"/>
      <c r="BE6" s="571" t="s">
        <v>4519</v>
      </c>
      <c r="BF6" s="960">
        <v>45107</v>
      </c>
      <c r="BG6" s="822">
        <v>3841954</v>
      </c>
      <c r="BH6" s="822">
        <v>2157671</v>
      </c>
      <c r="BI6" s="822">
        <v>701639</v>
      </c>
      <c r="BJ6" s="822">
        <v>982644</v>
      </c>
      <c r="BK6" s="961"/>
      <c r="BL6" s="571"/>
      <c r="BM6" s="571"/>
      <c r="BN6" s="571" t="s">
        <v>4519</v>
      </c>
      <c r="BO6" s="960">
        <v>45107</v>
      </c>
      <c r="BP6" s="962">
        <v>3266876</v>
      </c>
      <c r="BQ6" s="962">
        <v>597613</v>
      </c>
      <c r="BR6" s="962">
        <v>1373097</v>
      </c>
      <c r="BS6" s="901" t="s">
        <v>2825</v>
      </c>
      <c r="BT6" s="962">
        <v>1242196</v>
      </c>
      <c r="BU6" s="901" t="s">
        <v>2825</v>
      </c>
      <c r="BV6" s="822"/>
      <c r="BW6" s="562"/>
      <c r="BX6" s="571"/>
    </row>
    <row r="7" spans="1:76">
      <c r="A7" s="949" t="s">
        <v>4520</v>
      </c>
      <c r="B7" s="709"/>
      <c r="C7" s="709"/>
      <c r="D7" s="709"/>
      <c r="E7" s="709"/>
      <c r="F7" s="398"/>
      <c r="G7" s="398"/>
      <c r="H7" s="398"/>
      <c r="I7" s="398"/>
      <c r="J7" s="382" t="s">
        <v>2265</v>
      </c>
      <c r="K7" s="382"/>
      <c r="L7" s="382"/>
      <c r="M7" s="382"/>
      <c r="N7" s="382"/>
      <c r="O7" s="382"/>
      <c r="P7" s="382"/>
      <c r="Q7" s="382"/>
      <c r="R7" s="382"/>
      <c r="T7" s="384" t="s">
        <v>4521</v>
      </c>
      <c r="U7" s="965">
        <v>385806</v>
      </c>
      <c r="V7" s="966">
        <v>772457</v>
      </c>
      <c r="W7" s="966">
        <v>413590</v>
      </c>
      <c r="X7" s="633">
        <v>334527</v>
      </c>
      <c r="Y7" s="633">
        <v>251643</v>
      </c>
      <c r="Z7" s="633">
        <v>270175</v>
      </c>
      <c r="AA7" s="515"/>
      <c r="AB7" s="515"/>
      <c r="AD7" s="391" t="s">
        <v>4522</v>
      </c>
      <c r="AE7" s="463">
        <v>20522</v>
      </c>
      <c r="AF7" s="463">
        <v>2081</v>
      </c>
      <c r="AG7" s="463">
        <v>19351</v>
      </c>
      <c r="AH7" s="463">
        <v>3450</v>
      </c>
      <c r="AI7" s="525">
        <v>7923</v>
      </c>
      <c r="AJ7" s="525">
        <v>2842</v>
      </c>
      <c r="AK7" s="959"/>
      <c r="AM7" s="386" t="s">
        <v>4523</v>
      </c>
      <c r="AN7" s="382">
        <v>39</v>
      </c>
      <c r="AO7" s="382">
        <v>41</v>
      </c>
      <c r="AP7" s="382">
        <v>40</v>
      </c>
      <c r="AQ7" s="382">
        <v>42</v>
      </c>
      <c r="AR7" s="382">
        <v>38</v>
      </c>
      <c r="AS7" s="754">
        <v>40</v>
      </c>
      <c r="AT7" s="757"/>
      <c r="AV7" s="386" t="s">
        <v>2265</v>
      </c>
      <c r="AW7" s="386"/>
      <c r="AX7" s="386"/>
      <c r="AY7" s="386"/>
      <c r="AZ7" s="398"/>
      <c r="BA7" s="398"/>
      <c r="BB7" s="398"/>
      <c r="BC7" s="398"/>
      <c r="BD7" s="549"/>
      <c r="BE7" s="825"/>
      <c r="BF7" s="960">
        <v>45199</v>
      </c>
      <c r="BG7" s="822">
        <v>4070045</v>
      </c>
      <c r="BH7" s="822">
        <v>2387637</v>
      </c>
      <c r="BI7" s="822">
        <v>732899</v>
      </c>
      <c r="BJ7" s="822">
        <v>949509</v>
      </c>
      <c r="BK7" s="961"/>
      <c r="BL7" s="571"/>
      <c r="BM7" s="549"/>
      <c r="BN7" s="825"/>
      <c r="BO7" s="960">
        <v>45199</v>
      </c>
      <c r="BP7" s="962">
        <v>3249891</v>
      </c>
      <c r="BQ7" s="962">
        <v>607254</v>
      </c>
      <c r="BR7" s="962">
        <v>1386820</v>
      </c>
      <c r="BS7" s="901" t="s">
        <v>2825</v>
      </c>
      <c r="BT7" s="962">
        <v>1255817</v>
      </c>
      <c r="BU7" s="901" t="s">
        <v>2825</v>
      </c>
      <c r="BV7" s="822"/>
      <c r="BW7" s="549"/>
      <c r="BX7" s="571"/>
    </row>
    <row r="8" spans="1:76" ht="12.75" customHeight="1">
      <c r="A8" s="386" t="s">
        <v>4524</v>
      </c>
      <c r="B8" s="398"/>
      <c r="C8" s="398"/>
      <c r="D8" s="398"/>
      <c r="E8" s="398"/>
      <c r="F8" s="398"/>
      <c r="G8" s="398"/>
      <c r="H8" s="398"/>
      <c r="I8" s="398"/>
      <c r="J8" s="386"/>
      <c r="T8" s="398" t="s">
        <v>2265</v>
      </c>
      <c r="U8" s="398"/>
      <c r="V8" s="398"/>
      <c r="W8" s="398"/>
      <c r="X8" s="398"/>
      <c r="Y8" s="398"/>
      <c r="Z8" s="398"/>
      <c r="AA8" s="398"/>
      <c r="AB8" s="398"/>
      <c r="AD8" s="423" t="s">
        <v>4525</v>
      </c>
      <c r="AE8" s="497">
        <v>524900</v>
      </c>
      <c r="AF8" s="497">
        <v>379748</v>
      </c>
      <c r="AG8" s="497">
        <v>448563</v>
      </c>
      <c r="AH8" s="497">
        <v>401742</v>
      </c>
      <c r="AI8" s="633">
        <v>526683</v>
      </c>
      <c r="AJ8" s="633">
        <v>344971</v>
      </c>
      <c r="AK8" s="959"/>
      <c r="AM8" s="386" t="s">
        <v>4526</v>
      </c>
      <c r="AN8" s="382">
        <v>103</v>
      </c>
      <c r="AO8" s="382">
        <v>101</v>
      </c>
      <c r="AP8" s="382">
        <v>80</v>
      </c>
      <c r="AQ8" s="382">
        <v>99</v>
      </c>
      <c r="AR8" s="382">
        <v>95</v>
      </c>
      <c r="AS8" s="754">
        <v>100</v>
      </c>
      <c r="AT8" s="398"/>
      <c r="AV8" s="386"/>
      <c r="AW8" s="386"/>
      <c r="AX8" s="386"/>
      <c r="AY8" s="386"/>
      <c r="AZ8" s="382"/>
      <c r="BA8" s="382"/>
      <c r="BB8" s="382"/>
      <c r="BC8" s="382"/>
      <c r="BD8" s="549"/>
      <c r="BE8" s="825"/>
      <c r="BF8" s="960">
        <v>45291</v>
      </c>
      <c r="BG8" s="822">
        <v>4158959</v>
      </c>
      <c r="BH8" s="822">
        <v>2449566</v>
      </c>
      <c r="BI8" s="822">
        <v>696716</v>
      </c>
      <c r="BJ8" s="822">
        <v>1012677</v>
      </c>
      <c r="BK8" s="961"/>
      <c r="BL8" s="571"/>
      <c r="BM8" s="549"/>
      <c r="BN8" s="825"/>
      <c r="BO8" s="960">
        <v>45291</v>
      </c>
      <c r="BP8" s="962">
        <v>3282580</v>
      </c>
      <c r="BQ8" s="962">
        <v>607080</v>
      </c>
      <c r="BR8" s="962">
        <v>1440379</v>
      </c>
      <c r="BS8" s="901" t="s">
        <v>2825</v>
      </c>
      <c r="BT8" s="962">
        <v>1235122</v>
      </c>
      <c r="BU8" s="901" t="s">
        <v>2825</v>
      </c>
      <c r="BV8" s="822"/>
      <c r="BW8" s="549"/>
      <c r="BX8" s="571"/>
    </row>
    <row r="9" spans="1:76" ht="12" customHeight="1">
      <c r="A9" s="386" t="s">
        <v>4527</v>
      </c>
      <c r="B9" s="398"/>
      <c r="C9" s="398"/>
      <c r="D9" s="398"/>
      <c r="E9" s="398"/>
      <c r="F9" s="398"/>
      <c r="G9" s="398"/>
      <c r="H9" s="398"/>
      <c r="I9" s="398"/>
      <c r="J9" s="386"/>
      <c r="K9" s="398"/>
      <c r="L9" s="398"/>
      <c r="M9" s="398"/>
      <c r="N9" s="398"/>
      <c r="O9" s="398"/>
      <c r="P9" s="398"/>
      <c r="Q9" s="398"/>
      <c r="R9" s="398"/>
      <c r="T9" s="386"/>
      <c r="U9" s="386"/>
      <c r="V9" s="382"/>
      <c r="W9" s="382"/>
      <c r="X9" s="382"/>
      <c r="Y9" s="382"/>
      <c r="AD9" s="382" t="s">
        <v>2265</v>
      </c>
      <c r="AE9" s="382"/>
      <c r="AF9" s="382"/>
      <c r="AG9" s="382"/>
      <c r="AH9" s="382"/>
      <c r="AI9" s="382"/>
      <c r="AJ9" s="382"/>
      <c r="AK9" s="382"/>
      <c r="AM9" s="386" t="s">
        <v>4528</v>
      </c>
      <c r="AN9" s="382">
        <v>206</v>
      </c>
      <c r="AO9" s="382">
        <v>199</v>
      </c>
      <c r="AP9" s="382">
        <v>198</v>
      </c>
      <c r="AQ9" s="382">
        <v>191</v>
      </c>
      <c r="AR9" s="382">
        <v>184</v>
      </c>
      <c r="AS9" s="754">
        <v>190</v>
      </c>
      <c r="AT9" s="398"/>
      <c r="AV9" s="382"/>
      <c r="AW9" s="382"/>
      <c r="AX9" s="382"/>
      <c r="AY9" s="382"/>
      <c r="AZ9" s="382"/>
      <c r="BA9" s="382"/>
      <c r="BB9" s="382"/>
      <c r="BC9" s="382"/>
      <c r="BE9" s="825"/>
      <c r="BF9" s="901"/>
      <c r="BG9" s="901"/>
      <c r="BH9" s="901"/>
      <c r="BI9" s="901"/>
      <c r="BJ9" s="901"/>
      <c r="BK9" s="961"/>
      <c r="BL9" s="571"/>
      <c r="BN9" s="825"/>
      <c r="BO9" s="901"/>
      <c r="BP9" s="901"/>
      <c r="BQ9" s="901"/>
      <c r="BR9" s="901"/>
      <c r="BS9" s="901"/>
      <c r="BT9" s="901"/>
      <c r="BU9" s="901"/>
      <c r="BV9" s="822"/>
      <c r="BW9" s="549"/>
      <c r="BX9" s="571"/>
    </row>
    <row r="10" spans="1:76">
      <c r="S10" s="398"/>
      <c r="V10" s="525"/>
      <c r="AD10" s="391" t="s">
        <v>4529</v>
      </c>
      <c r="AE10" s="391"/>
      <c r="AF10" s="391"/>
      <c r="AG10" s="391"/>
      <c r="AH10" s="382"/>
      <c r="AI10" s="382"/>
      <c r="AJ10" s="382"/>
      <c r="AK10" s="382"/>
      <c r="AM10" s="384" t="s">
        <v>4530</v>
      </c>
      <c r="AN10" s="586">
        <v>59</v>
      </c>
      <c r="AO10" s="586">
        <v>58</v>
      </c>
      <c r="AP10" s="586">
        <v>56</v>
      </c>
      <c r="AQ10" s="586">
        <v>56</v>
      </c>
      <c r="AR10" s="586">
        <v>55</v>
      </c>
      <c r="AS10" s="792">
        <v>61</v>
      </c>
      <c r="AT10" s="398"/>
      <c r="AV10" s="398"/>
      <c r="AW10" s="398"/>
      <c r="AX10" s="398"/>
      <c r="AY10" s="398"/>
      <c r="AZ10" s="398"/>
      <c r="BA10" s="398"/>
      <c r="BB10" s="398"/>
      <c r="BC10" s="398"/>
      <c r="BD10" s="398"/>
      <c r="BF10" s="960">
        <v>44651</v>
      </c>
      <c r="BG10" s="962">
        <v>4089847</v>
      </c>
      <c r="BH10" s="962">
        <v>2481381</v>
      </c>
      <c r="BI10" s="962">
        <v>560783</v>
      </c>
      <c r="BJ10" s="962">
        <v>1047683</v>
      </c>
      <c r="BK10" s="961"/>
      <c r="BL10" s="571"/>
      <c r="BM10" s="398"/>
      <c r="BO10" s="960">
        <v>44651</v>
      </c>
      <c r="BP10" s="962">
        <v>3295646</v>
      </c>
      <c r="BQ10" s="962">
        <v>559092.58299999998</v>
      </c>
      <c r="BR10" s="962">
        <v>1431350.8020000001</v>
      </c>
      <c r="BS10" s="901">
        <v>0.1</v>
      </c>
      <c r="BT10" s="962">
        <v>1305203.095</v>
      </c>
      <c r="BU10" s="967">
        <v>69.099999999999994</v>
      </c>
      <c r="BV10" s="822"/>
      <c r="BW10" s="549"/>
      <c r="BX10" s="571"/>
    </row>
    <row r="11" spans="1:76">
      <c r="J11" s="398"/>
      <c r="K11" s="398"/>
      <c r="L11" s="398"/>
      <c r="M11" s="398"/>
      <c r="N11" s="398"/>
      <c r="O11" s="398"/>
      <c r="T11" s="398"/>
      <c r="U11" s="398"/>
      <c r="V11" s="398"/>
      <c r="W11" s="398"/>
      <c r="X11" s="398"/>
      <c r="Y11" s="398"/>
      <c r="Z11" s="398"/>
      <c r="AA11" s="398"/>
      <c r="AB11" s="398"/>
      <c r="AD11" s="391"/>
      <c r="AE11" s="391"/>
      <c r="AF11" s="391"/>
      <c r="AG11" s="391"/>
      <c r="AH11" s="382"/>
      <c r="AI11" s="382"/>
      <c r="AJ11" s="382"/>
      <c r="AK11" s="382"/>
      <c r="AM11" s="386" t="s">
        <v>2265</v>
      </c>
      <c r="AN11" s="386"/>
      <c r="AO11" s="386"/>
      <c r="AP11" s="386"/>
      <c r="AQ11" s="398"/>
      <c r="AR11" s="398"/>
      <c r="AS11" s="398"/>
      <c r="AT11" s="398"/>
      <c r="AU11" s="398"/>
      <c r="AV11" s="386" t="s">
        <v>4531</v>
      </c>
      <c r="AW11" s="384"/>
      <c r="AX11" s="384"/>
      <c r="AY11" s="386"/>
      <c r="AZ11" s="398"/>
      <c r="BA11" s="398"/>
      <c r="BB11" s="398"/>
      <c r="BC11" s="398"/>
      <c r="BD11" s="398"/>
      <c r="BF11" s="960">
        <v>44742</v>
      </c>
      <c r="BG11" s="962">
        <v>4155894</v>
      </c>
      <c r="BH11" s="962">
        <v>2489044</v>
      </c>
      <c r="BI11" s="962">
        <v>630930</v>
      </c>
      <c r="BJ11" s="962">
        <v>1035920</v>
      </c>
      <c r="BK11" s="961"/>
      <c r="BL11" s="571"/>
      <c r="BM11" s="398"/>
      <c r="BO11" s="960">
        <v>44742</v>
      </c>
      <c r="BP11" s="962">
        <v>3266876</v>
      </c>
      <c r="BQ11" s="962">
        <v>566363</v>
      </c>
      <c r="BR11" s="962">
        <v>1397169</v>
      </c>
      <c r="BS11" s="901">
        <v>0.1</v>
      </c>
      <c r="BT11" s="962">
        <v>1303343</v>
      </c>
      <c r="BU11" s="967">
        <v>68.7</v>
      </c>
      <c r="BV11" s="822"/>
      <c r="BW11" s="901"/>
      <c r="BX11" s="571"/>
    </row>
    <row r="12" spans="1:76">
      <c r="A12" s="386" t="s">
        <v>4532</v>
      </c>
      <c r="B12" s="398"/>
      <c r="C12" s="398"/>
      <c r="D12" s="398"/>
      <c r="E12" s="398"/>
      <c r="F12" s="899"/>
      <c r="J12" s="386" t="s">
        <v>4533</v>
      </c>
      <c r="K12" s="387"/>
      <c r="L12" s="398"/>
      <c r="M12" s="398"/>
      <c r="N12" s="398"/>
      <c r="O12" s="398"/>
      <c r="P12" s="398"/>
      <c r="Q12" s="398"/>
      <c r="R12" s="398"/>
      <c r="T12" s="398"/>
      <c r="U12" s="398"/>
      <c r="V12" s="398"/>
      <c r="W12" s="398"/>
      <c r="X12" s="398"/>
      <c r="Y12" s="398"/>
      <c r="Z12" s="398"/>
      <c r="AA12" s="398"/>
      <c r="AB12" s="398"/>
      <c r="AC12" s="398"/>
      <c r="AD12" s="777"/>
      <c r="AE12" s="777"/>
      <c r="AF12" s="777"/>
      <c r="AG12" s="777"/>
      <c r="AM12" s="777" t="s">
        <v>4534</v>
      </c>
      <c r="AN12" s="386"/>
      <c r="AO12" s="386"/>
      <c r="AP12" s="386"/>
      <c r="AQ12" s="968"/>
      <c r="AR12" s="968"/>
      <c r="AS12" s="968"/>
      <c r="AT12" s="515"/>
      <c r="AU12" s="515"/>
      <c r="AV12" s="937" t="s">
        <v>1648</v>
      </c>
      <c r="AW12" s="729">
        <v>2018</v>
      </c>
      <c r="AX12" s="728">
        <v>2017</v>
      </c>
      <c r="AY12" s="728">
        <v>2016</v>
      </c>
      <c r="AZ12" s="728">
        <v>2015</v>
      </c>
      <c r="BA12" s="728">
        <v>2014</v>
      </c>
      <c r="BB12" s="729">
        <v>2013</v>
      </c>
      <c r="BC12" s="398"/>
      <c r="BD12" s="398"/>
      <c r="BE12" s="571"/>
      <c r="BF12" s="960">
        <v>44834</v>
      </c>
      <c r="BG12" s="962">
        <v>3940442</v>
      </c>
      <c r="BH12" s="962">
        <v>2377718</v>
      </c>
      <c r="BI12" s="962">
        <v>554008</v>
      </c>
      <c r="BJ12" s="962">
        <v>1008716</v>
      </c>
      <c r="BK12" s="961"/>
      <c r="BL12" s="549"/>
      <c r="BM12" s="398"/>
      <c r="BN12" s="825"/>
      <c r="BO12" s="960">
        <v>44834</v>
      </c>
      <c r="BP12" s="962">
        <v>3225481</v>
      </c>
      <c r="BQ12" s="962">
        <v>573995</v>
      </c>
      <c r="BR12" s="962">
        <v>1361289</v>
      </c>
      <c r="BS12" s="901">
        <v>0.1</v>
      </c>
      <c r="BT12" s="962">
        <v>1290197</v>
      </c>
      <c r="BU12" s="967">
        <v>68.900000000000006</v>
      </c>
      <c r="BV12" s="822"/>
      <c r="BW12" s="571"/>
      <c r="BX12" s="571"/>
    </row>
    <row r="13" spans="1:76">
      <c r="A13" s="386" t="s">
        <v>127</v>
      </c>
      <c r="B13" s="398"/>
      <c r="C13" s="398"/>
      <c r="D13" s="398"/>
      <c r="E13" s="398"/>
      <c r="F13" s="398"/>
      <c r="J13" s="903" t="s">
        <v>4486</v>
      </c>
      <c r="K13" s="390">
        <v>2018</v>
      </c>
      <c r="L13" s="390">
        <v>2017</v>
      </c>
      <c r="M13" s="390">
        <v>2016</v>
      </c>
      <c r="N13" s="390">
        <v>2015</v>
      </c>
      <c r="O13" s="390">
        <v>2014</v>
      </c>
      <c r="P13" s="390">
        <v>2013</v>
      </c>
      <c r="Q13" s="382"/>
      <c r="R13" s="382"/>
      <c r="T13" s="386" t="s">
        <v>4535</v>
      </c>
      <c r="U13" s="386"/>
      <c r="V13" s="398"/>
      <c r="W13" s="398"/>
      <c r="X13" s="398"/>
      <c r="Y13" s="398"/>
      <c r="Z13" s="398"/>
      <c r="AA13" s="398"/>
      <c r="AB13" s="398"/>
      <c r="AC13" s="398"/>
      <c r="AD13" s="398"/>
      <c r="AE13" s="398"/>
      <c r="AF13" s="398"/>
      <c r="AG13" s="398"/>
      <c r="AH13" s="398"/>
      <c r="AI13" s="398"/>
      <c r="AJ13" s="398"/>
      <c r="AK13" s="398"/>
      <c r="AN13" s="386"/>
      <c r="AO13" s="386"/>
      <c r="AP13" s="386"/>
      <c r="AV13" s="386" t="s">
        <v>3502</v>
      </c>
      <c r="AW13" s="385">
        <f t="shared" ref="AW13:BB13" si="4">SUM(AW14:AW16)</f>
        <v>257</v>
      </c>
      <c r="AX13" s="385">
        <f t="shared" si="4"/>
        <v>257</v>
      </c>
      <c r="AY13" s="385">
        <f t="shared" si="4"/>
        <v>253</v>
      </c>
      <c r="AZ13" s="385">
        <f t="shared" si="4"/>
        <v>253</v>
      </c>
      <c r="BA13" s="385">
        <f t="shared" si="4"/>
        <v>252</v>
      </c>
      <c r="BB13" s="385">
        <f t="shared" si="4"/>
        <v>240</v>
      </c>
      <c r="BC13" s="398"/>
      <c r="BD13" s="398"/>
      <c r="BE13" s="825"/>
      <c r="BF13" s="960">
        <v>44926</v>
      </c>
      <c r="BG13" s="962">
        <v>3931614</v>
      </c>
      <c r="BH13" s="962">
        <v>2348700</v>
      </c>
      <c r="BI13" s="962">
        <v>591771</v>
      </c>
      <c r="BJ13" s="962">
        <v>991203</v>
      </c>
      <c r="BK13" s="961"/>
      <c r="BL13" s="549"/>
      <c r="BM13" s="398"/>
      <c r="BN13" s="825"/>
      <c r="BO13" s="960">
        <v>44926</v>
      </c>
      <c r="BP13" s="962">
        <v>3264514</v>
      </c>
      <c r="BQ13" s="962">
        <v>590992</v>
      </c>
      <c r="BR13" s="962">
        <v>1389429</v>
      </c>
      <c r="BS13" s="901">
        <v>0.1</v>
      </c>
      <c r="BT13" s="962">
        <v>1284093</v>
      </c>
      <c r="BU13" s="967">
        <v>68.2</v>
      </c>
      <c r="BV13" s="822"/>
      <c r="BW13" s="571"/>
      <c r="BX13" s="901"/>
    </row>
    <row r="14" spans="1:76">
      <c r="A14" s="909" t="s">
        <v>4502</v>
      </c>
      <c r="B14" s="939">
        <v>2017</v>
      </c>
      <c r="C14" s="938">
        <v>2016</v>
      </c>
      <c r="D14" s="939">
        <v>2015</v>
      </c>
      <c r="E14" s="939">
        <v>2014</v>
      </c>
      <c r="F14" s="939">
        <v>2013</v>
      </c>
      <c r="G14" s="939">
        <v>2012</v>
      </c>
      <c r="J14" s="908" t="s">
        <v>4314</v>
      </c>
      <c r="K14" s="942">
        <f>SUM(K15:K17)</f>
        <v>202</v>
      </c>
      <c r="L14" s="942">
        <f t="shared" ref="L14" si="5">SUM(L15:L17)</f>
        <v>209</v>
      </c>
      <c r="M14" s="942">
        <f>SUM(M15:M17)</f>
        <v>190</v>
      </c>
      <c r="N14" s="942">
        <f>SUM(N15:N17)</f>
        <v>256</v>
      </c>
      <c r="O14" s="942">
        <f>SUM(O15:O17)</f>
        <v>294</v>
      </c>
      <c r="P14" s="942">
        <f>SUM(P15:P17)</f>
        <v>180</v>
      </c>
      <c r="Q14" s="439"/>
      <c r="R14" s="439"/>
      <c r="T14" s="386" t="s">
        <v>127</v>
      </c>
      <c r="U14" s="384"/>
      <c r="V14" s="387"/>
      <c r="W14" s="387"/>
      <c r="X14" s="387"/>
      <c r="Y14" s="387"/>
      <c r="Z14" s="387"/>
      <c r="AA14" s="398"/>
      <c r="AB14" s="398"/>
      <c r="AD14" s="391" t="s">
        <v>4536</v>
      </c>
      <c r="AE14" s="391"/>
      <c r="AF14" s="391"/>
      <c r="AG14" s="391"/>
      <c r="AH14" s="382"/>
      <c r="AI14" s="382"/>
      <c r="AJ14" s="382"/>
      <c r="AK14" s="382"/>
      <c r="AL14" s="398"/>
      <c r="AV14" s="386" t="s">
        <v>4499</v>
      </c>
      <c r="AW14" s="385">
        <v>220</v>
      </c>
      <c r="AX14" s="385">
        <v>223</v>
      </c>
      <c r="AY14" s="385">
        <v>221</v>
      </c>
      <c r="AZ14" s="385">
        <v>226</v>
      </c>
      <c r="BA14" s="385">
        <v>225</v>
      </c>
      <c r="BB14" s="385">
        <v>208</v>
      </c>
      <c r="BC14" s="398"/>
      <c r="BD14" s="398"/>
      <c r="BE14" s="825"/>
      <c r="BF14" s="901"/>
      <c r="BG14" s="969"/>
      <c r="BH14" s="969"/>
      <c r="BI14" s="969"/>
      <c r="BJ14" s="969"/>
      <c r="BK14" s="822"/>
      <c r="BM14" s="398"/>
      <c r="BN14" s="825"/>
      <c r="BO14" s="901"/>
      <c r="BP14" s="970"/>
      <c r="BQ14" s="970"/>
      <c r="BR14" s="970"/>
      <c r="BS14" s="901"/>
      <c r="BT14" s="970"/>
      <c r="BU14" s="901"/>
      <c r="BV14" s="901"/>
      <c r="BW14" s="571"/>
      <c r="BX14" s="571"/>
    </row>
    <row r="15" spans="1:76">
      <c r="A15" s="949" t="s">
        <v>3502</v>
      </c>
      <c r="B15" s="951">
        <f>SUM(B16:B17)</f>
        <v>2844982</v>
      </c>
      <c r="C15" s="951">
        <f>SUM(C16:C17)</f>
        <v>2958361</v>
      </c>
      <c r="D15" s="951">
        <v>2619139</v>
      </c>
      <c r="E15" s="895">
        <f t="shared" ref="E15" si="6">SUM(E16:E17)</f>
        <v>2509280.912</v>
      </c>
      <c r="F15" s="895">
        <f>SUM(F16:F17)</f>
        <v>2421484</v>
      </c>
      <c r="G15" s="895">
        <f t="shared" ref="G15" si="7">SUM(G16:G17)</f>
        <v>2376386</v>
      </c>
      <c r="J15" s="391" t="s">
        <v>4495</v>
      </c>
      <c r="K15" s="382">
        <v>45</v>
      </c>
      <c r="L15" s="382">
        <v>44</v>
      </c>
      <c r="M15" s="382">
        <v>35</v>
      </c>
      <c r="N15" s="382">
        <v>58</v>
      </c>
      <c r="O15" s="382">
        <v>56</v>
      </c>
      <c r="P15" s="382">
        <v>30</v>
      </c>
      <c r="Q15" s="382"/>
      <c r="R15" s="382"/>
      <c r="T15" s="937" t="s">
        <v>1648</v>
      </c>
      <c r="U15" s="729">
        <v>2018</v>
      </c>
      <c r="V15" s="728">
        <v>2017</v>
      </c>
      <c r="W15" s="728">
        <v>2016</v>
      </c>
      <c r="X15" s="729">
        <v>2015</v>
      </c>
      <c r="Y15" s="728">
        <v>2014</v>
      </c>
      <c r="Z15" s="729">
        <v>2013</v>
      </c>
      <c r="AA15" s="398"/>
      <c r="AB15" s="398"/>
      <c r="AD15" s="391" t="s">
        <v>4346</v>
      </c>
      <c r="AE15" s="391"/>
      <c r="AF15" s="423"/>
      <c r="AG15" s="423"/>
      <c r="AH15" s="381"/>
      <c r="AI15" s="382"/>
      <c r="AJ15" s="382"/>
      <c r="AK15" s="382"/>
      <c r="AL15" s="398"/>
      <c r="AV15" s="386" t="s">
        <v>4511</v>
      </c>
      <c r="AW15" s="385">
        <v>20</v>
      </c>
      <c r="AX15" s="385">
        <v>22</v>
      </c>
      <c r="AY15" s="385">
        <v>20</v>
      </c>
      <c r="AZ15" s="385">
        <v>15</v>
      </c>
      <c r="BA15" s="385">
        <v>15</v>
      </c>
      <c r="BB15" s="385">
        <v>20</v>
      </c>
      <c r="BC15" s="398"/>
      <c r="BD15" s="398"/>
      <c r="BE15" s="825"/>
      <c r="BF15" s="960">
        <v>44286</v>
      </c>
      <c r="BG15" s="971">
        <v>3752401</v>
      </c>
      <c r="BH15" s="971">
        <v>2207631</v>
      </c>
      <c r="BI15" s="971">
        <v>566700</v>
      </c>
      <c r="BJ15" s="971">
        <v>978070</v>
      </c>
      <c r="BK15" s="961"/>
      <c r="BL15" s="398"/>
      <c r="BM15" s="398"/>
      <c r="BN15" s="825"/>
      <c r="BO15" s="960">
        <v>44286</v>
      </c>
      <c r="BP15" s="971">
        <v>3565753</v>
      </c>
      <c r="BQ15" s="971">
        <v>589581</v>
      </c>
      <c r="BR15" s="971">
        <v>1660625</v>
      </c>
      <c r="BS15" s="972">
        <v>0.9</v>
      </c>
      <c r="BT15" s="971">
        <v>1315547</v>
      </c>
      <c r="BU15" s="967">
        <v>70.400000000000006</v>
      </c>
      <c r="BV15" s="901"/>
      <c r="BW15" s="571"/>
      <c r="BX15" s="901"/>
    </row>
    <row r="16" spans="1:76">
      <c r="A16" s="386" t="s">
        <v>4506</v>
      </c>
      <c r="B16" s="951">
        <v>1316760</v>
      </c>
      <c r="C16" s="951">
        <v>1272320</v>
      </c>
      <c r="D16" s="951">
        <v>1169065</v>
      </c>
      <c r="E16" s="973">
        <v>1162983.2660000001</v>
      </c>
      <c r="F16" s="463">
        <v>1171675</v>
      </c>
      <c r="G16" s="525">
        <v>1212082</v>
      </c>
      <c r="J16" s="391" t="s">
        <v>4507</v>
      </c>
      <c r="K16" s="382">
        <v>107</v>
      </c>
      <c r="L16" s="382">
        <v>119</v>
      </c>
      <c r="M16" s="382">
        <v>115</v>
      </c>
      <c r="N16" s="382">
        <v>138</v>
      </c>
      <c r="O16" s="382">
        <v>187</v>
      </c>
      <c r="P16" s="382">
        <v>106</v>
      </c>
      <c r="Q16" s="382"/>
      <c r="R16" s="382"/>
      <c r="T16" s="949" t="s">
        <v>4496</v>
      </c>
      <c r="U16" s="959">
        <v>574062</v>
      </c>
      <c r="V16" s="974">
        <v>555535</v>
      </c>
      <c r="W16" s="975">
        <v>537049</v>
      </c>
      <c r="X16" s="975">
        <v>528683</v>
      </c>
      <c r="Y16" s="975">
        <v>491406</v>
      </c>
      <c r="Z16" s="975">
        <v>470984</v>
      </c>
      <c r="AA16" s="515"/>
      <c r="AB16" s="515"/>
      <c r="AD16" s="903" t="s">
        <v>1648</v>
      </c>
      <c r="AE16" s="939">
        <v>2018</v>
      </c>
      <c r="AF16" s="664">
        <v>2017</v>
      </c>
      <c r="AG16" s="642">
        <v>2016</v>
      </c>
      <c r="AH16" s="642">
        <v>2015</v>
      </c>
      <c r="AI16" s="939">
        <v>2014</v>
      </c>
      <c r="AJ16" s="939">
        <v>2013</v>
      </c>
      <c r="AK16" s="439"/>
      <c r="AM16" s="386" t="s">
        <v>4537</v>
      </c>
      <c r="AN16" s="384"/>
      <c r="AO16" s="386"/>
      <c r="AP16" s="386"/>
      <c r="AQ16" s="387"/>
      <c r="AR16" s="398"/>
      <c r="AS16" s="398"/>
      <c r="AT16" s="398"/>
      <c r="AU16" s="398"/>
      <c r="AV16" s="384" t="s">
        <v>4518</v>
      </c>
      <c r="AW16" s="824">
        <v>17</v>
      </c>
      <c r="AX16" s="824">
        <v>12</v>
      </c>
      <c r="AY16" s="824">
        <v>12</v>
      </c>
      <c r="AZ16" s="824">
        <v>12</v>
      </c>
      <c r="BA16" s="824">
        <v>12</v>
      </c>
      <c r="BB16" s="824">
        <v>12</v>
      </c>
      <c r="BC16" s="398"/>
      <c r="BD16" s="398"/>
      <c r="BE16" s="825"/>
      <c r="BF16" s="960">
        <v>44377</v>
      </c>
      <c r="BG16" s="971">
        <v>3908393</v>
      </c>
      <c r="BH16" s="971">
        <v>2314000</v>
      </c>
      <c r="BI16" s="971">
        <v>541542</v>
      </c>
      <c r="BJ16" s="971">
        <v>1052851</v>
      </c>
      <c r="BK16" s="961"/>
      <c r="BL16" s="398"/>
      <c r="BM16" s="398"/>
      <c r="BN16" s="825"/>
      <c r="BO16" s="960">
        <v>44377</v>
      </c>
      <c r="BP16" s="971">
        <v>3457031</v>
      </c>
      <c r="BQ16" s="971">
        <v>570538</v>
      </c>
      <c r="BR16" s="971">
        <v>1569575</v>
      </c>
      <c r="BS16" s="972">
        <v>1</v>
      </c>
      <c r="BT16" s="971">
        <v>1494976</v>
      </c>
      <c r="BU16" s="967">
        <v>61.5</v>
      </c>
      <c r="BV16" s="901"/>
      <c r="BW16" s="571"/>
      <c r="BX16" s="901"/>
    </row>
    <row r="17" spans="1:92">
      <c r="A17" s="384" t="s">
        <v>4513</v>
      </c>
      <c r="B17" s="964">
        <v>1528222</v>
      </c>
      <c r="C17" s="964">
        <v>1686041</v>
      </c>
      <c r="D17" s="964">
        <v>1450074</v>
      </c>
      <c r="E17" s="976">
        <v>1346297.6459999999</v>
      </c>
      <c r="F17" s="497">
        <v>1249809</v>
      </c>
      <c r="G17" s="633">
        <v>1164304</v>
      </c>
      <c r="J17" s="423" t="s">
        <v>4514</v>
      </c>
      <c r="K17" s="381">
        <v>50</v>
      </c>
      <c r="L17" s="381">
        <v>46</v>
      </c>
      <c r="M17" s="381">
        <v>40</v>
      </c>
      <c r="N17" s="381">
        <v>60</v>
      </c>
      <c r="O17" s="381">
        <v>51</v>
      </c>
      <c r="P17" s="381">
        <v>44</v>
      </c>
      <c r="Q17" s="382"/>
      <c r="R17" s="382"/>
      <c r="T17" s="386" t="s">
        <v>4508</v>
      </c>
      <c r="U17" s="959">
        <v>563742</v>
      </c>
      <c r="V17" s="974">
        <v>542719</v>
      </c>
      <c r="W17" s="975">
        <v>533955</v>
      </c>
      <c r="X17" s="975">
        <v>518610</v>
      </c>
      <c r="Y17" s="975">
        <v>486739</v>
      </c>
      <c r="Z17" s="975">
        <v>455465</v>
      </c>
      <c r="AA17" s="515"/>
      <c r="AB17" s="515"/>
      <c r="AD17" s="391" t="s">
        <v>4497</v>
      </c>
      <c r="AE17" s="585">
        <v>257</v>
      </c>
      <c r="AF17" s="754">
        <v>257</v>
      </c>
      <c r="AG17" s="463">
        <v>253</v>
      </c>
      <c r="AH17" s="463">
        <v>253</v>
      </c>
      <c r="AI17" s="585">
        <v>252</v>
      </c>
      <c r="AJ17" s="585">
        <v>240</v>
      </c>
      <c r="AK17" s="754"/>
      <c r="AM17" s="937" t="s">
        <v>1648</v>
      </c>
      <c r="AN17" s="939">
        <v>2018</v>
      </c>
      <c r="AO17" s="939">
        <v>2017</v>
      </c>
      <c r="AP17" s="939">
        <v>2016</v>
      </c>
      <c r="AQ17" s="939">
        <v>2015</v>
      </c>
      <c r="AR17" s="729">
        <v>2014</v>
      </c>
      <c r="AS17" s="729">
        <v>2013</v>
      </c>
      <c r="AT17" s="398"/>
      <c r="AU17" s="398"/>
      <c r="AV17" s="386" t="s">
        <v>2265</v>
      </c>
      <c r="AW17" s="386"/>
      <c r="AX17" s="386"/>
      <c r="AY17" s="386"/>
      <c r="AZ17" s="398"/>
      <c r="BA17" s="398"/>
      <c r="BB17" s="398"/>
      <c r="BC17" s="398"/>
      <c r="BE17" s="825"/>
      <c r="BF17" s="960">
        <v>44469</v>
      </c>
      <c r="BG17" s="971">
        <v>4078104</v>
      </c>
      <c r="BH17" s="971">
        <v>2492006</v>
      </c>
      <c r="BI17" s="971">
        <v>534160</v>
      </c>
      <c r="BJ17" s="971">
        <v>1051938</v>
      </c>
      <c r="BK17" s="961"/>
      <c r="BL17" s="398"/>
      <c r="BN17" s="825"/>
      <c r="BO17" s="960">
        <v>44469</v>
      </c>
      <c r="BP17" s="971">
        <v>3389543</v>
      </c>
      <c r="BQ17" s="971">
        <v>565064</v>
      </c>
      <c r="BR17" s="971">
        <v>1515974</v>
      </c>
      <c r="BS17" s="972">
        <v>1</v>
      </c>
      <c r="BT17" s="971">
        <v>1308505</v>
      </c>
      <c r="BU17" s="967">
        <v>69.900000000000006</v>
      </c>
      <c r="BV17" s="901"/>
      <c r="BW17" s="571"/>
      <c r="BX17" s="901"/>
      <c r="CM17" s="398"/>
      <c r="CN17" s="398"/>
    </row>
    <row r="18" spans="1:92">
      <c r="A18" s="949" t="s">
        <v>4538</v>
      </c>
      <c r="J18" s="382" t="s">
        <v>2265</v>
      </c>
      <c r="K18" s="382"/>
      <c r="L18" s="382"/>
      <c r="M18" s="382"/>
      <c r="N18" s="382"/>
      <c r="O18" s="382"/>
      <c r="P18" s="382"/>
      <c r="Q18" s="382"/>
      <c r="R18" s="382"/>
      <c r="T18" s="386" t="s">
        <v>4515</v>
      </c>
      <c r="U18" s="959">
        <v>414128</v>
      </c>
      <c r="V18" s="974">
        <v>396700</v>
      </c>
      <c r="W18" s="975">
        <v>393251</v>
      </c>
      <c r="X18" s="975">
        <v>318997</v>
      </c>
      <c r="Y18" s="975">
        <v>321990</v>
      </c>
      <c r="Z18" s="975">
        <v>286498</v>
      </c>
      <c r="AA18" s="515"/>
      <c r="AB18" s="515"/>
      <c r="AD18" s="391" t="s">
        <v>4509</v>
      </c>
      <c r="AE18" s="525">
        <v>2181278</v>
      </c>
      <c r="AF18" s="959">
        <v>2718077</v>
      </c>
      <c r="AG18" s="463">
        <v>2261365</v>
      </c>
      <c r="AH18" s="463">
        <v>2166105</v>
      </c>
      <c r="AI18" s="525">
        <v>2072636</v>
      </c>
      <c r="AJ18" s="525">
        <v>2798368</v>
      </c>
      <c r="AK18" s="959"/>
      <c r="AM18" s="386" t="s">
        <v>4314</v>
      </c>
      <c r="AN18" s="525">
        <f>SUM(AN19:AN25)</f>
        <v>2125</v>
      </c>
      <c r="AO18" s="525">
        <f t="shared" ref="AO18:AP18" si="8">SUM(AO19:AO25)</f>
        <v>1805</v>
      </c>
      <c r="AP18" s="525">
        <f t="shared" si="8"/>
        <v>1711</v>
      </c>
      <c r="AQ18" s="525">
        <f>SUM(AQ19:AQ25)</f>
        <v>1582</v>
      </c>
      <c r="AR18" s="754">
        <f t="shared" ref="AR18" si="9">SUM(AR19:AR25)</f>
        <v>1662</v>
      </c>
      <c r="AS18" s="754">
        <f>SUM(AS19:AS25)</f>
        <v>1623</v>
      </c>
      <c r="AT18" s="943"/>
      <c r="AU18" s="943"/>
      <c r="AV18" s="398"/>
      <c r="AW18" s="398"/>
      <c r="AX18" s="398"/>
      <c r="AY18" s="398"/>
      <c r="AZ18" s="398"/>
      <c r="BA18" s="398"/>
      <c r="BB18" s="398"/>
      <c r="BC18" s="398"/>
      <c r="BE18" s="825"/>
      <c r="BF18" s="960">
        <v>44561</v>
      </c>
      <c r="BG18" s="971">
        <v>4066645</v>
      </c>
      <c r="BH18" s="971">
        <v>2471571</v>
      </c>
      <c r="BI18" s="971">
        <v>532861</v>
      </c>
      <c r="BJ18" s="971">
        <v>1062213</v>
      </c>
      <c r="BK18" s="961"/>
      <c r="BL18" s="398"/>
      <c r="BN18" s="825"/>
      <c r="BO18" s="960">
        <v>44561</v>
      </c>
      <c r="BP18" s="971">
        <v>3312935</v>
      </c>
      <c r="BQ18" s="971">
        <v>561998</v>
      </c>
      <c r="BR18" s="971">
        <v>1445487</v>
      </c>
      <c r="BS18" s="972">
        <v>0.1</v>
      </c>
      <c r="BT18" s="971">
        <v>1305450</v>
      </c>
      <c r="BU18" s="967">
        <v>69.400000000000006</v>
      </c>
      <c r="BV18" s="901"/>
      <c r="BW18" s="562"/>
      <c r="BX18" s="571"/>
      <c r="CM18" s="398"/>
      <c r="CN18" s="398"/>
    </row>
    <row r="19" spans="1:92">
      <c r="A19" s="386" t="s">
        <v>4539</v>
      </c>
      <c r="D19" s="525"/>
      <c r="E19" s="525"/>
      <c r="F19" s="525"/>
      <c r="J19" s="386"/>
      <c r="T19" s="384" t="s">
        <v>4521</v>
      </c>
      <c r="U19" s="977">
        <v>288818</v>
      </c>
      <c r="V19" s="978">
        <v>261613</v>
      </c>
      <c r="W19" s="979">
        <v>222445</v>
      </c>
      <c r="X19" s="979">
        <v>361462</v>
      </c>
      <c r="Y19" s="979">
        <v>230958</v>
      </c>
      <c r="Z19" s="979">
        <v>293053</v>
      </c>
      <c r="AA19" s="515"/>
      <c r="AB19" s="515"/>
      <c r="AC19" s="398"/>
      <c r="AD19" s="391" t="s">
        <v>4516</v>
      </c>
      <c r="AE19" s="525">
        <v>1856053</v>
      </c>
      <c r="AF19" s="959">
        <v>2364499</v>
      </c>
      <c r="AG19" s="463">
        <v>1933106</v>
      </c>
      <c r="AH19" s="463">
        <v>1849019</v>
      </c>
      <c r="AI19" s="525">
        <v>1774381</v>
      </c>
      <c r="AJ19" s="525">
        <v>2273776</v>
      </c>
      <c r="AK19" s="959"/>
      <c r="AM19" s="386" t="s">
        <v>4498</v>
      </c>
      <c r="AN19" s="525">
        <v>236</v>
      </c>
      <c r="AO19" s="525">
        <v>252</v>
      </c>
      <c r="AP19" s="980">
        <v>226</v>
      </c>
      <c r="AQ19" s="585">
        <v>224</v>
      </c>
      <c r="AR19" s="754">
        <v>227</v>
      </c>
      <c r="AS19" s="754">
        <v>221</v>
      </c>
      <c r="AT19" s="398"/>
      <c r="AU19" s="398"/>
      <c r="AV19" s="398"/>
      <c r="AW19" s="398"/>
      <c r="AX19" s="385"/>
      <c r="AY19" s="385"/>
      <c r="AZ19" s="385"/>
      <c r="BA19" s="385"/>
      <c r="BB19" s="385"/>
      <c r="BC19" s="398"/>
      <c r="BF19" s="901"/>
      <c r="BG19" s="901"/>
      <c r="BH19" s="901"/>
      <c r="BI19" s="901"/>
      <c r="BJ19" s="901"/>
      <c r="BK19" s="901"/>
      <c r="BL19" s="398"/>
      <c r="BN19" s="825"/>
      <c r="BO19" s="901"/>
      <c r="BP19" s="901"/>
      <c r="BQ19" s="901"/>
      <c r="BR19" s="901"/>
      <c r="BS19" s="901"/>
      <c r="BT19" s="901"/>
      <c r="BU19" s="901"/>
      <c r="BV19" s="901"/>
      <c r="BW19" s="562"/>
      <c r="BX19" s="571"/>
      <c r="CM19" s="398"/>
      <c r="CN19" s="398"/>
    </row>
    <row r="20" spans="1:92">
      <c r="A20" s="386" t="s">
        <v>4524</v>
      </c>
      <c r="T20" s="398" t="s">
        <v>2265</v>
      </c>
      <c r="U20" s="398"/>
      <c r="V20" s="398"/>
      <c r="W20" s="398"/>
      <c r="X20" s="398"/>
      <c r="Y20" s="398"/>
      <c r="Z20" s="398"/>
      <c r="AA20" s="398"/>
      <c r="AB20" s="398"/>
      <c r="AC20" s="398"/>
      <c r="AD20" s="391" t="s">
        <v>4522</v>
      </c>
      <c r="AE20" s="525">
        <v>2040</v>
      </c>
      <c r="AF20" s="959">
        <v>17740</v>
      </c>
      <c r="AG20" s="463">
        <v>2137</v>
      </c>
      <c r="AH20" s="463">
        <v>2089</v>
      </c>
      <c r="AI20" s="525">
        <v>2034</v>
      </c>
      <c r="AJ20" s="525">
        <v>6763</v>
      </c>
      <c r="AK20" s="959"/>
      <c r="AM20" s="386" t="s">
        <v>4510</v>
      </c>
      <c r="AN20" s="525">
        <v>1502</v>
      </c>
      <c r="AO20" s="525">
        <v>1214</v>
      </c>
      <c r="AP20" s="980">
        <v>1166</v>
      </c>
      <c r="AQ20" s="525">
        <v>1013</v>
      </c>
      <c r="AR20" s="754">
        <v>1109</v>
      </c>
      <c r="AS20" s="754">
        <v>1074</v>
      </c>
      <c r="AT20" s="515"/>
      <c r="AU20" s="515"/>
      <c r="AV20" s="398"/>
      <c r="AW20" s="398"/>
      <c r="AX20" s="385"/>
      <c r="AY20" s="385"/>
      <c r="AZ20" s="385"/>
      <c r="BA20" s="385"/>
      <c r="BB20" s="385"/>
      <c r="BC20" s="398"/>
      <c r="BF20" s="960">
        <v>43921</v>
      </c>
      <c r="BG20" s="961">
        <v>3104751.5449999999</v>
      </c>
      <c r="BH20" s="961">
        <v>1772404</v>
      </c>
      <c r="BI20" s="961">
        <v>533781</v>
      </c>
      <c r="BJ20" s="961">
        <v>798567</v>
      </c>
      <c r="BK20" s="961"/>
      <c r="BL20" s="398"/>
      <c r="BO20" s="960">
        <v>43921</v>
      </c>
      <c r="BP20" s="961">
        <v>3549765</v>
      </c>
      <c r="BQ20" s="961">
        <v>695632</v>
      </c>
      <c r="BR20" s="961">
        <v>1496183</v>
      </c>
      <c r="BS20" s="967">
        <v>0.2</v>
      </c>
      <c r="BT20" s="961">
        <v>1357950</v>
      </c>
      <c r="BU20" s="967">
        <v>71</v>
      </c>
      <c r="BV20" s="981"/>
      <c r="BW20" s="562"/>
      <c r="BX20" s="571"/>
      <c r="CM20" s="398"/>
      <c r="CN20" s="398"/>
    </row>
    <row r="21" spans="1:92">
      <c r="A21" s="386" t="s">
        <v>4527</v>
      </c>
      <c r="J21" s="398"/>
      <c r="K21" s="398"/>
      <c r="L21" s="382"/>
      <c r="M21" s="382"/>
      <c r="N21" s="439"/>
      <c r="O21" s="439"/>
      <c r="P21" s="382"/>
      <c r="Q21" s="382"/>
      <c r="R21" s="398"/>
      <c r="T21" s="386"/>
      <c r="U21" s="386" t="s">
        <v>3348</v>
      </c>
      <c r="V21" s="382"/>
      <c r="W21" s="382"/>
      <c r="X21" s="382"/>
      <c r="Y21" s="382"/>
      <c r="AC21" s="398"/>
      <c r="AD21" s="423" t="s">
        <v>4525</v>
      </c>
      <c r="AE21" s="633">
        <v>323185</v>
      </c>
      <c r="AF21" s="977">
        <v>335838</v>
      </c>
      <c r="AG21" s="497">
        <v>326121</v>
      </c>
      <c r="AH21" s="497">
        <v>314997</v>
      </c>
      <c r="AI21" s="633">
        <v>296221</v>
      </c>
      <c r="AJ21" s="633">
        <v>517829</v>
      </c>
      <c r="AK21" s="959"/>
      <c r="AM21" s="386" t="s">
        <v>4517</v>
      </c>
      <c r="AN21" s="474" t="s">
        <v>1627</v>
      </c>
      <c r="AO21" s="474" t="s">
        <v>1627</v>
      </c>
      <c r="AP21" s="982" t="s">
        <v>1627</v>
      </c>
      <c r="AQ21" s="757" t="s">
        <v>1627</v>
      </c>
      <c r="AR21" s="757" t="s">
        <v>1627</v>
      </c>
      <c r="AS21" s="757" t="s">
        <v>1627</v>
      </c>
      <c r="AT21" s="757"/>
      <c r="AU21" s="398"/>
      <c r="AV21" s="398"/>
      <c r="AW21" s="398"/>
      <c r="AX21" s="385"/>
      <c r="AY21" s="385"/>
      <c r="AZ21" s="385"/>
      <c r="BA21" s="385"/>
      <c r="BB21" s="385"/>
      <c r="BC21" s="398"/>
      <c r="BD21" s="398"/>
      <c r="BF21" s="960">
        <v>44012</v>
      </c>
      <c r="BG21" s="961">
        <v>3523940.1779999998</v>
      </c>
      <c r="BH21" s="961">
        <v>2093585</v>
      </c>
      <c r="BI21" s="961">
        <v>557481</v>
      </c>
      <c r="BJ21" s="961">
        <v>872874</v>
      </c>
      <c r="BK21" s="961"/>
      <c r="BL21" s="398"/>
      <c r="BM21" s="398"/>
      <c r="BN21" s="571"/>
      <c r="BO21" s="960">
        <v>44012</v>
      </c>
      <c r="BP21" s="961">
        <v>3639776</v>
      </c>
      <c r="BQ21" s="961">
        <v>668209</v>
      </c>
      <c r="BR21" s="961">
        <v>1614609</v>
      </c>
      <c r="BS21" s="967">
        <v>1</v>
      </c>
      <c r="BT21" s="961">
        <v>1356958</v>
      </c>
      <c r="BU21" s="967">
        <v>70.2</v>
      </c>
      <c r="BV21" s="981"/>
      <c r="BW21" s="571"/>
      <c r="BX21" s="571"/>
      <c r="CM21" s="398"/>
      <c r="CN21" s="398"/>
    </row>
    <row r="22" spans="1:92">
      <c r="J22" s="398"/>
      <c r="K22" s="398"/>
      <c r="L22" s="439"/>
      <c r="M22" s="439"/>
      <c r="N22" s="439"/>
      <c r="O22" s="439"/>
      <c r="P22" s="439"/>
      <c r="Q22" s="439"/>
      <c r="R22" s="398"/>
      <c r="T22" s="398"/>
      <c r="U22" s="398"/>
      <c r="V22" s="398"/>
      <c r="W22" s="398"/>
      <c r="X22" s="398"/>
      <c r="Y22" s="398"/>
      <c r="Z22" s="398"/>
      <c r="AA22" s="398"/>
      <c r="AB22" s="398"/>
      <c r="AC22" s="398"/>
      <c r="AD22" s="382" t="s">
        <v>2265</v>
      </c>
      <c r="AE22" s="382"/>
      <c r="AF22" s="382"/>
      <c r="AG22" s="382"/>
      <c r="AH22" s="382"/>
      <c r="AI22" s="382"/>
      <c r="AJ22" s="382"/>
      <c r="AK22" s="382"/>
      <c r="AL22" s="398"/>
      <c r="AM22" s="386" t="s">
        <v>4523</v>
      </c>
      <c r="AN22" s="525">
        <v>39</v>
      </c>
      <c r="AO22" s="525">
        <v>34</v>
      </c>
      <c r="AP22" s="980">
        <v>27</v>
      </c>
      <c r="AQ22" s="585">
        <v>19</v>
      </c>
      <c r="AR22" s="754">
        <v>16</v>
      </c>
      <c r="AS22" s="754">
        <v>21</v>
      </c>
      <c r="AT22" s="757"/>
      <c r="AU22" s="398"/>
      <c r="AV22" s="398"/>
      <c r="AW22" s="398"/>
      <c r="AX22" s="385"/>
      <c r="AY22" s="385"/>
      <c r="AZ22" s="385"/>
      <c r="BA22" s="385"/>
      <c r="BB22" s="385"/>
      <c r="BC22" s="398"/>
      <c r="BD22" s="398"/>
      <c r="BE22" s="825"/>
      <c r="BF22" s="960">
        <v>44104</v>
      </c>
      <c r="BG22" s="961">
        <v>3636248.156</v>
      </c>
      <c r="BH22" s="961">
        <v>2167132</v>
      </c>
      <c r="BI22" s="961">
        <v>545798</v>
      </c>
      <c r="BJ22" s="961">
        <v>923318</v>
      </c>
      <c r="BK22" s="961"/>
      <c r="BM22" s="398"/>
      <c r="BO22" s="960">
        <v>44104</v>
      </c>
      <c r="BP22" s="961">
        <v>3599174</v>
      </c>
      <c r="BQ22" s="961">
        <v>643853</v>
      </c>
      <c r="BR22" s="961">
        <v>1631673</v>
      </c>
      <c r="BS22" s="967">
        <v>0.9</v>
      </c>
      <c r="BT22" s="961">
        <v>1323648</v>
      </c>
      <c r="BU22" s="967">
        <v>71.8</v>
      </c>
      <c r="BV22" s="981"/>
      <c r="BW22" s="571"/>
      <c r="BX22" s="571"/>
      <c r="CM22" s="398"/>
      <c r="CN22" s="398"/>
    </row>
    <row r="23" spans="1:92">
      <c r="J23" s="398"/>
      <c r="K23" s="398"/>
      <c r="L23" s="382"/>
      <c r="M23" s="382"/>
      <c r="N23" s="382"/>
      <c r="O23" s="439"/>
      <c r="P23" s="439"/>
      <c r="Q23" s="382"/>
      <c r="R23" s="398"/>
      <c r="T23" s="398"/>
      <c r="U23" s="398"/>
      <c r="V23" s="385"/>
      <c r="W23" s="385"/>
      <c r="X23" s="385"/>
      <c r="Y23" s="385"/>
      <c r="Z23" s="385"/>
      <c r="AA23" s="398"/>
      <c r="AB23" s="398"/>
      <c r="AC23" s="398"/>
      <c r="AD23" s="391" t="s">
        <v>4529</v>
      </c>
      <c r="AE23" s="391"/>
      <c r="AF23" s="391"/>
      <c r="AG23" s="391"/>
      <c r="AH23" s="382"/>
      <c r="AI23" s="382"/>
      <c r="AJ23" s="382"/>
      <c r="AK23" s="382"/>
      <c r="AL23" s="398"/>
      <c r="AM23" s="386" t="s">
        <v>4526</v>
      </c>
      <c r="AN23" s="525">
        <v>103</v>
      </c>
      <c r="AO23" s="525">
        <v>95</v>
      </c>
      <c r="AP23" s="980">
        <v>90</v>
      </c>
      <c r="AQ23" s="585">
        <v>99</v>
      </c>
      <c r="AR23" s="754">
        <v>75</v>
      </c>
      <c r="AS23" s="754">
        <v>87</v>
      </c>
      <c r="AT23" s="398"/>
      <c r="AU23" s="398"/>
      <c r="AV23" s="398"/>
      <c r="AW23" s="398"/>
      <c r="AX23" s="385"/>
      <c r="AY23" s="385"/>
      <c r="AZ23" s="385"/>
      <c r="BA23" s="385"/>
      <c r="BB23" s="385"/>
      <c r="BC23" s="398"/>
      <c r="BD23" s="398"/>
      <c r="BE23" s="825"/>
      <c r="BF23" s="960">
        <v>44196</v>
      </c>
      <c r="BG23" s="961">
        <v>3630804.35</v>
      </c>
      <c r="BH23" s="961">
        <v>2157286</v>
      </c>
      <c r="BI23" s="961">
        <f>526446674/1000</f>
        <v>526446.674</v>
      </c>
      <c r="BJ23" s="961">
        <v>947072</v>
      </c>
      <c r="BK23" s="961"/>
      <c r="BM23" s="398"/>
      <c r="BO23" s="960">
        <v>44196</v>
      </c>
      <c r="BP23" s="961">
        <v>3605759</v>
      </c>
      <c r="BQ23" s="961">
        <v>616249</v>
      </c>
      <c r="BR23" s="961">
        <v>1657555</v>
      </c>
      <c r="BS23" s="967">
        <v>0.9</v>
      </c>
      <c r="BT23" s="961">
        <v>1331955</v>
      </c>
      <c r="BU23" s="967">
        <v>69.5</v>
      </c>
      <c r="BV23" s="981"/>
      <c r="BW23" s="571"/>
      <c r="BX23" s="571"/>
      <c r="CM23" s="398"/>
      <c r="CN23" s="398"/>
    </row>
    <row r="24" spans="1:92">
      <c r="C24" s="463"/>
      <c r="D24" s="463"/>
      <c r="E24" s="463"/>
      <c r="F24" s="463"/>
      <c r="G24" s="463"/>
      <c r="J24" s="398"/>
      <c r="K24" s="398"/>
      <c r="L24" s="382"/>
      <c r="M24" s="382"/>
      <c r="N24" s="382"/>
      <c r="O24" s="439"/>
      <c r="P24" s="439"/>
      <c r="Q24" s="382"/>
      <c r="R24" s="398"/>
      <c r="T24" s="398"/>
      <c r="U24" s="398"/>
      <c r="V24" s="974"/>
      <c r="W24" s="983"/>
      <c r="X24" s="983"/>
      <c r="Y24" s="983"/>
      <c r="Z24" s="984"/>
      <c r="AA24" s="398"/>
      <c r="AB24" s="398"/>
      <c r="AD24" s="382"/>
      <c r="AE24" s="382"/>
      <c r="AF24" s="382"/>
      <c r="AG24" s="382"/>
      <c r="AH24" s="382"/>
      <c r="AI24" s="382"/>
      <c r="AJ24" s="382"/>
      <c r="AK24" s="382"/>
      <c r="AL24" s="398"/>
      <c r="AM24" s="386" t="s">
        <v>4528</v>
      </c>
      <c r="AN24" s="525">
        <v>185</v>
      </c>
      <c r="AO24" s="525">
        <v>149</v>
      </c>
      <c r="AP24" s="980">
        <v>146</v>
      </c>
      <c r="AQ24" s="585">
        <v>172</v>
      </c>
      <c r="AR24" s="754">
        <v>180</v>
      </c>
      <c r="AS24" s="754">
        <v>166</v>
      </c>
      <c r="AT24" s="398"/>
      <c r="AU24" s="398"/>
      <c r="AV24" s="398"/>
      <c r="AW24" s="398"/>
      <c r="AX24" s="398"/>
      <c r="AY24" s="398"/>
      <c r="AZ24" s="398"/>
      <c r="BA24" s="398"/>
      <c r="BB24" s="398"/>
      <c r="BC24" s="398"/>
      <c r="BD24" s="398"/>
      <c r="BE24" s="825"/>
      <c r="BF24" s="960"/>
      <c r="BG24" s="961"/>
      <c r="BH24" s="961"/>
      <c r="BI24" s="961"/>
      <c r="BJ24" s="961"/>
      <c r="BK24" s="901"/>
      <c r="BM24" s="398"/>
      <c r="BO24" s="960"/>
      <c r="BP24" s="961"/>
      <c r="BQ24" s="961"/>
      <c r="BR24" s="961"/>
      <c r="BS24" s="967"/>
      <c r="BT24" s="961"/>
      <c r="BU24" s="967"/>
      <c r="BV24" s="901"/>
      <c r="BW24" s="571"/>
      <c r="BX24" s="571"/>
      <c r="CM24" s="398"/>
      <c r="CN24" s="398"/>
    </row>
    <row r="25" spans="1:92">
      <c r="A25" s="386"/>
      <c r="B25" s="398"/>
      <c r="C25" s="463"/>
      <c r="D25" s="525"/>
      <c r="E25" s="525"/>
      <c r="F25" s="525"/>
      <c r="G25" s="525"/>
      <c r="J25" s="398"/>
      <c r="K25" s="398"/>
      <c r="L25" s="382"/>
      <c r="M25" s="382"/>
      <c r="N25" s="382"/>
      <c r="O25" s="439"/>
      <c r="P25" s="439"/>
      <c r="Q25" s="382"/>
      <c r="R25" s="398"/>
      <c r="T25" s="398"/>
      <c r="U25" s="398"/>
      <c r="V25" s="974"/>
      <c r="W25" s="983"/>
      <c r="X25" s="983"/>
      <c r="Y25" s="983"/>
      <c r="Z25" s="984"/>
      <c r="AA25" s="398"/>
      <c r="AB25" s="398"/>
      <c r="AD25" s="391"/>
      <c r="AE25" s="391"/>
      <c r="AF25" s="391"/>
      <c r="AG25" s="391"/>
      <c r="AH25" s="382"/>
      <c r="AI25" s="382"/>
      <c r="AJ25" s="382"/>
      <c r="AK25" s="382"/>
      <c r="AL25" s="398"/>
      <c r="AM25" s="384" t="s">
        <v>4530</v>
      </c>
      <c r="AN25" s="633">
        <v>60</v>
      </c>
      <c r="AO25" s="633">
        <v>61</v>
      </c>
      <c r="AP25" s="985">
        <v>56</v>
      </c>
      <c r="AQ25" s="586">
        <v>55</v>
      </c>
      <c r="AR25" s="792">
        <v>55</v>
      </c>
      <c r="AS25" s="792">
        <v>54</v>
      </c>
      <c r="AT25" s="398"/>
      <c r="AU25" s="398"/>
      <c r="AV25" s="398"/>
      <c r="AW25" s="398"/>
      <c r="AX25" s="398"/>
      <c r="AY25" s="398"/>
      <c r="AZ25" s="398"/>
      <c r="BA25" s="398"/>
      <c r="BB25" s="398"/>
      <c r="BC25" s="398"/>
      <c r="BD25" s="398"/>
      <c r="BE25" s="571"/>
      <c r="BF25" s="960">
        <v>43555</v>
      </c>
      <c r="BG25" s="961">
        <v>3040305</v>
      </c>
      <c r="BH25" s="961">
        <v>1692911</v>
      </c>
      <c r="BI25" s="961">
        <v>506296</v>
      </c>
      <c r="BJ25" s="961">
        <v>841098</v>
      </c>
      <c r="BK25" s="822"/>
      <c r="BM25" s="398"/>
      <c r="BN25" s="398"/>
      <c r="BO25" s="960">
        <v>43555</v>
      </c>
      <c r="BP25" s="961">
        <v>3379749</v>
      </c>
      <c r="BQ25" s="961">
        <v>711059</v>
      </c>
      <c r="BR25" s="961">
        <v>1419014</v>
      </c>
      <c r="BS25" s="967">
        <v>0.2</v>
      </c>
      <c r="BT25" s="961">
        <v>1249676</v>
      </c>
      <c r="BU25" s="967">
        <v>76.3</v>
      </c>
      <c r="BV25" s="986"/>
      <c r="BW25" s="571"/>
      <c r="BX25" s="571"/>
      <c r="CM25" s="398"/>
      <c r="CN25" s="398"/>
    </row>
    <row r="26" spans="1:92">
      <c r="A26" s="386"/>
      <c r="B26" s="398"/>
      <c r="C26" s="463"/>
      <c r="D26" s="525"/>
      <c r="E26" s="525"/>
      <c r="F26" s="525"/>
      <c r="G26" s="525"/>
      <c r="J26" s="398"/>
      <c r="K26" s="398"/>
      <c r="L26" s="398"/>
      <c r="M26" s="398"/>
      <c r="N26" s="398"/>
      <c r="O26" s="398"/>
      <c r="P26" s="398"/>
      <c r="Q26" s="398"/>
      <c r="R26" s="398"/>
      <c r="T26" s="398"/>
      <c r="U26" s="398"/>
      <c r="V26" s="974"/>
      <c r="W26" s="983"/>
      <c r="X26" s="983"/>
      <c r="Y26" s="983"/>
      <c r="Z26" s="984"/>
      <c r="AA26" s="398"/>
      <c r="AB26" s="398"/>
      <c r="AD26" s="391"/>
      <c r="AE26" s="391"/>
      <c r="AF26" s="391"/>
      <c r="AG26" s="391"/>
      <c r="AH26" s="382"/>
      <c r="AI26" s="382"/>
      <c r="AJ26" s="382"/>
      <c r="AK26" s="382"/>
      <c r="AL26" s="398"/>
      <c r="AM26" s="386" t="s">
        <v>2265</v>
      </c>
      <c r="AN26" s="386"/>
      <c r="AO26" s="386"/>
      <c r="AP26" s="386"/>
      <c r="AQ26" s="398"/>
      <c r="AR26" s="398"/>
      <c r="AS26" s="398"/>
      <c r="AT26" s="398"/>
      <c r="AU26" s="398"/>
      <c r="AV26" s="398"/>
      <c r="AW26" s="398"/>
      <c r="AX26" s="398"/>
      <c r="AY26" s="398"/>
      <c r="AZ26" s="398"/>
      <c r="BA26" s="398"/>
      <c r="BB26" s="398"/>
      <c r="BC26" s="398"/>
      <c r="BD26" s="398"/>
      <c r="BE26" s="571"/>
      <c r="BF26" s="960">
        <v>43646</v>
      </c>
      <c r="BG26" s="961">
        <v>3001625</v>
      </c>
      <c r="BH26" s="961">
        <v>1653673</v>
      </c>
      <c r="BI26" s="961">
        <v>522373</v>
      </c>
      <c r="BJ26" s="961">
        <v>825579</v>
      </c>
      <c r="BK26" s="822"/>
      <c r="BL26" s="398"/>
      <c r="BM26" s="398"/>
      <c r="BN26" s="398"/>
      <c r="BO26" s="960">
        <v>43646</v>
      </c>
      <c r="BP26" s="961">
        <v>3427896</v>
      </c>
      <c r="BQ26" s="961">
        <v>703076</v>
      </c>
      <c r="BR26" s="961">
        <v>1471110</v>
      </c>
      <c r="BS26" s="967">
        <v>0.2</v>
      </c>
      <c r="BT26" s="961">
        <v>1253709</v>
      </c>
      <c r="BU26" s="967">
        <v>76.7</v>
      </c>
      <c r="BV26" s="986"/>
      <c r="BW26" s="571"/>
      <c r="BX26" s="571"/>
      <c r="CM26" s="398"/>
      <c r="CN26" s="398"/>
    </row>
    <row r="27" spans="1:92">
      <c r="A27" s="386"/>
      <c r="B27" s="941"/>
      <c r="C27" s="941"/>
      <c r="D27" s="941"/>
      <c r="E27" s="941"/>
      <c r="F27" s="941"/>
      <c r="G27" s="941"/>
      <c r="J27" s="398"/>
      <c r="K27" s="398"/>
      <c r="L27" s="398"/>
      <c r="M27" s="398"/>
      <c r="N27" s="398"/>
      <c r="O27" s="398"/>
      <c r="P27" s="398"/>
      <c r="Q27" s="398"/>
      <c r="R27" s="398"/>
      <c r="T27" s="398"/>
      <c r="U27" s="398"/>
      <c r="V27" s="974"/>
      <c r="W27" s="983"/>
      <c r="X27" s="983"/>
      <c r="Y27" s="983"/>
      <c r="Z27" s="984"/>
      <c r="AA27" s="398"/>
      <c r="AB27" s="398"/>
      <c r="AD27" s="777"/>
      <c r="AE27" s="777"/>
      <c r="AF27" s="777"/>
      <c r="AG27" s="777"/>
      <c r="AL27" s="398"/>
      <c r="AM27" s="777" t="s">
        <v>4534</v>
      </c>
      <c r="AN27" s="386"/>
      <c r="AO27" s="386"/>
      <c r="AP27" s="386"/>
      <c r="AQ27" s="968"/>
      <c r="AR27" s="968"/>
      <c r="AS27" s="968"/>
      <c r="AT27" s="515"/>
      <c r="BA27" s="398"/>
      <c r="BB27" s="398"/>
      <c r="BC27" s="398"/>
      <c r="BD27" s="398"/>
      <c r="BE27" s="825"/>
      <c r="BF27" s="960">
        <v>43738</v>
      </c>
      <c r="BG27" s="961">
        <v>3098384</v>
      </c>
      <c r="BH27" s="961">
        <v>1731341</v>
      </c>
      <c r="BI27" s="961">
        <v>538174</v>
      </c>
      <c r="BJ27" s="961">
        <v>828869</v>
      </c>
      <c r="BK27" s="822"/>
      <c r="BL27" s="398"/>
      <c r="BM27" s="398"/>
      <c r="BN27" s="398"/>
      <c r="BO27" s="960">
        <v>43738</v>
      </c>
      <c r="BP27" s="961">
        <v>3455936</v>
      </c>
      <c r="BQ27" s="961">
        <v>742352</v>
      </c>
      <c r="BR27" s="961">
        <v>1461812</v>
      </c>
      <c r="BS27" s="967">
        <v>0.2</v>
      </c>
      <c r="BT27" s="961">
        <v>1251773</v>
      </c>
      <c r="BU27" s="967">
        <v>76.900000000000006</v>
      </c>
      <c r="BV27" s="986"/>
      <c r="BW27" s="571"/>
      <c r="BX27" s="571"/>
      <c r="CM27" s="398"/>
      <c r="CN27" s="398"/>
    </row>
    <row r="28" spans="1:92">
      <c r="A28" s="386"/>
      <c r="B28" s="463"/>
      <c r="C28" s="463"/>
      <c r="D28" s="463"/>
      <c r="E28" s="463"/>
      <c r="F28" s="463"/>
      <c r="G28" s="463"/>
      <c r="J28" s="398"/>
      <c r="K28" s="398"/>
      <c r="L28" s="398"/>
      <c r="M28" s="398"/>
      <c r="N28" s="398"/>
      <c r="O28" s="398"/>
      <c r="P28" s="398"/>
      <c r="Q28" s="398"/>
      <c r="R28" s="398"/>
      <c r="T28" s="398"/>
      <c r="U28" s="398"/>
      <c r="V28" s="398"/>
      <c r="W28" s="398"/>
      <c r="X28" s="398"/>
      <c r="Y28" s="398"/>
      <c r="Z28" s="398"/>
      <c r="AA28" s="398"/>
      <c r="AB28" s="398"/>
      <c r="AM28" s="386"/>
      <c r="AN28" s="386"/>
      <c r="AP28" s="385"/>
      <c r="AQ28" s="385"/>
      <c r="AR28" s="385"/>
      <c r="AS28" s="398"/>
      <c r="BD28" s="398"/>
      <c r="BE28" s="825"/>
      <c r="BF28" s="960">
        <v>43830</v>
      </c>
      <c r="BG28" s="961">
        <v>3175730</v>
      </c>
      <c r="BH28" s="961">
        <v>1819806</v>
      </c>
      <c r="BI28" s="961">
        <v>517709</v>
      </c>
      <c r="BJ28" s="961">
        <v>838215</v>
      </c>
      <c r="BK28" s="822"/>
      <c r="BL28" s="398"/>
      <c r="BM28" s="398"/>
      <c r="BN28" s="398"/>
      <c r="BO28" s="960">
        <v>43830</v>
      </c>
      <c r="BP28" s="961">
        <v>3431310</v>
      </c>
      <c r="BQ28" s="961">
        <v>702442</v>
      </c>
      <c r="BR28" s="961">
        <v>1481031</v>
      </c>
      <c r="BS28" s="967">
        <v>0.2</v>
      </c>
      <c r="BT28" s="961">
        <v>1247837</v>
      </c>
      <c r="BU28" s="967">
        <v>76.5</v>
      </c>
      <c r="BV28" s="986"/>
      <c r="BW28" s="571"/>
      <c r="BX28" s="571"/>
      <c r="CM28" s="398"/>
      <c r="CN28" s="987"/>
    </row>
    <row r="29" spans="1:92">
      <c r="A29" s="386"/>
      <c r="B29" s="463"/>
      <c r="C29" s="463"/>
      <c r="D29" s="463"/>
      <c r="E29" s="463"/>
      <c r="F29" s="463"/>
      <c r="G29" s="463"/>
      <c r="T29" s="398"/>
      <c r="U29" s="398"/>
      <c r="V29" s="398"/>
      <c r="W29" s="398"/>
      <c r="X29" s="398"/>
      <c r="Y29" s="398"/>
      <c r="Z29" s="398"/>
      <c r="AA29" s="398"/>
      <c r="AB29" s="398"/>
      <c r="AC29" s="398"/>
      <c r="AO29" s="525"/>
      <c r="AP29" s="754"/>
      <c r="AQ29" s="754"/>
      <c r="AR29" s="754"/>
      <c r="AS29" s="943"/>
      <c r="AV29" s="398"/>
      <c r="AW29" s="398"/>
      <c r="AX29" s="398"/>
      <c r="AY29" s="398"/>
      <c r="AZ29" s="398"/>
      <c r="BA29" s="398"/>
      <c r="BB29" s="398"/>
      <c r="BC29" s="398"/>
      <c r="BD29" s="398"/>
      <c r="BE29" s="825"/>
      <c r="BF29" s="960"/>
      <c r="BG29" s="822"/>
      <c r="BH29" s="822"/>
      <c r="BI29" s="822"/>
      <c r="BJ29" s="822"/>
      <c r="BK29" s="901"/>
      <c r="BL29" s="398"/>
      <c r="BM29" s="398"/>
      <c r="BN29" s="398"/>
      <c r="BO29" s="960"/>
      <c r="BP29" s="961"/>
      <c r="BQ29" s="961"/>
      <c r="BR29" s="961"/>
      <c r="BS29" s="967"/>
      <c r="BT29" s="961"/>
      <c r="BU29" s="967"/>
      <c r="BV29" s="571"/>
      <c r="BW29" s="571"/>
      <c r="BX29" s="571"/>
      <c r="CM29" s="398"/>
      <c r="CN29" s="987"/>
    </row>
    <row r="30" spans="1:92">
      <c r="A30" s="386"/>
      <c r="B30" s="463"/>
      <c r="C30" s="463"/>
      <c r="D30" s="463"/>
      <c r="E30" s="463"/>
      <c r="F30" s="463"/>
      <c r="G30" s="463"/>
      <c r="T30" s="398"/>
      <c r="U30" s="398"/>
      <c r="V30" s="398"/>
      <c r="W30" s="398"/>
      <c r="X30" s="398"/>
      <c r="Y30" s="398"/>
      <c r="Z30" s="398"/>
      <c r="AA30" s="398"/>
      <c r="AB30" s="398"/>
      <c r="AC30" s="398"/>
      <c r="AD30" s="386"/>
      <c r="AE30" s="386"/>
      <c r="AF30" s="386"/>
      <c r="AG30" s="386"/>
      <c r="AH30" s="398"/>
      <c r="AI30" s="398"/>
      <c r="AJ30" s="398"/>
      <c r="AK30" s="398"/>
      <c r="AP30" s="754"/>
      <c r="AQ30" s="754"/>
      <c r="AR30" s="754"/>
      <c r="AS30" s="515"/>
      <c r="AV30" s="398"/>
      <c r="AW30" s="398"/>
      <c r="AX30" s="398"/>
      <c r="AY30" s="398"/>
      <c r="AZ30" s="398"/>
      <c r="BA30" s="398"/>
      <c r="BB30" s="398"/>
      <c r="BC30" s="398"/>
      <c r="BD30" s="398"/>
      <c r="BE30" s="571"/>
      <c r="BF30" s="960">
        <v>43190</v>
      </c>
      <c r="BG30" s="961">
        <v>2918192</v>
      </c>
      <c r="BH30" s="961">
        <v>1564890</v>
      </c>
      <c r="BI30" s="961">
        <v>527995</v>
      </c>
      <c r="BJ30" s="961">
        <v>825307</v>
      </c>
      <c r="BK30" s="961"/>
      <c r="BL30" s="398"/>
      <c r="BM30" s="398"/>
      <c r="BN30" s="398"/>
      <c r="BO30" s="960">
        <v>43190</v>
      </c>
      <c r="BP30" s="961">
        <v>3384050</v>
      </c>
      <c r="BQ30" s="961">
        <v>705462</v>
      </c>
      <c r="BR30" s="961">
        <v>1421187</v>
      </c>
      <c r="BS30" s="967">
        <v>2.6</v>
      </c>
      <c r="BT30" s="961">
        <v>1257401</v>
      </c>
      <c r="BU30" s="967">
        <v>75.2</v>
      </c>
      <c r="BV30" s="822"/>
      <c r="BW30" s="571"/>
      <c r="BX30" s="571"/>
      <c r="CM30" s="398"/>
      <c r="CN30" s="398"/>
    </row>
    <row r="31" spans="1:92">
      <c r="A31" s="386"/>
      <c r="B31" s="398"/>
      <c r="C31" s="398"/>
      <c r="D31" s="398"/>
      <c r="E31" s="398"/>
      <c r="F31" s="398"/>
      <c r="G31" s="398"/>
      <c r="T31" s="398"/>
      <c r="U31" s="398"/>
      <c r="V31" s="398"/>
      <c r="W31" s="398"/>
      <c r="X31" s="398"/>
      <c r="Y31" s="398"/>
      <c r="Z31" s="398"/>
      <c r="AA31" s="398"/>
      <c r="AB31" s="398"/>
      <c r="AC31" s="398"/>
      <c r="AD31" s="386"/>
      <c r="AE31" s="386"/>
      <c r="AF31" s="386"/>
      <c r="AG31" s="386"/>
      <c r="AH31" s="398"/>
      <c r="AI31" s="398"/>
      <c r="AJ31" s="398"/>
      <c r="AK31" s="398"/>
      <c r="AO31" s="525"/>
      <c r="AP31" s="754"/>
      <c r="AQ31" s="754"/>
      <c r="AR31" s="754"/>
      <c r="AS31" s="515"/>
      <c r="AV31" s="398"/>
      <c r="AW31" s="398"/>
      <c r="AX31" s="398"/>
      <c r="AY31" s="398"/>
      <c r="AZ31" s="398"/>
      <c r="BA31" s="398"/>
      <c r="BB31" s="398"/>
      <c r="BC31" s="398"/>
      <c r="BD31" s="398"/>
      <c r="BE31" s="571"/>
      <c r="BF31" s="960">
        <v>43281</v>
      </c>
      <c r="BG31" s="961">
        <v>2944059</v>
      </c>
      <c r="BH31" s="961">
        <v>1595924</v>
      </c>
      <c r="BI31" s="961">
        <v>529101</v>
      </c>
      <c r="BJ31" s="961">
        <v>819034</v>
      </c>
      <c r="BK31" s="961"/>
      <c r="BL31" s="398"/>
      <c r="BM31" s="398"/>
      <c r="BN31" s="398"/>
      <c r="BO31" s="960">
        <v>43281</v>
      </c>
      <c r="BP31" s="961">
        <v>3382266</v>
      </c>
      <c r="BQ31" s="961">
        <v>706645</v>
      </c>
      <c r="BR31" s="961">
        <v>1421707</v>
      </c>
      <c r="BS31" s="967">
        <v>0.2</v>
      </c>
      <c r="BT31" s="961">
        <v>1253914</v>
      </c>
      <c r="BU31" s="967">
        <v>75.3</v>
      </c>
      <c r="BV31" s="571"/>
      <c r="BW31" s="571"/>
      <c r="BX31" s="571"/>
      <c r="CM31" s="398"/>
      <c r="CN31" s="398"/>
    </row>
    <row r="32" spans="1:92">
      <c r="A32" s="386"/>
      <c r="B32" s="398"/>
      <c r="C32" s="398"/>
      <c r="D32" s="398"/>
      <c r="E32" s="398"/>
      <c r="F32" s="398"/>
      <c r="G32" s="398"/>
      <c r="AD32" s="386"/>
      <c r="AE32" s="386"/>
      <c r="AF32" s="386"/>
      <c r="AG32" s="386"/>
      <c r="AH32" s="398"/>
      <c r="AI32" s="398"/>
      <c r="AJ32" s="398"/>
      <c r="AK32" s="398"/>
      <c r="AO32" s="757"/>
      <c r="AP32" s="757"/>
      <c r="AQ32" s="757"/>
      <c r="AR32" s="757"/>
      <c r="AS32" s="757"/>
      <c r="AV32" s="398"/>
      <c r="AW32" s="398"/>
      <c r="AX32" s="398"/>
      <c r="AY32" s="398"/>
      <c r="AZ32" s="398"/>
      <c r="BA32" s="398"/>
      <c r="BB32" s="398"/>
      <c r="BC32" s="398"/>
      <c r="BD32" s="398"/>
      <c r="BE32" s="825"/>
      <c r="BF32" s="960">
        <v>43373</v>
      </c>
      <c r="BG32" s="961">
        <v>2939035</v>
      </c>
      <c r="BH32" s="961">
        <v>1579454</v>
      </c>
      <c r="BI32" s="961">
        <v>535990</v>
      </c>
      <c r="BJ32" s="961">
        <v>823591</v>
      </c>
      <c r="BK32" s="961"/>
      <c r="BL32" s="398"/>
      <c r="BM32" s="398"/>
      <c r="BO32" s="960">
        <v>43373</v>
      </c>
      <c r="BP32" s="961">
        <v>3334253</v>
      </c>
      <c r="BQ32" s="961">
        <v>700104</v>
      </c>
      <c r="BR32" s="961">
        <v>1380672</v>
      </c>
      <c r="BS32" s="967">
        <v>0.3</v>
      </c>
      <c r="BT32" s="961">
        <v>1253477</v>
      </c>
      <c r="BU32" s="967">
        <v>75.3</v>
      </c>
      <c r="BV32" s="571"/>
      <c r="BW32" s="571"/>
      <c r="BX32" s="571"/>
      <c r="CM32" s="398"/>
      <c r="CN32" s="398"/>
    </row>
    <row r="33" spans="30:91">
      <c r="AD33" s="386"/>
      <c r="AE33" s="386"/>
      <c r="AF33" s="386"/>
      <c r="AG33" s="386"/>
      <c r="AH33" s="398"/>
      <c r="AI33" s="398"/>
      <c r="AJ33" s="398"/>
      <c r="AK33" s="398"/>
      <c r="AP33" s="754"/>
      <c r="AQ33" s="754"/>
      <c r="AR33" s="754"/>
      <c r="AS33" s="757"/>
      <c r="BD33" s="398"/>
      <c r="BE33" s="825"/>
      <c r="BF33" s="960">
        <v>43465</v>
      </c>
      <c r="BG33" s="961">
        <v>2973864</v>
      </c>
      <c r="BH33" s="961">
        <v>1605313</v>
      </c>
      <c r="BI33" s="961">
        <v>540686</v>
      </c>
      <c r="BJ33" s="961">
        <v>827865</v>
      </c>
      <c r="BK33" s="961"/>
      <c r="BL33" s="398"/>
      <c r="BM33" s="398"/>
      <c r="BO33" s="960">
        <v>43465</v>
      </c>
      <c r="BP33" s="961">
        <v>3407187</v>
      </c>
      <c r="BQ33" s="961">
        <v>710572</v>
      </c>
      <c r="BR33" s="961">
        <v>1445836</v>
      </c>
      <c r="BS33" s="967">
        <v>0.2</v>
      </c>
      <c r="BT33" s="961">
        <v>1250779</v>
      </c>
      <c r="BU33" s="967">
        <v>75.7</v>
      </c>
      <c r="BV33" s="571"/>
      <c r="BW33" s="571"/>
      <c r="BX33" s="571"/>
      <c r="CM33" s="398"/>
    </row>
    <row r="34" spans="30:91">
      <c r="AD34" s="386"/>
      <c r="AE34" s="386"/>
      <c r="AF34" s="386"/>
      <c r="AG34" s="386"/>
      <c r="AH34" s="988"/>
      <c r="AI34" s="398"/>
      <c r="AJ34" s="398"/>
      <c r="AK34" s="398"/>
      <c r="AL34" s="398"/>
      <c r="AP34" s="754"/>
      <c r="AQ34" s="754"/>
      <c r="AR34" s="754"/>
      <c r="AS34" s="515"/>
      <c r="BD34" s="398"/>
      <c r="BE34" s="825"/>
      <c r="BF34" s="901"/>
      <c r="BG34" s="901"/>
      <c r="BH34" s="901"/>
      <c r="BI34" s="901"/>
      <c r="BJ34" s="901"/>
      <c r="BK34" s="571"/>
      <c r="BL34" s="398"/>
      <c r="BM34" s="398"/>
      <c r="BO34" s="901"/>
      <c r="BP34" s="901"/>
      <c r="BQ34" s="901"/>
      <c r="BR34" s="901"/>
      <c r="BS34" s="901"/>
      <c r="BT34" s="901"/>
      <c r="BU34" s="901"/>
      <c r="BV34" s="571"/>
      <c r="BW34" s="571"/>
      <c r="BX34" s="571"/>
      <c r="CM34" s="398"/>
    </row>
    <row r="35" spans="30:91">
      <c r="AD35" s="386"/>
      <c r="AE35" s="386"/>
      <c r="AF35" s="386"/>
      <c r="AG35" s="386"/>
      <c r="AH35" s="398"/>
      <c r="AI35" s="398"/>
      <c r="AJ35" s="398"/>
      <c r="AK35" s="398"/>
      <c r="AL35" s="398"/>
      <c r="AP35" s="754"/>
      <c r="AQ35" s="754"/>
      <c r="AR35" s="754"/>
      <c r="AS35" s="754"/>
      <c r="BD35" s="398"/>
      <c r="BE35" s="825"/>
      <c r="BF35" s="960">
        <v>42825</v>
      </c>
      <c r="BG35" s="961">
        <v>2869510</v>
      </c>
      <c r="BH35" s="961">
        <v>1565958</v>
      </c>
      <c r="BI35" s="961">
        <v>511667</v>
      </c>
      <c r="BJ35" s="961">
        <v>791885</v>
      </c>
      <c r="BK35" s="822"/>
      <c r="BL35" s="398"/>
      <c r="BM35" s="398"/>
      <c r="BO35" s="960">
        <v>42825</v>
      </c>
      <c r="BP35" s="961">
        <v>3256078</v>
      </c>
      <c r="BQ35" s="961">
        <v>620181</v>
      </c>
      <c r="BR35" s="961">
        <v>1360082</v>
      </c>
      <c r="BS35" s="967">
        <v>2.1</v>
      </c>
      <c r="BT35" s="961">
        <v>1275815</v>
      </c>
      <c r="BU35" s="967">
        <v>74.599999999999994</v>
      </c>
      <c r="BV35" s="549"/>
      <c r="BW35" s="571"/>
      <c r="BX35" s="571"/>
      <c r="CM35" s="398"/>
    </row>
    <row r="36" spans="30:91">
      <c r="AD36" s="386"/>
      <c r="AE36" s="386"/>
      <c r="AF36" s="386"/>
      <c r="AG36" s="386"/>
      <c r="AH36" s="398"/>
      <c r="AI36" s="398"/>
      <c r="AJ36" s="398"/>
      <c r="AK36" s="398"/>
      <c r="AL36" s="398"/>
      <c r="AP36" s="754"/>
      <c r="AQ36" s="754"/>
      <c r="AR36" s="754"/>
      <c r="AS36" s="515"/>
      <c r="BD36" s="398"/>
      <c r="BE36" s="825"/>
      <c r="BF36" s="960">
        <v>42916</v>
      </c>
      <c r="BG36" s="961">
        <v>2870828</v>
      </c>
      <c r="BH36" s="961">
        <v>1554302</v>
      </c>
      <c r="BI36" s="961">
        <v>525660</v>
      </c>
      <c r="BJ36" s="961">
        <v>790866</v>
      </c>
      <c r="BK36" s="571"/>
      <c r="BL36" s="398"/>
      <c r="BM36" s="398"/>
      <c r="BN36" s="398"/>
      <c r="BO36" s="960">
        <v>42916</v>
      </c>
      <c r="BP36" s="961">
        <v>3192062</v>
      </c>
      <c r="BQ36" s="961">
        <v>639075</v>
      </c>
      <c r="BR36" s="961">
        <v>1286621</v>
      </c>
      <c r="BS36" s="967">
        <v>2.2000000000000002</v>
      </c>
      <c r="BT36" s="961">
        <v>1266366</v>
      </c>
      <c r="BU36" s="967">
        <v>74.8</v>
      </c>
      <c r="BV36" s="549"/>
      <c r="BW36" s="571"/>
      <c r="BX36" s="571"/>
      <c r="CM36" s="398"/>
    </row>
    <row r="37" spans="30:91">
      <c r="AD37" s="386"/>
      <c r="AE37" s="386"/>
      <c r="AF37" s="386"/>
      <c r="AG37" s="386"/>
      <c r="AH37" s="398"/>
      <c r="AI37" s="398"/>
      <c r="AJ37" s="398"/>
      <c r="AK37" s="398"/>
      <c r="BD37" s="398"/>
      <c r="BE37" s="825"/>
      <c r="BF37" s="960">
        <v>43008</v>
      </c>
      <c r="BG37" s="961">
        <v>2923773</v>
      </c>
      <c r="BH37" s="961">
        <v>1595552</v>
      </c>
      <c r="BI37" s="961">
        <v>527605</v>
      </c>
      <c r="BJ37" s="961">
        <v>800616</v>
      </c>
      <c r="BK37" s="571"/>
      <c r="BL37" s="398"/>
      <c r="BM37" s="398"/>
      <c r="BN37" s="398"/>
      <c r="BO37" s="960">
        <v>43008</v>
      </c>
      <c r="BP37" s="961">
        <v>3222863</v>
      </c>
      <c r="BQ37" s="961">
        <v>653405</v>
      </c>
      <c r="BR37" s="961">
        <v>1304882</v>
      </c>
      <c r="BS37" s="967">
        <v>2.2000000000000002</v>
      </c>
      <c r="BT37" s="961">
        <v>1264576</v>
      </c>
      <c r="BU37" s="967">
        <v>74.900000000000006</v>
      </c>
      <c r="BV37" s="549"/>
      <c r="BW37" s="571"/>
      <c r="BX37" s="571"/>
      <c r="CM37" s="398"/>
    </row>
    <row r="38" spans="30:91">
      <c r="AD38" s="398"/>
      <c r="AE38" s="398"/>
      <c r="AF38" s="398"/>
      <c r="AG38" s="398"/>
      <c r="AH38" s="398"/>
      <c r="AI38" s="398"/>
      <c r="AJ38" s="398"/>
      <c r="AK38" s="398"/>
      <c r="BD38" s="398"/>
      <c r="BE38" s="825"/>
      <c r="BF38" s="960">
        <v>43100</v>
      </c>
      <c r="BG38" s="961">
        <v>2844982</v>
      </c>
      <c r="BH38" s="961">
        <v>1528221</v>
      </c>
      <c r="BI38" s="961">
        <v>536019</v>
      </c>
      <c r="BJ38" s="961">
        <v>780742</v>
      </c>
      <c r="BK38" s="571"/>
      <c r="BL38" s="398"/>
      <c r="BM38" s="398"/>
      <c r="BN38" s="398"/>
      <c r="BO38" s="960">
        <v>43100</v>
      </c>
      <c r="BP38" s="961">
        <v>3262939</v>
      </c>
      <c r="BQ38" s="961">
        <v>694035</v>
      </c>
      <c r="BR38" s="961">
        <v>1311874</v>
      </c>
      <c r="BS38" s="967">
        <v>2.1</v>
      </c>
      <c r="BT38" s="961">
        <v>1257030</v>
      </c>
      <c r="BU38" s="967">
        <v>75.2</v>
      </c>
      <c r="BV38" s="549"/>
      <c r="BW38" s="571"/>
      <c r="BX38" s="571"/>
      <c r="CM38" s="398"/>
    </row>
    <row r="39" spans="30:91">
      <c r="AD39" s="386"/>
      <c r="AE39" s="386"/>
      <c r="AF39" s="386"/>
      <c r="AG39" s="386"/>
      <c r="AH39" s="398"/>
      <c r="AI39" s="398"/>
      <c r="AJ39" s="398"/>
      <c r="AK39" s="398"/>
      <c r="BD39" s="398"/>
      <c r="BE39" s="825"/>
      <c r="BF39" s="901"/>
      <c r="BG39" s="901"/>
      <c r="BH39" s="901"/>
      <c r="BI39" s="901"/>
      <c r="BJ39" s="901"/>
      <c r="BK39" s="571"/>
      <c r="BL39" s="398"/>
      <c r="BM39" s="398"/>
      <c r="BN39" s="398"/>
      <c r="BO39" s="901"/>
      <c r="BP39" s="901"/>
      <c r="BQ39" s="901"/>
      <c r="BR39" s="901"/>
      <c r="BS39" s="901"/>
      <c r="BT39" s="901"/>
      <c r="BU39" s="901"/>
      <c r="BV39" s="549"/>
      <c r="BW39" s="571"/>
      <c r="BX39" s="571"/>
      <c r="CM39" s="398"/>
    </row>
    <row r="40" spans="30:91">
      <c r="BD40" s="398"/>
      <c r="BF40" s="960">
        <v>42460</v>
      </c>
      <c r="BG40" s="822">
        <v>2728973</v>
      </c>
      <c r="BH40" s="822">
        <v>1486095</v>
      </c>
      <c r="BI40" s="822">
        <v>513641</v>
      </c>
      <c r="BJ40" s="822">
        <v>729237</v>
      </c>
      <c r="BK40" s="549"/>
      <c r="BL40" s="398"/>
      <c r="BM40" s="398"/>
      <c r="BN40" s="398"/>
      <c r="BO40" s="960">
        <v>42460</v>
      </c>
      <c r="BP40" s="961">
        <v>3186231</v>
      </c>
      <c r="BQ40" s="961">
        <v>582406</v>
      </c>
      <c r="BR40" s="961">
        <v>1306030</v>
      </c>
      <c r="BS40" s="967">
        <v>3.4</v>
      </c>
      <c r="BT40" s="961">
        <v>1297795</v>
      </c>
      <c r="BU40" s="967">
        <v>73.900000000000006</v>
      </c>
      <c r="BV40" s="549"/>
      <c r="BW40" s="571"/>
      <c r="BX40" s="571"/>
      <c r="CM40" s="398"/>
    </row>
    <row r="41" spans="30:91">
      <c r="BD41" s="398"/>
      <c r="BF41" s="960">
        <v>42551</v>
      </c>
      <c r="BG41" s="822">
        <v>2694076</v>
      </c>
      <c r="BH41" s="822">
        <v>1480807</v>
      </c>
      <c r="BI41" s="822">
        <v>466584</v>
      </c>
      <c r="BJ41" s="822">
        <v>746685</v>
      </c>
      <c r="BK41" s="398"/>
      <c r="BL41" s="398"/>
      <c r="BM41" s="398"/>
      <c r="BN41" s="398"/>
      <c r="BO41" s="960">
        <v>42551</v>
      </c>
      <c r="BP41" s="961">
        <v>3230997</v>
      </c>
      <c r="BQ41" s="961">
        <v>594959</v>
      </c>
      <c r="BR41" s="961">
        <v>1335549</v>
      </c>
      <c r="BS41" s="967">
        <v>3.3</v>
      </c>
      <c r="BT41" s="961">
        <v>1300489</v>
      </c>
      <c r="BU41" s="967">
        <v>73.599999999999994</v>
      </c>
      <c r="BV41" s="549"/>
      <c r="BW41" s="571"/>
      <c r="BX41" s="571"/>
      <c r="CM41" s="398"/>
    </row>
    <row r="42" spans="30:91">
      <c r="BD42" s="398"/>
      <c r="BE42" s="825"/>
      <c r="BF42" s="960">
        <v>42643</v>
      </c>
      <c r="BG42" s="822">
        <v>2854144</v>
      </c>
      <c r="BH42" s="822">
        <v>1569725</v>
      </c>
      <c r="BI42" s="822">
        <v>506477</v>
      </c>
      <c r="BJ42" s="822">
        <v>777942</v>
      </c>
      <c r="BK42" s="398"/>
      <c r="BL42" s="398"/>
      <c r="BM42" s="398"/>
      <c r="BN42" s="398"/>
      <c r="BO42" s="960">
        <v>42643</v>
      </c>
      <c r="BP42" s="961">
        <v>3205566</v>
      </c>
      <c r="BQ42" s="961">
        <v>592451</v>
      </c>
      <c r="BR42" s="961">
        <v>1319389</v>
      </c>
      <c r="BS42" s="967">
        <v>3.3</v>
      </c>
      <c r="BT42" s="961">
        <v>1293726</v>
      </c>
      <c r="BU42" s="967">
        <v>74</v>
      </c>
      <c r="BV42" s="549"/>
      <c r="BW42" s="822"/>
      <c r="BX42" s="571"/>
      <c r="CM42" s="987"/>
    </row>
    <row r="43" spans="30:91">
      <c r="BD43" s="398"/>
      <c r="BE43" s="989"/>
      <c r="BF43" s="990">
        <v>42735</v>
      </c>
      <c r="BG43" s="991">
        <v>2958361</v>
      </c>
      <c r="BH43" s="991">
        <v>1686041</v>
      </c>
      <c r="BI43" s="991">
        <v>507222</v>
      </c>
      <c r="BJ43" s="991">
        <v>765098</v>
      </c>
      <c r="BK43" s="398"/>
      <c r="BL43" s="398"/>
      <c r="BM43" s="398"/>
      <c r="BN43" s="387"/>
      <c r="BO43" s="990">
        <v>42735</v>
      </c>
      <c r="BP43" s="992">
        <v>3228468</v>
      </c>
      <c r="BQ43" s="992">
        <v>608773</v>
      </c>
      <c r="BR43" s="992">
        <v>1335835</v>
      </c>
      <c r="BS43" s="993">
        <v>2.2000000000000002</v>
      </c>
      <c r="BT43" s="992">
        <v>1283860</v>
      </c>
      <c r="BU43" s="993">
        <v>74.3</v>
      </c>
      <c r="BV43" s="571"/>
      <c r="BW43" s="571"/>
      <c r="BX43" s="583"/>
      <c r="CM43" s="987"/>
    </row>
    <row r="44" spans="30:91">
      <c r="BD44" s="398"/>
      <c r="BE44" s="562" t="s">
        <v>4540</v>
      </c>
      <c r="BF44" s="549"/>
      <c r="BG44" s="549"/>
      <c r="BH44" s="549"/>
      <c r="BI44" s="549"/>
      <c r="BJ44" s="549"/>
      <c r="BK44" s="398"/>
      <c r="BL44" s="398"/>
      <c r="BM44" s="398"/>
      <c r="BN44" s="562" t="s">
        <v>4540</v>
      </c>
      <c r="BO44" s="901"/>
      <c r="BP44" s="901"/>
      <c r="BQ44" s="901"/>
      <c r="BR44" s="901"/>
      <c r="BS44" s="901"/>
      <c r="BT44" s="901"/>
      <c r="BU44" s="901"/>
      <c r="BV44" s="571"/>
      <c r="BW44" s="571"/>
      <c r="BX44" s="822"/>
      <c r="CM44" s="398"/>
    </row>
    <row r="45" spans="30:91">
      <c r="AL45" s="398"/>
      <c r="AV45" s="398"/>
      <c r="AW45" s="398"/>
      <c r="AX45" s="398"/>
      <c r="AY45" s="398"/>
      <c r="AZ45" s="398"/>
      <c r="BA45" s="398"/>
      <c r="BB45" s="398"/>
      <c r="BC45" s="398"/>
      <c r="BD45" s="398"/>
      <c r="BE45" s="549" t="s">
        <v>4541</v>
      </c>
      <c r="BF45" s="549"/>
      <c r="BG45" s="549"/>
      <c r="BH45" s="549"/>
      <c r="BI45" s="549"/>
      <c r="BJ45" s="549"/>
      <c r="BK45" s="398"/>
      <c r="BL45" s="398"/>
      <c r="BM45" s="398"/>
      <c r="BN45" s="571" t="s">
        <v>4542</v>
      </c>
      <c r="BO45" s="960"/>
      <c r="BP45" s="961"/>
      <c r="BQ45" s="961"/>
      <c r="BR45" s="961"/>
      <c r="BS45" s="967"/>
      <c r="BT45" s="961"/>
      <c r="BU45" s="967"/>
      <c r="BV45" s="994"/>
      <c r="BW45" s="571"/>
      <c r="BX45" s="822"/>
      <c r="CM45" s="398"/>
    </row>
    <row r="46" spans="30:91">
      <c r="AV46" s="398"/>
      <c r="AW46" s="398"/>
      <c r="AX46" s="398"/>
      <c r="AY46" s="398"/>
      <c r="AZ46" s="398"/>
      <c r="BA46" s="398"/>
      <c r="BB46" s="398"/>
      <c r="BC46" s="398"/>
      <c r="BD46" s="398"/>
      <c r="BE46" s="549" t="s">
        <v>4543</v>
      </c>
      <c r="BF46" s="549"/>
      <c r="BG46" s="549"/>
      <c r="BH46" s="549"/>
      <c r="BI46" s="549"/>
      <c r="BJ46" s="549"/>
      <c r="BK46" s="398"/>
      <c r="BL46" s="398"/>
      <c r="BM46" s="398"/>
      <c r="BN46" s="549" t="s">
        <v>4544</v>
      </c>
      <c r="BO46" s="960"/>
      <c r="BP46" s="961"/>
      <c r="BQ46" s="961"/>
      <c r="BR46" s="961"/>
      <c r="BS46" s="967"/>
      <c r="BT46" s="961"/>
      <c r="BU46" s="967"/>
      <c r="BV46" s="901"/>
      <c r="BW46" s="549"/>
      <c r="BX46" s="549"/>
      <c r="CM46" s="398"/>
    </row>
    <row r="47" spans="30:91">
      <c r="BD47" s="398"/>
      <c r="BE47" s="571" t="s">
        <v>4542</v>
      </c>
      <c r="BF47" s="549"/>
      <c r="BG47" s="549"/>
      <c r="BH47" s="549"/>
      <c r="BI47" s="549"/>
      <c r="BJ47" s="549"/>
      <c r="BK47" s="398"/>
      <c r="BL47" s="398"/>
      <c r="BM47" s="398"/>
      <c r="BN47" s="549" t="s">
        <v>4545</v>
      </c>
      <c r="BO47" s="960"/>
      <c r="BP47" s="961"/>
      <c r="BQ47" s="961"/>
      <c r="BR47" s="961"/>
      <c r="BS47" s="967"/>
      <c r="BT47" s="961"/>
      <c r="BU47" s="967"/>
      <c r="BV47" s="967"/>
      <c r="BW47" s="549"/>
      <c r="BX47" s="549"/>
      <c r="CM47" s="398"/>
    </row>
    <row r="48" spans="30:91">
      <c r="BD48" s="398"/>
      <c r="BE48" s="571" t="s">
        <v>4546</v>
      </c>
      <c r="BF48" s="549"/>
      <c r="BG48" s="549"/>
      <c r="BH48" s="549"/>
      <c r="BI48" s="549"/>
      <c r="BJ48" s="549"/>
      <c r="BK48" s="398"/>
      <c r="BL48" s="398"/>
      <c r="BM48" s="398"/>
      <c r="BN48" s="549" t="s">
        <v>4547</v>
      </c>
      <c r="BO48" s="960"/>
      <c r="BP48" s="961"/>
      <c r="BQ48" s="961"/>
      <c r="BR48" s="961"/>
      <c r="BS48" s="967"/>
      <c r="BT48" s="961"/>
      <c r="BU48" s="967"/>
      <c r="BV48" s="967"/>
      <c r="BW48" s="549"/>
      <c r="BX48" s="549"/>
      <c r="CM48" s="398"/>
    </row>
    <row r="49" spans="38:76">
      <c r="BD49" s="398"/>
      <c r="BE49" s="549"/>
      <c r="BF49" s="549"/>
      <c r="BG49" s="549"/>
      <c r="BH49" s="549"/>
      <c r="BI49" s="549"/>
      <c r="BJ49" s="549"/>
      <c r="BK49" s="571"/>
      <c r="BL49" s="398"/>
      <c r="BM49" s="398"/>
      <c r="BN49" s="995" t="s">
        <v>4548</v>
      </c>
      <c r="BO49" s="549"/>
      <c r="BP49" s="549"/>
      <c r="BQ49" s="549"/>
      <c r="BR49" s="549"/>
      <c r="BS49" s="549"/>
      <c r="BT49" s="549"/>
      <c r="BU49" s="571"/>
      <c r="BV49" s="967"/>
      <c r="BW49" s="2171"/>
      <c r="BX49" s="2171"/>
    </row>
    <row r="50" spans="38:76">
      <c r="BD50" s="398"/>
      <c r="BF50" s="549"/>
      <c r="BG50" s="549"/>
      <c r="BH50" s="549"/>
      <c r="BI50" s="549"/>
      <c r="BJ50" s="549"/>
      <c r="BK50" s="571"/>
      <c r="BL50" s="398"/>
      <c r="BM50" s="398"/>
      <c r="BN50" s="549" t="s">
        <v>4549</v>
      </c>
      <c r="BO50" s="571"/>
      <c r="BP50" s="549"/>
      <c r="BQ50" s="549"/>
      <c r="BR50" s="549"/>
      <c r="BS50" s="549"/>
      <c r="BT50" s="549"/>
      <c r="BU50" s="549"/>
      <c r="BV50" s="967"/>
      <c r="BW50" s="901"/>
      <c r="BX50" s="901"/>
    </row>
    <row r="51" spans="38:76">
      <c r="BD51" s="398"/>
      <c r="BE51" s="398"/>
      <c r="BF51" s="398"/>
      <c r="BG51" s="398"/>
      <c r="BH51" s="398"/>
      <c r="BI51" s="398"/>
      <c r="BJ51" s="398"/>
      <c r="BK51" s="571"/>
      <c r="BL51" s="571"/>
      <c r="BM51" s="398"/>
      <c r="BN51" s="549" t="s">
        <v>4550</v>
      </c>
      <c r="BO51" s="571"/>
      <c r="BP51" s="549"/>
      <c r="BQ51" s="549"/>
      <c r="BR51" s="549"/>
      <c r="BS51" s="549"/>
      <c r="BT51" s="549"/>
      <c r="BU51" s="549"/>
      <c r="BV51" s="967"/>
      <c r="BW51" s="549"/>
      <c r="BX51" s="549"/>
    </row>
    <row r="52" spans="38:76" ht="12.75" customHeight="1">
      <c r="BD52" s="398"/>
      <c r="BE52" s="398"/>
      <c r="BF52" s="398"/>
      <c r="BG52" s="398"/>
      <c r="BH52" s="398"/>
      <c r="BI52" s="398"/>
      <c r="BJ52" s="398"/>
      <c r="BK52" s="901"/>
      <c r="BL52" s="901"/>
      <c r="BM52" s="398"/>
      <c r="BN52" s="549" t="s">
        <v>4551</v>
      </c>
      <c r="BO52" s="571"/>
      <c r="BP52" s="549"/>
      <c r="BQ52" s="549"/>
      <c r="BR52" s="549"/>
      <c r="BS52" s="549"/>
      <c r="BT52" s="549"/>
      <c r="BU52" s="549"/>
      <c r="BV52" s="967"/>
      <c r="BW52" s="549"/>
      <c r="BX52" s="549"/>
    </row>
    <row r="53" spans="38:76" ht="12.75" customHeight="1">
      <c r="AV53" s="398"/>
      <c r="AW53" s="398"/>
      <c r="AX53" s="398"/>
      <c r="AY53" s="398"/>
      <c r="AZ53" s="398"/>
      <c r="BA53" s="398"/>
      <c r="BB53" s="398"/>
      <c r="BC53" s="398"/>
      <c r="BD53" s="398"/>
      <c r="BE53" s="398"/>
      <c r="BF53" s="398"/>
      <c r="BG53" s="398"/>
      <c r="BH53" s="398"/>
      <c r="BI53" s="398"/>
      <c r="BJ53" s="398"/>
      <c r="BK53" s="961"/>
      <c r="BL53" s="967"/>
      <c r="BM53" s="398"/>
      <c r="BN53" s="549" t="s">
        <v>4552</v>
      </c>
      <c r="BO53" s="562"/>
      <c r="BP53" s="571"/>
      <c r="BQ53" s="571"/>
      <c r="BR53" s="571"/>
      <c r="BS53" s="571"/>
      <c r="BT53" s="571"/>
      <c r="BU53" s="549"/>
      <c r="BV53" s="967"/>
      <c r="BW53" s="549"/>
      <c r="BX53" s="549"/>
    </row>
    <row r="54" spans="38:76">
      <c r="AV54" s="398"/>
      <c r="AW54" s="398"/>
      <c r="AX54" s="398"/>
      <c r="AY54" s="398"/>
      <c r="AZ54" s="398"/>
      <c r="BA54" s="398"/>
      <c r="BB54" s="398"/>
      <c r="BC54" s="398"/>
      <c r="BD54" s="398"/>
      <c r="BE54" s="571"/>
      <c r="BF54" s="549"/>
      <c r="BG54" s="549"/>
      <c r="BH54" s="549"/>
      <c r="BI54" s="549"/>
      <c r="BJ54" s="571"/>
      <c r="BK54" s="961"/>
      <c r="BL54" s="967"/>
      <c r="BM54" s="398"/>
      <c r="BN54" s="571" t="s">
        <v>4553</v>
      </c>
      <c r="BP54" s="571"/>
      <c r="BQ54" s="571"/>
      <c r="BR54" s="571"/>
      <c r="BS54" s="571"/>
      <c r="BT54" s="571"/>
      <c r="BU54" s="549"/>
      <c r="BV54" s="967"/>
      <c r="BW54" s="549"/>
      <c r="BX54" s="549"/>
    </row>
    <row r="55" spans="38:76">
      <c r="AL55" s="398"/>
      <c r="AV55" s="398"/>
      <c r="AW55" s="398"/>
      <c r="AX55" s="398"/>
      <c r="AY55" s="398"/>
      <c r="AZ55" s="398"/>
      <c r="BA55" s="398"/>
      <c r="BB55" s="398"/>
      <c r="BC55" s="398"/>
      <c r="BD55" s="398"/>
      <c r="BE55" s="571"/>
      <c r="BF55" s="549"/>
      <c r="BG55" s="549"/>
      <c r="BH55" s="549"/>
      <c r="BI55" s="571"/>
      <c r="BJ55" s="571"/>
      <c r="BK55" s="961"/>
      <c r="BL55" s="967"/>
      <c r="BM55" s="398"/>
      <c r="BN55" s="571" t="s">
        <v>4554</v>
      </c>
      <c r="BO55" s="549"/>
      <c r="BP55" s="549"/>
      <c r="BQ55" s="549"/>
      <c r="BR55" s="549"/>
      <c r="BS55" s="549"/>
      <c r="BT55" s="549"/>
      <c r="BU55" s="549"/>
      <c r="BV55" s="967"/>
      <c r="BW55" s="549"/>
      <c r="BX55" s="549"/>
    </row>
    <row r="56" spans="38:76">
      <c r="AL56" s="515"/>
      <c r="AV56" s="398"/>
      <c r="AW56" s="398"/>
      <c r="AX56" s="398"/>
      <c r="AY56" s="398"/>
      <c r="AZ56" s="398"/>
      <c r="BA56" s="398"/>
      <c r="BB56" s="398"/>
      <c r="BC56" s="398"/>
      <c r="BD56" s="398"/>
      <c r="BE56" s="825"/>
      <c r="BF56" s="901"/>
      <c r="BG56" s="901"/>
      <c r="BH56" s="901"/>
      <c r="BI56" s="571"/>
      <c r="BJ56" s="571"/>
      <c r="BK56" s="961"/>
      <c r="BL56" s="967"/>
      <c r="BM56" s="398"/>
      <c r="BN56" s="549" t="s">
        <v>4555</v>
      </c>
      <c r="BO56" s="549"/>
      <c r="BP56" s="549"/>
      <c r="BQ56" s="549"/>
      <c r="BR56" s="549"/>
      <c r="BS56" s="549"/>
      <c r="BT56" s="549"/>
      <c r="BU56" s="549"/>
      <c r="BV56" s="967"/>
      <c r="BW56" s="549"/>
      <c r="BX56" s="549"/>
    </row>
    <row r="57" spans="38:76" ht="12.75" customHeight="1">
      <c r="AV57" s="398"/>
      <c r="AW57" s="398"/>
      <c r="AX57" s="398"/>
      <c r="AY57" s="398"/>
      <c r="AZ57" s="398"/>
      <c r="BA57" s="398"/>
      <c r="BB57" s="398"/>
      <c r="BC57" s="398"/>
      <c r="BD57" s="398"/>
      <c r="BE57" s="825"/>
      <c r="BF57" s="901"/>
      <c r="BG57" s="901"/>
      <c r="BH57" s="901"/>
      <c r="BI57" s="901"/>
      <c r="BJ57" s="901"/>
      <c r="BK57" s="961"/>
      <c r="BL57" s="967"/>
      <c r="BM57" s="398"/>
      <c r="BN57" s="549" t="s">
        <v>4556</v>
      </c>
      <c r="BO57" s="549"/>
      <c r="BP57" s="549"/>
      <c r="BQ57" s="549"/>
      <c r="BR57" s="549"/>
      <c r="BS57" s="549"/>
      <c r="BT57" s="549"/>
      <c r="BU57" s="549"/>
      <c r="BV57" s="967"/>
      <c r="BW57" s="549"/>
      <c r="BX57" s="549"/>
    </row>
    <row r="58" spans="38:76" ht="12.75" customHeight="1">
      <c r="AV58" s="398"/>
      <c r="AW58" s="398"/>
      <c r="AX58" s="398"/>
      <c r="AY58" s="398"/>
      <c r="AZ58" s="398"/>
      <c r="BA58" s="398"/>
      <c r="BB58" s="398"/>
      <c r="BC58" s="398"/>
      <c r="BD58" s="398"/>
      <c r="BE58" s="571"/>
      <c r="BF58" s="960"/>
      <c r="BG58" s="961"/>
      <c r="BH58" s="961"/>
      <c r="BI58" s="961"/>
      <c r="BJ58" s="967"/>
      <c r="BK58" s="961"/>
      <c r="BL58" s="967"/>
      <c r="BM58" s="398"/>
      <c r="BN58" s="549"/>
      <c r="BO58" s="571"/>
      <c r="BP58" s="549"/>
      <c r="BQ58" s="549"/>
      <c r="BR58" s="549"/>
      <c r="BS58" s="549"/>
      <c r="BT58" s="571"/>
      <c r="BU58" s="571"/>
      <c r="BV58" s="967"/>
      <c r="BW58" s="549"/>
      <c r="BX58" s="549"/>
    </row>
    <row r="59" spans="38:76">
      <c r="BD59" s="398"/>
      <c r="BE59" s="571"/>
      <c r="BF59" s="960"/>
      <c r="BG59" s="961"/>
      <c r="BH59" s="961"/>
      <c r="BI59" s="961"/>
      <c r="BJ59" s="967"/>
      <c r="BK59" s="961"/>
      <c r="BL59" s="967"/>
      <c r="BM59" s="398"/>
      <c r="BN59" s="549"/>
      <c r="BO59" s="571"/>
      <c r="BP59" s="549"/>
      <c r="BQ59" s="549"/>
      <c r="BR59" s="549"/>
      <c r="BS59" s="571"/>
      <c r="BT59" s="571"/>
      <c r="BU59" s="571"/>
      <c r="BV59" s="967"/>
      <c r="BW59" s="549"/>
      <c r="BX59" s="549"/>
    </row>
    <row r="60" spans="38:76">
      <c r="BD60" s="398"/>
      <c r="BE60" s="825"/>
      <c r="BF60" s="960"/>
      <c r="BG60" s="961"/>
      <c r="BH60" s="961"/>
      <c r="BI60" s="961"/>
      <c r="BJ60" s="967"/>
      <c r="BK60" s="961"/>
      <c r="BL60" s="967"/>
      <c r="BM60" s="398"/>
      <c r="BN60" s="549"/>
      <c r="BO60" s="825"/>
      <c r="BP60" s="901"/>
      <c r="BQ60" s="901"/>
      <c r="BR60" s="901"/>
      <c r="BS60" s="2171"/>
      <c r="BT60" s="2171"/>
      <c r="BU60" s="994"/>
      <c r="BV60" s="967"/>
      <c r="BW60" s="549"/>
      <c r="BX60" s="549"/>
    </row>
    <row r="61" spans="38:76">
      <c r="BD61" s="398"/>
      <c r="BE61" s="825"/>
      <c r="BF61" s="960"/>
      <c r="BG61" s="961"/>
      <c r="BH61" s="961"/>
      <c r="BI61" s="961"/>
      <c r="BJ61" s="967"/>
      <c r="BK61" s="961"/>
      <c r="BL61" s="967"/>
      <c r="BM61" s="398"/>
      <c r="BN61" s="398"/>
      <c r="BO61" s="825"/>
      <c r="BP61" s="901"/>
      <c r="BQ61" s="901"/>
      <c r="BR61" s="901"/>
      <c r="BS61" s="901"/>
      <c r="BT61" s="901"/>
      <c r="BU61" s="901"/>
      <c r="BV61" s="901"/>
      <c r="BW61" s="549"/>
      <c r="BX61" s="549"/>
    </row>
    <row r="62" spans="38:76">
      <c r="BD62" s="398"/>
      <c r="BE62" s="825"/>
      <c r="BF62" s="960"/>
      <c r="BG62" s="961"/>
      <c r="BH62" s="961"/>
      <c r="BI62" s="961"/>
      <c r="BJ62" s="967"/>
      <c r="BK62" s="961"/>
      <c r="BL62" s="967"/>
      <c r="BM62" s="398"/>
      <c r="BN62" s="398"/>
      <c r="BO62" s="571"/>
      <c r="BP62" s="960"/>
      <c r="BQ62" s="961"/>
      <c r="BR62" s="961"/>
      <c r="BS62" s="961"/>
      <c r="BT62" s="967"/>
      <c r="BU62" s="961"/>
      <c r="BV62" s="967"/>
      <c r="BW62" s="549"/>
      <c r="BX62" s="549"/>
    </row>
    <row r="63" spans="38:76">
      <c r="AL63" s="398"/>
      <c r="BD63" s="385"/>
      <c r="BE63" s="571"/>
      <c r="BF63" s="960"/>
      <c r="BG63" s="961"/>
      <c r="BH63" s="961"/>
      <c r="BI63" s="961"/>
      <c r="BJ63" s="967"/>
      <c r="BK63" s="961"/>
      <c r="BL63" s="967"/>
      <c r="BM63" s="385"/>
      <c r="BN63" s="398"/>
      <c r="BO63" s="571"/>
      <c r="BP63" s="960"/>
      <c r="BQ63" s="961"/>
      <c r="BR63" s="961"/>
      <c r="BS63" s="961"/>
      <c r="BT63" s="967"/>
      <c r="BU63" s="961"/>
      <c r="BV63" s="967"/>
      <c r="BW63" s="549"/>
      <c r="BX63" s="549"/>
    </row>
    <row r="64" spans="38:76">
      <c r="BD64" s="398"/>
      <c r="BE64" s="571"/>
      <c r="BF64" s="960"/>
      <c r="BG64" s="961"/>
      <c r="BH64" s="961"/>
      <c r="BI64" s="961"/>
      <c r="BJ64" s="967"/>
      <c r="BK64" s="961"/>
      <c r="BL64" s="967"/>
      <c r="BM64" s="398"/>
      <c r="BN64" s="398"/>
      <c r="BO64" s="825"/>
      <c r="BP64" s="960"/>
      <c r="BQ64" s="961"/>
      <c r="BR64" s="961"/>
      <c r="BS64" s="961"/>
      <c r="BT64" s="967"/>
      <c r="BU64" s="961"/>
      <c r="BV64" s="967"/>
      <c r="BW64" s="549"/>
      <c r="BX64" s="549"/>
    </row>
    <row r="65" spans="38:76">
      <c r="AV65" s="398"/>
      <c r="AW65" s="398"/>
      <c r="AX65" s="398"/>
      <c r="AY65" s="398"/>
      <c r="AZ65" s="398"/>
      <c r="BA65" s="398"/>
      <c r="BB65" s="398"/>
      <c r="BC65" s="398"/>
      <c r="BD65" s="398"/>
      <c r="BE65" s="825"/>
      <c r="BF65" s="960"/>
      <c r="BG65" s="961"/>
      <c r="BH65" s="961"/>
      <c r="BI65" s="961"/>
      <c r="BJ65" s="967"/>
      <c r="BK65" s="961"/>
      <c r="BL65" s="967"/>
      <c r="BM65" s="398"/>
      <c r="BN65" s="398"/>
      <c r="BO65" s="825"/>
      <c r="BP65" s="960"/>
      <c r="BQ65" s="961"/>
      <c r="BR65" s="961"/>
      <c r="BS65" s="961"/>
      <c r="BT65" s="967"/>
      <c r="BU65" s="961"/>
      <c r="BV65" s="967"/>
      <c r="BW65" s="549"/>
      <c r="BX65" s="549"/>
    </row>
    <row r="66" spans="38:76">
      <c r="AV66" s="398"/>
      <c r="AW66" s="398"/>
      <c r="AX66" s="398"/>
      <c r="AY66" s="398"/>
      <c r="AZ66" s="398"/>
      <c r="BA66" s="398"/>
      <c r="BB66" s="398"/>
      <c r="BC66" s="398"/>
      <c r="BD66" s="398"/>
      <c r="BE66" s="825"/>
      <c r="BF66" s="960"/>
      <c r="BG66" s="961"/>
      <c r="BH66" s="961"/>
      <c r="BI66" s="961"/>
      <c r="BJ66" s="967"/>
      <c r="BK66" s="961"/>
      <c r="BL66" s="967"/>
      <c r="BM66" s="398"/>
      <c r="BN66" s="398"/>
      <c r="BO66" s="825"/>
      <c r="BP66" s="960"/>
      <c r="BQ66" s="961"/>
      <c r="BR66" s="961"/>
      <c r="BS66" s="961"/>
      <c r="BT66" s="967"/>
      <c r="BU66" s="961"/>
      <c r="BV66" s="901"/>
      <c r="BW66" s="549"/>
      <c r="BX66" s="549"/>
    </row>
    <row r="67" spans="38:76">
      <c r="AV67" s="398"/>
      <c r="AW67" s="398"/>
      <c r="AX67" s="398"/>
      <c r="AY67" s="398"/>
      <c r="AZ67" s="398"/>
      <c r="BA67" s="398"/>
      <c r="BB67" s="398"/>
      <c r="BC67" s="398"/>
      <c r="BD67" s="398"/>
      <c r="BE67" s="825"/>
      <c r="BF67" s="960"/>
      <c r="BG67" s="961"/>
      <c r="BH67" s="961"/>
      <c r="BI67" s="961"/>
      <c r="BJ67" s="967"/>
      <c r="BK67" s="901"/>
      <c r="BL67" s="901"/>
      <c r="BM67" s="398"/>
      <c r="BN67" s="398"/>
      <c r="BO67" s="571"/>
      <c r="BP67" s="960"/>
      <c r="BQ67" s="961"/>
      <c r="BR67" s="961"/>
      <c r="BS67" s="961"/>
      <c r="BT67" s="967"/>
      <c r="BU67" s="961"/>
      <c r="BV67" s="996"/>
      <c r="BW67" s="549"/>
      <c r="BX67" s="549"/>
    </row>
    <row r="68" spans="38:76">
      <c r="AV68" s="398"/>
      <c r="AW68" s="398"/>
      <c r="AX68" s="398"/>
      <c r="AY68" s="398"/>
      <c r="AZ68" s="398"/>
      <c r="BA68" s="398"/>
      <c r="BB68" s="398"/>
      <c r="BC68" s="398"/>
      <c r="BD68" s="398"/>
      <c r="BE68" s="571"/>
      <c r="BF68" s="960"/>
      <c r="BG68" s="961"/>
      <c r="BH68" s="961"/>
      <c r="BI68" s="961"/>
      <c r="BJ68" s="967"/>
      <c r="BK68" s="961"/>
      <c r="BL68" s="967"/>
      <c r="BM68" s="398"/>
      <c r="BN68" s="398"/>
      <c r="BO68" s="571"/>
      <c r="BP68" s="960"/>
      <c r="BQ68" s="961"/>
      <c r="BR68" s="961"/>
      <c r="BS68" s="961"/>
      <c r="BT68" s="967"/>
      <c r="BU68" s="961"/>
      <c r="BV68" s="996"/>
      <c r="BW68" s="549"/>
      <c r="BX68" s="549"/>
    </row>
    <row r="69" spans="38:76">
      <c r="AR69" s="398"/>
      <c r="AS69" s="398"/>
      <c r="AT69" s="398"/>
      <c r="AU69" s="398"/>
      <c r="AV69" s="398"/>
      <c r="AW69" s="398"/>
      <c r="AX69" s="398"/>
      <c r="AY69" s="398"/>
      <c r="AZ69" s="398"/>
      <c r="BA69" s="398"/>
      <c r="BB69" s="398"/>
      <c r="BC69" s="398"/>
      <c r="BD69" s="398"/>
      <c r="BE69" s="571"/>
      <c r="BF69" s="960"/>
      <c r="BG69" s="961"/>
      <c r="BH69" s="961"/>
      <c r="BI69" s="961"/>
      <c r="BJ69" s="967"/>
      <c r="BK69" s="961"/>
      <c r="BL69" s="967"/>
      <c r="BM69" s="398"/>
      <c r="BN69" s="398"/>
      <c r="BO69" s="825"/>
      <c r="BP69" s="960"/>
      <c r="BQ69" s="961"/>
      <c r="BR69" s="961"/>
      <c r="BS69" s="961"/>
      <c r="BT69" s="967"/>
      <c r="BU69" s="961"/>
      <c r="BV69" s="996"/>
      <c r="BW69" s="549"/>
      <c r="BX69" s="549"/>
    </row>
    <row r="70" spans="38:76">
      <c r="AR70" s="943"/>
      <c r="AS70" s="943"/>
      <c r="AT70" s="943"/>
      <c r="AU70" s="943"/>
      <c r="AV70" s="943"/>
      <c r="AW70" s="943"/>
      <c r="AX70" s="943"/>
      <c r="AY70" s="943"/>
      <c r="AZ70" s="943"/>
      <c r="BA70" s="943"/>
      <c r="BB70" s="943"/>
      <c r="BC70" s="943"/>
      <c r="BD70" s="398"/>
      <c r="BE70" s="825"/>
      <c r="BF70" s="960"/>
      <c r="BG70" s="961"/>
      <c r="BH70" s="961"/>
      <c r="BI70" s="961"/>
      <c r="BJ70" s="967"/>
      <c r="BK70" s="961"/>
      <c r="BL70" s="967"/>
      <c r="BM70" s="398"/>
      <c r="BN70" s="398"/>
      <c r="BO70" s="825"/>
      <c r="BP70" s="960"/>
      <c r="BQ70" s="961"/>
      <c r="BR70" s="961"/>
      <c r="BS70" s="961"/>
      <c r="BT70" s="967"/>
      <c r="BU70" s="961"/>
      <c r="BV70" s="996"/>
      <c r="BW70" s="549"/>
      <c r="BX70" s="549"/>
    </row>
    <row r="71" spans="38:76">
      <c r="AR71" s="398"/>
      <c r="AS71" s="398"/>
      <c r="AT71" s="398"/>
      <c r="AU71" s="398"/>
      <c r="AV71" s="398"/>
      <c r="AW71" s="398"/>
      <c r="AX71" s="398"/>
      <c r="AY71" s="398"/>
      <c r="AZ71" s="398"/>
      <c r="BA71" s="398"/>
      <c r="BB71" s="398"/>
      <c r="BC71" s="398"/>
      <c r="BD71" s="463"/>
      <c r="BE71" s="825"/>
      <c r="BF71" s="960"/>
      <c r="BG71" s="961"/>
      <c r="BH71" s="961"/>
      <c r="BI71" s="961"/>
      <c r="BJ71" s="967"/>
      <c r="BK71" s="961"/>
      <c r="BL71" s="967"/>
      <c r="BM71" s="463"/>
      <c r="BN71" s="398"/>
      <c r="BO71" s="825"/>
      <c r="BP71" s="960"/>
      <c r="BQ71" s="961"/>
      <c r="BR71" s="961"/>
      <c r="BS71" s="961"/>
      <c r="BT71" s="967"/>
      <c r="BU71" s="961"/>
      <c r="BV71" s="901"/>
      <c r="BW71" s="549"/>
      <c r="BX71" s="549"/>
    </row>
    <row r="72" spans="38:76">
      <c r="AR72" s="398"/>
      <c r="AS72" s="398"/>
      <c r="AT72" s="398"/>
      <c r="AU72" s="398"/>
      <c r="AV72" s="398"/>
      <c r="AW72" s="398"/>
      <c r="AX72" s="398"/>
      <c r="AY72" s="398"/>
      <c r="AZ72" s="398"/>
      <c r="BA72" s="398"/>
      <c r="BB72" s="398"/>
      <c r="BC72" s="398"/>
      <c r="BD72" s="463"/>
      <c r="BE72" s="825"/>
      <c r="BF72" s="901"/>
      <c r="BG72" s="901"/>
      <c r="BH72" s="901"/>
      <c r="BI72" s="901"/>
      <c r="BJ72" s="901"/>
      <c r="BK72" s="901"/>
      <c r="BL72" s="901"/>
      <c r="BM72" s="463"/>
      <c r="BN72" s="398"/>
      <c r="BO72" s="825"/>
      <c r="BP72" s="960"/>
      <c r="BQ72" s="961"/>
      <c r="BR72" s="961"/>
      <c r="BS72" s="961"/>
      <c r="BT72" s="967"/>
      <c r="BU72" s="961"/>
      <c r="BV72" s="996"/>
      <c r="BW72" s="549"/>
      <c r="BX72" s="549"/>
    </row>
    <row r="73" spans="38:76">
      <c r="AL73" s="398"/>
      <c r="AM73" s="398"/>
      <c r="AN73" s="398"/>
      <c r="AO73" s="398"/>
      <c r="AP73" s="398"/>
      <c r="AQ73" s="398"/>
      <c r="AR73" s="754"/>
      <c r="AS73" s="754"/>
      <c r="AT73" s="754"/>
      <c r="AU73" s="754"/>
      <c r="AV73" s="754"/>
      <c r="AW73" s="754"/>
      <c r="AX73" s="754"/>
      <c r="AY73" s="754"/>
      <c r="AZ73" s="754"/>
      <c r="BA73" s="754"/>
      <c r="BB73" s="754"/>
      <c r="BC73" s="754"/>
      <c r="BD73" s="398"/>
      <c r="BE73" s="571"/>
      <c r="BF73" s="960"/>
      <c r="BG73" s="961"/>
      <c r="BH73" s="961"/>
      <c r="BI73" s="961"/>
      <c r="BJ73" s="967"/>
      <c r="BK73" s="961"/>
      <c r="BL73" s="967"/>
      <c r="BM73" s="398"/>
      <c r="BN73" s="398"/>
      <c r="BO73" s="825"/>
      <c r="BP73" s="960"/>
      <c r="BQ73" s="961"/>
      <c r="BR73" s="961"/>
      <c r="BS73" s="961"/>
      <c r="BT73" s="967"/>
      <c r="BU73" s="961"/>
      <c r="BV73" s="996"/>
      <c r="BW73" s="549"/>
      <c r="BX73" s="549"/>
    </row>
    <row r="74" spans="38:76">
      <c r="AL74" s="398"/>
      <c r="AM74" s="398"/>
      <c r="AN74" s="398"/>
      <c r="AO74" s="398"/>
      <c r="AP74" s="398"/>
      <c r="AQ74" s="398"/>
      <c r="AR74" s="754"/>
      <c r="AS74" s="754"/>
      <c r="AT74" s="754"/>
      <c r="AU74" s="754"/>
      <c r="AV74" s="754"/>
      <c r="AW74" s="754"/>
      <c r="AX74" s="754"/>
      <c r="AY74" s="754"/>
      <c r="AZ74" s="754"/>
      <c r="BA74" s="754"/>
      <c r="BB74" s="754"/>
      <c r="BC74" s="754"/>
      <c r="BD74" s="398"/>
      <c r="BE74" s="571"/>
      <c r="BF74" s="960"/>
      <c r="BG74" s="961"/>
      <c r="BH74" s="961"/>
      <c r="BI74" s="961"/>
      <c r="BJ74" s="967"/>
      <c r="BK74" s="961"/>
      <c r="BL74" s="967"/>
      <c r="BM74" s="398"/>
      <c r="BN74" s="398"/>
      <c r="BO74" s="825"/>
      <c r="BP74" s="960"/>
      <c r="BQ74" s="961"/>
      <c r="BR74" s="961"/>
      <c r="BS74" s="961"/>
      <c r="BT74" s="967"/>
      <c r="BU74" s="961"/>
      <c r="BV74" s="996"/>
      <c r="BW74" s="549"/>
      <c r="BX74" s="549"/>
    </row>
    <row r="75" spans="38:76">
      <c r="AL75" s="398"/>
      <c r="AM75" s="398"/>
      <c r="AN75" s="398"/>
      <c r="AO75" s="398"/>
      <c r="AP75" s="398"/>
      <c r="AQ75" s="398"/>
      <c r="AR75" s="398"/>
      <c r="AS75" s="398"/>
      <c r="AT75" s="398"/>
      <c r="AU75" s="398"/>
      <c r="AV75" s="398"/>
      <c r="AW75" s="398"/>
      <c r="AX75" s="398"/>
      <c r="AY75" s="398"/>
      <c r="AZ75" s="398"/>
      <c r="BA75" s="398"/>
      <c r="BB75" s="398"/>
      <c r="BC75" s="398"/>
      <c r="BD75" s="398"/>
      <c r="BE75" s="825"/>
      <c r="BF75" s="960"/>
      <c r="BG75" s="961"/>
      <c r="BH75" s="961"/>
      <c r="BI75" s="961"/>
      <c r="BJ75" s="967"/>
      <c r="BK75" s="961"/>
      <c r="BL75" s="967"/>
      <c r="BM75" s="398"/>
      <c r="BN75" s="398"/>
      <c r="BO75" s="825"/>
      <c r="BP75" s="960"/>
      <c r="BQ75" s="961"/>
      <c r="BR75" s="961"/>
      <c r="BS75" s="961"/>
      <c r="BT75" s="967"/>
      <c r="BU75" s="961"/>
      <c r="BV75" s="996"/>
      <c r="BW75" s="549"/>
      <c r="BX75" s="549"/>
    </row>
    <row r="76" spans="38:76">
      <c r="AR76" s="398"/>
      <c r="AS76" s="398"/>
      <c r="AT76" s="398"/>
      <c r="AU76" s="398"/>
      <c r="AV76" s="398"/>
      <c r="AW76" s="398"/>
      <c r="AX76" s="398"/>
      <c r="AY76" s="398"/>
      <c r="AZ76" s="398"/>
      <c r="BA76" s="398"/>
      <c r="BB76" s="398"/>
      <c r="BC76" s="398"/>
      <c r="BD76" s="398"/>
      <c r="BE76" s="825"/>
      <c r="BF76" s="960"/>
      <c r="BG76" s="961"/>
      <c r="BH76" s="961"/>
      <c r="BI76" s="961"/>
      <c r="BJ76" s="967"/>
      <c r="BK76" s="961"/>
      <c r="BL76" s="967"/>
      <c r="BM76" s="398"/>
      <c r="BN76" s="398"/>
      <c r="BO76" s="825"/>
      <c r="BP76" s="901"/>
      <c r="BQ76" s="901"/>
      <c r="BR76" s="901"/>
      <c r="BS76" s="901"/>
      <c r="BT76" s="901"/>
      <c r="BU76" s="901"/>
      <c r="BV76" s="549"/>
      <c r="BW76" s="549"/>
      <c r="BX76" s="549"/>
    </row>
    <row r="77" spans="38:76">
      <c r="AR77" s="398"/>
      <c r="AS77" s="398"/>
      <c r="AT77" s="398"/>
      <c r="AU77" s="398"/>
      <c r="AV77" s="398"/>
      <c r="AW77" s="398"/>
      <c r="AX77" s="398"/>
      <c r="AY77" s="398"/>
      <c r="AZ77" s="398"/>
      <c r="BA77" s="398"/>
      <c r="BB77" s="398"/>
      <c r="BC77" s="398"/>
      <c r="BD77" s="398"/>
      <c r="BE77" s="825"/>
      <c r="BF77" s="901"/>
      <c r="BG77" s="901"/>
      <c r="BH77" s="901"/>
      <c r="BI77" s="901"/>
      <c r="BJ77" s="901"/>
      <c r="BK77" s="901"/>
      <c r="BL77" s="901"/>
      <c r="BM77" s="398"/>
      <c r="BN77" s="398"/>
      <c r="BP77" s="960"/>
      <c r="BQ77" s="961"/>
      <c r="BR77" s="961"/>
      <c r="BS77" s="961"/>
      <c r="BT77" s="967"/>
      <c r="BU77" s="961"/>
      <c r="BV77" s="549"/>
      <c r="BW77" s="549"/>
      <c r="BX77" s="549"/>
    </row>
    <row r="78" spans="38:76">
      <c r="AR78" s="398"/>
      <c r="AS78" s="398"/>
      <c r="AT78" s="398"/>
      <c r="AU78" s="398"/>
      <c r="AV78" s="398"/>
      <c r="AW78" s="398"/>
      <c r="AX78" s="398"/>
      <c r="AY78" s="398"/>
      <c r="AZ78" s="398"/>
      <c r="BA78" s="398"/>
      <c r="BB78" s="398"/>
      <c r="BC78" s="398"/>
      <c r="BD78" s="398"/>
      <c r="BE78" s="571"/>
      <c r="BF78" s="960"/>
      <c r="BG78" s="961"/>
      <c r="BH78" s="961"/>
      <c r="BI78" s="961"/>
      <c r="BJ78" s="967"/>
      <c r="BK78" s="961"/>
      <c r="BL78" s="967"/>
      <c r="BM78" s="398"/>
      <c r="BN78" s="385"/>
      <c r="BP78" s="960"/>
      <c r="BQ78" s="961"/>
      <c r="BR78" s="961"/>
      <c r="BS78" s="961"/>
      <c r="BT78" s="967"/>
      <c r="BU78" s="961"/>
      <c r="BV78" s="549"/>
      <c r="BW78" s="549"/>
      <c r="BX78" s="549"/>
    </row>
    <row r="79" spans="38:76">
      <c r="AR79" s="515"/>
      <c r="AS79" s="515"/>
      <c r="AT79" s="515"/>
      <c r="AU79" s="515"/>
      <c r="AV79" s="515"/>
      <c r="AW79" s="515"/>
      <c r="AX79" s="515"/>
      <c r="AY79" s="515"/>
      <c r="AZ79" s="515"/>
      <c r="BA79" s="515"/>
      <c r="BB79" s="515"/>
      <c r="BC79" s="515"/>
      <c r="BD79" s="398"/>
      <c r="BE79" s="571"/>
      <c r="BF79" s="960"/>
      <c r="BG79" s="961"/>
      <c r="BH79" s="961"/>
      <c r="BI79" s="961"/>
      <c r="BJ79" s="967"/>
      <c r="BK79" s="961"/>
      <c r="BL79" s="967"/>
      <c r="BM79" s="398"/>
      <c r="BN79" s="398"/>
      <c r="BO79" s="825"/>
      <c r="BP79" s="960"/>
      <c r="BQ79" s="961"/>
      <c r="BR79" s="961"/>
      <c r="BS79" s="961"/>
      <c r="BT79" s="967"/>
      <c r="BU79" s="961"/>
      <c r="BV79" s="549"/>
      <c r="BW79" s="549"/>
      <c r="BX79" s="549"/>
    </row>
    <row r="80" spans="38:76">
      <c r="BD80" s="398"/>
      <c r="BE80" s="825"/>
      <c r="BF80" s="960"/>
      <c r="BG80" s="961"/>
      <c r="BH80" s="961"/>
      <c r="BI80" s="961"/>
      <c r="BJ80" s="967"/>
      <c r="BK80" s="961"/>
      <c r="BL80" s="967"/>
      <c r="BM80" s="398"/>
      <c r="BN80" s="398"/>
      <c r="BO80" s="825"/>
      <c r="BP80" s="960"/>
      <c r="BQ80" s="961"/>
      <c r="BR80" s="961"/>
      <c r="BS80" s="961"/>
      <c r="BT80" s="967"/>
      <c r="BU80" s="961"/>
      <c r="BV80" s="549"/>
      <c r="BW80" s="549"/>
      <c r="BX80" s="549"/>
    </row>
    <row r="81" spans="38:76">
      <c r="AR81" s="398"/>
      <c r="AS81" s="398"/>
      <c r="AT81" s="398"/>
      <c r="AU81" s="398"/>
      <c r="AV81" s="398"/>
      <c r="AW81" s="398"/>
      <c r="AX81" s="398"/>
      <c r="AY81" s="398"/>
      <c r="AZ81" s="398"/>
      <c r="BA81" s="398"/>
      <c r="BB81" s="398"/>
      <c r="BC81" s="398"/>
      <c r="BD81" s="398"/>
      <c r="BE81" s="825"/>
      <c r="BF81" s="960"/>
      <c r="BG81" s="961"/>
      <c r="BH81" s="961"/>
      <c r="BI81" s="961"/>
      <c r="BJ81" s="967"/>
      <c r="BK81" s="961"/>
      <c r="BL81" s="967"/>
      <c r="BM81" s="398"/>
      <c r="BN81" s="398"/>
      <c r="BO81" s="825"/>
      <c r="BP81" s="901"/>
      <c r="BQ81" s="901"/>
      <c r="BR81" s="901"/>
      <c r="BS81" s="901"/>
      <c r="BT81" s="901"/>
      <c r="BU81" s="901"/>
      <c r="BV81" s="549"/>
      <c r="BW81" s="549"/>
      <c r="BX81" s="549"/>
    </row>
    <row r="82" spans="38:76">
      <c r="BD82" s="398"/>
      <c r="BE82" s="825"/>
      <c r="BF82" s="901"/>
      <c r="BG82" s="901"/>
      <c r="BH82" s="901"/>
      <c r="BI82" s="901"/>
      <c r="BJ82" s="901"/>
      <c r="BK82" s="549"/>
      <c r="BL82" s="549"/>
      <c r="BM82" s="398"/>
      <c r="BN82" s="398"/>
      <c r="BP82" s="960"/>
      <c r="BQ82" s="981"/>
      <c r="BR82" s="981"/>
      <c r="BS82" s="981"/>
      <c r="BT82" s="996"/>
      <c r="BU82" s="981"/>
      <c r="BV82" s="571"/>
      <c r="BW82" s="549"/>
      <c r="BX82" s="549"/>
    </row>
    <row r="83" spans="38:76">
      <c r="BD83" s="398"/>
      <c r="BF83" s="960"/>
      <c r="BG83" s="961"/>
      <c r="BH83" s="961"/>
      <c r="BI83" s="961"/>
      <c r="BJ83" s="967"/>
      <c r="BK83" s="549"/>
      <c r="BL83" s="549"/>
      <c r="BM83" s="398"/>
      <c r="BN83" s="398"/>
      <c r="BP83" s="960"/>
      <c r="BQ83" s="981"/>
      <c r="BR83" s="981"/>
      <c r="BS83" s="981"/>
      <c r="BT83" s="996"/>
      <c r="BU83" s="981"/>
      <c r="BV83" s="571"/>
      <c r="BW83" s="549"/>
      <c r="BX83" s="549"/>
    </row>
    <row r="84" spans="38:76">
      <c r="BD84" s="398"/>
      <c r="BF84" s="960"/>
      <c r="BG84" s="961"/>
      <c r="BH84" s="961"/>
      <c r="BI84" s="961"/>
      <c r="BJ84" s="967"/>
      <c r="BK84" s="549"/>
      <c r="BL84" s="549"/>
      <c r="BM84" s="398"/>
      <c r="BN84" s="398"/>
      <c r="BO84" s="825"/>
      <c r="BP84" s="960"/>
      <c r="BQ84" s="981"/>
      <c r="BR84" s="981"/>
      <c r="BS84" s="981"/>
      <c r="BT84" s="996"/>
      <c r="BU84" s="981"/>
      <c r="BV84" s="571"/>
      <c r="BW84" s="549"/>
      <c r="BX84" s="549"/>
    </row>
    <row r="85" spans="38:76">
      <c r="AL85" s="398"/>
      <c r="AM85" s="398"/>
      <c r="AN85" s="398"/>
      <c r="AO85" s="398"/>
      <c r="AP85" s="398"/>
      <c r="AQ85" s="398"/>
      <c r="BD85" s="398"/>
      <c r="BE85" s="825"/>
      <c r="BF85" s="960"/>
      <c r="BG85" s="961"/>
      <c r="BH85" s="961"/>
      <c r="BI85" s="961"/>
      <c r="BJ85" s="967"/>
      <c r="BK85" s="549"/>
      <c r="BL85" s="549"/>
      <c r="BM85" s="398"/>
      <c r="BN85" s="398"/>
      <c r="BO85" s="825"/>
      <c r="BP85" s="960"/>
      <c r="BQ85" s="981"/>
      <c r="BR85" s="981"/>
      <c r="BS85" s="981"/>
      <c r="BT85" s="996"/>
      <c r="BU85" s="981"/>
      <c r="BV85" s="571"/>
      <c r="BW85" s="571"/>
      <c r="BX85" s="571"/>
    </row>
    <row r="86" spans="38:76">
      <c r="AL86" s="398"/>
      <c r="AM86" s="398"/>
      <c r="AN86" s="398"/>
      <c r="AO86" s="398"/>
      <c r="AP86" s="398"/>
      <c r="AQ86" s="398"/>
      <c r="BD86" s="398"/>
      <c r="BE86" s="825"/>
      <c r="BF86" s="960"/>
      <c r="BG86" s="961"/>
      <c r="BH86" s="961"/>
      <c r="BI86" s="961"/>
      <c r="BJ86" s="967"/>
      <c r="BK86" s="549"/>
      <c r="BL86" s="549"/>
      <c r="BM86" s="398"/>
      <c r="BN86" s="463"/>
      <c r="BO86" s="825"/>
      <c r="BP86" s="901"/>
      <c r="BQ86" s="901"/>
      <c r="BR86" s="901"/>
      <c r="BS86" s="901"/>
      <c r="BT86" s="901"/>
      <c r="BU86" s="901"/>
      <c r="BV86" s="571"/>
      <c r="BW86" s="571"/>
      <c r="BX86" s="571"/>
    </row>
    <row r="87" spans="38:76">
      <c r="AL87" s="398"/>
      <c r="AM87" s="398"/>
      <c r="AN87" s="398"/>
      <c r="AO87" s="398"/>
      <c r="AP87" s="398"/>
      <c r="AQ87" s="398"/>
      <c r="BD87" s="398"/>
      <c r="BE87" s="562"/>
      <c r="BF87" s="549"/>
      <c r="BG87" s="549"/>
      <c r="BH87" s="549"/>
      <c r="BI87" s="549"/>
      <c r="BJ87" s="549"/>
      <c r="BK87" s="549"/>
      <c r="BL87" s="549"/>
      <c r="BM87" s="398"/>
      <c r="BN87" s="463"/>
      <c r="BP87" s="997"/>
      <c r="BQ87" s="822"/>
      <c r="BR87" s="822"/>
      <c r="BS87" s="822"/>
      <c r="BT87" s="901"/>
      <c r="BU87" s="822"/>
      <c r="BV87" s="571"/>
      <c r="BW87" s="571"/>
      <c r="BX87" s="571"/>
    </row>
    <row r="88" spans="38:76">
      <c r="BD88" s="398"/>
      <c r="BE88" s="571"/>
      <c r="BF88" s="549"/>
      <c r="BG88" s="549"/>
      <c r="BH88" s="549"/>
      <c r="BI88" s="549"/>
      <c r="BJ88" s="549"/>
      <c r="BK88" s="571"/>
      <c r="BL88" s="571"/>
      <c r="BM88" s="398"/>
      <c r="BN88" s="398"/>
      <c r="BP88" s="997"/>
      <c r="BQ88" s="822"/>
      <c r="BR88" s="822"/>
      <c r="BS88" s="822"/>
      <c r="BT88" s="901"/>
      <c r="BU88" s="822"/>
      <c r="BV88" s="571"/>
      <c r="BW88" s="571"/>
      <c r="BX88" s="571"/>
    </row>
    <row r="89" spans="38:76">
      <c r="BD89" s="398"/>
      <c r="BE89" s="549"/>
      <c r="BF89" s="549"/>
      <c r="BG89" s="549"/>
      <c r="BH89" s="549"/>
      <c r="BI89" s="549"/>
      <c r="BJ89" s="549"/>
      <c r="BK89" s="571"/>
      <c r="BL89" s="571"/>
      <c r="BM89" s="398"/>
      <c r="BN89" s="398"/>
      <c r="BO89" s="825"/>
      <c r="BP89" s="997"/>
      <c r="BQ89" s="822"/>
      <c r="BR89" s="822"/>
      <c r="BS89" s="822"/>
      <c r="BT89" s="901"/>
      <c r="BU89" s="822"/>
      <c r="BV89" s="571"/>
      <c r="BW89" s="571"/>
      <c r="BX89" s="571"/>
    </row>
    <row r="90" spans="38:76">
      <c r="BD90" s="398"/>
      <c r="BE90" s="549"/>
      <c r="BF90" s="549"/>
      <c r="BG90" s="549"/>
      <c r="BH90" s="549"/>
      <c r="BI90" s="549"/>
      <c r="BJ90" s="549"/>
      <c r="BK90" s="571"/>
      <c r="BL90" s="571"/>
      <c r="BM90" s="398"/>
      <c r="BN90" s="398"/>
      <c r="BO90" s="825"/>
      <c r="BP90" s="997"/>
      <c r="BQ90" s="822"/>
      <c r="BR90" s="822"/>
      <c r="BS90" s="822"/>
      <c r="BT90" s="901"/>
      <c r="BU90" s="822"/>
      <c r="BV90" s="571"/>
      <c r="BW90" s="571"/>
      <c r="BX90" s="571"/>
    </row>
    <row r="91" spans="38:76">
      <c r="AR91" s="398"/>
      <c r="AS91" s="398"/>
      <c r="AT91" s="398"/>
      <c r="AU91" s="398"/>
      <c r="AV91" s="398"/>
      <c r="AW91" s="398"/>
      <c r="AX91" s="398"/>
      <c r="AY91" s="398"/>
      <c r="AZ91" s="398"/>
      <c r="BA91" s="398"/>
      <c r="BB91" s="398"/>
      <c r="BC91" s="398"/>
      <c r="BD91" s="398"/>
      <c r="BE91" s="549"/>
      <c r="BF91" s="549"/>
      <c r="BG91" s="549"/>
      <c r="BH91" s="549"/>
      <c r="BI91" s="549"/>
      <c r="BJ91" s="549"/>
      <c r="BK91" s="571"/>
      <c r="BL91" s="571"/>
      <c r="BM91" s="398"/>
      <c r="BN91" s="398"/>
      <c r="BO91" s="562"/>
      <c r="BP91" s="549"/>
      <c r="BQ91" s="549"/>
      <c r="BR91" s="549"/>
      <c r="BS91" s="549"/>
      <c r="BT91" s="549"/>
      <c r="BU91" s="549"/>
      <c r="BW91" s="571"/>
      <c r="BX91" s="571"/>
    </row>
    <row r="92" spans="38:76">
      <c r="AR92" s="515"/>
      <c r="AS92" s="515"/>
      <c r="AT92" s="515"/>
      <c r="AU92" s="515"/>
      <c r="AV92" s="515"/>
      <c r="AW92" s="515"/>
      <c r="AX92" s="515"/>
      <c r="AY92" s="515"/>
      <c r="AZ92" s="515"/>
      <c r="BA92" s="515"/>
      <c r="BB92" s="515"/>
      <c r="BC92" s="515"/>
      <c r="BD92" s="398"/>
      <c r="BE92" s="995"/>
      <c r="BF92" s="549"/>
      <c r="BG92" s="549"/>
      <c r="BH92" s="549"/>
      <c r="BI92" s="549"/>
      <c r="BJ92" s="549"/>
      <c r="BK92" s="571"/>
      <c r="BL92" s="571"/>
      <c r="BM92" s="398"/>
      <c r="BN92" s="398"/>
      <c r="BO92" s="571"/>
      <c r="BP92" s="549"/>
      <c r="BQ92" s="549"/>
      <c r="BR92" s="549"/>
      <c r="BS92" s="549"/>
      <c r="BT92" s="549"/>
      <c r="BU92" s="549"/>
      <c r="BW92" s="571"/>
      <c r="BX92" s="571"/>
    </row>
    <row r="93" spans="38:76">
      <c r="AL93" s="398"/>
      <c r="AM93" s="398"/>
      <c r="AN93" s="398"/>
      <c r="AO93" s="398"/>
      <c r="AP93" s="398"/>
      <c r="AQ93" s="398"/>
      <c r="AR93" s="398"/>
      <c r="AS93" s="398"/>
      <c r="AT93" s="398"/>
      <c r="AU93" s="398"/>
      <c r="AV93" s="398"/>
      <c r="AW93" s="398"/>
      <c r="AX93" s="398"/>
      <c r="AY93" s="398"/>
      <c r="AZ93" s="398"/>
      <c r="BA93" s="398"/>
      <c r="BB93" s="398"/>
      <c r="BC93" s="398"/>
      <c r="BD93" s="398"/>
      <c r="BE93" s="549"/>
      <c r="BF93" s="571"/>
      <c r="BG93" s="571"/>
      <c r="BH93" s="571"/>
      <c r="BI93" s="571"/>
      <c r="BJ93" s="571"/>
      <c r="BK93" s="571"/>
      <c r="BL93" s="571"/>
      <c r="BM93" s="398"/>
      <c r="BN93" s="398"/>
      <c r="BO93" s="549"/>
      <c r="BP93" s="549"/>
      <c r="BQ93" s="549"/>
      <c r="BR93" s="549"/>
      <c r="BS93" s="549"/>
      <c r="BT93" s="549"/>
      <c r="BU93" s="549"/>
      <c r="BV93" s="571"/>
      <c r="BW93" s="571"/>
      <c r="BX93" s="571"/>
    </row>
    <row r="94" spans="38:76">
      <c r="AL94" s="398"/>
      <c r="AM94" s="398"/>
      <c r="AN94" s="398"/>
      <c r="AO94" s="398"/>
      <c r="AP94" s="398"/>
      <c r="AQ94" s="398"/>
      <c r="AR94" s="398"/>
      <c r="AS94" s="398"/>
      <c r="AT94" s="398"/>
      <c r="AU94" s="398"/>
      <c r="AV94" s="398"/>
      <c r="AW94" s="398"/>
      <c r="AX94" s="398"/>
      <c r="AY94" s="398"/>
      <c r="AZ94" s="398"/>
      <c r="BA94" s="398"/>
      <c r="BB94" s="398"/>
      <c r="BC94" s="398"/>
      <c r="BD94" s="398"/>
      <c r="BE94" s="549"/>
      <c r="BF94" s="571"/>
      <c r="BG94" s="571"/>
      <c r="BH94" s="571"/>
      <c r="BI94" s="571"/>
      <c r="BJ94" s="571"/>
      <c r="BK94" s="571"/>
      <c r="BL94" s="571"/>
      <c r="BM94" s="398"/>
      <c r="BN94" s="398"/>
      <c r="BO94" s="549"/>
      <c r="BP94" s="549"/>
      <c r="BQ94" s="549"/>
      <c r="BR94" s="549"/>
      <c r="BS94" s="549"/>
      <c r="BT94" s="549"/>
      <c r="BU94" s="549"/>
      <c r="BV94" s="571"/>
      <c r="BW94" s="571"/>
      <c r="BX94" s="571"/>
    </row>
    <row r="95" spans="38:76">
      <c r="AL95" s="398"/>
      <c r="AM95" s="398"/>
      <c r="AN95" s="398"/>
      <c r="AO95" s="398"/>
      <c r="AP95" s="398"/>
      <c r="AQ95" s="398"/>
      <c r="BD95" s="398"/>
      <c r="BE95" s="549"/>
      <c r="BF95" s="571"/>
      <c r="BG95" s="571"/>
      <c r="BH95" s="571"/>
      <c r="BI95" s="571"/>
      <c r="BJ95" s="571"/>
      <c r="BK95" s="571"/>
      <c r="BL95" s="571"/>
      <c r="BM95" s="398"/>
      <c r="BN95" s="398"/>
      <c r="BO95" s="549"/>
      <c r="BP95" s="549"/>
      <c r="BQ95" s="549"/>
      <c r="BR95" s="549"/>
      <c r="BS95" s="549"/>
      <c r="BT95" s="549"/>
      <c r="BU95" s="549"/>
      <c r="BV95" s="571"/>
      <c r="BW95" s="571"/>
      <c r="BX95" s="571"/>
    </row>
    <row r="96" spans="38:76">
      <c r="AL96" s="398"/>
      <c r="AM96" s="398"/>
      <c r="AN96" s="398"/>
      <c r="AO96" s="398"/>
      <c r="AP96" s="398"/>
      <c r="AQ96" s="398"/>
      <c r="BD96" s="398"/>
      <c r="BE96" s="549"/>
      <c r="BF96" s="571"/>
      <c r="BG96" s="571"/>
      <c r="BH96" s="571"/>
      <c r="BI96" s="571"/>
      <c r="BJ96" s="571"/>
      <c r="BK96" s="571"/>
      <c r="BL96" s="571"/>
      <c r="BM96" s="398"/>
      <c r="BN96" s="398"/>
      <c r="BO96" s="995"/>
      <c r="BP96" s="549"/>
      <c r="BQ96" s="549"/>
      <c r="BR96" s="549"/>
      <c r="BS96" s="549"/>
      <c r="BT96" s="549"/>
      <c r="BU96" s="549"/>
      <c r="BV96" s="571"/>
      <c r="BW96" s="571"/>
      <c r="BX96" s="571"/>
    </row>
    <row r="97" spans="30:76">
      <c r="BD97" s="398"/>
      <c r="BE97" s="571"/>
      <c r="BF97" s="571"/>
      <c r="BG97" s="571"/>
      <c r="BH97" s="571"/>
      <c r="BI97" s="571"/>
      <c r="BJ97" s="571"/>
      <c r="BM97" s="398"/>
      <c r="BN97" s="398"/>
      <c r="BO97" s="549"/>
      <c r="BP97" s="571"/>
      <c r="BQ97" s="571"/>
      <c r="BR97" s="571"/>
      <c r="BS97" s="571"/>
      <c r="BT97" s="571"/>
      <c r="BU97" s="571"/>
      <c r="BV97" s="571"/>
      <c r="BW97" s="571"/>
      <c r="BX97" s="571"/>
    </row>
    <row r="98" spans="30:76">
      <c r="BD98" s="398"/>
      <c r="BE98" s="571"/>
      <c r="BF98" s="571"/>
      <c r="BG98" s="571"/>
      <c r="BH98" s="571"/>
      <c r="BI98" s="571"/>
      <c r="BJ98" s="571"/>
      <c r="BM98" s="398"/>
      <c r="BN98" s="398"/>
      <c r="BO98" s="549"/>
      <c r="BP98" s="571"/>
      <c r="BQ98" s="571"/>
      <c r="BR98" s="571"/>
      <c r="BS98" s="571"/>
      <c r="BT98" s="571"/>
      <c r="BU98" s="571"/>
      <c r="BV98" s="571"/>
      <c r="BW98" s="571"/>
      <c r="BX98" s="571"/>
    </row>
    <row r="99" spans="30:76">
      <c r="BD99" s="398"/>
      <c r="BE99" s="549"/>
      <c r="BF99" s="571"/>
      <c r="BG99" s="571"/>
      <c r="BH99" s="571"/>
      <c r="BI99" s="571"/>
      <c r="BJ99" s="571"/>
      <c r="BK99" s="398"/>
      <c r="BL99" s="398"/>
      <c r="BM99" s="398"/>
      <c r="BN99" s="398"/>
      <c r="BO99" s="549"/>
      <c r="BP99" s="571"/>
      <c r="BQ99" s="571"/>
      <c r="BR99" s="571"/>
      <c r="BS99" s="571"/>
      <c r="BT99" s="571"/>
      <c r="BU99" s="571"/>
      <c r="BV99" s="571"/>
      <c r="BW99" s="571"/>
      <c r="BX99" s="571"/>
    </row>
    <row r="100" spans="30:76">
      <c r="BD100" s="398"/>
      <c r="BE100" s="549"/>
      <c r="BF100" s="571"/>
      <c r="BG100" s="571"/>
      <c r="BH100" s="571"/>
      <c r="BI100" s="571"/>
      <c r="BJ100" s="571"/>
      <c r="BK100" s="398"/>
      <c r="BL100" s="398"/>
      <c r="BM100" s="398"/>
      <c r="BN100" s="398"/>
      <c r="BO100" s="549"/>
      <c r="BP100" s="571"/>
      <c r="BQ100" s="571"/>
      <c r="BR100" s="571"/>
      <c r="BS100" s="571"/>
      <c r="BT100" s="571"/>
      <c r="BU100" s="571"/>
      <c r="BV100" s="571"/>
      <c r="BW100" s="571"/>
      <c r="BX100" s="571"/>
    </row>
    <row r="101" spans="30:76">
      <c r="BD101" s="398"/>
      <c r="BE101" s="549"/>
      <c r="BF101" s="571"/>
      <c r="BG101" s="571"/>
      <c r="BH101" s="571"/>
      <c r="BI101" s="571"/>
      <c r="BJ101" s="571"/>
      <c r="BK101" s="398"/>
      <c r="BL101" s="398"/>
      <c r="BM101" s="398"/>
      <c r="BN101" s="398"/>
      <c r="BO101" s="571"/>
      <c r="BP101" s="571"/>
      <c r="BQ101" s="571"/>
      <c r="BR101" s="571"/>
      <c r="BS101" s="571"/>
      <c r="BT101" s="571"/>
      <c r="BU101" s="571"/>
      <c r="BV101" s="571"/>
      <c r="BW101" s="571"/>
      <c r="BX101" s="571"/>
    </row>
    <row r="102" spans="30:76">
      <c r="BD102" s="398"/>
      <c r="BE102" s="549"/>
      <c r="BK102" s="398"/>
      <c r="BL102" s="398"/>
      <c r="BM102" s="398"/>
      <c r="BN102" s="398"/>
      <c r="BO102" s="571"/>
      <c r="BP102" s="571"/>
      <c r="BQ102" s="571"/>
      <c r="BR102" s="571"/>
      <c r="BS102" s="571"/>
      <c r="BT102" s="571"/>
      <c r="BU102" s="571"/>
      <c r="BV102" s="571"/>
      <c r="BW102" s="571"/>
      <c r="BX102" s="571"/>
    </row>
    <row r="103" spans="30:76">
      <c r="BD103" s="398"/>
      <c r="BE103" s="549"/>
      <c r="BK103" s="398"/>
      <c r="BL103" s="398"/>
      <c r="BM103" s="398"/>
      <c r="BN103" s="398"/>
      <c r="BO103" s="549"/>
      <c r="BP103" s="571"/>
      <c r="BQ103" s="571"/>
      <c r="BR103" s="571"/>
      <c r="BS103" s="571"/>
      <c r="BT103" s="571"/>
      <c r="BU103" s="571"/>
      <c r="BV103" s="571"/>
      <c r="BW103" s="571"/>
      <c r="BX103" s="571"/>
    </row>
    <row r="104" spans="30:76">
      <c r="AR104" s="398"/>
      <c r="AS104" s="398"/>
      <c r="AT104" s="398"/>
      <c r="AU104" s="398"/>
      <c r="AV104" s="398"/>
      <c r="AW104" s="398"/>
      <c r="AX104" s="398"/>
      <c r="AY104" s="398"/>
      <c r="AZ104" s="398"/>
      <c r="BA104" s="398"/>
      <c r="BB104" s="398"/>
      <c r="BC104" s="398"/>
      <c r="BD104" s="398"/>
      <c r="BE104" s="398"/>
      <c r="BF104" s="398"/>
      <c r="BG104" s="398"/>
      <c r="BH104" s="398"/>
      <c r="BI104" s="398"/>
      <c r="BJ104" s="398"/>
      <c r="BK104" s="398"/>
      <c r="BL104" s="398"/>
      <c r="BM104" s="398"/>
      <c r="BN104" s="398"/>
      <c r="BO104" s="549"/>
      <c r="BP104" s="571"/>
      <c r="BQ104" s="571"/>
      <c r="BR104" s="571"/>
      <c r="BS104" s="571"/>
      <c r="BT104" s="571"/>
      <c r="BU104" s="571"/>
      <c r="BV104" s="571"/>
      <c r="BW104" s="571"/>
      <c r="BX104" s="571"/>
    </row>
    <row r="105" spans="30:76">
      <c r="AL105" s="398"/>
      <c r="AM105" s="398"/>
      <c r="AN105" s="398"/>
      <c r="AO105" s="398"/>
      <c r="AP105" s="398"/>
      <c r="AQ105" s="398"/>
      <c r="AR105" s="398"/>
      <c r="AS105" s="398"/>
      <c r="AT105" s="398"/>
      <c r="AU105" s="398"/>
      <c r="AV105" s="398"/>
      <c r="AW105" s="398"/>
      <c r="AX105" s="398"/>
      <c r="AY105" s="398"/>
      <c r="AZ105" s="398"/>
      <c r="BA105" s="398"/>
      <c r="BB105" s="398"/>
      <c r="BC105" s="398"/>
      <c r="BD105" s="398"/>
      <c r="BE105" s="398"/>
      <c r="BF105" s="398"/>
      <c r="BG105" s="398"/>
      <c r="BH105" s="398"/>
      <c r="BI105" s="398"/>
      <c r="BJ105" s="398"/>
      <c r="BK105" s="398"/>
      <c r="BL105" s="398"/>
      <c r="BM105" s="398"/>
      <c r="BN105" s="398"/>
      <c r="BO105" s="549"/>
      <c r="BP105" s="571"/>
      <c r="BQ105" s="571"/>
      <c r="BR105" s="571"/>
      <c r="BS105" s="571"/>
      <c r="BT105" s="571"/>
      <c r="BU105" s="571"/>
      <c r="BV105" s="571"/>
      <c r="BW105" s="571"/>
      <c r="BX105" s="571"/>
    </row>
    <row r="106" spans="30:76">
      <c r="AL106" s="398"/>
      <c r="AM106" s="398"/>
      <c r="AN106" s="398"/>
      <c r="AO106" s="398"/>
      <c r="AP106" s="398"/>
      <c r="AQ106" s="398"/>
      <c r="AR106" s="398"/>
      <c r="AS106" s="398"/>
      <c r="AT106" s="398"/>
      <c r="AU106" s="398"/>
      <c r="AV106" s="398"/>
      <c r="AW106" s="398"/>
      <c r="AX106" s="398"/>
      <c r="AY106" s="398"/>
      <c r="AZ106" s="398"/>
      <c r="BA106" s="398"/>
      <c r="BB106" s="398"/>
      <c r="BC106" s="398"/>
      <c r="BD106" s="398"/>
      <c r="BE106" s="398"/>
      <c r="BF106" s="398"/>
      <c r="BG106" s="398"/>
      <c r="BH106" s="398"/>
      <c r="BI106" s="398"/>
      <c r="BJ106" s="398"/>
      <c r="BK106" s="398"/>
      <c r="BL106" s="398"/>
      <c r="BM106" s="398"/>
      <c r="BN106" s="398"/>
      <c r="BO106" s="549"/>
      <c r="BV106" s="571"/>
      <c r="BW106" s="571"/>
      <c r="BX106" s="571"/>
    </row>
    <row r="107" spans="30:76">
      <c r="AL107" s="398"/>
      <c r="AM107" s="398"/>
      <c r="AN107" s="398"/>
      <c r="AO107" s="398"/>
      <c r="AP107" s="398"/>
      <c r="AQ107" s="398"/>
      <c r="AR107" s="398"/>
      <c r="AS107" s="398"/>
      <c r="AT107" s="398"/>
      <c r="AU107" s="398"/>
      <c r="AV107" s="398"/>
      <c r="AW107" s="398"/>
      <c r="AX107" s="398"/>
      <c r="AY107" s="398"/>
      <c r="AZ107" s="398"/>
      <c r="BA107" s="398"/>
      <c r="BB107" s="398"/>
      <c r="BC107" s="398"/>
      <c r="BD107" s="398"/>
      <c r="BE107" s="398"/>
      <c r="BF107" s="398"/>
      <c r="BG107" s="398"/>
      <c r="BH107" s="398"/>
      <c r="BI107" s="398"/>
      <c r="BJ107" s="398"/>
      <c r="BK107" s="398"/>
      <c r="BL107" s="398"/>
      <c r="BM107" s="398"/>
      <c r="BN107" s="398"/>
      <c r="BO107" s="549"/>
      <c r="BV107" s="571"/>
      <c r="BW107" s="571"/>
      <c r="BX107" s="571"/>
    </row>
    <row r="108" spans="30:76">
      <c r="AL108" s="398"/>
      <c r="AM108" s="398"/>
      <c r="AN108" s="398"/>
      <c r="AO108" s="398"/>
      <c r="AP108" s="398"/>
      <c r="AQ108" s="398"/>
      <c r="AR108" s="398"/>
      <c r="AS108" s="398"/>
      <c r="AT108" s="398"/>
      <c r="AU108" s="398"/>
      <c r="AV108" s="398"/>
      <c r="AW108" s="398"/>
      <c r="AX108" s="398"/>
      <c r="AY108" s="398"/>
      <c r="AZ108" s="398"/>
      <c r="BA108" s="398"/>
      <c r="BB108" s="398"/>
      <c r="BC108" s="398"/>
      <c r="BD108" s="398"/>
      <c r="BE108" s="398"/>
      <c r="BF108" s="398"/>
      <c r="BG108" s="398"/>
      <c r="BH108" s="398"/>
      <c r="BI108" s="398"/>
      <c r="BJ108" s="398"/>
      <c r="BK108" s="398"/>
      <c r="BL108" s="398"/>
      <c r="BM108" s="398"/>
      <c r="BN108" s="398"/>
      <c r="BO108" s="571"/>
      <c r="BP108" s="571"/>
      <c r="BQ108" s="571"/>
      <c r="BR108" s="571"/>
      <c r="BS108" s="571"/>
      <c r="BT108" s="571"/>
      <c r="BU108" s="571"/>
      <c r="BV108" s="571"/>
      <c r="BW108" s="571"/>
      <c r="BX108" s="571"/>
    </row>
    <row r="109" spans="30:76">
      <c r="AL109" s="398"/>
      <c r="AM109" s="398"/>
      <c r="AN109" s="398"/>
      <c r="AO109" s="398"/>
      <c r="AP109" s="398"/>
      <c r="AQ109" s="398"/>
      <c r="AR109" s="398"/>
      <c r="AS109" s="398"/>
      <c r="AT109" s="398"/>
      <c r="AU109" s="398"/>
      <c r="AV109" s="398"/>
      <c r="AW109" s="398"/>
      <c r="AX109" s="398"/>
      <c r="AY109" s="398"/>
      <c r="AZ109" s="398"/>
      <c r="BA109" s="398"/>
      <c r="BB109" s="398"/>
      <c r="BC109" s="398"/>
      <c r="BD109" s="398"/>
      <c r="BE109" s="398"/>
      <c r="BF109" s="398"/>
      <c r="BG109" s="398"/>
      <c r="BH109" s="398"/>
      <c r="BI109" s="398"/>
      <c r="BJ109" s="398"/>
      <c r="BK109" s="398"/>
      <c r="BL109" s="398"/>
      <c r="BM109" s="398"/>
      <c r="BN109" s="398"/>
      <c r="BO109" s="571"/>
      <c r="BP109" s="571"/>
      <c r="BQ109" s="571"/>
      <c r="BR109" s="571"/>
      <c r="BS109" s="571"/>
      <c r="BT109" s="571"/>
      <c r="BU109" s="571"/>
      <c r="BV109" s="571"/>
      <c r="BW109" s="571"/>
      <c r="BX109" s="571"/>
    </row>
    <row r="110" spans="30:76">
      <c r="AL110" s="398"/>
      <c r="AM110" s="398"/>
      <c r="AN110" s="398"/>
      <c r="AO110" s="398"/>
      <c r="AP110" s="398"/>
      <c r="AQ110" s="398"/>
      <c r="AR110" s="398"/>
      <c r="AS110" s="398"/>
      <c r="AT110" s="398"/>
      <c r="AU110" s="398"/>
      <c r="AV110" s="398"/>
      <c r="AW110" s="398"/>
      <c r="AX110" s="398"/>
      <c r="AY110" s="398"/>
      <c r="AZ110" s="398"/>
      <c r="BA110" s="398"/>
      <c r="BB110" s="398"/>
      <c r="BC110" s="398"/>
      <c r="BD110" s="398"/>
      <c r="BE110" s="398"/>
      <c r="BF110" s="398"/>
      <c r="BG110" s="398"/>
      <c r="BH110" s="398"/>
      <c r="BI110" s="398"/>
      <c r="BJ110" s="398"/>
      <c r="BK110" s="398"/>
      <c r="BL110" s="398"/>
      <c r="BM110" s="398"/>
      <c r="BN110" s="398"/>
      <c r="BO110" s="571"/>
      <c r="BP110" s="571"/>
      <c r="BQ110" s="571"/>
      <c r="BR110" s="571"/>
      <c r="BS110" s="571"/>
      <c r="BT110" s="571"/>
      <c r="BU110" s="571"/>
      <c r="BV110" s="571"/>
      <c r="BW110" s="571"/>
      <c r="BX110" s="571"/>
    </row>
    <row r="111" spans="30:76">
      <c r="AL111" s="398"/>
      <c r="AM111" s="398"/>
      <c r="AN111" s="398"/>
      <c r="AO111" s="398"/>
      <c r="AP111" s="398"/>
      <c r="AQ111" s="398"/>
      <c r="AR111" s="398"/>
      <c r="AS111" s="398"/>
      <c r="AT111" s="398"/>
      <c r="AU111" s="398"/>
      <c r="AV111" s="398"/>
      <c r="AW111" s="398"/>
      <c r="AX111" s="398"/>
      <c r="AY111" s="398"/>
      <c r="AZ111" s="398"/>
      <c r="BA111" s="398"/>
      <c r="BB111" s="398"/>
      <c r="BC111" s="398"/>
      <c r="BD111" s="398"/>
      <c r="BE111" s="398"/>
      <c r="BF111" s="398"/>
      <c r="BG111" s="398"/>
      <c r="BH111" s="398"/>
      <c r="BI111" s="398"/>
      <c r="BJ111" s="398"/>
      <c r="BK111" s="398"/>
      <c r="BL111" s="398"/>
      <c r="BM111" s="398"/>
      <c r="BN111" s="398"/>
      <c r="BO111" s="571"/>
      <c r="BP111" s="571"/>
      <c r="BQ111" s="571"/>
      <c r="BR111" s="571"/>
      <c r="BS111" s="571"/>
      <c r="BT111" s="571"/>
      <c r="BU111" s="571"/>
      <c r="BV111" s="571"/>
      <c r="BW111" s="571"/>
      <c r="BX111" s="571"/>
    </row>
    <row r="112" spans="30:76">
      <c r="AD112" s="398"/>
      <c r="AE112" s="398"/>
      <c r="AF112" s="398"/>
      <c r="AG112" s="398"/>
      <c r="AH112" s="398"/>
      <c r="AI112" s="398"/>
      <c r="AJ112" s="398"/>
      <c r="AK112" s="398"/>
      <c r="AL112" s="398"/>
      <c r="AM112" s="398"/>
      <c r="AN112" s="398"/>
      <c r="AO112" s="398"/>
      <c r="AP112" s="398"/>
      <c r="AQ112" s="398"/>
      <c r="AR112" s="398"/>
      <c r="AS112" s="398"/>
      <c r="AT112" s="398"/>
      <c r="AU112" s="398"/>
      <c r="AV112" s="398"/>
      <c r="AW112" s="398"/>
      <c r="AX112" s="398"/>
      <c r="AY112" s="398"/>
      <c r="AZ112" s="398"/>
      <c r="BA112" s="398"/>
      <c r="BB112" s="398"/>
      <c r="BC112" s="398"/>
      <c r="BD112" s="398"/>
      <c r="BE112" s="398"/>
      <c r="BF112" s="398"/>
      <c r="BG112" s="398"/>
      <c r="BH112" s="398"/>
      <c r="BI112" s="398"/>
      <c r="BJ112" s="398"/>
      <c r="BK112" s="398"/>
      <c r="BL112" s="398"/>
      <c r="BM112" s="398"/>
      <c r="BN112" s="398"/>
      <c r="BO112" s="571"/>
      <c r="BP112" s="571"/>
      <c r="BQ112" s="571"/>
      <c r="BR112" s="571"/>
      <c r="BS112" s="571"/>
      <c r="BT112" s="571"/>
      <c r="BU112" s="571"/>
      <c r="BV112" s="571"/>
      <c r="BW112" s="571"/>
      <c r="BX112" s="571"/>
    </row>
    <row r="113" spans="30:76">
      <c r="AD113" s="398"/>
      <c r="AE113" s="398"/>
      <c r="AF113" s="398"/>
      <c r="AG113" s="398"/>
      <c r="AH113" s="398"/>
      <c r="AI113" s="398"/>
      <c r="AJ113" s="398"/>
      <c r="AK113" s="398"/>
      <c r="AL113" s="398"/>
      <c r="AM113" s="398"/>
      <c r="AN113" s="398"/>
      <c r="AO113" s="398"/>
      <c r="AP113" s="398"/>
      <c r="AQ113" s="398"/>
      <c r="AR113" s="398"/>
      <c r="AS113" s="398"/>
      <c r="AT113" s="398"/>
      <c r="AU113" s="398"/>
      <c r="AV113" s="398"/>
      <c r="AW113" s="398"/>
      <c r="AX113" s="398"/>
      <c r="AY113" s="398"/>
      <c r="AZ113" s="398"/>
      <c r="BA113" s="398"/>
      <c r="BB113" s="398"/>
      <c r="BC113" s="398"/>
      <c r="BD113" s="398"/>
      <c r="BE113" s="398"/>
      <c r="BF113" s="398"/>
      <c r="BG113" s="398"/>
      <c r="BH113" s="398"/>
      <c r="BI113" s="398"/>
      <c r="BJ113" s="398"/>
      <c r="BK113" s="398"/>
      <c r="BL113" s="398"/>
      <c r="BM113" s="398"/>
      <c r="BN113" s="398"/>
      <c r="BO113" s="571"/>
      <c r="BP113" s="571"/>
      <c r="BQ113" s="571"/>
      <c r="BR113" s="571"/>
      <c r="BS113" s="571"/>
      <c r="BT113" s="571"/>
      <c r="BU113" s="571"/>
      <c r="BV113" s="571"/>
      <c r="BW113" s="571"/>
      <c r="BX113" s="571"/>
    </row>
    <row r="114" spans="30:76">
      <c r="AD114" s="398"/>
      <c r="AE114" s="398"/>
      <c r="AF114" s="398"/>
      <c r="AG114" s="398"/>
      <c r="AH114" s="398"/>
      <c r="AI114" s="398"/>
      <c r="AJ114" s="398"/>
      <c r="AK114" s="398"/>
      <c r="AL114" s="398"/>
      <c r="AM114" s="398"/>
      <c r="AN114" s="398"/>
      <c r="AO114" s="398"/>
      <c r="AP114" s="398"/>
      <c r="AQ114" s="398"/>
      <c r="AR114" s="398"/>
      <c r="AS114" s="398"/>
      <c r="AT114" s="398"/>
      <c r="AU114" s="398"/>
      <c r="AV114" s="398"/>
      <c r="AW114" s="398"/>
      <c r="AX114" s="398"/>
      <c r="AY114" s="398"/>
      <c r="AZ114" s="398"/>
      <c r="BA114" s="398"/>
      <c r="BB114" s="398"/>
      <c r="BC114" s="398"/>
      <c r="BD114" s="398"/>
      <c r="BE114" s="398"/>
      <c r="BF114" s="398"/>
      <c r="BG114" s="398"/>
      <c r="BH114" s="398"/>
      <c r="BI114" s="398"/>
      <c r="BJ114" s="398"/>
      <c r="BK114" s="398"/>
      <c r="BL114" s="398"/>
      <c r="BM114" s="398"/>
      <c r="BN114" s="398"/>
      <c r="BO114" s="571"/>
      <c r="BP114" s="571"/>
      <c r="BQ114" s="571"/>
      <c r="BR114" s="571"/>
      <c r="BS114" s="571"/>
      <c r="BT114" s="571"/>
      <c r="BU114" s="571"/>
      <c r="BV114" s="571"/>
      <c r="BW114" s="571"/>
      <c r="BX114" s="571"/>
    </row>
    <row r="115" spans="30:76">
      <c r="AD115" s="398"/>
      <c r="AE115" s="398"/>
      <c r="AF115" s="398"/>
      <c r="AG115" s="398"/>
      <c r="AH115" s="398"/>
      <c r="AI115" s="398"/>
      <c r="AJ115" s="398"/>
      <c r="AK115" s="398"/>
      <c r="AL115" s="398"/>
      <c r="AM115" s="398"/>
      <c r="AN115" s="398"/>
      <c r="AO115" s="398"/>
      <c r="AP115" s="398"/>
      <c r="AQ115" s="398"/>
      <c r="AR115" s="398"/>
      <c r="AS115" s="398"/>
      <c r="AT115" s="398"/>
      <c r="AU115" s="398"/>
      <c r="AV115" s="398"/>
      <c r="AW115" s="398"/>
      <c r="AX115" s="398"/>
      <c r="AY115" s="398"/>
      <c r="AZ115" s="398"/>
      <c r="BA115" s="398"/>
      <c r="BB115" s="398"/>
      <c r="BC115" s="398"/>
      <c r="BD115" s="398"/>
      <c r="BE115" s="398"/>
      <c r="BF115" s="398"/>
      <c r="BG115" s="398"/>
      <c r="BH115" s="398"/>
      <c r="BI115" s="398"/>
      <c r="BJ115" s="398"/>
      <c r="BK115" s="398"/>
      <c r="BL115" s="398"/>
      <c r="BM115" s="398"/>
      <c r="BN115" s="398"/>
      <c r="BO115" s="571"/>
      <c r="BP115" s="571"/>
      <c r="BQ115" s="571"/>
      <c r="BR115" s="571"/>
      <c r="BS115" s="571"/>
      <c r="BT115" s="571"/>
      <c r="BU115" s="571"/>
      <c r="BV115" s="571"/>
      <c r="BW115" s="571"/>
      <c r="BX115" s="571"/>
    </row>
    <row r="116" spans="30:76">
      <c r="AD116" s="398"/>
      <c r="AE116" s="398"/>
      <c r="AF116" s="398"/>
      <c r="AG116" s="398"/>
      <c r="AH116" s="398"/>
      <c r="AI116" s="398"/>
      <c r="AJ116" s="398"/>
      <c r="AK116" s="398"/>
      <c r="AL116" s="398"/>
      <c r="AM116" s="398"/>
      <c r="AN116" s="398"/>
      <c r="AO116" s="398"/>
      <c r="AP116" s="398"/>
      <c r="AQ116" s="398"/>
      <c r="AR116" s="398"/>
      <c r="AS116" s="398"/>
      <c r="AT116" s="398"/>
      <c r="AU116" s="398"/>
      <c r="AV116" s="398"/>
      <c r="AW116" s="398"/>
      <c r="AX116" s="398"/>
      <c r="AY116" s="398"/>
      <c r="AZ116" s="398"/>
      <c r="BA116" s="398"/>
      <c r="BB116" s="398"/>
      <c r="BC116" s="398"/>
      <c r="BD116" s="398"/>
      <c r="BE116" s="398"/>
      <c r="BF116" s="398"/>
      <c r="BG116" s="398"/>
      <c r="BH116" s="398"/>
      <c r="BI116" s="398"/>
      <c r="BJ116" s="398"/>
      <c r="BK116" s="398"/>
      <c r="BL116" s="398"/>
      <c r="BM116" s="398"/>
      <c r="BN116" s="398"/>
      <c r="BO116" s="571"/>
      <c r="BP116" s="571"/>
      <c r="BQ116" s="571"/>
      <c r="BR116" s="571"/>
      <c r="BS116" s="571"/>
      <c r="BT116" s="571"/>
      <c r="BU116" s="571"/>
      <c r="BV116" s="571"/>
      <c r="BW116" s="571"/>
      <c r="BX116" s="571"/>
    </row>
    <row r="117" spans="30:76">
      <c r="AD117" s="398"/>
      <c r="AE117" s="398"/>
      <c r="AF117" s="398"/>
      <c r="AG117" s="398"/>
      <c r="AH117" s="398"/>
      <c r="AI117" s="398"/>
      <c r="AJ117" s="398"/>
      <c r="AK117" s="398"/>
      <c r="AL117" s="398"/>
      <c r="AM117" s="398"/>
      <c r="AN117" s="398"/>
      <c r="AO117" s="398"/>
      <c r="AP117" s="398"/>
      <c r="AQ117" s="398"/>
      <c r="AR117" s="398"/>
      <c r="AS117" s="398"/>
      <c r="AT117" s="398"/>
      <c r="AU117" s="398"/>
      <c r="AV117" s="398"/>
      <c r="AW117" s="398"/>
      <c r="AX117" s="398"/>
      <c r="AY117" s="398"/>
      <c r="AZ117" s="398"/>
      <c r="BA117" s="398"/>
      <c r="BB117" s="398"/>
      <c r="BC117" s="398"/>
      <c r="BD117" s="398"/>
      <c r="BE117" s="398"/>
      <c r="BF117" s="398"/>
      <c r="BG117" s="398"/>
      <c r="BH117" s="398"/>
      <c r="BI117" s="398"/>
      <c r="BJ117" s="398"/>
      <c r="BK117" s="398"/>
      <c r="BL117" s="398"/>
      <c r="BM117" s="398"/>
      <c r="BN117" s="398"/>
      <c r="BO117" s="571"/>
      <c r="BP117" s="571"/>
      <c r="BQ117" s="571"/>
      <c r="BR117" s="571"/>
      <c r="BS117" s="571"/>
      <c r="BT117" s="571"/>
      <c r="BU117" s="571"/>
      <c r="BV117" s="571"/>
      <c r="BW117" s="571"/>
      <c r="BX117" s="571"/>
    </row>
    <row r="118" spans="30:76">
      <c r="BD118" s="398"/>
      <c r="BE118" s="398"/>
      <c r="BF118" s="398"/>
      <c r="BG118" s="398"/>
      <c r="BH118" s="398"/>
      <c r="BI118" s="398"/>
      <c r="BJ118" s="398"/>
      <c r="BK118" s="398"/>
      <c r="BL118" s="398"/>
      <c r="BM118" s="398"/>
      <c r="BN118" s="398"/>
      <c r="BO118" s="571"/>
      <c r="BP118" s="571"/>
      <c r="BQ118" s="571"/>
      <c r="BR118" s="571"/>
      <c r="BS118" s="571"/>
      <c r="BT118" s="571"/>
      <c r="BU118" s="571"/>
      <c r="BV118" s="571"/>
      <c r="BW118" s="571"/>
      <c r="BX118" s="571"/>
    </row>
    <row r="119" spans="30:76">
      <c r="BD119" s="398"/>
      <c r="BE119" s="398"/>
      <c r="BF119" s="398"/>
      <c r="BG119" s="398"/>
      <c r="BH119" s="398"/>
      <c r="BI119" s="398"/>
      <c r="BJ119" s="398"/>
      <c r="BK119" s="398"/>
      <c r="BL119" s="398"/>
      <c r="BM119" s="398"/>
      <c r="BN119" s="398"/>
      <c r="BO119" s="571"/>
      <c r="BP119" s="571"/>
      <c r="BQ119" s="571"/>
      <c r="BR119" s="571"/>
      <c r="BS119" s="571"/>
      <c r="BT119" s="571"/>
      <c r="BU119" s="571"/>
      <c r="BV119" s="571"/>
      <c r="BW119" s="571"/>
      <c r="BX119" s="571"/>
    </row>
    <row r="120" spans="30:76">
      <c r="BD120" s="398"/>
      <c r="BE120" s="398"/>
      <c r="BF120" s="398"/>
      <c r="BG120" s="398"/>
      <c r="BH120" s="398"/>
      <c r="BI120" s="398"/>
      <c r="BJ120" s="398"/>
      <c r="BK120" s="398"/>
      <c r="BL120" s="398"/>
      <c r="BM120" s="398"/>
      <c r="BN120" s="398"/>
      <c r="BO120" s="571"/>
      <c r="BP120" s="571"/>
      <c r="BQ120" s="571"/>
      <c r="BR120" s="571"/>
      <c r="BS120" s="571"/>
      <c r="BT120" s="571"/>
      <c r="BU120" s="571"/>
      <c r="BV120" s="571"/>
      <c r="BW120" s="571"/>
      <c r="BX120" s="571"/>
    </row>
    <row r="121" spans="30:76">
      <c r="BD121" s="398"/>
      <c r="BE121" s="398"/>
      <c r="BF121" s="398"/>
      <c r="BG121" s="398"/>
      <c r="BH121" s="398"/>
      <c r="BI121" s="398"/>
      <c r="BJ121" s="398"/>
      <c r="BK121" s="398"/>
      <c r="BL121" s="398"/>
      <c r="BM121" s="398"/>
      <c r="BN121" s="398"/>
      <c r="BO121" s="571"/>
      <c r="BP121" s="571"/>
      <c r="BQ121" s="571"/>
      <c r="BR121" s="571"/>
      <c r="BS121" s="571"/>
      <c r="BT121" s="571"/>
      <c r="BU121" s="571"/>
      <c r="BV121" s="571"/>
      <c r="BW121" s="571"/>
      <c r="BX121" s="571"/>
    </row>
    <row r="122" spans="30:76">
      <c r="BD122" s="398"/>
      <c r="BE122" s="398"/>
      <c r="BF122" s="398"/>
      <c r="BG122" s="398"/>
      <c r="BH122" s="398"/>
      <c r="BI122" s="398"/>
      <c r="BJ122" s="398"/>
      <c r="BK122" s="398"/>
      <c r="BL122" s="398"/>
      <c r="BM122" s="398"/>
      <c r="BN122" s="398"/>
      <c r="BO122" s="571"/>
      <c r="BP122" s="571"/>
      <c r="BQ122" s="571"/>
      <c r="BR122" s="571"/>
      <c r="BS122" s="571"/>
      <c r="BT122" s="571"/>
      <c r="BU122" s="571"/>
      <c r="BV122" s="571"/>
      <c r="BW122" s="571"/>
      <c r="BX122" s="571"/>
    </row>
    <row r="123" spans="30:76">
      <c r="AD123" s="398"/>
      <c r="AE123" s="398"/>
      <c r="AF123" s="398"/>
      <c r="AG123" s="398"/>
      <c r="AH123" s="398"/>
      <c r="AI123" s="398"/>
      <c r="AJ123" s="398"/>
      <c r="AK123" s="398"/>
      <c r="AL123" s="398"/>
      <c r="AM123" s="398"/>
      <c r="AN123" s="398"/>
      <c r="AO123" s="398"/>
      <c r="AP123" s="398"/>
      <c r="AQ123" s="398"/>
      <c r="AR123" s="398"/>
      <c r="AS123" s="398"/>
      <c r="AT123" s="398"/>
      <c r="AU123" s="398"/>
      <c r="AV123" s="398"/>
      <c r="AW123" s="398"/>
      <c r="AX123" s="398"/>
      <c r="AY123" s="398"/>
      <c r="AZ123" s="398"/>
      <c r="BA123" s="398"/>
      <c r="BB123" s="398"/>
      <c r="BC123" s="398"/>
      <c r="BD123" s="398"/>
      <c r="BE123" s="398"/>
      <c r="BF123" s="398"/>
      <c r="BG123" s="398"/>
      <c r="BH123" s="398"/>
      <c r="BI123" s="398"/>
      <c r="BJ123" s="398"/>
      <c r="BK123" s="398"/>
      <c r="BL123" s="398"/>
      <c r="BM123" s="398"/>
      <c r="BN123" s="398"/>
      <c r="BO123" s="571"/>
      <c r="BP123" s="571"/>
      <c r="BQ123" s="571"/>
      <c r="BR123" s="571"/>
      <c r="BS123" s="571"/>
      <c r="BT123" s="571"/>
      <c r="BU123" s="571"/>
      <c r="BV123" s="549"/>
      <c r="BW123" s="571"/>
      <c r="BX123" s="571"/>
    </row>
    <row r="124" spans="30:76">
      <c r="AD124" s="398"/>
      <c r="AE124" s="398"/>
      <c r="AF124" s="398"/>
      <c r="AG124" s="398"/>
      <c r="AH124" s="398"/>
      <c r="AI124" s="398"/>
      <c r="AJ124" s="398"/>
      <c r="AK124" s="398"/>
      <c r="AL124" s="398"/>
      <c r="AM124" s="398"/>
      <c r="AN124" s="398"/>
      <c r="AO124" s="398"/>
      <c r="AP124" s="398"/>
      <c r="AQ124" s="398"/>
      <c r="AR124" s="398"/>
      <c r="AS124" s="398"/>
      <c r="AT124" s="398"/>
      <c r="AU124" s="398"/>
      <c r="AV124" s="398"/>
      <c r="AW124" s="398"/>
      <c r="AX124" s="398"/>
      <c r="AY124" s="398"/>
      <c r="AZ124" s="398"/>
      <c r="BA124" s="398"/>
      <c r="BB124" s="398"/>
      <c r="BC124" s="398"/>
      <c r="BD124" s="398"/>
      <c r="BE124" s="398"/>
      <c r="BF124" s="398"/>
      <c r="BG124" s="398"/>
      <c r="BH124" s="398"/>
      <c r="BI124" s="398"/>
      <c r="BJ124" s="398"/>
      <c r="BK124" s="398"/>
      <c r="BL124" s="398"/>
      <c r="BM124" s="398"/>
      <c r="BN124" s="398"/>
      <c r="BO124" s="571"/>
      <c r="BP124" s="571"/>
      <c r="BQ124" s="571"/>
      <c r="BR124" s="571"/>
      <c r="BS124" s="571"/>
      <c r="BT124" s="571"/>
      <c r="BU124" s="571"/>
      <c r="BV124" s="549"/>
      <c r="BW124" s="571"/>
      <c r="BX124" s="571"/>
    </row>
    <row r="125" spans="30:76">
      <c r="AD125" s="398"/>
      <c r="AE125" s="398"/>
      <c r="AF125" s="398"/>
      <c r="AG125" s="398"/>
      <c r="AH125" s="398"/>
      <c r="AI125" s="398"/>
      <c r="AJ125" s="398"/>
      <c r="AK125" s="398"/>
      <c r="AL125" s="398"/>
      <c r="AM125" s="398"/>
      <c r="AN125" s="398"/>
      <c r="AO125" s="398"/>
      <c r="AP125" s="398"/>
      <c r="AQ125" s="398"/>
      <c r="AR125" s="398"/>
      <c r="AS125" s="398"/>
      <c r="AT125" s="398"/>
      <c r="AU125" s="398"/>
      <c r="AV125" s="398"/>
      <c r="AW125" s="398"/>
      <c r="AX125" s="398"/>
      <c r="AY125" s="398"/>
      <c r="AZ125" s="398"/>
      <c r="BA125" s="398"/>
      <c r="BB125" s="398"/>
      <c r="BC125" s="398"/>
      <c r="BD125" s="398"/>
      <c r="BE125" s="398"/>
      <c r="BF125" s="398"/>
      <c r="BG125" s="398"/>
      <c r="BH125" s="398"/>
      <c r="BI125" s="398"/>
      <c r="BJ125" s="398"/>
      <c r="BK125" s="398"/>
      <c r="BL125" s="398"/>
      <c r="BM125" s="398"/>
      <c r="BN125" s="398"/>
      <c r="BO125" s="571"/>
      <c r="BP125" s="571"/>
      <c r="BQ125" s="571"/>
      <c r="BR125" s="571"/>
      <c r="BS125" s="571"/>
      <c r="BT125" s="571"/>
      <c r="BU125" s="571"/>
      <c r="BV125" s="549"/>
      <c r="BW125" s="571"/>
      <c r="BX125" s="571"/>
    </row>
    <row r="126" spans="30:76">
      <c r="AD126" s="398"/>
      <c r="AE126" s="398"/>
      <c r="AF126" s="398"/>
      <c r="AG126" s="398"/>
      <c r="AH126" s="398"/>
      <c r="AI126" s="398"/>
      <c r="AJ126" s="398"/>
      <c r="AK126" s="398"/>
      <c r="AL126" s="398"/>
      <c r="AM126" s="398"/>
      <c r="AN126" s="398"/>
      <c r="AO126" s="398"/>
      <c r="AP126" s="398"/>
      <c r="AQ126" s="398"/>
      <c r="AR126" s="398"/>
      <c r="AS126" s="398"/>
      <c r="AT126" s="398"/>
      <c r="AU126" s="398"/>
      <c r="AV126" s="398"/>
      <c r="AW126" s="398"/>
      <c r="AX126" s="398"/>
      <c r="AY126" s="398"/>
      <c r="AZ126" s="398"/>
      <c r="BA126" s="398"/>
      <c r="BB126" s="398"/>
      <c r="BC126" s="398"/>
      <c r="BD126" s="398"/>
      <c r="BE126" s="398"/>
      <c r="BF126" s="398"/>
      <c r="BG126" s="398"/>
      <c r="BH126" s="398"/>
      <c r="BI126" s="398"/>
      <c r="BJ126" s="398"/>
      <c r="BK126" s="398"/>
      <c r="BL126" s="398"/>
      <c r="BM126" s="398"/>
      <c r="BN126" s="398"/>
      <c r="BO126" s="571"/>
      <c r="BP126" s="571"/>
      <c r="BQ126" s="571"/>
      <c r="BR126" s="571"/>
      <c r="BS126" s="571"/>
      <c r="BT126" s="571"/>
      <c r="BU126" s="571"/>
      <c r="BV126" s="549"/>
      <c r="BW126" s="571"/>
      <c r="BX126" s="571"/>
    </row>
    <row r="127" spans="30:76">
      <c r="AD127" s="398"/>
      <c r="AE127" s="398"/>
      <c r="AF127" s="398"/>
      <c r="AG127" s="398"/>
      <c r="AH127" s="398"/>
      <c r="AI127" s="398"/>
      <c r="AJ127" s="398"/>
      <c r="AK127" s="398"/>
      <c r="AL127" s="398"/>
      <c r="AM127" s="398"/>
      <c r="AN127" s="398"/>
      <c r="AO127" s="398"/>
      <c r="AP127" s="398"/>
      <c r="AQ127" s="398"/>
      <c r="AR127" s="398"/>
      <c r="AS127" s="398"/>
      <c r="AT127" s="398"/>
      <c r="AU127" s="398"/>
      <c r="AV127" s="398"/>
      <c r="AW127" s="398"/>
      <c r="AX127" s="398"/>
      <c r="AY127" s="398"/>
      <c r="AZ127" s="398"/>
      <c r="BA127" s="398"/>
      <c r="BB127" s="398"/>
      <c r="BC127" s="398"/>
      <c r="BD127" s="398"/>
      <c r="BE127" s="398"/>
      <c r="BF127" s="398"/>
      <c r="BG127" s="398"/>
      <c r="BH127" s="398"/>
      <c r="BI127" s="398"/>
      <c r="BJ127" s="398"/>
      <c r="BK127" s="398"/>
      <c r="BL127" s="398"/>
      <c r="BM127" s="398"/>
      <c r="BN127" s="398"/>
      <c r="BO127" s="571"/>
      <c r="BP127" s="571"/>
      <c r="BQ127" s="571"/>
      <c r="BR127" s="571"/>
      <c r="BS127" s="571"/>
      <c r="BT127" s="571"/>
      <c r="BU127" s="571"/>
      <c r="BV127" s="549"/>
      <c r="BW127" s="571"/>
      <c r="BX127" s="571"/>
    </row>
    <row r="128" spans="30:76">
      <c r="BD128" s="398"/>
      <c r="BE128" s="398"/>
      <c r="BF128" s="398"/>
      <c r="BG128" s="398"/>
      <c r="BH128" s="398"/>
      <c r="BI128" s="398"/>
      <c r="BJ128" s="398"/>
      <c r="BK128" s="398"/>
      <c r="BL128" s="398"/>
      <c r="BM128" s="398"/>
      <c r="BN128" s="398"/>
      <c r="BO128" s="571"/>
      <c r="BP128" s="571"/>
      <c r="BQ128" s="571"/>
      <c r="BR128" s="571"/>
      <c r="BS128" s="571"/>
      <c r="BT128" s="571"/>
      <c r="BU128" s="571"/>
      <c r="BV128" s="549"/>
      <c r="BW128" s="571"/>
      <c r="BX128" s="571"/>
    </row>
    <row r="129" spans="29:76">
      <c r="BD129" s="398"/>
      <c r="BE129" s="398"/>
      <c r="BF129" s="398"/>
      <c r="BG129" s="398"/>
      <c r="BH129" s="398"/>
      <c r="BI129" s="398"/>
      <c r="BJ129" s="398"/>
      <c r="BK129" s="398"/>
      <c r="BL129" s="398"/>
      <c r="BM129" s="398"/>
      <c r="BN129" s="398"/>
      <c r="BO129" s="571"/>
      <c r="BP129" s="571"/>
      <c r="BQ129" s="571"/>
      <c r="BR129" s="571"/>
      <c r="BS129" s="571"/>
      <c r="BT129" s="571"/>
      <c r="BU129" s="571"/>
      <c r="BV129" s="549"/>
      <c r="BW129" s="571"/>
      <c r="BX129" s="571"/>
    </row>
    <row r="130" spans="29:76">
      <c r="BD130" s="398"/>
      <c r="BE130" s="398"/>
      <c r="BF130" s="398"/>
      <c r="BG130" s="398"/>
      <c r="BH130" s="398"/>
      <c r="BI130" s="398"/>
      <c r="BJ130" s="398"/>
      <c r="BK130" s="398"/>
      <c r="BL130" s="398"/>
      <c r="BM130" s="398"/>
      <c r="BN130" s="398"/>
      <c r="BO130" s="571"/>
      <c r="BP130" s="571"/>
      <c r="BQ130" s="571"/>
      <c r="BR130" s="571"/>
      <c r="BS130" s="571"/>
      <c r="BT130" s="571"/>
      <c r="BU130" s="571"/>
      <c r="BV130" s="549"/>
      <c r="BW130" s="571"/>
      <c r="BX130" s="571"/>
    </row>
    <row r="131" spans="29:76">
      <c r="BD131" s="398"/>
      <c r="BE131" s="398"/>
      <c r="BF131" s="398"/>
      <c r="BG131" s="398"/>
      <c r="BH131" s="398"/>
      <c r="BI131" s="398"/>
      <c r="BJ131" s="398"/>
      <c r="BK131" s="398"/>
      <c r="BL131" s="398"/>
      <c r="BM131" s="398"/>
      <c r="BN131" s="398"/>
      <c r="BO131" s="571"/>
      <c r="BP131" s="571"/>
      <c r="BQ131" s="571"/>
      <c r="BR131" s="571"/>
      <c r="BS131" s="571"/>
      <c r="BT131" s="571"/>
      <c r="BU131" s="571"/>
      <c r="BV131" s="549"/>
      <c r="BW131" s="571"/>
      <c r="BX131" s="571"/>
    </row>
    <row r="132" spans="29:76">
      <c r="BD132" s="398"/>
      <c r="BE132" s="398"/>
      <c r="BF132" s="398"/>
      <c r="BG132" s="398"/>
      <c r="BH132" s="398"/>
      <c r="BI132" s="398"/>
      <c r="BJ132" s="398"/>
      <c r="BK132" s="398"/>
      <c r="BL132" s="398"/>
      <c r="BM132" s="398"/>
      <c r="BN132" s="398"/>
      <c r="BO132" s="571"/>
      <c r="BP132" s="571"/>
      <c r="BQ132" s="571"/>
      <c r="BR132" s="571"/>
      <c r="BS132" s="571"/>
      <c r="BT132" s="571"/>
      <c r="BU132" s="571"/>
      <c r="BV132" s="549"/>
      <c r="BW132" s="571"/>
      <c r="BX132" s="571"/>
    </row>
    <row r="133" spans="29:76">
      <c r="BD133" s="398"/>
      <c r="BE133" s="398"/>
      <c r="BF133" s="398"/>
      <c r="BG133" s="398"/>
      <c r="BH133" s="398"/>
      <c r="BI133" s="398"/>
      <c r="BJ133" s="398"/>
      <c r="BK133" s="398"/>
      <c r="BL133" s="398"/>
      <c r="BM133" s="398"/>
      <c r="BN133" s="398"/>
      <c r="BO133" s="571"/>
      <c r="BP133" s="571"/>
      <c r="BQ133" s="571"/>
      <c r="BR133" s="571"/>
      <c r="BS133" s="571"/>
      <c r="BT133" s="571"/>
      <c r="BU133" s="571"/>
      <c r="BV133" s="549"/>
      <c r="BW133" s="571"/>
      <c r="BX133" s="571"/>
    </row>
    <row r="134" spans="29:76">
      <c r="BD134" s="398"/>
      <c r="BE134" s="398"/>
      <c r="BF134" s="398"/>
      <c r="BG134" s="398"/>
      <c r="BH134" s="398"/>
      <c r="BI134" s="398"/>
      <c r="BJ134" s="398"/>
      <c r="BK134" s="398"/>
      <c r="BL134" s="398"/>
      <c r="BM134" s="398"/>
      <c r="BN134" s="398"/>
      <c r="BO134" s="571"/>
      <c r="BP134" s="571"/>
      <c r="BQ134" s="571"/>
      <c r="BR134" s="571"/>
      <c r="BS134" s="571"/>
      <c r="BT134" s="571"/>
      <c r="BU134" s="571"/>
      <c r="BV134" s="549"/>
      <c r="BW134" s="571"/>
      <c r="BX134" s="571"/>
    </row>
    <row r="135" spans="29:76">
      <c r="BD135" s="398"/>
      <c r="BE135" s="398"/>
      <c r="BF135" s="398"/>
      <c r="BG135" s="398"/>
      <c r="BH135" s="398"/>
      <c r="BI135" s="398"/>
      <c r="BJ135" s="398"/>
      <c r="BK135" s="398"/>
      <c r="BL135" s="398"/>
      <c r="BM135" s="398"/>
      <c r="BN135" s="398"/>
      <c r="BO135" s="571"/>
      <c r="BP135" s="571"/>
      <c r="BQ135" s="571"/>
      <c r="BR135" s="571"/>
      <c r="BS135" s="571"/>
      <c r="BT135" s="571"/>
      <c r="BU135" s="571"/>
      <c r="BV135" s="549"/>
      <c r="BW135" s="571"/>
      <c r="BX135" s="571"/>
    </row>
    <row r="136" spans="29:76">
      <c r="AD136" s="398"/>
      <c r="AE136" s="398"/>
      <c r="AF136" s="398"/>
      <c r="AG136" s="398"/>
      <c r="AH136" s="398"/>
      <c r="AI136" s="398"/>
      <c r="AJ136" s="398"/>
      <c r="AK136" s="398"/>
      <c r="AL136" s="398"/>
      <c r="AM136" s="398"/>
      <c r="AN136" s="398"/>
      <c r="AO136" s="398"/>
      <c r="AP136" s="398"/>
      <c r="AQ136" s="398"/>
      <c r="AR136" s="398"/>
      <c r="AS136" s="398"/>
      <c r="AT136" s="398"/>
      <c r="AU136" s="398"/>
      <c r="AV136" s="398"/>
      <c r="AW136" s="398"/>
      <c r="AX136" s="398"/>
      <c r="AY136" s="398"/>
      <c r="AZ136" s="398"/>
      <c r="BA136" s="398"/>
      <c r="BB136" s="398"/>
      <c r="BC136" s="398"/>
      <c r="BD136" s="398"/>
      <c r="BE136" s="398"/>
      <c r="BF136" s="398"/>
      <c r="BG136" s="398"/>
      <c r="BH136" s="398"/>
      <c r="BI136" s="398"/>
      <c r="BJ136" s="398"/>
      <c r="BK136" s="398"/>
      <c r="BL136" s="398"/>
      <c r="BM136" s="398"/>
      <c r="BN136" s="398"/>
      <c r="BO136" s="571"/>
      <c r="BP136" s="571"/>
      <c r="BQ136" s="571"/>
      <c r="BR136" s="571"/>
      <c r="BS136" s="571"/>
      <c r="BT136" s="571"/>
      <c r="BU136" s="571"/>
      <c r="BV136" s="549"/>
      <c r="BW136" s="571"/>
      <c r="BX136" s="571"/>
    </row>
    <row r="137" spans="29:76">
      <c r="AC137" s="398"/>
      <c r="AD137" s="398"/>
      <c r="AE137" s="398"/>
      <c r="AF137" s="398"/>
      <c r="AG137" s="398"/>
      <c r="AH137" s="398"/>
      <c r="AI137" s="398"/>
      <c r="AJ137" s="398"/>
      <c r="AK137" s="398"/>
      <c r="AL137" s="398"/>
      <c r="AM137" s="398"/>
      <c r="AN137" s="398"/>
      <c r="AO137" s="398"/>
      <c r="AP137" s="398"/>
      <c r="AQ137" s="398"/>
      <c r="AR137" s="398"/>
      <c r="AS137" s="398"/>
      <c r="AT137" s="398"/>
      <c r="AU137" s="398"/>
      <c r="AV137" s="398"/>
      <c r="AW137" s="398"/>
      <c r="AX137" s="398"/>
      <c r="AY137" s="398"/>
      <c r="AZ137" s="398"/>
      <c r="BA137" s="398"/>
      <c r="BB137" s="398"/>
      <c r="BC137" s="398"/>
      <c r="BD137" s="398"/>
      <c r="BE137" s="398"/>
      <c r="BF137" s="398"/>
      <c r="BG137" s="398"/>
      <c r="BH137" s="398"/>
      <c r="BI137" s="398"/>
      <c r="BJ137" s="398"/>
      <c r="BK137" s="398"/>
      <c r="BL137" s="398"/>
      <c r="BM137" s="398"/>
      <c r="BN137" s="398"/>
      <c r="BO137" s="571"/>
      <c r="BP137" s="571"/>
      <c r="BQ137" s="571"/>
      <c r="BR137" s="571"/>
      <c r="BS137" s="571"/>
      <c r="BT137" s="571"/>
      <c r="BU137" s="571"/>
      <c r="BV137" s="549"/>
      <c r="BW137" s="571"/>
      <c r="BX137" s="571"/>
    </row>
    <row r="138" spans="29:76">
      <c r="AC138" s="398"/>
      <c r="AD138" s="398"/>
      <c r="AE138" s="398"/>
      <c r="AF138" s="398"/>
      <c r="AG138" s="398"/>
      <c r="AH138" s="398"/>
      <c r="AI138" s="398"/>
      <c r="AJ138" s="398"/>
      <c r="AK138" s="398"/>
      <c r="AL138" s="398"/>
      <c r="AM138" s="398"/>
      <c r="AN138" s="398"/>
      <c r="AO138" s="398"/>
      <c r="AP138" s="398"/>
      <c r="AQ138" s="398"/>
      <c r="AR138" s="398"/>
      <c r="AS138" s="398"/>
      <c r="AT138" s="398"/>
      <c r="AU138" s="398"/>
      <c r="AV138" s="398"/>
      <c r="AW138" s="398"/>
      <c r="AX138" s="398"/>
      <c r="AY138" s="398"/>
      <c r="AZ138" s="398"/>
      <c r="BA138" s="398"/>
      <c r="BB138" s="398"/>
      <c r="BC138" s="398"/>
      <c r="BD138" s="398"/>
      <c r="BE138" s="398"/>
      <c r="BF138" s="398"/>
      <c r="BG138" s="398"/>
      <c r="BH138" s="398"/>
      <c r="BI138" s="398"/>
      <c r="BJ138" s="398"/>
      <c r="BK138" s="398"/>
      <c r="BL138" s="398"/>
      <c r="BM138" s="398"/>
      <c r="BN138" s="398"/>
      <c r="BO138" s="549"/>
      <c r="BP138" s="549"/>
      <c r="BQ138" s="549"/>
      <c r="BR138" s="549"/>
      <c r="BS138" s="549"/>
      <c r="BT138" s="549"/>
      <c r="BU138" s="549"/>
      <c r="BW138" s="571"/>
      <c r="BX138" s="571"/>
    </row>
    <row r="139" spans="29:76">
      <c r="AC139" s="398"/>
      <c r="AD139" s="398"/>
      <c r="AE139" s="398"/>
      <c r="AF139" s="398"/>
      <c r="AG139" s="398"/>
      <c r="AH139" s="398"/>
      <c r="AI139" s="398"/>
      <c r="AJ139" s="398"/>
      <c r="AK139" s="398"/>
      <c r="AL139" s="398"/>
      <c r="AM139" s="398"/>
      <c r="AN139" s="398"/>
      <c r="AO139" s="398"/>
      <c r="AP139" s="398"/>
      <c r="AQ139" s="398"/>
      <c r="AR139" s="398"/>
      <c r="AS139" s="398"/>
      <c r="AT139" s="398"/>
      <c r="AU139" s="398"/>
      <c r="AV139" s="398"/>
      <c r="AW139" s="398"/>
      <c r="AX139" s="398"/>
      <c r="AY139" s="398"/>
      <c r="AZ139" s="398"/>
      <c r="BA139" s="398"/>
      <c r="BB139" s="398"/>
      <c r="BC139" s="398"/>
      <c r="BD139" s="398"/>
      <c r="BE139" s="398"/>
      <c r="BF139" s="398"/>
      <c r="BG139" s="398"/>
      <c r="BH139" s="398"/>
      <c r="BI139" s="398"/>
      <c r="BJ139" s="398"/>
      <c r="BK139" s="398"/>
      <c r="BL139" s="398"/>
      <c r="BM139" s="398"/>
      <c r="BN139" s="398"/>
      <c r="BO139" s="549"/>
      <c r="BP139" s="549"/>
      <c r="BQ139" s="549"/>
      <c r="BR139" s="549"/>
      <c r="BS139" s="549"/>
      <c r="BT139" s="549"/>
      <c r="BU139" s="549"/>
      <c r="BW139" s="571"/>
      <c r="BX139" s="571"/>
    </row>
    <row r="140" spans="29:76">
      <c r="AC140" s="398"/>
      <c r="AD140" s="398"/>
      <c r="AE140" s="398"/>
      <c r="AF140" s="398"/>
      <c r="AG140" s="398"/>
      <c r="AH140" s="398"/>
      <c r="AI140" s="398"/>
      <c r="AJ140" s="398"/>
      <c r="AK140" s="398"/>
      <c r="AL140" s="398"/>
      <c r="AM140" s="398"/>
      <c r="AN140" s="398"/>
      <c r="AO140" s="398"/>
      <c r="AP140" s="398"/>
      <c r="AQ140" s="398"/>
      <c r="AR140" s="398"/>
      <c r="AS140" s="398"/>
      <c r="AT140" s="398"/>
      <c r="AU140" s="398"/>
      <c r="AV140" s="398"/>
      <c r="AW140" s="398"/>
      <c r="AX140" s="398"/>
      <c r="AY140" s="398"/>
      <c r="AZ140" s="398"/>
      <c r="BA140" s="398"/>
      <c r="BB140" s="398"/>
      <c r="BC140" s="398"/>
      <c r="BD140" s="398"/>
      <c r="BE140" s="398"/>
      <c r="BF140" s="398"/>
      <c r="BG140" s="398"/>
      <c r="BH140" s="398"/>
      <c r="BI140" s="398"/>
      <c r="BJ140" s="398"/>
      <c r="BK140" s="398"/>
      <c r="BL140" s="398"/>
      <c r="BM140" s="398"/>
      <c r="BN140" s="398"/>
      <c r="BO140" s="549"/>
      <c r="BP140" s="549"/>
      <c r="BQ140" s="549"/>
      <c r="BR140" s="549"/>
      <c r="BS140" s="549"/>
      <c r="BT140" s="549"/>
      <c r="BU140" s="549"/>
      <c r="BW140" s="571"/>
      <c r="BX140" s="571"/>
    </row>
    <row r="141" spans="29:76">
      <c r="AC141" s="398"/>
      <c r="AD141" s="398"/>
      <c r="AE141" s="398"/>
      <c r="AF141" s="398"/>
      <c r="AG141" s="398"/>
      <c r="AH141" s="398"/>
      <c r="AI141" s="398"/>
      <c r="AJ141" s="398"/>
      <c r="AK141" s="398"/>
      <c r="AL141" s="398"/>
      <c r="AM141" s="398"/>
      <c r="AN141" s="398"/>
      <c r="AO141" s="398"/>
      <c r="AP141" s="398"/>
      <c r="AQ141" s="398"/>
      <c r="AR141" s="398"/>
      <c r="AS141" s="398"/>
      <c r="AT141" s="398"/>
      <c r="AU141" s="398"/>
      <c r="AV141" s="398"/>
      <c r="AW141" s="398"/>
      <c r="AX141" s="398"/>
      <c r="AY141" s="398"/>
      <c r="AZ141" s="398"/>
      <c r="BA141" s="398"/>
      <c r="BB141" s="398"/>
      <c r="BC141" s="398"/>
      <c r="BD141" s="398"/>
      <c r="BE141" s="398"/>
      <c r="BF141" s="398"/>
      <c r="BG141" s="398"/>
      <c r="BH141" s="398"/>
      <c r="BI141" s="398"/>
      <c r="BJ141" s="398"/>
      <c r="BK141" s="398"/>
      <c r="BL141" s="398"/>
      <c r="BM141" s="398"/>
      <c r="BN141" s="398"/>
      <c r="BO141" s="549"/>
      <c r="BP141" s="549"/>
      <c r="BQ141" s="549"/>
      <c r="BR141" s="549"/>
      <c r="BS141" s="549"/>
      <c r="BT141" s="549"/>
      <c r="BU141" s="549"/>
      <c r="BW141" s="571"/>
      <c r="BX141" s="571"/>
    </row>
    <row r="142" spans="29:76">
      <c r="AC142" s="398"/>
      <c r="AD142" s="398"/>
      <c r="AE142" s="398"/>
      <c r="AF142" s="398"/>
      <c r="AG142" s="398"/>
      <c r="AH142" s="398"/>
      <c r="AI142" s="398"/>
      <c r="AJ142" s="398"/>
      <c r="AK142" s="398"/>
      <c r="AL142" s="398"/>
      <c r="AM142" s="398"/>
      <c r="AN142" s="398"/>
      <c r="AO142" s="398"/>
      <c r="AP142" s="398"/>
      <c r="AQ142" s="398"/>
      <c r="AR142" s="398"/>
      <c r="AS142" s="398"/>
      <c r="AT142" s="398"/>
      <c r="AU142" s="398"/>
      <c r="AV142" s="398"/>
      <c r="AW142" s="398"/>
      <c r="AX142" s="398"/>
      <c r="AY142" s="398"/>
      <c r="AZ142" s="398"/>
      <c r="BA142" s="398"/>
      <c r="BB142" s="398"/>
      <c r="BC142" s="398"/>
      <c r="BD142" s="398"/>
      <c r="BE142" s="398"/>
      <c r="BF142" s="398"/>
      <c r="BG142" s="398"/>
      <c r="BH142" s="398"/>
      <c r="BI142" s="398"/>
      <c r="BJ142" s="398"/>
      <c r="BK142" s="398"/>
      <c r="BL142" s="398"/>
      <c r="BM142" s="398"/>
      <c r="BN142" s="398"/>
      <c r="BO142" s="549"/>
      <c r="BP142" s="549"/>
      <c r="BQ142" s="549"/>
      <c r="BR142" s="549"/>
      <c r="BS142" s="549"/>
      <c r="BT142" s="549"/>
      <c r="BU142" s="549"/>
      <c r="BW142" s="571"/>
      <c r="BX142" s="571"/>
    </row>
    <row r="143" spans="29:76">
      <c r="AC143" s="398"/>
      <c r="AD143" s="398"/>
      <c r="AE143" s="398"/>
      <c r="AF143" s="398"/>
      <c r="AG143" s="398"/>
      <c r="AH143" s="398"/>
      <c r="AI143" s="398"/>
      <c r="AJ143" s="398"/>
      <c r="AK143" s="398"/>
      <c r="AL143" s="398"/>
      <c r="AM143" s="398"/>
      <c r="AN143" s="398"/>
      <c r="AO143" s="398"/>
      <c r="AP143" s="398"/>
      <c r="AQ143" s="398"/>
      <c r="AR143" s="398"/>
      <c r="AS143" s="398"/>
      <c r="AT143" s="398"/>
      <c r="AU143" s="398"/>
      <c r="AV143" s="398"/>
      <c r="AW143" s="398"/>
      <c r="AX143" s="398"/>
      <c r="AY143" s="398"/>
      <c r="AZ143" s="398"/>
      <c r="BA143" s="398"/>
      <c r="BB143" s="398"/>
      <c r="BC143" s="398"/>
      <c r="BD143" s="398"/>
      <c r="BE143" s="398"/>
      <c r="BF143" s="398"/>
      <c r="BG143" s="398"/>
      <c r="BH143" s="398"/>
      <c r="BI143" s="398"/>
      <c r="BJ143" s="398"/>
      <c r="BK143" s="398"/>
      <c r="BL143" s="398"/>
      <c r="BM143" s="398"/>
      <c r="BN143" s="398"/>
      <c r="BO143" s="549"/>
      <c r="BP143" s="549"/>
      <c r="BQ143" s="549"/>
      <c r="BR143" s="549"/>
      <c r="BS143" s="549"/>
      <c r="BT143" s="549"/>
      <c r="BU143" s="549"/>
      <c r="BW143" s="571"/>
      <c r="BX143" s="571"/>
    </row>
    <row r="144" spans="29:76">
      <c r="AC144" s="398"/>
      <c r="AD144" s="398"/>
      <c r="AE144" s="398"/>
      <c r="AF144" s="398"/>
      <c r="AG144" s="398"/>
      <c r="AH144" s="398"/>
      <c r="AI144" s="398"/>
      <c r="AJ144" s="398"/>
      <c r="AK144" s="398"/>
      <c r="AL144" s="398"/>
      <c r="AM144" s="398"/>
      <c r="AN144" s="398"/>
      <c r="AO144" s="398"/>
      <c r="AP144" s="398"/>
      <c r="AQ144" s="398"/>
      <c r="AR144" s="398"/>
      <c r="AS144" s="398"/>
      <c r="AT144" s="398"/>
      <c r="AU144" s="398"/>
      <c r="AV144" s="398"/>
      <c r="AW144" s="398"/>
      <c r="AX144" s="398"/>
      <c r="AY144" s="398"/>
      <c r="AZ144" s="398"/>
      <c r="BA144" s="398"/>
      <c r="BB144" s="398"/>
      <c r="BC144" s="398"/>
      <c r="BD144" s="398"/>
      <c r="BE144" s="398"/>
      <c r="BF144" s="398"/>
      <c r="BG144" s="398"/>
      <c r="BH144" s="398"/>
      <c r="BI144" s="398"/>
      <c r="BJ144" s="398"/>
      <c r="BK144" s="398"/>
      <c r="BL144" s="398"/>
      <c r="BM144" s="398"/>
      <c r="BN144" s="398"/>
      <c r="BO144" s="549"/>
      <c r="BP144" s="549"/>
      <c r="BQ144" s="549"/>
      <c r="BR144" s="549"/>
      <c r="BS144" s="549"/>
      <c r="BT144" s="549"/>
      <c r="BU144" s="549"/>
      <c r="BW144" s="571"/>
      <c r="BX144" s="571"/>
    </row>
    <row r="145" spans="29:90">
      <c r="AC145" s="398"/>
      <c r="AD145" s="398"/>
      <c r="AE145" s="398"/>
      <c r="AF145" s="398"/>
      <c r="AG145" s="398"/>
      <c r="AH145" s="398"/>
      <c r="AI145" s="398"/>
      <c r="AJ145" s="398"/>
      <c r="AK145" s="398"/>
      <c r="AL145" s="398"/>
      <c r="AM145" s="398"/>
      <c r="AN145" s="398"/>
      <c r="AO145" s="398"/>
      <c r="AP145" s="398"/>
      <c r="AQ145" s="398"/>
      <c r="AR145" s="398"/>
      <c r="AS145" s="398"/>
      <c r="AT145" s="398"/>
      <c r="AU145" s="398"/>
      <c r="AV145" s="398"/>
      <c r="AW145" s="398"/>
      <c r="AX145" s="398"/>
      <c r="AY145" s="398"/>
      <c r="AZ145" s="398"/>
      <c r="BA145" s="398"/>
      <c r="BB145" s="398"/>
      <c r="BC145" s="398"/>
      <c r="BE145" s="398"/>
      <c r="BF145" s="398"/>
      <c r="BG145" s="398"/>
      <c r="BH145" s="398"/>
      <c r="BI145" s="398"/>
      <c r="BJ145" s="398"/>
      <c r="BK145" s="398"/>
      <c r="BL145" s="398"/>
      <c r="BN145" s="398"/>
      <c r="BO145" s="549"/>
      <c r="BP145" s="549"/>
      <c r="BQ145" s="549"/>
      <c r="BR145" s="549"/>
      <c r="BS145" s="549"/>
      <c r="BT145" s="549"/>
      <c r="BU145" s="549"/>
      <c r="BW145" s="549"/>
      <c r="BX145" s="549"/>
    </row>
    <row r="146" spans="29:90">
      <c r="AC146" s="398"/>
      <c r="AD146" s="398"/>
      <c r="AE146" s="398"/>
      <c r="AF146" s="398"/>
      <c r="AG146" s="398"/>
      <c r="AH146" s="398"/>
      <c r="AI146" s="398"/>
      <c r="AJ146" s="398"/>
      <c r="AK146" s="398"/>
      <c r="AL146" s="398"/>
      <c r="AM146" s="398"/>
      <c r="AN146" s="398"/>
      <c r="AO146" s="398"/>
      <c r="AP146" s="398"/>
      <c r="AQ146" s="398"/>
      <c r="AR146" s="398"/>
      <c r="AS146" s="398"/>
      <c r="AT146" s="398"/>
      <c r="AU146" s="398"/>
      <c r="AV146" s="398"/>
      <c r="AW146" s="398"/>
      <c r="AX146" s="398"/>
      <c r="AY146" s="398"/>
      <c r="AZ146" s="398"/>
      <c r="BA146" s="398"/>
      <c r="BB146" s="398"/>
      <c r="BC146" s="398"/>
      <c r="BE146" s="398"/>
      <c r="BF146" s="398"/>
      <c r="BG146" s="398"/>
      <c r="BH146" s="398"/>
      <c r="BI146" s="398"/>
      <c r="BJ146" s="398"/>
      <c r="BK146" s="398"/>
      <c r="BL146" s="398"/>
      <c r="BN146" s="398"/>
      <c r="BO146" s="549"/>
      <c r="BP146" s="549"/>
      <c r="BQ146" s="549"/>
      <c r="BR146" s="549"/>
      <c r="BS146" s="549"/>
      <c r="BT146" s="549"/>
      <c r="BU146" s="549"/>
      <c r="BW146" s="549"/>
      <c r="BX146" s="549"/>
    </row>
    <row r="147" spans="29:90">
      <c r="AC147" s="398"/>
      <c r="AD147" s="398"/>
      <c r="AE147" s="398"/>
      <c r="AF147" s="398"/>
      <c r="AG147" s="398"/>
      <c r="AH147" s="398"/>
      <c r="AI147" s="398"/>
      <c r="AJ147" s="398"/>
      <c r="AK147" s="398"/>
      <c r="AL147" s="398"/>
      <c r="AM147" s="398"/>
      <c r="AN147" s="398"/>
      <c r="AO147" s="398"/>
      <c r="AP147" s="398"/>
      <c r="AQ147" s="398"/>
      <c r="AR147" s="398"/>
      <c r="AS147" s="398"/>
      <c r="AT147" s="398"/>
      <c r="AU147" s="398"/>
      <c r="AV147" s="398"/>
      <c r="AW147" s="398"/>
      <c r="AX147" s="398"/>
      <c r="AY147" s="398"/>
      <c r="AZ147" s="398"/>
      <c r="BA147" s="398"/>
      <c r="BB147" s="398"/>
      <c r="BC147" s="398"/>
      <c r="BE147" s="398"/>
      <c r="BF147" s="398"/>
      <c r="BG147" s="398"/>
      <c r="BH147" s="398"/>
      <c r="BI147" s="398"/>
      <c r="BJ147" s="398"/>
      <c r="BK147" s="398"/>
      <c r="BL147" s="398"/>
      <c r="BN147" s="398"/>
      <c r="BO147" s="549"/>
      <c r="BP147" s="549"/>
      <c r="BQ147" s="549"/>
      <c r="BR147" s="549"/>
      <c r="BS147" s="549"/>
      <c r="BT147" s="549"/>
      <c r="BU147" s="549"/>
      <c r="BW147" s="549"/>
      <c r="BX147" s="549"/>
    </row>
    <row r="148" spans="29:90">
      <c r="AC148" s="398"/>
      <c r="AD148" s="398"/>
      <c r="AE148" s="398"/>
      <c r="AF148" s="398"/>
      <c r="AG148" s="398"/>
      <c r="AH148" s="398"/>
      <c r="AI148" s="398"/>
      <c r="AJ148" s="398"/>
      <c r="AK148" s="398"/>
      <c r="AL148" s="398"/>
      <c r="AM148" s="398"/>
      <c r="AN148" s="398"/>
      <c r="AO148" s="398"/>
      <c r="AP148" s="398"/>
      <c r="AQ148" s="398"/>
      <c r="AR148" s="398"/>
      <c r="AS148" s="398"/>
      <c r="AT148" s="398"/>
      <c r="AU148" s="398"/>
      <c r="AV148" s="398"/>
      <c r="AW148" s="398"/>
      <c r="AX148" s="398"/>
      <c r="AY148" s="398"/>
      <c r="AZ148" s="398"/>
      <c r="BA148" s="398"/>
      <c r="BB148" s="398"/>
      <c r="BC148" s="398"/>
      <c r="BE148" s="398"/>
      <c r="BF148" s="398"/>
      <c r="BG148" s="398"/>
      <c r="BH148" s="398"/>
      <c r="BI148" s="398"/>
      <c r="BJ148" s="398"/>
      <c r="BK148" s="398"/>
      <c r="BN148" s="398"/>
      <c r="BO148" s="549"/>
      <c r="BP148" s="549"/>
      <c r="BQ148" s="549"/>
      <c r="BR148" s="549"/>
      <c r="BS148" s="549"/>
      <c r="BT148" s="549"/>
      <c r="BU148" s="549"/>
      <c r="BW148" s="549"/>
      <c r="BX148" s="549"/>
    </row>
    <row r="149" spans="29:90">
      <c r="AC149" s="398"/>
      <c r="AD149" s="398"/>
      <c r="AE149" s="398"/>
      <c r="AF149" s="398"/>
      <c r="AG149" s="398"/>
      <c r="AH149" s="398"/>
      <c r="AI149" s="398"/>
      <c r="AJ149" s="398"/>
      <c r="AK149" s="398"/>
      <c r="AL149" s="398"/>
      <c r="AM149" s="398"/>
      <c r="AN149" s="398"/>
      <c r="AO149" s="398"/>
      <c r="AP149" s="398"/>
      <c r="AQ149" s="398"/>
      <c r="AR149" s="398"/>
      <c r="AS149" s="398"/>
      <c r="AT149" s="398"/>
      <c r="AU149" s="398"/>
      <c r="AV149" s="398"/>
      <c r="AW149" s="398"/>
      <c r="AX149" s="398"/>
      <c r="AY149" s="398"/>
      <c r="AZ149" s="398"/>
      <c r="BA149" s="398"/>
      <c r="BB149" s="398"/>
      <c r="BC149" s="398"/>
      <c r="BE149" s="398"/>
      <c r="BF149" s="398"/>
      <c r="BG149" s="398"/>
      <c r="BH149" s="398"/>
      <c r="BI149" s="398"/>
      <c r="BJ149" s="398"/>
      <c r="BK149" s="398"/>
      <c r="BN149" s="398"/>
      <c r="BO149" s="549"/>
      <c r="BP149" s="549"/>
      <c r="BQ149" s="549"/>
      <c r="BR149" s="549"/>
      <c r="BS149" s="549"/>
      <c r="BT149" s="549"/>
      <c r="BU149" s="549"/>
      <c r="BW149" s="549"/>
      <c r="BX149" s="549"/>
    </row>
    <row r="150" spans="29:90">
      <c r="AC150" s="398"/>
      <c r="AD150" s="398"/>
      <c r="AE150" s="398"/>
      <c r="AF150" s="398"/>
      <c r="AG150" s="398"/>
      <c r="AH150" s="398"/>
      <c r="AI150" s="398"/>
      <c r="AJ150" s="398"/>
      <c r="AK150" s="398"/>
      <c r="AL150" s="398"/>
      <c r="AM150" s="398"/>
      <c r="AN150" s="398"/>
      <c r="AO150" s="398"/>
      <c r="AP150" s="398"/>
      <c r="AQ150" s="398"/>
      <c r="AR150" s="398"/>
      <c r="AS150" s="398"/>
      <c r="AT150" s="398"/>
      <c r="AU150" s="398"/>
      <c r="AV150" s="398"/>
      <c r="AW150" s="398"/>
      <c r="AX150" s="398"/>
      <c r="AY150" s="398"/>
      <c r="AZ150" s="398"/>
      <c r="BA150" s="398"/>
      <c r="BB150" s="398"/>
      <c r="BC150" s="398"/>
      <c r="BE150" s="398"/>
      <c r="BF150" s="398"/>
      <c r="BG150" s="398"/>
      <c r="BH150" s="398"/>
      <c r="BI150" s="398"/>
      <c r="BJ150" s="398"/>
      <c r="BK150" s="398"/>
      <c r="BN150" s="398"/>
      <c r="BO150" s="549"/>
      <c r="BP150" s="549"/>
      <c r="BQ150" s="549"/>
      <c r="BR150" s="549"/>
      <c r="BS150" s="549"/>
      <c r="BT150" s="549"/>
      <c r="BU150" s="549"/>
      <c r="BW150" s="549"/>
      <c r="BX150" s="549"/>
    </row>
    <row r="151" spans="29:90">
      <c r="BE151" s="398"/>
      <c r="BF151" s="398"/>
      <c r="BG151" s="398"/>
      <c r="BH151" s="398"/>
      <c r="BI151" s="398"/>
      <c r="BJ151" s="398"/>
      <c r="BK151" s="398"/>
      <c r="BN151" s="398"/>
      <c r="BO151" s="549"/>
      <c r="BP151" s="549"/>
      <c r="BQ151" s="549"/>
      <c r="BR151" s="549"/>
      <c r="BS151" s="549"/>
      <c r="BT151" s="549"/>
      <c r="BU151" s="549"/>
      <c r="BW151" s="549"/>
      <c r="BX151" s="549"/>
    </row>
    <row r="152" spans="29:90">
      <c r="BE152" s="398"/>
      <c r="BF152" s="398"/>
      <c r="BG152" s="398"/>
      <c r="BH152" s="398"/>
      <c r="BI152" s="398"/>
      <c r="BJ152" s="398"/>
      <c r="BK152" s="398"/>
      <c r="BN152" s="398"/>
      <c r="BO152" s="549"/>
      <c r="BP152" s="549"/>
      <c r="BQ152" s="549"/>
      <c r="BR152" s="549"/>
      <c r="BS152" s="549"/>
      <c r="BT152" s="549"/>
      <c r="BU152" s="549"/>
      <c r="BW152" s="549"/>
      <c r="BX152" s="549"/>
    </row>
    <row r="153" spans="29:90">
      <c r="BE153" s="398"/>
      <c r="BF153" s="398"/>
      <c r="BG153" s="398"/>
      <c r="BH153" s="398"/>
      <c r="BI153" s="398"/>
      <c r="BJ153" s="398"/>
      <c r="BN153" s="398"/>
      <c r="BW153" s="549"/>
      <c r="BX153" s="549"/>
    </row>
    <row r="154" spans="29:90">
      <c r="BE154" s="398"/>
      <c r="BF154" s="398"/>
      <c r="BG154" s="398"/>
      <c r="BH154" s="398"/>
      <c r="BI154" s="398"/>
      <c r="BJ154" s="398"/>
      <c r="BN154" s="398"/>
      <c r="BW154" s="549"/>
      <c r="BX154" s="549"/>
      <c r="BY154" s="571"/>
      <c r="BZ154" s="571"/>
      <c r="CA154" s="571"/>
      <c r="CB154" s="571"/>
      <c r="CC154" s="571"/>
      <c r="CD154" s="571"/>
      <c r="CE154" s="549"/>
      <c r="CF154" s="549"/>
      <c r="CG154" s="549"/>
      <c r="CH154" s="549"/>
      <c r="CI154" s="549"/>
      <c r="CJ154" s="549"/>
      <c r="CK154" s="549"/>
      <c r="CL154" s="549"/>
    </row>
    <row r="155" spans="29:90">
      <c r="BE155" s="398"/>
      <c r="BF155" s="398"/>
      <c r="BG155" s="398"/>
      <c r="BH155" s="398"/>
      <c r="BI155" s="398"/>
      <c r="BJ155" s="398"/>
      <c r="BN155" s="398"/>
      <c r="BW155" s="549"/>
      <c r="BX155" s="549"/>
      <c r="BY155" s="571"/>
      <c r="BZ155" s="571"/>
      <c r="CA155" s="571"/>
      <c r="CB155" s="571"/>
      <c r="CC155" s="571"/>
      <c r="CD155" s="571"/>
      <c r="CE155" s="549"/>
      <c r="CF155" s="549"/>
      <c r="CG155" s="549"/>
      <c r="CH155" s="549"/>
      <c r="CI155" s="549"/>
      <c r="CJ155" s="549"/>
      <c r="CK155" s="549"/>
      <c r="CL155" s="549"/>
    </row>
    <row r="156" spans="29:90">
      <c r="BE156" s="398"/>
      <c r="BF156" s="398"/>
      <c r="BG156" s="398"/>
      <c r="BH156" s="398"/>
      <c r="BI156" s="398"/>
      <c r="BJ156" s="398"/>
      <c r="BN156" s="398"/>
      <c r="BW156" s="549"/>
      <c r="BX156" s="549"/>
      <c r="BY156" s="571"/>
      <c r="BZ156" s="571"/>
      <c r="CA156" s="571"/>
      <c r="CB156" s="571"/>
      <c r="CC156" s="571"/>
      <c r="CD156" s="571"/>
      <c r="CE156" s="549"/>
      <c r="CF156" s="549"/>
      <c r="CG156" s="549"/>
      <c r="CH156" s="549"/>
      <c r="CI156" s="549"/>
      <c r="CJ156" s="549"/>
      <c r="CK156" s="549"/>
      <c r="CL156" s="549"/>
    </row>
    <row r="157" spans="29:90">
      <c r="BE157" s="398"/>
      <c r="BF157" s="398"/>
      <c r="BG157" s="398"/>
      <c r="BH157" s="398"/>
      <c r="BI157" s="398"/>
      <c r="BJ157" s="398"/>
      <c r="BN157" s="398"/>
      <c r="BW157" s="549"/>
      <c r="BX157" s="549"/>
      <c r="BY157" s="571"/>
      <c r="BZ157" s="571"/>
      <c r="CA157" s="571"/>
      <c r="CB157" s="571"/>
      <c r="CC157" s="571"/>
      <c r="CD157" s="571"/>
      <c r="CE157" s="549"/>
      <c r="CF157" s="549"/>
      <c r="CG157" s="549"/>
      <c r="CH157" s="549"/>
      <c r="CI157" s="549"/>
      <c r="CJ157" s="549"/>
      <c r="CK157" s="549"/>
      <c r="CL157" s="549"/>
    </row>
    <row r="158" spans="29:90">
      <c r="BN158" s="398"/>
      <c r="BW158" s="549"/>
      <c r="BX158" s="549"/>
      <c r="BY158" s="571"/>
      <c r="BZ158" s="571"/>
      <c r="CA158" s="571"/>
      <c r="CB158" s="571"/>
      <c r="CC158" s="571"/>
      <c r="CD158" s="571"/>
      <c r="CE158" s="549"/>
      <c r="CF158" s="549"/>
      <c r="CG158" s="549"/>
      <c r="CH158" s="549"/>
      <c r="CI158" s="549"/>
      <c r="CJ158" s="549"/>
      <c r="CK158" s="549"/>
      <c r="CL158" s="549"/>
    </row>
    <row r="159" spans="29:90">
      <c r="BN159" s="398"/>
      <c r="BW159" s="549"/>
      <c r="BX159" s="549"/>
      <c r="BY159" s="571"/>
      <c r="BZ159" s="571"/>
      <c r="CA159" s="571"/>
      <c r="CB159" s="571"/>
      <c r="CC159" s="571"/>
      <c r="CD159" s="571"/>
      <c r="CE159" s="549"/>
      <c r="CF159" s="549"/>
      <c r="CG159" s="549"/>
      <c r="CH159" s="549"/>
      <c r="CI159" s="549"/>
      <c r="CJ159" s="549"/>
      <c r="CK159" s="549"/>
      <c r="CL159" s="549"/>
    </row>
    <row r="160" spans="29:90">
      <c r="BY160" s="398"/>
      <c r="BZ160" s="398"/>
      <c r="CA160" s="398"/>
      <c r="CB160" s="398"/>
      <c r="CC160" s="398"/>
      <c r="CD160" s="398"/>
    </row>
    <row r="193" spans="19:24">
      <c r="S193" s="398"/>
      <c r="T193" s="398"/>
      <c r="U193" s="398"/>
      <c r="V193" s="398"/>
      <c r="W193" s="398"/>
      <c r="X193" s="398"/>
    </row>
  </sheetData>
  <mergeCells count="4">
    <mergeCell ref="BR3:BS3"/>
    <mergeCell ref="BT3:BU3"/>
    <mergeCell ref="BW49:BX49"/>
    <mergeCell ref="BS60:BT60"/>
  </mergeCells>
  <pageMargins left="0.25" right="0.25" top="0.75" bottom="0.75" header="0.3" footer="0.3"/>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7699-1E31-4257-903D-1072232B27DC}">
  <sheetPr>
    <tabColor rgb="FFFFFF00"/>
    <pageSetUpPr fitToPage="1"/>
  </sheetPr>
  <dimension ref="A1:FN125"/>
  <sheetViews>
    <sheetView showGridLines="0" topLeftCell="EN1" zoomScale="90" zoomScaleNormal="90" workbookViewId="0">
      <selection activeCell="A44" sqref="A44"/>
    </sheetView>
  </sheetViews>
  <sheetFormatPr defaultColWidth="9.140625" defaultRowHeight="12.75"/>
  <cols>
    <col min="1" max="1" width="32.7109375" style="585" customWidth="1"/>
    <col min="2" max="6" width="9.140625" style="585"/>
    <col min="7" max="7" width="8.42578125" style="585" customWidth="1"/>
    <col min="8" max="10" width="9.140625" style="585"/>
    <col min="11" max="11" width="45.7109375" style="585" customWidth="1"/>
    <col min="12" max="19" width="15.7109375" style="585" customWidth="1"/>
    <col min="20" max="20" width="38.7109375" style="585" customWidth="1"/>
    <col min="21" max="29" width="15.7109375" style="585" customWidth="1"/>
    <col min="30" max="30" width="38.7109375" style="585" customWidth="1"/>
    <col min="31" max="39" width="15.7109375" style="585" customWidth="1"/>
    <col min="40" max="40" width="38.7109375" style="585" customWidth="1"/>
    <col min="41" max="45" width="15.7109375" style="585" customWidth="1"/>
    <col min="46" max="46" width="14.7109375" style="585" customWidth="1"/>
    <col min="47" max="51" width="15.7109375" style="585" customWidth="1"/>
    <col min="52" max="52" width="52.7109375" style="585" customWidth="1"/>
    <col min="53" max="59" width="14.7109375" style="585" customWidth="1"/>
    <col min="60" max="61" width="15.7109375" style="585" customWidth="1"/>
    <col min="62" max="62" width="52.7109375" style="585" customWidth="1"/>
    <col min="63" max="70" width="14.7109375" style="585" customWidth="1"/>
    <col min="71" max="71" width="15.7109375" style="585" customWidth="1"/>
    <col min="72" max="72" width="52.7109375" style="585" customWidth="1"/>
    <col min="73" max="81" width="14.7109375" style="585" customWidth="1"/>
    <col min="82" max="83" width="15.7109375" style="585" customWidth="1"/>
    <col min="84" max="84" width="42.42578125" style="585" customWidth="1"/>
    <col min="85" max="96" width="9.7109375" style="585" customWidth="1"/>
    <col min="97" max="98" width="15.7109375" style="585" customWidth="1"/>
    <col min="99" max="99" width="42.42578125" style="585" customWidth="1"/>
    <col min="100" max="111" width="9.7109375" style="585" customWidth="1"/>
    <col min="112" max="113" width="15.7109375" style="585" customWidth="1"/>
    <col min="114" max="114" width="28.7109375" style="585" customWidth="1"/>
    <col min="115" max="117" width="10.7109375" style="585" customWidth="1"/>
    <col min="118" max="122" width="11.7109375" style="585" customWidth="1"/>
    <col min="123" max="123" width="28.7109375" style="585" customWidth="1"/>
    <col min="124" max="130" width="10.7109375" style="585" customWidth="1"/>
    <col min="131" max="131" width="14.7109375" style="585" customWidth="1"/>
    <col min="132" max="132" width="25.7109375" style="585" customWidth="1"/>
    <col min="133" max="134" width="13.7109375" style="585" customWidth="1"/>
    <col min="135" max="140" width="11.7109375" style="585" customWidth="1"/>
    <col min="141" max="141" width="9.140625" style="585"/>
    <col min="142" max="142" width="45.7109375" style="585" customWidth="1"/>
    <col min="143" max="153" width="12.7109375" style="585" customWidth="1"/>
    <col min="154" max="154" width="11.7109375" style="585" customWidth="1"/>
    <col min="155" max="161" width="9.7109375" style="585" customWidth="1"/>
    <col min="162" max="162" width="12.7109375" style="585" customWidth="1"/>
    <col min="163" max="163" width="11.7109375" style="585" customWidth="1"/>
    <col min="164" max="16384" width="9.140625" style="585"/>
  </cols>
  <sheetData>
    <row r="1" spans="1:170">
      <c r="A1" s="382" t="s">
        <v>4577</v>
      </c>
      <c r="K1" s="382" t="s">
        <v>4557</v>
      </c>
      <c r="L1" s="382"/>
      <c r="M1" s="382"/>
      <c r="N1" s="382"/>
      <c r="O1" s="382"/>
      <c r="P1" s="382"/>
      <c r="T1" s="381" t="s">
        <v>4558</v>
      </c>
      <c r="U1" s="586"/>
      <c r="V1" s="586"/>
      <c r="W1" s="586"/>
      <c r="X1" s="586"/>
      <c r="Y1" s="586"/>
      <c r="Z1" s="586"/>
      <c r="AA1" s="586"/>
      <c r="AD1" s="381" t="s">
        <v>4559</v>
      </c>
      <c r="AE1" s="586"/>
      <c r="AF1" s="586"/>
      <c r="AG1" s="586"/>
      <c r="AH1" s="586"/>
      <c r="AI1" s="586"/>
      <c r="AJ1" s="586"/>
      <c r="AK1" s="586"/>
      <c r="AN1" s="381" t="s">
        <v>4560</v>
      </c>
      <c r="AO1" s="586"/>
      <c r="AP1" s="586"/>
      <c r="AQ1" s="586"/>
      <c r="AR1" s="586"/>
      <c r="AS1" s="586"/>
      <c r="AT1" s="586"/>
      <c r="AU1" s="586"/>
      <c r="AV1" s="586"/>
      <c r="AW1" s="586"/>
      <c r="AZ1" s="382" t="s">
        <v>4561</v>
      </c>
      <c r="BJ1" s="382" t="s">
        <v>4562</v>
      </c>
      <c r="BT1" s="382" t="s">
        <v>4563</v>
      </c>
      <c r="CF1" s="382" t="s">
        <v>4564</v>
      </c>
      <c r="CU1" s="381" t="s">
        <v>4565</v>
      </c>
      <c r="CV1" s="586"/>
      <c r="DJ1" s="382" t="s">
        <v>4566</v>
      </c>
      <c r="DK1" s="382"/>
      <c r="DL1" s="382"/>
      <c r="DM1" s="382"/>
      <c r="DN1" s="382"/>
      <c r="DO1" s="382"/>
      <c r="DP1" s="870"/>
      <c r="DS1" s="382" t="s">
        <v>4567</v>
      </c>
      <c r="DT1" s="382"/>
      <c r="DU1" s="382"/>
      <c r="DV1" s="382"/>
      <c r="DW1" s="382"/>
      <c r="DX1" s="382"/>
      <c r="DY1" s="870"/>
      <c r="EB1" s="382" t="s">
        <v>4568</v>
      </c>
      <c r="EC1" s="382"/>
      <c r="ED1" s="382"/>
      <c r="EE1" s="382"/>
      <c r="EF1" s="382"/>
      <c r="EG1" s="382"/>
      <c r="EH1" s="382"/>
      <c r="EI1" s="382"/>
      <c r="EJ1" s="382"/>
      <c r="EL1" s="382" t="s">
        <v>4569</v>
      </c>
      <c r="EM1" s="382"/>
      <c r="EN1" s="382"/>
      <c r="EO1" s="382"/>
      <c r="EP1" s="382"/>
      <c r="EQ1" s="382"/>
      <c r="ER1" s="382"/>
      <c r="ES1" s="382"/>
      <c r="ET1" s="382"/>
      <c r="EU1" s="382"/>
      <c r="EW1" s="870"/>
      <c r="EX1" s="870"/>
    </row>
    <row r="2" spans="1:170" ht="12.75" customHeight="1">
      <c r="A2" s="585" t="s">
        <v>4585</v>
      </c>
      <c r="K2" s="998" t="s">
        <v>1810</v>
      </c>
      <c r="L2" s="998">
        <v>2023</v>
      </c>
      <c r="M2" s="999" t="s">
        <v>4570</v>
      </c>
      <c r="N2" s="998">
        <v>2021</v>
      </c>
      <c r="O2" s="998">
        <v>2020</v>
      </c>
      <c r="P2" s="998">
        <v>2019</v>
      </c>
      <c r="Q2" s="588">
        <v>2018</v>
      </c>
      <c r="U2" s="604"/>
      <c r="V2" s="602"/>
      <c r="W2" s="2101" t="s">
        <v>4571</v>
      </c>
      <c r="X2" s="2102"/>
      <c r="Y2" s="2103"/>
      <c r="Z2" s="606" t="s">
        <v>4572</v>
      </c>
      <c r="AA2" s="602"/>
      <c r="AE2" s="604"/>
      <c r="AF2" s="602"/>
      <c r="AG2" s="2101" t="s">
        <v>4571</v>
      </c>
      <c r="AH2" s="2102"/>
      <c r="AI2" s="2103"/>
      <c r="AJ2" s="606" t="s">
        <v>4572</v>
      </c>
      <c r="AK2" s="602"/>
      <c r="AO2" s="604"/>
      <c r="AP2" s="602"/>
      <c r="AQ2" s="2101" t="s">
        <v>4571</v>
      </c>
      <c r="AR2" s="2102"/>
      <c r="AS2" s="2102"/>
      <c r="AT2" s="2102"/>
      <c r="AU2" s="2103"/>
      <c r="AV2" s="606" t="s">
        <v>4572</v>
      </c>
      <c r="AW2" s="602"/>
      <c r="AZ2" s="1000" t="s">
        <v>4573</v>
      </c>
      <c r="BJ2" s="1000" t="s">
        <v>4574</v>
      </c>
      <c r="BT2" s="1000" t="s">
        <v>4575</v>
      </c>
      <c r="CF2" s="998" t="s">
        <v>4576</v>
      </c>
      <c r="CG2" s="1001" t="s">
        <v>1011</v>
      </c>
      <c r="CH2" s="589">
        <v>2023</v>
      </c>
      <c r="CI2" s="589">
        <v>2022</v>
      </c>
      <c r="CJ2" s="590">
        <v>2021</v>
      </c>
      <c r="CK2" s="589">
        <v>2020</v>
      </c>
      <c r="CL2" s="589">
        <v>2019</v>
      </c>
      <c r="CM2" s="589">
        <v>2018</v>
      </c>
      <c r="CN2" s="589">
        <v>2017</v>
      </c>
      <c r="CO2" s="589">
        <v>2016</v>
      </c>
      <c r="CP2" s="589">
        <v>2015</v>
      </c>
      <c r="CQ2" s="589">
        <v>2014</v>
      </c>
      <c r="CR2" s="590">
        <v>2013</v>
      </c>
      <c r="CU2" s="588" t="s">
        <v>1810</v>
      </c>
      <c r="CV2" s="590" t="s">
        <v>1011</v>
      </c>
      <c r="CW2" s="590">
        <v>2023</v>
      </c>
      <c r="CX2" s="590">
        <v>2022</v>
      </c>
      <c r="CY2" s="590">
        <v>2021</v>
      </c>
      <c r="CZ2" s="590">
        <v>2020</v>
      </c>
      <c r="DA2" s="590">
        <v>2019</v>
      </c>
      <c r="DB2" s="590">
        <v>2018</v>
      </c>
      <c r="DC2" s="590">
        <v>2017</v>
      </c>
      <c r="DD2" s="590">
        <v>2016</v>
      </c>
      <c r="DE2" s="590">
        <v>2015</v>
      </c>
      <c r="DF2" s="590">
        <v>2014</v>
      </c>
      <c r="DG2" s="590">
        <v>2013</v>
      </c>
      <c r="DJ2" s="586" t="s">
        <v>127</v>
      </c>
      <c r="DK2" s="586"/>
      <c r="DL2" s="586"/>
      <c r="DM2" s="586"/>
      <c r="DN2" s="586"/>
      <c r="DO2" s="586"/>
      <c r="DP2" s="586"/>
      <c r="DS2" s="586" t="s">
        <v>127</v>
      </c>
      <c r="DT2" s="586"/>
      <c r="DU2" s="586"/>
      <c r="DV2" s="586"/>
      <c r="DW2" s="586"/>
      <c r="DX2" s="586"/>
      <c r="DY2" s="586"/>
      <c r="EB2" s="585" t="s">
        <v>4346</v>
      </c>
      <c r="EL2" s="585" t="s">
        <v>4346</v>
      </c>
      <c r="ET2" s="855"/>
      <c r="FH2" s="598"/>
      <c r="FI2" s="1002"/>
      <c r="FL2" s="1002"/>
    </row>
    <row r="3" spans="1:170" ht="12.75" customHeight="1">
      <c r="A3" s="998" t="s">
        <v>4592</v>
      </c>
      <c r="B3" s="939">
        <v>2023</v>
      </c>
      <c r="C3" s="939">
        <v>2022</v>
      </c>
      <c r="D3" s="939">
        <v>2021</v>
      </c>
      <c r="E3" s="939">
        <v>2020</v>
      </c>
      <c r="F3" s="939">
        <v>2019</v>
      </c>
      <c r="G3" s="939">
        <v>2018</v>
      </c>
      <c r="K3" s="585" t="s">
        <v>4578</v>
      </c>
      <c r="U3" s="893"/>
      <c r="V3" s="893"/>
      <c r="W3" s="603" t="s">
        <v>4579</v>
      </c>
      <c r="X3" s="604"/>
      <c r="Y3" s="603" t="s">
        <v>4580</v>
      </c>
      <c r="Z3" s="422"/>
      <c r="AA3" s="422" t="s">
        <v>1709</v>
      </c>
      <c r="AE3" s="893"/>
      <c r="AF3" s="893"/>
      <c r="AG3" s="603" t="s">
        <v>4579</v>
      </c>
      <c r="AH3" s="604"/>
      <c r="AI3" s="603" t="s">
        <v>4580</v>
      </c>
      <c r="AJ3" s="422"/>
      <c r="AK3" s="422" t="s">
        <v>1709</v>
      </c>
      <c r="AO3" s="893"/>
      <c r="AP3" s="893"/>
      <c r="AQ3" s="603" t="s">
        <v>4579</v>
      </c>
      <c r="AR3" s="604"/>
      <c r="AS3" s="603" t="s">
        <v>4581</v>
      </c>
      <c r="AT3" s="603"/>
      <c r="AU3" s="603" t="s">
        <v>4580</v>
      </c>
      <c r="AV3" s="422"/>
      <c r="AW3" s="422" t="s">
        <v>1709</v>
      </c>
      <c r="BA3" s="604"/>
      <c r="BB3" s="604"/>
      <c r="BC3" s="2101" t="s">
        <v>4571</v>
      </c>
      <c r="BD3" s="2102"/>
      <c r="BE3" s="2103"/>
      <c r="BF3" s="606" t="s">
        <v>4572</v>
      </c>
      <c r="BG3" s="602"/>
      <c r="BK3" s="604"/>
      <c r="BL3" s="604"/>
      <c r="BM3" s="2101" t="s">
        <v>4571</v>
      </c>
      <c r="BN3" s="2102"/>
      <c r="BO3" s="2103"/>
      <c r="BP3" s="606" t="s">
        <v>4572</v>
      </c>
      <c r="BQ3" s="602"/>
      <c r="BU3" s="604"/>
      <c r="BV3" s="604"/>
      <c r="BW3" s="2101" t="s">
        <v>4571</v>
      </c>
      <c r="BX3" s="2102"/>
      <c r="BY3" s="2102"/>
      <c r="BZ3" s="2102"/>
      <c r="CA3" s="2103"/>
      <c r="CB3" s="606" t="s">
        <v>4572</v>
      </c>
      <c r="CC3" s="602"/>
      <c r="CF3" s="585" t="s">
        <v>4582</v>
      </c>
      <c r="CU3" s="585" t="s">
        <v>4583</v>
      </c>
      <c r="CV3" s="599" t="s">
        <v>4584</v>
      </c>
      <c r="CW3" s="599">
        <v>964.8</v>
      </c>
      <c r="CX3" s="743">
        <v>814</v>
      </c>
      <c r="CY3" s="743">
        <f>CY4+CY8+CY11+CY12</f>
        <v>749.40000000000009</v>
      </c>
      <c r="CZ3" s="743">
        <f>CZ4+CZ8+CZ11+CZ12</f>
        <v>747.19999999999993</v>
      </c>
      <c r="DA3" s="743">
        <f>DA4+DA8+DA11+DA12</f>
        <v>700.2</v>
      </c>
      <c r="DB3" s="743">
        <f>DB4+DB8+DB11+DB12</f>
        <v>688</v>
      </c>
      <c r="DC3" s="1003">
        <v>709</v>
      </c>
      <c r="DD3" s="599">
        <v>685.7</v>
      </c>
      <c r="DE3" s="599">
        <v>647.79999999999995</v>
      </c>
      <c r="DF3" s="743">
        <v>647.6</v>
      </c>
      <c r="DG3" s="599">
        <v>610.6</v>
      </c>
      <c r="DJ3" s="588" t="s">
        <v>1810</v>
      </c>
      <c r="DK3" s="938">
        <v>2023</v>
      </c>
      <c r="DL3" s="938">
        <v>2022</v>
      </c>
      <c r="DM3" s="938">
        <v>2021</v>
      </c>
      <c r="DN3" s="938">
        <v>2020</v>
      </c>
      <c r="DO3" s="938">
        <v>2019</v>
      </c>
      <c r="DP3" s="939">
        <v>2018</v>
      </c>
      <c r="DS3" s="588" t="s">
        <v>1810</v>
      </c>
      <c r="DT3" s="588">
        <v>2017</v>
      </c>
      <c r="DU3" s="938">
        <v>2016</v>
      </c>
      <c r="DV3" s="939">
        <v>2015</v>
      </c>
      <c r="DW3" s="939">
        <v>2014</v>
      </c>
      <c r="DX3" s="939">
        <v>2013</v>
      </c>
      <c r="DY3" s="939">
        <v>2012</v>
      </c>
      <c r="EB3" s="998" t="s">
        <v>1810</v>
      </c>
      <c r="EC3" s="938">
        <v>2023</v>
      </c>
      <c r="ED3" s="998">
        <v>2022</v>
      </c>
      <c r="EE3" s="998">
        <v>2021</v>
      </c>
      <c r="EF3" s="998">
        <v>2020</v>
      </c>
      <c r="EG3" s="998">
        <v>2019</v>
      </c>
      <c r="EH3" s="998">
        <v>2018</v>
      </c>
      <c r="EI3" s="588">
        <v>2017</v>
      </c>
      <c r="EL3" s="998" t="s">
        <v>1810</v>
      </c>
      <c r="EM3" s="998">
        <v>2023</v>
      </c>
      <c r="EN3" s="998">
        <v>2022</v>
      </c>
      <c r="EO3" s="998">
        <v>2021</v>
      </c>
      <c r="EP3" s="998">
        <v>2020</v>
      </c>
      <c r="EQ3" s="998">
        <v>2019</v>
      </c>
      <c r="ER3" s="998">
        <v>2018</v>
      </c>
      <c r="ES3" s="588">
        <v>2017</v>
      </c>
      <c r="FF3" s="1004"/>
      <c r="FG3" s="1004"/>
      <c r="FH3" s="599"/>
      <c r="FI3" s="599"/>
      <c r="FJ3" s="599"/>
      <c r="FK3" s="599"/>
      <c r="FL3" s="599"/>
      <c r="FM3" s="599"/>
      <c r="FN3" s="599"/>
    </row>
    <row r="4" spans="1:170">
      <c r="A4" s="585" t="s">
        <v>4602</v>
      </c>
      <c r="B4" s="623">
        <v>964.8</v>
      </c>
      <c r="C4" s="623">
        <v>814</v>
      </c>
      <c r="D4" s="623">
        <v>749.4</v>
      </c>
      <c r="E4" s="623">
        <v>747.2</v>
      </c>
      <c r="F4" s="623">
        <v>700.2</v>
      </c>
      <c r="G4" s="623">
        <v>688</v>
      </c>
      <c r="U4" s="893"/>
      <c r="V4" s="893"/>
      <c r="W4" s="421" t="s">
        <v>4371</v>
      </c>
      <c r="X4" s="421" t="s">
        <v>4586</v>
      </c>
      <c r="Y4" s="421" t="s">
        <v>4579</v>
      </c>
      <c r="Z4" s="422" t="s">
        <v>1705</v>
      </c>
      <c r="AA4" s="422" t="s">
        <v>4587</v>
      </c>
      <c r="AE4" s="893"/>
      <c r="AF4" s="893"/>
      <c r="AG4" s="421" t="s">
        <v>4371</v>
      </c>
      <c r="AH4" s="421" t="s">
        <v>4586</v>
      </c>
      <c r="AI4" s="421" t="s">
        <v>4579</v>
      </c>
      <c r="AJ4" s="422" t="s">
        <v>1705</v>
      </c>
      <c r="AK4" s="422" t="s">
        <v>4587</v>
      </c>
      <c r="AO4" s="893"/>
      <c r="AP4" s="893"/>
      <c r="AQ4" s="421" t="s">
        <v>4371</v>
      </c>
      <c r="AR4" s="421" t="s">
        <v>4586</v>
      </c>
      <c r="AS4" s="421" t="s">
        <v>4588</v>
      </c>
      <c r="AT4" s="421"/>
      <c r="AU4" s="421" t="s">
        <v>4579</v>
      </c>
      <c r="AV4" s="422" t="s">
        <v>1705</v>
      </c>
      <c r="AW4" s="422" t="s">
        <v>4587</v>
      </c>
      <c r="BA4" s="851"/>
      <c r="BB4" s="851"/>
      <c r="BC4" s="851"/>
      <c r="BD4" s="851"/>
      <c r="BE4" s="422" t="s">
        <v>4580</v>
      </c>
      <c r="BF4" s="422"/>
      <c r="BG4" s="422" t="s">
        <v>1709</v>
      </c>
      <c r="BK4" s="851"/>
      <c r="BL4" s="851"/>
      <c r="BM4" s="851"/>
      <c r="BN4" s="851"/>
      <c r="BO4" s="422" t="s">
        <v>4580</v>
      </c>
      <c r="BP4" s="422"/>
      <c r="BQ4" s="422" t="s">
        <v>1709</v>
      </c>
      <c r="BR4" s="599"/>
      <c r="BU4" s="851"/>
      <c r="BV4" s="851"/>
      <c r="BW4" s="851"/>
      <c r="BX4" s="851"/>
      <c r="BY4" s="465" t="s">
        <v>4581</v>
      </c>
      <c r="BZ4" s="465"/>
      <c r="CA4" s="422" t="s">
        <v>4580</v>
      </c>
      <c r="CB4" s="422"/>
      <c r="CC4" s="422" t="s">
        <v>1709</v>
      </c>
      <c r="CF4" s="382" t="s">
        <v>4589</v>
      </c>
      <c r="CG4" s="599" t="s">
        <v>4584</v>
      </c>
      <c r="CH4" s="599">
        <v>40.200000000000003</v>
      </c>
      <c r="CI4" s="599">
        <v>33.200000000000003</v>
      </c>
      <c r="CJ4" s="599">
        <v>43.6</v>
      </c>
      <c r="CK4" s="599">
        <v>58.3</v>
      </c>
      <c r="CL4" s="743">
        <v>69.400000000000006</v>
      </c>
      <c r="CM4" s="599">
        <v>69.400000000000006</v>
      </c>
      <c r="CN4" s="599">
        <v>70.5</v>
      </c>
      <c r="CO4" s="599">
        <v>65.599999999999994</v>
      </c>
      <c r="CP4" s="599">
        <v>64.2</v>
      </c>
      <c r="CQ4" s="743">
        <v>62.9</v>
      </c>
      <c r="CR4" s="599">
        <v>59.8</v>
      </c>
      <c r="CU4" s="382" t="s">
        <v>4590</v>
      </c>
      <c r="CV4" s="599" t="s">
        <v>4584</v>
      </c>
      <c r="CW4" s="599">
        <v>814.4</v>
      </c>
      <c r="CX4" s="599">
        <f>SUM(CX5:CX7)</f>
        <v>703.2</v>
      </c>
      <c r="CY4" s="599">
        <f>SUM(CY5:CY7)</f>
        <v>653.4</v>
      </c>
      <c r="CZ4" s="599">
        <f>SUM(CZ5:CZ7)</f>
        <v>625.4</v>
      </c>
      <c r="DA4" s="599">
        <f>SUM(DA5:DA7)</f>
        <v>599.20000000000005</v>
      </c>
      <c r="DB4" s="599">
        <f>SUM(DB5:DB7)</f>
        <v>590.5</v>
      </c>
      <c r="DC4" s="599">
        <v>594.70000000000005</v>
      </c>
      <c r="DD4" s="743">
        <v>585</v>
      </c>
      <c r="DE4" s="599">
        <v>553.70000000000005</v>
      </c>
      <c r="DF4" s="743">
        <v>537.9</v>
      </c>
      <c r="DG4" s="599">
        <v>486.3</v>
      </c>
      <c r="DJ4" s="615" t="s">
        <v>4591</v>
      </c>
      <c r="DK4" s="1005">
        <v>983996</v>
      </c>
      <c r="DL4" s="980">
        <v>880694</v>
      </c>
      <c r="DM4" s="980">
        <f>SUM(DM5:DM15)</f>
        <v>816471</v>
      </c>
      <c r="DN4" s="980">
        <f t="shared" ref="DN4:DP4" si="0">SUM(DN5:DN15)</f>
        <v>821836</v>
      </c>
      <c r="DO4" s="980">
        <f t="shared" si="0"/>
        <v>812172</v>
      </c>
      <c r="DP4" s="980">
        <f t="shared" si="0"/>
        <v>791123</v>
      </c>
      <c r="DQ4" s="980"/>
      <c r="DR4" s="525"/>
      <c r="DS4" s="615" t="s">
        <v>4591</v>
      </c>
      <c r="DT4" s="980">
        <f t="shared" ref="DT4:DY4" si="1">SUM(DT5:DT15)</f>
        <v>790303</v>
      </c>
      <c r="DU4" s="980">
        <f t="shared" si="1"/>
        <v>765287</v>
      </c>
      <c r="DV4" s="980">
        <f t="shared" si="1"/>
        <v>724529</v>
      </c>
      <c r="DW4" s="980">
        <f t="shared" si="1"/>
        <v>718186</v>
      </c>
      <c r="DX4" s="980">
        <f t="shared" si="1"/>
        <v>663397</v>
      </c>
      <c r="DY4" s="525">
        <f t="shared" si="1"/>
        <v>636505</v>
      </c>
      <c r="DZ4" s="525"/>
      <c r="EB4" s="585" t="s">
        <v>129</v>
      </c>
      <c r="EC4" s="585">
        <v>905.1</v>
      </c>
      <c r="ED4" s="585">
        <v>915.2</v>
      </c>
      <c r="EE4" s="585">
        <v>911.3</v>
      </c>
      <c r="EF4" s="585">
        <v>947.5</v>
      </c>
      <c r="EG4" s="585">
        <v>951.3</v>
      </c>
      <c r="EH4" s="855">
        <v>998.3</v>
      </c>
      <c r="EI4" s="855">
        <v>1033.2</v>
      </c>
      <c r="EJ4" s="855"/>
      <c r="EL4" s="891" t="s">
        <v>3507</v>
      </c>
      <c r="EM4" s="855">
        <v>1064.4000000000001</v>
      </c>
      <c r="EN4" s="855">
        <v>1086.2</v>
      </c>
      <c r="EO4" s="855">
        <v>1143</v>
      </c>
      <c r="EP4" s="855">
        <v>1043.3</v>
      </c>
      <c r="EQ4" s="855">
        <v>1073.4000000000001</v>
      </c>
      <c r="ER4" s="855">
        <f>ER5+ER8+ER19</f>
        <v>1073.0999999999999</v>
      </c>
      <c r="ES4" s="855">
        <f>ES5+ES8+ES19</f>
        <v>1096.7</v>
      </c>
      <c r="ET4" s="1006"/>
      <c r="EU4" s="855"/>
      <c r="EV4" s="855"/>
      <c r="EW4" s="623"/>
      <c r="EX4" s="855"/>
      <c r="EY4" s="855"/>
      <c r="EZ4" s="855"/>
      <c r="FA4" s="855"/>
      <c r="FB4" s="855"/>
      <c r="FC4" s="855"/>
      <c r="FD4" s="855"/>
      <c r="FE4" s="855"/>
      <c r="FH4" s="599"/>
      <c r="FI4" s="525"/>
      <c r="FJ4" s="525"/>
      <c r="FK4" s="525"/>
      <c r="FL4" s="525"/>
      <c r="FM4" s="525"/>
      <c r="FN4" s="525"/>
    </row>
    <row r="5" spans="1:170">
      <c r="A5" s="585" t="s">
        <v>4609</v>
      </c>
      <c r="B5" s="623">
        <v>881.7</v>
      </c>
      <c r="C5" s="623">
        <v>713.2</v>
      </c>
      <c r="D5" s="623">
        <v>725</v>
      </c>
      <c r="E5" s="623">
        <v>700.5</v>
      </c>
      <c r="F5" s="623">
        <v>672</v>
      </c>
      <c r="G5" s="623">
        <v>683.8</v>
      </c>
      <c r="K5" s="585" t="s">
        <v>4593</v>
      </c>
      <c r="L5" s="525">
        <v>276594687</v>
      </c>
      <c r="M5" s="525">
        <v>200184</v>
      </c>
      <c r="N5" s="525">
        <v>231513116</v>
      </c>
      <c r="O5" s="525">
        <v>166369006</v>
      </c>
      <c r="P5" s="525">
        <v>69043453</v>
      </c>
      <c r="Q5" s="525">
        <v>56072078</v>
      </c>
      <c r="R5" s="525"/>
      <c r="S5" s="525"/>
      <c r="T5" s="381" t="s">
        <v>1810</v>
      </c>
      <c r="U5" s="614" t="s">
        <v>129</v>
      </c>
      <c r="V5" s="614" t="s">
        <v>4594</v>
      </c>
      <c r="W5" s="614" t="s">
        <v>4595</v>
      </c>
      <c r="X5" s="614" t="s">
        <v>4595</v>
      </c>
      <c r="Y5" s="614" t="s">
        <v>4371</v>
      </c>
      <c r="Z5" s="611" t="s">
        <v>2283</v>
      </c>
      <c r="AA5" s="611" t="s">
        <v>4596</v>
      </c>
      <c r="AB5" s="525"/>
      <c r="AC5" s="525"/>
      <c r="AD5" s="381" t="s">
        <v>1810</v>
      </c>
      <c r="AE5" s="614" t="s">
        <v>129</v>
      </c>
      <c r="AF5" s="614" t="s">
        <v>4594</v>
      </c>
      <c r="AG5" s="614" t="s">
        <v>4595</v>
      </c>
      <c r="AH5" s="614" t="s">
        <v>4595</v>
      </c>
      <c r="AI5" s="614" t="s">
        <v>4371</v>
      </c>
      <c r="AJ5" s="611" t="s">
        <v>2283</v>
      </c>
      <c r="AK5" s="611" t="s">
        <v>4596</v>
      </c>
      <c r="AL5" s="525"/>
      <c r="AM5" s="525"/>
      <c r="AN5" s="586" t="s">
        <v>1810</v>
      </c>
      <c r="AO5" s="614" t="s">
        <v>129</v>
      </c>
      <c r="AP5" s="614" t="s">
        <v>4594</v>
      </c>
      <c r="AQ5" s="614" t="s">
        <v>4595</v>
      </c>
      <c r="AR5" s="614" t="s">
        <v>4595</v>
      </c>
      <c r="AS5" s="614" t="s">
        <v>4595</v>
      </c>
      <c r="AT5" s="614" t="s">
        <v>4597</v>
      </c>
      <c r="AU5" s="614" t="s">
        <v>4371</v>
      </c>
      <c r="AV5" s="611" t="s">
        <v>2283</v>
      </c>
      <c r="AW5" s="611" t="s">
        <v>4596</v>
      </c>
      <c r="AX5" s="525"/>
      <c r="AY5" s="525"/>
      <c r="BA5" s="851"/>
      <c r="BB5" s="851"/>
      <c r="BC5" s="422" t="s">
        <v>4579</v>
      </c>
      <c r="BD5" s="465" t="s">
        <v>4586</v>
      </c>
      <c r="BE5" s="422" t="s">
        <v>4579</v>
      </c>
      <c r="BF5" s="422" t="s">
        <v>1705</v>
      </c>
      <c r="BG5" s="422" t="s">
        <v>4587</v>
      </c>
      <c r="BH5" s="525"/>
      <c r="BI5" s="525"/>
      <c r="BK5" s="851"/>
      <c r="BL5" s="851"/>
      <c r="BM5" s="422" t="s">
        <v>4579</v>
      </c>
      <c r="BN5" s="465" t="s">
        <v>4586</v>
      </c>
      <c r="BO5" s="422" t="s">
        <v>4579</v>
      </c>
      <c r="BP5" s="422" t="s">
        <v>1705</v>
      </c>
      <c r="BQ5" s="422" t="s">
        <v>4587</v>
      </c>
      <c r="BR5" s="599"/>
      <c r="BS5" s="525"/>
      <c r="BU5" s="851"/>
      <c r="BV5" s="851"/>
      <c r="BW5" s="422" t="s">
        <v>4579</v>
      </c>
      <c r="BX5" s="465" t="s">
        <v>4586</v>
      </c>
      <c r="BY5" s="465" t="s">
        <v>4588</v>
      </c>
      <c r="BZ5" s="465"/>
      <c r="CA5" s="422" t="s">
        <v>4579</v>
      </c>
      <c r="CB5" s="422" t="s">
        <v>1705</v>
      </c>
      <c r="CC5" s="422" t="s">
        <v>4587</v>
      </c>
      <c r="CD5" s="525"/>
      <c r="CE5" s="525"/>
      <c r="CF5" s="585" t="s">
        <v>4598</v>
      </c>
      <c r="CG5" s="599" t="s">
        <v>4584</v>
      </c>
      <c r="CH5" s="599">
        <v>602.4</v>
      </c>
      <c r="CI5" s="599">
        <v>625.4</v>
      </c>
      <c r="CJ5" s="599">
        <v>615.1</v>
      </c>
      <c r="CK5" s="599">
        <v>613.6</v>
      </c>
      <c r="CL5" s="743">
        <v>615</v>
      </c>
      <c r="CM5" s="599">
        <v>611.9</v>
      </c>
      <c r="CN5" s="743">
        <v>621.70000000000005</v>
      </c>
      <c r="CO5" s="743">
        <v>616</v>
      </c>
      <c r="CP5" s="743">
        <v>620</v>
      </c>
      <c r="CQ5" s="743">
        <v>609.4</v>
      </c>
      <c r="CR5" s="743">
        <v>593</v>
      </c>
      <c r="CU5" s="382" t="s">
        <v>4599</v>
      </c>
      <c r="CV5" s="599" t="s">
        <v>4584</v>
      </c>
      <c r="CW5" s="599">
        <v>436.7</v>
      </c>
      <c r="CX5" s="599">
        <v>372.5</v>
      </c>
      <c r="CY5" s="599">
        <v>352.8</v>
      </c>
      <c r="CZ5" s="599">
        <v>324.89999999999998</v>
      </c>
      <c r="DA5" s="599">
        <v>280.8</v>
      </c>
      <c r="DB5" s="599">
        <v>318.10000000000002</v>
      </c>
      <c r="DC5" s="599">
        <v>354.7</v>
      </c>
      <c r="DD5" s="599">
        <v>343.8</v>
      </c>
      <c r="DE5" s="599">
        <v>324.39999999999998</v>
      </c>
      <c r="DF5" s="743">
        <v>296.2</v>
      </c>
      <c r="DG5" s="599">
        <v>261.8</v>
      </c>
      <c r="DJ5" s="585" t="s">
        <v>3342</v>
      </c>
      <c r="DK5" s="525">
        <v>436664</v>
      </c>
      <c r="DL5" s="525">
        <v>372492</v>
      </c>
      <c r="DM5" s="525">
        <v>352818</v>
      </c>
      <c r="DN5" s="525">
        <v>324932</v>
      </c>
      <c r="DO5" s="525">
        <v>280787</v>
      </c>
      <c r="DP5" s="525">
        <v>318124</v>
      </c>
      <c r="DQ5" s="525"/>
      <c r="DR5" s="525"/>
      <c r="DS5" s="585" t="s">
        <v>3342</v>
      </c>
      <c r="DT5" s="525">
        <v>354709</v>
      </c>
      <c r="DU5" s="525">
        <v>343836</v>
      </c>
      <c r="DV5" s="525">
        <v>324402</v>
      </c>
      <c r="DW5" s="525">
        <v>296186</v>
      </c>
      <c r="DX5" s="525">
        <v>261855</v>
      </c>
      <c r="DY5" s="525">
        <v>284823</v>
      </c>
      <c r="DZ5" s="525"/>
      <c r="EB5" s="585" t="s">
        <v>4600</v>
      </c>
      <c r="EC5" s="1007">
        <v>-1109</v>
      </c>
      <c r="ED5" s="1008">
        <v>-1053</v>
      </c>
      <c r="EE5" s="1009">
        <v>-983.3</v>
      </c>
      <c r="EF5" s="1010">
        <v>-924.2</v>
      </c>
      <c r="EG5" s="1010">
        <v>-865.6</v>
      </c>
      <c r="EH5" s="1010">
        <v>-810</v>
      </c>
      <c r="EI5" s="1009">
        <v>-710</v>
      </c>
      <c r="EJ5" s="1009"/>
      <c r="EL5" s="382" t="s">
        <v>4601</v>
      </c>
      <c r="EM5" s="382">
        <v>21.7</v>
      </c>
      <c r="EN5" s="799">
        <f>EN6+EN7</f>
        <v>23.6</v>
      </c>
      <c r="EO5" s="799">
        <f>EO6+EO7</f>
        <v>25.4</v>
      </c>
      <c r="EP5" s="799">
        <f>EP6+EP7</f>
        <v>27</v>
      </c>
      <c r="EQ5" s="799">
        <f>EQ6+EQ7</f>
        <v>33</v>
      </c>
      <c r="ER5" s="382">
        <v>10.4</v>
      </c>
      <c r="ES5" s="585">
        <v>15.2</v>
      </c>
      <c r="EU5" s="855"/>
      <c r="EV5" s="855"/>
      <c r="EW5" s="743"/>
      <c r="FF5" s="599"/>
      <c r="FG5" s="599"/>
      <c r="FH5" s="525"/>
      <c r="FI5" s="525"/>
      <c r="FJ5" s="525"/>
      <c r="FK5" s="525"/>
      <c r="FL5" s="525"/>
      <c r="FM5" s="525"/>
      <c r="FN5" s="525"/>
    </row>
    <row r="6" spans="1:170">
      <c r="A6" s="585" t="s">
        <v>4616</v>
      </c>
      <c r="B6" s="1009">
        <v>59.8</v>
      </c>
      <c r="C6" s="1009">
        <v>105.1</v>
      </c>
      <c r="D6" s="1009">
        <v>31.9</v>
      </c>
      <c r="E6" s="1009">
        <v>46.3</v>
      </c>
      <c r="F6" s="1009">
        <v>35.6</v>
      </c>
      <c r="G6" s="1009">
        <v>-10.4</v>
      </c>
      <c r="K6" s="585" t="s">
        <v>4603</v>
      </c>
      <c r="L6" s="439" t="s">
        <v>1627</v>
      </c>
      <c r="M6" s="435" t="s">
        <v>1627</v>
      </c>
      <c r="N6" s="439" t="s">
        <v>1627</v>
      </c>
      <c r="O6" s="439" t="s">
        <v>1627</v>
      </c>
      <c r="P6" s="439" t="s">
        <v>1627</v>
      </c>
      <c r="Q6" s="439" t="s">
        <v>1627</v>
      </c>
      <c r="R6" s="435"/>
      <c r="S6" s="435"/>
      <c r="T6" s="585" t="s">
        <v>4578</v>
      </c>
      <c r="AB6" s="435"/>
      <c r="AC6" s="599"/>
      <c r="AD6" s="585" t="s">
        <v>4578</v>
      </c>
      <c r="AL6" s="599"/>
      <c r="AM6" s="599"/>
      <c r="AN6" s="585" t="s">
        <v>4578</v>
      </c>
      <c r="AX6" s="599"/>
      <c r="AY6" s="599"/>
      <c r="AZ6" s="381" t="s">
        <v>1810</v>
      </c>
      <c r="BA6" s="611" t="s">
        <v>129</v>
      </c>
      <c r="BB6" s="611" t="s">
        <v>4594</v>
      </c>
      <c r="BC6" s="611" t="s">
        <v>4371</v>
      </c>
      <c r="BD6" s="442" t="s">
        <v>4595</v>
      </c>
      <c r="BE6" s="611" t="s">
        <v>4371</v>
      </c>
      <c r="BF6" s="611" t="s">
        <v>4604</v>
      </c>
      <c r="BG6" s="611" t="s">
        <v>4596</v>
      </c>
      <c r="BH6" s="599"/>
      <c r="BI6" s="599"/>
      <c r="BJ6" s="381" t="s">
        <v>1810</v>
      </c>
      <c r="BK6" s="611" t="s">
        <v>129</v>
      </c>
      <c r="BL6" s="611" t="s">
        <v>4594</v>
      </c>
      <c r="BM6" s="611" t="s">
        <v>4371</v>
      </c>
      <c r="BN6" s="442" t="s">
        <v>4595</v>
      </c>
      <c r="BO6" s="611" t="s">
        <v>4371</v>
      </c>
      <c r="BP6" s="611" t="s">
        <v>4604</v>
      </c>
      <c r="BQ6" s="611" t="s">
        <v>4596</v>
      </c>
      <c r="BR6" s="599"/>
      <c r="BS6" s="599"/>
      <c r="BT6" s="586" t="s">
        <v>1810</v>
      </c>
      <c r="BU6" s="611" t="s">
        <v>129</v>
      </c>
      <c r="BV6" s="611" t="s">
        <v>4594</v>
      </c>
      <c r="BW6" s="611" t="s">
        <v>4371</v>
      </c>
      <c r="BX6" s="442" t="s">
        <v>4595</v>
      </c>
      <c r="BY6" s="442" t="s">
        <v>4595</v>
      </c>
      <c r="BZ6" s="442" t="s">
        <v>4597</v>
      </c>
      <c r="CA6" s="611" t="s">
        <v>4371</v>
      </c>
      <c r="CB6" s="611" t="s">
        <v>4604</v>
      </c>
      <c r="CC6" s="611" t="s">
        <v>4596</v>
      </c>
      <c r="CD6" s="599"/>
      <c r="CE6" s="599"/>
      <c r="CF6" s="585" t="s">
        <v>4605</v>
      </c>
      <c r="CQ6" s="623"/>
      <c r="CU6" s="382" t="s">
        <v>4606</v>
      </c>
      <c r="CV6" s="599" t="s">
        <v>4584</v>
      </c>
      <c r="CW6" s="599">
        <v>368.6</v>
      </c>
      <c r="CX6" s="599">
        <v>327.10000000000002</v>
      </c>
      <c r="CY6" s="599">
        <v>296.8</v>
      </c>
      <c r="CZ6" s="599">
        <v>296.5</v>
      </c>
      <c r="DA6" s="599">
        <v>314.89999999999998</v>
      </c>
      <c r="DB6" s="599">
        <v>269.7</v>
      </c>
      <c r="DC6" s="599">
        <v>237.1</v>
      </c>
      <c r="DD6" s="599">
        <v>238.3</v>
      </c>
      <c r="DE6" s="599">
        <v>226.6</v>
      </c>
      <c r="DF6" s="743">
        <v>238.2</v>
      </c>
      <c r="DG6" s="599">
        <v>221.7</v>
      </c>
      <c r="DJ6" s="585" t="s">
        <v>4607</v>
      </c>
      <c r="DK6" s="525">
        <v>368613</v>
      </c>
      <c r="DL6" s="525">
        <v>327115</v>
      </c>
      <c r="DM6" s="525">
        <v>296806</v>
      </c>
      <c r="DN6" s="525">
        <v>296518</v>
      </c>
      <c r="DO6" s="525">
        <v>314946</v>
      </c>
      <c r="DP6" s="525">
        <v>269685</v>
      </c>
      <c r="DQ6" s="525"/>
      <c r="DR6" s="525"/>
      <c r="DS6" s="585" t="s">
        <v>4607</v>
      </c>
      <c r="DT6" s="525">
        <v>237134</v>
      </c>
      <c r="DU6" s="525">
        <v>238305</v>
      </c>
      <c r="DV6" s="525">
        <v>226592</v>
      </c>
      <c r="DW6" s="525">
        <v>238249</v>
      </c>
      <c r="DX6" s="525">
        <v>221673</v>
      </c>
      <c r="DY6" s="525">
        <v>221444</v>
      </c>
      <c r="DZ6" s="525"/>
      <c r="ED6" s="1008"/>
      <c r="EE6" s="1009"/>
      <c r="EF6" s="1010"/>
      <c r="EG6" s="1010"/>
      <c r="EH6" s="1010"/>
      <c r="EI6" s="1009"/>
      <c r="EL6" s="451" t="s">
        <v>4608</v>
      </c>
      <c r="EM6" s="799">
        <v>0</v>
      </c>
      <c r="EN6" s="799">
        <v>0</v>
      </c>
      <c r="EO6" s="799">
        <v>0</v>
      </c>
      <c r="EP6" s="857">
        <v>0</v>
      </c>
      <c r="EQ6" s="799">
        <v>5.4</v>
      </c>
      <c r="ER6" s="382">
        <v>10.4</v>
      </c>
      <c r="ES6" s="382">
        <v>15.2</v>
      </c>
      <c r="ET6" s="382"/>
      <c r="EU6" s="491"/>
      <c r="EV6" s="491"/>
      <c r="EW6" s="743"/>
      <c r="EY6" s="599"/>
      <c r="EZ6" s="599"/>
      <c r="FA6" s="599"/>
      <c r="FB6" s="599"/>
      <c r="FC6" s="599"/>
      <c r="FD6" s="599"/>
      <c r="FE6" s="599"/>
      <c r="FF6" s="538"/>
      <c r="FG6" s="538"/>
      <c r="FI6" s="525"/>
      <c r="FJ6" s="525"/>
      <c r="FK6" s="525"/>
      <c r="FL6" s="525"/>
      <c r="FM6" s="525"/>
      <c r="FN6" s="525"/>
    </row>
    <row r="7" spans="1:170">
      <c r="A7" s="586" t="s">
        <v>4623</v>
      </c>
      <c r="B7" s="1013">
        <v>195.2</v>
      </c>
      <c r="C7" s="1013">
        <v>135.5</v>
      </c>
      <c r="D7" s="1013">
        <v>30.4</v>
      </c>
      <c r="E7" s="1013">
        <v>-1.5</v>
      </c>
      <c r="F7" s="1013">
        <v>-47.8</v>
      </c>
      <c r="G7" s="1013">
        <v>-83.4</v>
      </c>
      <c r="H7" s="623"/>
      <c r="K7" s="585" t="s">
        <v>4610</v>
      </c>
      <c r="L7" s="525">
        <v>1057612</v>
      </c>
      <c r="M7" s="525">
        <v>211</v>
      </c>
      <c r="N7" s="525">
        <v>210316</v>
      </c>
      <c r="O7" s="525">
        <v>210316</v>
      </c>
      <c r="P7" s="525">
        <v>210009</v>
      </c>
      <c r="Q7" s="525">
        <v>209702</v>
      </c>
      <c r="R7" s="525"/>
      <c r="S7" s="525"/>
      <c r="AB7" s="525"/>
      <c r="AC7" s="525"/>
      <c r="AL7" s="525"/>
      <c r="AM7" s="525"/>
      <c r="AX7" s="525"/>
      <c r="AY7" s="525"/>
      <c r="AZ7" s="585" t="s">
        <v>4611</v>
      </c>
      <c r="BA7" s="599"/>
      <c r="BB7" s="599"/>
      <c r="BC7" s="599"/>
      <c r="BD7" s="599"/>
      <c r="BE7" s="599"/>
      <c r="BF7" s="599"/>
      <c r="BG7" s="599"/>
      <c r="BH7" s="525"/>
      <c r="BI7" s="525"/>
      <c r="BJ7" s="585" t="s">
        <v>4611</v>
      </c>
      <c r="BK7" s="599"/>
      <c r="BL7" s="599"/>
      <c r="BM7" s="599"/>
      <c r="BN7" s="599"/>
      <c r="BO7" s="599"/>
      <c r="BP7" s="599"/>
      <c r="BQ7" s="599"/>
      <c r="BR7" s="599"/>
      <c r="BS7" s="525"/>
      <c r="BT7" s="585" t="s">
        <v>4611</v>
      </c>
      <c r="BU7" s="599"/>
      <c r="BV7" s="599"/>
      <c r="BW7" s="599"/>
      <c r="BX7" s="599"/>
      <c r="BY7" s="599"/>
      <c r="BZ7" s="599"/>
      <c r="CA7" s="599"/>
      <c r="CB7" s="599"/>
      <c r="CC7" s="599"/>
      <c r="CD7" s="525"/>
      <c r="CE7" s="599"/>
      <c r="CF7" s="585" t="s">
        <v>4589</v>
      </c>
      <c r="CG7" s="599" t="s">
        <v>4584</v>
      </c>
      <c r="CH7" s="599">
        <v>60.6</v>
      </c>
      <c r="CI7" s="599">
        <v>57.7</v>
      </c>
      <c r="CJ7" s="599">
        <v>55.1</v>
      </c>
      <c r="CK7" s="599">
        <v>54.7</v>
      </c>
      <c r="CL7" s="599">
        <v>55.3</v>
      </c>
      <c r="CM7" s="599">
        <v>54.3</v>
      </c>
      <c r="CN7" s="599">
        <v>50.8</v>
      </c>
      <c r="CO7" s="599">
        <v>52.5</v>
      </c>
      <c r="CP7" s="599">
        <v>48.4</v>
      </c>
      <c r="CQ7" s="743">
        <v>44.9</v>
      </c>
      <c r="CR7" s="599">
        <v>42.1</v>
      </c>
      <c r="CU7" s="585" t="s">
        <v>4612</v>
      </c>
      <c r="CV7" s="599" t="s">
        <v>4584</v>
      </c>
      <c r="CW7" s="599">
        <v>9.1</v>
      </c>
      <c r="CX7" s="599">
        <v>3.6</v>
      </c>
      <c r="CY7" s="599">
        <v>3.8</v>
      </c>
      <c r="CZ7" s="743">
        <v>4</v>
      </c>
      <c r="DA7" s="743">
        <v>3.5</v>
      </c>
      <c r="DB7" s="599">
        <v>2.7</v>
      </c>
      <c r="DC7" s="599">
        <v>2.9</v>
      </c>
      <c r="DD7" s="599">
        <v>2.9</v>
      </c>
      <c r="DE7" s="599">
        <v>2.7</v>
      </c>
      <c r="DF7" s="743">
        <v>3.5</v>
      </c>
      <c r="DG7" s="599">
        <v>2.8</v>
      </c>
      <c r="DJ7" s="382" t="s">
        <v>4613</v>
      </c>
      <c r="DK7" s="463">
        <v>70398</v>
      </c>
      <c r="DL7" s="463">
        <v>76141</v>
      </c>
      <c r="DM7" s="525">
        <v>65110</v>
      </c>
      <c r="DN7" s="525">
        <v>82310</v>
      </c>
      <c r="DO7" s="525">
        <v>77047</v>
      </c>
      <c r="DP7" s="525">
        <v>77796</v>
      </c>
      <c r="DQ7" s="525"/>
      <c r="DR7" s="525"/>
      <c r="DS7" s="585" t="s">
        <v>4613</v>
      </c>
      <c r="DT7" s="525">
        <v>87155</v>
      </c>
      <c r="DU7" s="463">
        <v>78467</v>
      </c>
      <c r="DV7" s="525">
        <v>71446</v>
      </c>
      <c r="DW7" s="525">
        <v>87998</v>
      </c>
      <c r="DX7" s="525">
        <v>96104</v>
      </c>
      <c r="DY7" s="525">
        <v>53126</v>
      </c>
      <c r="DZ7" s="525"/>
      <c r="EB7" s="382" t="s">
        <v>4614</v>
      </c>
      <c r="EC7" s="382">
        <v>16.5</v>
      </c>
      <c r="ED7" s="855">
        <v>20.8</v>
      </c>
      <c r="EE7" s="1011" t="s">
        <v>2835</v>
      </c>
      <c r="EF7" s="1011" t="s">
        <v>2835</v>
      </c>
      <c r="EG7" s="1011" t="s">
        <v>2835</v>
      </c>
      <c r="EH7" s="1011" t="s">
        <v>2835</v>
      </c>
      <c r="EI7" s="1011" t="s">
        <v>2835</v>
      </c>
      <c r="EL7" s="451" t="s">
        <v>4615</v>
      </c>
      <c r="EM7" s="799">
        <v>0</v>
      </c>
      <c r="EN7" s="799">
        <v>23.6</v>
      </c>
      <c r="EO7" s="799">
        <v>25.4</v>
      </c>
      <c r="EP7" s="857">
        <v>27</v>
      </c>
      <c r="EQ7" s="799">
        <v>27.6</v>
      </c>
      <c r="ER7" s="439" t="s">
        <v>1627</v>
      </c>
      <c r="ES7" s="439" t="s">
        <v>1627</v>
      </c>
      <c r="ET7" s="439"/>
      <c r="EU7" s="491"/>
      <c r="EV7" s="491"/>
      <c r="EW7" s="743"/>
      <c r="EX7" s="855"/>
      <c r="EY7" s="855"/>
      <c r="EZ7" s="855"/>
      <c r="FA7" s="855"/>
      <c r="FB7" s="855"/>
      <c r="FC7" s="855"/>
      <c r="FD7" s="855"/>
      <c r="FE7" s="855"/>
      <c r="FF7" s="599"/>
      <c r="FG7" s="599"/>
      <c r="FI7" s="525"/>
      <c r="FJ7" s="525"/>
      <c r="FK7" s="525"/>
      <c r="FL7" s="525"/>
      <c r="FM7" s="525"/>
      <c r="FN7" s="525"/>
    </row>
    <row r="8" spans="1:170">
      <c r="A8" s="585" t="s">
        <v>4631</v>
      </c>
      <c r="H8" s="1009"/>
      <c r="I8" s="1009"/>
      <c r="K8" s="585" t="s">
        <v>4617</v>
      </c>
      <c r="M8" s="525"/>
      <c r="P8" s="435"/>
      <c r="Q8" s="435"/>
      <c r="R8" s="525"/>
      <c r="S8" s="525"/>
      <c r="T8" s="585" t="s">
        <v>4618</v>
      </c>
      <c r="U8" s="525">
        <f>SUM(V8:AA8)</f>
        <v>646411793</v>
      </c>
      <c r="V8" s="525">
        <v>276594687</v>
      </c>
      <c r="W8" s="463">
        <v>11939455</v>
      </c>
      <c r="X8" s="463">
        <v>252878671</v>
      </c>
      <c r="Y8" s="435">
        <v>4403827</v>
      </c>
      <c r="Z8" s="435" t="s">
        <v>1627</v>
      </c>
      <c r="AA8" s="862">
        <v>100595153</v>
      </c>
      <c r="AB8" s="525"/>
      <c r="AD8" s="585" t="s">
        <v>4618</v>
      </c>
      <c r="AE8" s="525">
        <f>SUM(AF8:AK8)</f>
        <v>636692</v>
      </c>
      <c r="AF8" s="525">
        <v>200184</v>
      </c>
      <c r="AG8" s="463">
        <v>3243</v>
      </c>
      <c r="AH8" s="463">
        <v>345198</v>
      </c>
      <c r="AI8" s="435">
        <v>790</v>
      </c>
      <c r="AJ8" s="435" t="s">
        <v>1627</v>
      </c>
      <c r="AK8" s="862">
        <v>87277</v>
      </c>
      <c r="AN8" s="585" t="s">
        <v>4618</v>
      </c>
      <c r="AO8" s="525">
        <f>SUM(AP8:AW8)</f>
        <v>833178649</v>
      </c>
      <c r="AP8" s="525">
        <v>231513116</v>
      </c>
      <c r="AQ8" s="463">
        <v>3616598</v>
      </c>
      <c r="AR8" s="463">
        <v>480408379</v>
      </c>
      <c r="AS8" s="463">
        <v>20725663</v>
      </c>
      <c r="AT8" s="463">
        <v>435821</v>
      </c>
      <c r="AU8" s="435">
        <v>60014</v>
      </c>
      <c r="AV8" s="435" t="s">
        <v>1627</v>
      </c>
      <c r="AW8" s="862">
        <v>96419058</v>
      </c>
      <c r="AZ8" s="585" t="s">
        <v>4619</v>
      </c>
      <c r="BA8" s="525">
        <f>SUM(BB8:BG8)</f>
        <v>983996451</v>
      </c>
      <c r="BB8" s="525">
        <v>884794402</v>
      </c>
      <c r="BC8" s="435" t="s">
        <v>1627</v>
      </c>
      <c r="BD8" s="435" t="s">
        <v>1627</v>
      </c>
      <c r="BE8" s="435" t="s">
        <v>1627</v>
      </c>
      <c r="BF8" s="435" t="s">
        <v>1627</v>
      </c>
      <c r="BG8" s="525">
        <v>99202049</v>
      </c>
      <c r="BJ8" s="585" t="s">
        <v>4619</v>
      </c>
      <c r="BK8" s="525">
        <f>SUM(BL8:BQ8)</f>
        <v>880694</v>
      </c>
      <c r="BL8" s="525">
        <v>779310</v>
      </c>
      <c r="BM8" s="435" t="s">
        <v>1627</v>
      </c>
      <c r="BN8" s="435" t="s">
        <v>1627</v>
      </c>
      <c r="BO8" s="435" t="s">
        <v>1627</v>
      </c>
      <c r="BP8" s="435" t="s">
        <v>1627</v>
      </c>
      <c r="BQ8" s="525">
        <v>101384</v>
      </c>
      <c r="BR8" s="525"/>
      <c r="BT8" s="585" t="s">
        <v>4619</v>
      </c>
      <c r="BU8" s="525">
        <f>SUM(BV8:CC8)</f>
        <v>816471239</v>
      </c>
      <c r="BV8" s="525">
        <v>718494488</v>
      </c>
      <c r="BW8" s="435" t="s">
        <v>1627</v>
      </c>
      <c r="BX8" s="435" t="s">
        <v>1627</v>
      </c>
      <c r="BY8" s="435" t="s">
        <v>1627</v>
      </c>
      <c r="BZ8" s="435" t="s">
        <v>1627</v>
      </c>
      <c r="CA8" s="435" t="s">
        <v>1627</v>
      </c>
      <c r="CB8" s="435" t="s">
        <v>1627</v>
      </c>
      <c r="CC8" s="525">
        <v>97976751</v>
      </c>
      <c r="CE8" s="525"/>
      <c r="CF8" s="585" t="s">
        <v>4598</v>
      </c>
      <c r="CG8" s="599" t="s">
        <v>4584</v>
      </c>
      <c r="CH8" s="599">
        <v>342.5</v>
      </c>
      <c r="CI8" s="599">
        <v>330.7</v>
      </c>
      <c r="CJ8" s="599">
        <v>286.60000000000002</v>
      </c>
      <c r="CK8" s="599">
        <v>276.89999999999998</v>
      </c>
      <c r="CL8" s="599">
        <v>251.4</v>
      </c>
      <c r="CM8" s="743">
        <v>246</v>
      </c>
      <c r="CN8" s="599">
        <v>187.4</v>
      </c>
      <c r="CO8" s="599">
        <v>173.2</v>
      </c>
      <c r="CP8" s="599">
        <v>160.9</v>
      </c>
      <c r="CQ8" s="743">
        <v>98.9</v>
      </c>
      <c r="CR8" s="599">
        <v>95.2</v>
      </c>
      <c r="CU8" s="585" t="s">
        <v>4620</v>
      </c>
      <c r="CV8" s="599" t="s">
        <v>4584</v>
      </c>
      <c r="CW8" s="599">
        <v>0.9</v>
      </c>
      <c r="CX8" s="599">
        <v>0.8</v>
      </c>
      <c r="CY8" s="599">
        <v>0.7</v>
      </c>
      <c r="CZ8" s="599">
        <v>0.5</v>
      </c>
      <c r="DA8" s="743">
        <v>0.6</v>
      </c>
      <c r="DB8" s="599">
        <v>0.5</v>
      </c>
      <c r="DC8" s="599">
        <v>5.5</v>
      </c>
      <c r="DD8" s="599">
        <v>5.9</v>
      </c>
      <c r="DE8" s="599">
        <v>5.6</v>
      </c>
      <c r="DF8" s="743">
        <v>5.6</v>
      </c>
      <c r="DG8" s="599">
        <v>5.5</v>
      </c>
      <c r="DJ8" s="585" t="s">
        <v>4621</v>
      </c>
      <c r="DK8" s="525">
        <v>35757</v>
      </c>
      <c r="DL8" s="525">
        <v>35794</v>
      </c>
      <c r="DM8" s="525">
        <v>35612</v>
      </c>
      <c r="DN8" s="525">
        <v>34159</v>
      </c>
      <c r="DO8" s="525">
        <v>33333</v>
      </c>
      <c r="DP8" s="525">
        <v>29933</v>
      </c>
      <c r="DQ8" s="525"/>
      <c r="DR8" s="525"/>
      <c r="DS8" s="585" t="s">
        <v>4621</v>
      </c>
      <c r="DT8" s="525">
        <v>26991</v>
      </c>
      <c r="DU8" s="463">
        <v>26320</v>
      </c>
      <c r="DV8" s="525">
        <v>28033</v>
      </c>
      <c r="DW8" s="525">
        <v>23263</v>
      </c>
      <c r="DX8" s="525">
        <v>21263</v>
      </c>
      <c r="DY8" s="525">
        <v>19225</v>
      </c>
      <c r="DZ8" s="525"/>
      <c r="EH8" s="855"/>
      <c r="EJ8" s="1012"/>
      <c r="EL8" s="382" t="s">
        <v>4622</v>
      </c>
      <c r="EM8" s="799">
        <f>SUM(EM9:EM18)</f>
        <v>891.4</v>
      </c>
      <c r="EN8" s="857">
        <f>SUM(EN9:EN18)</f>
        <v>907.2</v>
      </c>
      <c r="EO8" s="857">
        <f>SUM(EO9:EO17)</f>
        <v>953.8</v>
      </c>
      <c r="EP8" s="857">
        <f>SUM(EP9:EP15)</f>
        <v>1005.7</v>
      </c>
      <c r="EQ8" s="857">
        <f t="shared" ref="EQ8:ES8" si="2">SUM(EQ9:EQ15)</f>
        <v>1031.6000000000001</v>
      </c>
      <c r="ER8" s="857">
        <f t="shared" si="2"/>
        <v>1053.0999999999999</v>
      </c>
      <c r="ES8" s="857">
        <f t="shared" si="2"/>
        <v>1071.2</v>
      </c>
      <c r="ET8" s="857"/>
      <c r="EU8" s="855"/>
      <c r="EV8" s="855"/>
      <c r="EW8" s="743"/>
      <c r="EX8" s="855"/>
      <c r="EY8" s="855"/>
      <c r="EZ8" s="855"/>
      <c r="FA8" s="855"/>
      <c r="FB8" s="855"/>
      <c r="FC8" s="855"/>
      <c r="FD8" s="855"/>
      <c r="FE8" s="1003"/>
      <c r="FF8" s="599"/>
      <c r="FG8" s="599"/>
      <c r="FI8" s="525"/>
      <c r="FJ8" s="525"/>
      <c r="FK8" s="525"/>
      <c r="FL8" s="525"/>
      <c r="FM8" s="525"/>
      <c r="FN8" s="525"/>
    </row>
    <row r="9" spans="1:170">
      <c r="A9" s="585" t="s">
        <v>8716</v>
      </c>
      <c r="H9" s="1009"/>
      <c r="I9" s="1009"/>
      <c r="K9" s="585" t="s">
        <v>4619</v>
      </c>
      <c r="L9" s="525">
        <v>70567742</v>
      </c>
      <c r="M9" s="525">
        <v>68022</v>
      </c>
      <c r="N9" s="525">
        <v>55893331</v>
      </c>
      <c r="O9" s="525">
        <v>54115885</v>
      </c>
      <c r="P9" s="525">
        <v>57084996</v>
      </c>
      <c r="Q9" s="525">
        <v>55147775</v>
      </c>
      <c r="R9" s="525"/>
      <c r="S9" s="525"/>
      <c r="T9" s="585" t="s">
        <v>4624</v>
      </c>
      <c r="U9" s="525">
        <f>SUM(V9:AA9)</f>
        <v>16467413</v>
      </c>
      <c r="V9" s="525">
        <v>1057612</v>
      </c>
      <c r="W9" s="435" t="s">
        <v>1627</v>
      </c>
      <c r="X9" s="435" t="s">
        <v>1627</v>
      </c>
      <c r="Y9" s="435" t="s">
        <v>1627</v>
      </c>
      <c r="Z9" s="435" t="s">
        <v>1627</v>
      </c>
      <c r="AA9" s="862">
        <v>15409801</v>
      </c>
      <c r="AB9" s="525"/>
      <c r="AC9" s="525"/>
      <c r="AD9" s="585" t="s">
        <v>4624</v>
      </c>
      <c r="AE9" s="525">
        <f>SUM(AF9:AK9)</f>
        <v>13825</v>
      </c>
      <c r="AF9" s="525">
        <v>211</v>
      </c>
      <c r="AG9" s="435" t="s">
        <v>1627</v>
      </c>
      <c r="AH9" s="435" t="s">
        <v>1627</v>
      </c>
      <c r="AI9" s="435" t="s">
        <v>1627</v>
      </c>
      <c r="AJ9" s="435"/>
      <c r="AK9" s="862">
        <v>13614</v>
      </c>
      <c r="AL9" s="525"/>
      <c r="AM9" s="525"/>
      <c r="AN9" s="585" t="s">
        <v>4624</v>
      </c>
      <c r="AO9" s="525">
        <f>SUM(AP9:AW9)</f>
        <v>8848641</v>
      </c>
      <c r="AP9" s="525">
        <v>210316</v>
      </c>
      <c r="AQ9" s="435" t="s">
        <v>1627</v>
      </c>
      <c r="AR9" s="435" t="s">
        <v>1627</v>
      </c>
      <c r="AS9" s="435" t="s">
        <v>1627</v>
      </c>
      <c r="AT9" s="435" t="s">
        <v>1627</v>
      </c>
      <c r="AU9" s="435" t="s">
        <v>1627</v>
      </c>
      <c r="AV9" s="435" t="s">
        <v>1627</v>
      </c>
      <c r="AW9" s="862">
        <v>8638325</v>
      </c>
      <c r="AX9" s="525"/>
      <c r="AY9" s="525"/>
      <c r="AZ9" s="451" t="s">
        <v>4625</v>
      </c>
      <c r="BA9" s="525">
        <f>SUM(BB9:BG9)</f>
        <v>806717974</v>
      </c>
      <c r="BB9" s="525">
        <v>5005389</v>
      </c>
      <c r="BC9" s="525">
        <v>579240229</v>
      </c>
      <c r="BD9" s="525">
        <v>79187050</v>
      </c>
      <c r="BE9" s="862">
        <v>109862628</v>
      </c>
      <c r="BF9" s="435" t="s">
        <v>1627</v>
      </c>
      <c r="BG9" s="525">
        <v>33422678</v>
      </c>
      <c r="BH9" s="525"/>
      <c r="BI9" s="525"/>
      <c r="BJ9" s="451" t="s">
        <v>4625</v>
      </c>
      <c r="BK9" s="525">
        <v>903986</v>
      </c>
      <c r="BL9" s="525">
        <v>4144</v>
      </c>
      <c r="BM9" s="525">
        <v>507850</v>
      </c>
      <c r="BN9" s="525">
        <v>194438</v>
      </c>
      <c r="BO9" s="862">
        <v>155754</v>
      </c>
      <c r="BP9" s="435" t="s">
        <v>1627</v>
      </c>
      <c r="BQ9" s="525">
        <v>41801</v>
      </c>
      <c r="BR9" s="525"/>
      <c r="BS9" s="525"/>
      <c r="BT9" s="451" t="s">
        <v>4625</v>
      </c>
      <c r="BU9" s="525">
        <f t="shared" ref="BU9:BU15" si="3">SUM(BV9:CC9)</f>
        <v>1123918084</v>
      </c>
      <c r="BV9" s="525">
        <v>7529123</v>
      </c>
      <c r="BW9" s="525">
        <v>466011678</v>
      </c>
      <c r="BX9" s="525">
        <v>96601857</v>
      </c>
      <c r="BY9" s="525">
        <v>380263943</v>
      </c>
      <c r="BZ9" s="525">
        <v>53130550</v>
      </c>
      <c r="CA9" s="862">
        <v>111060824</v>
      </c>
      <c r="CB9" s="435" t="s">
        <v>1627</v>
      </c>
      <c r="CC9" s="525">
        <v>9320109</v>
      </c>
      <c r="CD9" s="525"/>
      <c r="CE9" s="525"/>
      <c r="CF9" s="585" t="s">
        <v>4626</v>
      </c>
      <c r="CQ9" s="623"/>
      <c r="CU9" s="585" t="s">
        <v>4627</v>
      </c>
      <c r="CV9" s="599" t="s">
        <v>4584</v>
      </c>
      <c r="CW9" s="1014" t="s">
        <v>2835</v>
      </c>
      <c r="CX9" s="1014" t="s">
        <v>2835</v>
      </c>
      <c r="CY9" s="1014" t="s">
        <v>2835</v>
      </c>
      <c r="CZ9" s="1014" t="s">
        <v>2835</v>
      </c>
      <c r="DA9" s="1014" t="s">
        <v>2835</v>
      </c>
      <c r="DB9" s="1014" t="s">
        <v>2835</v>
      </c>
      <c r="DC9" s="475" t="s">
        <v>2835</v>
      </c>
      <c r="DD9" s="475" t="s">
        <v>2835</v>
      </c>
      <c r="DE9" s="475" t="s">
        <v>2835</v>
      </c>
      <c r="DF9" s="751" t="s">
        <v>2835</v>
      </c>
      <c r="DG9" s="1014" t="s">
        <v>2835</v>
      </c>
      <c r="DJ9" s="585" t="s">
        <v>4628</v>
      </c>
      <c r="DK9" s="525">
        <v>28515</v>
      </c>
      <c r="DL9" s="525">
        <v>18169</v>
      </c>
      <c r="DM9" s="525">
        <v>12372</v>
      </c>
      <c r="DN9" s="525">
        <v>26367</v>
      </c>
      <c r="DO9" s="525">
        <v>44701</v>
      </c>
      <c r="DP9" s="525">
        <v>43181</v>
      </c>
      <c r="DQ9" s="525"/>
      <c r="DR9" s="525"/>
      <c r="DS9" s="585" t="s">
        <v>4628</v>
      </c>
      <c r="DT9" s="525">
        <v>44007</v>
      </c>
      <c r="DU9" s="463">
        <v>40864</v>
      </c>
      <c r="DV9" s="525">
        <v>36988</v>
      </c>
      <c r="DW9" s="525">
        <v>34363</v>
      </c>
      <c r="DX9" s="525">
        <v>29331</v>
      </c>
      <c r="DY9" s="525">
        <v>26054</v>
      </c>
      <c r="DZ9" s="525"/>
      <c r="EB9" s="585" t="s">
        <v>4629</v>
      </c>
      <c r="EH9" s="855"/>
      <c r="EJ9" s="1012"/>
      <c r="EL9" s="451" t="s">
        <v>4630</v>
      </c>
      <c r="EM9" s="799">
        <v>0</v>
      </c>
      <c r="EN9" s="857">
        <v>0</v>
      </c>
      <c r="EO9" s="799">
        <v>0</v>
      </c>
      <c r="EP9" s="857">
        <v>0</v>
      </c>
      <c r="EQ9" s="799">
        <v>0</v>
      </c>
      <c r="ER9" s="799">
        <v>0</v>
      </c>
      <c r="ES9" s="799">
        <v>0</v>
      </c>
      <c r="ET9" s="1015"/>
      <c r="EU9" s="491"/>
      <c r="EV9" s="491"/>
      <c r="EW9" s="743"/>
      <c r="FF9" s="525"/>
      <c r="FG9" s="525"/>
      <c r="FI9" s="525"/>
      <c r="FJ9" s="525"/>
      <c r="FK9" s="525"/>
      <c r="FL9" s="525"/>
      <c r="FM9" s="525"/>
      <c r="FN9" s="525"/>
    </row>
    <row r="10" spans="1:170">
      <c r="K10" s="585" t="s">
        <v>4632</v>
      </c>
      <c r="L10" s="525">
        <v>1460332</v>
      </c>
      <c r="M10" s="525">
        <v>47784</v>
      </c>
      <c r="N10" s="463">
        <v>14007839</v>
      </c>
      <c r="O10" s="463">
        <v>13508579</v>
      </c>
      <c r="P10" s="525">
        <v>13247727</v>
      </c>
      <c r="Q10" s="525">
        <v>3165193</v>
      </c>
      <c r="R10" s="525"/>
      <c r="S10" s="525"/>
      <c r="T10" s="524" t="s">
        <v>4633</v>
      </c>
      <c r="U10" s="525">
        <f>SUM(V10:AA10)</f>
        <v>459050489</v>
      </c>
      <c r="V10" s="435" t="s">
        <v>1627</v>
      </c>
      <c r="W10" s="435" t="s">
        <v>1627</v>
      </c>
      <c r="X10" s="435" t="s">
        <v>1627</v>
      </c>
      <c r="Y10" s="435" t="s">
        <v>1627</v>
      </c>
      <c r="Z10" s="435">
        <v>459050489</v>
      </c>
      <c r="AA10" s="435" t="s">
        <v>1627</v>
      </c>
      <c r="AB10" s="525"/>
      <c r="AC10" s="525"/>
      <c r="AD10" s="524" t="s">
        <v>4633</v>
      </c>
      <c r="AE10" s="525">
        <f>SUM(AF10:AK10)</f>
        <v>459050</v>
      </c>
      <c r="AF10" s="435" t="s">
        <v>1627</v>
      </c>
      <c r="AG10" s="435" t="s">
        <v>1627</v>
      </c>
      <c r="AH10" s="435" t="s">
        <v>1627</v>
      </c>
      <c r="AI10" s="435" t="s">
        <v>1627</v>
      </c>
      <c r="AJ10" s="435">
        <v>459050</v>
      </c>
      <c r="AK10" s="435" t="s">
        <v>1627</v>
      </c>
      <c r="AL10" s="525"/>
      <c r="AM10" s="525"/>
      <c r="AN10" s="524" t="s">
        <v>4633</v>
      </c>
      <c r="AO10" s="525">
        <f>SUM(AP10:AW10)</f>
        <v>454131585</v>
      </c>
      <c r="AP10" s="435" t="s">
        <v>1627</v>
      </c>
      <c r="AQ10" s="435" t="s">
        <v>1627</v>
      </c>
      <c r="AR10" s="435" t="s">
        <v>1627</v>
      </c>
      <c r="AS10" s="435" t="s">
        <v>1627</v>
      </c>
      <c r="AT10" s="435" t="s">
        <v>1627</v>
      </c>
      <c r="AU10" s="435" t="s">
        <v>1627</v>
      </c>
      <c r="AV10" s="435">
        <v>454131585</v>
      </c>
      <c r="AW10" s="435" t="s">
        <v>1627</v>
      </c>
      <c r="AX10" s="525"/>
      <c r="AY10" s="525"/>
      <c r="AZ10" s="382" t="s">
        <v>4634</v>
      </c>
      <c r="BA10" s="525">
        <f t="shared" ref="BA10:BA13" si="4">SUM(BB10:BG10)</f>
        <v>60001337</v>
      </c>
      <c r="BB10" s="525">
        <v>912629</v>
      </c>
      <c r="BC10" s="435" t="s">
        <v>1627</v>
      </c>
      <c r="BD10" s="435" t="s">
        <v>1627</v>
      </c>
      <c r="BE10" s="435" t="s">
        <v>1627</v>
      </c>
      <c r="BF10" s="435" t="s">
        <v>1627</v>
      </c>
      <c r="BG10" s="525">
        <v>59088708</v>
      </c>
      <c r="BH10" s="525"/>
      <c r="BI10" s="525"/>
      <c r="BJ10" s="382" t="s">
        <v>4634</v>
      </c>
      <c r="BK10" s="525">
        <v>55663</v>
      </c>
      <c r="BL10" s="525">
        <v>773</v>
      </c>
      <c r="BM10" s="435" t="s">
        <v>1627</v>
      </c>
      <c r="BN10" s="435" t="s">
        <v>1627</v>
      </c>
      <c r="BO10" s="435" t="s">
        <v>1627</v>
      </c>
      <c r="BP10" s="435" t="s">
        <v>1627</v>
      </c>
      <c r="BQ10" s="525">
        <v>54889</v>
      </c>
      <c r="BR10" s="525"/>
      <c r="BS10" s="525"/>
      <c r="BT10" s="382" t="s">
        <v>4634</v>
      </c>
      <c r="BU10" s="525">
        <f t="shared" si="3"/>
        <v>47713193</v>
      </c>
      <c r="BV10" s="525">
        <v>707438</v>
      </c>
      <c r="BW10" s="435" t="s">
        <v>1627</v>
      </c>
      <c r="BX10" s="435" t="s">
        <v>1627</v>
      </c>
      <c r="BY10" s="435" t="s">
        <v>1627</v>
      </c>
      <c r="BZ10" s="435" t="s">
        <v>1627</v>
      </c>
      <c r="CA10" s="435" t="s">
        <v>1627</v>
      </c>
      <c r="CB10" s="435" t="s">
        <v>1627</v>
      </c>
      <c r="CC10" s="525">
        <v>47005755</v>
      </c>
      <c r="CD10" s="525"/>
      <c r="CE10" s="525"/>
      <c r="CF10" s="585" t="s">
        <v>4635</v>
      </c>
      <c r="CG10" s="599" t="s">
        <v>4584</v>
      </c>
      <c r="CH10" s="743">
        <v>554</v>
      </c>
      <c r="CI10" s="599">
        <v>478.6</v>
      </c>
      <c r="CJ10" s="599">
        <v>329.3</v>
      </c>
      <c r="CK10" s="599">
        <v>335.5</v>
      </c>
      <c r="CL10" s="599">
        <v>402.5</v>
      </c>
      <c r="CM10" s="599">
        <v>379.9</v>
      </c>
      <c r="CN10" s="599">
        <v>333.5</v>
      </c>
      <c r="CO10" s="599">
        <v>308.2</v>
      </c>
      <c r="CP10" s="743">
        <v>370</v>
      </c>
      <c r="CQ10" s="743">
        <v>436.4</v>
      </c>
      <c r="CR10" s="599">
        <v>450.7</v>
      </c>
      <c r="CU10" s="585" t="s">
        <v>4636</v>
      </c>
      <c r="CV10" s="599" t="s">
        <v>4584</v>
      </c>
      <c r="CW10" s="1014" t="s">
        <v>2835</v>
      </c>
      <c r="CX10" s="1014" t="s">
        <v>2835</v>
      </c>
      <c r="CY10" s="1014" t="s">
        <v>2835</v>
      </c>
      <c r="CZ10" s="1014" t="s">
        <v>2835</v>
      </c>
      <c r="DA10" s="1014" t="s">
        <v>2835</v>
      </c>
      <c r="DB10" s="1014" t="s">
        <v>2835</v>
      </c>
      <c r="DC10" s="475" t="s">
        <v>2835</v>
      </c>
      <c r="DD10" s="475" t="s">
        <v>2835</v>
      </c>
      <c r="DE10" s="475" t="s">
        <v>2835</v>
      </c>
      <c r="DF10" s="751" t="s">
        <v>2835</v>
      </c>
      <c r="DG10" s="1014" t="s">
        <v>2835</v>
      </c>
      <c r="DJ10" s="585" t="s">
        <v>4637</v>
      </c>
      <c r="DK10" s="525">
        <v>3124</v>
      </c>
      <c r="DL10" s="525">
        <v>9353</v>
      </c>
      <c r="DM10" s="525">
        <v>10100</v>
      </c>
      <c r="DN10" s="525">
        <v>12042</v>
      </c>
      <c r="DO10" s="525">
        <v>14428</v>
      </c>
      <c r="DP10" s="525">
        <v>13297</v>
      </c>
      <c r="DQ10" s="525"/>
      <c r="DR10" s="525"/>
      <c r="DS10" s="585" t="s">
        <v>4637</v>
      </c>
      <c r="DT10" s="525">
        <v>10412</v>
      </c>
      <c r="DU10" s="463">
        <v>10051</v>
      </c>
      <c r="DV10" s="525">
        <v>9932</v>
      </c>
      <c r="DW10" s="525">
        <v>9792</v>
      </c>
      <c r="DX10" s="525">
        <v>9826</v>
      </c>
      <c r="DY10" s="525">
        <v>9831</v>
      </c>
      <c r="DZ10" s="525"/>
      <c r="EB10" s="524" t="s">
        <v>2283</v>
      </c>
      <c r="EC10" s="623">
        <v>52.6</v>
      </c>
      <c r="ED10" s="855">
        <v>50.7</v>
      </c>
      <c r="EE10" s="623">
        <v>50.7</v>
      </c>
      <c r="EF10" s="585">
        <v>50.6</v>
      </c>
      <c r="EG10" s="623">
        <v>57.1</v>
      </c>
      <c r="EH10" s="855">
        <v>58</v>
      </c>
      <c r="EI10" s="623">
        <v>48.7</v>
      </c>
      <c r="EL10" s="451" t="s">
        <v>4638</v>
      </c>
      <c r="EM10" s="799">
        <v>0</v>
      </c>
      <c r="EN10" s="857">
        <v>0</v>
      </c>
      <c r="EO10" s="752">
        <v>0</v>
      </c>
      <c r="EP10" s="857">
        <v>73</v>
      </c>
      <c r="EQ10" s="799">
        <v>75.400000000000006</v>
      </c>
      <c r="ER10" s="799">
        <v>77.599999999999994</v>
      </c>
      <c r="ES10" s="799">
        <v>79.7</v>
      </c>
      <c r="ET10" s="1015"/>
      <c r="EU10" s="491"/>
      <c r="EV10" s="491"/>
      <c r="EW10" s="743"/>
      <c r="EX10" s="855"/>
      <c r="EY10" s="855"/>
      <c r="EZ10" s="1016"/>
      <c r="FA10" s="1016"/>
      <c r="FB10" s="1016"/>
      <c r="FC10" s="1016"/>
      <c r="FD10" s="1016"/>
      <c r="FE10" s="1016"/>
      <c r="FI10" s="525"/>
      <c r="FJ10" s="525"/>
      <c r="FK10" s="525"/>
      <c r="FL10" s="525"/>
      <c r="FM10" s="525"/>
      <c r="FN10" s="525"/>
    </row>
    <row r="11" spans="1:170" ht="12.75" customHeight="1">
      <c r="K11" s="585" t="s">
        <v>4639</v>
      </c>
      <c r="L11" s="435">
        <v>1725201</v>
      </c>
      <c r="M11" s="525">
        <v>1148</v>
      </c>
      <c r="N11" s="463">
        <v>1189465</v>
      </c>
      <c r="O11" s="463">
        <v>1008120</v>
      </c>
      <c r="P11" s="862">
        <v>692139</v>
      </c>
      <c r="Q11" s="862">
        <v>1137127</v>
      </c>
      <c r="R11" s="525"/>
      <c r="S11" s="525"/>
      <c r="T11" s="585" t="s">
        <v>4640</v>
      </c>
      <c r="U11" s="525"/>
      <c r="V11" s="525"/>
      <c r="W11" s="525"/>
      <c r="X11" s="435" t="s">
        <v>1627</v>
      </c>
      <c r="Y11" s="463" t="s">
        <v>1627</v>
      </c>
      <c r="Z11" s="538"/>
      <c r="AA11" s="538"/>
      <c r="AB11" s="525"/>
      <c r="AC11" s="525"/>
      <c r="AD11" s="585" t="s">
        <v>4640</v>
      </c>
      <c r="AE11" s="525"/>
      <c r="AF11" s="525"/>
      <c r="AG11" s="525"/>
      <c r="AH11" s="525"/>
      <c r="AI11" s="525"/>
      <c r="AJ11" s="538"/>
      <c r="AK11" s="538"/>
      <c r="AL11" s="525"/>
      <c r="AM11" s="525"/>
      <c r="AN11" s="585" t="s">
        <v>4640</v>
      </c>
      <c r="AO11" s="525"/>
      <c r="AP11" s="525"/>
      <c r="AQ11" s="525"/>
      <c r="AR11" s="525"/>
      <c r="AS11" s="525"/>
      <c r="AT11" s="525"/>
      <c r="AU11" s="525"/>
      <c r="AV11" s="538"/>
      <c r="AW11" s="538"/>
      <c r="AX11" s="525"/>
      <c r="AY11" s="525"/>
      <c r="AZ11" s="451" t="s">
        <v>4641</v>
      </c>
      <c r="BA11" s="525">
        <f t="shared" si="4"/>
        <v>60565687</v>
      </c>
      <c r="BB11" s="862">
        <v>36398126</v>
      </c>
      <c r="BC11" s="435" t="s">
        <v>1627</v>
      </c>
      <c r="BD11" s="435" t="s">
        <v>1627</v>
      </c>
      <c r="BE11" s="435" t="s">
        <v>1627</v>
      </c>
      <c r="BF11" s="435" t="s">
        <v>1627</v>
      </c>
      <c r="BG11" s="862">
        <v>24167561</v>
      </c>
      <c r="BH11" s="525"/>
      <c r="BI11" s="525"/>
      <c r="BJ11" s="451" t="s">
        <v>4641</v>
      </c>
      <c r="BK11" s="525">
        <f>SUM(BL11:BQ11)</f>
        <v>33429</v>
      </c>
      <c r="BL11" s="862">
        <v>11947</v>
      </c>
      <c r="BM11" s="435" t="s">
        <v>1627</v>
      </c>
      <c r="BN11" s="435" t="s">
        <v>1627</v>
      </c>
      <c r="BO11" s="435" t="s">
        <v>1627</v>
      </c>
      <c r="BP11" s="435" t="s">
        <v>1627</v>
      </c>
      <c r="BQ11" s="862">
        <v>21482</v>
      </c>
      <c r="BR11" s="862"/>
      <c r="BS11" s="525"/>
      <c r="BT11" s="451" t="s">
        <v>4641</v>
      </c>
      <c r="BU11" s="525">
        <f t="shared" si="3"/>
        <v>30765054</v>
      </c>
      <c r="BV11" s="862">
        <v>11100762</v>
      </c>
      <c r="BW11" s="435" t="s">
        <v>1627</v>
      </c>
      <c r="BX11" s="435" t="s">
        <v>1627</v>
      </c>
      <c r="BY11" s="435" t="s">
        <v>1627</v>
      </c>
      <c r="BZ11" s="435" t="s">
        <v>1627</v>
      </c>
      <c r="CA11" s="862" t="s">
        <v>1627</v>
      </c>
      <c r="CB11" s="435" t="s">
        <v>1627</v>
      </c>
      <c r="CC11" s="862">
        <v>19664292</v>
      </c>
      <c r="CD11" s="525"/>
      <c r="CE11" s="525"/>
      <c r="CF11" s="585" t="s">
        <v>4642</v>
      </c>
      <c r="CG11" s="599" t="s">
        <v>4643</v>
      </c>
      <c r="CH11" s="862">
        <v>53010</v>
      </c>
      <c r="CI11" s="862">
        <v>52873</v>
      </c>
      <c r="CJ11" s="862">
        <v>52264</v>
      </c>
      <c r="CK11" s="862">
        <v>51938</v>
      </c>
      <c r="CL11" s="862">
        <v>51743</v>
      </c>
      <c r="CM11" s="862">
        <v>51372</v>
      </c>
      <c r="CN11" s="862">
        <v>49769</v>
      </c>
      <c r="CO11" s="862">
        <v>50208</v>
      </c>
      <c r="CP11" s="862">
        <v>48900</v>
      </c>
      <c r="CQ11" s="862">
        <v>48918</v>
      </c>
      <c r="CR11" s="862">
        <v>48597</v>
      </c>
      <c r="CS11" s="525"/>
      <c r="CT11" s="525"/>
      <c r="CU11" s="382" t="s">
        <v>4644</v>
      </c>
      <c r="CV11" s="599" t="s">
        <v>4584</v>
      </c>
      <c r="CW11" s="599">
        <v>70.400000000000006</v>
      </c>
      <c r="CX11" s="599">
        <v>76.099999999999994</v>
      </c>
      <c r="CY11" s="599">
        <v>65.099999999999994</v>
      </c>
      <c r="CZ11" s="599">
        <v>82.3</v>
      </c>
      <c r="DA11" s="743">
        <v>77</v>
      </c>
      <c r="DB11" s="599">
        <v>77.8</v>
      </c>
      <c r="DC11" s="599">
        <v>87.2</v>
      </c>
      <c r="DD11" s="599">
        <v>78.5</v>
      </c>
      <c r="DE11" s="599">
        <v>71.400000000000006</v>
      </c>
      <c r="DF11" s="743">
        <v>88</v>
      </c>
      <c r="DG11" s="599">
        <v>96.1</v>
      </c>
      <c r="DH11" s="525"/>
      <c r="DJ11" s="585" t="s">
        <v>4645</v>
      </c>
      <c r="DK11" s="525">
        <v>26133</v>
      </c>
      <c r="DL11" s="525">
        <v>31643</v>
      </c>
      <c r="DM11" s="525">
        <v>34978</v>
      </c>
      <c r="DN11" s="525">
        <v>35817</v>
      </c>
      <c r="DO11" s="525">
        <v>35449</v>
      </c>
      <c r="DP11" s="525">
        <v>28562</v>
      </c>
      <c r="DQ11" s="525"/>
      <c r="DR11" s="525"/>
      <c r="DS11" s="585" t="s">
        <v>4645</v>
      </c>
      <c r="DT11" s="525">
        <v>21940</v>
      </c>
      <c r="DU11" s="463">
        <v>20104</v>
      </c>
      <c r="DV11" s="525">
        <v>19723</v>
      </c>
      <c r="DW11" s="525">
        <v>20961</v>
      </c>
      <c r="DX11" s="525">
        <v>19615</v>
      </c>
      <c r="DY11" s="525">
        <v>17056</v>
      </c>
      <c r="DZ11" s="525"/>
      <c r="EB11" s="524" t="s">
        <v>4646</v>
      </c>
      <c r="EC11" s="623">
        <v>56.3</v>
      </c>
      <c r="ED11" s="855">
        <v>35.5</v>
      </c>
      <c r="EE11" s="623">
        <v>18.899999999999999</v>
      </c>
      <c r="EF11" s="585">
        <v>39.9</v>
      </c>
      <c r="EG11" s="623">
        <v>37.299999999999997</v>
      </c>
      <c r="EH11" s="855">
        <v>54.9</v>
      </c>
      <c r="EI11" s="623">
        <v>66.3</v>
      </c>
      <c r="EL11" s="451" t="s">
        <v>4647</v>
      </c>
      <c r="EM11" s="799">
        <v>0</v>
      </c>
      <c r="EN11" s="857">
        <v>0</v>
      </c>
      <c r="EO11" s="799">
        <v>210.1</v>
      </c>
      <c r="EP11" s="857">
        <v>215.6</v>
      </c>
      <c r="EQ11" s="799">
        <v>220.8</v>
      </c>
      <c r="ER11" s="799">
        <v>225.8</v>
      </c>
      <c r="ES11" s="799">
        <v>230.5</v>
      </c>
      <c r="ET11" s="1015"/>
      <c r="EU11" s="491"/>
      <c r="EV11" s="491"/>
      <c r="EW11" s="743"/>
      <c r="EX11" s="1003"/>
      <c r="EY11" s="1016"/>
      <c r="EZ11" s="1016"/>
      <c r="FA11" s="1016"/>
      <c r="FB11" s="855"/>
      <c r="FC11" s="855"/>
      <c r="FD11" s="855"/>
      <c r="FE11" s="1003"/>
      <c r="FF11" s="599"/>
      <c r="FG11" s="599"/>
      <c r="FI11" s="525"/>
      <c r="FJ11" s="525"/>
      <c r="FK11" s="525"/>
      <c r="FL11" s="525"/>
      <c r="FM11" s="525"/>
      <c r="FN11" s="525"/>
    </row>
    <row r="12" spans="1:170">
      <c r="K12" s="382" t="s">
        <v>4648</v>
      </c>
      <c r="L12" s="525">
        <v>24849472</v>
      </c>
      <c r="M12" s="463">
        <v>8028</v>
      </c>
      <c r="N12" s="435">
        <v>3000000</v>
      </c>
      <c r="O12" s="435" t="s">
        <v>1627</v>
      </c>
      <c r="P12" s="435" t="s">
        <v>1627</v>
      </c>
      <c r="Q12" s="435" t="s">
        <v>1627</v>
      </c>
      <c r="R12" s="435"/>
      <c r="S12" s="435"/>
      <c r="T12" s="585" t="s">
        <v>4649</v>
      </c>
      <c r="U12" s="525">
        <f t="shared" ref="U12:U21" si="5">SUM(V12:AA12)</f>
        <v>73987966</v>
      </c>
      <c r="V12" s="525">
        <v>70567742</v>
      </c>
      <c r="W12" s="435" t="s">
        <v>1627</v>
      </c>
      <c r="X12" s="435" t="s">
        <v>1627</v>
      </c>
      <c r="Y12" s="435" t="s">
        <v>1627</v>
      </c>
      <c r="Z12" s="435" t="s">
        <v>1627</v>
      </c>
      <c r="AA12" s="435">
        <v>3420224</v>
      </c>
      <c r="AB12" s="435"/>
      <c r="AC12" s="525"/>
      <c r="AD12" s="585" t="s">
        <v>4649</v>
      </c>
      <c r="AE12" s="525">
        <f t="shared" ref="AE12:AE20" si="6">SUM(AF12:AK12)</f>
        <v>71186</v>
      </c>
      <c r="AF12" s="525">
        <v>68022</v>
      </c>
      <c r="AG12" s="435" t="s">
        <v>1627</v>
      </c>
      <c r="AH12" s="435" t="s">
        <v>1627</v>
      </c>
      <c r="AI12" s="435" t="s">
        <v>1627</v>
      </c>
      <c r="AJ12" s="435" t="s">
        <v>1627</v>
      </c>
      <c r="AK12" s="435">
        <v>3164</v>
      </c>
      <c r="AL12" s="525"/>
      <c r="AM12" s="525"/>
      <c r="AN12" s="585" t="s">
        <v>4649</v>
      </c>
      <c r="AO12" s="525">
        <f t="shared" ref="AO12:AO20" si="7">SUM(AP12:AW12)</f>
        <v>58844936</v>
      </c>
      <c r="AP12" s="525">
        <v>55893331</v>
      </c>
      <c r="AQ12" s="435" t="s">
        <v>1627</v>
      </c>
      <c r="AR12" s="435" t="s">
        <v>1627</v>
      </c>
      <c r="AS12" s="435" t="s">
        <v>1627</v>
      </c>
      <c r="AT12" s="435" t="s">
        <v>1627</v>
      </c>
      <c r="AU12" s="435" t="s">
        <v>1627</v>
      </c>
      <c r="AV12" s="435" t="s">
        <v>1627</v>
      </c>
      <c r="AW12" s="435">
        <v>2951605</v>
      </c>
      <c r="AX12" s="525"/>
      <c r="AY12" s="525"/>
      <c r="AZ12" s="451" t="s">
        <v>4650</v>
      </c>
      <c r="BA12" s="525">
        <f t="shared" si="4"/>
        <v>892823</v>
      </c>
      <c r="BB12" s="525">
        <v>537910</v>
      </c>
      <c r="BC12" s="435" t="s">
        <v>1627</v>
      </c>
      <c r="BD12" s="435" t="s">
        <v>1627</v>
      </c>
      <c r="BE12" s="435" t="s">
        <v>1627</v>
      </c>
      <c r="BF12" s="435" t="s">
        <v>1627</v>
      </c>
      <c r="BG12" s="435">
        <v>354913</v>
      </c>
      <c r="BH12" s="525"/>
      <c r="BI12" s="525"/>
      <c r="BJ12" s="451" t="s">
        <v>4650</v>
      </c>
      <c r="BK12" s="525">
        <f>SUM(BL12:BQ12)</f>
        <v>1027</v>
      </c>
      <c r="BL12" s="525">
        <v>624</v>
      </c>
      <c r="BM12" s="435" t="s">
        <v>1627</v>
      </c>
      <c r="BN12" s="435" t="s">
        <v>1627</v>
      </c>
      <c r="BO12" s="435" t="s">
        <v>1627</v>
      </c>
      <c r="BP12" s="435" t="s">
        <v>1627</v>
      </c>
      <c r="BQ12" s="435">
        <v>403</v>
      </c>
      <c r="BR12" s="435"/>
      <c r="BS12" s="525"/>
      <c r="BT12" s="451" t="s">
        <v>4650</v>
      </c>
      <c r="BU12" s="525">
        <f t="shared" si="3"/>
        <v>1447423</v>
      </c>
      <c r="BV12" s="525">
        <v>829459</v>
      </c>
      <c r="BW12" s="435" t="s">
        <v>1627</v>
      </c>
      <c r="BX12" s="435" t="s">
        <v>1627</v>
      </c>
      <c r="BY12" s="435" t="s">
        <v>1627</v>
      </c>
      <c r="BZ12" s="435" t="s">
        <v>1627</v>
      </c>
      <c r="CA12" s="435" t="s">
        <v>1627</v>
      </c>
      <c r="CB12" s="435" t="s">
        <v>1627</v>
      </c>
      <c r="CC12" s="435">
        <v>617964</v>
      </c>
      <c r="CD12" s="525"/>
      <c r="CE12" s="525"/>
      <c r="CF12" s="585" t="s">
        <v>4651</v>
      </c>
      <c r="CG12" s="599" t="s">
        <v>4652</v>
      </c>
      <c r="CH12" s="1003">
        <v>1447.6</v>
      </c>
      <c r="CI12" s="1003">
        <v>1540.2</v>
      </c>
      <c r="CJ12" s="1003">
        <v>1555</v>
      </c>
      <c r="CK12" s="1003">
        <v>1523.4</v>
      </c>
      <c r="CL12" s="1003">
        <v>1568.3</v>
      </c>
      <c r="CM12" s="1003">
        <v>1567.1</v>
      </c>
      <c r="CN12" s="1003">
        <v>1610.1</v>
      </c>
      <c r="CO12" s="1003">
        <v>1574.3</v>
      </c>
      <c r="CP12" s="1003">
        <v>1539.6</v>
      </c>
      <c r="CQ12" s="1003">
        <v>1533.3</v>
      </c>
      <c r="CR12" s="1003">
        <v>1565.1</v>
      </c>
      <c r="CS12" s="855"/>
      <c r="CT12" s="855"/>
      <c r="CU12" s="585" t="s">
        <v>4653</v>
      </c>
      <c r="CV12" s="599" t="s">
        <v>4584</v>
      </c>
      <c r="CW12" s="599">
        <v>79.099999999999994</v>
      </c>
      <c r="CX12" s="599">
        <v>33.799999999999997</v>
      </c>
      <c r="CY12" s="599">
        <v>30.2</v>
      </c>
      <c r="CZ12" s="743">
        <v>39</v>
      </c>
      <c r="DA12" s="743">
        <v>23.4</v>
      </c>
      <c r="DB12" s="599">
        <v>19.2</v>
      </c>
      <c r="DC12" s="599">
        <v>21.6</v>
      </c>
      <c r="DD12" s="599">
        <v>16.3</v>
      </c>
      <c r="DE12" s="743">
        <v>17</v>
      </c>
      <c r="DF12" s="743">
        <v>16.100000000000001</v>
      </c>
      <c r="DG12" s="599">
        <v>22.7</v>
      </c>
      <c r="DH12" s="855"/>
      <c r="DJ12" s="382" t="s">
        <v>62</v>
      </c>
      <c r="DK12" s="463">
        <v>4039</v>
      </c>
      <c r="DL12" s="525">
        <v>4953</v>
      </c>
      <c r="DM12" s="525">
        <v>3519</v>
      </c>
      <c r="DN12" s="525">
        <v>3956</v>
      </c>
      <c r="DO12" s="525">
        <v>3786</v>
      </c>
      <c r="DP12" s="525">
        <v>3677</v>
      </c>
      <c r="DQ12" s="525"/>
      <c r="DR12" s="525"/>
      <c r="DS12" s="585" t="s">
        <v>4654</v>
      </c>
      <c r="DT12" s="525">
        <v>3400</v>
      </c>
      <c r="DU12" s="463">
        <v>2896</v>
      </c>
      <c r="DV12" s="525">
        <v>2778</v>
      </c>
      <c r="DW12" s="525">
        <v>2208</v>
      </c>
      <c r="DX12" s="525">
        <v>780</v>
      </c>
      <c r="DY12" s="525">
        <v>2486</v>
      </c>
      <c r="DZ12" s="525"/>
      <c r="EH12" s="855"/>
      <c r="EJ12" s="1012"/>
      <c r="EL12" s="451" t="s">
        <v>4655</v>
      </c>
      <c r="EM12" s="799">
        <v>9.4</v>
      </c>
      <c r="EN12" s="857">
        <v>12.3</v>
      </c>
      <c r="EO12" s="799">
        <v>96.4</v>
      </c>
      <c r="EP12" s="857">
        <v>99</v>
      </c>
      <c r="EQ12" s="799">
        <v>101.6</v>
      </c>
      <c r="ER12" s="799">
        <v>104</v>
      </c>
      <c r="ES12" s="799">
        <v>106.4</v>
      </c>
      <c r="ET12" s="1015"/>
      <c r="EU12" s="491"/>
      <c r="EV12" s="491"/>
      <c r="EW12" s="743"/>
      <c r="EX12" s="855"/>
      <c r="EY12" s="855"/>
      <c r="EZ12" s="855"/>
      <c r="FA12" s="855"/>
      <c r="FB12" s="855"/>
      <c r="FC12" s="855"/>
      <c r="FD12" s="855"/>
      <c r="FE12" s="1003"/>
      <c r="FF12" s="599"/>
      <c r="FG12" s="599"/>
      <c r="FI12" s="525"/>
      <c r="FJ12" s="525"/>
      <c r="FK12" s="525"/>
      <c r="FL12" s="525"/>
      <c r="FM12" s="525"/>
      <c r="FN12" s="525"/>
    </row>
    <row r="13" spans="1:170">
      <c r="A13" s="382" t="s">
        <v>4672</v>
      </c>
      <c r="K13" s="585" t="s">
        <v>4656</v>
      </c>
      <c r="L13" s="525">
        <v>131391173</v>
      </c>
      <c r="M13" s="525">
        <v>127304</v>
      </c>
      <c r="N13" s="463">
        <v>68115151</v>
      </c>
      <c r="O13" s="463">
        <v>57805758</v>
      </c>
      <c r="P13" s="525">
        <v>49795541</v>
      </c>
      <c r="Q13" s="525">
        <v>36078334</v>
      </c>
      <c r="R13" s="525"/>
      <c r="S13" s="525"/>
      <c r="T13" s="585" t="s">
        <v>4657</v>
      </c>
      <c r="U13" s="525">
        <f t="shared" si="5"/>
        <v>128966958</v>
      </c>
      <c r="V13" s="525">
        <v>1460332</v>
      </c>
      <c r="W13" s="525">
        <v>100484053</v>
      </c>
      <c r="X13" s="435" t="s">
        <v>1627</v>
      </c>
      <c r="Y13" s="538">
        <v>23828689</v>
      </c>
      <c r="Z13" s="435" t="s">
        <v>1627</v>
      </c>
      <c r="AA13" s="435">
        <v>3193884</v>
      </c>
      <c r="AB13" s="525"/>
      <c r="AC13" s="435"/>
      <c r="AD13" s="585" t="s">
        <v>4657</v>
      </c>
      <c r="AE13" s="525">
        <v>165600</v>
      </c>
      <c r="AF13" s="525">
        <v>47784</v>
      </c>
      <c r="AG13" s="525">
        <v>74857</v>
      </c>
      <c r="AH13" s="435" t="s">
        <v>1627</v>
      </c>
      <c r="AI13" s="538">
        <v>39866</v>
      </c>
      <c r="AJ13" s="435" t="s">
        <v>1627</v>
      </c>
      <c r="AK13" s="435">
        <v>3092</v>
      </c>
      <c r="AL13" s="435"/>
      <c r="AM13" s="435"/>
      <c r="AN13" s="585" t="s">
        <v>4657</v>
      </c>
      <c r="AO13" s="525">
        <f t="shared" si="7"/>
        <v>104025210</v>
      </c>
      <c r="AP13" s="525">
        <v>14007839</v>
      </c>
      <c r="AQ13" s="525">
        <v>57167548</v>
      </c>
      <c r="AR13" s="435" t="s">
        <v>1627</v>
      </c>
      <c r="AS13" s="435">
        <v>8481577</v>
      </c>
      <c r="AT13" s="435" t="s">
        <v>1627</v>
      </c>
      <c r="AU13" s="538">
        <v>24368246</v>
      </c>
      <c r="AV13" s="435" t="s">
        <v>1627</v>
      </c>
      <c r="AW13" s="435" t="s">
        <v>1627</v>
      </c>
      <c r="AX13" s="435"/>
      <c r="AY13" s="435"/>
      <c r="AZ13" s="451" t="s">
        <v>4658</v>
      </c>
      <c r="BA13" s="525">
        <f t="shared" si="4"/>
        <v>17856538</v>
      </c>
      <c r="BB13" s="862">
        <v>4429583</v>
      </c>
      <c r="BC13" s="435" t="s">
        <v>1627</v>
      </c>
      <c r="BD13" s="435">
        <v>12027024</v>
      </c>
      <c r="BE13" s="435" t="s">
        <v>1627</v>
      </c>
      <c r="BF13" s="435" t="s">
        <v>1627</v>
      </c>
      <c r="BG13" s="862">
        <v>1399931</v>
      </c>
      <c r="BH13" s="435"/>
      <c r="BI13" s="435"/>
      <c r="BJ13" s="451" t="s">
        <v>4658</v>
      </c>
      <c r="BK13" s="525">
        <v>7235</v>
      </c>
      <c r="BL13" s="862">
        <v>560</v>
      </c>
      <c r="BM13" s="435" t="s">
        <v>1627</v>
      </c>
      <c r="BN13" s="435">
        <v>1177</v>
      </c>
      <c r="BO13" s="435" t="s">
        <v>1627</v>
      </c>
      <c r="BP13" s="862">
        <v>4919</v>
      </c>
      <c r="BQ13" s="862">
        <v>580</v>
      </c>
      <c r="BR13" s="862"/>
      <c r="BS13" s="435"/>
      <c r="BT13" s="451" t="s">
        <v>4658</v>
      </c>
      <c r="BU13" s="525">
        <f t="shared" si="3"/>
        <v>1981936</v>
      </c>
      <c r="BV13" s="862">
        <v>471765</v>
      </c>
      <c r="BW13" s="435" t="s">
        <v>1627</v>
      </c>
      <c r="BX13" s="435">
        <v>580</v>
      </c>
      <c r="BY13" s="435" t="s">
        <v>1627</v>
      </c>
      <c r="BZ13" s="435">
        <v>51</v>
      </c>
      <c r="CA13" s="435" t="s">
        <v>1627</v>
      </c>
      <c r="CB13" s="862">
        <v>1024659</v>
      </c>
      <c r="CC13" s="862">
        <v>484881</v>
      </c>
      <c r="CD13" s="435"/>
      <c r="CE13" s="525"/>
      <c r="CF13" s="585" t="s">
        <v>4659</v>
      </c>
      <c r="CG13" s="599" t="s">
        <v>4660</v>
      </c>
      <c r="CH13" s="599">
        <v>1.599</v>
      </c>
      <c r="CI13" s="599">
        <v>1.696</v>
      </c>
      <c r="CJ13" s="1017">
        <v>1.7170000000000001</v>
      </c>
      <c r="CK13" s="1017">
        <v>1.6870000000000001</v>
      </c>
      <c r="CL13" s="599">
        <v>1.7270000000000001</v>
      </c>
      <c r="CM13" s="599">
        <v>1.7190000000000001</v>
      </c>
      <c r="CN13" s="599">
        <v>1.7629999999999999</v>
      </c>
      <c r="CO13" s="599">
        <v>1.7210000000000001</v>
      </c>
      <c r="CP13" s="599">
        <v>1.712</v>
      </c>
      <c r="CQ13" s="1017">
        <v>1.708</v>
      </c>
      <c r="CR13" s="599">
        <v>1.7589999999999999</v>
      </c>
      <c r="CU13" s="585" t="s">
        <v>4661</v>
      </c>
      <c r="CV13" s="599" t="s">
        <v>4584</v>
      </c>
      <c r="CW13" s="599">
        <v>881.7</v>
      </c>
      <c r="CX13" s="743">
        <f>SUM(CX14:CX29)</f>
        <v>713.2</v>
      </c>
      <c r="CY13" s="743">
        <f>SUM(CY14:CY29)</f>
        <v>725</v>
      </c>
      <c r="CZ13" s="743">
        <f>SUM(CZ14:CZ29)</f>
        <v>700.5</v>
      </c>
      <c r="DA13" s="743">
        <f>SUM(DA14:DA29)</f>
        <v>672</v>
      </c>
      <c r="DB13" s="599">
        <f>SUM(DB14:DB29)</f>
        <v>683.8</v>
      </c>
      <c r="DC13" s="599">
        <v>714.6</v>
      </c>
      <c r="DD13" s="599">
        <v>734.4</v>
      </c>
      <c r="DE13" s="599">
        <v>700.1</v>
      </c>
      <c r="DF13" s="743">
        <v>797.5</v>
      </c>
      <c r="DG13" s="599">
        <v>649.6</v>
      </c>
      <c r="DJ13" s="585" t="s">
        <v>4662</v>
      </c>
      <c r="DK13" s="525">
        <v>9118</v>
      </c>
      <c r="DL13" s="525">
        <v>3562</v>
      </c>
      <c r="DM13" s="525">
        <v>3761</v>
      </c>
      <c r="DN13" s="525">
        <v>3980</v>
      </c>
      <c r="DO13" s="525">
        <v>3535</v>
      </c>
      <c r="DP13" s="525">
        <v>2728</v>
      </c>
      <c r="DQ13" s="525"/>
      <c r="DR13" s="525"/>
      <c r="DS13" s="585" t="s">
        <v>4662</v>
      </c>
      <c r="DT13" s="525">
        <v>2836</v>
      </c>
      <c r="DU13" s="463">
        <v>2938</v>
      </c>
      <c r="DV13" s="525">
        <v>2691</v>
      </c>
      <c r="DW13" s="525">
        <v>3463</v>
      </c>
      <c r="DX13" s="525">
        <v>2726</v>
      </c>
      <c r="DY13" s="525">
        <v>2460</v>
      </c>
      <c r="DZ13" s="525"/>
      <c r="EB13" s="585" t="s">
        <v>4663</v>
      </c>
      <c r="EH13" s="855"/>
      <c r="EJ13" s="1018"/>
      <c r="EL13" s="451" t="s">
        <v>4664</v>
      </c>
      <c r="EM13" s="799">
        <v>0</v>
      </c>
      <c r="EN13" s="857">
        <v>0</v>
      </c>
      <c r="EO13" s="799">
        <v>0</v>
      </c>
      <c r="EP13" s="491">
        <v>0</v>
      </c>
      <c r="EQ13" s="752">
        <v>0</v>
      </c>
      <c r="ER13" s="799">
        <v>4.7</v>
      </c>
      <c r="ES13" s="799">
        <v>9.1</v>
      </c>
      <c r="ET13" s="1015"/>
      <c r="EU13" s="491"/>
      <c r="EV13" s="491"/>
      <c r="EW13" s="743"/>
      <c r="EX13" s="1003"/>
      <c r="EY13" s="1016"/>
      <c r="EZ13" s="1016"/>
      <c r="FA13" s="1016"/>
      <c r="FB13" s="1003"/>
      <c r="FC13" s="1003"/>
      <c r="FD13" s="1003"/>
      <c r="FE13" s="855"/>
      <c r="FF13" s="599"/>
      <c r="FG13" s="599"/>
      <c r="FI13" s="525"/>
      <c r="FJ13" s="525"/>
      <c r="FK13" s="525"/>
      <c r="FL13" s="525"/>
      <c r="FM13" s="525"/>
      <c r="FN13" s="525"/>
    </row>
    <row r="14" spans="1:170">
      <c r="A14" s="586" t="s">
        <v>4585</v>
      </c>
      <c r="K14" s="382" t="s">
        <v>4665</v>
      </c>
      <c r="L14" s="525">
        <v>635683</v>
      </c>
      <c r="M14" s="463">
        <v>2450</v>
      </c>
      <c r="N14" s="463">
        <v>3516119</v>
      </c>
      <c r="O14" s="463">
        <v>3412754</v>
      </c>
      <c r="P14" s="862">
        <v>2909184</v>
      </c>
      <c r="Q14" s="862">
        <v>2109846</v>
      </c>
      <c r="R14" s="463"/>
      <c r="S14" s="463"/>
      <c r="T14" s="585" t="s">
        <v>4666</v>
      </c>
      <c r="U14" s="525">
        <f t="shared" si="5"/>
        <v>15721216</v>
      </c>
      <c r="V14" s="435" t="s">
        <v>1627</v>
      </c>
      <c r="W14" s="435" t="s">
        <v>1627</v>
      </c>
      <c r="X14" s="435" t="s">
        <v>1627</v>
      </c>
      <c r="Y14" s="435" t="s">
        <v>1627</v>
      </c>
      <c r="Z14" s="435" t="s">
        <v>1627</v>
      </c>
      <c r="AA14" s="435">
        <v>15721216</v>
      </c>
      <c r="AB14" s="463"/>
      <c r="AC14" s="435"/>
      <c r="AD14" s="585" t="s">
        <v>4666</v>
      </c>
      <c r="AE14" s="525">
        <f t="shared" si="6"/>
        <v>15629</v>
      </c>
      <c r="AF14" s="435" t="s">
        <v>1627</v>
      </c>
      <c r="AG14" s="435" t="s">
        <v>1627</v>
      </c>
      <c r="AH14" s="435" t="s">
        <v>1627</v>
      </c>
      <c r="AI14" s="435" t="s">
        <v>1627</v>
      </c>
      <c r="AJ14" s="435" t="s">
        <v>1627</v>
      </c>
      <c r="AK14" s="435">
        <v>15629</v>
      </c>
      <c r="AL14" s="435"/>
      <c r="AM14" s="435"/>
      <c r="AN14" s="585" t="s">
        <v>4667</v>
      </c>
      <c r="AO14" s="525">
        <f t="shared" si="7"/>
        <v>5517117</v>
      </c>
      <c r="AP14" s="862">
        <v>1189465</v>
      </c>
      <c r="AQ14" s="435" t="s">
        <v>1627</v>
      </c>
      <c r="AR14" s="435" t="s">
        <v>1627</v>
      </c>
      <c r="AS14" s="435" t="s">
        <v>1627</v>
      </c>
      <c r="AT14" s="435" t="s">
        <v>1627</v>
      </c>
      <c r="AU14" s="435" t="s">
        <v>1627</v>
      </c>
      <c r="AV14" s="435" t="s">
        <v>1627</v>
      </c>
      <c r="AW14" s="435">
        <v>4327652</v>
      </c>
      <c r="AX14" s="435"/>
      <c r="AY14" s="435"/>
      <c r="AZ14" s="451" t="s">
        <v>4668</v>
      </c>
      <c r="BA14" s="525">
        <f>SUM(BB14:BG14)</f>
        <v>4360487</v>
      </c>
      <c r="BB14" s="862">
        <v>4324696</v>
      </c>
      <c r="BC14" s="435" t="s">
        <v>1627</v>
      </c>
      <c r="BD14" s="435" t="s">
        <v>1627</v>
      </c>
      <c r="BE14" s="435" t="s">
        <v>1627</v>
      </c>
      <c r="BF14" s="435" t="s">
        <v>1627</v>
      </c>
      <c r="BG14" s="435">
        <v>35791</v>
      </c>
      <c r="BH14" s="435"/>
      <c r="BI14" s="435"/>
      <c r="BJ14" s="451" t="s">
        <v>4668</v>
      </c>
      <c r="BK14" s="525">
        <f>SUM(BL14:BQ14)</f>
        <v>3368</v>
      </c>
      <c r="BL14" s="862">
        <v>3259</v>
      </c>
      <c r="BM14" s="435" t="s">
        <v>1627</v>
      </c>
      <c r="BN14" s="435" t="s">
        <v>1627</v>
      </c>
      <c r="BO14" s="435" t="s">
        <v>1627</v>
      </c>
      <c r="BP14" s="435" t="s">
        <v>1627</v>
      </c>
      <c r="BQ14" s="435">
        <v>109</v>
      </c>
      <c r="BR14" s="435"/>
      <c r="BS14" s="435"/>
      <c r="BT14" s="451" t="s">
        <v>4668</v>
      </c>
      <c r="BU14" s="525">
        <f t="shared" si="3"/>
        <v>4148626</v>
      </c>
      <c r="BV14" s="862">
        <v>4058489</v>
      </c>
      <c r="BW14" s="435" t="s">
        <v>1627</v>
      </c>
      <c r="BX14" s="435" t="s">
        <v>1627</v>
      </c>
      <c r="BY14" s="435" t="s">
        <v>1627</v>
      </c>
      <c r="BZ14" s="435" t="s">
        <v>1627</v>
      </c>
      <c r="CA14" s="435" t="s">
        <v>1627</v>
      </c>
      <c r="CB14" s="435" t="s">
        <v>1627</v>
      </c>
      <c r="CC14" s="435">
        <v>90137</v>
      </c>
      <c r="CD14" s="435"/>
      <c r="CE14" s="525"/>
      <c r="CF14" s="585" t="s">
        <v>4598</v>
      </c>
      <c r="CG14" s="599" t="s">
        <v>4584</v>
      </c>
      <c r="CH14" s="599">
        <v>924.6</v>
      </c>
      <c r="CI14" s="599">
        <v>914.5</v>
      </c>
      <c r="CJ14" s="599">
        <v>935.3</v>
      </c>
      <c r="CK14" s="599">
        <v>957.9</v>
      </c>
      <c r="CL14" s="599">
        <v>941.6</v>
      </c>
      <c r="CM14" s="599">
        <v>954.1</v>
      </c>
      <c r="CN14" s="599">
        <v>972.1</v>
      </c>
      <c r="CO14" s="599">
        <v>888.4</v>
      </c>
      <c r="CP14" s="599">
        <v>903.5</v>
      </c>
      <c r="CQ14" s="743">
        <v>975.9</v>
      </c>
      <c r="CR14" s="743">
        <v>885</v>
      </c>
      <c r="CU14" s="585" t="s">
        <v>4669</v>
      </c>
      <c r="CV14" s="599" t="s">
        <v>4584</v>
      </c>
      <c r="CW14" s="599">
        <v>102.8</v>
      </c>
      <c r="CX14" s="743">
        <v>56</v>
      </c>
      <c r="CY14" s="599">
        <v>62.2</v>
      </c>
      <c r="CZ14" s="599">
        <v>61.4</v>
      </c>
      <c r="DA14" s="743">
        <v>46.9</v>
      </c>
      <c r="DB14" s="599">
        <v>47.6</v>
      </c>
      <c r="DC14" s="599">
        <v>50.3</v>
      </c>
      <c r="DD14" s="599">
        <v>82.6</v>
      </c>
      <c r="DE14" s="599">
        <v>95.1</v>
      </c>
      <c r="DF14" s="743">
        <v>120.5</v>
      </c>
      <c r="DG14" s="599">
        <v>68.2</v>
      </c>
      <c r="DJ14" s="585" t="s">
        <v>4670</v>
      </c>
      <c r="DK14" s="525">
        <v>1634</v>
      </c>
      <c r="DL14" s="525">
        <v>1473</v>
      </c>
      <c r="DM14" s="525">
        <v>1395</v>
      </c>
      <c r="DN14" s="525">
        <v>1755</v>
      </c>
      <c r="DO14" s="525">
        <v>4160</v>
      </c>
      <c r="DP14" s="525">
        <v>4140</v>
      </c>
      <c r="DQ14" s="525"/>
      <c r="DR14" s="525"/>
      <c r="DS14" s="585" t="s">
        <v>4670</v>
      </c>
      <c r="DT14" s="525">
        <v>1719</v>
      </c>
      <c r="DU14" s="463">
        <v>1506</v>
      </c>
      <c r="DV14" s="525">
        <v>1944</v>
      </c>
      <c r="DW14" s="525">
        <v>1703</v>
      </c>
      <c r="DX14" s="525">
        <v>224</v>
      </c>
      <c r="DY14" s="525">
        <v>0</v>
      </c>
      <c r="DZ14" s="525"/>
      <c r="EB14" s="524" t="s">
        <v>2344</v>
      </c>
      <c r="EC14" s="623">
        <v>377.5</v>
      </c>
      <c r="ED14" s="743">
        <v>398.6</v>
      </c>
      <c r="EE14" s="623">
        <v>414.5</v>
      </c>
      <c r="EF14" s="585">
        <v>438.9</v>
      </c>
      <c r="EG14" s="623">
        <v>427.6</v>
      </c>
      <c r="EH14" s="855">
        <v>413.7</v>
      </c>
      <c r="EI14" s="623">
        <v>413.9</v>
      </c>
      <c r="EJ14" s="1018"/>
      <c r="EL14" s="451" t="s">
        <v>4671</v>
      </c>
      <c r="EM14" s="799">
        <v>360.8</v>
      </c>
      <c r="EN14" s="857">
        <v>362.3</v>
      </c>
      <c r="EO14" s="799">
        <v>362.3</v>
      </c>
      <c r="EP14" s="857">
        <v>400.8</v>
      </c>
      <c r="EQ14" s="799">
        <v>406.6</v>
      </c>
      <c r="ER14" s="799">
        <v>408.4</v>
      </c>
      <c r="ES14" s="799">
        <v>410.5</v>
      </c>
      <c r="ET14" s="1015"/>
      <c r="EU14" s="491"/>
      <c r="EV14" s="491"/>
      <c r="EW14" s="743"/>
      <c r="EX14" s="855"/>
      <c r="EY14" s="855"/>
      <c r="EZ14" s="855"/>
      <c r="FA14" s="855"/>
      <c r="FB14" s="855"/>
      <c r="FC14" s="855"/>
      <c r="FD14" s="855"/>
      <c r="FE14" s="855"/>
      <c r="FF14" s="525"/>
      <c r="FG14" s="525"/>
      <c r="FI14" s="525"/>
      <c r="FJ14" s="525"/>
      <c r="FK14" s="525"/>
      <c r="FL14" s="525"/>
      <c r="FM14" s="525"/>
      <c r="FN14" s="525"/>
    </row>
    <row r="15" spans="1:170">
      <c r="A15" s="998" t="s">
        <v>4592</v>
      </c>
      <c r="B15" s="939">
        <v>2017</v>
      </c>
      <c r="C15" s="939">
        <v>2016</v>
      </c>
      <c r="D15" s="939">
        <v>2015</v>
      </c>
      <c r="E15" s="939">
        <v>2014</v>
      </c>
      <c r="F15" s="939">
        <v>2013</v>
      </c>
      <c r="G15" s="939">
        <v>2012</v>
      </c>
      <c r="K15" s="382" t="s">
        <v>4673</v>
      </c>
      <c r="L15" s="525">
        <v>2017552</v>
      </c>
      <c r="M15" s="463">
        <v>2132</v>
      </c>
      <c r="N15" s="463">
        <v>2468521</v>
      </c>
      <c r="O15" s="463">
        <v>2589382</v>
      </c>
      <c r="P15" s="862">
        <v>2941213</v>
      </c>
      <c r="Q15" s="862">
        <v>5033990</v>
      </c>
      <c r="R15" s="463"/>
      <c r="S15" s="463"/>
      <c r="T15" s="585" t="s">
        <v>4667</v>
      </c>
      <c r="U15" s="525">
        <f t="shared" si="5"/>
        <v>8530644</v>
      </c>
      <c r="V15" s="862">
        <v>1725201</v>
      </c>
      <c r="W15" s="435" t="s">
        <v>1627</v>
      </c>
      <c r="X15" s="435" t="s">
        <v>1627</v>
      </c>
      <c r="Y15" s="435" t="s">
        <v>1627</v>
      </c>
      <c r="Z15" s="435" t="s">
        <v>1627</v>
      </c>
      <c r="AA15" s="435">
        <v>6805443</v>
      </c>
      <c r="AB15" s="463"/>
      <c r="AC15" s="525"/>
      <c r="AD15" s="585" t="s">
        <v>4667</v>
      </c>
      <c r="AE15" s="525">
        <f t="shared" si="6"/>
        <v>5485</v>
      </c>
      <c r="AF15" s="862">
        <v>1148</v>
      </c>
      <c r="AG15" s="435" t="s">
        <v>1627</v>
      </c>
      <c r="AH15" s="435" t="s">
        <v>1627</v>
      </c>
      <c r="AI15" s="435" t="s">
        <v>1627</v>
      </c>
      <c r="AJ15" s="435" t="s">
        <v>1627</v>
      </c>
      <c r="AK15" s="435">
        <v>4337</v>
      </c>
      <c r="AL15" s="525"/>
      <c r="AM15" s="525"/>
      <c r="AN15" s="451" t="s">
        <v>4648</v>
      </c>
      <c r="AO15" s="525">
        <f t="shared" si="7"/>
        <v>3385339</v>
      </c>
      <c r="AP15" s="435">
        <v>3000000</v>
      </c>
      <c r="AQ15" s="435" t="s">
        <v>1627</v>
      </c>
      <c r="AR15" s="435" t="s">
        <v>1627</v>
      </c>
      <c r="AS15" s="435" t="s">
        <v>1627</v>
      </c>
      <c r="AT15" s="435" t="s">
        <v>1627</v>
      </c>
      <c r="AU15" s="435" t="s">
        <v>1627</v>
      </c>
      <c r="AV15" s="435" t="s">
        <v>1627</v>
      </c>
      <c r="AW15" s="435">
        <v>385339</v>
      </c>
      <c r="AX15" s="525"/>
      <c r="AY15" s="525"/>
      <c r="AZ15" s="585" t="s">
        <v>4639</v>
      </c>
      <c r="BA15" s="525">
        <f>SUM(BB15:BG15)</f>
        <v>28370419</v>
      </c>
      <c r="BB15" s="525">
        <v>28359977</v>
      </c>
      <c r="BC15" s="435" t="s">
        <v>1627</v>
      </c>
      <c r="BD15" s="435" t="s">
        <v>1627</v>
      </c>
      <c r="BE15" s="435" t="s">
        <v>1627</v>
      </c>
      <c r="BF15" s="435" t="s">
        <v>1627</v>
      </c>
      <c r="BG15" s="525">
        <v>10442</v>
      </c>
      <c r="BH15" s="525"/>
      <c r="BI15" s="525"/>
      <c r="BJ15" s="585" t="s">
        <v>4639</v>
      </c>
      <c r="BK15" s="525">
        <f>SUM(BL15:BQ15)</f>
        <v>13438</v>
      </c>
      <c r="BL15" s="525">
        <v>13350</v>
      </c>
      <c r="BM15" s="435" t="s">
        <v>1627</v>
      </c>
      <c r="BN15" s="435" t="s">
        <v>1627</v>
      </c>
      <c r="BO15" s="435" t="s">
        <v>1627</v>
      </c>
      <c r="BP15" s="435" t="s">
        <v>1627</v>
      </c>
      <c r="BQ15" s="525">
        <v>88</v>
      </c>
      <c r="BR15" s="525"/>
      <c r="BS15" s="525"/>
      <c r="BT15" s="585" t="s">
        <v>4639</v>
      </c>
      <c r="BU15" s="525">
        <f t="shared" si="3"/>
        <v>7860121</v>
      </c>
      <c r="BV15" s="525">
        <v>6215311</v>
      </c>
      <c r="BW15" s="435" t="s">
        <v>1627</v>
      </c>
      <c r="BX15" s="435" t="s">
        <v>1627</v>
      </c>
      <c r="BY15" s="435" t="s">
        <v>1627</v>
      </c>
      <c r="BZ15" s="435">
        <v>30</v>
      </c>
      <c r="CA15" s="435" t="s">
        <v>1627</v>
      </c>
      <c r="CB15" s="435" t="s">
        <v>1627</v>
      </c>
      <c r="CC15" s="525">
        <v>1644780</v>
      </c>
      <c r="CD15" s="525"/>
      <c r="CE15" s="525"/>
      <c r="CF15" s="382" t="s">
        <v>4674</v>
      </c>
      <c r="CQ15" s="623"/>
      <c r="CU15" s="585" t="s">
        <v>4675</v>
      </c>
      <c r="CV15" s="599" t="s">
        <v>4584</v>
      </c>
      <c r="CW15" s="599">
        <v>142.5</v>
      </c>
      <c r="CX15" s="743">
        <v>127</v>
      </c>
      <c r="CY15" s="599">
        <v>120.2</v>
      </c>
      <c r="CZ15" s="599">
        <v>96.9</v>
      </c>
      <c r="DA15" s="743">
        <v>95</v>
      </c>
      <c r="DB15" s="599">
        <v>104.7</v>
      </c>
      <c r="DC15" s="599">
        <v>109.5</v>
      </c>
      <c r="DD15" s="743">
        <v>109</v>
      </c>
      <c r="DE15" s="599">
        <v>111.5</v>
      </c>
      <c r="DF15" s="743">
        <v>101.3</v>
      </c>
      <c r="DG15" s="599">
        <v>92.3</v>
      </c>
      <c r="DJ15" s="586" t="s">
        <v>1709</v>
      </c>
      <c r="DK15" s="633">
        <v>0</v>
      </c>
      <c r="DL15" s="633">
        <v>0</v>
      </c>
      <c r="DM15" s="633">
        <v>0</v>
      </c>
      <c r="DN15" s="633">
        <v>0</v>
      </c>
      <c r="DO15" s="633">
        <v>0</v>
      </c>
      <c r="DP15" s="633">
        <v>0</v>
      </c>
      <c r="DQ15" s="525"/>
      <c r="DR15" s="525"/>
      <c r="DS15" s="586" t="s">
        <v>1709</v>
      </c>
      <c r="DT15" s="633">
        <v>0</v>
      </c>
      <c r="DU15" s="633">
        <v>0</v>
      </c>
      <c r="DV15" s="633">
        <v>0</v>
      </c>
      <c r="DW15" s="633">
        <v>0</v>
      </c>
      <c r="DX15" s="633">
        <v>0</v>
      </c>
      <c r="DY15" s="633">
        <v>0</v>
      </c>
      <c r="DZ15" s="525"/>
      <c r="EB15" s="451" t="s">
        <v>4676</v>
      </c>
      <c r="EC15" s="799">
        <v>347.2</v>
      </c>
      <c r="ED15" s="752">
        <v>357.5</v>
      </c>
      <c r="EE15" s="799">
        <v>368.2</v>
      </c>
      <c r="EF15" s="382">
        <v>380.7</v>
      </c>
      <c r="EG15" s="799">
        <v>383.6</v>
      </c>
      <c r="EH15" s="857">
        <v>418.1</v>
      </c>
      <c r="EI15" s="799">
        <v>440.4</v>
      </c>
      <c r="EJ15" s="1012"/>
      <c r="EL15" s="451" t="s">
        <v>4677</v>
      </c>
      <c r="EM15" s="799">
        <v>184.6</v>
      </c>
      <c r="EN15" s="857">
        <v>196</v>
      </c>
      <c r="EO15" s="799">
        <v>207</v>
      </c>
      <c r="EP15" s="857">
        <v>217.3</v>
      </c>
      <c r="EQ15" s="799">
        <v>227.2</v>
      </c>
      <c r="ER15" s="799">
        <v>232.6</v>
      </c>
      <c r="ES15" s="799">
        <v>235</v>
      </c>
      <c r="ET15" s="1019"/>
      <c r="EU15" s="491"/>
      <c r="EV15" s="491"/>
      <c r="EW15" s="743"/>
      <c r="EX15" s="855"/>
      <c r="EY15" s="855"/>
      <c r="EZ15" s="855"/>
      <c r="FA15" s="855"/>
      <c r="FB15" s="855"/>
      <c r="FC15" s="855"/>
      <c r="FD15" s="855"/>
      <c r="FE15" s="1003"/>
      <c r="FF15" s="599"/>
      <c r="FG15" s="599"/>
      <c r="FI15" s="525"/>
      <c r="FJ15" s="525"/>
      <c r="FK15" s="525"/>
      <c r="FL15" s="525"/>
      <c r="FM15" s="525"/>
      <c r="FN15" s="525"/>
    </row>
    <row r="16" spans="1:170">
      <c r="A16" s="585" t="s">
        <v>4602</v>
      </c>
      <c r="B16" s="623">
        <v>709</v>
      </c>
      <c r="C16" s="623">
        <v>685.7</v>
      </c>
      <c r="D16" s="623">
        <v>647.70000000000005</v>
      </c>
      <c r="E16" s="623">
        <v>647.6</v>
      </c>
      <c r="F16" s="623">
        <v>610.6</v>
      </c>
      <c r="G16" s="623">
        <v>596.20000000000005</v>
      </c>
      <c r="K16" s="585" t="s">
        <v>4678</v>
      </c>
      <c r="L16" s="525">
        <v>5264187</v>
      </c>
      <c r="M16" s="525">
        <v>5079</v>
      </c>
      <c r="N16" s="525">
        <v>4816764</v>
      </c>
      <c r="O16" s="525">
        <v>5434488</v>
      </c>
      <c r="P16" s="525">
        <v>5234995</v>
      </c>
      <c r="Q16" s="525">
        <v>4959406</v>
      </c>
      <c r="R16" s="525"/>
      <c r="S16" s="525"/>
      <c r="T16" s="451" t="s">
        <v>4648</v>
      </c>
      <c r="U16" s="525">
        <f t="shared" si="5"/>
        <v>26458977</v>
      </c>
      <c r="V16" s="435">
        <v>24849472</v>
      </c>
      <c r="W16" s="435" t="s">
        <v>1627</v>
      </c>
      <c r="X16" s="435" t="s">
        <v>1627</v>
      </c>
      <c r="Y16" s="435" t="s">
        <v>1627</v>
      </c>
      <c r="Z16" s="435" t="s">
        <v>1627</v>
      </c>
      <c r="AA16" s="435">
        <v>1609505</v>
      </c>
      <c r="AB16" s="525"/>
      <c r="AC16" s="599"/>
      <c r="AD16" s="451" t="s">
        <v>4648</v>
      </c>
      <c r="AE16" s="525">
        <v>9073</v>
      </c>
      <c r="AF16" s="435">
        <v>8028</v>
      </c>
      <c r="AG16" s="435" t="s">
        <v>1627</v>
      </c>
      <c r="AH16" s="435" t="s">
        <v>1627</v>
      </c>
      <c r="AI16" s="435" t="s">
        <v>1627</v>
      </c>
      <c r="AJ16" s="435" t="s">
        <v>1627</v>
      </c>
      <c r="AK16" s="435">
        <v>1044</v>
      </c>
      <c r="AL16" s="599"/>
      <c r="AM16" s="599"/>
      <c r="AN16" s="382" t="s">
        <v>4679</v>
      </c>
      <c r="AO16" s="525">
        <f t="shared" si="7"/>
        <v>97726233</v>
      </c>
      <c r="AP16" s="525">
        <v>68115151</v>
      </c>
      <c r="AQ16" s="435" t="s">
        <v>1627</v>
      </c>
      <c r="AR16" s="435">
        <v>4927774</v>
      </c>
      <c r="AS16" s="435" t="s">
        <v>1627</v>
      </c>
      <c r="AT16" s="435" t="s">
        <v>1627</v>
      </c>
      <c r="AU16" s="435" t="s">
        <v>1627</v>
      </c>
      <c r="AV16" s="435" t="s">
        <v>1627</v>
      </c>
      <c r="AW16" s="435">
        <v>24683308</v>
      </c>
      <c r="AX16" s="599"/>
      <c r="AY16" s="599"/>
      <c r="AZ16" s="633"/>
      <c r="BA16" s="525"/>
      <c r="BB16" s="866"/>
      <c r="BC16" s="866"/>
      <c r="BD16" s="866"/>
      <c r="BE16" s="866"/>
      <c r="BF16" s="866"/>
      <c r="BG16" s="866"/>
      <c r="BH16" s="599"/>
      <c r="BI16" s="599"/>
      <c r="BJ16" s="633"/>
      <c r="BK16" s="525"/>
      <c r="BL16" s="866"/>
      <c r="BM16" s="866"/>
      <c r="BN16" s="866"/>
      <c r="BO16" s="866"/>
      <c r="BP16" s="866"/>
      <c r="BQ16" s="866"/>
      <c r="BR16" s="862"/>
      <c r="BS16" s="599"/>
      <c r="BT16" s="633"/>
      <c r="BU16" s="525"/>
      <c r="BV16" s="866"/>
      <c r="BW16" s="866"/>
      <c r="BX16" s="866"/>
      <c r="BY16" s="866"/>
      <c r="BZ16" s="866"/>
      <c r="CA16" s="866"/>
      <c r="CB16" s="866"/>
      <c r="CC16" s="866"/>
      <c r="CD16" s="599"/>
      <c r="CE16" s="525"/>
      <c r="CF16" s="585" t="s">
        <v>4680</v>
      </c>
      <c r="CG16" s="599" t="s">
        <v>4584</v>
      </c>
      <c r="CH16" s="599">
        <v>69.5</v>
      </c>
      <c r="CI16" s="599">
        <v>67.3</v>
      </c>
      <c r="CJ16" s="599">
        <v>67.8</v>
      </c>
      <c r="CK16" s="599">
        <v>68.7</v>
      </c>
      <c r="CL16" s="599">
        <v>70.8</v>
      </c>
      <c r="CM16" s="599">
        <v>69.3</v>
      </c>
      <c r="CN16" s="599">
        <v>66.599999999999994</v>
      </c>
      <c r="CO16" s="599">
        <v>66.900000000000006</v>
      </c>
      <c r="CP16" s="599">
        <v>59.5</v>
      </c>
      <c r="CQ16" s="743">
        <v>53.2</v>
      </c>
      <c r="CR16" s="1003">
        <v>48</v>
      </c>
      <c r="CU16" s="585" t="s">
        <v>4681</v>
      </c>
      <c r="CV16" s="599" t="s">
        <v>4584</v>
      </c>
      <c r="CW16" s="599">
        <v>9.3000000000000007</v>
      </c>
      <c r="CX16" s="743">
        <v>6.4</v>
      </c>
      <c r="CY16" s="743">
        <v>6</v>
      </c>
      <c r="CZ16" s="599">
        <v>4.3</v>
      </c>
      <c r="DA16" s="743">
        <v>3.7</v>
      </c>
      <c r="DB16" s="599">
        <v>7.8</v>
      </c>
      <c r="DC16" s="599">
        <v>9.1</v>
      </c>
      <c r="DD16" s="599">
        <v>17.2</v>
      </c>
      <c r="DE16" s="599">
        <v>19.8</v>
      </c>
      <c r="DF16" s="743">
        <v>19.100000000000001</v>
      </c>
      <c r="DG16" s="599">
        <v>20.7</v>
      </c>
      <c r="DJ16" s="585" t="s">
        <v>4682</v>
      </c>
      <c r="DP16" s="525"/>
      <c r="DQ16" s="525"/>
      <c r="DR16" s="525"/>
      <c r="DS16" s="585" t="s">
        <v>4682</v>
      </c>
      <c r="DY16" s="525"/>
      <c r="DZ16" s="525"/>
      <c r="EB16" s="451" t="s">
        <v>4683</v>
      </c>
      <c r="EC16" s="799">
        <v>39.5</v>
      </c>
      <c r="ED16" s="752">
        <v>44.1</v>
      </c>
      <c r="EE16" s="799">
        <v>48.6</v>
      </c>
      <c r="EF16" s="382">
        <v>23.2</v>
      </c>
      <c r="EG16" s="799">
        <v>28</v>
      </c>
      <c r="EH16" s="857">
        <v>33.200000000000003</v>
      </c>
      <c r="EI16" s="799">
        <v>38.200000000000003</v>
      </c>
      <c r="EL16" s="451" t="s">
        <v>4684</v>
      </c>
      <c r="EM16" s="799">
        <v>58.9</v>
      </c>
      <c r="EN16" s="857">
        <v>58.9</v>
      </c>
      <c r="EO16" s="799">
        <v>58.9</v>
      </c>
      <c r="EP16" s="491" t="s">
        <v>1627</v>
      </c>
      <c r="EQ16" s="491" t="s">
        <v>1627</v>
      </c>
      <c r="ER16" s="491" t="s">
        <v>1627</v>
      </c>
      <c r="ES16" s="491" t="s">
        <v>1627</v>
      </c>
      <c r="ET16" s="491"/>
      <c r="EU16" s="855"/>
      <c r="EV16" s="855"/>
      <c r="EW16" s="743"/>
      <c r="EX16" s="855"/>
      <c r="EY16" s="855"/>
      <c r="EZ16" s="855"/>
      <c r="FA16" s="855"/>
      <c r="FB16" s="855"/>
      <c r="FC16" s="855"/>
      <c r="FD16" s="855"/>
      <c r="FE16" s="1003"/>
      <c r="FF16" s="525"/>
      <c r="FG16" s="525"/>
      <c r="FI16" s="525"/>
      <c r="FJ16" s="525"/>
      <c r="FK16" s="525"/>
      <c r="FL16" s="525"/>
      <c r="FM16" s="525"/>
      <c r="FN16" s="525"/>
    </row>
    <row r="17" spans="1:170">
      <c r="A17" s="585" t="s">
        <v>4609</v>
      </c>
      <c r="B17" s="623">
        <v>714.6</v>
      </c>
      <c r="C17" s="623">
        <v>734.4</v>
      </c>
      <c r="D17" s="623">
        <v>700.1</v>
      </c>
      <c r="E17" s="623">
        <v>797.5</v>
      </c>
      <c r="F17" s="623">
        <v>649.6</v>
      </c>
      <c r="G17" s="623">
        <v>652.79999999999995</v>
      </c>
      <c r="K17" s="585" t="s">
        <v>4685</v>
      </c>
      <c r="L17" s="525">
        <v>2173692</v>
      </c>
      <c r="M17" s="525">
        <v>1097</v>
      </c>
      <c r="N17" s="525">
        <v>1140561</v>
      </c>
      <c r="O17" s="525">
        <v>1177602</v>
      </c>
      <c r="P17" s="435">
        <v>1002572</v>
      </c>
      <c r="Q17" s="435">
        <v>7931994</v>
      </c>
      <c r="R17" s="525"/>
      <c r="S17" s="525"/>
      <c r="T17" s="382" t="s">
        <v>4679</v>
      </c>
      <c r="U17" s="525">
        <f t="shared" si="5"/>
        <v>173574685</v>
      </c>
      <c r="V17" s="525">
        <v>131391173</v>
      </c>
      <c r="W17" s="435" t="s">
        <v>1627</v>
      </c>
      <c r="X17" s="435" t="s">
        <v>1627</v>
      </c>
      <c r="Y17" s="435" t="s">
        <v>1627</v>
      </c>
      <c r="Z17" s="435" t="s">
        <v>1627</v>
      </c>
      <c r="AA17" s="435">
        <v>42183512</v>
      </c>
      <c r="AB17" s="525"/>
      <c r="AC17" s="599"/>
      <c r="AD17" s="382" t="s">
        <v>4679</v>
      </c>
      <c r="AE17" s="525">
        <f t="shared" si="6"/>
        <v>169651</v>
      </c>
      <c r="AF17" s="525">
        <v>127304</v>
      </c>
      <c r="AG17" s="435" t="s">
        <v>1627</v>
      </c>
      <c r="AH17" s="435" t="s">
        <v>1627</v>
      </c>
      <c r="AI17" s="435" t="s">
        <v>1627</v>
      </c>
      <c r="AJ17" s="435" t="s">
        <v>1627</v>
      </c>
      <c r="AK17" s="435">
        <v>42347</v>
      </c>
      <c r="AL17" s="599"/>
      <c r="AM17" s="599"/>
      <c r="AN17" s="624" t="s">
        <v>4686</v>
      </c>
      <c r="AO17" s="525">
        <f t="shared" si="7"/>
        <v>3516119</v>
      </c>
      <c r="AP17" s="862">
        <v>3516119</v>
      </c>
      <c r="AQ17" s="435" t="s">
        <v>1627</v>
      </c>
      <c r="AR17" s="435" t="s">
        <v>1627</v>
      </c>
      <c r="AS17" s="435" t="s">
        <v>1627</v>
      </c>
      <c r="AT17" s="435" t="s">
        <v>1627</v>
      </c>
      <c r="AU17" s="435" t="s">
        <v>1627</v>
      </c>
      <c r="AV17" s="435" t="s">
        <v>1627</v>
      </c>
      <c r="AW17" s="435" t="s">
        <v>1627</v>
      </c>
      <c r="AX17" s="599"/>
      <c r="AY17" s="599"/>
      <c r="AZ17" s="1020" t="s">
        <v>4687</v>
      </c>
      <c r="BA17" s="1021">
        <f>SUM(BA8:BA15)</f>
        <v>1962761716</v>
      </c>
      <c r="BB17" s="1021">
        <f>SUM(BB8:BB15)</f>
        <v>964762712</v>
      </c>
      <c r="BC17" s="1021">
        <f>SUM(BC8:BC15)</f>
        <v>579240229</v>
      </c>
      <c r="BD17" s="1021">
        <f>SUM(BD8:BD15)</f>
        <v>91214074</v>
      </c>
      <c r="BE17" s="1021">
        <f>SUM(BE8:BE15)</f>
        <v>109862628</v>
      </c>
      <c r="BF17" s="1022" t="s">
        <v>1627</v>
      </c>
      <c r="BG17" s="1021">
        <f>SUM(BG8:BG15)</f>
        <v>217682073</v>
      </c>
      <c r="BH17" s="599"/>
      <c r="BI17" s="599"/>
      <c r="BJ17" s="1020" t="s">
        <v>4687</v>
      </c>
      <c r="BK17" s="1021">
        <f>SUM(BK8:BK15)</f>
        <v>1898840</v>
      </c>
      <c r="BL17" s="1021">
        <f>SUM(BL8:BL15)</f>
        <v>813967</v>
      </c>
      <c r="BM17" s="1021">
        <f>SUM(BM8:BM15)</f>
        <v>507850</v>
      </c>
      <c r="BN17" s="1021">
        <f>SUM(BN8:BN15)</f>
        <v>195615</v>
      </c>
      <c r="BO17" s="1021">
        <f t="shared" ref="BO17" si="8">SUM(BO8:BO15)</f>
        <v>155754</v>
      </c>
      <c r="BP17" s="1023">
        <f>SUM(BP8:BP15)</f>
        <v>4919</v>
      </c>
      <c r="BQ17" s="1021">
        <f>SUM(BQ8:BQ15)</f>
        <v>220736</v>
      </c>
      <c r="BR17" s="862"/>
      <c r="BS17" s="599"/>
      <c r="BT17" s="1020" t="s">
        <v>4687</v>
      </c>
      <c r="BU17" s="1021">
        <f>SUM(BU8:BU15)</f>
        <v>2034305676</v>
      </c>
      <c r="BV17" s="1021">
        <f>SUM(BV8:BV15)</f>
        <v>749406835</v>
      </c>
      <c r="BW17" s="1021">
        <f>SUM(BW8:BW15)</f>
        <v>466011678</v>
      </c>
      <c r="BX17" s="1021">
        <f>SUM(BX8:BX15)</f>
        <v>96602437</v>
      </c>
      <c r="BY17" s="1021">
        <f t="shared" ref="BY17:CA17" si="9">SUM(BY8:BY15)</f>
        <v>380263943</v>
      </c>
      <c r="BZ17" s="1021">
        <f t="shared" si="9"/>
        <v>53130631</v>
      </c>
      <c r="CA17" s="1021">
        <f t="shared" si="9"/>
        <v>111060824</v>
      </c>
      <c r="CB17" s="1023">
        <f>SUM(CB8:CB15)</f>
        <v>1024659</v>
      </c>
      <c r="CC17" s="1021">
        <f>SUM(CC8:CC15)</f>
        <v>176804669</v>
      </c>
      <c r="CD17" s="599"/>
      <c r="CE17" s="525"/>
      <c r="CF17" s="585" t="s">
        <v>4688</v>
      </c>
      <c r="CG17" s="599" t="s">
        <v>4643</v>
      </c>
      <c r="CH17" s="862">
        <v>43574</v>
      </c>
      <c r="CI17" s="862">
        <v>43242</v>
      </c>
      <c r="CJ17" s="862">
        <v>43149</v>
      </c>
      <c r="CK17" s="862">
        <v>42770</v>
      </c>
      <c r="CL17" s="862">
        <v>42538</v>
      </c>
      <c r="CM17" s="862">
        <v>42444</v>
      </c>
      <c r="CN17" s="862">
        <v>42205</v>
      </c>
      <c r="CO17" s="862">
        <v>41754</v>
      </c>
      <c r="CP17" s="862">
        <v>41530</v>
      </c>
      <c r="CQ17" s="862">
        <v>41767</v>
      </c>
      <c r="CR17" s="862">
        <v>41659</v>
      </c>
      <c r="CS17" s="525"/>
      <c r="CT17" s="525"/>
      <c r="CU17" s="585" t="s">
        <v>4689</v>
      </c>
      <c r="CV17" s="599" t="s">
        <v>4584</v>
      </c>
      <c r="CW17" s="599">
        <v>13.7</v>
      </c>
      <c r="CX17" s="743">
        <v>6.3</v>
      </c>
      <c r="CY17" s="599">
        <v>21.5</v>
      </c>
      <c r="CZ17" s="599">
        <v>29.4</v>
      </c>
      <c r="DA17" s="743">
        <v>24.8</v>
      </c>
      <c r="DB17" s="599">
        <v>26.4</v>
      </c>
      <c r="DC17" s="599">
        <v>22.6</v>
      </c>
      <c r="DD17" s="599">
        <v>24.4</v>
      </c>
      <c r="DE17" s="599">
        <v>15.1</v>
      </c>
      <c r="DF17" s="743">
        <v>13</v>
      </c>
      <c r="DG17" s="599">
        <v>12.6</v>
      </c>
      <c r="DH17" s="525"/>
      <c r="DM17" s="525"/>
      <c r="DN17" s="525"/>
      <c r="DO17" s="525"/>
      <c r="DP17" s="525"/>
      <c r="DQ17" s="525"/>
      <c r="DR17" s="525"/>
      <c r="DS17" s="525"/>
      <c r="DT17" s="525"/>
      <c r="DU17" s="525"/>
      <c r="DV17" s="525"/>
      <c r="DW17" s="525"/>
      <c r="DX17" s="525"/>
      <c r="DY17" s="525"/>
      <c r="DZ17" s="525"/>
      <c r="EB17" s="655" t="s">
        <v>4690</v>
      </c>
      <c r="EC17" s="634">
        <v>15.3</v>
      </c>
      <c r="ED17" s="1024">
        <v>8</v>
      </c>
      <c r="EE17" s="634">
        <v>10.5</v>
      </c>
      <c r="EF17" s="586">
        <v>14.3</v>
      </c>
      <c r="EG17" s="634">
        <v>17.8</v>
      </c>
      <c r="EH17" s="867">
        <v>20.5</v>
      </c>
      <c r="EI17" s="634">
        <v>25.7</v>
      </c>
      <c r="EJ17" s="382"/>
      <c r="EL17" s="451" t="s">
        <v>4691</v>
      </c>
      <c r="EM17" s="799">
        <v>19.100000000000001</v>
      </c>
      <c r="EN17" s="857">
        <v>19.100000000000001</v>
      </c>
      <c r="EO17" s="799">
        <v>19.100000000000001</v>
      </c>
      <c r="EP17" s="491" t="s">
        <v>1627</v>
      </c>
      <c r="EQ17" s="491" t="s">
        <v>1627</v>
      </c>
      <c r="ER17" s="491" t="s">
        <v>1627</v>
      </c>
      <c r="ES17" s="491" t="s">
        <v>1627</v>
      </c>
      <c r="ET17" s="491"/>
      <c r="EU17" s="491"/>
      <c r="EV17" s="491"/>
      <c r="EW17" s="743"/>
      <c r="EX17" s="855"/>
      <c r="EY17" s="855"/>
      <c r="EZ17" s="855"/>
      <c r="FA17" s="855"/>
      <c r="FB17" s="855"/>
      <c r="FC17" s="855"/>
      <c r="FD17" s="855"/>
      <c r="FE17" s="1003"/>
      <c r="FF17" s="525"/>
      <c r="FG17" s="525"/>
      <c r="FI17" s="525"/>
      <c r="FJ17" s="525"/>
      <c r="FK17" s="525"/>
      <c r="FL17" s="525"/>
      <c r="FM17" s="525"/>
      <c r="FN17" s="525"/>
    </row>
    <row r="18" spans="1:170">
      <c r="A18" s="585" t="s">
        <v>4616</v>
      </c>
      <c r="B18" s="1009">
        <v>32.700000000000003</v>
      </c>
      <c r="C18" s="1009">
        <v>13.4</v>
      </c>
      <c r="D18" s="1009">
        <v>-59.5</v>
      </c>
      <c r="E18" s="1009">
        <v>-61.9</v>
      </c>
      <c r="F18" s="1009">
        <v>-27.8</v>
      </c>
      <c r="G18" s="623">
        <v>333.3</v>
      </c>
      <c r="K18" s="585" t="s">
        <v>4692</v>
      </c>
      <c r="M18" s="525"/>
      <c r="P18" s="525"/>
      <c r="Q18" s="525"/>
      <c r="R18" s="525"/>
      <c r="S18" s="525"/>
      <c r="T18" s="624" t="s">
        <v>4686</v>
      </c>
      <c r="U18" s="525">
        <f t="shared" si="5"/>
        <v>635683</v>
      </c>
      <c r="V18" s="862">
        <v>635683</v>
      </c>
      <c r="W18" s="435" t="s">
        <v>1627</v>
      </c>
      <c r="X18" s="435" t="s">
        <v>1627</v>
      </c>
      <c r="Y18" s="435" t="s">
        <v>1627</v>
      </c>
      <c r="Z18" s="435" t="s">
        <v>1627</v>
      </c>
      <c r="AA18" s="435" t="s">
        <v>1627</v>
      </c>
      <c r="AB18" s="525"/>
      <c r="AC18" s="599"/>
      <c r="AD18" s="624" t="s">
        <v>4686</v>
      </c>
      <c r="AE18" s="525">
        <f t="shared" si="6"/>
        <v>2450</v>
      </c>
      <c r="AF18" s="862">
        <v>2450</v>
      </c>
      <c r="AG18" s="435" t="s">
        <v>1627</v>
      </c>
      <c r="AH18" s="435" t="s">
        <v>1627</v>
      </c>
      <c r="AI18" s="435" t="s">
        <v>1627</v>
      </c>
      <c r="AJ18" s="435" t="s">
        <v>1627</v>
      </c>
      <c r="AK18" s="435" t="s">
        <v>1627</v>
      </c>
      <c r="AL18" s="599"/>
      <c r="AM18" s="599"/>
      <c r="AN18" s="585" t="s">
        <v>4693</v>
      </c>
      <c r="AO18" s="525">
        <f t="shared" si="7"/>
        <v>2468521</v>
      </c>
      <c r="AP18" s="862">
        <v>2468521</v>
      </c>
      <c r="AQ18" s="435" t="s">
        <v>1627</v>
      </c>
      <c r="AR18" s="435" t="s">
        <v>1627</v>
      </c>
      <c r="AS18" s="435" t="s">
        <v>1627</v>
      </c>
      <c r="AT18" s="435" t="s">
        <v>1627</v>
      </c>
      <c r="AU18" s="435" t="s">
        <v>1627</v>
      </c>
      <c r="AV18" s="435" t="s">
        <v>1627</v>
      </c>
      <c r="AW18" s="435" t="s">
        <v>1627</v>
      </c>
      <c r="AX18" s="599"/>
      <c r="AY18" s="599"/>
      <c r="AZ18" s="585" t="s">
        <v>3526</v>
      </c>
      <c r="BH18" s="599"/>
      <c r="BI18" s="599"/>
      <c r="BJ18" s="585" t="s">
        <v>3526</v>
      </c>
      <c r="BS18" s="599"/>
      <c r="BT18" s="585" t="s">
        <v>3526</v>
      </c>
      <c r="CD18" s="599"/>
      <c r="CE18" s="525"/>
      <c r="CF18" s="585" t="s">
        <v>4694</v>
      </c>
      <c r="CG18" s="599" t="s">
        <v>4695</v>
      </c>
      <c r="CH18" s="599">
        <v>13.9</v>
      </c>
      <c r="CI18" s="1003">
        <v>14.5</v>
      </c>
      <c r="CJ18" s="743">
        <v>14.6</v>
      </c>
      <c r="CK18" s="743">
        <v>15.8</v>
      </c>
      <c r="CL18" s="1003">
        <v>16</v>
      </c>
      <c r="CM18" s="599">
        <v>15.8</v>
      </c>
      <c r="CN18" s="599">
        <v>15.6</v>
      </c>
      <c r="CO18" s="743">
        <v>16.5</v>
      </c>
      <c r="CP18" s="599">
        <v>16.5</v>
      </c>
      <c r="CQ18" s="743">
        <v>16.7</v>
      </c>
      <c r="CR18" s="743">
        <v>17.2</v>
      </c>
      <c r="CU18" s="585" t="s">
        <v>4696</v>
      </c>
      <c r="CV18" s="599" t="s">
        <v>4584</v>
      </c>
      <c r="CW18" s="743">
        <v>3</v>
      </c>
      <c r="CX18" s="743">
        <v>2.9</v>
      </c>
      <c r="CY18" s="599">
        <v>1.9</v>
      </c>
      <c r="CZ18" s="475" t="s">
        <v>2835</v>
      </c>
      <c r="DA18" s="475" t="s">
        <v>2835</v>
      </c>
      <c r="DB18" s="599">
        <v>0.9</v>
      </c>
      <c r="DC18" s="599">
        <v>1.1000000000000001</v>
      </c>
      <c r="DD18" s="599">
        <v>0.2</v>
      </c>
      <c r="DE18" s="599">
        <v>3.4</v>
      </c>
      <c r="DF18" s="743">
        <v>3</v>
      </c>
      <c r="DG18" s="743">
        <v>3</v>
      </c>
      <c r="DP18" s="525"/>
      <c r="DQ18" s="525"/>
      <c r="EB18" s="585" t="s">
        <v>4697</v>
      </c>
      <c r="EL18" s="451" t="s">
        <v>4698</v>
      </c>
      <c r="EM18" s="799">
        <v>258.60000000000002</v>
      </c>
      <c r="EN18" s="857">
        <v>258.60000000000002</v>
      </c>
      <c r="EO18" s="491" t="s">
        <v>1627</v>
      </c>
      <c r="EP18" s="491" t="s">
        <v>1627</v>
      </c>
      <c r="EQ18" s="491" t="s">
        <v>1627</v>
      </c>
      <c r="ER18" s="491" t="s">
        <v>1627</v>
      </c>
      <c r="ES18" s="491" t="s">
        <v>1627</v>
      </c>
      <c r="ET18" s="1015"/>
      <c r="EU18" s="491"/>
      <c r="EV18" s="491"/>
      <c r="EW18" s="743"/>
      <c r="EX18" s="1003"/>
      <c r="EY18" s="1003"/>
      <c r="EZ18" s="1003"/>
      <c r="FA18" s="1003"/>
      <c r="FB18" s="1003"/>
      <c r="FC18" s="1003"/>
      <c r="FD18" s="1003"/>
      <c r="FE18" s="855"/>
      <c r="FF18" s="525"/>
      <c r="FG18" s="525"/>
      <c r="FI18" s="525"/>
      <c r="FJ18" s="525"/>
      <c r="FK18" s="525"/>
      <c r="FL18" s="525"/>
      <c r="FM18" s="525"/>
      <c r="FN18" s="525"/>
    </row>
    <row r="19" spans="1:170" ht="12.75" customHeight="1">
      <c r="A19" s="586" t="s">
        <v>4623</v>
      </c>
      <c r="B19" s="1013">
        <v>-73</v>
      </c>
      <c r="C19" s="1013">
        <v>-105.7</v>
      </c>
      <c r="D19" s="1013">
        <v>-119.1</v>
      </c>
      <c r="E19" s="1013">
        <v>-59.6</v>
      </c>
      <c r="F19" s="634">
        <v>2.2999999999999998</v>
      </c>
      <c r="G19" s="634">
        <v>30.1</v>
      </c>
      <c r="K19" s="585" t="s">
        <v>4699</v>
      </c>
      <c r="L19" s="525">
        <v>90156575</v>
      </c>
      <c r="M19" s="525">
        <v>73414</v>
      </c>
      <c r="N19" s="463">
        <v>77331831</v>
      </c>
      <c r="O19" s="463">
        <v>89642030</v>
      </c>
      <c r="P19" s="862">
        <v>86404990</v>
      </c>
      <c r="Q19" s="862">
        <v>86590654</v>
      </c>
      <c r="R19" s="525"/>
      <c r="S19" s="525"/>
      <c r="T19" s="585" t="s">
        <v>4693</v>
      </c>
      <c r="U19" s="525">
        <f t="shared" si="5"/>
        <v>2017552</v>
      </c>
      <c r="V19" s="862">
        <v>2017552</v>
      </c>
      <c r="W19" s="435" t="s">
        <v>1627</v>
      </c>
      <c r="X19" s="435" t="s">
        <v>1627</v>
      </c>
      <c r="Y19" s="435" t="s">
        <v>1627</v>
      </c>
      <c r="Z19" s="435" t="s">
        <v>1627</v>
      </c>
      <c r="AA19" s="435" t="s">
        <v>1627</v>
      </c>
      <c r="AB19" s="525"/>
      <c r="AD19" s="585" t="s">
        <v>4693</v>
      </c>
      <c r="AE19" s="525">
        <f t="shared" si="6"/>
        <v>2132</v>
      </c>
      <c r="AF19" s="862">
        <v>2132</v>
      </c>
      <c r="AG19" s="435" t="s">
        <v>1627</v>
      </c>
      <c r="AH19" s="435" t="s">
        <v>1627</v>
      </c>
      <c r="AI19" s="435" t="s">
        <v>1627</v>
      </c>
      <c r="AJ19" s="435" t="s">
        <v>1627</v>
      </c>
      <c r="AK19" s="435" t="s">
        <v>1627</v>
      </c>
      <c r="AN19" s="585" t="s">
        <v>4700</v>
      </c>
      <c r="AO19" s="525">
        <f t="shared" si="7"/>
        <v>4904189</v>
      </c>
      <c r="AP19" s="525">
        <v>4816764</v>
      </c>
      <c r="AQ19" s="435" t="s">
        <v>1627</v>
      </c>
      <c r="AR19" s="435" t="s">
        <v>1627</v>
      </c>
      <c r="AS19" s="435" t="s">
        <v>1627</v>
      </c>
      <c r="AT19" s="435" t="s">
        <v>1627</v>
      </c>
      <c r="AU19" s="435">
        <v>2075</v>
      </c>
      <c r="AV19" s="435" t="s">
        <v>1627</v>
      </c>
      <c r="AW19" s="435">
        <v>85350</v>
      </c>
      <c r="AZ19" s="585" t="s">
        <v>4701</v>
      </c>
      <c r="BA19" s="525">
        <f>SUM(BB19:BG19)</f>
        <v>188609879</v>
      </c>
      <c r="BB19" s="525">
        <v>102766004</v>
      </c>
      <c r="BC19" s="525">
        <v>18091704</v>
      </c>
      <c r="BD19" s="525">
        <v>31162677</v>
      </c>
      <c r="BE19" s="435" t="s">
        <v>1627</v>
      </c>
      <c r="BF19" s="435" t="s">
        <v>1627</v>
      </c>
      <c r="BG19" s="525">
        <v>36589494</v>
      </c>
      <c r="BJ19" s="585" t="s">
        <v>4701</v>
      </c>
      <c r="BK19" s="525">
        <f>SUM(BL19:BQ19)</f>
        <v>122758</v>
      </c>
      <c r="BL19" s="525">
        <v>56009</v>
      </c>
      <c r="BM19" s="525">
        <v>36184</v>
      </c>
      <c r="BN19" s="525">
        <v>2173</v>
      </c>
      <c r="BO19" s="435" t="s">
        <v>1627</v>
      </c>
      <c r="BP19" s="435" t="s">
        <v>1627</v>
      </c>
      <c r="BQ19" s="525">
        <v>28392</v>
      </c>
      <c r="BR19" s="525"/>
      <c r="BT19" s="585" t="s">
        <v>4701</v>
      </c>
      <c r="BU19" s="525">
        <f>SUM(BV19:CC19)</f>
        <v>126374152</v>
      </c>
      <c r="BV19" s="525">
        <v>62177239</v>
      </c>
      <c r="BW19" s="525">
        <v>33386629</v>
      </c>
      <c r="BX19" s="525">
        <v>2795470</v>
      </c>
      <c r="BY19" s="435" t="s">
        <v>1627</v>
      </c>
      <c r="BZ19" s="525">
        <v>1563006</v>
      </c>
      <c r="CA19" s="435" t="s">
        <v>1627</v>
      </c>
      <c r="CB19" s="435" t="s">
        <v>1627</v>
      </c>
      <c r="CC19" s="525">
        <v>26451808</v>
      </c>
      <c r="CE19" s="599"/>
      <c r="CF19" s="585" t="s">
        <v>4702</v>
      </c>
      <c r="CG19" s="599" t="s">
        <v>4584</v>
      </c>
      <c r="CH19" s="599">
        <v>38.1</v>
      </c>
      <c r="CI19" s="599">
        <v>35.4</v>
      </c>
      <c r="CJ19" s="599">
        <v>33.4</v>
      </c>
      <c r="CK19" s="743">
        <v>36</v>
      </c>
      <c r="CL19" s="599">
        <v>41.2</v>
      </c>
      <c r="CM19" s="743">
        <v>40</v>
      </c>
      <c r="CN19" s="599">
        <v>38.700000000000003</v>
      </c>
      <c r="CO19" s="743">
        <v>39</v>
      </c>
      <c r="CP19" s="599">
        <v>33.9</v>
      </c>
      <c r="CQ19" s="743">
        <v>28.9</v>
      </c>
      <c r="CR19" s="743">
        <v>26.7</v>
      </c>
      <c r="CS19" s="623"/>
      <c r="CT19" s="623"/>
      <c r="CU19" s="585" t="s">
        <v>4703</v>
      </c>
      <c r="CV19" s="599" t="s">
        <v>4584</v>
      </c>
      <c r="CW19" s="599">
        <v>69.5</v>
      </c>
      <c r="CX19" s="743">
        <v>56.5</v>
      </c>
      <c r="CY19" s="599">
        <v>49.2</v>
      </c>
      <c r="CZ19" s="743">
        <v>42.5</v>
      </c>
      <c r="DA19" s="743">
        <v>43.3</v>
      </c>
      <c r="DB19" s="599">
        <v>45.6</v>
      </c>
      <c r="DC19" s="599">
        <v>51.2</v>
      </c>
      <c r="DD19" s="439">
        <v>47.3</v>
      </c>
      <c r="DE19" s="599">
        <v>46.8</v>
      </c>
      <c r="DF19" s="743">
        <v>40.299999999999997</v>
      </c>
      <c r="DG19" s="599">
        <v>43.8</v>
      </c>
      <c r="DH19" s="623"/>
      <c r="DP19" s="525"/>
      <c r="DQ19" s="525"/>
      <c r="EB19" s="382"/>
      <c r="EC19" s="382"/>
      <c r="ED19" s="382"/>
      <c r="EE19" s="382"/>
      <c r="EF19" s="382"/>
      <c r="EG19" s="382"/>
      <c r="EH19" s="382"/>
      <c r="EI19" s="382"/>
      <c r="EL19" s="382" t="s">
        <v>4704</v>
      </c>
      <c r="EM19" s="799">
        <f>SUM(EM20:EM21)</f>
        <v>14.9</v>
      </c>
      <c r="EN19" s="857">
        <f>SUM(EN20:EN21)</f>
        <v>10.1</v>
      </c>
      <c r="EO19" s="857">
        <f t="shared" ref="EO19:ES19" si="10">SUM(EO20:EO21)</f>
        <v>10.3</v>
      </c>
      <c r="EP19" s="857">
        <f t="shared" si="10"/>
        <v>10.5</v>
      </c>
      <c r="EQ19" s="799">
        <f t="shared" si="10"/>
        <v>8.8999999999999986</v>
      </c>
      <c r="ER19" s="857">
        <f t="shared" si="10"/>
        <v>9.6</v>
      </c>
      <c r="ES19" s="857">
        <f t="shared" si="10"/>
        <v>10.3</v>
      </c>
      <c r="ET19" s="1015"/>
      <c r="EW19" s="623"/>
      <c r="EX19" s="439"/>
      <c r="EY19" s="439"/>
      <c r="EZ19" s="439"/>
      <c r="FA19" s="439"/>
      <c r="FB19" s="439"/>
      <c r="FC19" s="439"/>
      <c r="FD19" s="439"/>
      <c r="FE19" s="439"/>
      <c r="FF19" s="525"/>
      <c r="FG19" s="525"/>
      <c r="FI19" s="525"/>
      <c r="FJ19" s="525"/>
      <c r="FK19" s="525"/>
      <c r="FL19" s="525"/>
      <c r="FM19" s="525"/>
      <c r="FN19" s="525"/>
    </row>
    <row r="20" spans="1:170">
      <c r="A20" s="585" t="s">
        <v>4631</v>
      </c>
      <c r="K20" s="585" t="s">
        <v>4705</v>
      </c>
      <c r="L20" s="439" t="s">
        <v>1627</v>
      </c>
      <c r="M20" s="435" t="s">
        <v>1627</v>
      </c>
      <c r="N20" s="435" t="s">
        <v>1627</v>
      </c>
      <c r="O20" s="435" t="s">
        <v>1627</v>
      </c>
      <c r="P20" s="435" t="s">
        <v>1627</v>
      </c>
      <c r="Q20" s="435" t="s">
        <v>1627</v>
      </c>
      <c r="R20" s="435"/>
      <c r="S20" s="435"/>
      <c r="T20" s="585" t="s">
        <v>4700</v>
      </c>
      <c r="U20" s="525">
        <f t="shared" si="5"/>
        <v>5349537</v>
      </c>
      <c r="V20" s="525">
        <v>5264187</v>
      </c>
      <c r="W20" s="435" t="s">
        <v>1627</v>
      </c>
      <c r="X20" s="435" t="s">
        <v>1627</v>
      </c>
      <c r="Y20" s="435" t="s">
        <v>1627</v>
      </c>
      <c r="Z20" s="435" t="s">
        <v>1627</v>
      </c>
      <c r="AA20" s="435">
        <v>85350</v>
      </c>
      <c r="AB20" s="435"/>
      <c r="AC20" s="599"/>
      <c r="AD20" s="585" t="s">
        <v>4700</v>
      </c>
      <c r="AE20" s="525">
        <f t="shared" si="6"/>
        <v>5164</v>
      </c>
      <c r="AF20" s="525">
        <v>5079</v>
      </c>
      <c r="AG20" s="435" t="s">
        <v>1627</v>
      </c>
      <c r="AH20" s="435" t="s">
        <v>1627</v>
      </c>
      <c r="AI20" s="435" t="s">
        <v>1627</v>
      </c>
      <c r="AJ20" s="435" t="s">
        <v>1627</v>
      </c>
      <c r="AK20" s="435">
        <v>85</v>
      </c>
      <c r="AL20" s="599"/>
      <c r="AM20" s="599"/>
      <c r="AN20" s="585" t="s">
        <v>4706</v>
      </c>
      <c r="AO20" s="525">
        <f t="shared" si="7"/>
        <v>1144921</v>
      </c>
      <c r="AP20" s="435">
        <v>1140561</v>
      </c>
      <c r="AQ20" s="435" t="s">
        <v>1627</v>
      </c>
      <c r="AR20" s="435" t="s">
        <v>1627</v>
      </c>
      <c r="AS20" s="435" t="s">
        <v>1627</v>
      </c>
      <c r="AT20" s="435" t="s">
        <v>1627</v>
      </c>
      <c r="AU20" s="435" t="s">
        <v>1627</v>
      </c>
      <c r="AV20" s="435" t="s">
        <v>1627</v>
      </c>
      <c r="AW20" s="435">
        <v>4360</v>
      </c>
      <c r="AX20" s="599"/>
      <c r="AY20" s="599"/>
      <c r="AZ20" s="585" t="s">
        <v>4707</v>
      </c>
      <c r="BA20" s="525">
        <f t="shared" ref="BA20:BA46" si="11">SUM(BB20:BG20)</f>
        <v>177388585</v>
      </c>
      <c r="BB20" s="525">
        <v>142458809</v>
      </c>
      <c r="BC20" s="525">
        <v>15170164</v>
      </c>
      <c r="BD20" s="525">
        <v>6158639</v>
      </c>
      <c r="BE20" s="435" t="s">
        <v>1627</v>
      </c>
      <c r="BF20" s="435" t="s">
        <v>1627</v>
      </c>
      <c r="BG20" s="525">
        <v>13600973</v>
      </c>
      <c r="BH20" s="599"/>
      <c r="BI20" s="599"/>
      <c r="BJ20" s="585" t="s">
        <v>4707</v>
      </c>
      <c r="BK20" s="525">
        <f>SUM(BL20:BQ20)</f>
        <v>167189</v>
      </c>
      <c r="BL20" s="525">
        <v>127037</v>
      </c>
      <c r="BM20" s="525">
        <v>14003</v>
      </c>
      <c r="BN20" s="525">
        <v>8809</v>
      </c>
      <c r="BO20" s="435" t="s">
        <v>1627</v>
      </c>
      <c r="BP20" s="435" t="s">
        <v>1627</v>
      </c>
      <c r="BQ20" s="525">
        <v>17340</v>
      </c>
      <c r="BR20" s="525"/>
      <c r="BS20" s="599"/>
      <c r="BT20" s="585" t="s">
        <v>4707</v>
      </c>
      <c r="BU20" s="525">
        <f t="shared" ref="BU20:BU41" si="12">SUM(BV20:CC20)</f>
        <v>149341144</v>
      </c>
      <c r="BV20" s="525">
        <v>120233911</v>
      </c>
      <c r="BW20" s="525">
        <v>10630997</v>
      </c>
      <c r="BX20" s="525">
        <v>65471</v>
      </c>
      <c r="BY20" s="435" t="s">
        <v>1627</v>
      </c>
      <c r="BZ20" s="525">
        <v>4382003</v>
      </c>
      <c r="CA20" s="435" t="s">
        <v>1627</v>
      </c>
      <c r="CB20" s="435" t="s">
        <v>1627</v>
      </c>
      <c r="CC20" s="525">
        <v>14028762</v>
      </c>
      <c r="CD20" s="599"/>
      <c r="CE20" s="599"/>
      <c r="CF20" s="585" t="s">
        <v>4708</v>
      </c>
      <c r="CG20" s="599" t="s">
        <v>4643</v>
      </c>
      <c r="CH20" s="862">
        <v>30742</v>
      </c>
      <c r="CI20" s="862">
        <v>30489</v>
      </c>
      <c r="CJ20" s="862">
        <v>29795</v>
      </c>
      <c r="CK20" s="862">
        <v>29482</v>
      </c>
      <c r="CL20" s="862">
        <v>29331</v>
      </c>
      <c r="CM20" s="862">
        <v>29378</v>
      </c>
      <c r="CN20" s="862">
        <v>29065</v>
      </c>
      <c r="CO20" s="862">
        <v>28766</v>
      </c>
      <c r="CP20" s="862">
        <v>28089</v>
      </c>
      <c r="CQ20" s="862">
        <v>25697</v>
      </c>
      <c r="CR20" s="862">
        <v>25663</v>
      </c>
      <c r="CS20" s="525"/>
      <c r="CT20" s="525"/>
      <c r="CU20" s="585" t="s">
        <v>4709</v>
      </c>
      <c r="CV20" s="599" t="s">
        <v>4584</v>
      </c>
      <c r="CW20" s="599">
        <v>1.7</v>
      </c>
      <c r="CX20" s="475">
        <v>1.6</v>
      </c>
      <c r="CY20" s="475" t="s">
        <v>2835</v>
      </c>
      <c r="CZ20" s="475" t="s">
        <v>2835</v>
      </c>
      <c r="DA20" s="475" t="s">
        <v>2835</v>
      </c>
      <c r="DB20" s="475" t="s">
        <v>2835</v>
      </c>
      <c r="DC20" s="475" t="s">
        <v>2835</v>
      </c>
      <c r="DD20" s="475" t="s">
        <v>2835</v>
      </c>
      <c r="DE20" s="475" t="s">
        <v>2835</v>
      </c>
      <c r="DF20" s="475" t="s">
        <v>2835</v>
      </c>
      <c r="DG20" s="475" t="s">
        <v>2835</v>
      </c>
      <c r="DH20" s="525"/>
      <c r="DJ20" s="382"/>
      <c r="DK20" s="382"/>
      <c r="DL20" s="382"/>
      <c r="DM20" s="382"/>
      <c r="DN20" s="382"/>
      <c r="DO20" s="382"/>
      <c r="DP20" s="870"/>
      <c r="EJ20" s="382"/>
      <c r="EL20" s="1025" t="s">
        <v>4710</v>
      </c>
      <c r="EM20" s="857">
        <v>3.1</v>
      </c>
      <c r="EN20" s="857">
        <v>3.3</v>
      </c>
      <c r="EO20" s="799">
        <v>3.5</v>
      </c>
      <c r="EP20" s="857">
        <v>3.7</v>
      </c>
      <c r="EQ20" s="799">
        <v>3.8</v>
      </c>
      <c r="ER20" s="857">
        <v>3.9</v>
      </c>
      <c r="ES20" s="857">
        <v>3.9</v>
      </c>
      <c r="ET20" s="1015"/>
      <c r="EW20" s="623"/>
      <c r="EX20" s="475"/>
      <c r="EY20" s="475"/>
      <c r="EZ20" s="475"/>
      <c r="FA20" s="475"/>
      <c r="FB20" s="475"/>
      <c r="FC20" s="475"/>
      <c r="FD20" s="475"/>
      <c r="FE20" s="475"/>
    </row>
    <row r="21" spans="1:170">
      <c r="A21" s="585" t="s">
        <v>8716</v>
      </c>
      <c r="K21" s="585" t="s">
        <v>4711</v>
      </c>
      <c r="L21" s="439" t="s">
        <v>1627</v>
      </c>
      <c r="M21" s="439" t="s">
        <v>1627</v>
      </c>
      <c r="N21" s="439" t="s">
        <v>1627</v>
      </c>
      <c r="O21" s="439" t="s">
        <v>1627</v>
      </c>
      <c r="P21" s="439" t="s">
        <v>1627</v>
      </c>
      <c r="Q21" s="439" t="s">
        <v>1627</v>
      </c>
      <c r="R21" s="862"/>
      <c r="S21" s="862"/>
      <c r="T21" s="585" t="s">
        <v>4706</v>
      </c>
      <c r="U21" s="525">
        <f t="shared" si="5"/>
        <v>2174692</v>
      </c>
      <c r="V21" s="435">
        <v>2173692</v>
      </c>
      <c r="W21" s="435" t="s">
        <v>1627</v>
      </c>
      <c r="X21" s="435" t="s">
        <v>1627</v>
      </c>
      <c r="Y21" s="435" t="s">
        <v>1627</v>
      </c>
      <c r="Z21" s="435" t="s">
        <v>1627</v>
      </c>
      <c r="AA21" s="435">
        <v>1000</v>
      </c>
      <c r="AB21" s="862"/>
      <c r="AC21" s="599"/>
      <c r="AD21" s="585" t="s">
        <v>4706</v>
      </c>
      <c r="AE21" s="525">
        <v>1102</v>
      </c>
      <c r="AF21" s="435">
        <v>1097</v>
      </c>
      <c r="AG21" s="435" t="s">
        <v>1627</v>
      </c>
      <c r="AH21" s="435" t="s">
        <v>1627</v>
      </c>
      <c r="AI21" s="435" t="s">
        <v>1627</v>
      </c>
      <c r="AJ21" s="435" t="s">
        <v>1627</v>
      </c>
      <c r="AK21" s="435">
        <v>4</v>
      </c>
      <c r="AL21" s="599"/>
      <c r="AM21" s="599"/>
      <c r="AN21" s="585" t="s">
        <v>4712</v>
      </c>
      <c r="AO21" s="525"/>
      <c r="AP21" s="525"/>
      <c r="AQ21" s="538"/>
      <c r="AR21" s="538"/>
      <c r="AS21" s="435"/>
      <c r="AT21" s="435"/>
      <c r="AU21" s="435"/>
      <c r="AV21" s="435"/>
      <c r="AW21" s="538"/>
      <c r="AX21" s="599"/>
      <c r="AY21" s="599"/>
      <c r="AZ21" s="585" t="s">
        <v>4713</v>
      </c>
      <c r="BA21" s="525">
        <f t="shared" si="11"/>
        <v>459617852</v>
      </c>
      <c r="BB21" s="525">
        <v>9316584</v>
      </c>
      <c r="BC21" s="525">
        <v>414698546</v>
      </c>
      <c r="BD21" s="525">
        <v>2530507</v>
      </c>
      <c r="BE21" s="435" t="s">
        <v>1627</v>
      </c>
      <c r="BF21" s="435" t="s">
        <v>1627</v>
      </c>
      <c r="BG21" s="525">
        <v>33072215</v>
      </c>
      <c r="BH21" s="599"/>
      <c r="BI21" s="599"/>
      <c r="BJ21" s="585" t="s">
        <v>4713</v>
      </c>
      <c r="BK21" s="525">
        <v>427321</v>
      </c>
      <c r="BL21" s="525">
        <v>6379</v>
      </c>
      <c r="BM21" s="525">
        <v>379345</v>
      </c>
      <c r="BN21" s="525">
        <v>10856</v>
      </c>
      <c r="BO21" s="435" t="s">
        <v>1627</v>
      </c>
      <c r="BP21" s="435" t="s">
        <v>1627</v>
      </c>
      <c r="BQ21" s="525">
        <v>30742</v>
      </c>
      <c r="BR21" s="525"/>
      <c r="BS21" s="599"/>
      <c r="BT21" s="585" t="s">
        <v>4713</v>
      </c>
      <c r="BU21" s="525">
        <f t="shared" si="12"/>
        <v>440281596</v>
      </c>
      <c r="BV21" s="525">
        <v>6044282</v>
      </c>
      <c r="BW21" s="525">
        <v>331063193</v>
      </c>
      <c r="BX21" s="525">
        <v>28502849</v>
      </c>
      <c r="BY21" s="435" t="s">
        <v>1627</v>
      </c>
      <c r="BZ21" s="525">
        <v>35108705</v>
      </c>
      <c r="CA21" s="435" t="s">
        <v>1627</v>
      </c>
      <c r="CB21" s="435" t="s">
        <v>1627</v>
      </c>
      <c r="CC21" s="525">
        <v>39562567</v>
      </c>
      <c r="CD21" s="599"/>
      <c r="CF21" s="585" t="s">
        <v>4714</v>
      </c>
      <c r="CG21" s="599" t="s">
        <v>4695</v>
      </c>
      <c r="CH21" s="599">
        <v>10.3</v>
      </c>
      <c r="CI21" s="599">
        <v>10.5</v>
      </c>
      <c r="CJ21" s="743">
        <v>10.4</v>
      </c>
      <c r="CK21" s="743">
        <v>11</v>
      </c>
      <c r="CL21" s="599">
        <v>11.3</v>
      </c>
      <c r="CM21" s="599">
        <v>11.2</v>
      </c>
      <c r="CN21" s="599">
        <v>11.2</v>
      </c>
      <c r="CO21" s="599">
        <v>11.9</v>
      </c>
      <c r="CP21" s="599">
        <v>11.7</v>
      </c>
      <c r="CQ21" s="743">
        <v>11.8</v>
      </c>
      <c r="CR21" s="599">
        <v>12.1</v>
      </c>
      <c r="CU21" s="585" t="s">
        <v>4715</v>
      </c>
      <c r="CV21" s="599" t="s">
        <v>4584</v>
      </c>
      <c r="CW21" s="599">
        <v>225.9</v>
      </c>
      <c r="CX21" s="599">
        <v>192.2</v>
      </c>
      <c r="CY21" s="599">
        <v>200.8</v>
      </c>
      <c r="CZ21" s="743">
        <v>197.6</v>
      </c>
      <c r="DA21" s="743">
        <v>221.1</v>
      </c>
      <c r="DB21" s="599">
        <v>222.9</v>
      </c>
      <c r="DC21" s="599">
        <v>245.6</v>
      </c>
      <c r="DD21" s="599">
        <v>227.2</v>
      </c>
      <c r="DE21" s="599">
        <v>224.3</v>
      </c>
      <c r="DF21" s="743">
        <v>245.7</v>
      </c>
      <c r="DG21" s="1003">
        <v>244</v>
      </c>
      <c r="DK21" s="525"/>
      <c r="DR21" s="382"/>
      <c r="DS21" s="382"/>
      <c r="DT21" s="382"/>
      <c r="DU21" s="382"/>
      <c r="DV21" s="382"/>
      <c r="DW21" s="382"/>
      <c r="DX21" s="382"/>
      <c r="DY21" s="382"/>
      <c r="DZ21" s="382"/>
      <c r="ED21" s="525"/>
      <c r="EJ21" s="612"/>
      <c r="EL21" s="1025" t="s">
        <v>4716</v>
      </c>
      <c r="EM21" s="857">
        <v>11.8</v>
      </c>
      <c r="EN21" s="857">
        <v>6.8</v>
      </c>
      <c r="EO21" s="799">
        <v>6.8</v>
      </c>
      <c r="EP21" s="857">
        <v>6.8</v>
      </c>
      <c r="EQ21" s="799">
        <v>5.0999999999999996</v>
      </c>
      <c r="ER21" s="857">
        <v>5.7</v>
      </c>
      <c r="ES21" s="857">
        <v>6.4</v>
      </c>
      <c r="EW21" s="623"/>
      <c r="EX21" s="475"/>
      <c r="EY21" s="475"/>
      <c r="EZ21" s="475"/>
      <c r="FA21" s="475"/>
      <c r="FB21" s="475"/>
      <c r="FC21" s="475"/>
      <c r="FD21" s="475"/>
      <c r="FE21" s="475"/>
    </row>
    <row r="22" spans="1:170">
      <c r="R22" s="525"/>
      <c r="S22" s="525"/>
      <c r="T22" s="585" t="s">
        <v>4712</v>
      </c>
      <c r="U22" s="525"/>
      <c r="V22" s="525"/>
      <c r="W22" s="538"/>
      <c r="X22" s="474"/>
      <c r="Y22" s="435"/>
      <c r="Z22" s="435"/>
      <c r="AA22" s="538"/>
      <c r="AB22" s="525"/>
      <c r="AC22" s="599"/>
      <c r="AD22" s="585" t="s">
        <v>4712</v>
      </c>
      <c r="AE22" s="525"/>
      <c r="AF22" s="525"/>
      <c r="AG22" s="538"/>
      <c r="AH22" s="538"/>
      <c r="AI22" s="435"/>
      <c r="AJ22" s="435"/>
      <c r="AK22" s="538"/>
      <c r="AL22" s="599"/>
      <c r="AM22" s="599"/>
      <c r="AN22" s="585" t="s">
        <v>4717</v>
      </c>
      <c r="AO22" s="525">
        <f>SUM(AP22:AW22)</f>
        <v>105791975</v>
      </c>
      <c r="AP22" s="862">
        <v>77331831</v>
      </c>
      <c r="AQ22" s="435" t="s">
        <v>1627</v>
      </c>
      <c r="AR22" s="435" t="s">
        <v>1627</v>
      </c>
      <c r="AS22" s="435" t="s">
        <v>1627</v>
      </c>
      <c r="AT22" s="435" t="s">
        <v>1627</v>
      </c>
      <c r="AU22" s="435" t="s">
        <v>1627</v>
      </c>
      <c r="AV22" s="435" t="s">
        <v>1627</v>
      </c>
      <c r="AW22" s="862">
        <v>28460144</v>
      </c>
      <c r="AX22" s="599"/>
      <c r="AY22" s="599"/>
      <c r="AZ22" s="585" t="s">
        <v>4718</v>
      </c>
      <c r="BA22" s="525">
        <f t="shared" si="11"/>
        <v>85785128</v>
      </c>
      <c r="BB22" s="525">
        <v>13681721</v>
      </c>
      <c r="BC22" s="525">
        <v>61220758</v>
      </c>
      <c r="BD22" s="862">
        <v>1598991</v>
      </c>
      <c r="BE22" s="435" t="s">
        <v>1627</v>
      </c>
      <c r="BF22" s="435" t="s">
        <v>1627</v>
      </c>
      <c r="BG22" s="525">
        <v>9283658</v>
      </c>
      <c r="BH22" s="599"/>
      <c r="BI22" s="599"/>
      <c r="BJ22" s="585" t="s">
        <v>4718</v>
      </c>
      <c r="BK22" s="525">
        <v>53345</v>
      </c>
      <c r="BL22" s="525">
        <v>6294</v>
      </c>
      <c r="BM22" s="525">
        <v>41249</v>
      </c>
      <c r="BN22" s="862">
        <v>211</v>
      </c>
      <c r="BO22" s="435" t="s">
        <v>1627</v>
      </c>
      <c r="BP22" s="435" t="s">
        <v>1627</v>
      </c>
      <c r="BQ22" s="525">
        <v>5590</v>
      </c>
      <c r="BR22" s="525"/>
      <c r="BS22" s="599"/>
      <c r="BT22" s="585" t="s">
        <v>4718</v>
      </c>
      <c r="BU22" s="525">
        <f t="shared" si="12"/>
        <v>47883144</v>
      </c>
      <c r="BV22" s="525">
        <v>21520181</v>
      </c>
      <c r="BW22" s="525">
        <v>22788013</v>
      </c>
      <c r="BX22" s="862" t="s">
        <v>1627</v>
      </c>
      <c r="BY22" s="435" t="s">
        <v>1627</v>
      </c>
      <c r="BZ22" s="525">
        <v>56240</v>
      </c>
      <c r="CA22" s="435" t="s">
        <v>1627</v>
      </c>
      <c r="CB22" s="435" t="s">
        <v>1627</v>
      </c>
      <c r="CC22" s="525">
        <v>3518710</v>
      </c>
      <c r="CD22" s="599"/>
      <c r="CE22" s="525"/>
      <c r="CF22" s="585" t="s">
        <v>4598</v>
      </c>
      <c r="CG22" s="599" t="s">
        <v>4584</v>
      </c>
      <c r="CH22" s="1003">
        <v>1215.3</v>
      </c>
      <c r="CI22" s="1003">
        <v>1221.7</v>
      </c>
      <c r="CJ22" s="1003">
        <v>1229.4000000000001</v>
      </c>
      <c r="CK22" s="1003">
        <v>1152.4000000000001</v>
      </c>
      <c r="CL22" s="599">
        <v>915.5</v>
      </c>
      <c r="CM22" s="599">
        <v>891.8</v>
      </c>
      <c r="CN22" s="599">
        <v>850.6</v>
      </c>
      <c r="CO22" s="599">
        <v>798.3</v>
      </c>
      <c r="CP22" s="599">
        <v>614.29999999999995</v>
      </c>
      <c r="CQ22" s="743">
        <v>606.9</v>
      </c>
      <c r="CR22" s="599">
        <v>446.5</v>
      </c>
      <c r="CS22" s="623"/>
      <c r="CT22" s="623"/>
      <c r="CU22" s="585" t="s">
        <v>4719</v>
      </c>
      <c r="CV22" s="599" t="s">
        <v>4584</v>
      </c>
      <c r="CW22" s="599">
        <v>0.1</v>
      </c>
      <c r="CX22" s="599">
        <v>0.1</v>
      </c>
      <c r="CY22" s="599">
        <v>0</v>
      </c>
      <c r="CZ22" s="743">
        <v>0.1</v>
      </c>
      <c r="DA22" s="743">
        <v>0</v>
      </c>
      <c r="DB22" s="475" t="s">
        <v>2835</v>
      </c>
      <c r="DC22" s="475" t="s">
        <v>2835</v>
      </c>
      <c r="DD22" s="599">
        <v>0.1</v>
      </c>
      <c r="DE22" s="475">
        <v>0.1</v>
      </c>
      <c r="DF22" s="743">
        <v>0.1</v>
      </c>
      <c r="DG22" s="475" t="s">
        <v>2835</v>
      </c>
      <c r="DH22" s="623"/>
      <c r="DR22" s="463"/>
      <c r="DS22" s="463"/>
      <c r="DT22" s="463"/>
      <c r="DU22" s="463"/>
      <c r="DV22" s="463"/>
      <c r="DW22" s="463"/>
      <c r="DX22" s="463"/>
      <c r="DY22" s="463"/>
      <c r="DZ22" s="463"/>
      <c r="EB22" s="382"/>
      <c r="EC22" s="382"/>
      <c r="ED22" s="382"/>
      <c r="EE22" s="382"/>
      <c r="EF22" s="382"/>
      <c r="EG22" s="382"/>
      <c r="EH22" s="382"/>
      <c r="EI22" s="382"/>
      <c r="EJ22" s="612"/>
      <c r="EL22" s="869" t="s">
        <v>4720</v>
      </c>
      <c r="EM22" s="869">
        <v>136.5</v>
      </c>
      <c r="EN22" s="869">
        <v>145.5</v>
      </c>
      <c r="EO22" s="805">
        <v>153.69999999999999</v>
      </c>
      <c r="EP22" s="1026" t="s">
        <v>1627</v>
      </c>
      <c r="EQ22" s="1026" t="s">
        <v>1627</v>
      </c>
      <c r="ER22" s="1026" t="s">
        <v>1627</v>
      </c>
      <c r="ES22" s="1026" t="s">
        <v>1627</v>
      </c>
      <c r="EU22" s="855"/>
      <c r="EV22" s="623"/>
      <c r="EW22" s="623"/>
      <c r="EX22" s="855"/>
      <c r="EY22" s="855"/>
      <c r="EZ22" s="855"/>
      <c r="FA22" s="855"/>
      <c r="FB22" s="855"/>
      <c r="FC22" s="855"/>
      <c r="FD22" s="855"/>
      <c r="FE22" s="1003"/>
      <c r="FI22" s="525"/>
      <c r="FJ22" s="525"/>
      <c r="FK22" s="525"/>
      <c r="FL22" s="525"/>
      <c r="FM22" s="525"/>
      <c r="FN22" s="525"/>
    </row>
    <row r="23" spans="1:170">
      <c r="K23" s="588" t="s">
        <v>4721</v>
      </c>
      <c r="L23" s="1027">
        <v>607893908</v>
      </c>
      <c r="M23" s="1027">
        <v>536854</v>
      </c>
      <c r="N23" s="1027">
        <f>SUM(N5:N21)</f>
        <v>463203014</v>
      </c>
      <c r="O23" s="1027">
        <f>SUM(O5:O21)</f>
        <v>395273920</v>
      </c>
      <c r="P23" s="1027">
        <f>SUM(P5:P21)</f>
        <v>288566819</v>
      </c>
      <c r="Q23" s="1027">
        <f>SUM(Q5:Q21)</f>
        <v>258436099</v>
      </c>
      <c r="R23" s="525"/>
      <c r="S23" s="525"/>
      <c r="T23" s="585" t="s">
        <v>4717</v>
      </c>
      <c r="U23" s="525">
        <f>SUM(V23:AA23)</f>
        <v>110725753</v>
      </c>
      <c r="V23" s="862">
        <v>90156575</v>
      </c>
      <c r="W23" s="435" t="s">
        <v>1627</v>
      </c>
      <c r="X23" s="435" t="s">
        <v>1627</v>
      </c>
      <c r="Y23" s="435" t="s">
        <v>1627</v>
      </c>
      <c r="Z23" s="435" t="s">
        <v>1627</v>
      </c>
      <c r="AA23" s="862">
        <v>20569178</v>
      </c>
      <c r="AB23" s="525"/>
      <c r="AD23" s="585" t="s">
        <v>4717</v>
      </c>
      <c r="AE23" s="525">
        <f>SUM(AF23:AK23)</f>
        <v>93379</v>
      </c>
      <c r="AF23" s="862">
        <v>73414</v>
      </c>
      <c r="AG23" s="435" t="s">
        <v>1627</v>
      </c>
      <c r="AH23" s="435" t="s">
        <v>1627</v>
      </c>
      <c r="AI23" s="435" t="s">
        <v>1627</v>
      </c>
      <c r="AJ23" s="435" t="s">
        <v>1627</v>
      </c>
      <c r="AK23" s="862">
        <v>19965</v>
      </c>
      <c r="AN23" s="585" t="s">
        <v>4722</v>
      </c>
      <c r="AO23" s="525">
        <f>SUM(AP23:AW23)</f>
        <v>1202104</v>
      </c>
      <c r="AP23" s="435" t="s">
        <v>1627</v>
      </c>
      <c r="AQ23" s="435" t="s">
        <v>1627</v>
      </c>
      <c r="AR23" s="435" t="s">
        <v>1627</v>
      </c>
      <c r="AS23" s="435" t="s">
        <v>1627</v>
      </c>
      <c r="AT23" s="435" t="s">
        <v>1627</v>
      </c>
      <c r="AU23" s="435" t="s">
        <v>1627</v>
      </c>
      <c r="AV23" s="435" t="s">
        <v>1627</v>
      </c>
      <c r="AW23" s="862">
        <v>1202104</v>
      </c>
      <c r="AZ23" s="585" t="s">
        <v>4723</v>
      </c>
      <c r="BA23" s="525">
        <f t="shared" si="11"/>
        <v>6728636</v>
      </c>
      <c r="BB23" s="435">
        <v>2975575</v>
      </c>
      <c r="BC23" s="525">
        <v>2523881</v>
      </c>
      <c r="BD23" s="862">
        <v>403072</v>
      </c>
      <c r="BE23" s="435" t="s">
        <v>1627</v>
      </c>
      <c r="BF23" s="435" t="s">
        <v>1627</v>
      </c>
      <c r="BG23" s="525">
        <v>826108</v>
      </c>
      <c r="BJ23" s="585" t="s">
        <v>4723</v>
      </c>
      <c r="BK23" s="525">
        <v>4823</v>
      </c>
      <c r="BL23" s="435">
        <v>2946</v>
      </c>
      <c r="BM23" s="525">
        <v>924</v>
      </c>
      <c r="BN23" s="862">
        <v>394</v>
      </c>
      <c r="BO23" s="435" t="s">
        <v>1627</v>
      </c>
      <c r="BP23" s="435" t="s">
        <v>1627</v>
      </c>
      <c r="BQ23" s="525">
        <v>560</v>
      </c>
      <c r="BR23" s="525"/>
      <c r="BT23" s="585" t="s">
        <v>4723</v>
      </c>
      <c r="BU23" s="525">
        <f t="shared" si="12"/>
        <v>4453775</v>
      </c>
      <c r="BV23" s="435">
        <v>1892704</v>
      </c>
      <c r="BW23" s="525">
        <v>1306641</v>
      </c>
      <c r="BX23" s="862" t="s">
        <v>1627</v>
      </c>
      <c r="BY23" s="435" t="s">
        <v>1627</v>
      </c>
      <c r="BZ23" s="525">
        <v>39515</v>
      </c>
      <c r="CA23" s="435" t="s">
        <v>1627</v>
      </c>
      <c r="CB23" s="435" t="s">
        <v>1627</v>
      </c>
      <c r="CC23" s="525">
        <v>1214915</v>
      </c>
      <c r="CF23" s="585" t="s">
        <v>4724</v>
      </c>
      <c r="CQ23" s="623"/>
      <c r="CU23" s="585" t="s">
        <v>4725</v>
      </c>
      <c r="CV23" s="599" t="s">
        <v>4584</v>
      </c>
      <c r="CW23" s="599">
        <v>5.4</v>
      </c>
      <c r="CX23" s="599">
        <v>4.5</v>
      </c>
      <c r="CY23" s="599">
        <v>6.2</v>
      </c>
      <c r="CZ23" s="743">
        <v>15.8</v>
      </c>
      <c r="DA23" s="743">
        <v>5</v>
      </c>
      <c r="DB23" s="599">
        <v>3.9</v>
      </c>
      <c r="DC23" s="599">
        <v>4.3</v>
      </c>
      <c r="DD23" s="599">
        <v>4.0999999999999996</v>
      </c>
      <c r="DE23" s="599">
        <v>4.7</v>
      </c>
      <c r="DF23" s="743">
        <v>3.8</v>
      </c>
      <c r="DG23" s="599">
        <v>3.5</v>
      </c>
      <c r="DJ23" s="615"/>
      <c r="DK23" s="615"/>
      <c r="DL23" s="615"/>
      <c r="DM23" s="980"/>
      <c r="DN23" s="980"/>
      <c r="DO23" s="980"/>
      <c r="DP23" s="525"/>
      <c r="DQ23" s="525"/>
      <c r="DR23" s="463"/>
      <c r="DS23" s="463"/>
      <c r="DT23" s="463"/>
      <c r="DU23" s="463"/>
      <c r="DV23" s="463"/>
      <c r="DW23" s="463"/>
      <c r="DX23" s="463"/>
      <c r="DY23" s="463"/>
      <c r="DZ23" s="463"/>
      <c r="EB23" s="612"/>
      <c r="EC23" s="612"/>
      <c r="ED23" s="612"/>
      <c r="EE23" s="612"/>
      <c r="EF23" s="612"/>
      <c r="EG23" s="612"/>
      <c r="EH23" s="612"/>
      <c r="EI23" s="612"/>
      <c r="EJ23" s="1028"/>
      <c r="EL23" s="585" t="s">
        <v>4697</v>
      </c>
      <c r="EW23" s="623"/>
      <c r="EX23" s="855"/>
      <c r="EY23" s="855"/>
      <c r="EZ23" s="855"/>
      <c r="FA23" s="855"/>
      <c r="FB23" s="855"/>
      <c r="FC23" s="855"/>
      <c r="FD23" s="855"/>
      <c r="FE23" s="855"/>
    </row>
    <row r="24" spans="1:170">
      <c r="A24" s="435"/>
      <c r="T24" s="585" t="s">
        <v>4722</v>
      </c>
      <c r="U24" s="525">
        <f>SUM(V24:AA24)</f>
        <v>1202104</v>
      </c>
      <c r="V24" s="435" t="s">
        <v>1627</v>
      </c>
      <c r="W24" s="435" t="s">
        <v>1627</v>
      </c>
      <c r="X24" s="435" t="s">
        <v>1627</v>
      </c>
      <c r="Y24" s="435" t="s">
        <v>1627</v>
      </c>
      <c r="Z24" s="435" t="s">
        <v>1627</v>
      </c>
      <c r="AA24" s="862">
        <v>1202104</v>
      </c>
      <c r="AC24" s="525"/>
      <c r="AD24" s="585" t="s">
        <v>4722</v>
      </c>
      <c r="AE24" s="525">
        <f>SUM(AF24:AK24)</f>
        <v>1202</v>
      </c>
      <c r="AF24" s="435" t="s">
        <v>1627</v>
      </c>
      <c r="AG24" s="435" t="s">
        <v>1627</v>
      </c>
      <c r="AH24" s="435" t="s">
        <v>1627</v>
      </c>
      <c r="AI24" s="435" t="s">
        <v>1627</v>
      </c>
      <c r="AJ24" s="435" t="s">
        <v>1627</v>
      </c>
      <c r="AK24" s="862">
        <v>1202</v>
      </c>
      <c r="AL24" s="525"/>
      <c r="AM24" s="525"/>
      <c r="AO24" s="525"/>
      <c r="AP24" s="525"/>
      <c r="AQ24" s="525"/>
      <c r="AR24" s="525"/>
      <c r="AS24" s="525"/>
      <c r="AT24" s="525"/>
      <c r="AU24" s="525"/>
      <c r="AV24" s="525"/>
      <c r="AW24" s="525"/>
      <c r="AX24" s="525"/>
      <c r="AY24" s="525"/>
      <c r="AZ24" s="585" t="s">
        <v>4726</v>
      </c>
      <c r="BA24" s="525">
        <f t="shared" si="11"/>
        <v>93940724</v>
      </c>
      <c r="BB24" s="525">
        <v>69544023</v>
      </c>
      <c r="BC24" s="525">
        <v>14180133</v>
      </c>
      <c r="BD24" s="525">
        <v>1424799</v>
      </c>
      <c r="BE24" s="435" t="s">
        <v>1627</v>
      </c>
      <c r="BF24" s="435" t="s">
        <v>1627</v>
      </c>
      <c r="BG24" s="525">
        <v>8791769</v>
      </c>
      <c r="BH24" s="525"/>
      <c r="BI24" s="525"/>
      <c r="BJ24" s="585" t="s">
        <v>4726</v>
      </c>
      <c r="BK24" s="525">
        <v>80588</v>
      </c>
      <c r="BL24" s="525">
        <v>56453</v>
      </c>
      <c r="BM24" s="525">
        <v>13130</v>
      </c>
      <c r="BN24" s="525">
        <v>354</v>
      </c>
      <c r="BO24" s="435" t="s">
        <v>1627</v>
      </c>
      <c r="BP24" s="435" t="s">
        <v>1627</v>
      </c>
      <c r="BQ24" s="525">
        <v>10652</v>
      </c>
      <c r="BR24" s="525"/>
      <c r="BS24" s="525"/>
      <c r="BT24" s="585" t="s">
        <v>4726</v>
      </c>
      <c r="BU24" s="525">
        <f t="shared" si="12"/>
        <v>112991359</v>
      </c>
      <c r="BV24" s="525">
        <v>49158122</v>
      </c>
      <c r="BW24" s="525">
        <v>50794772</v>
      </c>
      <c r="BX24" s="525">
        <v>848616</v>
      </c>
      <c r="BY24" s="435" t="s">
        <v>1627</v>
      </c>
      <c r="BZ24" s="525">
        <v>527739</v>
      </c>
      <c r="CA24" s="435" t="s">
        <v>1627</v>
      </c>
      <c r="CB24" s="435" t="s">
        <v>1627</v>
      </c>
      <c r="CC24" s="525">
        <v>11662110</v>
      </c>
      <c r="CD24" s="525"/>
      <c r="CF24" s="524" t="s">
        <v>4611</v>
      </c>
      <c r="CG24" s="599" t="s">
        <v>4584</v>
      </c>
      <c r="CH24" s="599">
        <v>97.8</v>
      </c>
      <c r="CI24" s="599">
        <v>134.80000000000001</v>
      </c>
      <c r="CJ24" s="743">
        <v>111</v>
      </c>
      <c r="CK24" s="743">
        <v>94.4</v>
      </c>
      <c r="CL24" s="599">
        <v>100.3</v>
      </c>
      <c r="CM24" s="599">
        <v>90.4</v>
      </c>
      <c r="CN24" s="599">
        <v>92.2</v>
      </c>
      <c r="CO24" s="599">
        <v>98.9</v>
      </c>
      <c r="CP24" s="599">
        <v>84.2</v>
      </c>
      <c r="CQ24" s="743">
        <v>80.2</v>
      </c>
      <c r="CR24" s="599">
        <v>69.900000000000006</v>
      </c>
      <c r="CU24" s="585" t="s">
        <v>4727</v>
      </c>
      <c r="CV24" s="599" t="s">
        <v>4584</v>
      </c>
      <c r="CW24" s="475" t="s">
        <v>2835</v>
      </c>
      <c r="CX24" s="475" t="s">
        <v>2835</v>
      </c>
      <c r="CY24" s="475" t="s">
        <v>2835</v>
      </c>
      <c r="CZ24" s="475" t="s">
        <v>2835</v>
      </c>
      <c r="DA24" s="475" t="s">
        <v>2835</v>
      </c>
      <c r="DB24" s="475" t="s">
        <v>2835</v>
      </c>
      <c r="DC24" s="475" t="s">
        <v>2835</v>
      </c>
      <c r="DD24" s="475" t="s">
        <v>2835</v>
      </c>
      <c r="DE24" s="475" t="s">
        <v>2835</v>
      </c>
      <c r="DF24" s="751" t="s">
        <v>2835</v>
      </c>
      <c r="DG24" s="475" t="s">
        <v>2835</v>
      </c>
      <c r="DM24" s="525"/>
      <c r="DN24" s="525"/>
      <c r="DO24" s="525"/>
      <c r="DP24" s="525"/>
      <c r="DQ24" s="525"/>
      <c r="DR24" s="463"/>
      <c r="DS24" s="463"/>
      <c r="DT24" s="463"/>
      <c r="DU24" s="463"/>
      <c r="DV24" s="463"/>
      <c r="DW24" s="463"/>
      <c r="DX24" s="463"/>
      <c r="DY24" s="463"/>
      <c r="DZ24" s="463"/>
      <c r="EB24" s="612"/>
      <c r="EC24" s="612"/>
      <c r="ED24" s="612"/>
      <c r="EE24" s="612"/>
      <c r="EF24" s="612"/>
      <c r="EG24" s="612"/>
      <c r="EH24" s="612"/>
      <c r="EI24" s="612"/>
      <c r="EL24" s="585" t="s">
        <v>1629</v>
      </c>
      <c r="EN24" s="623"/>
      <c r="EW24" s="623"/>
      <c r="EX24" s="1003"/>
      <c r="EY24" s="1003"/>
      <c r="EZ24" s="1003"/>
      <c r="FA24" s="1003"/>
      <c r="FB24" s="1003"/>
      <c r="FC24" s="1003"/>
      <c r="FD24" s="1003"/>
      <c r="FE24" s="855"/>
    </row>
    <row r="25" spans="1:170">
      <c r="C25" s="623"/>
      <c r="D25" s="623"/>
      <c r="E25" s="623"/>
      <c r="F25" s="623"/>
      <c r="G25" s="623"/>
      <c r="K25" s="585" t="s">
        <v>4728</v>
      </c>
      <c r="L25" s="525"/>
      <c r="U25" s="525"/>
      <c r="V25" s="525"/>
      <c r="W25" s="525"/>
      <c r="X25" s="525"/>
      <c r="Y25" s="525"/>
      <c r="Z25" s="525"/>
      <c r="AA25" s="525"/>
      <c r="AE25" s="525"/>
      <c r="AF25" s="525"/>
      <c r="AG25" s="525"/>
      <c r="AH25" s="525"/>
      <c r="AI25" s="525"/>
      <c r="AJ25" s="525"/>
      <c r="AK25" s="525"/>
      <c r="AN25" s="588" t="s">
        <v>4721</v>
      </c>
      <c r="AO25" s="1027">
        <f t="shared" ref="AO25:AW25" si="13">SUM(AO8:AO23)</f>
        <v>1684685539</v>
      </c>
      <c r="AP25" s="1027">
        <f t="shared" si="13"/>
        <v>463203014</v>
      </c>
      <c r="AQ25" s="1027">
        <f t="shared" si="13"/>
        <v>60784146</v>
      </c>
      <c r="AR25" s="1027">
        <f t="shared" si="13"/>
        <v>485336153</v>
      </c>
      <c r="AS25" s="1027">
        <f t="shared" si="13"/>
        <v>29207240</v>
      </c>
      <c r="AT25" s="1027">
        <f t="shared" si="13"/>
        <v>435821</v>
      </c>
      <c r="AU25" s="1027">
        <f t="shared" si="13"/>
        <v>24430335</v>
      </c>
      <c r="AV25" s="1027">
        <f t="shared" si="13"/>
        <v>454131585</v>
      </c>
      <c r="AW25" s="1027">
        <f t="shared" si="13"/>
        <v>167157245</v>
      </c>
      <c r="AZ25" s="524" t="s">
        <v>4729</v>
      </c>
      <c r="BA25" s="525">
        <f t="shared" si="11"/>
        <v>19203808</v>
      </c>
      <c r="BB25" s="435" t="s">
        <v>1627</v>
      </c>
      <c r="BC25" s="435" t="s">
        <v>1627</v>
      </c>
      <c r="BD25" s="435" t="s">
        <v>1627</v>
      </c>
      <c r="BE25" s="435" t="s">
        <v>1627</v>
      </c>
      <c r="BF25" s="435" t="s">
        <v>1627</v>
      </c>
      <c r="BG25" s="435">
        <v>19203808</v>
      </c>
      <c r="BJ25" s="524" t="s">
        <v>4729</v>
      </c>
      <c r="BK25" s="525">
        <f t="shared" ref="BK25:BK40" si="14">SUM(BL25:BQ25)</f>
        <v>66140</v>
      </c>
      <c r="BL25" s="435" t="s">
        <v>1627</v>
      </c>
      <c r="BM25" s="435" t="s">
        <v>1627</v>
      </c>
      <c r="BN25" s="435">
        <v>40724</v>
      </c>
      <c r="BO25" s="435" t="s">
        <v>1627</v>
      </c>
      <c r="BP25" s="435" t="s">
        <v>1627</v>
      </c>
      <c r="BQ25" s="435">
        <v>25416</v>
      </c>
      <c r="BR25" s="435"/>
      <c r="BT25" s="524" t="s">
        <v>4729</v>
      </c>
      <c r="BU25" s="525">
        <f t="shared" si="12"/>
        <v>426078039</v>
      </c>
      <c r="BV25" s="435" t="s">
        <v>1627</v>
      </c>
      <c r="BW25" s="435" t="s">
        <v>1627</v>
      </c>
      <c r="BX25" s="435">
        <v>41568210</v>
      </c>
      <c r="BY25" s="525">
        <v>380263943</v>
      </c>
      <c r="BZ25" s="525">
        <v>4245886</v>
      </c>
      <c r="CA25" s="435" t="s">
        <v>1627</v>
      </c>
      <c r="CB25" s="435" t="s">
        <v>1627</v>
      </c>
      <c r="CC25" s="435" t="s">
        <v>1627</v>
      </c>
      <c r="CF25" s="655" t="s">
        <v>4730</v>
      </c>
      <c r="CG25" s="1029" t="s">
        <v>4584</v>
      </c>
      <c r="CH25" s="1029">
        <v>196.4</v>
      </c>
      <c r="CI25" s="1029">
        <v>166.4</v>
      </c>
      <c r="CJ25" s="1029">
        <v>168.9</v>
      </c>
      <c r="CK25" s="1024">
        <v>145</v>
      </c>
      <c r="CL25" s="1029">
        <v>112.1</v>
      </c>
      <c r="CM25" s="1029">
        <v>108.2</v>
      </c>
      <c r="CN25" s="1029">
        <v>101.8</v>
      </c>
      <c r="CO25" s="1029">
        <v>91.3</v>
      </c>
      <c r="CP25" s="1029">
        <v>78.5</v>
      </c>
      <c r="CQ25" s="1024">
        <v>83.8</v>
      </c>
      <c r="CR25" s="1029">
        <v>69.5</v>
      </c>
      <c r="CU25" s="585" t="s">
        <v>4731</v>
      </c>
      <c r="CV25" s="599" t="s">
        <v>4584</v>
      </c>
      <c r="CW25" s="475" t="s">
        <v>2835</v>
      </c>
      <c r="CX25" s="475" t="s">
        <v>2835</v>
      </c>
      <c r="CY25" s="475" t="s">
        <v>2835</v>
      </c>
      <c r="CZ25" s="475" t="s">
        <v>2835</v>
      </c>
      <c r="DA25" s="475" t="s">
        <v>2835</v>
      </c>
      <c r="DB25" s="475" t="s">
        <v>2835</v>
      </c>
      <c r="DC25" s="475" t="s">
        <v>2835</v>
      </c>
      <c r="DD25" s="599">
        <v>4.9000000000000004</v>
      </c>
      <c r="DE25" s="475" t="s">
        <v>2835</v>
      </c>
      <c r="DF25" s="743">
        <v>78</v>
      </c>
      <c r="DG25" s="475" t="s">
        <v>2835</v>
      </c>
      <c r="DM25" s="525"/>
      <c r="DN25" s="525"/>
      <c r="DO25" s="525"/>
      <c r="DP25" s="525"/>
      <c r="DQ25" s="525"/>
      <c r="DR25" s="463"/>
      <c r="DS25" s="463"/>
      <c r="DT25" s="463"/>
      <c r="DU25" s="463"/>
      <c r="DV25" s="463"/>
      <c r="DW25" s="463"/>
      <c r="DX25" s="463"/>
      <c r="DY25" s="463"/>
      <c r="DZ25" s="463"/>
      <c r="EB25" s="1028"/>
      <c r="EC25" s="1028"/>
      <c r="ED25" s="1028"/>
      <c r="EE25" s="1028"/>
      <c r="EF25" s="1028"/>
      <c r="EG25" s="1028"/>
      <c r="EH25" s="1028"/>
      <c r="EI25" s="1028"/>
      <c r="EJ25" s="382"/>
      <c r="ET25" s="623"/>
      <c r="EW25" s="743"/>
      <c r="EX25" s="1003"/>
      <c r="EY25" s="1003"/>
      <c r="EZ25" s="1003"/>
      <c r="FA25" s="1003"/>
      <c r="FB25" s="1003"/>
      <c r="FC25" s="1003"/>
      <c r="FD25" s="1003"/>
      <c r="FE25" s="855"/>
    </row>
    <row r="26" spans="1:170">
      <c r="C26" s="623"/>
      <c r="D26" s="623"/>
      <c r="E26" s="623"/>
      <c r="F26" s="623"/>
      <c r="G26" s="623"/>
      <c r="T26" s="588" t="s">
        <v>4721</v>
      </c>
      <c r="U26" s="1027">
        <f>SUM(U5:U24)</f>
        <v>1671275462</v>
      </c>
      <c r="V26" s="1027">
        <f t="shared" ref="V26:AA26" si="15">SUM(V8:V24)</f>
        <v>607893908</v>
      </c>
      <c r="W26" s="1027">
        <f t="shared" si="15"/>
        <v>112423508</v>
      </c>
      <c r="X26" s="1027">
        <f t="shared" si="15"/>
        <v>252878671</v>
      </c>
      <c r="Y26" s="1027">
        <f t="shared" si="15"/>
        <v>28232516</v>
      </c>
      <c r="Z26" s="1027">
        <f t="shared" si="15"/>
        <v>459050489</v>
      </c>
      <c r="AA26" s="1027">
        <f t="shared" si="15"/>
        <v>210796370</v>
      </c>
      <c r="AD26" s="588" t="s">
        <v>4721</v>
      </c>
      <c r="AE26" s="1027">
        <v>1651621</v>
      </c>
      <c r="AF26" s="1027">
        <v>536854</v>
      </c>
      <c r="AG26" s="1027">
        <v>78101</v>
      </c>
      <c r="AH26" s="1027">
        <f>SUM(AH8:AH24)</f>
        <v>345198</v>
      </c>
      <c r="AI26" s="1027">
        <v>40657</v>
      </c>
      <c r="AJ26" s="1027">
        <f>SUM(AJ8:AJ24)</f>
        <v>459050</v>
      </c>
      <c r="AK26" s="1027">
        <v>191761</v>
      </c>
      <c r="AN26" s="585" t="s">
        <v>4728</v>
      </c>
      <c r="AO26" s="525"/>
      <c r="AZ26" s="585" t="s">
        <v>4732</v>
      </c>
      <c r="BA26" s="525">
        <f t="shared" si="11"/>
        <v>45479881</v>
      </c>
      <c r="BB26" s="435">
        <v>1688259</v>
      </c>
      <c r="BC26" s="525">
        <v>34350578</v>
      </c>
      <c r="BD26" s="862">
        <v>5766814</v>
      </c>
      <c r="BE26" s="435" t="s">
        <v>1627</v>
      </c>
      <c r="BF26" s="435" t="s">
        <v>1627</v>
      </c>
      <c r="BG26" s="525">
        <v>3674230</v>
      </c>
      <c r="BJ26" s="585" t="s">
        <v>4732</v>
      </c>
      <c r="BK26" s="525">
        <f t="shared" si="14"/>
        <v>40432</v>
      </c>
      <c r="BL26" s="435">
        <v>1641</v>
      </c>
      <c r="BM26" s="525">
        <v>26654</v>
      </c>
      <c r="BN26" s="862">
        <v>3914</v>
      </c>
      <c r="BO26" s="435" t="s">
        <v>1627</v>
      </c>
      <c r="BP26" s="435" t="s">
        <v>1627</v>
      </c>
      <c r="BQ26" s="525">
        <v>8223</v>
      </c>
      <c r="BR26" s="525"/>
      <c r="BT26" s="585" t="s">
        <v>4732</v>
      </c>
      <c r="BU26" s="525">
        <f t="shared" si="12"/>
        <v>15300712</v>
      </c>
      <c r="BV26" s="435" t="s">
        <v>1627</v>
      </c>
      <c r="BW26" s="525">
        <v>10578917</v>
      </c>
      <c r="BX26" s="862" t="s">
        <v>1627</v>
      </c>
      <c r="BY26" s="862" t="s">
        <v>1627</v>
      </c>
      <c r="BZ26" s="525">
        <v>39228</v>
      </c>
      <c r="CA26" s="435" t="s">
        <v>1627</v>
      </c>
      <c r="CB26" s="435" t="s">
        <v>1627</v>
      </c>
      <c r="CC26" s="525">
        <v>4682567</v>
      </c>
      <c r="CE26" s="525"/>
      <c r="CF26" s="585" t="s">
        <v>4733</v>
      </c>
      <c r="CG26" s="599"/>
      <c r="CH26" s="599"/>
      <c r="CI26" s="599"/>
      <c r="CJ26" s="599"/>
      <c r="CK26" s="599"/>
      <c r="CL26" s="599"/>
      <c r="CM26" s="599"/>
      <c r="CN26" s="599"/>
      <c r="CO26" s="599"/>
      <c r="CP26" s="599"/>
      <c r="CQ26" s="599"/>
      <c r="CR26" s="599"/>
      <c r="CS26" s="623"/>
      <c r="CT26" s="623"/>
      <c r="CU26" s="585" t="s">
        <v>4734</v>
      </c>
      <c r="CV26" s="599" t="s">
        <v>4584</v>
      </c>
      <c r="CW26" s="599">
        <v>59.2</v>
      </c>
      <c r="CX26" s="599">
        <v>53.1</v>
      </c>
      <c r="CY26" s="599">
        <v>69.599999999999994</v>
      </c>
      <c r="CZ26" s="743">
        <v>72.3</v>
      </c>
      <c r="DA26" s="743">
        <v>69.099999999999994</v>
      </c>
      <c r="DB26" s="599">
        <v>65.3</v>
      </c>
      <c r="DC26" s="599">
        <v>64.8</v>
      </c>
      <c r="DD26" s="599">
        <v>61.2</v>
      </c>
      <c r="DE26" s="599">
        <v>68.7</v>
      </c>
      <c r="DF26" s="743">
        <v>65.2</v>
      </c>
      <c r="DG26" s="599">
        <v>61.6</v>
      </c>
      <c r="DH26" s="623"/>
      <c r="DM26" s="525"/>
      <c r="DN26" s="525"/>
      <c r="DO26" s="525"/>
      <c r="DP26" s="525"/>
      <c r="DQ26" s="525"/>
      <c r="DR26" s="463"/>
      <c r="DS26" s="463"/>
      <c r="DT26" s="463"/>
      <c r="DU26" s="463"/>
      <c r="DV26" s="463"/>
      <c r="DW26" s="463"/>
      <c r="DX26" s="463"/>
      <c r="DY26" s="463"/>
      <c r="DZ26" s="463"/>
      <c r="EJ26" s="382"/>
      <c r="EM26" s="623"/>
      <c r="EN26" s="623"/>
      <c r="EW26" s="623"/>
      <c r="EX26" s="1003"/>
      <c r="EY26" s="1003"/>
      <c r="EZ26" s="1003"/>
      <c r="FA26" s="1003"/>
      <c r="FB26" s="1003"/>
      <c r="FC26" s="1003"/>
      <c r="FD26" s="1003"/>
      <c r="FE26" s="855"/>
    </row>
    <row r="27" spans="1:170">
      <c r="C27" s="1009"/>
      <c r="D27" s="1009"/>
      <c r="E27" s="1009"/>
      <c r="F27" s="1009"/>
      <c r="G27" s="1009"/>
      <c r="K27" s="585" t="s">
        <v>4735</v>
      </c>
      <c r="L27" s="525">
        <v>123922040</v>
      </c>
      <c r="M27" s="525">
        <v>129024</v>
      </c>
      <c r="N27" s="525">
        <v>115336570</v>
      </c>
      <c r="O27" s="525">
        <v>89133300</v>
      </c>
      <c r="P27" s="525">
        <v>66587922</v>
      </c>
      <c r="Q27" s="525">
        <v>72080107</v>
      </c>
      <c r="R27" s="525"/>
      <c r="S27" s="525"/>
      <c r="T27" s="585" t="s">
        <v>4728</v>
      </c>
      <c r="U27" s="525"/>
      <c r="AB27" s="525"/>
      <c r="AD27" s="585" t="s">
        <v>4728</v>
      </c>
      <c r="AE27" s="525"/>
      <c r="AZ27" s="585" t="s">
        <v>4736</v>
      </c>
      <c r="BA27" s="525">
        <f t="shared" si="11"/>
        <v>356973407</v>
      </c>
      <c r="BB27" s="862">
        <v>225946393</v>
      </c>
      <c r="BC27" s="435" t="s">
        <v>1627</v>
      </c>
      <c r="BD27" s="862">
        <v>1091903</v>
      </c>
      <c r="BE27" s="862">
        <v>110565827</v>
      </c>
      <c r="BF27" s="435" t="s">
        <v>1627</v>
      </c>
      <c r="BG27" s="862">
        <v>19369284</v>
      </c>
      <c r="BJ27" s="585" t="s">
        <v>4736</v>
      </c>
      <c r="BK27" s="525">
        <f t="shared" si="14"/>
        <v>365918</v>
      </c>
      <c r="BL27" s="862">
        <v>192238</v>
      </c>
      <c r="BM27" s="435" t="s">
        <v>1627</v>
      </c>
      <c r="BN27" s="862">
        <v>402</v>
      </c>
      <c r="BO27" s="862">
        <v>154734</v>
      </c>
      <c r="BP27" s="435" t="s">
        <v>1627</v>
      </c>
      <c r="BQ27" s="862">
        <v>18544</v>
      </c>
      <c r="BR27" s="862"/>
      <c r="BT27" s="585" t="s">
        <v>4736</v>
      </c>
      <c r="BU27" s="525">
        <f t="shared" si="12"/>
        <v>332855353</v>
      </c>
      <c r="BV27" s="862">
        <v>200824568</v>
      </c>
      <c r="BW27" s="435">
        <v>1670965</v>
      </c>
      <c r="BX27" s="862" t="s">
        <v>1627</v>
      </c>
      <c r="BY27" s="862" t="s">
        <v>1627</v>
      </c>
      <c r="BZ27" s="435" t="s">
        <v>1627</v>
      </c>
      <c r="CA27" s="862">
        <v>111060824</v>
      </c>
      <c r="CB27" s="435" t="s">
        <v>1627</v>
      </c>
      <c r="CC27" s="862">
        <v>19298996</v>
      </c>
      <c r="CE27" s="525"/>
      <c r="CF27" s="585" t="s">
        <v>4737</v>
      </c>
      <c r="CU27" s="585" t="s">
        <v>4738</v>
      </c>
      <c r="CV27" s="599" t="s">
        <v>4584</v>
      </c>
      <c r="CW27" s="599">
        <v>22.8</v>
      </c>
      <c r="CX27" s="599">
        <v>25.7</v>
      </c>
      <c r="CY27" s="599">
        <v>36.5</v>
      </c>
      <c r="CZ27" s="743">
        <v>36.4</v>
      </c>
      <c r="DA27" s="743">
        <v>28.6</v>
      </c>
      <c r="DB27" s="599">
        <v>24.8</v>
      </c>
      <c r="DC27" s="599">
        <v>20.8</v>
      </c>
      <c r="DD27" s="599">
        <v>16.899999999999999</v>
      </c>
      <c r="DE27" s="1003">
        <v>16</v>
      </c>
      <c r="DF27" s="743">
        <v>11.6</v>
      </c>
      <c r="DG27" s="475">
        <v>14.1</v>
      </c>
      <c r="DM27" s="525"/>
      <c r="DN27" s="525"/>
      <c r="DO27" s="525"/>
      <c r="DP27" s="525"/>
      <c r="DQ27" s="525"/>
      <c r="DR27" s="463"/>
      <c r="DS27" s="463"/>
      <c r="DT27" s="463"/>
      <c r="DU27" s="463"/>
      <c r="DV27" s="463"/>
      <c r="DW27" s="463"/>
      <c r="DX27" s="463"/>
      <c r="DY27" s="463"/>
      <c r="DZ27" s="463"/>
      <c r="EB27" s="382"/>
      <c r="EC27" s="382"/>
      <c r="ED27" s="382"/>
      <c r="EF27" s="382"/>
      <c r="EG27" s="382"/>
      <c r="EH27" s="382"/>
      <c r="EI27" s="382"/>
      <c r="ER27" s="623"/>
      <c r="ES27" s="623"/>
      <c r="EW27" s="743"/>
    </row>
    <row r="28" spans="1:170">
      <c r="C28" s="1009"/>
      <c r="D28" s="1009"/>
      <c r="E28" s="1009"/>
      <c r="F28" s="1009"/>
      <c r="G28" s="1009"/>
      <c r="K28" s="585" t="s">
        <v>4739</v>
      </c>
      <c r="L28" s="525">
        <v>12457112</v>
      </c>
      <c r="M28" s="525">
        <v>14433</v>
      </c>
      <c r="N28" s="525">
        <v>16132104</v>
      </c>
      <c r="O28" s="525">
        <v>6173474</v>
      </c>
      <c r="P28" s="525">
        <v>12886470</v>
      </c>
      <c r="Q28" s="525">
        <v>13382558</v>
      </c>
      <c r="R28" s="525"/>
      <c r="S28" s="525"/>
      <c r="AB28" s="525"/>
      <c r="AC28" s="599"/>
      <c r="AL28" s="599"/>
      <c r="AM28" s="599"/>
      <c r="AN28" s="585" t="s">
        <v>4740</v>
      </c>
      <c r="AO28" s="525">
        <f t="shared" ref="AO28:AO37" si="16">SUM(AP28:AW28)</f>
        <v>125420642</v>
      </c>
      <c r="AP28" s="525">
        <v>115336570</v>
      </c>
      <c r="AQ28" s="525">
        <v>365126</v>
      </c>
      <c r="AR28" s="435" t="s">
        <v>1627</v>
      </c>
      <c r="AS28" s="525">
        <v>3000503</v>
      </c>
      <c r="AT28" s="435" t="s">
        <v>1627</v>
      </c>
      <c r="AU28" s="538">
        <v>1408433</v>
      </c>
      <c r="AV28" s="435" t="s">
        <v>1627</v>
      </c>
      <c r="AW28" s="862">
        <v>5310010</v>
      </c>
      <c r="AX28" s="599"/>
      <c r="AY28" s="599"/>
      <c r="AZ28" s="585" t="s">
        <v>4741</v>
      </c>
      <c r="BA28" s="525">
        <f t="shared" si="11"/>
        <v>27720054</v>
      </c>
      <c r="BB28" s="862">
        <v>164029</v>
      </c>
      <c r="BC28" s="862">
        <v>4130960</v>
      </c>
      <c r="BD28" s="862">
        <v>4075995</v>
      </c>
      <c r="BE28" s="435" t="s">
        <v>1627</v>
      </c>
      <c r="BF28" s="435" t="s">
        <v>1627</v>
      </c>
      <c r="BG28" s="862">
        <v>19349070</v>
      </c>
      <c r="BH28" s="599"/>
      <c r="BI28" s="599"/>
      <c r="BJ28" s="585" t="s">
        <v>4741</v>
      </c>
      <c r="BK28" s="525">
        <f t="shared" si="14"/>
        <v>25234</v>
      </c>
      <c r="BL28" s="862">
        <v>56</v>
      </c>
      <c r="BM28" s="862">
        <v>3475</v>
      </c>
      <c r="BN28" s="862">
        <v>2807</v>
      </c>
      <c r="BO28" s="435" t="s">
        <v>1627</v>
      </c>
      <c r="BP28" s="435" t="s">
        <v>1627</v>
      </c>
      <c r="BQ28" s="862">
        <v>18896</v>
      </c>
      <c r="BR28" s="862"/>
      <c r="BS28" s="599"/>
      <c r="BT28" s="585" t="s">
        <v>4741</v>
      </c>
      <c r="BU28" s="525">
        <f t="shared" si="12"/>
        <v>23186422</v>
      </c>
      <c r="BV28" s="862">
        <v>328357</v>
      </c>
      <c r="BW28" s="862">
        <v>4241255</v>
      </c>
      <c r="BX28" s="862" t="s">
        <v>1627</v>
      </c>
      <c r="BY28" s="862" t="s">
        <v>1627</v>
      </c>
      <c r="BZ28" s="862">
        <v>37992</v>
      </c>
      <c r="CA28" s="435" t="s">
        <v>1627</v>
      </c>
      <c r="CB28" s="435" t="s">
        <v>1627</v>
      </c>
      <c r="CC28" s="862">
        <v>18578818</v>
      </c>
      <c r="CD28" s="599"/>
      <c r="CE28" s="525"/>
      <c r="CF28" s="585" t="s">
        <v>4742</v>
      </c>
      <c r="CU28" s="585" t="s">
        <v>4743</v>
      </c>
      <c r="CV28" s="599" t="s">
        <v>4584</v>
      </c>
      <c r="CW28" s="751" t="s">
        <v>2835</v>
      </c>
      <c r="CX28" s="751" t="s">
        <v>2835</v>
      </c>
      <c r="CY28" s="751" t="s">
        <v>2835</v>
      </c>
      <c r="CZ28" s="751" t="s">
        <v>2835</v>
      </c>
      <c r="DA28" s="475" t="s">
        <v>2835</v>
      </c>
      <c r="DB28" s="475" t="s">
        <v>2835</v>
      </c>
      <c r="DC28" s="475" t="s">
        <v>2835</v>
      </c>
      <c r="DD28" s="475" t="s">
        <v>2835</v>
      </c>
      <c r="DE28" s="475" t="s">
        <v>2835</v>
      </c>
      <c r="DF28" s="751" t="s">
        <v>2835</v>
      </c>
      <c r="DG28" s="599">
        <v>0.2</v>
      </c>
      <c r="DM28" s="525"/>
      <c r="DN28" s="525"/>
      <c r="DO28" s="525"/>
      <c r="DP28" s="525"/>
      <c r="DQ28" s="525"/>
      <c r="DR28" s="463"/>
      <c r="DS28" s="463"/>
      <c r="DT28" s="463"/>
      <c r="DU28" s="463"/>
      <c r="DV28" s="463"/>
      <c r="DW28" s="463"/>
      <c r="DX28" s="463"/>
      <c r="DY28" s="463"/>
      <c r="DZ28" s="463"/>
      <c r="EB28" s="382"/>
      <c r="EC28" s="382"/>
      <c r="ED28" s="382"/>
      <c r="EE28" s="382"/>
      <c r="EF28" s="382"/>
      <c r="EG28" s="382"/>
      <c r="EH28" s="382"/>
      <c r="EI28" s="382"/>
      <c r="EW28" s="623"/>
    </row>
    <row r="29" spans="1:170">
      <c r="B29" s="623"/>
      <c r="K29" s="585" t="s">
        <v>4744</v>
      </c>
      <c r="L29" s="525">
        <v>4061937</v>
      </c>
      <c r="M29" s="525">
        <v>1211</v>
      </c>
      <c r="N29" s="525">
        <v>2028932</v>
      </c>
      <c r="O29" s="525">
        <v>3936808</v>
      </c>
      <c r="P29" s="525">
        <v>6900816</v>
      </c>
      <c r="Q29" s="525">
        <v>13881863</v>
      </c>
      <c r="R29" s="862"/>
      <c r="S29" s="862"/>
      <c r="T29" s="585" t="s">
        <v>4740</v>
      </c>
      <c r="U29" s="525">
        <f>SUM(V29:AA29)</f>
        <v>137006670</v>
      </c>
      <c r="V29" s="525">
        <v>123922040</v>
      </c>
      <c r="W29" s="525">
        <v>511400</v>
      </c>
      <c r="X29" s="435" t="s">
        <v>1627</v>
      </c>
      <c r="Y29" s="538">
        <v>8904284</v>
      </c>
      <c r="Z29" s="435" t="s">
        <v>1627</v>
      </c>
      <c r="AA29" s="862">
        <v>3668946</v>
      </c>
      <c r="AB29" s="862"/>
      <c r="AC29" s="525"/>
      <c r="AD29" s="585" t="s">
        <v>4740</v>
      </c>
      <c r="AE29" s="525">
        <f t="shared" ref="AE29:AE38" si="17">SUM(AF29:AK29)</f>
        <v>138014</v>
      </c>
      <c r="AF29" s="525">
        <v>129024</v>
      </c>
      <c r="AG29" s="525">
        <v>491</v>
      </c>
      <c r="AH29" s="435" t="s">
        <v>1627</v>
      </c>
      <c r="AI29" s="538">
        <v>1032</v>
      </c>
      <c r="AJ29" s="435" t="s">
        <v>1627</v>
      </c>
      <c r="AK29" s="862">
        <v>7467</v>
      </c>
      <c r="AL29" s="525"/>
      <c r="AM29" s="525"/>
      <c r="AN29" s="585" t="s">
        <v>4745</v>
      </c>
      <c r="AO29" s="525">
        <f t="shared" si="16"/>
        <v>24288701</v>
      </c>
      <c r="AP29" s="525">
        <v>16132104</v>
      </c>
      <c r="AQ29" s="525">
        <v>3228147</v>
      </c>
      <c r="AR29" s="525">
        <v>84521</v>
      </c>
      <c r="AS29" s="435" t="s">
        <v>1627</v>
      </c>
      <c r="AT29" s="525">
        <v>159</v>
      </c>
      <c r="AU29" s="525">
        <v>1059210</v>
      </c>
      <c r="AV29" s="435" t="s">
        <v>1627</v>
      </c>
      <c r="AW29" s="862">
        <v>3784560</v>
      </c>
      <c r="AX29" s="525"/>
      <c r="AY29" s="525"/>
      <c r="AZ29" s="585" t="s">
        <v>4746</v>
      </c>
      <c r="BA29" s="525">
        <f t="shared" si="11"/>
        <v>18823584</v>
      </c>
      <c r="BB29" s="862">
        <v>5446760</v>
      </c>
      <c r="BC29" s="862">
        <v>11738308</v>
      </c>
      <c r="BD29" s="862">
        <v>706261</v>
      </c>
      <c r="BE29" s="435" t="s">
        <v>1627</v>
      </c>
      <c r="BF29" s="435" t="s">
        <v>1627</v>
      </c>
      <c r="BG29" s="862">
        <v>932255</v>
      </c>
      <c r="BH29" s="525"/>
      <c r="BI29" s="525"/>
      <c r="BJ29" s="585" t="s">
        <v>4746</v>
      </c>
      <c r="BK29" s="525">
        <f t="shared" si="14"/>
        <v>12712</v>
      </c>
      <c r="BL29" s="862">
        <v>4508</v>
      </c>
      <c r="BM29" s="862">
        <v>6870</v>
      </c>
      <c r="BN29" s="862">
        <v>338</v>
      </c>
      <c r="BO29" s="435" t="s">
        <v>1627</v>
      </c>
      <c r="BP29" s="435" t="s">
        <v>1627</v>
      </c>
      <c r="BQ29" s="862">
        <v>996</v>
      </c>
      <c r="BR29" s="862"/>
      <c r="BS29" s="525"/>
      <c r="BT29" s="585" t="s">
        <v>4746</v>
      </c>
      <c r="BU29" s="525">
        <f t="shared" si="12"/>
        <v>14058418</v>
      </c>
      <c r="BV29" s="862">
        <v>6190540</v>
      </c>
      <c r="BW29" s="862">
        <v>6748922</v>
      </c>
      <c r="BX29" s="862" t="s">
        <v>1627</v>
      </c>
      <c r="BY29" s="862" t="s">
        <v>1627</v>
      </c>
      <c r="BZ29" s="862">
        <v>18347</v>
      </c>
      <c r="CA29" s="435" t="s">
        <v>1627</v>
      </c>
      <c r="CB29" s="435" t="s">
        <v>1627</v>
      </c>
      <c r="CC29" s="862">
        <v>1100609</v>
      </c>
      <c r="CD29" s="525"/>
      <c r="CE29" s="599"/>
      <c r="CF29" s="585" t="s">
        <v>4747</v>
      </c>
      <c r="CU29" s="586" t="s">
        <v>4748</v>
      </c>
      <c r="CV29" s="1029" t="s">
        <v>4584</v>
      </c>
      <c r="CW29" s="1029">
        <v>225.8</v>
      </c>
      <c r="CX29" s="1029">
        <v>180.9</v>
      </c>
      <c r="CY29" s="1029">
        <v>150.9</v>
      </c>
      <c r="CZ29" s="1024">
        <v>143.80000000000001</v>
      </c>
      <c r="DA29" s="1024">
        <v>134.5</v>
      </c>
      <c r="DB29" s="1029">
        <v>133.9</v>
      </c>
      <c r="DC29" s="1029">
        <v>135.30000000000001</v>
      </c>
      <c r="DD29" s="1029">
        <v>139.30000000000001</v>
      </c>
      <c r="DE29" s="1029">
        <v>94.7</v>
      </c>
      <c r="DF29" s="1024">
        <v>95.9</v>
      </c>
      <c r="DG29" s="1029">
        <v>85.6</v>
      </c>
      <c r="DM29" s="525"/>
      <c r="DN29" s="525"/>
      <c r="DO29" s="525"/>
      <c r="DP29" s="525"/>
      <c r="DQ29" s="525"/>
      <c r="DR29" s="463"/>
      <c r="DS29" s="463"/>
      <c r="DT29" s="463"/>
      <c r="DU29" s="463"/>
      <c r="DV29" s="463"/>
      <c r="DW29" s="463"/>
      <c r="DX29" s="463"/>
      <c r="DY29" s="463"/>
      <c r="DZ29" s="463"/>
      <c r="EJ29" s="382"/>
      <c r="EW29" s="623"/>
    </row>
    <row r="30" spans="1:170">
      <c r="E30" s="623"/>
      <c r="F30" s="1009"/>
      <c r="G30" s="1009"/>
      <c r="K30" s="585" t="s">
        <v>4749</v>
      </c>
      <c r="L30" s="525">
        <v>42183512</v>
      </c>
      <c r="M30" s="525">
        <v>42347</v>
      </c>
      <c r="N30" s="525">
        <v>29611082</v>
      </c>
      <c r="O30" s="525">
        <v>38820730</v>
      </c>
      <c r="P30" s="525">
        <v>29246238</v>
      </c>
      <c r="Q30" s="525">
        <v>22813864</v>
      </c>
      <c r="R30" s="525"/>
      <c r="S30" s="525"/>
      <c r="T30" s="585" t="s">
        <v>4745</v>
      </c>
      <c r="U30" s="525">
        <f t="shared" ref="U30:U38" si="18">SUM(V30:AA30)</f>
        <v>16918529</v>
      </c>
      <c r="V30" s="525">
        <v>12457112</v>
      </c>
      <c r="W30" s="525">
        <v>1406859</v>
      </c>
      <c r="X30" s="525">
        <v>250572</v>
      </c>
      <c r="Y30" s="525">
        <v>1449336</v>
      </c>
      <c r="Z30" s="435" t="s">
        <v>1627</v>
      </c>
      <c r="AA30" s="862">
        <v>1354650</v>
      </c>
      <c r="AB30" s="525"/>
      <c r="AC30" s="525"/>
      <c r="AD30" s="585" t="s">
        <v>4745</v>
      </c>
      <c r="AE30" s="525">
        <f t="shared" si="17"/>
        <v>31380</v>
      </c>
      <c r="AF30" s="525">
        <v>14433</v>
      </c>
      <c r="AG30" s="525">
        <v>1052</v>
      </c>
      <c r="AH30" s="525">
        <v>580</v>
      </c>
      <c r="AI30" s="525">
        <v>13934</v>
      </c>
      <c r="AJ30" s="435" t="s">
        <v>1627</v>
      </c>
      <c r="AK30" s="862">
        <v>1381</v>
      </c>
      <c r="AL30" s="525"/>
      <c r="AM30" s="525"/>
      <c r="AN30" s="1030" t="s">
        <v>4750</v>
      </c>
      <c r="AO30" s="525">
        <f t="shared" si="16"/>
        <v>2028932</v>
      </c>
      <c r="AP30" s="525">
        <v>2028932</v>
      </c>
      <c r="AQ30" s="435" t="s">
        <v>1627</v>
      </c>
      <c r="AR30" s="435" t="s">
        <v>1627</v>
      </c>
      <c r="AS30" s="435" t="s">
        <v>1627</v>
      </c>
      <c r="AT30" s="435" t="s">
        <v>1627</v>
      </c>
      <c r="AU30" s="435" t="s">
        <v>1627</v>
      </c>
      <c r="AV30" s="435" t="s">
        <v>1627</v>
      </c>
      <c r="AW30" s="435" t="s">
        <v>1627</v>
      </c>
      <c r="AX30" s="525"/>
      <c r="AY30" s="525"/>
      <c r="AZ30" s="451" t="s">
        <v>4751</v>
      </c>
      <c r="BA30" s="525">
        <f t="shared" si="11"/>
        <v>8071373</v>
      </c>
      <c r="BB30" s="862">
        <v>5912030</v>
      </c>
      <c r="BC30" s="435">
        <v>2159343</v>
      </c>
      <c r="BD30" s="435" t="s">
        <v>1627</v>
      </c>
      <c r="BE30" s="435" t="s">
        <v>1627</v>
      </c>
      <c r="BF30" s="435" t="s">
        <v>1627</v>
      </c>
      <c r="BG30" s="435" t="s">
        <v>1627</v>
      </c>
      <c r="BH30" s="525"/>
      <c r="BI30" s="525"/>
      <c r="BJ30" s="451" t="s">
        <v>4751</v>
      </c>
      <c r="BK30" s="525">
        <f t="shared" si="14"/>
        <v>4875</v>
      </c>
      <c r="BL30" s="862">
        <v>4875</v>
      </c>
      <c r="BM30" s="435" t="s">
        <v>1627</v>
      </c>
      <c r="BN30" s="435" t="s">
        <v>1627</v>
      </c>
      <c r="BO30" s="435" t="s">
        <v>1627</v>
      </c>
      <c r="BP30" s="435" t="s">
        <v>1627</v>
      </c>
      <c r="BQ30" s="435" t="s">
        <v>1627</v>
      </c>
      <c r="BR30" s="435"/>
      <c r="BS30" s="525"/>
      <c r="BT30" s="451" t="s">
        <v>4751</v>
      </c>
      <c r="BU30" s="525">
        <f t="shared" si="12"/>
        <v>4090648</v>
      </c>
      <c r="BV30" s="862">
        <v>4090648</v>
      </c>
      <c r="BW30" s="435" t="s">
        <v>1627</v>
      </c>
      <c r="BX30" s="862" t="s">
        <v>1627</v>
      </c>
      <c r="BY30" s="862" t="s">
        <v>1627</v>
      </c>
      <c r="BZ30" s="435" t="s">
        <v>1627</v>
      </c>
      <c r="CA30" s="435" t="s">
        <v>1627</v>
      </c>
      <c r="CB30" s="435" t="s">
        <v>1627</v>
      </c>
      <c r="CC30" s="435" t="s">
        <v>1627</v>
      </c>
      <c r="CD30" s="525"/>
      <c r="CE30" s="599"/>
      <c r="CU30" s="585" t="s">
        <v>4752</v>
      </c>
      <c r="DM30" s="525"/>
      <c r="DN30" s="525"/>
      <c r="DO30" s="525"/>
      <c r="DP30" s="525"/>
      <c r="DQ30" s="525"/>
      <c r="DR30" s="463"/>
      <c r="DS30" s="463"/>
      <c r="DT30" s="463"/>
      <c r="DU30" s="463"/>
      <c r="DV30" s="463"/>
      <c r="DW30" s="463"/>
      <c r="DX30" s="463"/>
      <c r="DY30" s="463"/>
      <c r="DZ30" s="463"/>
      <c r="EJ30" s="612"/>
      <c r="EW30" s="623"/>
    </row>
    <row r="31" spans="1:170">
      <c r="D31" s="1009"/>
      <c r="E31" s="1009"/>
      <c r="F31" s="1009"/>
      <c r="G31" s="1009"/>
      <c r="K31" s="451" t="s">
        <v>4753</v>
      </c>
      <c r="L31" s="463">
        <v>61516186</v>
      </c>
      <c r="M31" s="463">
        <v>17114</v>
      </c>
      <c r="N31" s="435">
        <v>77200340</v>
      </c>
      <c r="O31" s="435" t="s">
        <v>1627</v>
      </c>
      <c r="P31" s="435" t="s">
        <v>1627</v>
      </c>
      <c r="Q31" s="435" t="s">
        <v>1627</v>
      </c>
      <c r="R31" s="435"/>
      <c r="S31" s="435"/>
      <c r="T31" s="1030" t="s">
        <v>4750</v>
      </c>
      <c r="U31" s="525">
        <f t="shared" si="18"/>
        <v>13316562</v>
      </c>
      <c r="V31" s="525">
        <v>4061937</v>
      </c>
      <c r="W31" s="435" t="s">
        <v>1627</v>
      </c>
      <c r="X31" s="435" t="s">
        <v>1627</v>
      </c>
      <c r="Y31" s="435" t="s">
        <v>1627</v>
      </c>
      <c r="Z31" s="435" t="s">
        <v>1627</v>
      </c>
      <c r="AA31" s="435">
        <v>9254625</v>
      </c>
      <c r="AB31" s="435"/>
      <c r="AC31" s="525"/>
      <c r="AD31" s="1030" t="s">
        <v>4750</v>
      </c>
      <c r="AE31" s="525">
        <f t="shared" si="17"/>
        <v>1211</v>
      </c>
      <c r="AF31" s="525">
        <v>1211</v>
      </c>
      <c r="AG31" s="435" t="s">
        <v>1627</v>
      </c>
      <c r="AH31" s="435" t="s">
        <v>1627</v>
      </c>
      <c r="AI31" s="435" t="s">
        <v>1627</v>
      </c>
      <c r="AJ31" s="435" t="s">
        <v>1627</v>
      </c>
      <c r="AK31" s="435" t="s">
        <v>1627</v>
      </c>
      <c r="AL31" s="525"/>
      <c r="AM31" s="525"/>
      <c r="AN31" s="382" t="s">
        <v>4749</v>
      </c>
      <c r="AO31" s="525">
        <f t="shared" si="16"/>
        <v>97726233</v>
      </c>
      <c r="AP31" s="525">
        <v>29611082</v>
      </c>
      <c r="AQ31" s="435">
        <v>11330513</v>
      </c>
      <c r="AR31" s="435" t="s">
        <v>1627</v>
      </c>
      <c r="AS31" s="435">
        <v>26206737</v>
      </c>
      <c r="AT31" s="435">
        <v>434667</v>
      </c>
      <c r="AU31" s="435">
        <v>17183369</v>
      </c>
      <c r="AV31" s="435" t="s">
        <v>1627</v>
      </c>
      <c r="AW31" s="862">
        <v>12959865</v>
      </c>
      <c r="AX31" s="525"/>
      <c r="AY31" s="525"/>
      <c r="AZ31" s="451" t="s">
        <v>4754</v>
      </c>
      <c r="BA31" s="525">
        <f t="shared" si="11"/>
        <v>23177225</v>
      </c>
      <c r="BB31" s="525">
        <v>17339595</v>
      </c>
      <c r="BC31" s="435">
        <v>103310</v>
      </c>
      <c r="BD31" s="435" t="s">
        <v>1627</v>
      </c>
      <c r="BE31" s="435" t="s">
        <v>1627</v>
      </c>
      <c r="BF31" s="435" t="s">
        <v>1627</v>
      </c>
      <c r="BG31" s="525">
        <v>5734320</v>
      </c>
      <c r="BH31" s="525"/>
      <c r="BI31" s="525"/>
      <c r="BJ31" s="451" t="s">
        <v>4754</v>
      </c>
      <c r="BK31" s="525">
        <f t="shared" si="14"/>
        <v>20679</v>
      </c>
      <c r="BL31" s="525">
        <v>16104</v>
      </c>
      <c r="BM31" s="435">
        <v>450</v>
      </c>
      <c r="BN31" s="435" t="s">
        <v>1627</v>
      </c>
      <c r="BO31" s="435" t="s">
        <v>1627</v>
      </c>
      <c r="BP31" s="435" t="s">
        <v>1627</v>
      </c>
      <c r="BQ31" s="525">
        <v>4125</v>
      </c>
      <c r="BR31" s="525"/>
      <c r="BS31" s="525"/>
      <c r="BT31" s="451" t="s">
        <v>4754</v>
      </c>
      <c r="BU31" s="525">
        <f t="shared" si="12"/>
        <v>19975740</v>
      </c>
      <c r="BV31" s="525">
        <v>17025631</v>
      </c>
      <c r="BW31" s="435">
        <v>11584</v>
      </c>
      <c r="BX31" s="862" t="s">
        <v>1627</v>
      </c>
      <c r="BY31" s="862" t="s">
        <v>1627</v>
      </c>
      <c r="BZ31" s="435">
        <v>195154</v>
      </c>
      <c r="CA31" s="435" t="s">
        <v>1627</v>
      </c>
      <c r="CB31" s="435" t="s">
        <v>1627</v>
      </c>
      <c r="CC31" s="525">
        <v>2743371</v>
      </c>
      <c r="CD31" s="525"/>
      <c r="CE31" s="599"/>
      <c r="CU31" s="585" t="s">
        <v>4755</v>
      </c>
      <c r="CX31" s="623"/>
      <c r="DF31" s="623"/>
      <c r="DM31" s="525"/>
      <c r="DN31" s="525"/>
      <c r="DO31" s="525"/>
      <c r="DP31" s="525"/>
      <c r="DQ31" s="525"/>
      <c r="DR31" s="463"/>
      <c r="DS31" s="463"/>
      <c r="DT31" s="463"/>
      <c r="DU31" s="463"/>
      <c r="DV31" s="463"/>
      <c r="DW31" s="463"/>
      <c r="DX31" s="463"/>
      <c r="DY31" s="463"/>
      <c r="DZ31" s="463"/>
      <c r="EB31" s="382"/>
      <c r="EC31" s="382"/>
      <c r="ED31" s="382"/>
      <c r="EE31" s="382"/>
      <c r="EF31" s="382"/>
      <c r="EG31" s="382"/>
      <c r="EH31" s="382"/>
      <c r="EI31" s="382"/>
      <c r="EJ31" s="612"/>
      <c r="EW31" s="623"/>
      <c r="EY31" s="1004"/>
      <c r="EZ31" s="1004"/>
      <c r="FA31" s="1004"/>
      <c r="FB31" s="1004"/>
      <c r="FC31" s="1004"/>
      <c r="FD31" s="1004"/>
      <c r="FE31" s="1004"/>
    </row>
    <row r="32" spans="1:170">
      <c r="K32" s="1031" t="s">
        <v>4756</v>
      </c>
      <c r="L32" s="525">
        <v>76817342</v>
      </c>
      <c r="M32" s="525">
        <v>70398</v>
      </c>
      <c r="N32" s="525">
        <v>76141259</v>
      </c>
      <c r="O32" s="525">
        <v>65109936</v>
      </c>
      <c r="P32" s="525">
        <v>69928937</v>
      </c>
      <c r="Q32" s="525">
        <v>77046768</v>
      </c>
      <c r="R32" s="525"/>
      <c r="S32" s="525"/>
      <c r="T32" s="382" t="s">
        <v>4749</v>
      </c>
      <c r="U32" s="525">
        <f t="shared" si="18"/>
        <v>173574685</v>
      </c>
      <c r="V32" s="525">
        <v>42183512</v>
      </c>
      <c r="W32" s="435">
        <v>58513959</v>
      </c>
      <c r="X32" s="435">
        <v>27609455</v>
      </c>
      <c r="Y32" s="435">
        <v>15816423</v>
      </c>
      <c r="Z32" s="435" t="s">
        <v>1627</v>
      </c>
      <c r="AA32" s="862">
        <v>29451336</v>
      </c>
      <c r="AB32" s="525"/>
      <c r="AC32" s="525"/>
      <c r="AD32" s="382" t="s">
        <v>4749</v>
      </c>
      <c r="AE32" s="525">
        <f t="shared" si="17"/>
        <v>169651</v>
      </c>
      <c r="AF32" s="525">
        <v>42347</v>
      </c>
      <c r="AG32" s="435">
        <v>33257</v>
      </c>
      <c r="AH32" s="435">
        <v>40273</v>
      </c>
      <c r="AI32" s="435">
        <v>25661</v>
      </c>
      <c r="AJ32" s="435" t="s">
        <v>1627</v>
      </c>
      <c r="AK32" s="862">
        <v>28113</v>
      </c>
      <c r="AL32" s="525"/>
      <c r="AM32" s="525"/>
      <c r="AN32" s="585" t="s">
        <v>4757</v>
      </c>
      <c r="AO32" s="525">
        <f t="shared" si="16"/>
        <v>644946981</v>
      </c>
      <c r="AP32" s="435">
        <v>77200340</v>
      </c>
      <c r="AQ32" s="862">
        <v>45933636</v>
      </c>
      <c r="AR32" s="862">
        <v>482110832</v>
      </c>
      <c r="AS32" s="435" t="s">
        <v>1627</v>
      </c>
      <c r="AT32" s="862">
        <v>995</v>
      </c>
      <c r="AU32" s="435">
        <v>30322</v>
      </c>
      <c r="AV32" s="435" t="s">
        <v>1627</v>
      </c>
      <c r="AW32" s="435">
        <v>39670856</v>
      </c>
      <c r="AX32" s="525"/>
      <c r="AY32" s="525"/>
      <c r="AZ32" s="451" t="s">
        <v>4758</v>
      </c>
      <c r="BA32" s="525">
        <f t="shared" si="11"/>
        <v>20500</v>
      </c>
      <c r="BB32" s="435" t="s">
        <v>1627</v>
      </c>
      <c r="BC32" s="435" t="s">
        <v>1627</v>
      </c>
      <c r="BD32" s="862">
        <v>20500</v>
      </c>
      <c r="BE32" s="435" t="s">
        <v>1627</v>
      </c>
      <c r="BF32" s="435" t="s">
        <v>1627</v>
      </c>
      <c r="BG32" s="435" t="s">
        <v>1627</v>
      </c>
      <c r="BH32" s="525"/>
      <c r="BI32" s="525"/>
      <c r="BJ32" s="451" t="s">
        <v>4758</v>
      </c>
      <c r="BK32" s="525">
        <f t="shared" si="14"/>
        <v>48936</v>
      </c>
      <c r="BL32" s="435" t="s">
        <v>1627</v>
      </c>
      <c r="BM32" s="435" t="s">
        <v>1627</v>
      </c>
      <c r="BN32" s="862">
        <v>48936</v>
      </c>
      <c r="BO32" s="435" t="s">
        <v>1627</v>
      </c>
      <c r="BP32" s="435" t="s">
        <v>1627</v>
      </c>
      <c r="BQ32" s="435" t="s">
        <v>1627</v>
      </c>
      <c r="BR32" s="435"/>
      <c r="BS32" s="525"/>
      <c r="BT32" s="451" t="s">
        <v>4759</v>
      </c>
      <c r="BU32" s="525">
        <f t="shared" si="12"/>
        <v>844027</v>
      </c>
      <c r="BV32" s="525">
        <v>844027</v>
      </c>
      <c r="BW32" s="435" t="s">
        <v>1627</v>
      </c>
      <c r="BX32" s="862" t="s">
        <v>1627</v>
      </c>
      <c r="BY32" s="862" t="s">
        <v>1627</v>
      </c>
      <c r="BZ32" s="435" t="s">
        <v>1627</v>
      </c>
      <c r="CA32" s="435" t="s">
        <v>1627</v>
      </c>
      <c r="CB32" s="435" t="s">
        <v>1627</v>
      </c>
      <c r="CC32" s="435" t="s">
        <v>1627</v>
      </c>
      <c r="CD32" s="525"/>
      <c r="CE32" s="599"/>
      <c r="CX32" s="623"/>
      <c r="DM32" s="525"/>
      <c r="DN32" s="525"/>
      <c r="DO32" s="525"/>
      <c r="DP32" s="525"/>
      <c r="DQ32" s="525"/>
      <c r="EB32" s="612"/>
      <c r="EC32" s="612"/>
      <c r="ED32" s="612"/>
      <c r="EE32" s="612"/>
      <c r="EF32" s="612"/>
      <c r="EG32" s="612"/>
      <c r="EH32" s="612"/>
      <c r="EI32" s="612"/>
      <c r="EJ32" s="612"/>
      <c r="EW32" s="623"/>
    </row>
    <row r="33" spans="1:170">
      <c r="H33" s="1009"/>
      <c r="K33" s="382" t="s">
        <v>4760</v>
      </c>
      <c r="L33" s="463">
        <v>59471927</v>
      </c>
      <c r="M33" s="463">
        <v>85660</v>
      </c>
      <c r="N33" s="463">
        <v>78208234</v>
      </c>
      <c r="O33" s="463">
        <v>164280937</v>
      </c>
      <c r="P33" s="463">
        <v>131049773</v>
      </c>
      <c r="Q33" s="463">
        <v>123400041</v>
      </c>
      <c r="R33" s="463"/>
      <c r="S33" s="463"/>
      <c r="T33" s="585" t="s">
        <v>4757</v>
      </c>
      <c r="U33" s="525">
        <f t="shared" si="18"/>
        <v>355091623</v>
      </c>
      <c r="V33" s="435">
        <v>61516186</v>
      </c>
      <c r="W33" s="862">
        <v>51601302</v>
      </c>
      <c r="X33" s="862">
        <v>212686100</v>
      </c>
      <c r="Y33" s="435" t="s">
        <v>1627</v>
      </c>
      <c r="Z33" s="435" t="s">
        <v>1627</v>
      </c>
      <c r="AA33" s="435">
        <v>29288035</v>
      </c>
      <c r="AB33" s="463"/>
      <c r="AC33" s="435"/>
      <c r="AD33" s="585" t="s">
        <v>4757</v>
      </c>
      <c r="AE33" s="525">
        <f t="shared" si="17"/>
        <v>394554</v>
      </c>
      <c r="AF33" s="435">
        <v>17114</v>
      </c>
      <c r="AG33" s="862">
        <v>42943</v>
      </c>
      <c r="AH33" s="862">
        <v>304003</v>
      </c>
      <c r="AI33" s="435">
        <v>30</v>
      </c>
      <c r="AJ33" s="435" t="s">
        <v>1627</v>
      </c>
      <c r="AK33" s="435">
        <v>30464</v>
      </c>
      <c r="AL33" s="435"/>
      <c r="AM33" s="435"/>
      <c r="AN33" s="1031" t="s">
        <v>4756</v>
      </c>
      <c r="AO33" s="525">
        <f t="shared" si="16"/>
        <v>76141259</v>
      </c>
      <c r="AP33" s="525">
        <v>76141259</v>
      </c>
      <c r="AQ33" s="435" t="s">
        <v>1627</v>
      </c>
      <c r="AR33" s="435" t="s">
        <v>1627</v>
      </c>
      <c r="AS33" s="435" t="s">
        <v>1627</v>
      </c>
      <c r="AT33" s="435" t="s">
        <v>1627</v>
      </c>
      <c r="AU33" s="435" t="s">
        <v>1627</v>
      </c>
      <c r="AV33" s="435" t="s">
        <v>1627</v>
      </c>
      <c r="AW33" s="435" t="s">
        <v>1627</v>
      </c>
      <c r="AX33" s="435"/>
      <c r="AY33" s="435"/>
      <c r="AZ33" s="451" t="s">
        <v>4759</v>
      </c>
      <c r="BA33" s="525">
        <f t="shared" si="11"/>
        <v>167051</v>
      </c>
      <c r="BB33" s="525">
        <v>167051</v>
      </c>
      <c r="BC33" s="435" t="s">
        <v>1627</v>
      </c>
      <c r="BD33" s="435" t="s">
        <v>1627</v>
      </c>
      <c r="BE33" s="435" t="s">
        <v>1627</v>
      </c>
      <c r="BF33" s="435" t="s">
        <v>1627</v>
      </c>
      <c r="BG33" s="435" t="s">
        <v>1627</v>
      </c>
      <c r="BH33" s="435"/>
      <c r="BI33" s="435"/>
      <c r="BJ33" s="451" t="s">
        <v>4759</v>
      </c>
      <c r="BK33" s="525">
        <f t="shared" si="14"/>
        <v>2047</v>
      </c>
      <c r="BL33" s="525">
        <v>500</v>
      </c>
      <c r="BM33" s="435" t="s">
        <v>1627</v>
      </c>
      <c r="BN33" s="862">
        <v>1547</v>
      </c>
      <c r="BO33" s="435" t="s">
        <v>1627</v>
      </c>
      <c r="BP33" s="435" t="s">
        <v>1627</v>
      </c>
      <c r="BQ33" s="435" t="s">
        <v>1627</v>
      </c>
      <c r="BR33" s="525"/>
      <c r="BS33" s="435"/>
      <c r="BT33" s="451" t="s">
        <v>4761</v>
      </c>
      <c r="BU33" s="525">
        <f t="shared" si="12"/>
        <v>42850746</v>
      </c>
      <c r="BV33" s="525">
        <v>26188247</v>
      </c>
      <c r="BW33" s="435">
        <v>2951851</v>
      </c>
      <c r="BX33" s="435">
        <v>7276089</v>
      </c>
      <c r="BY33" s="862" t="s">
        <v>1627</v>
      </c>
      <c r="BZ33" s="435">
        <v>4488223</v>
      </c>
      <c r="CA33" s="435" t="s">
        <v>1627</v>
      </c>
      <c r="CB33" s="435" t="s">
        <v>1627</v>
      </c>
      <c r="CC33" s="525">
        <v>1946336</v>
      </c>
      <c r="CD33" s="435"/>
      <c r="CE33" s="599"/>
      <c r="CF33" s="382"/>
      <c r="DM33" s="525"/>
      <c r="DN33" s="525"/>
      <c r="DO33" s="525"/>
      <c r="DP33" s="525"/>
      <c r="DQ33" s="525"/>
      <c r="EB33" s="612"/>
      <c r="EC33" s="612"/>
      <c r="ED33" s="612"/>
      <c r="EE33" s="612"/>
      <c r="EF33" s="612"/>
      <c r="EG33" s="612"/>
      <c r="EH33" s="612"/>
      <c r="EI33" s="612"/>
      <c r="EJ33" s="612"/>
      <c r="EW33" s="623"/>
    </row>
    <row r="34" spans="1:170">
      <c r="H34" s="1009"/>
      <c r="K34" s="382" t="s">
        <v>4762</v>
      </c>
      <c r="L34" s="435" t="s">
        <v>1627</v>
      </c>
      <c r="M34" s="463">
        <v>19298</v>
      </c>
      <c r="N34" s="463">
        <v>14800566</v>
      </c>
      <c r="O34" s="463">
        <v>6506681</v>
      </c>
      <c r="P34" s="435" t="s">
        <v>1627</v>
      </c>
      <c r="Q34" s="435" t="s">
        <v>1627</v>
      </c>
      <c r="R34" s="435"/>
      <c r="S34" s="435"/>
      <c r="T34" s="1031" t="s">
        <v>4756</v>
      </c>
      <c r="U34" s="525">
        <f t="shared" si="18"/>
        <v>76817342</v>
      </c>
      <c r="V34" s="525">
        <v>76817342</v>
      </c>
      <c r="W34" s="435" t="s">
        <v>1627</v>
      </c>
      <c r="X34" s="435" t="s">
        <v>1627</v>
      </c>
      <c r="Y34" s="435" t="s">
        <v>1627</v>
      </c>
      <c r="Z34" s="435" t="s">
        <v>1627</v>
      </c>
      <c r="AA34" s="435" t="s">
        <v>1627</v>
      </c>
      <c r="AB34" s="435"/>
      <c r="AC34" s="599"/>
      <c r="AD34" s="1031" t="s">
        <v>4756</v>
      </c>
      <c r="AE34" s="525">
        <f t="shared" si="17"/>
        <v>70398</v>
      </c>
      <c r="AF34" s="525">
        <v>70398</v>
      </c>
      <c r="AG34" s="435" t="s">
        <v>1627</v>
      </c>
      <c r="AH34" s="435" t="s">
        <v>1627</v>
      </c>
      <c r="AI34" s="435" t="s">
        <v>1627</v>
      </c>
      <c r="AJ34" s="435" t="s">
        <v>1627</v>
      </c>
      <c r="AK34" s="435" t="s">
        <v>1627</v>
      </c>
      <c r="AL34" s="599"/>
      <c r="AM34" s="599"/>
      <c r="AN34" s="585" t="s">
        <v>4760</v>
      </c>
      <c r="AO34" s="525">
        <f t="shared" si="16"/>
        <v>78208234</v>
      </c>
      <c r="AP34" s="525">
        <v>78208234</v>
      </c>
      <c r="AQ34" s="435" t="s">
        <v>1627</v>
      </c>
      <c r="AR34" s="435" t="s">
        <v>1627</v>
      </c>
      <c r="AS34" s="435" t="s">
        <v>1627</v>
      </c>
      <c r="AT34" s="435" t="s">
        <v>1627</v>
      </c>
      <c r="AU34" s="435" t="s">
        <v>1627</v>
      </c>
      <c r="AV34" s="435" t="s">
        <v>1627</v>
      </c>
      <c r="AW34" s="435" t="s">
        <v>1627</v>
      </c>
      <c r="AX34" s="599"/>
      <c r="AY34" s="599"/>
      <c r="AZ34" s="451" t="s">
        <v>4763</v>
      </c>
      <c r="BA34" s="525">
        <f t="shared" si="11"/>
        <v>9760164</v>
      </c>
      <c r="BB34" s="435" t="s">
        <v>1627</v>
      </c>
      <c r="BC34" s="435">
        <v>505539</v>
      </c>
      <c r="BD34" s="435" t="s">
        <v>1627</v>
      </c>
      <c r="BE34" s="435" t="s">
        <v>1627</v>
      </c>
      <c r="BF34" s="435" t="s">
        <v>1627</v>
      </c>
      <c r="BG34" s="435">
        <v>9254625</v>
      </c>
      <c r="BH34" s="599"/>
      <c r="BI34" s="599"/>
      <c r="BJ34" s="451" t="s">
        <v>4764</v>
      </c>
      <c r="BK34" s="525">
        <f t="shared" si="14"/>
        <v>250</v>
      </c>
      <c r="BL34" s="435" t="s">
        <v>1627</v>
      </c>
      <c r="BM34" s="435" t="s">
        <v>1627</v>
      </c>
      <c r="BN34" s="862">
        <v>250</v>
      </c>
      <c r="BO34" s="435" t="s">
        <v>1627</v>
      </c>
      <c r="BP34" s="435" t="s">
        <v>1627</v>
      </c>
      <c r="BQ34" s="435" t="s">
        <v>1627</v>
      </c>
      <c r="BR34" s="435"/>
      <c r="BS34" s="599"/>
      <c r="BT34" s="451" t="s">
        <v>4765</v>
      </c>
      <c r="BU34" s="525">
        <f t="shared" si="12"/>
        <v>15000000</v>
      </c>
      <c r="BV34" s="862" t="s">
        <v>1627</v>
      </c>
      <c r="BW34" s="435" t="s">
        <v>1627</v>
      </c>
      <c r="BX34" s="435">
        <v>15000000</v>
      </c>
      <c r="BY34" s="862" t="s">
        <v>1627</v>
      </c>
      <c r="BZ34" s="435" t="s">
        <v>1627</v>
      </c>
      <c r="CA34" s="435" t="s">
        <v>1627</v>
      </c>
      <c r="CB34" s="435" t="s">
        <v>1627</v>
      </c>
      <c r="CC34" s="435" t="s">
        <v>1627</v>
      </c>
      <c r="CD34" s="599"/>
      <c r="CE34" s="599"/>
      <c r="CG34" s="599"/>
      <c r="CH34" s="599"/>
      <c r="CI34" s="599"/>
      <c r="CJ34" s="599"/>
      <c r="CK34" s="599"/>
      <c r="CL34" s="599"/>
      <c r="CM34" s="599"/>
      <c r="CN34" s="599"/>
      <c r="CO34" s="599"/>
      <c r="CP34" s="599"/>
      <c r="CQ34" s="599"/>
      <c r="CR34" s="599"/>
      <c r="DM34" s="525"/>
      <c r="DN34" s="525"/>
      <c r="DO34" s="525"/>
      <c r="DP34" s="525"/>
      <c r="DQ34" s="525"/>
      <c r="EB34" s="612"/>
      <c r="EC34" s="612"/>
      <c r="ED34" s="612"/>
      <c r="EE34" s="612"/>
      <c r="EF34" s="612"/>
      <c r="EG34" s="612"/>
      <c r="EH34" s="612"/>
      <c r="EI34" s="612"/>
      <c r="EJ34" s="1028"/>
    </row>
    <row r="35" spans="1:170">
      <c r="A35" s="624"/>
      <c r="K35" s="451" t="s">
        <v>4766</v>
      </c>
      <c r="L35" s="463">
        <v>4393680</v>
      </c>
      <c r="M35" s="463">
        <v>4394</v>
      </c>
      <c r="N35" s="463">
        <v>4408433</v>
      </c>
      <c r="O35" s="463">
        <v>4408747</v>
      </c>
      <c r="P35" s="463">
        <v>4531673</v>
      </c>
      <c r="Q35" s="463">
        <v>4531673</v>
      </c>
      <c r="R35" s="463"/>
      <c r="S35" s="463"/>
      <c r="T35" s="585" t="s">
        <v>4760</v>
      </c>
      <c r="U35" s="525">
        <f t="shared" si="18"/>
        <v>59471927</v>
      </c>
      <c r="V35" s="525">
        <v>59471927</v>
      </c>
      <c r="W35" s="435" t="s">
        <v>1627</v>
      </c>
      <c r="X35" s="435" t="s">
        <v>1627</v>
      </c>
      <c r="Y35" s="435" t="s">
        <v>1627</v>
      </c>
      <c r="Z35" s="435" t="s">
        <v>1627</v>
      </c>
      <c r="AA35" s="435" t="s">
        <v>1627</v>
      </c>
      <c r="AB35" s="463"/>
      <c r="AC35" s="525"/>
      <c r="AD35" s="585" t="s">
        <v>4760</v>
      </c>
      <c r="AE35" s="525">
        <f t="shared" si="17"/>
        <v>85660</v>
      </c>
      <c r="AF35" s="525">
        <v>85660</v>
      </c>
      <c r="AG35" s="435" t="s">
        <v>1627</v>
      </c>
      <c r="AH35" s="435" t="s">
        <v>1627</v>
      </c>
      <c r="AI35" s="435" t="s">
        <v>1627</v>
      </c>
      <c r="AJ35" s="435" t="s">
        <v>1627</v>
      </c>
      <c r="AK35" s="435" t="s">
        <v>1627</v>
      </c>
      <c r="AL35" s="525"/>
      <c r="AM35" s="525"/>
      <c r="AN35" s="524" t="s">
        <v>4767</v>
      </c>
      <c r="AO35" s="525">
        <f t="shared" si="16"/>
        <v>17941366</v>
      </c>
      <c r="AP35" s="525">
        <v>14800566</v>
      </c>
      <c r="AQ35" s="435" t="s">
        <v>1627</v>
      </c>
      <c r="AR35" s="435">
        <v>3140800</v>
      </c>
      <c r="AS35" s="435" t="s">
        <v>1627</v>
      </c>
      <c r="AT35" s="435" t="s">
        <v>1627</v>
      </c>
      <c r="AU35" s="435" t="s">
        <v>1627</v>
      </c>
      <c r="AV35" s="435" t="s">
        <v>1627</v>
      </c>
      <c r="AW35" s="435" t="s">
        <v>1627</v>
      </c>
      <c r="AX35" s="525"/>
      <c r="AY35" s="525"/>
      <c r="AZ35" s="451" t="s">
        <v>4761</v>
      </c>
      <c r="BA35" s="525">
        <f t="shared" si="11"/>
        <v>39998426</v>
      </c>
      <c r="BB35" s="525">
        <v>26259541</v>
      </c>
      <c r="BC35" s="435">
        <v>13738885</v>
      </c>
      <c r="BD35" s="435" t="s">
        <v>1627</v>
      </c>
      <c r="BE35" s="435" t="s">
        <v>1627</v>
      </c>
      <c r="BF35" s="435" t="s">
        <v>1627</v>
      </c>
      <c r="BG35" s="435" t="s">
        <v>1627</v>
      </c>
      <c r="BH35" s="525"/>
      <c r="BI35" s="525"/>
      <c r="BJ35" s="451" t="s">
        <v>4763</v>
      </c>
      <c r="BK35" s="525">
        <f t="shared" si="14"/>
        <v>17000</v>
      </c>
      <c r="BL35" s="435" t="s">
        <v>1627</v>
      </c>
      <c r="BM35" s="435" t="s">
        <v>1627</v>
      </c>
      <c r="BN35" s="862">
        <v>17000</v>
      </c>
      <c r="BO35" s="435" t="s">
        <v>1627</v>
      </c>
      <c r="BP35" s="435" t="s">
        <v>1627</v>
      </c>
      <c r="BQ35" s="435" t="s">
        <v>1627</v>
      </c>
      <c r="BR35" s="435"/>
      <c r="BS35" s="525"/>
      <c r="BT35" s="451" t="s">
        <v>4768</v>
      </c>
      <c r="BU35" s="525">
        <f t="shared" si="12"/>
        <v>225827</v>
      </c>
      <c r="BV35" s="435" t="s">
        <v>1627</v>
      </c>
      <c r="BW35" s="435" t="s">
        <v>1627</v>
      </c>
      <c r="BX35" s="435" t="s">
        <v>1627</v>
      </c>
      <c r="BY35" s="862" t="s">
        <v>1627</v>
      </c>
      <c r="BZ35" s="435">
        <v>225827</v>
      </c>
      <c r="CA35" s="435" t="s">
        <v>1627</v>
      </c>
      <c r="CB35" s="435" t="s">
        <v>1627</v>
      </c>
      <c r="CC35" s="435" t="s">
        <v>1627</v>
      </c>
      <c r="CD35" s="525"/>
      <c r="CE35" s="525"/>
      <c r="CG35" s="599"/>
      <c r="CH35" s="599"/>
      <c r="CI35" s="599"/>
      <c r="CJ35" s="743"/>
      <c r="CK35" s="743"/>
      <c r="CL35" s="743"/>
      <c r="CM35" s="743"/>
      <c r="CN35" s="1003"/>
      <c r="CO35" s="599"/>
      <c r="CP35" s="599"/>
      <c r="CQ35" s="743"/>
      <c r="CR35" s="599"/>
      <c r="DP35" s="525"/>
      <c r="DQ35" s="525"/>
      <c r="DR35" s="525"/>
      <c r="DS35" s="525"/>
      <c r="DT35" s="525"/>
      <c r="DU35" s="525"/>
      <c r="DV35" s="525"/>
      <c r="DW35" s="525"/>
      <c r="DX35" s="525"/>
      <c r="DY35" s="525"/>
      <c r="DZ35" s="525"/>
      <c r="EB35" s="612"/>
      <c r="EC35" s="612"/>
      <c r="ED35" s="612"/>
      <c r="EE35" s="612"/>
      <c r="EF35" s="612"/>
      <c r="EG35" s="612"/>
      <c r="EH35" s="612"/>
      <c r="EI35" s="612"/>
    </row>
    <row r="36" spans="1:170">
      <c r="K36" s="585" t="s">
        <v>4769</v>
      </c>
      <c r="L36" s="525">
        <v>27844631</v>
      </c>
      <c r="M36" s="525">
        <v>17506</v>
      </c>
      <c r="N36" s="525">
        <v>18984354</v>
      </c>
      <c r="O36" s="525">
        <v>18416989</v>
      </c>
      <c r="P36" s="525">
        <v>15235933</v>
      </c>
      <c r="Q36" s="525">
        <v>14748088</v>
      </c>
      <c r="R36" s="525"/>
      <c r="S36" s="525"/>
      <c r="T36" s="524" t="s">
        <v>4767</v>
      </c>
      <c r="U36" s="525">
        <f t="shared" si="18"/>
        <v>14400</v>
      </c>
      <c r="V36" s="435" t="s">
        <v>1627</v>
      </c>
      <c r="W36" s="435" t="s">
        <v>1627</v>
      </c>
      <c r="X36" s="435">
        <v>14400</v>
      </c>
      <c r="Y36" s="435" t="s">
        <v>1627</v>
      </c>
      <c r="Z36" s="435" t="s">
        <v>1627</v>
      </c>
      <c r="AA36" s="435" t="s">
        <v>1627</v>
      </c>
      <c r="AB36" s="525"/>
      <c r="AC36" s="525"/>
      <c r="AD36" s="524" t="s">
        <v>4767</v>
      </c>
      <c r="AE36" s="525">
        <f t="shared" si="17"/>
        <v>19312</v>
      </c>
      <c r="AF36" s="525">
        <v>19298</v>
      </c>
      <c r="AG36" s="435" t="s">
        <v>1627</v>
      </c>
      <c r="AH36" s="435">
        <v>14</v>
      </c>
      <c r="AI36" s="435" t="s">
        <v>1627</v>
      </c>
      <c r="AJ36" s="435" t="s">
        <v>1627</v>
      </c>
      <c r="AK36" s="435" t="s">
        <v>1627</v>
      </c>
      <c r="AL36" s="525"/>
      <c r="AM36" s="525"/>
      <c r="AN36" s="451" t="s">
        <v>4770</v>
      </c>
      <c r="AO36" s="525">
        <f t="shared" si="16"/>
        <v>4408433</v>
      </c>
      <c r="AP36" s="525">
        <v>4408433</v>
      </c>
      <c r="AQ36" s="435" t="s">
        <v>1627</v>
      </c>
      <c r="AR36" s="435" t="s">
        <v>1627</v>
      </c>
      <c r="AS36" s="435" t="s">
        <v>1627</v>
      </c>
      <c r="AT36" s="435" t="s">
        <v>1627</v>
      </c>
      <c r="AU36" s="435" t="s">
        <v>1627</v>
      </c>
      <c r="AV36" s="435" t="s">
        <v>1627</v>
      </c>
      <c r="AW36" s="435" t="s">
        <v>1627</v>
      </c>
      <c r="AX36" s="525"/>
      <c r="AY36" s="525"/>
      <c r="AZ36" s="451" t="s">
        <v>4765</v>
      </c>
      <c r="BA36" s="525">
        <f t="shared" si="11"/>
        <v>63220100</v>
      </c>
      <c r="BB36" s="862">
        <v>63220100</v>
      </c>
      <c r="BC36" s="435" t="s">
        <v>1627</v>
      </c>
      <c r="BD36" s="435" t="s">
        <v>1627</v>
      </c>
      <c r="BE36" s="435" t="s">
        <v>1627</v>
      </c>
      <c r="BF36" s="435" t="s">
        <v>1627</v>
      </c>
      <c r="BG36" s="435" t="s">
        <v>1627</v>
      </c>
      <c r="BH36" s="525"/>
      <c r="BI36" s="525"/>
      <c r="BJ36" s="451" t="s">
        <v>4761</v>
      </c>
      <c r="BK36" s="525">
        <f t="shared" si="14"/>
        <v>42263</v>
      </c>
      <c r="BL36" s="525">
        <v>21485</v>
      </c>
      <c r="BM36" s="435">
        <v>2478</v>
      </c>
      <c r="BN36" s="435">
        <v>18300</v>
      </c>
      <c r="BO36" s="435" t="s">
        <v>1627</v>
      </c>
      <c r="BP36" s="435" t="s">
        <v>1627</v>
      </c>
      <c r="BQ36" s="435" t="s">
        <v>1627</v>
      </c>
      <c r="BR36" s="435"/>
      <c r="BS36" s="525"/>
      <c r="BT36" s="451" t="s">
        <v>4771</v>
      </c>
      <c r="BU36" s="525">
        <f t="shared" si="12"/>
        <v>408000</v>
      </c>
      <c r="BV36" s="435" t="s">
        <v>1627</v>
      </c>
      <c r="BW36" s="435" t="s">
        <v>1627</v>
      </c>
      <c r="BX36" s="435" t="s">
        <v>1627</v>
      </c>
      <c r="BY36" s="862" t="s">
        <v>1627</v>
      </c>
      <c r="BZ36" s="435" t="s">
        <v>1627</v>
      </c>
      <c r="CA36" s="435" t="s">
        <v>1627</v>
      </c>
      <c r="CB36" s="435" t="s">
        <v>1627</v>
      </c>
      <c r="CC36" s="435">
        <v>408000</v>
      </c>
      <c r="CD36" s="525"/>
      <c r="CE36" s="525"/>
      <c r="CG36" s="599"/>
      <c r="CH36" s="599"/>
      <c r="CI36" s="599"/>
      <c r="CJ36" s="599"/>
      <c r="CK36" s="599"/>
      <c r="CL36" s="599"/>
      <c r="CM36" s="599"/>
      <c r="CN36" s="599"/>
      <c r="CO36" s="743"/>
      <c r="CP36" s="599"/>
      <c r="CQ36" s="743"/>
      <c r="CR36" s="599"/>
      <c r="CS36" s="623"/>
      <c r="CT36" s="623"/>
      <c r="CU36" s="623"/>
      <c r="CV36" s="623"/>
      <c r="CW36" s="623"/>
      <c r="CX36" s="623"/>
      <c r="CY36" s="623"/>
      <c r="CZ36" s="623"/>
      <c r="DA36" s="623"/>
      <c r="DB36" s="623"/>
      <c r="DC36" s="623"/>
      <c r="DD36" s="623"/>
      <c r="DE36" s="623"/>
      <c r="DF36" s="623"/>
      <c r="DG36" s="623"/>
      <c r="DH36" s="623"/>
      <c r="DP36" s="525"/>
      <c r="DQ36" s="525"/>
      <c r="EB36" s="1028"/>
      <c r="EC36" s="1028"/>
      <c r="ED36" s="1028"/>
      <c r="EE36" s="1028"/>
      <c r="EF36" s="1028"/>
      <c r="EG36" s="1028"/>
      <c r="EH36" s="1028"/>
      <c r="EI36" s="1028"/>
      <c r="EJ36" s="382"/>
    </row>
    <row r="37" spans="1:170">
      <c r="R37" s="525"/>
      <c r="S37" s="525"/>
      <c r="T37" s="451" t="s">
        <v>4770</v>
      </c>
      <c r="U37" s="525">
        <f t="shared" si="18"/>
        <v>4393680</v>
      </c>
      <c r="V37" s="525">
        <v>4393680</v>
      </c>
      <c r="W37" s="435" t="s">
        <v>1627</v>
      </c>
      <c r="X37" s="435" t="s">
        <v>1627</v>
      </c>
      <c r="Y37" s="435" t="s">
        <v>1627</v>
      </c>
      <c r="Z37" s="435" t="s">
        <v>1627</v>
      </c>
      <c r="AA37" s="435" t="s">
        <v>1627</v>
      </c>
      <c r="AB37" s="525"/>
      <c r="AC37" s="525"/>
      <c r="AD37" s="451" t="s">
        <v>4770</v>
      </c>
      <c r="AE37" s="525">
        <f t="shared" si="17"/>
        <v>4394</v>
      </c>
      <c r="AF37" s="525">
        <v>4394</v>
      </c>
      <c r="AG37" s="435" t="s">
        <v>1627</v>
      </c>
      <c r="AH37" s="435" t="s">
        <v>1627</v>
      </c>
      <c r="AI37" s="435" t="s">
        <v>1627</v>
      </c>
      <c r="AJ37" s="435" t="s">
        <v>1627</v>
      </c>
      <c r="AK37" s="435" t="s">
        <v>1627</v>
      </c>
      <c r="AL37" s="525"/>
      <c r="AM37" s="525"/>
      <c r="AN37" s="585" t="s">
        <v>4772</v>
      </c>
      <c r="AO37" s="525">
        <f t="shared" si="16"/>
        <v>25822464</v>
      </c>
      <c r="AP37" s="525">
        <v>18984354</v>
      </c>
      <c r="AQ37" s="435" t="s">
        <v>1627</v>
      </c>
      <c r="AR37" s="435" t="s">
        <v>1627</v>
      </c>
      <c r="AS37" s="435" t="s">
        <v>1627</v>
      </c>
      <c r="AT37" s="435" t="s">
        <v>1627</v>
      </c>
      <c r="AU37" s="435">
        <v>4749001</v>
      </c>
      <c r="AV37" s="435" t="s">
        <v>1627</v>
      </c>
      <c r="AW37" s="862">
        <v>2089109</v>
      </c>
      <c r="AX37" s="525"/>
      <c r="AY37" s="525"/>
      <c r="AZ37" s="451" t="s">
        <v>4771</v>
      </c>
      <c r="BA37" s="525">
        <f t="shared" si="11"/>
        <v>1050000</v>
      </c>
      <c r="BB37" s="435" t="s">
        <v>1627</v>
      </c>
      <c r="BC37" s="435" t="s">
        <v>1627</v>
      </c>
      <c r="BD37" s="435" t="s">
        <v>1627</v>
      </c>
      <c r="BE37" s="435" t="s">
        <v>1627</v>
      </c>
      <c r="BF37" s="435" t="s">
        <v>1627</v>
      </c>
      <c r="BG37" s="435">
        <v>1050000</v>
      </c>
      <c r="BH37" s="525"/>
      <c r="BI37" s="525"/>
      <c r="BJ37" s="451" t="s">
        <v>4765</v>
      </c>
      <c r="BK37" s="525">
        <f t="shared" si="14"/>
        <v>15829</v>
      </c>
      <c r="BL37" s="862">
        <v>15829</v>
      </c>
      <c r="BM37" s="435" t="s">
        <v>1627</v>
      </c>
      <c r="BN37" s="435" t="s">
        <v>1627</v>
      </c>
      <c r="BO37" s="435" t="s">
        <v>1627</v>
      </c>
      <c r="BP37" s="435" t="s">
        <v>1627</v>
      </c>
      <c r="BQ37" s="435" t="s">
        <v>1627</v>
      </c>
      <c r="BR37" s="525"/>
      <c r="BS37" s="525"/>
      <c r="BT37" s="451" t="s">
        <v>4773</v>
      </c>
      <c r="BU37" s="525">
        <f t="shared" si="12"/>
        <v>5539420</v>
      </c>
      <c r="BV37" s="435" t="s">
        <v>1627</v>
      </c>
      <c r="BW37" s="435">
        <v>215171</v>
      </c>
      <c r="BX37" s="435" t="s">
        <v>1627</v>
      </c>
      <c r="BY37" s="862" t="s">
        <v>1627</v>
      </c>
      <c r="BZ37" s="435" t="s">
        <v>1627</v>
      </c>
      <c r="CA37" s="435" t="s">
        <v>1627</v>
      </c>
      <c r="CB37" s="435" t="s">
        <v>1627</v>
      </c>
      <c r="CC37" s="525">
        <v>5324249</v>
      </c>
      <c r="CD37" s="525"/>
      <c r="CE37" s="525"/>
      <c r="CG37" s="599"/>
      <c r="CH37" s="599"/>
      <c r="CI37" s="599"/>
      <c r="CJ37" s="599"/>
      <c r="CK37" s="599"/>
      <c r="CL37" s="599"/>
      <c r="CM37" s="599"/>
      <c r="CN37" s="599"/>
      <c r="CO37" s="599"/>
      <c r="CP37" s="599"/>
      <c r="CQ37" s="743"/>
      <c r="CR37" s="599"/>
      <c r="DQ37" s="525"/>
      <c r="DR37" s="525"/>
      <c r="DS37" s="525"/>
      <c r="DT37" s="525"/>
      <c r="DU37" s="525"/>
      <c r="DV37" s="525"/>
      <c r="DW37" s="525"/>
      <c r="DX37" s="525"/>
      <c r="DY37" s="525"/>
      <c r="DZ37" s="525"/>
    </row>
    <row r="38" spans="1:170">
      <c r="K38" s="588" t="s">
        <v>4774</v>
      </c>
      <c r="L38" s="1027">
        <v>412668367</v>
      </c>
      <c r="M38" s="1027">
        <v>401385</v>
      </c>
      <c r="N38" s="1027">
        <f>SUM(N27:N36)</f>
        <v>432851874</v>
      </c>
      <c r="O38" s="1027">
        <f>SUM(O27:O36)</f>
        <v>396787602</v>
      </c>
      <c r="P38" s="1027">
        <f>SUM(P27:P36)</f>
        <v>336367762</v>
      </c>
      <c r="Q38" s="1027">
        <f>SUM(Q27:Q36)</f>
        <v>341884962</v>
      </c>
      <c r="R38" s="525"/>
      <c r="S38" s="525"/>
      <c r="T38" s="585" t="s">
        <v>4772</v>
      </c>
      <c r="U38" s="525">
        <f t="shared" si="18"/>
        <v>33901801</v>
      </c>
      <c r="V38" s="525">
        <v>27844631</v>
      </c>
      <c r="W38" s="435" t="s">
        <v>1627</v>
      </c>
      <c r="X38" s="435">
        <v>288892</v>
      </c>
      <c r="Y38" s="435">
        <v>2062473</v>
      </c>
      <c r="Z38" s="435" t="s">
        <v>1627</v>
      </c>
      <c r="AA38" s="862">
        <v>3705805</v>
      </c>
      <c r="AB38" s="525"/>
      <c r="AC38" s="435"/>
      <c r="AD38" s="585" t="s">
        <v>4772</v>
      </c>
      <c r="AE38" s="525">
        <f t="shared" si="17"/>
        <v>21125</v>
      </c>
      <c r="AF38" s="525">
        <v>17506</v>
      </c>
      <c r="AG38" s="435" t="s">
        <v>1627</v>
      </c>
      <c r="AH38" s="435">
        <v>326</v>
      </c>
      <c r="AI38" s="435" t="s">
        <v>1627</v>
      </c>
      <c r="AJ38" s="435" t="s">
        <v>1627</v>
      </c>
      <c r="AK38" s="862">
        <v>3293</v>
      </c>
      <c r="AL38" s="435"/>
      <c r="AM38" s="435"/>
      <c r="AO38" s="525"/>
      <c r="AP38" s="525"/>
      <c r="AQ38" s="525"/>
      <c r="AR38" s="525"/>
      <c r="AS38" s="525"/>
      <c r="AT38" s="525"/>
      <c r="AU38" s="463"/>
      <c r="AV38" s="633"/>
      <c r="AW38" s="525"/>
      <c r="AX38" s="435"/>
      <c r="AY38" s="435"/>
      <c r="AZ38" s="451" t="s">
        <v>4773</v>
      </c>
      <c r="BA38" s="525">
        <f t="shared" si="11"/>
        <v>26731258</v>
      </c>
      <c r="BB38" s="435">
        <v>5814293</v>
      </c>
      <c r="BC38" s="435">
        <v>26922</v>
      </c>
      <c r="BD38" s="435" t="s">
        <v>1627</v>
      </c>
      <c r="BE38" s="435" t="s">
        <v>1627</v>
      </c>
      <c r="BF38" s="435" t="s">
        <v>1627</v>
      </c>
      <c r="BG38" s="525">
        <v>20890043</v>
      </c>
      <c r="BH38" s="435"/>
      <c r="BI38" s="435"/>
      <c r="BJ38" s="451" t="s">
        <v>4771</v>
      </c>
      <c r="BK38" s="525">
        <f t="shared" si="14"/>
        <v>4435</v>
      </c>
      <c r="BL38" s="435" t="s">
        <v>1627</v>
      </c>
      <c r="BM38" s="435" t="s">
        <v>1627</v>
      </c>
      <c r="BN38" s="435" t="s">
        <v>1627</v>
      </c>
      <c r="BO38" s="435" t="s">
        <v>1627</v>
      </c>
      <c r="BP38" s="435" t="s">
        <v>1627</v>
      </c>
      <c r="BQ38" s="435">
        <v>4435</v>
      </c>
      <c r="BR38" s="435"/>
      <c r="BS38" s="435"/>
      <c r="BT38" s="451" t="s">
        <v>4775</v>
      </c>
      <c r="BU38" s="525">
        <f t="shared" si="12"/>
        <v>1101847</v>
      </c>
      <c r="BV38" s="435" t="s">
        <v>1627</v>
      </c>
      <c r="BW38" s="435">
        <v>103210</v>
      </c>
      <c r="BX38" s="435" t="s">
        <v>1627</v>
      </c>
      <c r="BY38" s="862" t="s">
        <v>1627</v>
      </c>
      <c r="BZ38" s="435">
        <v>998637</v>
      </c>
      <c r="CA38" s="435" t="s">
        <v>1627</v>
      </c>
      <c r="CB38" s="435" t="s">
        <v>1627</v>
      </c>
      <c r="CC38" s="435" t="s">
        <v>1627</v>
      </c>
      <c r="CD38" s="435"/>
      <c r="CE38" s="525"/>
      <c r="CG38" s="599"/>
      <c r="CH38" s="599"/>
      <c r="CI38" s="599"/>
      <c r="CJ38" s="599"/>
      <c r="CK38" s="599"/>
      <c r="CL38" s="599"/>
      <c r="CM38" s="599"/>
      <c r="CN38" s="599"/>
      <c r="CO38" s="599"/>
      <c r="CP38" s="599"/>
      <c r="CQ38" s="743"/>
      <c r="CR38" s="599"/>
      <c r="DP38" s="525"/>
      <c r="DQ38" s="525"/>
      <c r="DR38" s="525"/>
      <c r="DS38" s="525"/>
      <c r="DT38" s="525"/>
      <c r="DU38" s="525"/>
      <c r="DV38" s="525"/>
      <c r="DW38" s="525"/>
      <c r="DX38" s="525"/>
      <c r="DY38" s="525"/>
      <c r="DZ38" s="525"/>
      <c r="EB38" s="382"/>
      <c r="EC38" s="382"/>
      <c r="ED38" s="382"/>
      <c r="EE38" s="382"/>
      <c r="EF38" s="382"/>
      <c r="EG38" s="382"/>
      <c r="EH38" s="382"/>
      <c r="EI38" s="382"/>
    </row>
    <row r="39" spans="1:170">
      <c r="U39" s="525"/>
      <c r="V39" s="525"/>
      <c r="W39" s="525"/>
      <c r="X39" s="525"/>
      <c r="Y39" s="463"/>
      <c r="Z39" s="633"/>
      <c r="AA39" s="525"/>
      <c r="AC39" s="525"/>
      <c r="AE39" s="525"/>
      <c r="AF39" s="525"/>
      <c r="AG39" s="525"/>
      <c r="AH39" s="525"/>
      <c r="AI39" s="463"/>
      <c r="AJ39" s="633"/>
      <c r="AK39" s="525"/>
      <c r="AL39" s="525"/>
      <c r="AM39" s="525"/>
      <c r="AN39" s="588" t="s">
        <v>4774</v>
      </c>
      <c r="AO39" s="1027">
        <f t="shared" ref="AO39:AW39" si="19">SUM(AO28:AO37)</f>
        <v>1096933245</v>
      </c>
      <c r="AP39" s="1027">
        <f t="shared" si="19"/>
        <v>432851874</v>
      </c>
      <c r="AQ39" s="1027">
        <f t="shared" si="19"/>
        <v>60857422</v>
      </c>
      <c r="AR39" s="1027">
        <f t="shared" si="19"/>
        <v>485336153</v>
      </c>
      <c r="AS39" s="1027">
        <f t="shared" si="19"/>
        <v>29207240</v>
      </c>
      <c r="AT39" s="1027">
        <f t="shared" si="19"/>
        <v>435821</v>
      </c>
      <c r="AU39" s="1027">
        <f t="shared" si="19"/>
        <v>24430335</v>
      </c>
      <c r="AV39" s="556" t="s">
        <v>1627</v>
      </c>
      <c r="AW39" s="1027">
        <f t="shared" si="19"/>
        <v>63814400</v>
      </c>
      <c r="AX39" s="525"/>
      <c r="AY39" s="525"/>
      <c r="AZ39" s="451" t="s">
        <v>4768</v>
      </c>
      <c r="BA39" s="525">
        <f t="shared" si="11"/>
        <v>23037400</v>
      </c>
      <c r="BB39" s="435">
        <v>2000000</v>
      </c>
      <c r="BC39" s="435" t="s">
        <v>1627</v>
      </c>
      <c r="BD39" s="435">
        <v>21037400</v>
      </c>
      <c r="BE39" s="435" t="s">
        <v>1627</v>
      </c>
      <c r="BF39" s="435" t="s">
        <v>1627</v>
      </c>
      <c r="BG39" s="463" t="s">
        <v>1627</v>
      </c>
      <c r="BH39" s="525"/>
      <c r="BI39" s="525"/>
      <c r="BJ39" s="451" t="s">
        <v>4773</v>
      </c>
      <c r="BK39" s="525">
        <f t="shared" si="14"/>
        <v>34915</v>
      </c>
      <c r="BL39" s="435" t="s">
        <v>1627</v>
      </c>
      <c r="BM39" s="435">
        <v>387</v>
      </c>
      <c r="BN39" s="435">
        <v>20000</v>
      </c>
      <c r="BO39" s="435" t="s">
        <v>1627</v>
      </c>
      <c r="BP39" s="435" t="s">
        <v>1627</v>
      </c>
      <c r="BQ39" s="525">
        <v>14528</v>
      </c>
      <c r="BR39" s="525"/>
      <c r="BS39" s="525"/>
      <c r="BT39" s="451" t="s">
        <v>4776</v>
      </c>
      <c r="BU39" s="525">
        <f t="shared" si="12"/>
        <v>32715489</v>
      </c>
      <c r="BV39" s="862">
        <v>30020833</v>
      </c>
      <c r="BW39" s="435">
        <v>387442</v>
      </c>
      <c r="BX39" s="435" t="s">
        <v>1627</v>
      </c>
      <c r="BY39" s="862" t="s">
        <v>1627</v>
      </c>
      <c r="BZ39" s="435">
        <v>214770</v>
      </c>
      <c r="CA39" s="435" t="s">
        <v>1627</v>
      </c>
      <c r="CB39" s="435" t="s">
        <v>1627</v>
      </c>
      <c r="CC39" s="525">
        <v>2092444</v>
      </c>
      <c r="CD39" s="525"/>
      <c r="CG39" s="599"/>
      <c r="CH39" s="599"/>
      <c r="CI39" s="599"/>
      <c r="CJ39" s="599"/>
      <c r="CK39" s="743"/>
      <c r="CL39" s="743"/>
      <c r="CM39" s="599"/>
      <c r="CN39" s="599"/>
      <c r="CO39" s="599"/>
      <c r="CP39" s="599"/>
      <c r="CQ39" s="743"/>
      <c r="CR39" s="599"/>
      <c r="DP39" s="525"/>
      <c r="DQ39" s="525"/>
      <c r="DR39" s="525"/>
      <c r="DS39" s="525"/>
      <c r="DT39" s="525"/>
      <c r="DU39" s="525"/>
      <c r="DV39" s="525"/>
      <c r="DW39" s="525"/>
      <c r="DX39" s="525"/>
      <c r="DY39" s="525"/>
      <c r="DZ39" s="525"/>
    </row>
    <row r="40" spans="1:170">
      <c r="D40" s="1009"/>
      <c r="E40" s="1009"/>
      <c r="K40" s="585" t="s">
        <v>4777</v>
      </c>
      <c r="T40" s="588" t="s">
        <v>4774</v>
      </c>
      <c r="U40" s="1027">
        <f>SUM(U29:U38)</f>
        <v>870507219</v>
      </c>
      <c r="V40" s="1027">
        <f t="shared" ref="V40:Y40" si="20">SUM(V29:V38)</f>
        <v>412668367</v>
      </c>
      <c r="W40" s="1027">
        <f t="shared" si="20"/>
        <v>112033520</v>
      </c>
      <c r="X40" s="1027">
        <f t="shared" si="20"/>
        <v>240849419</v>
      </c>
      <c r="Y40" s="1027">
        <f t="shared" si="20"/>
        <v>28232516</v>
      </c>
      <c r="Z40" s="556" t="s">
        <v>1627</v>
      </c>
      <c r="AA40" s="1027">
        <f>SUM(AA29:AA38)</f>
        <v>76723397</v>
      </c>
      <c r="AC40" s="599"/>
      <c r="AD40" s="588" t="s">
        <v>4774</v>
      </c>
      <c r="AE40" s="1027">
        <v>935700</v>
      </c>
      <c r="AF40" s="1027">
        <f t="shared" ref="AF40:AI40" si="21">SUM(AF29:AF38)</f>
        <v>401385</v>
      </c>
      <c r="AG40" s="1027">
        <v>77742</v>
      </c>
      <c r="AH40" s="1027">
        <f t="shared" si="21"/>
        <v>345196</v>
      </c>
      <c r="AI40" s="1027">
        <f t="shared" si="21"/>
        <v>40657</v>
      </c>
      <c r="AJ40" s="556" t="s">
        <v>1627</v>
      </c>
      <c r="AK40" s="1027">
        <v>70719</v>
      </c>
      <c r="AL40" s="599"/>
      <c r="AM40" s="599"/>
      <c r="AN40" s="382" t="s">
        <v>4778</v>
      </c>
      <c r="AO40" s="525"/>
      <c r="AP40" s="525"/>
      <c r="AQ40" s="525"/>
      <c r="AR40" s="525"/>
      <c r="AS40" s="525"/>
      <c r="AT40" s="525"/>
      <c r="AU40" s="525"/>
      <c r="AV40" s="525"/>
      <c r="AW40" s="525"/>
      <c r="AX40" s="599"/>
      <c r="AY40" s="599"/>
      <c r="AZ40" s="451" t="s">
        <v>4775</v>
      </c>
      <c r="BA40" s="525">
        <f t="shared" si="11"/>
        <v>14861</v>
      </c>
      <c r="BB40" s="435" t="s">
        <v>1627</v>
      </c>
      <c r="BC40" s="435">
        <v>14861</v>
      </c>
      <c r="BD40" s="435" t="s">
        <v>1627</v>
      </c>
      <c r="BE40" s="435" t="s">
        <v>1627</v>
      </c>
      <c r="BF40" s="435" t="s">
        <v>1627</v>
      </c>
      <c r="BG40" s="435" t="s">
        <v>1627</v>
      </c>
      <c r="BH40" s="599"/>
      <c r="BI40" s="599"/>
      <c r="BJ40" s="451" t="s">
        <v>4775</v>
      </c>
      <c r="BK40" s="525">
        <f t="shared" si="14"/>
        <v>15000</v>
      </c>
      <c r="BL40" s="435" t="s">
        <v>1627</v>
      </c>
      <c r="BM40" s="435" t="s">
        <v>1627</v>
      </c>
      <c r="BN40" s="435">
        <v>15000</v>
      </c>
      <c r="BO40" s="435" t="s">
        <v>1627</v>
      </c>
      <c r="BP40" s="435" t="s">
        <v>1627</v>
      </c>
      <c r="BQ40" s="435" t="s">
        <v>1627</v>
      </c>
      <c r="BR40" s="862"/>
      <c r="BS40" s="599"/>
      <c r="BT40" s="585" t="s">
        <v>4779</v>
      </c>
      <c r="BU40" s="525">
        <f t="shared" si="12"/>
        <v>73917157</v>
      </c>
      <c r="BV40" s="862">
        <v>72438489</v>
      </c>
      <c r="BW40" s="435">
        <v>486618</v>
      </c>
      <c r="BX40" s="435" t="s">
        <v>1627</v>
      </c>
      <c r="BY40" s="862" t="s">
        <v>1627</v>
      </c>
      <c r="BZ40" s="435">
        <v>31910</v>
      </c>
      <c r="CA40" s="435" t="s">
        <v>1627</v>
      </c>
      <c r="CB40" s="435" t="s">
        <v>1627</v>
      </c>
      <c r="CC40" s="862">
        <v>960140</v>
      </c>
      <c r="CD40" s="599"/>
      <c r="CE40" s="525"/>
      <c r="CG40" s="599"/>
      <c r="CH40" s="599"/>
      <c r="CI40" s="599"/>
      <c r="CJ40" s="599"/>
      <c r="CK40" s="599"/>
      <c r="CL40" s="743"/>
      <c r="CM40" s="599"/>
      <c r="CN40" s="599"/>
      <c r="CO40" s="599"/>
      <c r="CP40" s="599"/>
      <c r="CQ40" s="743"/>
      <c r="CR40" s="599"/>
      <c r="DR40" s="525"/>
      <c r="DS40" s="525"/>
      <c r="DT40" s="525"/>
      <c r="DU40" s="525"/>
      <c r="DV40" s="525"/>
      <c r="DW40" s="525"/>
      <c r="DX40" s="525"/>
      <c r="DY40" s="525"/>
      <c r="DZ40" s="525"/>
      <c r="FI40" s="525"/>
      <c r="FJ40" s="525"/>
      <c r="FK40" s="525"/>
      <c r="FL40" s="525"/>
      <c r="FM40" s="525"/>
      <c r="FN40" s="525"/>
    </row>
    <row r="41" spans="1:170">
      <c r="C41" s="1009"/>
      <c r="D41" s="1009"/>
      <c r="E41" s="1009"/>
      <c r="T41" s="382" t="s">
        <v>4778</v>
      </c>
      <c r="U41" s="525"/>
      <c r="V41" s="525"/>
      <c r="W41" s="525"/>
      <c r="X41" s="525"/>
      <c r="Y41" s="525"/>
      <c r="Z41" s="525"/>
      <c r="AA41" s="525"/>
      <c r="AD41" s="382" t="s">
        <v>4778</v>
      </c>
      <c r="AE41" s="525"/>
      <c r="AF41" s="525"/>
      <c r="AG41" s="525"/>
      <c r="AH41" s="525"/>
      <c r="AI41" s="525"/>
      <c r="AJ41" s="525"/>
      <c r="AK41" s="525"/>
      <c r="AN41" s="892" t="s">
        <v>4780</v>
      </c>
      <c r="AO41" s="633">
        <f>SUM(AP41:AW41)</f>
        <v>975543</v>
      </c>
      <c r="AP41" s="556" t="s">
        <v>1627</v>
      </c>
      <c r="AQ41" s="556" t="s">
        <v>1627</v>
      </c>
      <c r="AR41" s="556" t="s">
        <v>1627</v>
      </c>
      <c r="AS41" s="556" t="s">
        <v>1627</v>
      </c>
      <c r="AT41" s="556" t="s">
        <v>1627</v>
      </c>
      <c r="AU41" s="556" t="s">
        <v>1627</v>
      </c>
      <c r="AV41" s="556" t="s">
        <v>1627</v>
      </c>
      <c r="AW41" s="633">
        <v>975543</v>
      </c>
      <c r="AZ41" s="451" t="s">
        <v>4776</v>
      </c>
      <c r="BA41" s="525">
        <f t="shared" si="11"/>
        <v>39692808</v>
      </c>
      <c r="BB41" s="862">
        <v>33069912</v>
      </c>
      <c r="BC41" s="435" t="s">
        <v>1627</v>
      </c>
      <c r="BD41" s="435">
        <v>1963866</v>
      </c>
      <c r="BE41" s="435" t="s">
        <v>1627</v>
      </c>
      <c r="BF41" s="435" t="s">
        <v>1627</v>
      </c>
      <c r="BG41" s="525">
        <v>4659030</v>
      </c>
      <c r="BJ41" s="451" t="s">
        <v>4776</v>
      </c>
      <c r="BK41" s="525">
        <v>34187</v>
      </c>
      <c r="BL41" s="862">
        <v>29671</v>
      </c>
      <c r="BM41" s="435">
        <v>51</v>
      </c>
      <c r="BN41" s="435">
        <v>25</v>
      </c>
      <c r="BO41" s="435" t="s">
        <v>1627</v>
      </c>
      <c r="BP41" s="435" t="s">
        <v>1627</v>
      </c>
      <c r="BQ41" s="525">
        <v>4441</v>
      </c>
      <c r="BR41" s="862"/>
      <c r="BT41" s="585" t="s">
        <v>4781</v>
      </c>
      <c r="BU41" s="525">
        <f t="shared" si="12"/>
        <v>12147144</v>
      </c>
      <c r="BV41" s="435" t="s">
        <v>1627</v>
      </c>
      <c r="BW41" s="862">
        <v>1083621</v>
      </c>
      <c r="BX41" s="435" t="s">
        <v>1627</v>
      </c>
      <c r="BY41" s="862" t="s">
        <v>1627</v>
      </c>
      <c r="BZ41" s="435" t="s">
        <v>1627</v>
      </c>
      <c r="CA41" s="435" t="s">
        <v>1627</v>
      </c>
      <c r="CB41" s="435" t="s">
        <v>1627</v>
      </c>
      <c r="CC41" s="862">
        <v>11063523</v>
      </c>
      <c r="CG41" s="599"/>
      <c r="CH41" s="599"/>
      <c r="CI41" s="599"/>
      <c r="CJ41" s="1014"/>
      <c r="CK41" s="1014"/>
      <c r="CL41" s="1014"/>
      <c r="CM41" s="1014"/>
      <c r="CN41" s="475"/>
      <c r="CO41" s="475"/>
      <c r="CP41" s="475"/>
      <c r="CQ41" s="751"/>
      <c r="CR41" s="1014"/>
      <c r="DP41" s="525"/>
      <c r="DQ41" s="525"/>
      <c r="DR41" s="525"/>
      <c r="DS41" s="525"/>
      <c r="DT41" s="525"/>
      <c r="DU41" s="525"/>
      <c r="DV41" s="525"/>
      <c r="DW41" s="525"/>
      <c r="DX41" s="525"/>
      <c r="DY41" s="525"/>
      <c r="DZ41" s="525"/>
    </row>
    <row r="42" spans="1:170">
      <c r="K42" s="451" t="s">
        <v>4782</v>
      </c>
      <c r="L42" s="463">
        <v>3961784</v>
      </c>
      <c r="M42" s="463">
        <v>2759</v>
      </c>
      <c r="N42" s="463">
        <v>2461744</v>
      </c>
      <c r="O42" s="463">
        <v>2285847</v>
      </c>
      <c r="P42" s="463">
        <v>2170056</v>
      </c>
      <c r="Q42" s="463">
        <v>3610374</v>
      </c>
      <c r="R42" s="463"/>
      <c r="S42" s="463"/>
      <c r="T42" s="612" t="s">
        <v>4783</v>
      </c>
      <c r="U42" s="525">
        <f>SUM(V42:AA42)</f>
        <v>15404518</v>
      </c>
      <c r="V42" s="435" t="s">
        <v>1627</v>
      </c>
      <c r="W42" s="435" t="s">
        <v>1627</v>
      </c>
      <c r="X42" s="435" t="s">
        <v>1627</v>
      </c>
      <c r="Y42" s="435" t="s">
        <v>1627</v>
      </c>
      <c r="Z42" s="435" t="s">
        <v>1627</v>
      </c>
      <c r="AA42" s="525">
        <v>15404518</v>
      </c>
      <c r="AB42" s="463"/>
      <c r="AC42" s="525"/>
      <c r="AD42" s="612" t="s">
        <v>4783</v>
      </c>
      <c r="AE42" s="525">
        <f>SUM(AF42:AK42)</f>
        <v>15713</v>
      </c>
      <c r="AF42" s="435" t="s">
        <v>1627</v>
      </c>
      <c r="AG42" s="435" t="s">
        <v>1627</v>
      </c>
      <c r="AH42" s="435" t="s">
        <v>1627</v>
      </c>
      <c r="AI42" s="435" t="s">
        <v>1627</v>
      </c>
      <c r="AJ42" s="435" t="s">
        <v>1627</v>
      </c>
      <c r="AK42" s="525">
        <v>15713</v>
      </c>
      <c r="AL42" s="525"/>
      <c r="AM42" s="525"/>
      <c r="AN42" s="1032" t="s">
        <v>4784</v>
      </c>
      <c r="AO42" s="525"/>
      <c r="AP42" s="525"/>
      <c r="AQ42" s="525"/>
      <c r="AR42" s="525"/>
      <c r="AS42" s="525"/>
      <c r="AT42" s="525"/>
      <c r="AU42" s="525"/>
      <c r="AV42" s="525"/>
      <c r="AW42" s="525"/>
      <c r="AX42" s="525"/>
      <c r="AY42" s="525"/>
      <c r="AZ42" s="585" t="s">
        <v>4779</v>
      </c>
      <c r="BA42" s="525">
        <f t="shared" si="11"/>
        <v>72020665</v>
      </c>
      <c r="BB42" s="862">
        <v>72020665</v>
      </c>
      <c r="BC42" s="435" t="s">
        <v>1627</v>
      </c>
      <c r="BD42" s="435" t="s">
        <v>1627</v>
      </c>
      <c r="BE42" s="435" t="s">
        <v>1627</v>
      </c>
      <c r="BF42" s="435" t="s">
        <v>1627</v>
      </c>
      <c r="BG42" s="435" t="s">
        <v>1627</v>
      </c>
      <c r="BH42" s="525"/>
      <c r="BI42" s="525"/>
      <c r="BJ42" s="585" t="s">
        <v>4779</v>
      </c>
      <c r="BK42" s="525">
        <v>90004</v>
      </c>
      <c r="BL42" s="862">
        <v>89941</v>
      </c>
      <c r="BM42" s="435">
        <v>46</v>
      </c>
      <c r="BN42" s="435">
        <v>3</v>
      </c>
      <c r="BO42" s="435" t="s">
        <v>1627</v>
      </c>
      <c r="BP42" s="435" t="s">
        <v>1627</v>
      </c>
      <c r="BQ42" s="862">
        <v>15</v>
      </c>
      <c r="BR42" s="862"/>
      <c r="BS42" s="525"/>
      <c r="BT42" s="451" t="s">
        <v>4785</v>
      </c>
      <c r="BU42" s="525"/>
      <c r="BV42" s="862"/>
      <c r="BW42" s="862"/>
      <c r="BX42" s="862"/>
      <c r="BY42" s="862"/>
      <c r="BZ42" s="862"/>
      <c r="CA42" s="862"/>
      <c r="CB42" s="435"/>
      <c r="CC42" s="862"/>
      <c r="CD42" s="525"/>
      <c r="CG42" s="599"/>
      <c r="CH42" s="599"/>
      <c r="CI42" s="599"/>
      <c r="CJ42" s="1014"/>
      <c r="CK42" s="1014"/>
      <c r="CL42" s="1014"/>
      <c r="CM42" s="1014"/>
      <c r="CN42" s="475"/>
      <c r="CO42" s="475"/>
      <c r="CP42" s="475"/>
      <c r="CQ42" s="751"/>
      <c r="CR42" s="1014"/>
      <c r="DP42" s="525"/>
      <c r="DQ42" s="525"/>
    </row>
    <row r="43" spans="1:170">
      <c r="C43" s="1009"/>
      <c r="D43" s="1009"/>
      <c r="E43" s="1009"/>
      <c r="F43" s="1009"/>
      <c r="K43" s="451" t="s">
        <v>4786</v>
      </c>
      <c r="L43" s="463">
        <v>95161377</v>
      </c>
      <c r="M43" s="463">
        <v>78247</v>
      </c>
      <c r="N43" s="463">
        <v>82331174</v>
      </c>
      <c r="O43" s="463">
        <v>81988455</v>
      </c>
      <c r="P43" s="463">
        <v>80504493</v>
      </c>
      <c r="Q43" s="463">
        <v>86096270</v>
      </c>
      <c r="R43" s="463"/>
      <c r="S43" s="463"/>
      <c r="T43" s="612" t="s">
        <v>4780</v>
      </c>
      <c r="U43" s="633">
        <f>SUM(V43:AA43)</f>
        <v>183432</v>
      </c>
      <c r="V43" s="556" t="s">
        <v>1627</v>
      </c>
      <c r="W43" s="556" t="s">
        <v>1627</v>
      </c>
      <c r="X43" s="556" t="s">
        <v>1627</v>
      </c>
      <c r="Y43" s="556" t="s">
        <v>1627</v>
      </c>
      <c r="Z43" s="556" t="s">
        <v>1627</v>
      </c>
      <c r="AA43" s="633">
        <v>183432</v>
      </c>
      <c r="AB43" s="463"/>
      <c r="AD43" s="612" t="s">
        <v>4780</v>
      </c>
      <c r="AE43" s="633">
        <f>SUM(AF43:AK43)</f>
        <v>191</v>
      </c>
      <c r="AF43" s="556" t="s">
        <v>1627</v>
      </c>
      <c r="AG43" s="556" t="s">
        <v>1627</v>
      </c>
      <c r="AH43" s="556" t="s">
        <v>1627</v>
      </c>
      <c r="AI43" s="556" t="s">
        <v>1627</v>
      </c>
      <c r="AJ43" s="556" t="s">
        <v>1627</v>
      </c>
      <c r="AK43" s="633">
        <v>191</v>
      </c>
      <c r="AN43" s="1033" t="s">
        <v>4787</v>
      </c>
      <c r="AO43" s="633">
        <f>SUM(AO39:AO41)</f>
        <v>1097908788</v>
      </c>
      <c r="AP43" s="633">
        <f t="shared" ref="AP43:AU43" si="22">SUM(AP39:AP41)</f>
        <v>432851874</v>
      </c>
      <c r="AQ43" s="633">
        <f t="shared" si="22"/>
        <v>60857422</v>
      </c>
      <c r="AR43" s="633">
        <f t="shared" si="22"/>
        <v>485336153</v>
      </c>
      <c r="AS43" s="633">
        <f t="shared" si="22"/>
        <v>29207240</v>
      </c>
      <c r="AT43" s="633">
        <f t="shared" si="22"/>
        <v>435821</v>
      </c>
      <c r="AU43" s="633">
        <f t="shared" si="22"/>
        <v>24430335</v>
      </c>
      <c r="AV43" s="556" t="s">
        <v>1627</v>
      </c>
      <c r="AW43" s="633">
        <f>SUM(AW39:AW41)</f>
        <v>64789943</v>
      </c>
      <c r="AZ43" s="585" t="s">
        <v>4781</v>
      </c>
      <c r="BA43" s="525">
        <f t="shared" si="11"/>
        <v>4055787</v>
      </c>
      <c r="BB43" s="435" t="s">
        <v>1627</v>
      </c>
      <c r="BC43" s="435" t="s">
        <v>1627</v>
      </c>
      <c r="BD43" s="435" t="s">
        <v>1627</v>
      </c>
      <c r="BE43" s="435" t="s">
        <v>1627</v>
      </c>
      <c r="BF43" s="435" t="s">
        <v>1627</v>
      </c>
      <c r="BG43" s="862">
        <v>4055787</v>
      </c>
      <c r="BJ43" s="585" t="s">
        <v>4781</v>
      </c>
      <c r="BK43" s="525">
        <f>SUM(BL43:BQ43)</f>
        <v>1609</v>
      </c>
      <c r="BL43" s="435" t="s">
        <v>1627</v>
      </c>
      <c r="BM43" s="862">
        <v>120</v>
      </c>
      <c r="BN43" s="435" t="s">
        <v>1627</v>
      </c>
      <c r="BO43" s="435" t="s">
        <v>1627</v>
      </c>
      <c r="BP43" s="435" t="s">
        <v>1627</v>
      </c>
      <c r="BQ43" s="862">
        <v>1489</v>
      </c>
      <c r="BR43" s="435"/>
      <c r="BT43" s="612" t="s">
        <v>4788</v>
      </c>
      <c r="BU43" s="862">
        <f>SUM(BV43:CC43)</f>
        <v>42700952</v>
      </c>
      <c r="BV43" s="862">
        <v>36467177</v>
      </c>
      <c r="BW43" s="435" t="s">
        <v>1627</v>
      </c>
      <c r="BX43" s="435" t="s">
        <v>1627</v>
      </c>
      <c r="BY43" s="435" t="s">
        <v>1627</v>
      </c>
      <c r="BZ43" s="435" t="s">
        <v>1627</v>
      </c>
      <c r="CA43" s="435">
        <v>3573260</v>
      </c>
      <c r="CB43" s="435" t="s">
        <v>1627</v>
      </c>
      <c r="CC43" s="435">
        <v>2660515</v>
      </c>
      <c r="CF43" s="382"/>
      <c r="CG43" s="599"/>
      <c r="CH43" s="599"/>
      <c r="CI43" s="599"/>
      <c r="CJ43" s="599"/>
      <c r="CK43" s="599"/>
      <c r="CL43" s="743"/>
      <c r="CM43" s="599"/>
      <c r="CN43" s="599"/>
      <c r="CO43" s="599"/>
      <c r="CP43" s="599"/>
      <c r="CQ43" s="743"/>
      <c r="CR43" s="599"/>
      <c r="DP43" s="525"/>
      <c r="DQ43" s="525"/>
      <c r="DR43" s="525"/>
      <c r="DS43" s="525"/>
      <c r="DT43" s="525"/>
      <c r="DU43" s="525"/>
      <c r="DV43" s="525"/>
      <c r="DW43" s="525"/>
      <c r="DX43" s="525"/>
      <c r="DY43" s="525"/>
      <c r="DZ43" s="525"/>
    </row>
    <row r="44" spans="1:170">
      <c r="K44" s="451" t="s">
        <v>4789</v>
      </c>
      <c r="L44" s="463">
        <v>67041760</v>
      </c>
      <c r="M44" s="463">
        <v>78243</v>
      </c>
      <c r="N44" s="463">
        <v>19067746</v>
      </c>
      <c r="O44" s="463">
        <v>22308552</v>
      </c>
      <c r="P44" s="463">
        <v>16217190</v>
      </c>
      <c r="Q44" s="463">
        <v>11441305</v>
      </c>
      <c r="R44" s="463"/>
      <c r="S44" s="463"/>
      <c r="T44" s="1032" t="s">
        <v>4790</v>
      </c>
      <c r="U44" s="1027">
        <f>SUM(U42:U43)</f>
        <v>15587950</v>
      </c>
      <c r="V44" s="1034" t="s">
        <v>1627</v>
      </c>
      <c r="W44" s="1034" t="s">
        <v>1627</v>
      </c>
      <c r="X44" s="1034" t="s">
        <v>1627</v>
      </c>
      <c r="Y44" s="1034" t="s">
        <v>1627</v>
      </c>
      <c r="Z44" s="1034" t="s">
        <v>1627</v>
      </c>
      <c r="AA44" s="1027">
        <f>SUM(AA42:AA43)</f>
        <v>15587950</v>
      </c>
      <c r="AB44" s="463"/>
      <c r="AD44" s="1032" t="s">
        <v>4790</v>
      </c>
      <c r="AE44" s="1027">
        <v>15904</v>
      </c>
      <c r="AF44" s="1034" t="s">
        <v>1627</v>
      </c>
      <c r="AG44" s="1034" t="s">
        <v>1627</v>
      </c>
      <c r="AH44" s="1034" t="s">
        <v>1627</v>
      </c>
      <c r="AI44" s="1034" t="s">
        <v>1627</v>
      </c>
      <c r="AJ44" s="1034" t="s">
        <v>1627</v>
      </c>
      <c r="AK44" s="1027">
        <v>15904</v>
      </c>
      <c r="AN44" s="585" t="s">
        <v>4777</v>
      </c>
      <c r="AZ44" s="451" t="s">
        <v>4785</v>
      </c>
      <c r="BA44" s="525"/>
      <c r="BB44" s="862"/>
      <c r="BC44" s="862"/>
      <c r="BD44" s="862"/>
      <c r="BE44" s="862"/>
      <c r="BF44" s="435"/>
      <c r="BG44" s="862"/>
      <c r="BJ44" s="382" t="s">
        <v>4791</v>
      </c>
      <c r="BK44" s="525">
        <f>SUM(BL44:BQ44)</f>
        <v>2415</v>
      </c>
      <c r="BL44" s="435">
        <v>2415</v>
      </c>
      <c r="BM44" s="435" t="s">
        <v>1627</v>
      </c>
      <c r="BN44" s="435" t="s">
        <v>1627</v>
      </c>
      <c r="BO44" s="435" t="s">
        <v>1627</v>
      </c>
      <c r="BP44" s="435" t="s">
        <v>1627</v>
      </c>
      <c r="BQ44" s="435" t="s">
        <v>1627</v>
      </c>
      <c r="BR44" s="862"/>
      <c r="BT44" s="612" t="s">
        <v>4792</v>
      </c>
      <c r="BU44" s="862">
        <f>SUM(BV44:CC44)</f>
        <v>78521391</v>
      </c>
      <c r="BV44" s="862">
        <v>69601591</v>
      </c>
      <c r="BW44" s="435" t="s">
        <v>1627</v>
      </c>
      <c r="BX44" s="435" t="s">
        <v>1627</v>
      </c>
      <c r="BY44" s="435" t="s">
        <v>1627</v>
      </c>
      <c r="BZ44" s="435" t="s">
        <v>1627</v>
      </c>
      <c r="CA44" s="435">
        <v>2164240</v>
      </c>
      <c r="CB44" s="435" t="s">
        <v>1627</v>
      </c>
      <c r="CC44" s="862">
        <v>6755560</v>
      </c>
      <c r="CG44" s="599"/>
      <c r="CH44" s="599"/>
      <c r="CI44" s="599"/>
      <c r="CJ44" s="599"/>
      <c r="CK44" s="743"/>
      <c r="CL44" s="743"/>
      <c r="CM44" s="599"/>
      <c r="CN44" s="599"/>
      <c r="CO44" s="599"/>
      <c r="CP44" s="743"/>
      <c r="CQ44" s="743"/>
      <c r="CR44" s="599"/>
      <c r="DP44" s="525"/>
      <c r="DQ44" s="525"/>
    </row>
    <row r="45" spans="1:170">
      <c r="I45" s="1009"/>
      <c r="K45" s="451" t="s">
        <v>4793</v>
      </c>
      <c r="L45" s="463">
        <v>29060620</v>
      </c>
      <c r="M45" s="1035">
        <v>-23781</v>
      </c>
      <c r="N45" s="1035">
        <v>-73509524</v>
      </c>
      <c r="O45" s="1035">
        <v>-108096536</v>
      </c>
      <c r="P45" s="1035">
        <v>-146692682</v>
      </c>
      <c r="Q45" s="1035">
        <v>-184596812</v>
      </c>
      <c r="R45" s="435"/>
      <c r="S45" s="435"/>
      <c r="T45" s="1032" t="s">
        <v>4784</v>
      </c>
      <c r="U45" s="525"/>
      <c r="V45" s="525"/>
      <c r="W45" s="525"/>
      <c r="X45" s="525"/>
      <c r="Y45" s="525"/>
      <c r="Z45" s="525"/>
      <c r="AA45" s="525"/>
      <c r="AB45" s="435"/>
      <c r="AD45" s="1032" t="s">
        <v>4784</v>
      </c>
      <c r="AE45" s="525"/>
      <c r="AF45" s="525"/>
      <c r="AG45" s="525"/>
      <c r="AH45" s="525"/>
      <c r="AI45" s="525"/>
      <c r="AJ45" s="525"/>
      <c r="AK45" s="525"/>
      <c r="AU45" s="382"/>
      <c r="AV45" s="525"/>
      <c r="AW45" s="439"/>
      <c r="AZ45" s="612" t="s">
        <v>4788</v>
      </c>
      <c r="BA45" s="525">
        <f t="shared" si="11"/>
        <v>27085538</v>
      </c>
      <c r="BB45" s="862">
        <v>22779706</v>
      </c>
      <c r="BC45" s="435" t="s">
        <v>1627</v>
      </c>
      <c r="BD45" s="435" t="s">
        <v>1627</v>
      </c>
      <c r="BE45" s="435">
        <v>3928077</v>
      </c>
      <c r="BF45" s="435" t="s">
        <v>1627</v>
      </c>
      <c r="BG45" s="435">
        <v>377755</v>
      </c>
      <c r="BJ45" s="451" t="s">
        <v>4785</v>
      </c>
      <c r="BK45" s="525"/>
      <c r="BL45" s="862"/>
      <c r="BM45" s="862"/>
      <c r="BN45" s="862"/>
      <c r="BO45" s="862"/>
      <c r="BP45" s="435"/>
      <c r="BQ45" s="862"/>
      <c r="BR45" s="1036"/>
      <c r="BU45" s="1036"/>
      <c r="BV45" s="1036"/>
      <c r="BW45" s="1036"/>
      <c r="BX45" s="1036"/>
      <c r="BY45" s="1036"/>
      <c r="BZ45" s="1036"/>
      <c r="CA45" s="1036"/>
      <c r="CB45" s="1037"/>
      <c r="CC45" s="1036"/>
      <c r="CE45" s="525"/>
      <c r="CG45" s="599"/>
      <c r="CH45" s="599"/>
      <c r="CI45" s="599"/>
      <c r="CJ45" s="743"/>
      <c r="CK45" s="743"/>
      <c r="CL45" s="743"/>
      <c r="CM45" s="599"/>
      <c r="CN45" s="599"/>
      <c r="CO45" s="599"/>
      <c r="CP45" s="599"/>
      <c r="CQ45" s="743"/>
      <c r="CR45" s="599"/>
      <c r="DP45" s="525"/>
      <c r="DQ45" s="525"/>
      <c r="DR45" s="525"/>
      <c r="DS45" s="525"/>
      <c r="DT45" s="525"/>
      <c r="DU45" s="525"/>
      <c r="DV45" s="525"/>
      <c r="DW45" s="525"/>
      <c r="DX45" s="525"/>
      <c r="DY45" s="525"/>
      <c r="DZ45" s="525"/>
    </row>
    <row r="46" spans="1:170">
      <c r="I46" s="1009"/>
      <c r="L46" s="586"/>
      <c r="M46" s="586"/>
      <c r="N46" s="586"/>
      <c r="O46" s="586"/>
      <c r="P46" s="586"/>
      <c r="R46" s="1035"/>
      <c r="S46" s="1035"/>
      <c r="T46" s="1033" t="s">
        <v>4787</v>
      </c>
      <c r="U46" s="633">
        <f>SUM(V46:AA46)</f>
        <v>886095169</v>
      </c>
      <c r="V46" s="633">
        <f>SUM(V40:V43)</f>
        <v>412668367</v>
      </c>
      <c r="W46" s="633">
        <f>SUM(W40:W43)</f>
        <v>112033520</v>
      </c>
      <c r="X46" s="633">
        <f>SUM(X40:X43)</f>
        <v>240849419</v>
      </c>
      <c r="Y46" s="633">
        <f>SUM(Y40:Y43)</f>
        <v>28232516</v>
      </c>
      <c r="Z46" s="556" t="s">
        <v>1627</v>
      </c>
      <c r="AA46" s="633">
        <f>AA40+AA44</f>
        <v>92311347</v>
      </c>
      <c r="AB46" s="1035"/>
      <c r="AC46" s="439"/>
      <c r="AD46" s="1033" t="s">
        <v>4787</v>
      </c>
      <c r="AE46" s="633">
        <v>935890</v>
      </c>
      <c r="AF46" s="633">
        <f>SUM(AF40:AF43)</f>
        <v>401385</v>
      </c>
      <c r="AG46" s="633">
        <f>SUM(AG40:AG43)</f>
        <v>77742</v>
      </c>
      <c r="AH46" s="633">
        <f>SUM(AH40:AH43)</f>
        <v>345196</v>
      </c>
      <c r="AI46" s="633">
        <f>SUM(AI40:AI43)</f>
        <v>40657</v>
      </c>
      <c r="AJ46" s="556" t="s">
        <v>1627</v>
      </c>
      <c r="AK46" s="633">
        <v>70910</v>
      </c>
      <c r="AL46" s="439"/>
      <c r="AM46" s="439"/>
      <c r="AN46" s="451" t="s">
        <v>4782</v>
      </c>
      <c r="AO46" s="1007">
        <f>SUM(AP46:AW46)</f>
        <v>456593329</v>
      </c>
      <c r="AP46" s="1007">
        <v>2461744</v>
      </c>
      <c r="AQ46" s="435" t="s">
        <v>1627</v>
      </c>
      <c r="AR46" s="435" t="s">
        <v>1627</v>
      </c>
      <c r="AS46" s="435" t="s">
        <v>1627</v>
      </c>
      <c r="AT46" s="435" t="s">
        <v>1627</v>
      </c>
      <c r="AU46" s="435" t="s">
        <v>1627</v>
      </c>
      <c r="AV46" s="1038">
        <v>454131585</v>
      </c>
      <c r="AW46" s="435" t="s">
        <v>1627</v>
      </c>
      <c r="AX46" s="439"/>
      <c r="AY46" s="439"/>
      <c r="AZ46" s="612" t="s">
        <v>4792</v>
      </c>
      <c r="BA46" s="525">
        <f t="shared" si="11"/>
        <v>64456093</v>
      </c>
      <c r="BB46" s="862">
        <v>59177131</v>
      </c>
      <c r="BC46" s="435" t="s">
        <v>1627</v>
      </c>
      <c r="BD46" s="435" t="s">
        <v>1627</v>
      </c>
      <c r="BE46" s="435">
        <v>1812173</v>
      </c>
      <c r="BF46" s="435" t="s">
        <v>1627</v>
      </c>
      <c r="BG46" s="862">
        <v>3466789</v>
      </c>
      <c r="BH46" s="439"/>
      <c r="BI46" s="439"/>
      <c r="BJ46" s="612" t="s">
        <v>4788</v>
      </c>
      <c r="BK46" s="862">
        <f>SUM(BL46:BQ46)</f>
        <v>29656</v>
      </c>
      <c r="BL46" s="862">
        <v>25730</v>
      </c>
      <c r="BM46" s="435" t="s">
        <v>1627</v>
      </c>
      <c r="BN46" s="435" t="s">
        <v>1627</v>
      </c>
      <c r="BO46" s="435">
        <v>3743</v>
      </c>
      <c r="BP46" s="435" t="s">
        <v>1627</v>
      </c>
      <c r="BQ46" s="435">
        <v>183</v>
      </c>
      <c r="BR46" s="525"/>
      <c r="BS46" s="439"/>
      <c r="BT46" s="1039" t="s">
        <v>4794</v>
      </c>
      <c r="BU46" s="1027">
        <f>SUM(BU19:BU41)+BU43+BU44</f>
        <v>2022842502</v>
      </c>
      <c r="BV46" s="1027">
        <f>SUM(BV19:BV41)+BV43+BV44</f>
        <v>725046547</v>
      </c>
      <c r="BW46" s="1027">
        <f>SUM(BW19:BW41)</f>
        <v>478449801</v>
      </c>
      <c r="BX46" s="1027">
        <f>SUM(BX19:BX41)</f>
        <v>96056705</v>
      </c>
      <c r="BY46" s="1027">
        <f>SUM(BY19:BY41)</f>
        <v>380263943</v>
      </c>
      <c r="BZ46" s="1027">
        <f>SUM(BZ19:BZ41)</f>
        <v>52173182</v>
      </c>
      <c r="CA46" s="1027">
        <f>SUM(CA19:CA44)</f>
        <v>116798324</v>
      </c>
      <c r="CB46" s="1034" t="s">
        <v>1627</v>
      </c>
      <c r="CC46" s="1027">
        <f>SUM(CC19:CC41)+CC43+CC44</f>
        <v>174054000</v>
      </c>
      <c r="CD46" s="439"/>
      <c r="CE46" s="525"/>
      <c r="CG46" s="599"/>
      <c r="CH46" s="599"/>
      <c r="CI46" s="599"/>
      <c r="CJ46" s="599"/>
      <c r="CK46" s="599"/>
      <c r="CL46" s="743"/>
      <c r="CM46" s="599"/>
      <c r="CN46" s="599"/>
      <c r="CO46" s="599"/>
      <c r="CP46" s="599"/>
      <c r="CQ46" s="743"/>
      <c r="CR46" s="599"/>
      <c r="DP46" s="525"/>
      <c r="DQ46" s="525"/>
    </row>
    <row r="47" spans="1:170">
      <c r="K47" s="588" t="s">
        <v>4795</v>
      </c>
      <c r="L47" s="633">
        <v>195225541</v>
      </c>
      <c r="M47" s="633">
        <v>135468</v>
      </c>
      <c r="N47" s="1040">
        <f>SUM(N42:N45)</f>
        <v>30351140</v>
      </c>
      <c r="O47" s="1040">
        <f>SUM(O42:O45)</f>
        <v>-1513682</v>
      </c>
      <c r="P47" s="1040">
        <v>-47800943</v>
      </c>
      <c r="Q47" s="1041">
        <v>-83448863</v>
      </c>
      <c r="R47" s="525"/>
      <c r="S47" s="525"/>
      <c r="T47" s="585" t="s">
        <v>4777</v>
      </c>
      <c r="AB47" s="525"/>
      <c r="AC47" s="439"/>
      <c r="AD47" s="585" t="s">
        <v>4777</v>
      </c>
      <c r="AL47" s="439"/>
      <c r="AM47" s="439"/>
      <c r="AN47" s="451" t="s">
        <v>4786</v>
      </c>
      <c r="AO47" s="1007">
        <f>SUM(AP47:AW47)</f>
        <v>107943888</v>
      </c>
      <c r="AP47" s="1007">
        <v>82331174</v>
      </c>
      <c r="AQ47" s="435" t="s">
        <v>1627</v>
      </c>
      <c r="AR47" s="435" t="s">
        <v>1627</v>
      </c>
      <c r="AS47" s="435" t="s">
        <v>1627</v>
      </c>
      <c r="AT47" s="435" t="s">
        <v>1627</v>
      </c>
      <c r="AU47" s="435" t="s">
        <v>1627</v>
      </c>
      <c r="AV47" s="435" t="s">
        <v>1627</v>
      </c>
      <c r="AW47" s="862">
        <v>25612714</v>
      </c>
      <c r="AX47" s="439"/>
      <c r="AY47" s="439"/>
      <c r="BA47" s="1036"/>
      <c r="BB47" s="1036"/>
      <c r="BC47" s="1036"/>
      <c r="BD47" s="1036"/>
      <c r="BE47" s="1036"/>
      <c r="BF47" s="1037"/>
      <c r="BG47" s="1036"/>
      <c r="BH47" s="439"/>
      <c r="BI47" s="439"/>
      <c r="BJ47" s="612" t="s">
        <v>4792</v>
      </c>
      <c r="BK47" s="862">
        <v>58670</v>
      </c>
      <c r="BL47" s="862">
        <v>53054</v>
      </c>
      <c r="BM47" s="435" t="s">
        <v>1627</v>
      </c>
      <c r="BN47" s="435" t="s">
        <v>1627</v>
      </c>
      <c r="BO47" s="435">
        <v>1992</v>
      </c>
      <c r="BP47" s="435" t="s">
        <v>1627</v>
      </c>
      <c r="BQ47" s="862">
        <v>3623</v>
      </c>
      <c r="BR47" s="1007"/>
      <c r="BS47" s="439"/>
      <c r="BT47" s="381" t="s">
        <v>4796</v>
      </c>
      <c r="BU47" s="1027">
        <f>SUM(BV47:CC47)</f>
        <v>11463174</v>
      </c>
      <c r="BV47" s="633">
        <f>BV17-BV46</f>
        <v>24360288</v>
      </c>
      <c r="BW47" s="1042">
        <f>BW17-BW46</f>
        <v>-12438123</v>
      </c>
      <c r="BX47" s="1042">
        <f>BX17-BX46</f>
        <v>545732</v>
      </c>
      <c r="BY47" s="1034" t="s">
        <v>1627</v>
      </c>
      <c r="BZ47" s="1042">
        <f>BZ17-BZ46</f>
        <v>957449</v>
      </c>
      <c r="CA47" s="1042">
        <f>CA17-CA46</f>
        <v>-5737500</v>
      </c>
      <c r="CB47" s="1042">
        <f>CB17</f>
        <v>1024659</v>
      </c>
      <c r="CC47" s="1042">
        <f>CC17-CC46</f>
        <v>2750669</v>
      </c>
      <c r="CD47" s="439"/>
      <c r="CE47" s="525"/>
      <c r="CG47" s="599"/>
      <c r="CH47" s="599"/>
      <c r="CI47" s="599"/>
      <c r="CJ47" s="599"/>
      <c r="CK47" s="599"/>
      <c r="CL47" s="743"/>
      <c r="CM47" s="599"/>
      <c r="CN47" s="599"/>
      <c r="CO47" s="743"/>
      <c r="CP47" s="599"/>
      <c r="CQ47" s="743"/>
      <c r="CR47" s="599"/>
      <c r="CS47" s="623"/>
      <c r="CT47" s="623"/>
      <c r="CU47" s="623"/>
      <c r="CV47" s="623"/>
      <c r="CW47" s="623"/>
      <c r="CX47" s="623"/>
      <c r="CY47" s="623"/>
      <c r="CZ47" s="623"/>
      <c r="DA47" s="623"/>
      <c r="DB47" s="623"/>
      <c r="DC47" s="623"/>
      <c r="DD47" s="623"/>
      <c r="DE47" s="623"/>
      <c r="DF47" s="623"/>
      <c r="DG47" s="623"/>
      <c r="DH47" s="623"/>
      <c r="DP47" s="525"/>
      <c r="DQ47" s="525"/>
    </row>
    <row r="48" spans="1:170">
      <c r="R48" s="1008"/>
      <c r="S48" s="1008"/>
      <c r="Y48" s="382"/>
      <c r="Z48" s="525"/>
      <c r="AA48" s="439"/>
      <c r="AB48" s="1008"/>
      <c r="AC48" s="439"/>
      <c r="AI48" s="382"/>
      <c r="AJ48" s="525"/>
      <c r="AK48" s="439"/>
      <c r="AL48" s="439"/>
      <c r="AM48" s="439"/>
      <c r="AN48" s="451" t="s">
        <v>4789</v>
      </c>
      <c r="AO48" s="1007">
        <f>SUM(AP48:AW48)</f>
        <v>95864806</v>
      </c>
      <c r="AP48" s="1007">
        <v>19067746</v>
      </c>
      <c r="AQ48" s="435" t="s">
        <v>1627</v>
      </c>
      <c r="AR48" s="435" t="s">
        <v>1627</v>
      </c>
      <c r="AS48" s="435" t="s">
        <v>1627</v>
      </c>
      <c r="AT48" s="435" t="s">
        <v>1627</v>
      </c>
      <c r="AU48" s="435" t="s">
        <v>1627</v>
      </c>
      <c r="AV48" s="435" t="s">
        <v>1627</v>
      </c>
      <c r="AW48" s="1038">
        <v>76797060</v>
      </c>
      <c r="AX48" s="439"/>
      <c r="AY48" s="439"/>
      <c r="AZ48" s="1039" t="s">
        <v>4794</v>
      </c>
      <c r="BA48" s="1027">
        <f>SUM(BA19:BA43)+BA45+BA46</f>
        <v>1882830787</v>
      </c>
      <c r="BB48" s="1027">
        <f>SUM(BB19:BB46)</f>
        <v>881748181</v>
      </c>
      <c r="BC48" s="1027">
        <f>SUM(BC19:BC43)</f>
        <v>592653892</v>
      </c>
      <c r="BD48" s="1027">
        <f>SUM(BD19:BD46)</f>
        <v>77941424</v>
      </c>
      <c r="BE48" s="1027">
        <f>SUM(BE19:BE46)</f>
        <v>116306077</v>
      </c>
      <c r="BF48" s="1034" t="s">
        <v>1627</v>
      </c>
      <c r="BG48" s="1027">
        <f>SUM(BG19:BG46)</f>
        <v>214181213</v>
      </c>
      <c r="BH48" s="439"/>
      <c r="BI48" s="439"/>
      <c r="BK48" s="1036"/>
      <c r="BL48" s="1036"/>
      <c r="BM48" s="1036"/>
      <c r="BN48" s="1036"/>
      <c r="BO48" s="1036"/>
      <c r="BP48" s="1037"/>
      <c r="BQ48" s="1036"/>
      <c r="BR48" s="1007"/>
      <c r="BS48" s="439"/>
      <c r="BT48" s="382" t="s">
        <v>4797</v>
      </c>
      <c r="BU48" s="1007"/>
      <c r="BV48" s="1007"/>
      <c r="BW48" s="1007"/>
      <c r="BX48" s="1007"/>
      <c r="BY48" s="1007"/>
      <c r="BZ48" s="1007"/>
      <c r="CA48" s="1007"/>
      <c r="CB48" s="1007"/>
      <c r="CC48" s="1007"/>
      <c r="CD48" s="439"/>
      <c r="CG48" s="599"/>
      <c r="CH48" s="599"/>
      <c r="CI48" s="599"/>
      <c r="CJ48" s="743"/>
      <c r="CK48" s="599"/>
      <c r="CL48" s="743"/>
      <c r="CM48" s="599"/>
      <c r="CN48" s="599"/>
      <c r="CO48" s="599"/>
      <c r="CP48" s="599"/>
      <c r="CQ48" s="743"/>
      <c r="CR48" s="599"/>
      <c r="CS48" s="623"/>
      <c r="CT48" s="623"/>
      <c r="CU48" s="623"/>
      <c r="CV48" s="623"/>
      <c r="CW48" s="623"/>
      <c r="CX48" s="623"/>
      <c r="CY48" s="623"/>
      <c r="CZ48" s="623"/>
      <c r="DA48" s="623"/>
      <c r="DB48" s="623"/>
      <c r="DC48" s="623"/>
      <c r="DD48" s="623"/>
      <c r="DE48" s="623"/>
      <c r="DF48" s="623"/>
      <c r="DG48" s="623"/>
      <c r="DH48" s="623"/>
    </row>
    <row r="49" spans="11:170">
      <c r="K49" s="588" t="s">
        <v>4798</v>
      </c>
      <c r="L49" s="1027">
        <v>607893908</v>
      </c>
      <c r="M49" s="1027">
        <v>536854</v>
      </c>
      <c r="N49" s="1043">
        <f>N38+N47</f>
        <v>463203014</v>
      </c>
      <c r="O49" s="1043">
        <f>O38+O47</f>
        <v>395273920</v>
      </c>
      <c r="P49" s="1027">
        <v>288566819</v>
      </c>
      <c r="Q49" s="1027">
        <v>258436099</v>
      </c>
      <c r="R49" s="525"/>
      <c r="S49" s="525"/>
      <c r="T49" s="451" t="s">
        <v>4782</v>
      </c>
      <c r="U49" s="525">
        <f>SUM(V49:AA49)</f>
        <v>463012273</v>
      </c>
      <c r="V49" s="1007">
        <v>3961784</v>
      </c>
      <c r="W49" s="435" t="s">
        <v>1627</v>
      </c>
      <c r="X49" s="435" t="s">
        <v>1627</v>
      </c>
      <c r="Y49" s="435" t="s">
        <v>1627</v>
      </c>
      <c r="Z49" s="1038">
        <v>459050489</v>
      </c>
      <c r="AA49" s="435" t="s">
        <v>1627</v>
      </c>
      <c r="AB49" s="525"/>
      <c r="AC49" s="439"/>
      <c r="AD49" s="451" t="s">
        <v>4782</v>
      </c>
      <c r="AE49" s="1007">
        <v>461810</v>
      </c>
      <c r="AF49" s="1007">
        <v>2759</v>
      </c>
      <c r="AG49" s="435" t="s">
        <v>1627</v>
      </c>
      <c r="AH49" s="435" t="s">
        <v>1627</v>
      </c>
      <c r="AI49" s="435" t="s">
        <v>1627</v>
      </c>
      <c r="AJ49" s="1038">
        <v>459050</v>
      </c>
      <c r="AK49" s="435" t="s">
        <v>1627</v>
      </c>
      <c r="AL49" s="439"/>
      <c r="AM49" s="439"/>
      <c r="AN49" s="451" t="s">
        <v>4793</v>
      </c>
      <c r="AO49" s="1007"/>
      <c r="AP49" s="1007"/>
      <c r="AQ49" s="1007"/>
      <c r="AR49" s="1007"/>
      <c r="AS49" s="1007"/>
      <c r="AT49" s="1007"/>
      <c r="AU49" s="1007"/>
      <c r="AV49" s="435"/>
      <c r="AW49" s="1007"/>
      <c r="AX49" s="439"/>
      <c r="AY49" s="439"/>
      <c r="AZ49" s="381" t="s">
        <v>4796</v>
      </c>
      <c r="BA49" s="1027">
        <f>BA17-BA48</f>
        <v>79930929</v>
      </c>
      <c r="BB49" s="633">
        <f>BB17-BB48</f>
        <v>83014531</v>
      </c>
      <c r="BC49" s="1040">
        <f>BC17-BC48</f>
        <v>-13413663</v>
      </c>
      <c r="BD49" s="633">
        <f>BD17-BD48</f>
        <v>13272650</v>
      </c>
      <c r="BE49" s="1042">
        <f>BE17-BE48</f>
        <v>-6443449</v>
      </c>
      <c r="BF49" s="866" t="str">
        <f>BF17</f>
        <v>…</v>
      </c>
      <c r="BG49" s="633">
        <f>BG17-BG48</f>
        <v>3500860</v>
      </c>
      <c r="BH49" s="439"/>
      <c r="BI49" s="439"/>
      <c r="BJ49" s="1039" t="s">
        <v>4794</v>
      </c>
      <c r="BK49" s="1027">
        <f>SUM(BK19:BK43)+BK44+BK46+BK47</f>
        <v>1789230</v>
      </c>
      <c r="BL49" s="1027">
        <f>SUM(BL19:BL43)+BL44+BL46+BL47</f>
        <v>713165</v>
      </c>
      <c r="BM49" s="1027">
        <v>525364</v>
      </c>
      <c r="BN49" s="1027">
        <v>192042</v>
      </c>
      <c r="BO49" s="1027">
        <f>SUM(BO19:BO47)</f>
        <v>160469</v>
      </c>
      <c r="BP49" s="1034" t="s">
        <v>1627</v>
      </c>
      <c r="BQ49" s="1027">
        <f>SUM(BQ19:BQ47)</f>
        <v>198190</v>
      </c>
      <c r="BR49" s="1007"/>
      <c r="BS49" s="439"/>
      <c r="BT49" s="451" t="s">
        <v>4799</v>
      </c>
      <c r="BU49" s="1007">
        <f>SUM(BV49:CC49)</f>
        <v>77935000</v>
      </c>
      <c r="BV49" s="435">
        <v>19070000</v>
      </c>
      <c r="BW49" s="435" t="s">
        <v>1627</v>
      </c>
      <c r="BX49" s="435" t="s">
        <v>1627</v>
      </c>
      <c r="BY49" s="435" t="s">
        <v>1627</v>
      </c>
      <c r="BZ49" s="435" t="s">
        <v>1627</v>
      </c>
      <c r="CA49" s="435" t="s">
        <v>1627</v>
      </c>
      <c r="CB49" s="435" t="s">
        <v>1627</v>
      </c>
      <c r="CC49" s="1007">
        <v>58865000</v>
      </c>
      <c r="CD49" s="439"/>
      <c r="CE49" s="1007"/>
      <c r="CG49" s="599"/>
      <c r="CH49" s="599"/>
      <c r="CI49" s="599"/>
      <c r="CJ49" s="599"/>
      <c r="CK49" s="599"/>
      <c r="CL49" s="743"/>
      <c r="CM49" s="599"/>
      <c r="CN49" s="599"/>
      <c r="CO49" s="599"/>
      <c r="CP49" s="599"/>
      <c r="CQ49" s="743"/>
      <c r="CR49" s="599"/>
      <c r="DP49" s="525"/>
      <c r="DQ49" s="525"/>
    </row>
    <row r="50" spans="11:170">
      <c r="K50" s="585" t="s">
        <v>4631</v>
      </c>
      <c r="R50" s="525"/>
      <c r="S50" s="525"/>
      <c r="T50" s="451" t="s">
        <v>4786</v>
      </c>
      <c r="U50" s="525">
        <f>SUM(V50:AA50)</f>
        <v>119274716</v>
      </c>
      <c r="V50" s="1007">
        <v>95161377</v>
      </c>
      <c r="W50" s="435">
        <v>389988</v>
      </c>
      <c r="X50" s="435" t="s">
        <v>1627</v>
      </c>
      <c r="Y50" s="435" t="s">
        <v>1627</v>
      </c>
      <c r="Z50" s="435" t="s">
        <v>1627</v>
      </c>
      <c r="AA50" s="862">
        <v>23723351</v>
      </c>
      <c r="AB50" s="525"/>
      <c r="AC50" s="439"/>
      <c r="AD50" s="451" t="s">
        <v>4786</v>
      </c>
      <c r="AE50" s="1007">
        <f>SUM(AF50:AK50)</f>
        <v>99631</v>
      </c>
      <c r="AF50" s="1007">
        <v>78247</v>
      </c>
      <c r="AG50" s="435">
        <v>358</v>
      </c>
      <c r="AH50" s="435">
        <v>2</v>
      </c>
      <c r="AI50" s="435" t="s">
        <v>1627</v>
      </c>
      <c r="AJ50" s="435" t="s">
        <v>1627</v>
      </c>
      <c r="AK50" s="862">
        <v>21024</v>
      </c>
      <c r="AL50" s="439"/>
      <c r="AM50" s="439"/>
      <c r="AN50" s="612" t="s">
        <v>4592</v>
      </c>
      <c r="AO50" s="1008">
        <f>SUM(AP50:AW50)</f>
        <v>-73509524</v>
      </c>
      <c r="AP50" s="1008">
        <v>-73509524</v>
      </c>
      <c r="AQ50" s="435" t="s">
        <v>1627</v>
      </c>
      <c r="AR50" s="435" t="s">
        <v>1627</v>
      </c>
      <c r="AS50" s="435" t="s">
        <v>1627</v>
      </c>
      <c r="AT50" s="435" t="s">
        <v>1627</v>
      </c>
      <c r="AU50" s="435" t="s">
        <v>1627</v>
      </c>
      <c r="AV50" s="435" t="s">
        <v>1627</v>
      </c>
      <c r="AW50" s="435" t="s">
        <v>1627</v>
      </c>
      <c r="AX50" s="439"/>
      <c r="AY50" s="439"/>
      <c r="AZ50" s="382" t="s">
        <v>4797</v>
      </c>
      <c r="BA50" s="1007"/>
      <c r="BB50" s="1007"/>
      <c r="BC50" s="1007"/>
      <c r="BD50" s="1007"/>
      <c r="BE50" s="1007"/>
      <c r="BF50" s="1007"/>
      <c r="BG50" s="1007"/>
      <c r="BH50" s="439"/>
      <c r="BI50" s="439"/>
      <c r="BJ50" s="381" t="s">
        <v>4796</v>
      </c>
      <c r="BK50" s="1027">
        <f>SUM(BL50:BQ50)</f>
        <v>109610</v>
      </c>
      <c r="BL50" s="633">
        <f>BL17-BL49</f>
        <v>100802</v>
      </c>
      <c r="BM50" s="1040">
        <f>BM17-BM49</f>
        <v>-17514</v>
      </c>
      <c r="BN50" s="633">
        <f>BN17-BN49</f>
        <v>3573</v>
      </c>
      <c r="BO50" s="1040">
        <v>-4716</v>
      </c>
      <c r="BP50" s="633">
        <f>BP17</f>
        <v>4919</v>
      </c>
      <c r="BQ50" s="633">
        <f>BQ17-BQ49</f>
        <v>22546</v>
      </c>
      <c r="BR50" s="1007"/>
      <c r="BS50" s="439"/>
      <c r="BT50" s="451" t="s">
        <v>4800</v>
      </c>
      <c r="BU50" s="1007">
        <f>SUM(BV50:CC50)</f>
        <v>12790466</v>
      </c>
      <c r="BV50" s="435" t="s">
        <v>1627</v>
      </c>
      <c r="BW50" s="435" t="s">
        <v>1627</v>
      </c>
      <c r="BX50" s="435" t="s">
        <v>1627</v>
      </c>
      <c r="BY50" s="435" t="s">
        <v>1627</v>
      </c>
      <c r="BZ50" s="435" t="s">
        <v>1627</v>
      </c>
      <c r="CA50" s="435" t="s">
        <v>1627</v>
      </c>
      <c r="CB50" s="435" t="s">
        <v>1627</v>
      </c>
      <c r="CC50" s="1007">
        <v>12790466</v>
      </c>
      <c r="CD50" s="439"/>
      <c r="CG50" s="599"/>
      <c r="CH50" s="599"/>
      <c r="CI50" s="599"/>
      <c r="CJ50" s="599"/>
      <c r="CK50" s="475"/>
      <c r="CL50" s="475"/>
      <c r="CM50" s="599"/>
      <c r="CN50" s="599"/>
      <c r="CO50" s="599"/>
      <c r="CP50" s="599"/>
      <c r="CQ50" s="743"/>
      <c r="CR50" s="743"/>
      <c r="DJ50" s="382"/>
      <c r="DK50" s="382"/>
      <c r="DL50" s="382"/>
      <c r="DM50" s="382"/>
      <c r="DN50" s="382"/>
      <c r="DO50" s="382"/>
      <c r="EA50" s="525"/>
    </row>
    <row r="51" spans="11:170">
      <c r="K51" s="382" t="s">
        <v>4801</v>
      </c>
      <c r="L51" s="382"/>
      <c r="T51" s="451" t="s">
        <v>4789</v>
      </c>
      <c r="U51" s="525">
        <f>SUM(V51:AA51)</f>
        <v>173893266</v>
      </c>
      <c r="V51" s="1007">
        <v>67041760</v>
      </c>
      <c r="W51" s="435" t="s">
        <v>1627</v>
      </c>
      <c r="X51" s="435">
        <v>12029252</v>
      </c>
      <c r="Y51" s="435" t="s">
        <v>1627</v>
      </c>
      <c r="Z51" s="435" t="s">
        <v>1627</v>
      </c>
      <c r="AA51" s="1038">
        <v>94822254</v>
      </c>
      <c r="AD51" s="451" t="s">
        <v>4789</v>
      </c>
      <c r="AE51" s="1007">
        <f>SUM(AF51:AK51)</f>
        <v>162472</v>
      </c>
      <c r="AF51" s="1007">
        <v>78243</v>
      </c>
      <c r="AG51" s="435" t="s">
        <v>1627</v>
      </c>
      <c r="AH51" s="435" t="s">
        <v>1627</v>
      </c>
      <c r="AI51" s="435" t="s">
        <v>1627</v>
      </c>
      <c r="AJ51" s="435" t="s">
        <v>1627</v>
      </c>
      <c r="AK51" s="1038">
        <v>84229</v>
      </c>
      <c r="AN51" s="612" t="s">
        <v>4802</v>
      </c>
      <c r="AO51" s="1008">
        <f>SUM(AP51:AW51)</f>
        <v>-115748</v>
      </c>
      <c r="AP51" s="435" t="s">
        <v>1627</v>
      </c>
      <c r="AQ51" s="1044">
        <v>-73276</v>
      </c>
      <c r="AR51" s="556" t="s">
        <v>1627</v>
      </c>
      <c r="AS51" s="435" t="s">
        <v>1627</v>
      </c>
      <c r="AT51" s="435" t="s">
        <v>1627</v>
      </c>
      <c r="AU51" s="435" t="s">
        <v>1627</v>
      </c>
      <c r="AV51" s="435" t="s">
        <v>1627</v>
      </c>
      <c r="AW51" s="1045">
        <v>-42472</v>
      </c>
      <c r="AZ51" s="451" t="s">
        <v>4803</v>
      </c>
      <c r="BA51" s="1007">
        <f>SUM(BB51:BG51)</f>
        <v>5232332</v>
      </c>
      <c r="BB51" s="435" t="s">
        <v>1627</v>
      </c>
      <c r="BC51" s="435" t="s">
        <v>1627</v>
      </c>
      <c r="BD51" s="435" t="s">
        <v>1627</v>
      </c>
      <c r="BE51" s="435" t="s">
        <v>1627</v>
      </c>
      <c r="BF51" s="435" t="s">
        <v>1627</v>
      </c>
      <c r="BG51" s="435">
        <v>5232332</v>
      </c>
      <c r="BJ51" s="382" t="s">
        <v>4797</v>
      </c>
      <c r="BK51" s="1007"/>
      <c r="BL51" s="1007"/>
      <c r="BM51" s="1007"/>
      <c r="BN51" s="1007"/>
      <c r="BO51" s="1007"/>
      <c r="BP51" s="1007"/>
      <c r="BQ51" s="1007"/>
      <c r="BR51" s="1007"/>
      <c r="BT51" s="451" t="s">
        <v>4804</v>
      </c>
      <c r="BU51" s="1007">
        <f>SUM(BV51:CC51)</f>
        <v>-89107656</v>
      </c>
      <c r="BV51" s="1038">
        <v>-18790307</v>
      </c>
      <c r="BW51" s="435" t="s">
        <v>1627</v>
      </c>
      <c r="BX51" s="435" t="s">
        <v>1627</v>
      </c>
      <c r="BY51" s="435" t="s">
        <v>1627</v>
      </c>
      <c r="BZ51" s="435" t="s">
        <v>1627</v>
      </c>
      <c r="CA51" s="435" t="s">
        <v>1627</v>
      </c>
      <c r="CB51" s="435" t="s">
        <v>1627</v>
      </c>
      <c r="CC51" s="1007">
        <v>-70317349</v>
      </c>
      <c r="CE51" s="1007"/>
      <c r="CG51" s="599"/>
      <c r="CH51" s="599"/>
      <c r="CI51" s="599"/>
      <c r="CJ51" s="599"/>
      <c r="CK51" s="743"/>
      <c r="CL51" s="743"/>
      <c r="CM51" s="599"/>
      <c r="CN51" s="599"/>
      <c r="CO51" s="439"/>
      <c r="CP51" s="599"/>
      <c r="CQ51" s="743"/>
      <c r="CR51" s="599"/>
      <c r="DP51" s="525"/>
      <c r="EA51" s="525"/>
    </row>
    <row r="52" spans="11:170">
      <c r="K52" s="585" t="s">
        <v>8716</v>
      </c>
      <c r="T52" s="451" t="s">
        <v>4793</v>
      </c>
      <c r="U52" s="1007"/>
      <c r="V52" s="1007"/>
      <c r="W52" s="1007"/>
      <c r="X52" s="1007"/>
      <c r="Y52" s="1007"/>
      <c r="Z52" s="435"/>
      <c r="AA52" s="1007"/>
      <c r="AC52" s="1007"/>
      <c r="AD52" s="451" t="s">
        <v>4793</v>
      </c>
      <c r="AE52" s="1007"/>
      <c r="AF52" s="1007"/>
      <c r="AG52" s="1007"/>
      <c r="AH52" s="1007"/>
      <c r="AI52" s="1007"/>
      <c r="AJ52" s="435"/>
      <c r="AK52" s="1007"/>
      <c r="AL52" s="1007"/>
      <c r="AM52" s="1007"/>
      <c r="AN52" s="588" t="s">
        <v>4795</v>
      </c>
      <c r="AO52" s="1043">
        <f>SUM(AO46:AO51)</f>
        <v>586776751</v>
      </c>
      <c r="AP52" s="1043">
        <f>SUM(AP46:AP51)</f>
        <v>30351140</v>
      </c>
      <c r="AQ52" s="1041">
        <f>SUM(AQ46:AQ51)</f>
        <v>-73276</v>
      </c>
      <c r="AR52" s="556" t="s">
        <v>1627</v>
      </c>
      <c r="AS52" s="1034" t="s">
        <v>1627</v>
      </c>
      <c r="AT52" s="1034" t="s">
        <v>1627</v>
      </c>
      <c r="AU52" s="1034" t="s">
        <v>1627</v>
      </c>
      <c r="AV52" s="1043">
        <f>SUM(AV46:AV51)</f>
        <v>454131585</v>
      </c>
      <c r="AW52" s="1043">
        <f>SUM(AW46:AW51)</f>
        <v>102367302</v>
      </c>
      <c r="AX52" s="1007"/>
      <c r="AY52" s="1007"/>
      <c r="AZ52" s="451" t="s">
        <v>4805</v>
      </c>
      <c r="BA52" s="1007">
        <f t="shared" ref="BA52:BA53" si="23">SUM(BB52:BG52)</f>
        <v>107591196</v>
      </c>
      <c r="BB52" s="1036">
        <v>36273276</v>
      </c>
      <c r="BC52" s="1036">
        <v>20818826</v>
      </c>
      <c r="BD52" s="435" t="s">
        <v>1627</v>
      </c>
      <c r="BE52" s="1007">
        <v>7373459</v>
      </c>
      <c r="BF52" s="435" t="s">
        <v>1627</v>
      </c>
      <c r="BG52" s="1036">
        <v>43125635</v>
      </c>
      <c r="BH52" s="1007"/>
      <c r="BI52" s="1007"/>
      <c r="BJ52" s="451" t="s">
        <v>4799</v>
      </c>
      <c r="BK52" s="1007">
        <f>SUM(BL52:BQ52)</f>
        <v>258550</v>
      </c>
      <c r="BL52" s="435">
        <v>258550</v>
      </c>
      <c r="BM52" s="435" t="s">
        <v>1627</v>
      </c>
      <c r="BN52" s="435" t="s">
        <v>1627</v>
      </c>
      <c r="BO52" s="435" t="s">
        <v>1627</v>
      </c>
      <c r="BP52" s="435" t="s">
        <v>1627</v>
      </c>
      <c r="BQ52" s="435" t="s">
        <v>1627</v>
      </c>
      <c r="BR52" s="1036"/>
      <c r="BS52" s="1007"/>
      <c r="BT52" s="451" t="s">
        <v>4805</v>
      </c>
      <c r="BU52" s="1007">
        <f t="shared" ref="BU52:BU53" si="24">SUM(BV52:CC52)</f>
        <v>81419244</v>
      </c>
      <c r="BV52" s="1036">
        <v>32979923</v>
      </c>
      <c r="BW52" s="1036">
        <v>18337025</v>
      </c>
      <c r="BX52" s="435" t="s">
        <v>1627</v>
      </c>
      <c r="BY52" s="435" t="s">
        <v>1627</v>
      </c>
      <c r="BZ52" s="435" t="s">
        <v>1627</v>
      </c>
      <c r="CA52" s="1036">
        <v>5737500</v>
      </c>
      <c r="CB52" s="435" t="s">
        <v>1627</v>
      </c>
      <c r="CC52" s="1036">
        <v>24364796</v>
      </c>
      <c r="CD52" s="1007"/>
      <c r="CG52" s="599"/>
      <c r="CH52" s="599"/>
      <c r="CI52" s="599"/>
      <c r="CJ52" s="475"/>
      <c r="CK52" s="475"/>
      <c r="CL52" s="475"/>
      <c r="CM52" s="475"/>
      <c r="CN52" s="475"/>
      <c r="CO52" s="475"/>
      <c r="CP52" s="475"/>
      <c r="CQ52" s="475"/>
      <c r="CR52" s="475"/>
      <c r="CS52" s="1046"/>
      <c r="CT52" s="1046"/>
      <c r="CU52" s="1046"/>
      <c r="CV52" s="1046"/>
      <c r="CW52" s="1046"/>
      <c r="CX52" s="1046"/>
      <c r="CY52" s="1046"/>
      <c r="CZ52" s="1046"/>
      <c r="DA52" s="1046"/>
      <c r="DB52" s="1046"/>
      <c r="DC52" s="1046"/>
      <c r="DD52" s="1046"/>
      <c r="DE52" s="1046"/>
      <c r="DF52" s="1046"/>
      <c r="DG52" s="1046"/>
      <c r="DH52" s="1046"/>
      <c r="DR52" s="525"/>
      <c r="DS52" s="525"/>
      <c r="DT52" s="525"/>
      <c r="DU52" s="525"/>
      <c r="DV52" s="525"/>
      <c r="DW52" s="525"/>
      <c r="DX52" s="525"/>
      <c r="DY52" s="525"/>
      <c r="DZ52" s="525"/>
    </row>
    <row r="53" spans="11:170">
      <c r="K53" s="585" t="s">
        <v>1629</v>
      </c>
      <c r="T53" s="612" t="s">
        <v>4592</v>
      </c>
      <c r="U53" s="525">
        <f>SUM(V53:AA53)</f>
        <v>29060620</v>
      </c>
      <c r="V53" s="1007">
        <v>29060620</v>
      </c>
      <c r="W53" s="435" t="s">
        <v>1627</v>
      </c>
      <c r="X53" s="435" t="s">
        <v>1627</v>
      </c>
      <c r="Y53" s="435" t="s">
        <v>1627</v>
      </c>
      <c r="Z53" s="435" t="s">
        <v>1627</v>
      </c>
      <c r="AA53" s="435" t="s">
        <v>1627</v>
      </c>
      <c r="AC53" s="1007"/>
      <c r="AD53" s="612" t="s">
        <v>4592</v>
      </c>
      <c r="AE53" s="1008">
        <f>SUM(AF53:AK53)</f>
        <v>-23781</v>
      </c>
      <c r="AF53" s="1008">
        <v>-23781</v>
      </c>
      <c r="AG53" s="435" t="s">
        <v>1627</v>
      </c>
      <c r="AH53" s="435" t="s">
        <v>1627</v>
      </c>
      <c r="AI53" s="435" t="s">
        <v>1627</v>
      </c>
      <c r="AJ53" s="435" t="s">
        <v>1627</v>
      </c>
      <c r="AK53" s="435" t="s">
        <v>1627</v>
      </c>
      <c r="AL53" s="1007"/>
      <c r="AM53" s="1007"/>
      <c r="AO53" s="1007"/>
      <c r="AP53" s="1007"/>
      <c r="AQ53" s="1007"/>
      <c r="AR53" s="1007"/>
      <c r="AS53" s="1007"/>
      <c r="AT53" s="1007"/>
      <c r="AU53" s="1007"/>
      <c r="AV53" s="1007"/>
      <c r="AW53" s="1007"/>
      <c r="AX53" s="1007"/>
      <c r="AY53" s="1007"/>
      <c r="AZ53" s="498" t="s">
        <v>4806</v>
      </c>
      <c r="BA53" s="1007">
        <f t="shared" si="23"/>
        <v>-107591196</v>
      </c>
      <c r="BB53" s="1047">
        <v>-59530476</v>
      </c>
      <c r="BC53" s="1047">
        <v>-7373459</v>
      </c>
      <c r="BD53" s="1047">
        <v>-1245626</v>
      </c>
      <c r="BE53" s="1044">
        <v>-930010</v>
      </c>
      <c r="BF53" s="556" t="s">
        <v>1627</v>
      </c>
      <c r="BG53" s="1047">
        <v>-38511625</v>
      </c>
      <c r="BH53" s="1007"/>
      <c r="BI53" s="1007"/>
      <c r="BJ53" s="451" t="s">
        <v>4800</v>
      </c>
      <c r="BK53" s="1007">
        <f>SUM(BL53:BQ53)</f>
        <v>38016</v>
      </c>
      <c r="BL53" s="435">
        <v>38016</v>
      </c>
      <c r="BM53" s="435" t="s">
        <v>1627</v>
      </c>
      <c r="BN53" s="435" t="s">
        <v>1627</v>
      </c>
      <c r="BO53" s="435" t="s">
        <v>1627</v>
      </c>
      <c r="BP53" s="435" t="s">
        <v>1627</v>
      </c>
      <c r="BQ53" s="435" t="s">
        <v>1627</v>
      </c>
      <c r="BR53" s="1045"/>
      <c r="BS53" s="1007"/>
      <c r="BT53" s="498" t="s">
        <v>4806</v>
      </c>
      <c r="BU53" s="1007">
        <f t="shared" si="24"/>
        <v>-81419244</v>
      </c>
      <c r="BV53" s="1047">
        <v>-25755082</v>
      </c>
      <c r="BW53" s="1047">
        <v>-5737500</v>
      </c>
      <c r="BX53" s="1047">
        <v>-545732</v>
      </c>
      <c r="BY53" s="435" t="s">
        <v>1627</v>
      </c>
      <c r="BZ53" s="1045">
        <v>-957449</v>
      </c>
      <c r="CA53" s="435" t="s">
        <v>1627</v>
      </c>
      <c r="CB53" s="435" t="s">
        <v>1627</v>
      </c>
      <c r="CC53" s="1047">
        <v>-48423481</v>
      </c>
      <c r="CD53" s="1007"/>
      <c r="CE53" s="525"/>
      <c r="CG53" s="599"/>
      <c r="CH53" s="599"/>
      <c r="CI53" s="599"/>
      <c r="CJ53" s="599"/>
      <c r="CK53" s="743"/>
      <c r="CL53" s="743"/>
      <c r="CM53" s="599"/>
      <c r="CN53" s="599"/>
      <c r="CO53" s="599"/>
      <c r="CP53" s="599"/>
      <c r="CQ53" s="743"/>
      <c r="CR53" s="1003"/>
      <c r="DR53" s="525"/>
      <c r="DS53" s="525"/>
      <c r="DT53" s="525"/>
      <c r="DU53" s="525"/>
      <c r="DV53" s="525"/>
      <c r="DW53" s="525"/>
      <c r="DX53" s="525"/>
      <c r="DY53" s="525"/>
      <c r="DZ53" s="525"/>
    </row>
    <row r="54" spans="11:170">
      <c r="T54" s="612" t="s">
        <v>4802</v>
      </c>
      <c r="U54" s="1007">
        <f>SUM(V54:AA54)</f>
        <v>-60582</v>
      </c>
      <c r="V54" s="435" t="s">
        <v>1627</v>
      </c>
      <c r="W54" s="435" t="s">
        <v>1627</v>
      </c>
      <c r="X54" s="556" t="s">
        <v>1627</v>
      </c>
      <c r="Y54" s="435" t="s">
        <v>1627</v>
      </c>
      <c r="Z54" s="435" t="s">
        <v>1627</v>
      </c>
      <c r="AA54" s="1045">
        <v>-60582</v>
      </c>
      <c r="AC54" s="1007"/>
      <c r="AD54" s="612" t="s">
        <v>4802</v>
      </c>
      <c r="AE54" s="1008">
        <f>SUM(AF54:AK54)</f>
        <v>-115</v>
      </c>
      <c r="AF54" s="435" t="s">
        <v>1627</v>
      </c>
      <c r="AG54" s="435" t="s">
        <v>1627</v>
      </c>
      <c r="AH54" s="556" t="s">
        <v>1627</v>
      </c>
      <c r="AI54" s="435" t="s">
        <v>1627</v>
      </c>
      <c r="AJ54" s="435" t="s">
        <v>1627</v>
      </c>
      <c r="AK54" s="1045">
        <v>-115</v>
      </c>
      <c r="AL54" s="1007"/>
      <c r="AM54" s="1007"/>
      <c r="AN54" s="588" t="s">
        <v>4807</v>
      </c>
      <c r="AO54" s="1043">
        <f>AO25</f>
        <v>1684685539</v>
      </c>
      <c r="AP54" s="1043">
        <f t="shared" ref="AP54:AW54" si="25">AP25</f>
        <v>463203014</v>
      </c>
      <c r="AQ54" s="1043">
        <f t="shared" si="25"/>
        <v>60784146</v>
      </c>
      <c r="AR54" s="1043">
        <f>AR25</f>
        <v>485336153</v>
      </c>
      <c r="AS54" s="1043">
        <f t="shared" si="25"/>
        <v>29207240</v>
      </c>
      <c r="AT54" s="1043">
        <f t="shared" si="25"/>
        <v>435821</v>
      </c>
      <c r="AU54" s="1043">
        <f t="shared" si="25"/>
        <v>24430335</v>
      </c>
      <c r="AV54" s="1043">
        <f t="shared" si="25"/>
        <v>454131585</v>
      </c>
      <c r="AW54" s="1043">
        <f t="shared" si="25"/>
        <v>167157245</v>
      </c>
      <c r="AX54" s="1007"/>
      <c r="AY54" s="1007"/>
      <c r="AZ54" s="1048" t="s">
        <v>4808</v>
      </c>
      <c r="BA54" s="1023">
        <f>SUM(BA51:BA53)</f>
        <v>5232332</v>
      </c>
      <c r="BB54" s="1023">
        <f>SUM(BB51:BB53)</f>
        <v>-23257200</v>
      </c>
      <c r="BC54" s="1023">
        <f>SUM(BC51:BC53)</f>
        <v>13445367</v>
      </c>
      <c r="BD54" s="1043">
        <f>SUM(BD51:BD53)</f>
        <v>-1245626</v>
      </c>
      <c r="BE54" s="1023">
        <f>SUM(BE51:BE53)</f>
        <v>6443449</v>
      </c>
      <c r="BF54" s="556" t="s">
        <v>1627</v>
      </c>
      <c r="BG54" s="1021">
        <f>SUM(BG51:BG53)</f>
        <v>9846342</v>
      </c>
      <c r="BH54" s="1007"/>
      <c r="BI54" s="1007"/>
      <c r="BJ54" s="451" t="s">
        <v>4804</v>
      </c>
      <c r="BK54" s="1008">
        <f>SUM(BL54:BQ54)</f>
        <v>-292935</v>
      </c>
      <c r="BL54" s="1044">
        <v>-292935</v>
      </c>
      <c r="BM54" s="435" t="s">
        <v>1627</v>
      </c>
      <c r="BN54" s="435" t="s">
        <v>1627</v>
      </c>
      <c r="BO54" s="435" t="s">
        <v>1627</v>
      </c>
      <c r="BP54" s="435" t="s">
        <v>1627</v>
      </c>
      <c r="BQ54" s="435" t="s">
        <v>1627</v>
      </c>
      <c r="BR54" s="1036"/>
      <c r="BS54" s="1007"/>
      <c r="BT54" s="1048" t="s">
        <v>4808</v>
      </c>
      <c r="BU54" s="1023">
        <f>SUM(BU49:BU53)</f>
        <v>1617810</v>
      </c>
      <c r="BV54" s="1023">
        <f>SUM(BV49:BV53)</f>
        <v>7504534</v>
      </c>
      <c r="BW54" s="1023">
        <f>SUM(BW49:BW53)</f>
        <v>12599525</v>
      </c>
      <c r="BX54" s="1023">
        <f>SUM(BX49:BX53)</f>
        <v>-545732</v>
      </c>
      <c r="BY54" s="1034" t="s">
        <v>1627</v>
      </c>
      <c r="BZ54" s="1023">
        <f>SUM(BZ49:BZ53)</f>
        <v>-957449</v>
      </c>
      <c r="CA54" s="1023">
        <f>SUM(CA49:CA53)</f>
        <v>5737500</v>
      </c>
      <c r="CB54" s="1034" t="s">
        <v>1627</v>
      </c>
      <c r="CC54" s="1023">
        <f>SUM(CC49:CC53)</f>
        <v>-22720568</v>
      </c>
      <c r="CD54" s="1007"/>
      <c r="CG54" s="599"/>
      <c r="CH54" s="599"/>
      <c r="CI54" s="599"/>
      <c r="CJ54" s="599"/>
      <c r="CK54" s="743"/>
      <c r="CL54" s="743"/>
      <c r="CM54" s="475"/>
      <c r="CN54" s="475"/>
      <c r="CO54" s="599"/>
      <c r="CP54" s="475"/>
      <c r="CQ54" s="743"/>
      <c r="CR54" s="475"/>
      <c r="CS54" s="1046"/>
      <c r="CT54" s="1046"/>
      <c r="CU54" s="1046"/>
      <c r="CV54" s="1046"/>
      <c r="CW54" s="1046"/>
      <c r="CX54" s="1046"/>
      <c r="CY54" s="1046"/>
      <c r="CZ54" s="1046"/>
      <c r="DA54" s="1046"/>
      <c r="DB54" s="1046"/>
      <c r="DC54" s="1046"/>
      <c r="DD54" s="1046"/>
      <c r="DE54" s="1046"/>
      <c r="DF54" s="1046"/>
      <c r="DG54" s="1046"/>
      <c r="DH54" s="1046"/>
      <c r="DR54" s="525"/>
      <c r="DS54" s="525"/>
      <c r="DT54" s="525"/>
      <c r="DU54" s="525"/>
      <c r="DV54" s="525"/>
      <c r="DW54" s="525"/>
      <c r="DX54" s="525"/>
      <c r="DY54" s="525"/>
      <c r="DZ54" s="525"/>
    </row>
    <row r="55" spans="11:170">
      <c r="T55" s="588" t="s">
        <v>4795</v>
      </c>
      <c r="U55" s="1027">
        <f>SUM(U49:U54)</f>
        <v>785180293</v>
      </c>
      <c r="V55" s="1043">
        <f>SUM(V49:V54)</f>
        <v>195225541</v>
      </c>
      <c r="W55" s="1043">
        <f>SUM(W49:W54)</f>
        <v>389988</v>
      </c>
      <c r="X55" s="1043">
        <f>SUM(X49:X54)</f>
        <v>12029252</v>
      </c>
      <c r="Y55" s="1034" t="s">
        <v>1627</v>
      </c>
      <c r="Z55" s="1043">
        <f>SUM(Z49:Z54)</f>
        <v>459050489</v>
      </c>
      <c r="AA55" s="1043">
        <f>SUM(AA49:AA54)</f>
        <v>118485023</v>
      </c>
      <c r="AD55" s="588" t="s">
        <v>4795</v>
      </c>
      <c r="AE55" s="1043">
        <f>SUM(AE49:AE54)</f>
        <v>700017</v>
      </c>
      <c r="AF55" s="1043">
        <f>SUM(AF49:AF54)</f>
        <v>135468</v>
      </c>
      <c r="AG55" s="1043">
        <f>SUM(AG49:AG54)</f>
        <v>358</v>
      </c>
      <c r="AH55" s="556">
        <v>2</v>
      </c>
      <c r="AI55" s="1034" t="s">
        <v>1627</v>
      </c>
      <c r="AJ55" s="1043">
        <f>SUM(AJ49:AJ54)</f>
        <v>459050</v>
      </c>
      <c r="AK55" s="1043">
        <f>SUM(AK49:AK54)</f>
        <v>105138</v>
      </c>
      <c r="AN55" s="585" t="s">
        <v>4631</v>
      </c>
      <c r="AZ55" s="854" t="s">
        <v>4809</v>
      </c>
      <c r="BA55" s="1036">
        <f>SUM(BB55:BG55)</f>
        <v>85163261</v>
      </c>
      <c r="BB55" s="525">
        <v>59757331</v>
      </c>
      <c r="BC55" s="525">
        <v>31704</v>
      </c>
      <c r="BD55" s="525">
        <v>12027024</v>
      </c>
      <c r="BE55" s="435" t="s">
        <v>1627</v>
      </c>
      <c r="BF55" s="435" t="s">
        <v>1627</v>
      </c>
      <c r="BG55" s="525">
        <v>13347202</v>
      </c>
      <c r="BJ55" s="451" t="s">
        <v>4805</v>
      </c>
      <c r="BK55" s="1007">
        <f>SUM(BL55:BQ55)</f>
        <v>91687</v>
      </c>
      <c r="BL55" s="1036">
        <v>36239</v>
      </c>
      <c r="BM55" s="1036">
        <v>25112</v>
      </c>
      <c r="BN55" s="435" t="s">
        <v>1627</v>
      </c>
      <c r="BO55" s="1036">
        <v>7166</v>
      </c>
      <c r="BP55" s="435" t="s">
        <v>1627</v>
      </c>
      <c r="BQ55" s="1036">
        <v>23170</v>
      </c>
      <c r="BR55" s="1036"/>
      <c r="BT55" s="854" t="s">
        <v>4809</v>
      </c>
      <c r="BU55" s="1036">
        <f>SUM(BV55:CC55)</f>
        <v>13080984</v>
      </c>
      <c r="BV55" s="1036">
        <f>BV54+BV47</f>
        <v>31864822</v>
      </c>
      <c r="BW55" s="1036">
        <f>BW54+BW47</f>
        <v>161402</v>
      </c>
      <c r="BX55" s="1036" t="s">
        <v>1627</v>
      </c>
      <c r="BY55" s="435" t="s">
        <v>1627</v>
      </c>
      <c r="BZ55" s="435" t="s">
        <v>1627</v>
      </c>
      <c r="CA55" s="435" t="s">
        <v>1627</v>
      </c>
      <c r="CB55" s="862">
        <v>1024659</v>
      </c>
      <c r="CC55" s="1036">
        <f>CC54+CC47</f>
        <v>-19969899</v>
      </c>
      <c r="CG55" s="599"/>
      <c r="CH55" s="599"/>
      <c r="CI55" s="599"/>
      <c r="CJ55" s="599"/>
      <c r="CK55" s="743"/>
      <c r="CL55" s="743"/>
      <c r="CM55" s="599"/>
      <c r="CN55" s="599"/>
      <c r="CO55" s="599"/>
      <c r="CP55" s="599"/>
      <c r="CQ55" s="743"/>
      <c r="CR55" s="599"/>
      <c r="DR55" s="525"/>
      <c r="DS55" s="525"/>
      <c r="DT55" s="525"/>
      <c r="DU55" s="525"/>
      <c r="DV55" s="525"/>
      <c r="DW55" s="525"/>
      <c r="DX55" s="525"/>
      <c r="DY55" s="525"/>
      <c r="DZ55" s="525"/>
      <c r="EA55" s="525"/>
    </row>
    <row r="56" spans="11:170">
      <c r="O56" s="1007"/>
      <c r="P56" s="1007"/>
      <c r="Q56" s="1007"/>
      <c r="R56" s="1007"/>
      <c r="S56" s="1007"/>
      <c r="U56" s="1007"/>
      <c r="V56" s="1007"/>
      <c r="W56" s="1007"/>
      <c r="X56" s="1007"/>
      <c r="Y56" s="1007"/>
      <c r="Z56" s="1007"/>
      <c r="AA56" s="1007"/>
      <c r="AB56" s="1007"/>
      <c r="AC56" s="1007"/>
      <c r="AE56" s="1007"/>
      <c r="AF56" s="1007"/>
      <c r="AG56" s="1007"/>
      <c r="AH56" s="1007"/>
      <c r="AI56" s="1007"/>
      <c r="AJ56" s="1007"/>
      <c r="AK56" s="1007"/>
      <c r="AL56" s="1007"/>
      <c r="AM56" s="1007"/>
      <c r="AN56" s="585" t="s">
        <v>4810</v>
      </c>
      <c r="AX56" s="1007"/>
      <c r="AY56" s="1007"/>
      <c r="AZ56" s="381" t="s">
        <v>4811</v>
      </c>
      <c r="BA56" s="1037">
        <f>SUM(BB56:BG56)</f>
        <v>700017032</v>
      </c>
      <c r="BB56" s="866">
        <v>135468210</v>
      </c>
      <c r="BC56" s="633">
        <v>358284</v>
      </c>
      <c r="BD56" s="556">
        <v>2228</v>
      </c>
      <c r="BE56" s="556" t="s">
        <v>1627</v>
      </c>
      <c r="BF56" s="866">
        <v>459050489</v>
      </c>
      <c r="BG56" s="866">
        <v>105137821</v>
      </c>
      <c r="BH56" s="1007"/>
      <c r="BI56" s="1007"/>
      <c r="BJ56" s="498" t="s">
        <v>4806</v>
      </c>
      <c r="BK56" s="1008">
        <v>-91687</v>
      </c>
      <c r="BL56" s="1047">
        <v>-35554</v>
      </c>
      <c r="BM56" s="1047">
        <v>-7166</v>
      </c>
      <c r="BN56" s="1047">
        <v>-3571</v>
      </c>
      <c r="BO56" s="1044">
        <v>-2451</v>
      </c>
      <c r="BP56" s="556" t="s">
        <v>1627</v>
      </c>
      <c r="BQ56" s="1047">
        <v>-42946</v>
      </c>
      <c r="BR56" s="862"/>
      <c r="BS56" s="1007"/>
      <c r="BT56" s="381" t="s">
        <v>4811</v>
      </c>
      <c r="BU56" s="1037">
        <f>SUM(BV56:CC56)</f>
        <v>573695767</v>
      </c>
      <c r="BV56" s="1047">
        <v>-1513682</v>
      </c>
      <c r="BW56" s="1037">
        <v>-234678</v>
      </c>
      <c r="BX56" s="1037" t="s">
        <v>1627</v>
      </c>
      <c r="BY56" s="1037" t="s">
        <v>1627</v>
      </c>
      <c r="BZ56" s="1037" t="s">
        <v>1627</v>
      </c>
      <c r="CA56" s="1037" t="s">
        <v>1627</v>
      </c>
      <c r="CB56" s="866">
        <v>453106926</v>
      </c>
      <c r="CC56" s="866">
        <v>122337201</v>
      </c>
      <c r="CD56" s="1007"/>
      <c r="CG56" s="599"/>
      <c r="CH56" s="599"/>
      <c r="CI56" s="599"/>
      <c r="CJ56" s="475"/>
      <c r="CK56" s="475"/>
      <c r="CL56" s="475"/>
      <c r="CM56" s="475"/>
      <c r="CN56" s="475"/>
      <c r="CO56" s="475"/>
      <c r="CP56" s="475"/>
      <c r="CQ56" s="751"/>
      <c r="CR56" s="475"/>
      <c r="CS56" s="1046"/>
      <c r="CT56" s="1046"/>
      <c r="CU56" s="1046"/>
      <c r="CV56" s="1046"/>
      <c r="CW56" s="1046"/>
      <c r="CX56" s="1046"/>
      <c r="CY56" s="1046"/>
      <c r="CZ56" s="1046"/>
      <c r="DA56" s="1046"/>
      <c r="DB56" s="1046"/>
      <c r="DC56" s="1046"/>
      <c r="DD56" s="1046"/>
      <c r="DE56" s="1046"/>
      <c r="DF56" s="1046"/>
      <c r="DG56" s="1046"/>
      <c r="DH56" s="1046"/>
      <c r="DQ56" s="525"/>
      <c r="DR56" s="525"/>
      <c r="DS56" s="525"/>
      <c r="DT56" s="525"/>
      <c r="DU56" s="525"/>
      <c r="DV56" s="525"/>
      <c r="DW56" s="525"/>
      <c r="DX56" s="525"/>
      <c r="DY56" s="525"/>
      <c r="DZ56" s="525"/>
    </row>
    <row r="57" spans="11:170">
      <c r="T57" s="588" t="s">
        <v>4807</v>
      </c>
      <c r="U57" s="1043">
        <f>U46+U55</f>
        <v>1671275462</v>
      </c>
      <c r="V57" s="1043">
        <f>V26</f>
        <v>607893908</v>
      </c>
      <c r="W57" s="1043">
        <f>W26</f>
        <v>112423508</v>
      </c>
      <c r="X57" s="1043">
        <f>X46+X55</f>
        <v>252878671</v>
      </c>
      <c r="Y57" s="1043">
        <f>Y26</f>
        <v>28232516</v>
      </c>
      <c r="Z57" s="1043">
        <f>Z26</f>
        <v>459050489</v>
      </c>
      <c r="AA57" s="1043">
        <f>AA46+AA55</f>
        <v>210796370</v>
      </c>
      <c r="AC57" s="1007"/>
      <c r="AD57" s="588" t="s">
        <v>4807</v>
      </c>
      <c r="AE57" s="1043">
        <v>1635907</v>
      </c>
      <c r="AF57" s="1043">
        <f>AF26</f>
        <v>536854</v>
      </c>
      <c r="AG57" s="1043">
        <f>AG26</f>
        <v>78101</v>
      </c>
      <c r="AH57" s="1043">
        <f>AH26</f>
        <v>345198</v>
      </c>
      <c r="AI57" s="1043">
        <f>AI26</f>
        <v>40657</v>
      </c>
      <c r="AJ57" s="1043">
        <f>AJ26</f>
        <v>459050</v>
      </c>
      <c r="AK57" s="1043">
        <v>176048</v>
      </c>
      <c r="AL57" s="1007"/>
      <c r="AM57" s="1007"/>
      <c r="AN57" s="1049" t="s">
        <v>4812</v>
      </c>
      <c r="AO57" s="1007"/>
      <c r="AX57" s="1007"/>
      <c r="AY57" s="1007"/>
      <c r="AZ57" s="381" t="s">
        <v>4813</v>
      </c>
      <c r="BA57" s="1037">
        <f>SUM(BA55:BA56)</f>
        <v>785180293</v>
      </c>
      <c r="BB57" s="633">
        <f>SUM(BB55:BB56)</f>
        <v>195225541</v>
      </c>
      <c r="BC57" s="633">
        <f>SUM(BC55:BC56)</f>
        <v>389988</v>
      </c>
      <c r="BD57" s="633">
        <f t="shared" ref="BD57:BF57" si="26">SUM(BD55:BD56)</f>
        <v>12029252</v>
      </c>
      <c r="BE57" s="1050" t="s">
        <v>1627</v>
      </c>
      <c r="BF57" s="633">
        <f t="shared" si="26"/>
        <v>459050489</v>
      </c>
      <c r="BG57" s="633">
        <f>SUM(BG55:BG56)</f>
        <v>118485023</v>
      </c>
      <c r="BH57" s="1007"/>
      <c r="BI57" s="1007"/>
      <c r="BJ57" s="1048" t="s">
        <v>4808</v>
      </c>
      <c r="BK57" s="1023">
        <f>SUM(BK52:BK56)</f>
        <v>3631</v>
      </c>
      <c r="BL57" s="1023">
        <v>4315</v>
      </c>
      <c r="BM57" s="1023">
        <f>SUM(BM52:BM56)</f>
        <v>17946</v>
      </c>
      <c r="BN57" s="1051">
        <f>SUM(BN52:BN56)</f>
        <v>-3571</v>
      </c>
      <c r="BO57" s="1023">
        <v>4716</v>
      </c>
      <c r="BP57" s="556" t="s">
        <v>1627</v>
      </c>
      <c r="BQ57" s="1051">
        <f>SUM(BQ52:BQ56)</f>
        <v>-19776</v>
      </c>
      <c r="BR57" s="862"/>
      <c r="BS57" s="1007"/>
      <c r="BT57" s="381" t="s">
        <v>4813</v>
      </c>
      <c r="BU57" s="1037">
        <f>SUM(BV57:CC57)</f>
        <v>586776751</v>
      </c>
      <c r="BV57" s="1037">
        <f t="shared" ref="BV57:BW57" si="27">SUM(BV55:BV56)</f>
        <v>30351140</v>
      </c>
      <c r="BW57" s="1037">
        <f t="shared" si="27"/>
        <v>-73276</v>
      </c>
      <c r="BX57" s="1037" t="s">
        <v>1627</v>
      </c>
      <c r="BY57" s="556" t="s">
        <v>1627</v>
      </c>
      <c r="BZ57" s="556" t="s">
        <v>1627</v>
      </c>
      <c r="CA57" s="556" t="s">
        <v>1627</v>
      </c>
      <c r="CB57" s="866">
        <f t="shared" ref="CB57:CC57" si="28">SUM(CB55:CB56)</f>
        <v>454131585</v>
      </c>
      <c r="CC57" s="866">
        <f t="shared" si="28"/>
        <v>102367302</v>
      </c>
      <c r="CD57" s="1007"/>
      <c r="CG57" s="599"/>
      <c r="CH57" s="599"/>
      <c r="CI57" s="599"/>
      <c r="CJ57" s="475"/>
      <c r="CK57" s="475"/>
      <c r="CL57" s="475"/>
      <c r="CM57" s="475"/>
      <c r="CN57" s="475"/>
      <c r="CO57" s="599"/>
      <c r="CP57" s="475"/>
      <c r="CQ57" s="743"/>
      <c r="CR57" s="475"/>
      <c r="CS57" s="1046"/>
      <c r="CT57" s="1046"/>
      <c r="CU57" s="1046"/>
      <c r="CV57" s="1046"/>
      <c r="CW57" s="1046"/>
      <c r="CX57" s="1046"/>
      <c r="CY57" s="1046"/>
      <c r="CZ57" s="1046"/>
      <c r="DA57" s="1046"/>
      <c r="DB57" s="1046"/>
      <c r="DC57" s="1046"/>
      <c r="DD57" s="1046"/>
      <c r="DE57" s="1046"/>
      <c r="DF57" s="1046"/>
      <c r="DG57" s="1046"/>
      <c r="DH57" s="1046"/>
      <c r="DQ57" s="525"/>
      <c r="DR57" s="525"/>
      <c r="DS57" s="525"/>
      <c r="DT57" s="525"/>
      <c r="DU57" s="525"/>
      <c r="DV57" s="525"/>
      <c r="DW57" s="525"/>
      <c r="DX57" s="525"/>
      <c r="DY57" s="525"/>
      <c r="DZ57" s="525"/>
      <c r="EA57" s="525"/>
      <c r="FI57" s="525"/>
      <c r="FJ57" s="525"/>
      <c r="FK57" s="525"/>
      <c r="FL57" s="525"/>
      <c r="FM57" s="525"/>
      <c r="FN57" s="525"/>
    </row>
    <row r="58" spans="11:170">
      <c r="K58" s="382"/>
      <c r="L58" s="382"/>
      <c r="M58" s="382"/>
      <c r="N58" s="382"/>
      <c r="O58" s="382"/>
      <c r="T58" s="585" t="s">
        <v>4631</v>
      </c>
      <c r="AC58" s="1007"/>
      <c r="AD58" s="585" t="s">
        <v>4631</v>
      </c>
      <c r="AL58" s="1007"/>
      <c r="AM58" s="1007"/>
      <c r="AN58" s="585" t="s">
        <v>1629</v>
      </c>
      <c r="AX58" s="1007"/>
      <c r="AY58" s="1007"/>
      <c r="AZ58" s="585" t="s">
        <v>4631</v>
      </c>
      <c r="BH58" s="1007"/>
      <c r="BI58" s="1007"/>
      <c r="BJ58" s="854" t="s">
        <v>4809</v>
      </c>
      <c r="BK58" s="1036">
        <v>113240</v>
      </c>
      <c r="BL58" s="1036">
        <v>105117</v>
      </c>
      <c r="BM58" s="1036">
        <v>432</v>
      </c>
      <c r="BN58" s="1036">
        <v>2</v>
      </c>
      <c r="BO58" s="435" t="s">
        <v>1627</v>
      </c>
      <c r="BP58" s="862">
        <v>4919</v>
      </c>
      <c r="BQ58" s="1036">
        <v>2771</v>
      </c>
      <c r="BS58" s="1007"/>
      <c r="BT58" s="585" t="s">
        <v>4631</v>
      </c>
      <c r="CD58" s="1007"/>
      <c r="CG58" s="599"/>
      <c r="CH58" s="599"/>
      <c r="CI58" s="599"/>
      <c r="CJ58" s="599"/>
      <c r="CK58" s="743"/>
      <c r="CL58" s="743"/>
      <c r="CM58" s="599"/>
      <c r="CN58" s="599"/>
      <c r="CO58" s="599"/>
      <c r="CP58" s="599"/>
      <c r="CQ58" s="743"/>
      <c r="CR58" s="599"/>
      <c r="DQ58" s="525"/>
      <c r="DR58" s="525"/>
      <c r="DS58" s="525"/>
      <c r="DT58" s="525"/>
      <c r="DU58" s="525"/>
      <c r="DV58" s="525"/>
      <c r="DW58" s="525"/>
      <c r="DX58" s="525"/>
      <c r="DY58" s="525"/>
      <c r="DZ58" s="525"/>
      <c r="EA58" s="525"/>
    </row>
    <row r="59" spans="11:170">
      <c r="T59" s="382" t="s">
        <v>4810</v>
      </c>
      <c r="AD59" s="382" t="s">
        <v>4810</v>
      </c>
      <c r="AZ59" s="382" t="s">
        <v>4814</v>
      </c>
      <c r="BJ59" s="381" t="s">
        <v>4811</v>
      </c>
      <c r="BK59" s="1037">
        <f>SUM(BL59:BQ59)</f>
        <v>586777</v>
      </c>
      <c r="BL59" s="866">
        <v>30351</v>
      </c>
      <c r="BM59" s="1047">
        <v>-73</v>
      </c>
      <c r="BN59" s="556" t="s">
        <v>1627</v>
      </c>
      <c r="BO59" s="556" t="s">
        <v>1627</v>
      </c>
      <c r="BP59" s="866">
        <v>454132</v>
      </c>
      <c r="BQ59" s="866">
        <v>102367</v>
      </c>
      <c r="BT59" s="382" t="s">
        <v>4814</v>
      </c>
      <c r="CG59" s="599"/>
      <c r="CH59" s="599"/>
      <c r="CI59" s="599"/>
      <c r="CJ59" s="599"/>
      <c r="CK59" s="743"/>
      <c r="CL59" s="743"/>
      <c r="CM59" s="599"/>
      <c r="CN59" s="599"/>
      <c r="CO59" s="599"/>
      <c r="CP59" s="1003"/>
      <c r="CQ59" s="743"/>
      <c r="CR59" s="475"/>
      <c r="CS59" s="1046"/>
      <c r="CT59" s="1046"/>
      <c r="CU59" s="1046"/>
      <c r="CV59" s="1046"/>
      <c r="CW59" s="1046"/>
      <c r="CX59" s="1046"/>
      <c r="CY59" s="1046"/>
      <c r="CZ59" s="1046"/>
      <c r="DA59" s="1046"/>
      <c r="DB59" s="1046"/>
      <c r="DC59" s="1046"/>
      <c r="DD59" s="1046"/>
      <c r="DE59" s="1046"/>
      <c r="DF59" s="1046"/>
      <c r="DG59" s="1046"/>
      <c r="DH59" s="1046"/>
      <c r="DQ59" s="525"/>
      <c r="DR59" s="525"/>
      <c r="DS59" s="525"/>
      <c r="DT59" s="525"/>
      <c r="DU59" s="525"/>
      <c r="DV59" s="525"/>
      <c r="DW59" s="525"/>
      <c r="DX59" s="525"/>
      <c r="DY59" s="525"/>
      <c r="DZ59" s="525"/>
      <c r="EA59" s="525"/>
    </row>
    <row r="60" spans="11:170">
      <c r="T60" s="1049" t="s">
        <v>4812</v>
      </c>
      <c r="AC60" s="525"/>
      <c r="AD60" s="1049" t="s">
        <v>4812</v>
      </c>
      <c r="AL60" s="525"/>
      <c r="AM60" s="525"/>
      <c r="AN60" s="525"/>
      <c r="AO60" s="525"/>
      <c r="AP60" s="525"/>
      <c r="AQ60" s="525"/>
      <c r="AR60" s="525"/>
      <c r="AS60" s="525"/>
      <c r="AT60" s="525"/>
      <c r="AU60" s="525"/>
      <c r="AV60" s="525"/>
      <c r="AW60" s="525"/>
      <c r="AX60" s="525"/>
      <c r="AY60" s="525"/>
      <c r="AZ60" s="585" t="s">
        <v>1629</v>
      </c>
      <c r="BH60" s="525"/>
      <c r="BI60" s="525"/>
      <c r="BJ60" s="381" t="s">
        <v>4813</v>
      </c>
      <c r="BK60" s="1037">
        <v>700017</v>
      </c>
      <c r="BL60" s="1037">
        <f t="shared" ref="BL60" si="29">SUM(BL58:BL59)</f>
        <v>135468</v>
      </c>
      <c r="BM60" s="1037">
        <v>358</v>
      </c>
      <c r="BN60" s="1037">
        <v>2</v>
      </c>
      <c r="BO60" s="556" t="s">
        <v>1627</v>
      </c>
      <c r="BP60" s="866">
        <v>459050</v>
      </c>
      <c r="BQ60" s="866">
        <f t="shared" ref="BQ60" si="30">SUM(BQ58:BQ59)</f>
        <v>105138</v>
      </c>
      <c r="BS60" s="525"/>
      <c r="BT60" s="585" t="s">
        <v>1629</v>
      </c>
      <c r="CD60" s="525"/>
      <c r="CG60" s="599"/>
      <c r="CH60" s="599"/>
      <c r="CI60" s="599"/>
      <c r="CJ60" s="751"/>
      <c r="CK60" s="751"/>
      <c r="CL60" s="475"/>
      <c r="CM60" s="475"/>
      <c r="CN60" s="475"/>
      <c r="CO60" s="475"/>
      <c r="CP60" s="475"/>
      <c r="CQ60" s="751"/>
      <c r="CR60" s="599"/>
      <c r="DQ60" s="1007"/>
      <c r="DR60" s="525"/>
      <c r="DS60" s="525"/>
      <c r="DT60" s="525"/>
      <c r="DU60" s="525"/>
      <c r="DV60" s="525"/>
      <c r="DW60" s="525"/>
      <c r="DX60" s="525"/>
      <c r="DY60" s="525"/>
      <c r="DZ60" s="525"/>
      <c r="EA60" s="525"/>
    </row>
    <row r="61" spans="11:170">
      <c r="T61" s="585" t="s">
        <v>1629</v>
      </c>
      <c r="U61" s="1007"/>
      <c r="AD61" s="585" t="s">
        <v>1629</v>
      </c>
      <c r="AE61" s="1007"/>
      <c r="BJ61" s="585" t="s">
        <v>4631</v>
      </c>
      <c r="BT61" s="1007"/>
      <c r="BU61" s="1007"/>
      <c r="BV61" s="1007"/>
      <c r="BW61" s="1007"/>
      <c r="BX61" s="1007"/>
      <c r="BY61" s="1007"/>
      <c r="BZ61" s="1007"/>
      <c r="CA61" s="1007"/>
      <c r="CB61" s="1007"/>
      <c r="CC61" s="1007"/>
      <c r="CG61" s="599"/>
      <c r="CH61" s="599"/>
      <c r="CI61" s="599"/>
      <c r="CJ61" s="599"/>
      <c r="CK61" s="743"/>
      <c r="CL61" s="743"/>
      <c r="CM61" s="599"/>
      <c r="CN61" s="599"/>
      <c r="CO61" s="599"/>
      <c r="CP61" s="599"/>
      <c r="CQ61" s="743"/>
      <c r="CR61" s="599"/>
      <c r="DQ61" s="525"/>
      <c r="DR61" s="525"/>
      <c r="DS61" s="525"/>
      <c r="DT61" s="525"/>
      <c r="DU61" s="525"/>
      <c r="DV61" s="525"/>
      <c r="DW61" s="525"/>
      <c r="DX61" s="525"/>
      <c r="DY61" s="525"/>
      <c r="DZ61" s="525"/>
      <c r="EA61" s="525"/>
    </row>
    <row r="62" spans="11:170">
      <c r="P62" s="862"/>
      <c r="Q62" s="862"/>
      <c r="R62" s="862"/>
      <c r="S62" s="862"/>
      <c r="T62" s="862"/>
      <c r="U62" s="862"/>
      <c r="V62" s="862"/>
      <c r="W62" s="862"/>
      <c r="X62" s="862"/>
      <c r="Y62" s="862"/>
      <c r="Z62" s="862"/>
      <c r="AA62" s="862"/>
      <c r="AB62" s="862"/>
      <c r="BJ62" s="382" t="s">
        <v>4814</v>
      </c>
      <c r="BR62" s="525"/>
      <c r="BT62" s="1007"/>
      <c r="BU62" s="1007"/>
      <c r="BV62" s="1007"/>
      <c r="BW62" s="1007"/>
      <c r="BX62" s="1007"/>
      <c r="BY62" s="1007"/>
      <c r="BZ62" s="1007"/>
      <c r="CA62" s="1007"/>
      <c r="CB62" s="1007"/>
      <c r="CC62" s="1007"/>
      <c r="DQ62" s="525"/>
      <c r="DR62" s="525"/>
      <c r="DS62" s="525"/>
      <c r="DT62" s="525"/>
      <c r="DU62" s="525"/>
      <c r="DV62" s="525"/>
      <c r="DW62" s="525"/>
      <c r="DX62" s="525"/>
      <c r="DY62" s="525"/>
      <c r="DZ62" s="525"/>
      <c r="EA62" s="525"/>
    </row>
    <row r="63" spans="11:170">
      <c r="P63" s="435"/>
      <c r="Q63" s="435"/>
      <c r="R63" s="435"/>
      <c r="S63" s="435"/>
      <c r="T63" s="435"/>
      <c r="U63" s="435"/>
      <c r="V63" s="435"/>
      <c r="W63" s="435"/>
      <c r="X63" s="435"/>
      <c r="Y63" s="435"/>
      <c r="Z63" s="435"/>
      <c r="AA63" s="435"/>
      <c r="AB63" s="435"/>
      <c r="AD63" s="525"/>
      <c r="BJ63" s="585" t="s">
        <v>1629</v>
      </c>
      <c r="CQ63" s="623"/>
      <c r="CS63" s="623"/>
      <c r="CT63" s="623"/>
      <c r="CU63" s="623"/>
      <c r="CV63" s="623"/>
      <c r="CW63" s="623"/>
      <c r="CX63" s="623"/>
      <c r="CY63" s="623"/>
      <c r="CZ63" s="623"/>
      <c r="DA63" s="623"/>
      <c r="DB63" s="623"/>
      <c r="DC63" s="623"/>
      <c r="DD63" s="623"/>
      <c r="DE63" s="623"/>
      <c r="DF63" s="623"/>
      <c r="DG63" s="623"/>
      <c r="DH63" s="623"/>
      <c r="DQ63" s="525"/>
      <c r="DR63" s="525"/>
      <c r="DS63" s="525"/>
      <c r="DT63" s="525"/>
      <c r="DU63" s="525"/>
      <c r="DV63" s="525"/>
      <c r="DW63" s="525"/>
      <c r="DX63" s="525"/>
      <c r="DY63" s="525"/>
      <c r="DZ63" s="525"/>
      <c r="EA63" s="525"/>
    </row>
    <row r="64" spans="11:170">
      <c r="P64" s="862"/>
      <c r="Q64" s="862"/>
      <c r="R64" s="862"/>
      <c r="S64" s="862"/>
      <c r="T64" s="862"/>
      <c r="U64" s="862"/>
      <c r="V64" s="862"/>
      <c r="W64" s="862"/>
      <c r="X64" s="862"/>
      <c r="Y64" s="862"/>
      <c r="Z64" s="862"/>
      <c r="AA64" s="862"/>
      <c r="AB64" s="862"/>
      <c r="AE64" s="525"/>
      <c r="AF64" s="525"/>
      <c r="AG64" s="525"/>
      <c r="AH64" s="525"/>
      <c r="AI64" s="525"/>
      <c r="AJ64" s="525"/>
      <c r="AK64" s="525"/>
      <c r="BT64" s="525"/>
      <c r="BU64" s="525"/>
      <c r="BV64" s="525"/>
      <c r="BW64" s="525"/>
      <c r="BX64" s="525"/>
      <c r="BY64" s="525"/>
      <c r="BZ64" s="525"/>
      <c r="CA64" s="525"/>
      <c r="CB64" s="525"/>
      <c r="CC64" s="525"/>
      <c r="DQ64" s="525"/>
      <c r="DR64" s="525"/>
      <c r="DS64" s="525"/>
      <c r="DT64" s="525"/>
      <c r="DU64" s="525"/>
      <c r="DV64" s="525"/>
      <c r="DW64" s="525"/>
      <c r="DX64" s="525"/>
      <c r="DY64" s="525"/>
      <c r="DZ64" s="525"/>
    </row>
    <row r="65" spans="16:170">
      <c r="P65" s="862"/>
      <c r="Q65" s="862"/>
      <c r="R65" s="862"/>
      <c r="S65" s="862"/>
      <c r="T65" s="862"/>
      <c r="U65" s="862"/>
      <c r="V65" s="862"/>
      <c r="W65" s="862"/>
      <c r="X65" s="862"/>
      <c r="Y65" s="862"/>
      <c r="Z65" s="862"/>
      <c r="AA65" s="862"/>
      <c r="AB65" s="862"/>
      <c r="BJ65" s="525"/>
      <c r="BK65" s="525"/>
      <c r="BL65" s="525"/>
      <c r="BM65" s="525"/>
      <c r="BN65" s="525"/>
      <c r="BO65" s="525"/>
      <c r="BP65" s="525"/>
      <c r="BQ65" s="525"/>
      <c r="DQ65" s="525"/>
      <c r="DR65" s="525"/>
      <c r="DS65" s="525"/>
      <c r="DT65" s="525"/>
      <c r="DU65" s="525"/>
      <c r="DV65" s="525"/>
      <c r="DW65" s="525"/>
      <c r="DX65" s="525"/>
      <c r="DY65" s="525"/>
      <c r="DZ65" s="525"/>
      <c r="EA65" s="525"/>
    </row>
    <row r="66" spans="16:170">
      <c r="P66" s="862"/>
      <c r="Q66" s="862"/>
      <c r="R66" s="862"/>
      <c r="S66" s="862"/>
      <c r="T66" s="862"/>
      <c r="U66" s="862"/>
      <c r="V66" s="862"/>
      <c r="W66" s="862"/>
      <c r="X66" s="862"/>
      <c r="Y66" s="862"/>
      <c r="Z66" s="862"/>
      <c r="AA66" s="862"/>
      <c r="AB66" s="862"/>
      <c r="BJ66" s="382"/>
      <c r="DQ66" s="525"/>
      <c r="DR66" s="525"/>
      <c r="DS66" s="525"/>
      <c r="DT66" s="525"/>
      <c r="DU66" s="525"/>
      <c r="DV66" s="525"/>
      <c r="DW66" s="525"/>
      <c r="DX66" s="525"/>
      <c r="DY66" s="525"/>
      <c r="DZ66" s="525"/>
    </row>
    <row r="67" spans="16:170">
      <c r="P67" s="862"/>
      <c r="Q67" s="862"/>
      <c r="R67" s="862"/>
      <c r="S67" s="862"/>
      <c r="T67" s="862"/>
      <c r="U67" s="862"/>
      <c r="V67" s="862"/>
      <c r="W67" s="862"/>
      <c r="X67" s="862"/>
      <c r="Y67" s="862"/>
      <c r="Z67" s="862"/>
      <c r="AA67" s="862"/>
      <c r="AB67" s="862"/>
      <c r="DQ67" s="525"/>
      <c r="DR67" s="525"/>
      <c r="DS67" s="525"/>
      <c r="DT67" s="525"/>
      <c r="DU67" s="525"/>
      <c r="DV67" s="525"/>
      <c r="DW67" s="525"/>
      <c r="DX67" s="525"/>
      <c r="DY67" s="525"/>
      <c r="DZ67" s="525"/>
    </row>
    <row r="68" spans="16:170">
      <c r="P68" s="862"/>
      <c r="Q68" s="862"/>
      <c r="R68" s="862"/>
      <c r="S68" s="862"/>
      <c r="T68" s="862"/>
      <c r="U68" s="862"/>
      <c r="V68" s="862"/>
      <c r="W68" s="862"/>
      <c r="X68" s="862"/>
      <c r="Y68" s="862"/>
      <c r="Z68" s="862"/>
      <c r="AA68" s="862"/>
      <c r="AB68" s="862"/>
      <c r="DQ68" s="525"/>
      <c r="DR68" s="525"/>
      <c r="DS68" s="525"/>
      <c r="DT68" s="525"/>
      <c r="DU68" s="525"/>
      <c r="DV68" s="525"/>
      <c r="DW68" s="525"/>
      <c r="DX68" s="525"/>
      <c r="DY68" s="525"/>
      <c r="DZ68" s="525"/>
    </row>
    <row r="69" spans="16:170">
      <c r="P69" s="862"/>
      <c r="Q69" s="862"/>
      <c r="R69" s="862"/>
      <c r="S69" s="862"/>
      <c r="T69" s="862"/>
      <c r="U69" s="862"/>
      <c r="V69" s="862"/>
      <c r="W69" s="862"/>
      <c r="X69" s="862"/>
      <c r="Y69" s="862"/>
      <c r="Z69" s="862"/>
      <c r="AA69" s="862"/>
      <c r="AB69" s="862"/>
      <c r="AZ69" s="525"/>
      <c r="BA69" s="525"/>
      <c r="BB69" s="525"/>
      <c r="BC69" s="525"/>
      <c r="BD69" s="525"/>
      <c r="BE69" s="525"/>
      <c r="BF69" s="525"/>
      <c r="BG69" s="525"/>
      <c r="DQ69" s="525"/>
      <c r="DR69" s="525"/>
      <c r="DS69" s="525"/>
      <c r="DT69" s="525"/>
      <c r="DU69" s="525"/>
      <c r="DV69" s="525"/>
      <c r="DW69" s="525"/>
      <c r="DX69" s="525"/>
      <c r="DY69" s="525"/>
      <c r="DZ69" s="525"/>
    </row>
    <row r="70" spans="16:170">
      <c r="P70" s="862"/>
      <c r="Q70" s="862"/>
      <c r="R70" s="862"/>
      <c r="S70" s="862"/>
      <c r="T70" s="862"/>
      <c r="U70" s="862"/>
      <c r="V70" s="862"/>
      <c r="W70" s="862"/>
      <c r="X70" s="862"/>
      <c r="Y70" s="862"/>
      <c r="Z70" s="862"/>
      <c r="AA70" s="862"/>
      <c r="AB70" s="862"/>
      <c r="AZ70" s="599"/>
      <c r="BA70" s="599"/>
      <c r="BB70" s="599"/>
      <c r="BC70" s="599"/>
      <c r="BD70" s="599"/>
      <c r="BE70" s="599"/>
      <c r="BF70" s="599"/>
      <c r="BG70" s="599"/>
      <c r="DQ70" s="525"/>
    </row>
    <row r="71" spans="16:170">
      <c r="P71" s="435"/>
      <c r="Q71" s="435"/>
      <c r="R71" s="435"/>
      <c r="S71" s="435"/>
      <c r="T71" s="435"/>
      <c r="U71" s="435"/>
      <c r="V71" s="435"/>
      <c r="W71" s="435"/>
      <c r="X71" s="435"/>
      <c r="Y71" s="435"/>
      <c r="Z71" s="435"/>
      <c r="AA71" s="435"/>
      <c r="AB71" s="435"/>
      <c r="AZ71" s="599"/>
      <c r="BA71" s="599"/>
      <c r="BB71" s="599"/>
      <c r="BC71" s="599"/>
      <c r="BD71" s="599"/>
      <c r="BE71" s="599"/>
      <c r="BF71" s="599"/>
      <c r="BG71" s="599"/>
      <c r="DQ71" s="525"/>
    </row>
    <row r="72" spans="16:170">
      <c r="P72" s="435"/>
      <c r="Q72" s="435"/>
      <c r="R72" s="435"/>
      <c r="S72" s="435"/>
      <c r="T72" s="435"/>
      <c r="U72" s="435"/>
      <c r="V72" s="435"/>
      <c r="W72" s="435"/>
      <c r="X72" s="435"/>
      <c r="Y72" s="435"/>
      <c r="Z72" s="435"/>
      <c r="AA72" s="435"/>
      <c r="AB72" s="435"/>
      <c r="AC72" s="525"/>
      <c r="AL72" s="525"/>
      <c r="AM72" s="525"/>
      <c r="AN72" s="525"/>
      <c r="AO72" s="525"/>
      <c r="AP72" s="525"/>
      <c r="AQ72" s="525"/>
      <c r="AR72" s="525"/>
      <c r="AS72" s="525"/>
      <c r="AT72" s="525"/>
      <c r="AU72" s="525"/>
      <c r="AV72" s="525"/>
      <c r="AW72" s="525"/>
      <c r="AX72" s="525"/>
      <c r="AY72" s="525"/>
      <c r="BH72" s="525"/>
      <c r="BI72" s="525"/>
      <c r="BS72" s="525"/>
      <c r="CD72" s="525"/>
      <c r="DQ72" s="525"/>
      <c r="FJ72" s="525"/>
      <c r="FK72" s="525"/>
      <c r="FM72" s="525"/>
      <c r="FN72" s="525"/>
    </row>
    <row r="73" spans="16:170">
      <c r="P73" s="435"/>
      <c r="Q73" s="435"/>
      <c r="R73" s="435"/>
      <c r="S73" s="435"/>
      <c r="T73" s="435"/>
      <c r="U73" s="435"/>
      <c r="V73" s="435"/>
      <c r="W73" s="435"/>
      <c r="X73" s="435"/>
      <c r="Y73" s="435"/>
      <c r="Z73" s="435"/>
      <c r="AA73" s="435"/>
      <c r="AB73" s="435"/>
      <c r="AC73" s="599"/>
      <c r="AL73" s="599"/>
      <c r="AM73" s="599"/>
      <c r="AN73" s="599"/>
      <c r="AO73" s="599"/>
      <c r="AP73" s="599"/>
      <c r="AQ73" s="599"/>
      <c r="AR73" s="599"/>
      <c r="AS73" s="599"/>
      <c r="AT73" s="599"/>
      <c r="AU73" s="599"/>
      <c r="AV73" s="599"/>
      <c r="AW73" s="599"/>
      <c r="AX73" s="599"/>
      <c r="AY73" s="599"/>
      <c r="AZ73" s="525"/>
      <c r="BA73" s="525"/>
      <c r="BB73" s="525"/>
      <c r="BC73" s="525"/>
      <c r="BD73" s="525"/>
      <c r="BE73" s="525"/>
      <c r="BF73" s="525"/>
      <c r="BG73" s="525"/>
      <c r="BH73" s="599"/>
      <c r="BI73" s="599"/>
      <c r="BS73" s="599"/>
      <c r="CD73" s="599"/>
      <c r="DQ73" s="525"/>
    </row>
    <row r="74" spans="16:170">
      <c r="P74" s="435"/>
      <c r="Q74" s="435"/>
      <c r="R74" s="435"/>
      <c r="S74" s="435"/>
      <c r="T74" s="435"/>
      <c r="U74" s="435"/>
      <c r="V74" s="435"/>
      <c r="W74" s="435"/>
      <c r="X74" s="435"/>
      <c r="Y74" s="435"/>
      <c r="Z74" s="435"/>
      <c r="AA74" s="435"/>
      <c r="AB74" s="435"/>
      <c r="AC74" s="599"/>
      <c r="AL74" s="599"/>
      <c r="AM74" s="599"/>
      <c r="AN74" s="599"/>
      <c r="AO74" s="599"/>
      <c r="AP74" s="599"/>
      <c r="AQ74" s="599"/>
      <c r="AR74" s="599"/>
      <c r="AS74" s="599"/>
      <c r="AT74" s="599"/>
      <c r="AU74" s="599"/>
      <c r="AV74" s="599"/>
      <c r="AW74" s="599"/>
      <c r="AX74" s="599"/>
      <c r="AY74" s="599"/>
      <c r="AZ74" s="525"/>
      <c r="BA74" s="525"/>
      <c r="BB74" s="525"/>
      <c r="BC74" s="525"/>
      <c r="BD74" s="525"/>
      <c r="BE74" s="525"/>
      <c r="BF74" s="525"/>
      <c r="BG74" s="525"/>
      <c r="BH74" s="599"/>
      <c r="BI74" s="599"/>
      <c r="BR74" s="525"/>
      <c r="BS74" s="599"/>
      <c r="CD74" s="599"/>
    </row>
    <row r="75" spans="16:170">
      <c r="P75" s="435"/>
      <c r="Q75" s="435"/>
      <c r="R75" s="435"/>
      <c r="S75" s="435"/>
      <c r="T75" s="435"/>
      <c r="U75" s="435"/>
      <c r="V75" s="435"/>
      <c r="W75" s="435"/>
      <c r="X75" s="435"/>
      <c r="Y75" s="435"/>
      <c r="Z75" s="435"/>
      <c r="AA75" s="435"/>
      <c r="AB75" s="435"/>
      <c r="AD75" s="525"/>
      <c r="AZ75" s="599"/>
      <c r="BA75" s="599"/>
      <c r="BB75" s="599"/>
      <c r="BC75" s="599"/>
      <c r="BD75" s="599"/>
      <c r="BE75" s="599"/>
      <c r="BF75" s="599"/>
      <c r="BG75" s="599"/>
      <c r="BR75" s="599"/>
    </row>
    <row r="76" spans="16:170">
      <c r="P76" s="862"/>
      <c r="Q76" s="862"/>
      <c r="R76" s="862"/>
      <c r="S76" s="862"/>
      <c r="T76" s="862"/>
      <c r="U76" s="862"/>
      <c r="V76" s="862"/>
      <c r="W76" s="862"/>
      <c r="X76" s="862"/>
      <c r="Y76" s="862"/>
      <c r="Z76" s="862"/>
      <c r="AA76" s="862"/>
      <c r="AB76" s="862"/>
      <c r="AC76" s="525"/>
      <c r="AD76" s="599"/>
      <c r="AE76" s="525"/>
      <c r="AF76" s="525"/>
      <c r="AG76" s="525"/>
      <c r="AH76" s="525"/>
      <c r="AI76" s="525"/>
      <c r="AJ76" s="525"/>
      <c r="AK76" s="525"/>
      <c r="AL76" s="525"/>
      <c r="AM76" s="525"/>
      <c r="AN76" s="525"/>
      <c r="AO76" s="525"/>
      <c r="AP76" s="525"/>
      <c r="AQ76" s="525"/>
      <c r="AR76" s="525"/>
      <c r="AS76" s="525"/>
      <c r="AT76" s="525"/>
      <c r="AU76" s="525"/>
      <c r="AV76" s="525"/>
      <c r="AW76" s="525"/>
      <c r="AX76" s="525"/>
      <c r="AY76" s="525"/>
      <c r="AZ76" s="525"/>
      <c r="BA76" s="525"/>
      <c r="BB76" s="525"/>
      <c r="BC76" s="525"/>
      <c r="BD76" s="525"/>
      <c r="BE76" s="525"/>
      <c r="BF76" s="525"/>
      <c r="BG76" s="525"/>
      <c r="BH76" s="525"/>
      <c r="BI76" s="525"/>
      <c r="BR76" s="599"/>
      <c r="BS76" s="525"/>
      <c r="BT76" s="525"/>
      <c r="BU76" s="525"/>
      <c r="BV76" s="525"/>
      <c r="BW76" s="525"/>
      <c r="BX76" s="525"/>
      <c r="BY76" s="525"/>
      <c r="BZ76" s="525"/>
      <c r="CA76" s="525"/>
      <c r="CB76" s="525"/>
      <c r="CC76" s="525"/>
      <c r="CD76" s="525"/>
    </row>
    <row r="77" spans="16:170">
      <c r="P77" s="862"/>
      <c r="Q77" s="862"/>
      <c r="R77" s="862"/>
      <c r="S77" s="862"/>
      <c r="T77" s="862"/>
      <c r="U77" s="862"/>
      <c r="V77" s="862"/>
      <c r="W77" s="862"/>
      <c r="X77" s="862"/>
      <c r="Y77" s="862"/>
      <c r="Z77" s="862"/>
      <c r="AA77" s="862"/>
      <c r="AB77" s="862"/>
      <c r="AC77" s="525"/>
      <c r="AD77" s="599"/>
      <c r="AE77" s="599"/>
      <c r="AF77" s="599"/>
      <c r="AG77" s="599"/>
      <c r="AH77" s="599"/>
      <c r="AI77" s="599"/>
      <c r="AJ77" s="599"/>
      <c r="AK77" s="599"/>
      <c r="AL77" s="525"/>
      <c r="AM77" s="525"/>
      <c r="AN77" s="525"/>
      <c r="AO77" s="525"/>
      <c r="AP77" s="525"/>
      <c r="AQ77" s="525"/>
      <c r="AR77" s="525"/>
      <c r="AS77" s="525"/>
      <c r="AT77" s="525"/>
      <c r="AU77" s="525"/>
      <c r="AV77" s="525"/>
      <c r="AW77" s="525"/>
      <c r="AX77" s="525"/>
      <c r="AY77" s="525"/>
      <c r="AZ77" s="525"/>
      <c r="BA77" s="525"/>
      <c r="BB77" s="525"/>
      <c r="BC77" s="525"/>
      <c r="BD77" s="525"/>
      <c r="BE77" s="525"/>
      <c r="BF77" s="525"/>
      <c r="BG77" s="525"/>
      <c r="BH77" s="525"/>
      <c r="BI77" s="525"/>
      <c r="BJ77" s="525"/>
      <c r="BK77" s="525"/>
      <c r="BL77" s="525"/>
      <c r="BM77" s="525"/>
      <c r="BN77" s="525"/>
      <c r="BO77" s="525"/>
      <c r="BP77" s="525"/>
      <c r="BQ77" s="525"/>
      <c r="BS77" s="525"/>
      <c r="BT77" s="599"/>
      <c r="BU77" s="599"/>
      <c r="BV77" s="599"/>
      <c r="BW77" s="599"/>
      <c r="BX77" s="599"/>
      <c r="BY77" s="599"/>
      <c r="BZ77" s="599"/>
      <c r="CA77" s="599"/>
      <c r="CB77" s="599"/>
      <c r="CC77" s="599"/>
      <c r="CD77" s="525"/>
    </row>
    <row r="78" spans="16:170">
      <c r="AC78" s="599"/>
      <c r="AE78" s="599"/>
      <c r="AF78" s="599"/>
      <c r="AG78" s="599"/>
      <c r="AH78" s="599"/>
      <c r="AI78" s="599"/>
      <c r="AJ78" s="599"/>
      <c r="AK78" s="599"/>
      <c r="AL78" s="599"/>
      <c r="AM78" s="599"/>
      <c r="AN78" s="599"/>
      <c r="AO78" s="599"/>
      <c r="AP78" s="599"/>
      <c r="AQ78" s="599"/>
      <c r="AR78" s="599"/>
      <c r="AS78" s="599"/>
      <c r="AT78" s="599"/>
      <c r="AU78" s="599"/>
      <c r="AV78" s="599"/>
      <c r="AW78" s="599"/>
      <c r="AX78" s="599"/>
      <c r="AY78" s="599"/>
      <c r="AZ78" s="525"/>
      <c r="BA78" s="525"/>
      <c r="BB78" s="525"/>
      <c r="BC78" s="525"/>
      <c r="BD78" s="525"/>
      <c r="BE78" s="525"/>
      <c r="BF78" s="525"/>
      <c r="BG78" s="525"/>
      <c r="BH78" s="599"/>
      <c r="BI78" s="599"/>
      <c r="BJ78" s="599"/>
      <c r="BK78" s="599"/>
      <c r="BL78" s="599"/>
      <c r="BM78" s="599"/>
      <c r="BN78" s="599"/>
      <c r="BO78" s="599"/>
      <c r="BP78" s="599"/>
      <c r="BQ78" s="599"/>
      <c r="BR78" s="525"/>
      <c r="BS78" s="599"/>
      <c r="BT78" s="599"/>
      <c r="BU78" s="599"/>
      <c r="BV78" s="599"/>
      <c r="BW78" s="599"/>
      <c r="BX78" s="599"/>
      <c r="BY78" s="599"/>
      <c r="BZ78" s="599"/>
      <c r="CA78" s="599"/>
      <c r="CB78" s="599"/>
      <c r="CC78" s="599"/>
      <c r="CD78" s="599"/>
    </row>
    <row r="79" spans="16:170">
      <c r="AC79" s="525"/>
      <c r="AD79" s="525"/>
      <c r="AL79" s="525"/>
      <c r="AM79" s="525"/>
      <c r="AN79" s="525"/>
      <c r="AO79" s="525"/>
      <c r="AP79" s="525"/>
      <c r="AQ79" s="525"/>
      <c r="AR79" s="525"/>
      <c r="AS79" s="525"/>
      <c r="AT79" s="525"/>
      <c r="AU79" s="525"/>
      <c r="AV79" s="525"/>
      <c r="AW79" s="525"/>
      <c r="AX79" s="525"/>
      <c r="AY79" s="525"/>
      <c r="AZ79" s="599"/>
      <c r="BA79" s="599"/>
      <c r="BB79" s="599"/>
      <c r="BC79" s="599"/>
      <c r="BD79" s="599"/>
      <c r="BE79" s="599"/>
      <c r="BF79" s="599"/>
      <c r="BG79" s="599"/>
      <c r="BH79" s="525"/>
      <c r="BI79" s="525"/>
      <c r="BJ79" s="599"/>
      <c r="BK79" s="599"/>
      <c r="BL79" s="599"/>
      <c r="BM79" s="599"/>
      <c r="BN79" s="599"/>
      <c r="BO79" s="599"/>
      <c r="BP79" s="599"/>
      <c r="BQ79" s="599"/>
      <c r="BR79" s="525"/>
      <c r="BS79" s="525"/>
      <c r="CD79" s="525"/>
    </row>
    <row r="80" spans="16:170">
      <c r="AC80" s="525"/>
      <c r="AD80" s="525"/>
      <c r="AE80" s="525"/>
      <c r="AF80" s="525"/>
      <c r="AG80" s="525"/>
      <c r="AH80" s="525"/>
      <c r="AI80" s="525"/>
      <c r="AJ80" s="525"/>
      <c r="AK80" s="525"/>
      <c r="AL80" s="525"/>
      <c r="AM80" s="525"/>
      <c r="AN80" s="525"/>
      <c r="AO80" s="525"/>
      <c r="AP80" s="525"/>
      <c r="AQ80" s="525"/>
      <c r="AR80" s="525"/>
      <c r="AS80" s="525"/>
      <c r="AT80" s="525"/>
      <c r="AU80" s="525"/>
      <c r="AV80" s="525"/>
      <c r="AW80" s="525"/>
      <c r="AX80" s="525"/>
      <c r="AY80" s="525"/>
      <c r="AZ80" s="599"/>
      <c r="BA80" s="599"/>
      <c r="BB80" s="599"/>
      <c r="BC80" s="599"/>
      <c r="BD80" s="599"/>
      <c r="BE80" s="599"/>
      <c r="BF80" s="599"/>
      <c r="BG80" s="599"/>
      <c r="BH80" s="525"/>
      <c r="BI80" s="525"/>
      <c r="BR80" s="599"/>
      <c r="BS80" s="525"/>
      <c r="BT80" s="525"/>
      <c r="BU80" s="525"/>
      <c r="BV80" s="525"/>
      <c r="BW80" s="525"/>
      <c r="BX80" s="525"/>
      <c r="BY80" s="525"/>
      <c r="BZ80" s="525"/>
      <c r="CA80" s="525"/>
      <c r="CB80" s="525"/>
      <c r="CC80" s="525"/>
      <c r="CD80" s="525"/>
    </row>
    <row r="81" spans="11:82">
      <c r="P81" s="435"/>
      <c r="Q81" s="435"/>
      <c r="R81" s="435"/>
      <c r="S81" s="435"/>
      <c r="T81" s="435"/>
      <c r="U81" s="435"/>
      <c r="V81" s="435"/>
      <c r="W81" s="435"/>
      <c r="X81" s="435"/>
      <c r="Y81" s="435"/>
      <c r="Z81" s="435"/>
      <c r="AA81" s="435"/>
      <c r="AB81" s="435"/>
      <c r="AC81" s="525"/>
      <c r="AD81" s="599"/>
      <c r="AE81" s="525"/>
      <c r="AF81" s="525"/>
      <c r="AG81" s="525"/>
      <c r="AH81" s="525"/>
      <c r="AI81" s="525"/>
      <c r="AJ81" s="525"/>
      <c r="AK81" s="525"/>
      <c r="AL81" s="525"/>
      <c r="AM81" s="525"/>
      <c r="AN81" s="525"/>
      <c r="AO81" s="525"/>
      <c r="AP81" s="525"/>
      <c r="AQ81" s="525"/>
      <c r="AR81" s="525"/>
      <c r="AS81" s="525"/>
      <c r="AT81" s="525"/>
      <c r="AU81" s="525"/>
      <c r="AV81" s="525"/>
      <c r="AW81" s="525"/>
      <c r="AX81" s="525"/>
      <c r="AY81" s="525"/>
      <c r="BH81" s="525"/>
      <c r="BI81" s="525"/>
      <c r="BJ81" s="525"/>
      <c r="BK81" s="525"/>
      <c r="BL81" s="525"/>
      <c r="BM81" s="525"/>
      <c r="BN81" s="525"/>
      <c r="BO81" s="525"/>
      <c r="BP81" s="525"/>
      <c r="BQ81" s="525"/>
      <c r="BR81" s="525"/>
      <c r="BS81" s="525"/>
      <c r="BT81" s="525"/>
      <c r="BU81" s="525"/>
      <c r="BV81" s="525"/>
      <c r="BW81" s="525"/>
      <c r="BX81" s="525"/>
      <c r="BY81" s="525"/>
      <c r="BZ81" s="525"/>
      <c r="CA81" s="525"/>
      <c r="CB81" s="525"/>
      <c r="CC81" s="525"/>
      <c r="CD81" s="525"/>
    </row>
    <row r="82" spans="11:82">
      <c r="P82" s="862"/>
      <c r="Q82" s="862"/>
      <c r="R82" s="862"/>
      <c r="S82" s="862"/>
      <c r="T82" s="862"/>
      <c r="U82" s="862"/>
      <c r="V82" s="862"/>
      <c r="W82" s="862"/>
      <c r="X82" s="862"/>
      <c r="Y82" s="862"/>
      <c r="Z82" s="862"/>
      <c r="AA82" s="862"/>
      <c r="AB82" s="862"/>
      <c r="AC82" s="599"/>
      <c r="AD82" s="525"/>
      <c r="AE82" s="599"/>
      <c r="AF82" s="599"/>
      <c r="AG82" s="599"/>
      <c r="AH82" s="599"/>
      <c r="AI82" s="599"/>
      <c r="AJ82" s="599"/>
      <c r="AK82" s="599"/>
      <c r="AL82" s="599"/>
      <c r="AM82" s="599"/>
      <c r="AN82" s="599"/>
      <c r="AO82" s="599"/>
      <c r="AP82" s="599"/>
      <c r="AQ82" s="599"/>
      <c r="AR82" s="599"/>
      <c r="AS82" s="599"/>
      <c r="AT82" s="599"/>
      <c r="AU82" s="599"/>
      <c r="AV82" s="599"/>
      <c r="AW82" s="599"/>
      <c r="AX82" s="599"/>
      <c r="AY82" s="599"/>
      <c r="AZ82" s="599"/>
      <c r="BA82" s="599"/>
      <c r="BB82" s="599"/>
      <c r="BC82" s="599"/>
      <c r="BD82" s="599"/>
      <c r="BE82" s="599"/>
      <c r="BF82" s="599"/>
      <c r="BG82" s="599"/>
      <c r="BH82" s="599"/>
      <c r="BI82" s="599"/>
      <c r="BJ82" s="525"/>
      <c r="BK82" s="525"/>
      <c r="BL82" s="525"/>
      <c r="BM82" s="525"/>
      <c r="BN82" s="525"/>
      <c r="BO82" s="525"/>
      <c r="BP82" s="525"/>
      <c r="BQ82" s="525"/>
      <c r="BR82" s="525"/>
      <c r="BS82" s="599"/>
      <c r="BT82" s="599"/>
      <c r="BU82" s="599"/>
      <c r="BV82" s="599"/>
      <c r="BW82" s="599"/>
      <c r="BX82" s="599"/>
      <c r="BY82" s="599"/>
      <c r="BZ82" s="599"/>
      <c r="CA82" s="599"/>
      <c r="CB82" s="599"/>
      <c r="CC82" s="599"/>
      <c r="CD82" s="599"/>
    </row>
    <row r="83" spans="11:82">
      <c r="P83" s="862"/>
      <c r="Q83" s="862"/>
      <c r="R83" s="862"/>
      <c r="S83" s="862"/>
      <c r="T83" s="862"/>
      <c r="U83" s="862"/>
      <c r="V83" s="862"/>
      <c r="W83" s="862"/>
      <c r="X83" s="862"/>
      <c r="Y83" s="862"/>
      <c r="Z83" s="862"/>
      <c r="AA83" s="862"/>
      <c r="AB83" s="862"/>
      <c r="AC83" s="599"/>
      <c r="AD83" s="525"/>
      <c r="AE83" s="525"/>
      <c r="AF83" s="525"/>
      <c r="AG83" s="525"/>
      <c r="AH83" s="525"/>
      <c r="AI83" s="525"/>
      <c r="AJ83" s="525"/>
      <c r="AK83" s="525"/>
      <c r="AL83" s="599"/>
      <c r="AM83" s="599"/>
      <c r="AN83" s="599"/>
      <c r="AO83" s="599"/>
      <c r="AP83" s="599"/>
      <c r="AQ83" s="599"/>
      <c r="AR83" s="599"/>
      <c r="AS83" s="599"/>
      <c r="AT83" s="599"/>
      <c r="AU83" s="599"/>
      <c r="AV83" s="599"/>
      <c r="AW83" s="599"/>
      <c r="AX83" s="599"/>
      <c r="AY83" s="599"/>
      <c r="AZ83" s="599"/>
      <c r="BA83" s="599"/>
      <c r="BB83" s="599"/>
      <c r="BC83" s="599"/>
      <c r="BD83" s="599"/>
      <c r="BE83" s="599"/>
      <c r="BF83" s="599"/>
      <c r="BG83" s="599"/>
      <c r="BH83" s="599"/>
      <c r="BI83" s="599"/>
      <c r="BJ83" s="599"/>
      <c r="BK83" s="599"/>
      <c r="BL83" s="599"/>
      <c r="BM83" s="599"/>
      <c r="BN83" s="599"/>
      <c r="BO83" s="599"/>
      <c r="BP83" s="599"/>
      <c r="BQ83" s="599"/>
      <c r="BR83" s="525"/>
      <c r="BS83" s="599"/>
      <c r="BT83" s="525"/>
      <c r="BU83" s="525"/>
      <c r="BV83" s="525"/>
      <c r="BW83" s="525"/>
      <c r="BX83" s="525"/>
      <c r="BY83" s="525"/>
      <c r="BZ83" s="525"/>
      <c r="CA83" s="525"/>
      <c r="CB83" s="525"/>
      <c r="CC83" s="525"/>
      <c r="CD83" s="599"/>
    </row>
    <row r="84" spans="11:82">
      <c r="P84" s="862"/>
      <c r="Q84" s="862"/>
      <c r="R84" s="862"/>
      <c r="S84" s="862"/>
      <c r="T84" s="862"/>
      <c r="U84" s="862"/>
      <c r="V84" s="862"/>
      <c r="W84" s="862"/>
      <c r="X84" s="862"/>
      <c r="Y84" s="862"/>
      <c r="Z84" s="862"/>
      <c r="AA84" s="862"/>
      <c r="AB84" s="862"/>
      <c r="AD84" s="525"/>
      <c r="AE84" s="525"/>
      <c r="AF84" s="525"/>
      <c r="AG84" s="525"/>
      <c r="AH84" s="525"/>
      <c r="AI84" s="525"/>
      <c r="AJ84" s="525"/>
      <c r="AK84" s="525"/>
      <c r="AZ84" s="599"/>
      <c r="BA84" s="599"/>
      <c r="BB84" s="599"/>
      <c r="BC84" s="599"/>
      <c r="BD84" s="599"/>
      <c r="BE84" s="599"/>
      <c r="BF84" s="599"/>
      <c r="BG84" s="599"/>
      <c r="BJ84" s="525"/>
      <c r="BK84" s="525"/>
      <c r="BL84" s="525"/>
      <c r="BM84" s="525"/>
      <c r="BN84" s="525"/>
      <c r="BO84" s="525"/>
      <c r="BP84" s="525"/>
      <c r="BQ84" s="525"/>
      <c r="BR84" s="599"/>
      <c r="BT84" s="525"/>
      <c r="BU84" s="525"/>
      <c r="BV84" s="525"/>
      <c r="BW84" s="525"/>
      <c r="BX84" s="525"/>
      <c r="BY84" s="525"/>
      <c r="BZ84" s="525"/>
      <c r="CA84" s="525"/>
      <c r="CB84" s="525"/>
      <c r="CC84" s="525"/>
    </row>
    <row r="85" spans="11:82">
      <c r="P85" s="862"/>
      <c r="Q85" s="862"/>
      <c r="R85" s="862"/>
      <c r="S85" s="862"/>
      <c r="T85" s="862"/>
      <c r="U85" s="862"/>
      <c r="V85" s="862"/>
      <c r="W85" s="862"/>
      <c r="X85" s="862"/>
      <c r="Y85" s="862"/>
      <c r="Z85" s="862"/>
      <c r="AA85" s="862"/>
      <c r="AB85" s="862"/>
      <c r="AC85" s="599"/>
      <c r="AD85" s="599"/>
      <c r="AE85" s="525"/>
      <c r="AF85" s="525"/>
      <c r="AG85" s="525"/>
      <c r="AH85" s="525"/>
      <c r="AI85" s="525"/>
      <c r="AJ85" s="525"/>
      <c r="AK85" s="525"/>
      <c r="AL85" s="599"/>
      <c r="AM85" s="599"/>
      <c r="AN85" s="599"/>
      <c r="AO85" s="599"/>
      <c r="AP85" s="599"/>
      <c r="AQ85" s="599"/>
      <c r="AR85" s="599"/>
      <c r="AS85" s="599"/>
      <c r="AT85" s="599"/>
      <c r="AU85" s="599"/>
      <c r="AV85" s="599"/>
      <c r="AW85" s="599"/>
      <c r="AX85" s="599"/>
      <c r="AY85" s="599"/>
      <c r="BH85" s="599"/>
      <c r="BI85" s="599"/>
      <c r="BJ85" s="525"/>
      <c r="BK85" s="525"/>
      <c r="BL85" s="525"/>
      <c r="BM85" s="525"/>
      <c r="BN85" s="525"/>
      <c r="BO85" s="525"/>
      <c r="BP85" s="525"/>
      <c r="BQ85" s="525"/>
      <c r="BR85" s="599"/>
      <c r="BS85" s="599"/>
      <c r="BT85" s="525"/>
      <c r="BU85" s="525"/>
      <c r="BV85" s="525"/>
      <c r="BW85" s="525"/>
      <c r="BX85" s="525"/>
      <c r="BY85" s="525"/>
      <c r="BZ85" s="525"/>
      <c r="CA85" s="525"/>
      <c r="CB85" s="525"/>
      <c r="CC85" s="525"/>
      <c r="CD85" s="599"/>
    </row>
    <row r="86" spans="11:82">
      <c r="K86" s="451"/>
      <c r="L86" s="451"/>
      <c r="M86" s="451"/>
      <c r="N86" s="451"/>
      <c r="O86" s="451"/>
      <c r="P86" s="862"/>
      <c r="Q86" s="862"/>
      <c r="R86" s="862"/>
      <c r="S86" s="862"/>
      <c r="T86" s="862"/>
      <c r="U86" s="862"/>
      <c r="V86" s="862"/>
      <c r="W86" s="862"/>
      <c r="X86" s="862"/>
      <c r="Y86" s="862"/>
      <c r="Z86" s="862"/>
      <c r="AA86" s="862"/>
      <c r="AB86" s="862"/>
      <c r="AC86" s="599"/>
      <c r="AD86" s="599"/>
      <c r="AE86" s="599"/>
      <c r="AF86" s="599"/>
      <c r="AG86" s="599"/>
      <c r="AH86" s="599"/>
      <c r="AI86" s="599"/>
      <c r="AJ86" s="599"/>
      <c r="AK86" s="599"/>
      <c r="AL86" s="599"/>
      <c r="AM86" s="599"/>
      <c r="AN86" s="599"/>
      <c r="AO86" s="599"/>
      <c r="AP86" s="599"/>
      <c r="AQ86" s="599"/>
      <c r="AR86" s="599"/>
      <c r="AS86" s="599"/>
      <c r="AT86" s="599"/>
      <c r="AU86" s="599"/>
      <c r="AV86" s="599"/>
      <c r="AW86" s="599"/>
      <c r="AX86" s="599"/>
      <c r="AY86" s="599"/>
      <c r="AZ86" s="525"/>
      <c r="BA86" s="525"/>
      <c r="BB86" s="525"/>
      <c r="BC86" s="525"/>
      <c r="BD86" s="525"/>
      <c r="BE86" s="525"/>
      <c r="BF86" s="525"/>
      <c r="BG86" s="525"/>
      <c r="BH86" s="599"/>
      <c r="BI86" s="599"/>
      <c r="BJ86" s="525"/>
      <c r="BK86" s="525"/>
      <c r="BL86" s="525"/>
      <c r="BM86" s="525"/>
      <c r="BN86" s="525"/>
      <c r="BO86" s="525"/>
      <c r="BP86" s="525"/>
      <c r="BQ86" s="525"/>
      <c r="BS86" s="599"/>
      <c r="BT86" s="599"/>
      <c r="BU86" s="599"/>
      <c r="BV86" s="599"/>
      <c r="BW86" s="599"/>
      <c r="BX86" s="599"/>
      <c r="BY86" s="599"/>
      <c r="BZ86" s="599"/>
      <c r="CA86" s="599"/>
      <c r="CB86" s="599"/>
      <c r="CC86" s="599"/>
      <c r="CD86" s="599"/>
    </row>
    <row r="87" spans="11:82">
      <c r="P87" s="435"/>
      <c r="Q87" s="435"/>
      <c r="R87" s="435"/>
      <c r="S87" s="435"/>
      <c r="T87" s="435"/>
      <c r="U87" s="435"/>
      <c r="V87" s="435"/>
      <c r="W87" s="435"/>
      <c r="X87" s="435"/>
      <c r="Y87" s="435"/>
      <c r="Z87" s="435"/>
      <c r="AA87" s="435"/>
      <c r="AB87" s="435"/>
      <c r="AC87" s="599"/>
      <c r="AE87" s="599"/>
      <c r="AF87" s="599"/>
      <c r="AG87" s="599"/>
      <c r="AH87" s="599"/>
      <c r="AI87" s="599"/>
      <c r="AJ87" s="599"/>
      <c r="AK87" s="599"/>
      <c r="AL87" s="599"/>
      <c r="AM87" s="599"/>
      <c r="AN87" s="599"/>
      <c r="AO87" s="599"/>
      <c r="AP87" s="599"/>
      <c r="AQ87" s="599"/>
      <c r="AR87" s="599"/>
      <c r="AS87" s="599"/>
      <c r="AT87" s="599"/>
      <c r="AU87" s="599"/>
      <c r="AV87" s="599"/>
      <c r="AW87" s="599"/>
      <c r="AX87" s="599"/>
      <c r="AY87" s="599"/>
      <c r="BH87" s="599"/>
      <c r="BI87" s="599"/>
      <c r="BJ87" s="599"/>
      <c r="BK87" s="599"/>
      <c r="BL87" s="599"/>
      <c r="BM87" s="599"/>
      <c r="BN87" s="599"/>
      <c r="BO87" s="599"/>
      <c r="BP87" s="599"/>
      <c r="BQ87" s="599"/>
      <c r="BR87" s="599"/>
      <c r="BS87" s="599"/>
      <c r="BT87" s="599"/>
      <c r="BU87" s="599"/>
      <c r="BV87" s="599"/>
      <c r="BW87" s="599"/>
      <c r="BX87" s="599"/>
      <c r="BY87" s="599"/>
      <c r="BZ87" s="599"/>
      <c r="CA87" s="599"/>
      <c r="CB87" s="599"/>
      <c r="CC87" s="599"/>
      <c r="CD87" s="599"/>
    </row>
    <row r="88" spans="11:82">
      <c r="P88" s="862"/>
      <c r="Q88" s="862"/>
      <c r="R88" s="862"/>
      <c r="S88" s="862"/>
      <c r="T88" s="862"/>
      <c r="U88" s="862"/>
      <c r="V88" s="862"/>
      <c r="W88" s="862"/>
      <c r="X88" s="862"/>
      <c r="Y88" s="862"/>
      <c r="Z88" s="862"/>
      <c r="AA88" s="862"/>
      <c r="AB88" s="862"/>
      <c r="AD88" s="599"/>
      <c r="BJ88" s="599"/>
      <c r="BK88" s="599"/>
      <c r="BL88" s="599"/>
      <c r="BM88" s="599"/>
      <c r="BN88" s="599"/>
      <c r="BO88" s="599"/>
      <c r="BP88" s="599"/>
      <c r="BQ88" s="599"/>
      <c r="BR88" s="599"/>
    </row>
    <row r="89" spans="11:82">
      <c r="K89" s="382"/>
      <c r="L89" s="382"/>
      <c r="M89" s="382"/>
      <c r="N89" s="382"/>
      <c r="O89" s="382"/>
      <c r="P89" s="862"/>
      <c r="Q89" s="862"/>
      <c r="R89" s="862"/>
      <c r="S89" s="862"/>
      <c r="T89" s="862"/>
      <c r="U89" s="862"/>
      <c r="V89" s="862"/>
      <c r="W89" s="862"/>
      <c r="X89" s="862"/>
      <c r="Y89" s="862"/>
      <c r="Z89" s="862"/>
      <c r="AA89" s="862"/>
      <c r="AB89" s="862"/>
      <c r="AC89" s="525"/>
      <c r="AD89" s="599"/>
      <c r="AE89" s="599"/>
      <c r="AF89" s="599"/>
      <c r="AG89" s="599"/>
      <c r="AH89" s="599"/>
      <c r="AI89" s="599"/>
      <c r="AJ89" s="599"/>
      <c r="AK89" s="599"/>
      <c r="AL89" s="525"/>
      <c r="AM89" s="525"/>
      <c r="AN89" s="525"/>
      <c r="AO89" s="525"/>
      <c r="AP89" s="525"/>
      <c r="AQ89" s="525"/>
      <c r="AR89" s="525"/>
      <c r="AS89" s="525"/>
      <c r="AT89" s="525"/>
      <c r="AU89" s="525"/>
      <c r="AV89" s="525"/>
      <c r="AW89" s="525"/>
      <c r="AX89" s="525"/>
      <c r="AY89" s="525"/>
      <c r="BH89" s="525"/>
      <c r="BI89" s="525"/>
      <c r="BR89" s="599"/>
      <c r="BS89" s="525"/>
      <c r="BT89" s="599"/>
      <c r="BU89" s="599"/>
      <c r="BV89" s="599"/>
      <c r="BW89" s="599"/>
      <c r="BX89" s="599"/>
      <c r="BY89" s="599"/>
      <c r="BZ89" s="599"/>
      <c r="CA89" s="599"/>
      <c r="CB89" s="599"/>
      <c r="CC89" s="599"/>
      <c r="CD89" s="525"/>
    </row>
    <row r="90" spans="11:82">
      <c r="K90" s="382"/>
      <c r="L90" s="382"/>
      <c r="M90" s="382"/>
      <c r="N90" s="382"/>
      <c r="O90" s="382"/>
      <c r="P90" s="435"/>
      <c r="Q90" s="435"/>
      <c r="R90" s="435"/>
      <c r="S90" s="435"/>
      <c r="T90" s="435"/>
      <c r="U90" s="435"/>
      <c r="V90" s="435"/>
      <c r="W90" s="435"/>
      <c r="X90" s="435"/>
      <c r="Y90" s="435"/>
      <c r="Z90" s="435"/>
      <c r="AA90" s="435"/>
      <c r="AB90" s="435"/>
      <c r="AD90" s="599"/>
      <c r="AE90" s="599"/>
      <c r="AF90" s="599"/>
      <c r="AG90" s="599"/>
      <c r="AH90" s="599"/>
      <c r="AI90" s="599"/>
      <c r="AJ90" s="599"/>
      <c r="AK90" s="599"/>
      <c r="AZ90" s="525"/>
      <c r="BA90" s="525"/>
      <c r="BB90" s="525"/>
      <c r="BC90" s="525"/>
      <c r="BD90" s="525"/>
      <c r="BE90" s="525"/>
      <c r="BF90" s="525"/>
      <c r="BG90" s="525"/>
      <c r="BJ90" s="599"/>
      <c r="BK90" s="599"/>
      <c r="BL90" s="599"/>
      <c r="BM90" s="599"/>
      <c r="BN90" s="599"/>
      <c r="BO90" s="599"/>
      <c r="BP90" s="599"/>
      <c r="BQ90" s="599"/>
      <c r="BT90" s="599"/>
      <c r="BU90" s="599"/>
      <c r="BV90" s="599"/>
      <c r="BW90" s="599"/>
      <c r="BX90" s="599"/>
      <c r="BY90" s="599"/>
      <c r="BZ90" s="599"/>
      <c r="CA90" s="599"/>
      <c r="CB90" s="599"/>
      <c r="CC90" s="599"/>
    </row>
    <row r="91" spans="11:82">
      <c r="K91" s="451"/>
      <c r="L91" s="451"/>
      <c r="M91" s="451"/>
      <c r="N91" s="451"/>
      <c r="O91" s="451"/>
      <c r="P91" s="435"/>
      <c r="Q91" s="435"/>
      <c r="R91" s="435"/>
      <c r="S91" s="435"/>
      <c r="T91" s="435"/>
      <c r="U91" s="435"/>
      <c r="V91" s="435"/>
      <c r="W91" s="435"/>
      <c r="X91" s="435"/>
      <c r="Y91" s="435"/>
      <c r="Z91" s="435"/>
      <c r="AA91" s="435"/>
      <c r="AB91" s="435"/>
      <c r="AE91" s="599"/>
      <c r="AF91" s="599"/>
      <c r="AG91" s="599"/>
      <c r="AH91" s="599"/>
      <c r="AI91" s="599"/>
      <c r="AJ91" s="599"/>
      <c r="AK91" s="599"/>
      <c r="AZ91" s="525"/>
      <c r="BA91" s="525"/>
      <c r="BB91" s="525"/>
      <c r="BC91" s="525"/>
      <c r="BD91" s="525"/>
      <c r="BE91" s="525"/>
      <c r="BF91" s="525"/>
      <c r="BG91" s="525"/>
      <c r="BJ91" s="599"/>
      <c r="BK91" s="599"/>
      <c r="BL91" s="599"/>
      <c r="BM91" s="599"/>
      <c r="BN91" s="599"/>
      <c r="BO91" s="599"/>
      <c r="BP91" s="599"/>
      <c r="BQ91" s="599"/>
      <c r="BR91" s="525"/>
      <c r="BT91" s="599"/>
      <c r="BU91" s="599"/>
      <c r="BV91" s="599"/>
      <c r="BW91" s="599"/>
      <c r="BX91" s="599"/>
      <c r="BY91" s="599"/>
      <c r="BZ91" s="599"/>
      <c r="CA91" s="599"/>
      <c r="CB91" s="599"/>
      <c r="CC91" s="599"/>
    </row>
    <row r="92" spans="11:82">
      <c r="P92" s="862"/>
      <c r="Q92" s="862"/>
      <c r="R92" s="862"/>
      <c r="S92" s="862"/>
      <c r="T92" s="862"/>
      <c r="U92" s="862"/>
      <c r="V92" s="862"/>
      <c r="W92" s="862"/>
      <c r="X92" s="862"/>
      <c r="Y92" s="862"/>
      <c r="Z92" s="862"/>
      <c r="AA92" s="862"/>
      <c r="AB92" s="862"/>
      <c r="AD92" s="525"/>
      <c r="AZ92" s="525"/>
      <c r="BA92" s="525"/>
      <c r="BB92" s="525"/>
      <c r="BC92" s="525"/>
      <c r="BD92" s="525"/>
      <c r="BE92" s="525"/>
      <c r="BF92" s="525"/>
      <c r="BG92" s="525"/>
      <c r="BJ92" s="599"/>
      <c r="BK92" s="599"/>
      <c r="BL92" s="599"/>
      <c r="BM92" s="599"/>
      <c r="BN92" s="599"/>
      <c r="BO92" s="599"/>
      <c r="BP92" s="599"/>
      <c r="BQ92" s="599"/>
    </row>
    <row r="93" spans="11:82">
      <c r="P93" s="862"/>
      <c r="Q93" s="862"/>
      <c r="R93" s="862"/>
      <c r="S93" s="862"/>
      <c r="T93" s="862"/>
      <c r="U93" s="862"/>
      <c r="V93" s="862"/>
      <c r="W93" s="862"/>
      <c r="X93" s="862"/>
      <c r="Y93" s="862"/>
      <c r="Z93" s="862"/>
      <c r="AA93" s="862"/>
      <c r="AB93" s="862"/>
      <c r="AC93" s="525"/>
      <c r="AE93" s="525"/>
      <c r="AF93" s="525"/>
      <c r="AG93" s="525"/>
      <c r="AH93" s="525"/>
      <c r="AI93" s="525"/>
      <c r="AJ93" s="525"/>
      <c r="AK93" s="525"/>
      <c r="AL93" s="525"/>
      <c r="AM93" s="525"/>
      <c r="AN93" s="525"/>
      <c r="AO93" s="525"/>
      <c r="AP93" s="525"/>
      <c r="AQ93" s="525"/>
      <c r="AR93" s="525"/>
      <c r="AS93" s="525"/>
      <c r="AT93" s="525"/>
      <c r="AU93" s="525"/>
      <c r="AV93" s="525"/>
      <c r="AW93" s="525"/>
      <c r="AX93" s="525"/>
      <c r="AY93" s="525"/>
      <c r="AZ93" s="525"/>
      <c r="BA93" s="525"/>
      <c r="BB93" s="525"/>
      <c r="BC93" s="525"/>
      <c r="BD93" s="525"/>
      <c r="BE93" s="525"/>
      <c r="BF93" s="525"/>
      <c r="BG93" s="525"/>
      <c r="BH93" s="525"/>
      <c r="BI93" s="525"/>
      <c r="BS93" s="525"/>
      <c r="BT93" s="525"/>
      <c r="BU93" s="525"/>
      <c r="BV93" s="525"/>
      <c r="BW93" s="525"/>
      <c r="BX93" s="525"/>
      <c r="BY93" s="525"/>
      <c r="BZ93" s="525"/>
      <c r="CA93" s="525"/>
      <c r="CB93" s="525"/>
      <c r="CC93" s="525"/>
      <c r="CD93" s="525"/>
    </row>
    <row r="94" spans="11:82">
      <c r="P94" s="862"/>
      <c r="Q94" s="862"/>
      <c r="R94" s="862"/>
      <c r="S94" s="862"/>
      <c r="T94" s="862"/>
      <c r="U94" s="862"/>
      <c r="V94" s="862"/>
      <c r="W94" s="862"/>
      <c r="X94" s="862"/>
      <c r="Y94" s="862"/>
      <c r="Z94" s="862"/>
      <c r="AA94" s="862"/>
      <c r="AB94" s="862"/>
      <c r="AC94" s="525"/>
      <c r="AL94" s="525"/>
      <c r="AM94" s="525"/>
      <c r="AN94" s="525"/>
      <c r="AO94" s="525"/>
      <c r="AP94" s="525"/>
      <c r="AQ94" s="525"/>
      <c r="AR94" s="525"/>
      <c r="AS94" s="525"/>
      <c r="AT94" s="525"/>
      <c r="AU94" s="525"/>
      <c r="AV94" s="525"/>
      <c r="AW94" s="525"/>
      <c r="AX94" s="525"/>
      <c r="AY94" s="525"/>
      <c r="AZ94" s="525"/>
      <c r="BA94" s="525"/>
      <c r="BB94" s="525"/>
      <c r="BC94" s="525"/>
      <c r="BD94" s="525"/>
      <c r="BE94" s="525"/>
      <c r="BF94" s="525"/>
      <c r="BG94" s="525"/>
      <c r="BH94" s="525"/>
      <c r="BI94" s="525"/>
      <c r="BJ94" s="525"/>
      <c r="BK94" s="525"/>
      <c r="BL94" s="525"/>
      <c r="BM94" s="525"/>
      <c r="BN94" s="525"/>
      <c r="BO94" s="525"/>
      <c r="BP94" s="525"/>
      <c r="BQ94" s="525"/>
      <c r="BS94" s="525"/>
      <c r="CD94" s="525"/>
    </row>
    <row r="95" spans="11:82">
      <c r="AC95" s="525"/>
      <c r="AL95" s="525"/>
      <c r="AM95" s="525"/>
      <c r="AN95" s="525"/>
      <c r="AO95" s="525"/>
      <c r="AP95" s="525"/>
      <c r="AQ95" s="525"/>
      <c r="AR95" s="525"/>
      <c r="AS95" s="525"/>
      <c r="AT95" s="525"/>
      <c r="AU95" s="525"/>
      <c r="AV95" s="525"/>
      <c r="AW95" s="525"/>
      <c r="AX95" s="525"/>
      <c r="AY95" s="525"/>
      <c r="AZ95" s="862"/>
      <c r="BA95" s="862"/>
      <c r="BB95" s="862"/>
      <c r="BC95" s="862"/>
      <c r="BD95" s="862"/>
      <c r="BE95" s="862"/>
      <c r="BF95" s="862"/>
      <c r="BG95" s="862"/>
      <c r="BH95" s="525"/>
      <c r="BI95" s="525"/>
      <c r="BR95" s="525"/>
      <c r="BS95" s="525"/>
      <c r="CD95" s="525"/>
    </row>
    <row r="96" spans="11:82">
      <c r="AC96" s="525"/>
      <c r="AD96" s="525"/>
      <c r="AL96" s="525"/>
      <c r="AM96" s="525"/>
      <c r="AN96" s="525"/>
      <c r="AO96" s="525"/>
      <c r="AP96" s="525"/>
      <c r="AQ96" s="525"/>
      <c r="AR96" s="525"/>
      <c r="AS96" s="525"/>
      <c r="AT96" s="525"/>
      <c r="AU96" s="525"/>
      <c r="AV96" s="525"/>
      <c r="AW96" s="525"/>
      <c r="AX96" s="525"/>
      <c r="AY96" s="525"/>
      <c r="AZ96" s="599"/>
      <c r="BA96" s="599"/>
      <c r="BB96" s="599"/>
      <c r="BC96" s="599"/>
      <c r="BD96" s="599"/>
      <c r="BE96" s="599"/>
      <c r="BF96" s="599"/>
      <c r="BG96" s="599"/>
      <c r="BH96" s="525"/>
      <c r="BI96" s="525"/>
      <c r="BR96" s="525"/>
      <c r="BS96" s="525"/>
      <c r="CD96" s="525"/>
    </row>
    <row r="97" spans="16:82">
      <c r="AC97" s="525"/>
      <c r="AD97" s="525"/>
      <c r="AE97" s="525"/>
      <c r="AF97" s="525"/>
      <c r="AG97" s="525"/>
      <c r="AH97" s="525"/>
      <c r="AI97" s="525"/>
      <c r="AJ97" s="525"/>
      <c r="AK97" s="525"/>
      <c r="AL97" s="525"/>
      <c r="AM97" s="525"/>
      <c r="AN97" s="525"/>
      <c r="AO97" s="525"/>
      <c r="AP97" s="525"/>
      <c r="AQ97" s="525"/>
      <c r="AR97" s="525"/>
      <c r="AS97" s="525"/>
      <c r="AT97" s="525"/>
      <c r="AU97" s="525"/>
      <c r="AV97" s="525"/>
      <c r="AW97" s="525"/>
      <c r="AX97" s="525"/>
      <c r="AY97" s="525"/>
      <c r="AZ97" s="525"/>
      <c r="BA97" s="525"/>
      <c r="BB97" s="525"/>
      <c r="BC97" s="525"/>
      <c r="BD97" s="525"/>
      <c r="BE97" s="525"/>
      <c r="BF97" s="525"/>
      <c r="BG97" s="525"/>
      <c r="BH97" s="525"/>
      <c r="BI97" s="525"/>
      <c r="BR97" s="525"/>
      <c r="BS97" s="525"/>
      <c r="BT97" s="525"/>
      <c r="BU97" s="525"/>
      <c r="BV97" s="525"/>
      <c r="BW97" s="525"/>
      <c r="BX97" s="525"/>
      <c r="BY97" s="525"/>
      <c r="BZ97" s="525"/>
      <c r="CA97" s="525"/>
      <c r="CB97" s="525"/>
      <c r="CC97" s="525"/>
      <c r="CD97" s="525"/>
    </row>
    <row r="98" spans="16:82">
      <c r="AC98" s="862"/>
      <c r="AD98" s="525"/>
      <c r="AE98" s="525"/>
      <c r="AF98" s="525"/>
      <c r="AG98" s="525"/>
      <c r="AH98" s="525"/>
      <c r="AI98" s="525"/>
      <c r="AJ98" s="525"/>
      <c r="AK98" s="525"/>
      <c r="AL98" s="862"/>
      <c r="AM98" s="862"/>
      <c r="AN98" s="862"/>
      <c r="AO98" s="862"/>
      <c r="AP98" s="862"/>
      <c r="AQ98" s="862"/>
      <c r="AR98" s="862"/>
      <c r="AS98" s="862"/>
      <c r="AT98" s="862"/>
      <c r="AU98" s="862"/>
      <c r="AV98" s="862"/>
      <c r="AW98" s="862"/>
      <c r="AX98" s="862"/>
      <c r="AY98" s="862"/>
      <c r="AZ98" s="525"/>
      <c r="BA98" s="525"/>
      <c r="BB98" s="525"/>
      <c r="BC98" s="525"/>
      <c r="BD98" s="525"/>
      <c r="BE98" s="525"/>
      <c r="BF98" s="525"/>
      <c r="BG98" s="525"/>
      <c r="BH98" s="862"/>
      <c r="BI98" s="862"/>
      <c r="BJ98" s="525"/>
      <c r="BK98" s="525"/>
      <c r="BL98" s="525"/>
      <c r="BM98" s="525"/>
      <c r="BN98" s="525"/>
      <c r="BO98" s="525"/>
      <c r="BP98" s="525"/>
      <c r="BQ98" s="525"/>
      <c r="BR98" s="525"/>
      <c r="BS98" s="862"/>
      <c r="BT98" s="525"/>
      <c r="BU98" s="525"/>
      <c r="BV98" s="525"/>
      <c r="BW98" s="525"/>
      <c r="BX98" s="525"/>
      <c r="BY98" s="525"/>
      <c r="BZ98" s="525"/>
      <c r="CA98" s="525"/>
      <c r="CB98" s="525"/>
      <c r="CC98" s="525"/>
      <c r="CD98" s="862"/>
    </row>
    <row r="99" spans="16:82">
      <c r="P99" s="525"/>
      <c r="Q99" s="525"/>
      <c r="R99" s="525"/>
      <c r="S99" s="525"/>
      <c r="T99" s="525"/>
      <c r="U99" s="525"/>
      <c r="V99" s="525"/>
      <c r="W99" s="525"/>
      <c r="X99" s="525"/>
      <c r="Y99" s="525"/>
      <c r="Z99" s="525"/>
      <c r="AA99" s="525"/>
      <c r="AB99" s="525"/>
      <c r="AC99" s="599"/>
      <c r="AD99" s="525"/>
      <c r="AE99" s="525"/>
      <c r="AF99" s="525"/>
      <c r="AG99" s="525"/>
      <c r="AH99" s="525"/>
      <c r="AI99" s="525"/>
      <c r="AJ99" s="525"/>
      <c r="AK99" s="525"/>
      <c r="AL99" s="599"/>
      <c r="AM99" s="599"/>
      <c r="AN99" s="599"/>
      <c r="AO99" s="599"/>
      <c r="AP99" s="599"/>
      <c r="AQ99" s="599"/>
      <c r="AR99" s="599"/>
      <c r="AS99" s="599"/>
      <c r="AT99" s="599"/>
      <c r="AU99" s="599"/>
      <c r="AV99" s="599"/>
      <c r="AW99" s="599"/>
      <c r="AX99" s="599"/>
      <c r="AY99" s="599"/>
      <c r="AZ99" s="525"/>
      <c r="BA99" s="525"/>
      <c r="BB99" s="525"/>
      <c r="BC99" s="525"/>
      <c r="BD99" s="525"/>
      <c r="BE99" s="525"/>
      <c r="BF99" s="525"/>
      <c r="BG99" s="525"/>
      <c r="BH99" s="599"/>
      <c r="BI99" s="599"/>
      <c r="BJ99" s="525"/>
      <c r="BK99" s="525"/>
      <c r="BL99" s="525"/>
      <c r="BM99" s="525"/>
      <c r="BN99" s="525"/>
      <c r="BO99" s="525"/>
      <c r="BP99" s="525"/>
      <c r="BQ99" s="525"/>
      <c r="BR99" s="525"/>
      <c r="BS99" s="599"/>
      <c r="BT99" s="525"/>
      <c r="BU99" s="525"/>
      <c r="BV99" s="525"/>
      <c r="BW99" s="525"/>
      <c r="BX99" s="525"/>
      <c r="BY99" s="525"/>
      <c r="BZ99" s="525"/>
      <c r="CA99" s="525"/>
      <c r="CB99" s="525"/>
      <c r="CC99" s="525"/>
      <c r="CD99" s="599"/>
    </row>
    <row r="100" spans="16:82">
      <c r="P100" s="525"/>
      <c r="Q100" s="525"/>
      <c r="R100" s="525"/>
      <c r="S100" s="525"/>
      <c r="T100" s="525"/>
      <c r="U100" s="525"/>
      <c r="V100" s="525"/>
      <c r="W100" s="525"/>
      <c r="X100" s="525"/>
      <c r="Y100" s="525"/>
      <c r="Z100" s="525"/>
      <c r="AA100" s="525"/>
      <c r="AB100" s="525"/>
      <c r="AC100" s="525"/>
      <c r="AD100" s="525"/>
      <c r="AE100" s="525"/>
      <c r="AF100" s="525"/>
      <c r="AG100" s="525"/>
      <c r="AH100" s="525"/>
      <c r="AI100" s="525"/>
      <c r="AJ100" s="525"/>
      <c r="AK100" s="525"/>
      <c r="AL100" s="525"/>
      <c r="AM100" s="525"/>
      <c r="AN100" s="525"/>
      <c r="AO100" s="525"/>
      <c r="AP100" s="525"/>
      <c r="AQ100" s="525"/>
      <c r="AR100" s="525"/>
      <c r="AS100" s="525"/>
      <c r="AT100" s="525"/>
      <c r="AU100" s="525"/>
      <c r="AV100" s="525"/>
      <c r="AW100" s="525"/>
      <c r="AX100" s="525"/>
      <c r="AY100" s="525"/>
      <c r="AZ100" s="435"/>
      <c r="BA100" s="435"/>
      <c r="BB100" s="435"/>
      <c r="BC100" s="435"/>
      <c r="BD100" s="435"/>
      <c r="BE100" s="435"/>
      <c r="BF100" s="435"/>
      <c r="BG100" s="435"/>
      <c r="BH100" s="525"/>
      <c r="BI100" s="525"/>
      <c r="BJ100" s="525"/>
      <c r="BK100" s="525"/>
      <c r="BL100" s="525"/>
      <c r="BM100" s="525"/>
      <c r="BN100" s="525"/>
      <c r="BO100" s="525"/>
      <c r="BP100" s="525"/>
      <c r="BQ100" s="525"/>
      <c r="BR100" s="862"/>
      <c r="BS100" s="525"/>
      <c r="BT100" s="525"/>
      <c r="BU100" s="525"/>
      <c r="BV100" s="525"/>
      <c r="BW100" s="525"/>
      <c r="BX100" s="525"/>
      <c r="BY100" s="525"/>
      <c r="BZ100" s="525"/>
      <c r="CA100" s="525"/>
      <c r="CB100" s="525"/>
      <c r="CC100" s="525"/>
      <c r="CD100" s="525"/>
    </row>
    <row r="101" spans="16:82">
      <c r="P101" s="525"/>
      <c r="Q101" s="525"/>
      <c r="R101" s="525"/>
      <c r="S101" s="525"/>
      <c r="T101" s="525"/>
      <c r="U101" s="525"/>
      <c r="V101" s="525"/>
      <c r="W101" s="525"/>
      <c r="X101" s="525"/>
      <c r="Y101" s="525"/>
      <c r="Z101" s="525"/>
      <c r="AA101" s="525"/>
      <c r="AB101" s="525"/>
      <c r="AC101" s="525"/>
      <c r="AD101" s="862"/>
      <c r="AE101" s="525"/>
      <c r="AF101" s="525"/>
      <c r="AG101" s="525"/>
      <c r="AH101" s="525"/>
      <c r="AI101" s="525"/>
      <c r="AJ101" s="525"/>
      <c r="AK101" s="525"/>
      <c r="AL101" s="525"/>
      <c r="AM101" s="525"/>
      <c r="AN101" s="525"/>
      <c r="AO101" s="525"/>
      <c r="AP101" s="525"/>
      <c r="AQ101" s="525"/>
      <c r="AR101" s="525"/>
      <c r="AS101" s="525"/>
      <c r="AT101" s="525"/>
      <c r="AU101" s="525"/>
      <c r="AV101" s="525"/>
      <c r="AW101" s="525"/>
      <c r="AX101" s="525"/>
      <c r="AY101" s="525"/>
      <c r="AZ101" s="525"/>
      <c r="BA101" s="525"/>
      <c r="BB101" s="525"/>
      <c r="BC101" s="525"/>
      <c r="BD101" s="525"/>
      <c r="BE101" s="525"/>
      <c r="BF101" s="525"/>
      <c r="BG101" s="525"/>
      <c r="BH101" s="525"/>
      <c r="BI101" s="525"/>
      <c r="BJ101" s="525"/>
      <c r="BK101" s="525"/>
      <c r="BL101" s="525"/>
      <c r="BM101" s="525"/>
      <c r="BN101" s="525"/>
      <c r="BO101" s="525"/>
      <c r="BP101" s="525"/>
      <c r="BQ101" s="525"/>
      <c r="BR101" s="599"/>
      <c r="BS101" s="525"/>
      <c r="BT101" s="525"/>
      <c r="BU101" s="525"/>
      <c r="BV101" s="525"/>
      <c r="BW101" s="525"/>
      <c r="BX101" s="525"/>
      <c r="BY101" s="525"/>
      <c r="BZ101" s="525"/>
      <c r="CA101" s="525"/>
      <c r="CB101" s="525"/>
      <c r="CC101" s="525"/>
      <c r="CD101" s="525"/>
    </row>
    <row r="102" spans="16:82">
      <c r="P102" s="435"/>
      <c r="Q102" s="435"/>
      <c r="R102" s="435"/>
      <c r="S102" s="435"/>
      <c r="T102" s="435"/>
      <c r="U102" s="435"/>
      <c r="V102" s="435"/>
      <c r="W102" s="435"/>
      <c r="X102" s="435"/>
      <c r="Y102" s="435"/>
      <c r="Z102" s="435"/>
      <c r="AA102" s="435"/>
      <c r="AB102" s="435"/>
      <c r="AC102" s="525"/>
      <c r="AD102" s="599"/>
      <c r="AE102" s="862"/>
      <c r="AF102" s="862"/>
      <c r="AG102" s="862"/>
      <c r="AH102" s="862"/>
      <c r="AI102" s="862"/>
      <c r="AJ102" s="862"/>
      <c r="AK102" s="862"/>
      <c r="AL102" s="525"/>
      <c r="AM102" s="525"/>
      <c r="AN102" s="525"/>
      <c r="AO102" s="525"/>
      <c r="AP102" s="525"/>
      <c r="AQ102" s="525"/>
      <c r="AR102" s="525"/>
      <c r="AS102" s="525"/>
      <c r="AT102" s="525"/>
      <c r="AU102" s="525"/>
      <c r="AV102" s="525"/>
      <c r="AW102" s="525"/>
      <c r="AX102" s="525"/>
      <c r="AY102" s="525"/>
      <c r="AZ102" s="599"/>
      <c r="BA102" s="599"/>
      <c r="BB102" s="599"/>
      <c r="BC102" s="599"/>
      <c r="BD102" s="599"/>
      <c r="BE102" s="599"/>
      <c r="BF102" s="599"/>
      <c r="BG102" s="599"/>
      <c r="BH102" s="525"/>
      <c r="BI102" s="525"/>
      <c r="BJ102" s="525"/>
      <c r="BK102" s="525"/>
      <c r="BL102" s="525"/>
      <c r="BM102" s="525"/>
      <c r="BN102" s="525"/>
      <c r="BO102" s="525"/>
      <c r="BP102" s="525"/>
      <c r="BQ102" s="525"/>
      <c r="BR102" s="525"/>
      <c r="BS102" s="525"/>
      <c r="BT102" s="862"/>
      <c r="BU102" s="862"/>
      <c r="BV102" s="862"/>
      <c r="BW102" s="862"/>
      <c r="BX102" s="862"/>
      <c r="BY102" s="862"/>
      <c r="BZ102" s="862"/>
      <c r="CA102" s="862"/>
      <c r="CB102" s="862"/>
      <c r="CC102" s="862"/>
      <c r="CD102" s="525"/>
    </row>
    <row r="103" spans="16:82">
      <c r="P103" s="1007"/>
      <c r="Q103" s="1007"/>
      <c r="R103" s="1007"/>
      <c r="S103" s="1007"/>
      <c r="T103" s="1007"/>
      <c r="U103" s="1007"/>
      <c r="V103" s="1007"/>
      <c r="W103" s="1007"/>
      <c r="X103" s="1007"/>
      <c r="Y103" s="1007"/>
      <c r="Z103" s="1007"/>
      <c r="AA103" s="1007"/>
      <c r="AB103" s="1007"/>
      <c r="AC103" s="435"/>
      <c r="AD103" s="525"/>
      <c r="AE103" s="599"/>
      <c r="AF103" s="599"/>
      <c r="AG103" s="599"/>
      <c r="AH103" s="599"/>
      <c r="AI103" s="599"/>
      <c r="AJ103" s="599"/>
      <c r="AK103" s="599"/>
      <c r="AL103" s="435"/>
      <c r="AM103" s="435"/>
      <c r="AN103" s="435"/>
      <c r="AO103" s="435"/>
      <c r="AP103" s="435"/>
      <c r="AQ103" s="435"/>
      <c r="AR103" s="435"/>
      <c r="AS103" s="435"/>
      <c r="AT103" s="435"/>
      <c r="AU103" s="435"/>
      <c r="AV103" s="435"/>
      <c r="AW103" s="435"/>
      <c r="AX103" s="435"/>
      <c r="AY103" s="435"/>
      <c r="BH103" s="435"/>
      <c r="BI103" s="435"/>
      <c r="BJ103" s="862"/>
      <c r="BK103" s="862"/>
      <c r="BL103" s="862"/>
      <c r="BM103" s="862"/>
      <c r="BN103" s="862"/>
      <c r="BO103" s="862"/>
      <c r="BP103" s="862"/>
      <c r="BQ103" s="862"/>
      <c r="BR103" s="525"/>
      <c r="BS103" s="435"/>
      <c r="BT103" s="599"/>
      <c r="BU103" s="599"/>
      <c r="BV103" s="599"/>
      <c r="BW103" s="599"/>
      <c r="BX103" s="599"/>
      <c r="BY103" s="599"/>
      <c r="BZ103" s="599"/>
      <c r="CA103" s="599"/>
      <c r="CB103" s="599"/>
      <c r="CC103" s="599"/>
      <c r="CD103" s="435"/>
    </row>
    <row r="104" spans="16:82">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99"/>
      <c r="BK104" s="599"/>
      <c r="BL104" s="599"/>
      <c r="BM104" s="599"/>
      <c r="BN104" s="599"/>
      <c r="BO104" s="599"/>
      <c r="BP104" s="599"/>
      <c r="BQ104" s="599"/>
      <c r="BR104" s="525"/>
      <c r="BS104" s="525"/>
      <c r="BT104" s="525"/>
      <c r="BU104" s="525"/>
      <c r="BV104" s="525"/>
      <c r="BW104" s="525"/>
      <c r="BX104" s="525"/>
      <c r="BY104" s="525"/>
      <c r="BZ104" s="525"/>
      <c r="CA104" s="525"/>
      <c r="CB104" s="525"/>
      <c r="CC104" s="525"/>
      <c r="CD104" s="525"/>
    </row>
    <row r="105" spans="16:82">
      <c r="P105" s="1007"/>
      <c r="Q105" s="1007"/>
      <c r="R105" s="1007"/>
      <c r="S105" s="1007"/>
      <c r="T105" s="1007"/>
      <c r="U105" s="1007"/>
      <c r="V105" s="1007"/>
      <c r="W105" s="1007"/>
      <c r="X105" s="1007"/>
      <c r="Y105" s="1007"/>
      <c r="Z105" s="1007"/>
      <c r="AA105" s="1007"/>
      <c r="AB105" s="1007"/>
      <c r="AC105" s="599"/>
      <c r="AD105" s="525"/>
      <c r="AE105" s="525"/>
      <c r="AF105" s="525"/>
      <c r="AG105" s="525"/>
      <c r="AH105" s="525"/>
      <c r="AI105" s="525"/>
      <c r="AJ105" s="525"/>
      <c r="AK105" s="525"/>
      <c r="AL105" s="599"/>
      <c r="AM105" s="599"/>
      <c r="AN105" s="599"/>
      <c r="AO105" s="599"/>
      <c r="AP105" s="599"/>
      <c r="AQ105" s="599"/>
      <c r="AR105" s="599"/>
      <c r="AS105" s="599"/>
      <c r="AT105" s="599"/>
      <c r="AU105" s="599"/>
      <c r="AV105" s="599"/>
      <c r="AW105" s="599"/>
      <c r="AX105" s="599"/>
      <c r="AY105" s="599"/>
      <c r="BH105" s="599"/>
      <c r="BI105" s="599"/>
      <c r="BJ105" s="525"/>
      <c r="BK105" s="525"/>
      <c r="BL105" s="525"/>
      <c r="BM105" s="525"/>
      <c r="BN105" s="525"/>
      <c r="BO105" s="525"/>
      <c r="BP105" s="525"/>
      <c r="BQ105" s="525"/>
      <c r="BR105" s="435"/>
      <c r="BS105" s="599"/>
      <c r="BT105" s="525"/>
      <c r="BU105" s="525"/>
      <c r="BV105" s="525"/>
      <c r="BW105" s="525"/>
      <c r="BX105" s="525"/>
      <c r="BY105" s="525"/>
      <c r="BZ105" s="525"/>
      <c r="CA105" s="525"/>
      <c r="CB105" s="525"/>
      <c r="CC105" s="525"/>
      <c r="CD105" s="599"/>
    </row>
    <row r="106" spans="16:82">
      <c r="P106" s="525"/>
      <c r="Q106" s="525"/>
      <c r="R106" s="525"/>
      <c r="S106" s="525"/>
      <c r="T106" s="525"/>
      <c r="U106" s="525"/>
      <c r="V106" s="525"/>
      <c r="W106" s="525"/>
      <c r="X106" s="525"/>
      <c r="Y106" s="525"/>
      <c r="Z106" s="525"/>
      <c r="AA106" s="525"/>
      <c r="AB106" s="525"/>
      <c r="AD106" s="435"/>
      <c r="AE106" s="525"/>
      <c r="AF106" s="525"/>
      <c r="AG106" s="525"/>
      <c r="AH106" s="525"/>
      <c r="AI106" s="525"/>
      <c r="AJ106" s="525"/>
      <c r="AK106" s="525"/>
      <c r="BJ106" s="525"/>
      <c r="BK106" s="525"/>
      <c r="BL106" s="525"/>
      <c r="BM106" s="525"/>
      <c r="BN106" s="525"/>
      <c r="BO106" s="525"/>
      <c r="BP106" s="525"/>
      <c r="BQ106" s="525"/>
      <c r="BR106" s="525"/>
      <c r="BT106" s="525"/>
      <c r="BU106" s="525"/>
      <c r="BV106" s="525"/>
      <c r="BW106" s="525"/>
      <c r="BX106" s="525"/>
      <c r="BY106" s="525"/>
      <c r="BZ106" s="525"/>
      <c r="CA106" s="525"/>
      <c r="CB106" s="525"/>
      <c r="CC106" s="525"/>
    </row>
    <row r="107" spans="16:82">
      <c r="P107" s="525"/>
      <c r="Q107" s="525"/>
      <c r="R107" s="525"/>
      <c r="S107" s="525"/>
      <c r="T107" s="525"/>
      <c r="U107" s="525"/>
      <c r="V107" s="525"/>
      <c r="W107" s="525"/>
      <c r="X107" s="525"/>
      <c r="Y107" s="525"/>
      <c r="Z107" s="525"/>
      <c r="AA107" s="525"/>
      <c r="AB107" s="525"/>
      <c r="AC107" s="525"/>
      <c r="AD107" s="525"/>
      <c r="AE107" s="435"/>
      <c r="AF107" s="435"/>
      <c r="AG107" s="435"/>
      <c r="AH107" s="435"/>
      <c r="AI107" s="435"/>
      <c r="AJ107" s="435"/>
      <c r="AK107" s="435"/>
      <c r="AL107" s="525"/>
      <c r="AM107" s="525"/>
      <c r="AN107" s="525"/>
      <c r="AO107" s="525"/>
      <c r="AP107" s="525"/>
      <c r="AQ107" s="525"/>
      <c r="AR107" s="525"/>
      <c r="AS107" s="525"/>
      <c r="AT107" s="525"/>
      <c r="AU107" s="525"/>
      <c r="AV107" s="525"/>
      <c r="AW107" s="525"/>
      <c r="AX107" s="525"/>
      <c r="AY107" s="525"/>
      <c r="BH107" s="525"/>
      <c r="BI107" s="525"/>
      <c r="BJ107" s="525"/>
      <c r="BK107" s="525"/>
      <c r="BL107" s="525"/>
      <c r="BM107" s="525"/>
      <c r="BN107" s="525"/>
      <c r="BO107" s="525"/>
      <c r="BP107" s="525"/>
      <c r="BQ107" s="525"/>
      <c r="BR107" s="599"/>
      <c r="BS107" s="525"/>
      <c r="BT107" s="435"/>
      <c r="BU107" s="435"/>
      <c r="BV107" s="435"/>
      <c r="BW107" s="435"/>
      <c r="BX107" s="435"/>
      <c r="BY107" s="435"/>
      <c r="BZ107" s="435"/>
      <c r="CA107" s="435"/>
      <c r="CB107" s="435"/>
      <c r="CC107" s="435"/>
      <c r="CD107" s="525"/>
    </row>
    <row r="108" spans="16:82">
      <c r="AD108" s="599"/>
      <c r="AE108" s="525"/>
      <c r="AF108" s="525"/>
      <c r="AG108" s="525"/>
      <c r="AH108" s="525"/>
      <c r="AI108" s="525"/>
      <c r="AJ108" s="525"/>
      <c r="AK108" s="525"/>
      <c r="BJ108" s="435"/>
      <c r="BK108" s="435"/>
      <c r="BL108" s="435"/>
      <c r="BM108" s="435"/>
      <c r="BN108" s="435"/>
      <c r="BO108" s="435"/>
      <c r="BP108" s="435"/>
      <c r="BQ108" s="435"/>
      <c r="BT108" s="525"/>
      <c r="BU108" s="525"/>
      <c r="BV108" s="525"/>
      <c r="BW108" s="525"/>
      <c r="BX108" s="525"/>
      <c r="BY108" s="525"/>
      <c r="BZ108" s="525"/>
      <c r="CA108" s="525"/>
      <c r="CB108" s="525"/>
      <c r="CC108" s="525"/>
    </row>
    <row r="109" spans="16:82">
      <c r="AE109" s="599"/>
      <c r="AF109" s="599"/>
      <c r="AG109" s="599"/>
      <c r="AH109" s="599"/>
      <c r="AI109" s="599"/>
      <c r="AJ109" s="599"/>
      <c r="AK109" s="599"/>
      <c r="AZ109" s="525"/>
      <c r="BA109" s="525"/>
      <c r="BB109" s="525"/>
      <c r="BC109" s="525"/>
      <c r="BD109" s="525"/>
      <c r="BE109" s="525"/>
      <c r="BF109" s="525"/>
      <c r="BG109" s="525"/>
      <c r="BJ109" s="525"/>
      <c r="BK109" s="525"/>
      <c r="BL109" s="525"/>
      <c r="BM109" s="525"/>
      <c r="BN109" s="525"/>
      <c r="BO109" s="525"/>
      <c r="BP109" s="525"/>
      <c r="BQ109" s="525"/>
      <c r="BR109" s="525"/>
      <c r="BT109" s="599"/>
      <c r="BU109" s="599"/>
      <c r="BV109" s="599"/>
      <c r="BW109" s="599"/>
      <c r="BX109" s="599"/>
      <c r="BY109" s="599"/>
      <c r="BZ109" s="599"/>
      <c r="CA109" s="599"/>
      <c r="CB109" s="599"/>
      <c r="CC109" s="599"/>
    </row>
    <row r="110" spans="16:82">
      <c r="AD110" s="525"/>
      <c r="AZ110" s="525"/>
      <c r="BA110" s="525"/>
      <c r="BB110" s="525"/>
      <c r="BC110" s="525"/>
      <c r="BD110" s="525"/>
      <c r="BE110" s="525"/>
      <c r="BF110" s="525"/>
      <c r="BG110" s="525"/>
      <c r="BJ110" s="599"/>
      <c r="BK110" s="599"/>
      <c r="BL110" s="599"/>
      <c r="BM110" s="599"/>
      <c r="BN110" s="599"/>
      <c r="BO110" s="599"/>
      <c r="BP110" s="599"/>
      <c r="BQ110" s="599"/>
    </row>
    <row r="111" spans="16:82">
      <c r="AE111" s="525"/>
      <c r="AF111" s="525"/>
      <c r="AG111" s="525"/>
      <c r="AH111" s="525"/>
      <c r="AI111" s="525"/>
      <c r="AJ111" s="525"/>
      <c r="AK111" s="525"/>
      <c r="AZ111" s="525"/>
      <c r="BA111" s="525"/>
      <c r="BB111" s="525"/>
      <c r="BC111" s="525"/>
      <c r="BD111" s="525"/>
      <c r="BE111" s="525"/>
      <c r="BF111" s="525"/>
      <c r="BG111" s="525"/>
      <c r="BT111" s="525"/>
      <c r="BU111" s="525"/>
      <c r="BV111" s="525"/>
      <c r="BW111" s="525"/>
      <c r="BX111" s="525"/>
      <c r="BY111" s="525"/>
      <c r="BZ111" s="525"/>
      <c r="CA111" s="525"/>
      <c r="CB111" s="525"/>
      <c r="CC111" s="525"/>
    </row>
    <row r="112" spans="16:82">
      <c r="AC112" s="525"/>
      <c r="AL112" s="525"/>
      <c r="AM112" s="525"/>
      <c r="AN112" s="525"/>
      <c r="AO112" s="525"/>
      <c r="AP112" s="525"/>
      <c r="AQ112" s="525"/>
      <c r="AR112" s="525"/>
      <c r="AS112" s="525"/>
      <c r="AT112" s="525"/>
      <c r="AU112" s="525"/>
      <c r="AV112" s="525"/>
      <c r="AW112" s="525"/>
      <c r="AX112" s="525"/>
      <c r="AY112" s="525"/>
      <c r="AZ112" s="439"/>
      <c r="BA112" s="439"/>
      <c r="BB112" s="439"/>
      <c r="BC112" s="439"/>
      <c r="BD112" s="439"/>
      <c r="BE112" s="439"/>
      <c r="BF112" s="439"/>
      <c r="BG112" s="439"/>
      <c r="BH112" s="525"/>
      <c r="BI112" s="525"/>
      <c r="BJ112" s="525"/>
      <c r="BK112" s="525"/>
      <c r="BL112" s="525"/>
      <c r="BM112" s="525"/>
      <c r="BN112" s="525"/>
      <c r="BO112" s="525"/>
      <c r="BP112" s="525"/>
      <c r="BQ112" s="525"/>
      <c r="BS112" s="525"/>
      <c r="CD112" s="525"/>
    </row>
    <row r="113" spans="29:82">
      <c r="AC113" s="525"/>
      <c r="AL113" s="525"/>
      <c r="AM113" s="525"/>
      <c r="AN113" s="525"/>
      <c r="AO113" s="525"/>
      <c r="AP113" s="525"/>
      <c r="AQ113" s="525"/>
      <c r="AR113" s="525"/>
      <c r="AS113" s="525"/>
      <c r="AT113" s="525"/>
      <c r="AU113" s="525"/>
      <c r="AV113" s="525"/>
      <c r="AW113" s="525"/>
      <c r="AX113" s="525"/>
      <c r="AY113" s="525"/>
      <c r="AZ113" s="1007"/>
      <c r="BA113" s="1007"/>
      <c r="BB113" s="1007"/>
      <c r="BC113" s="1007"/>
      <c r="BD113" s="1007"/>
      <c r="BE113" s="1007"/>
      <c r="BF113" s="1007"/>
      <c r="BG113" s="1007"/>
      <c r="BH113" s="525"/>
      <c r="BI113" s="525"/>
      <c r="BS113" s="525"/>
      <c r="CD113" s="525"/>
    </row>
    <row r="114" spans="29:82">
      <c r="AC114" s="525"/>
      <c r="AL114" s="525"/>
      <c r="AM114" s="525"/>
      <c r="AN114" s="525"/>
      <c r="AO114" s="525"/>
      <c r="AP114" s="525"/>
      <c r="AQ114" s="525"/>
      <c r="AR114" s="525"/>
      <c r="AS114" s="525"/>
      <c r="AT114" s="525"/>
      <c r="AU114" s="525"/>
      <c r="AV114" s="525"/>
      <c r="AW114" s="525"/>
      <c r="AX114" s="525"/>
      <c r="AY114" s="525"/>
      <c r="BH114" s="525"/>
      <c r="BI114" s="525"/>
      <c r="BR114" s="525"/>
      <c r="BS114" s="525"/>
      <c r="CD114" s="525"/>
    </row>
    <row r="115" spans="29:82">
      <c r="AC115" s="439"/>
      <c r="AD115" s="525"/>
      <c r="AL115" s="439"/>
      <c r="AM115" s="439"/>
      <c r="AN115" s="439"/>
      <c r="AO115" s="439"/>
      <c r="AP115" s="439"/>
      <c r="AQ115" s="439"/>
      <c r="AR115" s="439"/>
      <c r="AS115" s="439"/>
      <c r="AT115" s="439"/>
      <c r="AU115" s="439"/>
      <c r="AV115" s="439"/>
      <c r="AW115" s="439"/>
      <c r="AX115" s="439"/>
      <c r="AY115" s="439"/>
      <c r="AZ115" s="1007"/>
      <c r="BA115" s="1007"/>
      <c r="BB115" s="1007"/>
      <c r="BC115" s="1007"/>
      <c r="BD115" s="1007"/>
      <c r="BE115" s="1007"/>
      <c r="BF115" s="1007"/>
      <c r="BG115" s="1007"/>
      <c r="BH115" s="439"/>
      <c r="BI115" s="439"/>
      <c r="BR115" s="525"/>
      <c r="BS115" s="439"/>
      <c r="CD115" s="439"/>
    </row>
    <row r="116" spans="29:82">
      <c r="AC116" s="1007"/>
      <c r="AD116" s="525"/>
      <c r="AE116" s="525"/>
      <c r="AF116" s="525"/>
      <c r="AG116" s="525"/>
      <c r="AH116" s="525"/>
      <c r="AI116" s="525"/>
      <c r="AJ116" s="525"/>
      <c r="AK116" s="525"/>
      <c r="AL116" s="1007"/>
      <c r="AM116" s="1007"/>
      <c r="AN116" s="1007"/>
      <c r="AO116" s="1007"/>
      <c r="AP116" s="1007"/>
      <c r="AQ116" s="1007"/>
      <c r="AR116" s="1007"/>
      <c r="AS116" s="1007"/>
      <c r="AT116" s="1007"/>
      <c r="AU116" s="1007"/>
      <c r="AV116" s="1007"/>
      <c r="AW116" s="1007"/>
      <c r="AX116" s="1007"/>
      <c r="AY116" s="1007"/>
      <c r="BH116" s="1007"/>
      <c r="BI116" s="1007"/>
      <c r="BR116" s="525"/>
      <c r="BS116" s="1007"/>
      <c r="BT116" s="525"/>
      <c r="BU116" s="525"/>
      <c r="BV116" s="525"/>
      <c r="BW116" s="525"/>
      <c r="BX116" s="525"/>
      <c r="BY116" s="525"/>
      <c r="BZ116" s="525"/>
      <c r="CA116" s="525"/>
      <c r="CB116" s="525"/>
      <c r="CC116" s="525"/>
      <c r="CD116" s="1007"/>
    </row>
    <row r="117" spans="29:82">
      <c r="AD117" s="525"/>
      <c r="AE117" s="525"/>
      <c r="AF117" s="525"/>
      <c r="AG117" s="525"/>
      <c r="AH117" s="525"/>
      <c r="AI117" s="525"/>
      <c r="AJ117" s="525"/>
      <c r="AK117" s="525"/>
      <c r="AZ117" s="525"/>
      <c r="BA117" s="525"/>
      <c r="BB117" s="525"/>
      <c r="BC117" s="525"/>
      <c r="BD117" s="525"/>
      <c r="BE117" s="525"/>
      <c r="BF117" s="525"/>
      <c r="BG117" s="525"/>
      <c r="BJ117" s="525"/>
      <c r="BK117" s="525"/>
      <c r="BL117" s="525"/>
      <c r="BM117" s="525"/>
      <c r="BN117" s="525"/>
      <c r="BO117" s="525"/>
      <c r="BP117" s="525"/>
      <c r="BQ117" s="525"/>
      <c r="BR117" s="439"/>
      <c r="BT117" s="525"/>
      <c r="BU117" s="525"/>
      <c r="BV117" s="525"/>
      <c r="BW117" s="525"/>
      <c r="BX117" s="525"/>
      <c r="BY117" s="525"/>
      <c r="BZ117" s="525"/>
      <c r="CA117" s="525"/>
      <c r="CB117" s="525"/>
      <c r="CC117" s="525"/>
    </row>
    <row r="118" spans="29:82">
      <c r="AC118" s="1007"/>
      <c r="AD118" s="439"/>
      <c r="AE118" s="525"/>
      <c r="AF118" s="525"/>
      <c r="AG118" s="525"/>
      <c r="AH118" s="525"/>
      <c r="AI118" s="525"/>
      <c r="AJ118" s="525"/>
      <c r="AK118" s="525"/>
      <c r="AL118" s="1007"/>
      <c r="AM118" s="1007"/>
      <c r="AN118" s="1007"/>
      <c r="AO118" s="1007"/>
      <c r="AP118" s="1007"/>
      <c r="AQ118" s="1007"/>
      <c r="AR118" s="1007"/>
      <c r="AS118" s="1007"/>
      <c r="AT118" s="1007"/>
      <c r="AU118" s="1007"/>
      <c r="AV118" s="1007"/>
      <c r="AW118" s="1007"/>
      <c r="AX118" s="1007"/>
      <c r="AY118" s="1007"/>
      <c r="BH118" s="1007"/>
      <c r="BI118" s="1007"/>
      <c r="BJ118" s="525"/>
      <c r="BK118" s="525"/>
      <c r="BL118" s="525"/>
      <c r="BM118" s="525"/>
      <c r="BN118" s="525"/>
      <c r="BO118" s="525"/>
      <c r="BP118" s="525"/>
      <c r="BQ118" s="525"/>
      <c r="BR118" s="1007"/>
      <c r="BS118" s="1007"/>
      <c r="BT118" s="525"/>
      <c r="BU118" s="525"/>
      <c r="BV118" s="525"/>
      <c r="BW118" s="525"/>
      <c r="BX118" s="525"/>
      <c r="BY118" s="525"/>
      <c r="BZ118" s="525"/>
      <c r="CA118" s="525"/>
      <c r="CB118" s="525"/>
      <c r="CC118" s="525"/>
      <c r="CD118" s="1007"/>
    </row>
    <row r="119" spans="29:82">
      <c r="AD119" s="1007"/>
      <c r="AE119" s="439"/>
      <c r="AF119" s="439"/>
      <c r="AG119" s="439"/>
      <c r="AH119" s="439"/>
      <c r="AI119" s="439"/>
      <c r="AJ119" s="439"/>
      <c r="AK119" s="439"/>
      <c r="BJ119" s="525"/>
      <c r="BK119" s="525"/>
      <c r="BL119" s="525"/>
      <c r="BM119" s="525"/>
      <c r="BN119" s="525"/>
      <c r="BO119" s="525"/>
      <c r="BP119" s="525"/>
      <c r="BQ119" s="525"/>
      <c r="BT119" s="439"/>
      <c r="BU119" s="439"/>
      <c r="BV119" s="439"/>
      <c r="BW119" s="439"/>
      <c r="BX119" s="439"/>
      <c r="BY119" s="439"/>
      <c r="BZ119" s="439"/>
      <c r="CA119" s="439"/>
      <c r="CB119" s="439"/>
      <c r="CC119" s="439"/>
    </row>
    <row r="120" spans="29:82">
      <c r="AC120" s="525"/>
      <c r="AE120" s="1007"/>
      <c r="AF120" s="1007"/>
      <c r="AG120" s="1007"/>
      <c r="AH120" s="1007"/>
      <c r="AI120" s="1007"/>
      <c r="AJ120" s="1007"/>
      <c r="AK120" s="1007"/>
      <c r="AL120" s="525"/>
      <c r="AM120" s="525"/>
      <c r="AN120" s="525"/>
      <c r="AO120" s="525"/>
      <c r="AP120" s="525"/>
      <c r="AQ120" s="525"/>
      <c r="AR120" s="525"/>
      <c r="AS120" s="525"/>
      <c r="AT120" s="525"/>
      <c r="AU120" s="525"/>
      <c r="AV120" s="525"/>
      <c r="AW120" s="525"/>
      <c r="AX120" s="525"/>
      <c r="AY120" s="525"/>
      <c r="BH120" s="525"/>
      <c r="BI120" s="525"/>
      <c r="BJ120" s="439"/>
      <c r="BK120" s="439"/>
      <c r="BL120" s="439"/>
      <c r="BM120" s="439"/>
      <c r="BN120" s="439"/>
      <c r="BO120" s="439"/>
      <c r="BP120" s="439"/>
      <c r="BQ120" s="439"/>
      <c r="BR120" s="1007"/>
      <c r="BS120" s="525"/>
      <c r="BT120" s="1007"/>
      <c r="BU120" s="1007"/>
      <c r="BV120" s="1007"/>
      <c r="BW120" s="1007"/>
      <c r="BX120" s="1007"/>
      <c r="BY120" s="1007"/>
      <c r="BZ120" s="1007"/>
      <c r="CA120" s="1007"/>
      <c r="CB120" s="1007"/>
      <c r="CC120" s="1007"/>
      <c r="CD120" s="525"/>
    </row>
    <row r="121" spans="29:82">
      <c r="AD121" s="1007"/>
      <c r="BJ121" s="1007"/>
      <c r="BK121" s="1007"/>
      <c r="BL121" s="1007"/>
      <c r="BM121" s="1007"/>
      <c r="BN121" s="1007"/>
      <c r="BO121" s="1007"/>
      <c r="BP121" s="1007"/>
      <c r="BQ121" s="1007"/>
    </row>
    <row r="122" spans="29:82">
      <c r="AE122" s="1007"/>
      <c r="AF122" s="1007"/>
      <c r="AG122" s="1007"/>
      <c r="AH122" s="1007"/>
      <c r="AI122" s="1007"/>
      <c r="AJ122" s="1007"/>
      <c r="AK122" s="1007"/>
      <c r="BR122" s="525"/>
      <c r="BT122" s="1007"/>
      <c r="BU122" s="1007"/>
      <c r="BV122" s="1007"/>
      <c r="BW122" s="1007"/>
      <c r="BX122" s="1007"/>
      <c r="BY122" s="1007"/>
      <c r="BZ122" s="1007"/>
      <c r="CA122" s="1007"/>
      <c r="CB122" s="1007"/>
      <c r="CC122" s="1007"/>
    </row>
    <row r="123" spans="29:82">
      <c r="AD123" s="525"/>
      <c r="BJ123" s="1007"/>
      <c r="BK123" s="1007"/>
      <c r="BL123" s="1007"/>
      <c r="BM123" s="1007"/>
      <c r="BN123" s="1007"/>
      <c r="BO123" s="1007"/>
      <c r="BP123" s="1007"/>
      <c r="BQ123" s="1007"/>
    </row>
    <row r="124" spans="29:82">
      <c r="AE124" s="525"/>
      <c r="AF124" s="525"/>
      <c r="AG124" s="525"/>
      <c r="AH124" s="525"/>
      <c r="AI124" s="525"/>
      <c r="AJ124" s="525"/>
      <c r="AK124" s="525"/>
      <c r="BT124" s="525"/>
      <c r="BU124" s="525"/>
      <c r="BV124" s="525"/>
      <c r="BW124" s="525"/>
      <c r="BX124" s="525"/>
      <c r="BY124" s="525"/>
      <c r="BZ124" s="525"/>
      <c r="CA124" s="525"/>
      <c r="CB124" s="525"/>
      <c r="CC124" s="525"/>
    </row>
    <row r="125" spans="29:82">
      <c r="BJ125" s="525"/>
      <c r="BK125" s="525"/>
      <c r="BL125" s="525"/>
      <c r="BM125" s="525"/>
      <c r="BN125" s="525"/>
      <c r="BO125" s="525"/>
      <c r="BP125" s="525"/>
      <c r="BQ125" s="525"/>
    </row>
  </sheetData>
  <mergeCells count="6">
    <mergeCell ref="BW3:CA3"/>
    <mergeCell ref="W2:Y2"/>
    <mergeCell ref="AG2:AI2"/>
    <mergeCell ref="AQ2:AU2"/>
    <mergeCell ref="BC3:BE3"/>
    <mergeCell ref="BM3:BO3"/>
  </mergeCells>
  <pageMargins left="0.5" right="0.5" top="1" bottom="1" header="0.5" footer="0.5"/>
  <pageSetup scale="69" orientation="portrait" r:id="rId1"/>
  <headerFooter alignWithMargins="0"/>
  <ignoredErrors>
    <ignoredError sqref="BC48 BF49 BA54 BU54 CB47" formula="1"/>
    <ignoredError sqref="BL60 EM19:EO1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2F5F-76F0-4A9A-A522-06B3BF1F5148}">
  <sheetPr>
    <tabColor rgb="FFFFFF00"/>
    <pageSetUpPr fitToPage="1"/>
  </sheetPr>
  <dimension ref="A1:CS581"/>
  <sheetViews>
    <sheetView showGridLines="0" topLeftCell="BU1" zoomScale="90" zoomScaleNormal="90" workbookViewId="0">
      <selection activeCell="CR34" sqref="CR34"/>
    </sheetView>
  </sheetViews>
  <sheetFormatPr defaultRowHeight="12.75"/>
  <cols>
    <col min="1" max="1" width="42.7109375" style="585" customWidth="1"/>
    <col min="2" max="9" width="12.7109375" style="585" customWidth="1"/>
    <col min="10" max="11" width="9.140625" style="585"/>
    <col min="12" max="12" width="42.7109375" style="585" customWidth="1"/>
    <col min="13" max="20" width="12.7109375" style="585" customWidth="1"/>
    <col min="21" max="21" width="11.7109375" style="585" customWidth="1"/>
    <col min="22" max="23" width="12.7109375" style="585" customWidth="1"/>
    <col min="24" max="24" width="37.7109375" style="585" customWidth="1"/>
    <col min="25" max="33" width="13.28515625" style="585" customWidth="1"/>
    <col min="34" max="35" width="12.7109375" style="585" customWidth="1"/>
    <col min="36" max="36" width="26.7109375" style="585" customWidth="1"/>
    <col min="37" max="46" width="11.7109375" style="585" customWidth="1"/>
    <col min="47" max="47" width="26.7109375" style="585" customWidth="1"/>
    <col min="48" max="57" width="9.140625" style="585" customWidth="1"/>
    <col min="58" max="60" width="12.7109375" style="585" customWidth="1"/>
    <col min="61" max="61" width="26.7109375" style="585" customWidth="1"/>
    <col min="62" max="64" width="11.7109375" style="585" customWidth="1"/>
    <col min="65" max="65" width="10.7109375" style="585" customWidth="1"/>
    <col min="66" max="66" width="9.140625" style="585"/>
    <col min="67" max="67" width="10.7109375" style="585" customWidth="1"/>
    <col min="68" max="68" width="25.7109375" style="585" customWidth="1"/>
    <col min="69" max="69" width="9.140625" style="585"/>
    <col min="70" max="70" width="10.28515625" style="585" customWidth="1"/>
    <col min="71" max="80" width="9.140625" style="585"/>
    <col min="81" max="81" width="9.140625" style="585" customWidth="1"/>
    <col min="82" max="82" width="38.7109375" style="585" customWidth="1"/>
    <col min="83" max="91" width="11.7109375" style="585" customWidth="1"/>
    <col min="92" max="92" width="12.7109375" style="585" customWidth="1"/>
    <col min="93" max="96" width="10.7109375" style="585" customWidth="1"/>
    <col min="97" max="16384" width="9.140625" style="585"/>
  </cols>
  <sheetData>
    <row r="1" spans="1:97">
      <c r="A1" s="382" t="s">
        <v>4815</v>
      </c>
      <c r="B1" s="382"/>
      <c r="C1" s="382"/>
      <c r="D1" s="382"/>
      <c r="E1" s="382"/>
      <c r="F1" s="382"/>
      <c r="G1" s="884"/>
      <c r="L1" s="382" t="s">
        <v>4816</v>
      </c>
      <c r="M1" s="382"/>
      <c r="N1" s="382"/>
      <c r="O1" s="382"/>
      <c r="P1" s="382"/>
      <c r="X1" s="382" t="s">
        <v>4817</v>
      </c>
      <c r="Y1" s="382"/>
      <c r="Z1" s="382"/>
      <c r="AD1" s="1052"/>
      <c r="AJ1" s="382" t="s">
        <v>4818</v>
      </c>
      <c r="AK1" s="382"/>
      <c r="AL1" s="382"/>
      <c r="AM1" s="382"/>
      <c r="AN1" s="382"/>
      <c r="AQ1" s="870"/>
      <c r="AU1" s="382" t="s">
        <v>4819</v>
      </c>
      <c r="AV1" s="382"/>
      <c r="AW1" s="382"/>
      <c r="AX1" s="382"/>
      <c r="AY1" s="382"/>
      <c r="AZ1" s="382"/>
      <c r="BA1" s="382"/>
      <c r="BB1" s="382"/>
      <c r="BC1" s="382"/>
      <c r="BD1" s="382"/>
      <c r="BE1" s="870"/>
      <c r="BI1" s="585" t="s">
        <v>4856</v>
      </c>
      <c r="BP1" s="382" t="s">
        <v>4857</v>
      </c>
      <c r="BQ1" s="382"/>
      <c r="BR1" s="382"/>
      <c r="BS1" s="382"/>
      <c r="BT1" s="382"/>
      <c r="BU1" s="382"/>
      <c r="BV1" s="382"/>
      <c r="BW1" s="382"/>
      <c r="BX1" s="382"/>
      <c r="BY1" s="382"/>
      <c r="BZ1" s="382"/>
      <c r="CD1" s="382" t="s">
        <v>4858</v>
      </c>
      <c r="CE1" s="382"/>
      <c r="CF1" s="382"/>
      <c r="CG1" s="382"/>
      <c r="CH1" s="382"/>
      <c r="CI1" s="382"/>
      <c r="CJ1" s="382"/>
      <c r="CP1" s="382"/>
    </row>
    <row r="2" spans="1:97" ht="12.75" customHeight="1">
      <c r="A2" s="381" t="s">
        <v>8717</v>
      </c>
      <c r="B2" s="381"/>
      <c r="C2" s="381"/>
      <c r="D2" s="381"/>
      <c r="E2" s="381"/>
      <c r="F2" s="382"/>
      <c r="G2" s="884"/>
      <c r="L2" s="381" t="s">
        <v>8718</v>
      </c>
      <c r="M2" s="381"/>
      <c r="N2" s="381"/>
      <c r="O2" s="381"/>
      <c r="P2" s="381"/>
      <c r="Q2" s="586"/>
      <c r="R2" s="586"/>
      <c r="S2" s="586"/>
      <c r="T2" s="586"/>
      <c r="X2" s="998" t="s">
        <v>4820</v>
      </c>
      <c r="Y2" s="642" t="s">
        <v>4821</v>
      </c>
      <c r="Z2" s="642" t="s">
        <v>4822</v>
      </c>
      <c r="AA2" s="642" t="s">
        <v>4823</v>
      </c>
      <c r="AB2" s="642" t="s">
        <v>4824</v>
      </c>
      <c r="AC2" s="642" t="s">
        <v>4825</v>
      </c>
      <c r="AD2" s="642" t="s">
        <v>4826</v>
      </c>
      <c r="AE2" s="642" t="s">
        <v>4827</v>
      </c>
      <c r="AF2" s="664" t="s">
        <v>4828</v>
      </c>
      <c r="AG2" s="599"/>
      <c r="AJ2" s="998" t="s">
        <v>1810</v>
      </c>
      <c r="AK2" s="998">
        <v>2024</v>
      </c>
      <c r="AL2" s="998">
        <v>2023</v>
      </c>
      <c r="AM2" s="998">
        <v>2022</v>
      </c>
      <c r="AN2" s="998">
        <v>2021</v>
      </c>
      <c r="AO2" s="998">
        <v>2020</v>
      </c>
      <c r="AP2" s="938">
        <v>2019</v>
      </c>
      <c r="AQ2" s="939">
        <v>2018</v>
      </c>
      <c r="AU2" s="597"/>
      <c r="AV2" s="404" t="s">
        <v>129</v>
      </c>
      <c r="AW2" s="2098" t="s">
        <v>4829</v>
      </c>
      <c r="AX2" s="2098"/>
      <c r="AY2" s="2098"/>
      <c r="AZ2" s="2098"/>
      <c r="BA2" s="2098"/>
      <c r="BB2" s="2098"/>
      <c r="BC2" s="2098"/>
      <c r="BD2" s="2098"/>
      <c r="BE2" s="2078"/>
      <c r="BH2" s="598"/>
      <c r="BI2" s="382" t="s">
        <v>4862</v>
      </c>
      <c r="BO2" s="598"/>
      <c r="BP2" s="597"/>
      <c r="BQ2" s="404"/>
      <c r="BR2" s="2098" t="s">
        <v>4863</v>
      </c>
      <c r="BS2" s="2098"/>
      <c r="BT2" s="2098"/>
      <c r="BU2" s="2098"/>
      <c r="BV2" s="2098"/>
      <c r="BW2" s="2098"/>
      <c r="BX2" s="2098"/>
      <c r="BY2" s="2098"/>
      <c r="BZ2" s="2078"/>
      <c r="CA2" s="598"/>
      <c r="CB2" s="598"/>
      <c r="CC2" s="598"/>
      <c r="CD2" s="382" t="s">
        <v>8726</v>
      </c>
      <c r="CE2" s="382"/>
      <c r="CF2" s="382"/>
      <c r="CG2" s="382"/>
      <c r="CH2" s="382"/>
      <c r="CI2" s="382"/>
      <c r="CJ2" s="382"/>
      <c r="CQ2" s="1002"/>
    </row>
    <row r="3" spans="1:97">
      <c r="B3" s="2175">
        <v>45565</v>
      </c>
      <c r="C3" s="2176"/>
      <c r="D3" s="2176"/>
      <c r="E3" s="2176"/>
      <c r="F3" s="2173">
        <v>45199</v>
      </c>
      <c r="G3" s="2174"/>
      <c r="H3" s="2174"/>
      <c r="I3" s="2174"/>
      <c r="K3" s="525"/>
      <c r="M3" s="2175">
        <v>44834</v>
      </c>
      <c r="N3" s="2176"/>
      <c r="O3" s="2176"/>
      <c r="P3" s="2176"/>
      <c r="Q3" s="2177">
        <v>44469</v>
      </c>
      <c r="R3" s="2178"/>
      <c r="S3" s="2178"/>
      <c r="T3" s="2178"/>
      <c r="U3" s="1004"/>
      <c r="V3" s="1004"/>
      <c r="W3" s="525"/>
      <c r="X3" s="1053" t="s">
        <v>4830</v>
      </c>
      <c r="Y3" s="525">
        <f t="shared" ref="Y3:AD3" si="0">Y4+Y5</f>
        <v>4538</v>
      </c>
      <c r="Z3" s="525">
        <f t="shared" si="0"/>
        <v>813</v>
      </c>
      <c r="AA3" s="525">
        <f t="shared" si="0"/>
        <v>2640</v>
      </c>
      <c r="AB3" s="525">
        <f t="shared" si="0"/>
        <v>933</v>
      </c>
      <c r="AC3" s="525">
        <f>AC4+AC5</f>
        <v>2906</v>
      </c>
      <c r="AD3" s="525">
        <f t="shared" si="0"/>
        <v>1070</v>
      </c>
      <c r="AE3" s="525">
        <f>AE4+AE5</f>
        <v>2994</v>
      </c>
      <c r="AF3" s="525">
        <f>AF4+AF5</f>
        <v>1226</v>
      </c>
      <c r="AG3" s="764"/>
      <c r="AH3" s="764"/>
      <c r="AJ3" s="585" t="s">
        <v>4831</v>
      </c>
      <c r="AK3" s="525">
        <v>6932</v>
      </c>
      <c r="AL3" s="525">
        <v>7016</v>
      </c>
      <c r="AM3" s="525">
        <v>7113</v>
      </c>
      <c r="AN3" s="525">
        <v>7169</v>
      </c>
      <c r="AO3" s="525">
        <v>7162</v>
      </c>
      <c r="AP3" s="525">
        <v>7138</v>
      </c>
      <c r="AQ3" s="525">
        <v>7095</v>
      </c>
      <c r="AR3" s="525"/>
      <c r="AS3" s="525"/>
      <c r="AT3" s="525"/>
      <c r="AU3" s="610" t="s">
        <v>2449</v>
      </c>
      <c r="AV3" s="441" t="s">
        <v>4832</v>
      </c>
      <c r="AW3" s="642" t="s">
        <v>4833</v>
      </c>
      <c r="AX3" s="1054" t="s">
        <v>4834</v>
      </c>
      <c r="AY3" s="1054" t="s">
        <v>4835</v>
      </c>
      <c r="AZ3" s="642" t="s">
        <v>4836</v>
      </c>
      <c r="BA3" s="642" t="s">
        <v>2452</v>
      </c>
      <c r="BB3" s="642" t="s">
        <v>2453</v>
      </c>
      <c r="BC3" s="642" t="s">
        <v>2454</v>
      </c>
      <c r="BD3" s="642" t="s">
        <v>2455</v>
      </c>
      <c r="BE3" s="664" t="s">
        <v>4837</v>
      </c>
      <c r="BF3" s="525"/>
      <c r="BG3" s="525"/>
      <c r="BH3" s="599"/>
      <c r="BI3" s="597"/>
      <c r="BJ3" s="2173">
        <v>45565</v>
      </c>
      <c r="BK3" s="2102"/>
      <c r="BL3" s="2102"/>
      <c r="BO3" s="599"/>
      <c r="BP3" s="493"/>
      <c r="BQ3" s="667" t="s">
        <v>129</v>
      </c>
      <c r="BR3" s="667" t="s">
        <v>4868</v>
      </c>
      <c r="BS3" s="667" t="s">
        <v>4869</v>
      </c>
      <c r="BT3" s="667" t="s">
        <v>4870</v>
      </c>
      <c r="BU3" s="667" t="s">
        <v>4871</v>
      </c>
      <c r="BV3" s="667" t="s">
        <v>4872</v>
      </c>
      <c r="BW3" s="667" t="s">
        <v>4873</v>
      </c>
      <c r="BX3" s="667" t="s">
        <v>4874</v>
      </c>
      <c r="BY3" s="667" t="s">
        <v>4875</v>
      </c>
      <c r="BZ3" s="465" t="s">
        <v>4876</v>
      </c>
      <c r="CA3" s="599"/>
      <c r="CB3" s="599"/>
      <c r="CC3" s="599"/>
      <c r="CD3" s="597"/>
      <c r="CE3" s="2173">
        <v>45565</v>
      </c>
      <c r="CF3" s="2102"/>
      <c r="CG3" s="2102"/>
      <c r="CH3" s="2173">
        <v>45199</v>
      </c>
      <c r="CI3" s="2102"/>
      <c r="CJ3" s="2102"/>
      <c r="CK3" s="2173">
        <v>44834</v>
      </c>
      <c r="CL3" s="2102"/>
      <c r="CM3" s="2102"/>
      <c r="CP3" s="599"/>
      <c r="CQ3" s="599"/>
      <c r="CR3" s="599"/>
      <c r="CS3" s="599"/>
    </row>
    <row r="4" spans="1:97" ht="25.5">
      <c r="A4" s="1055" t="s">
        <v>1931</v>
      </c>
      <c r="B4" s="1056" t="s">
        <v>129</v>
      </c>
      <c r="C4" s="1057" t="s">
        <v>4838</v>
      </c>
      <c r="D4" s="1058" t="s">
        <v>4839</v>
      </c>
      <c r="E4" s="1058" t="s">
        <v>4840</v>
      </c>
      <c r="F4" s="1056" t="s">
        <v>129</v>
      </c>
      <c r="G4" s="1059" t="s">
        <v>4841</v>
      </c>
      <c r="H4" s="1058" t="s">
        <v>4842</v>
      </c>
      <c r="I4" s="1058" t="s">
        <v>4843</v>
      </c>
      <c r="L4" s="1055" t="s">
        <v>1931</v>
      </c>
      <c r="M4" s="1056" t="s">
        <v>129</v>
      </c>
      <c r="N4" s="1060" t="s">
        <v>4844</v>
      </c>
      <c r="O4" s="1058" t="s">
        <v>4845</v>
      </c>
      <c r="P4" s="1058" t="s">
        <v>4846</v>
      </c>
      <c r="Q4" s="1056" t="s">
        <v>129</v>
      </c>
      <c r="R4" s="1060" t="s">
        <v>4847</v>
      </c>
      <c r="S4" s="1058" t="s">
        <v>4848</v>
      </c>
      <c r="T4" s="1058" t="s">
        <v>4849</v>
      </c>
      <c r="X4" s="585" t="s">
        <v>4850</v>
      </c>
      <c r="Y4" s="525">
        <v>3864</v>
      </c>
      <c r="Z4" s="525">
        <v>806</v>
      </c>
      <c r="AA4" s="525">
        <v>2640</v>
      </c>
      <c r="AB4" s="525">
        <v>920</v>
      </c>
      <c r="AC4" s="525">
        <v>2885</v>
      </c>
      <c r="AD4" s="525">
        <v>1052</v>
      </c>
      <c r="AE4" s="525">
        <v>2730</v>
      </c>
      <c r="AF4" s="525">
        <v>1204</v>
      </c>
      <c r="AG4" s="525"/>
      <c r="AH4" s="525"/>
      <c r="AJ4" s="585" t="s">
        <v>4851</v>
      </c>
      <c r="AK4" s="585">
        <v>72.7</v>
      </c>
      <c r="AL4" s="585">
        <v>72.2</v>
      </c>
      <c r="AM4" s="585">
        <v>71.7</v>
      </c>
      <c r="AN4" s="585">
        <v>71.400000000000006</v>
      </c>
      <c r="AO4" s="585">
        <v>71.2</v>
      </c>
      <c r="AP4" s="855">
        <v>70.900000000000006</v>
      </c>
      <c r="AQ4" s="623">
        <v>70.5</v>
      </c>
      <c r="AR4" s="623"/>
      <c r="AU4" s="382" t="s">
        <v>4852</v>
      </c>
      <c r="AV4" s="525">
        <f>SUM(AV5:AV16)</f>
        <v>813</v>
      </c>
      <c r="AW4" s="525">
        <f>SUM(AW5:AW16)</f>
        <v>7</v>
      </c>
      <c r="AX4" s="525">
        <f>SUM(AX5:AX16)</f>
        <v>12</v>
      </c>
      <c r="AY4" s="525">
        <f t="shared" ref="AY4:BD4" si="1">SUM(AY5:AY16)</f>
        <v>22</v>
      </c>
      <c r="AZ4" s="525">
        <f t="shared" si="1"/>
        <v>33</v>
      </c>
      <c r="BA4" s="525">
        <f t="shared" si="1"/>
        <v>25</v>
      </c>
      <c r="BB4" s="525">
        <f t="shared" si="1"/>
        <v>142</v>
      </c>
      <c r="BC4" s="525">
        <f t="shared" si="1"/>
        <v>396</v>
      </c>
      <c r="BD4" s="525">
        <f t="shared" si="1"/>
        <v>140</v>
      </c>
      <c r="BE4" s="525">
        <f>SUM(BE5:BE16)</f>
        <v>36</v>
      </c>
      <c r="BH4" s="525"/>
      <c r="BI4" s="610" t="s">
        <v>2449</v>
      </c>
      <c r="BJ4" s="642" t="s">
        <v>129</v>
      </c>
      <c r="BK4" s="642" t="s">
        <v>3039</v>
      </c>
      <c r="BL4" s="664" t="s">
        <v>3046</v>
      </c>
      <c r="BP4" s="610" t="s">
        <v>2449</v>
      </c>
      <c r="BQ4" s="441" t="s">
        <v>4832</v>
      </c>
      <c r="BR4" s="441" t="s">
        <v>4881</v>
      </c>
      <c r="BS4" s="441" t="s">
        <v>4882</v>
      </c>
      <c r="BT4" s="441" t="s">
        <v>4883</v>
      </c>
      <c r="BU4" s="441" t="s">
        <v>4884</v>
      </c>
      <c r="BV4" s="441" t="s">
        <v>4885</v>
      </c>
      <c r="BW4" s="441" t="s">
        <v>4886</v>
      </c>
      <c r="BX4" s="441" t="s">
        <v>4887</v>
      </c>
      <c r="BY4" s="441" t="s">
        <v>4876</v>
      </c>
      <c r="BZ4" s="442" t="s">
        <v>4888</v>
      </c>
      <c r="CA4" s="599"/>
      <c r="CB4" s="599"/>
      <c r="CC4" s="599"/>
      <c r="CD4" s="610" t="s">
        <v>2449</v>
      </c>
      <c r="CE4" s="1064" t="s">
        <v>129</v>
      </c>
      <c r="CF4" s="1064" t="s">
        <v>3039</v>
      </c>
      <c r="CG4" s="1064" t="s">
        <v>3046</v>
      </c>
      <c r="CH4" s="1065" t="s">
        <v>129</v>
      </c>
      <c r="CI4" s="1065" t="s">
        <v>3039</v>
      </c>
      <c r="CJ4" s="1029" t="s">
        <v>3046</v>
      </c>
      <c r="CK4" s="614" t="s">
        <v>129</v>
      </c>
      <c r="CL4" s="1065" t="s">
        <v>3039</v>
      </c>
      <c r="CM4" s="1029" t="s">
        <v>3046</v>
      </c>
      <c r="CP4" s="525"/>
      <c r="CQ4" s="862"/>
      <c r="CR4" s="862"/>
      <c r="CS4" s="862"/>
    </row>
    <row r="5" spans="1:97">
      <c r="A5" s="585" t="s">
        <v>3508</v>
      </c>
      <c r="B5" s="525">
        <f t="shared" ref="B5:I5" si="2">SUM(B6:B53)</f>
        <v>11147</v>
      </c>
      <c r="C5" s="525">
        <f t="shared" si="2"/>
        <v>5796</v>
      </c>
      <c r="D5" s="525">
        <f t="shared" si="2"/>
        <v>4538</v>
      </c>
      <c r="E5" s="525">
        <f t="shared" si="2"/>
        <v>813</v>
      </c>
      <c r="F5" s="525">
        <f t="shared" si="2"/>
        <v>11270</v>
      </c>
      <c r="G5" s="525">
        <f t="shared" si="2"/>
        <v>7697</v>
      </c>
      <c r="H5" s="525">
        <f t="shared" si="2"/>
        <v>2640</v>
      </c>
      <c r="I5" s="525">
        <f t="shared" si="2"/>
        <v>933</v>
      </c>
      <c r="J5" s="525"/>
      <c r="L5" s="585" t="s">
        <v>3508</v>
      </c>
      <c r="M5" s="525">
        <f t="shared" ref="M5:P5" si="3">SUM(M6:M51)</f>
        <v>11547</v>
      </c>
      <c r="N5" s="525">
        <f t="shared" si="3"/>
        <v>7571</v>
      </c>
      <c r="O5" s="525">
        <f t="shared" si="3"/>
        <v>2906</v>
      </c>
      <c r="P5" s="525">
        <f t="shared" si="3"/>
        <v>1070</v>
      </c>
      <c r="Q5" s="525">
        <f>SUM(Q6:Q51)</f>
        <v>11290</v>
      </c>
      <c r="R5" s="525">
        <f t="shared" ref="R5:T5" si="4">SUM(R6:R51)</f>
        <v>7070</v>
      </c>
      <c r="S5" s="525">
        <f t="shared" si="4"/>
        <v>2994</v>
      </c>
      <c r="T5" s="525">
        <f t="shared" si="4"/>
        <v>1226</v>
      </c>
      <c r="U5" s="599"/>
      <c r="V5" s="599"/>
      <c r="X5" s="585" t="s">
        <v>4853</v>
      </c>
      <c r="Y5" s="525">
        <v>674</v>
      </c>
      <c r="Z5" s="585">
        <v>7</v>
      </c>
      <c r="AA5" s="525">
        <v>0</v>
      </c>
      <c r="AB5" s="585">
        <v>13</v>
      </c>
      <c r="AC5" s="525">
        <v>21</v>
      </c>
      <c r="AD5" s="585">
        <v>18</v>
      </c>
      <c r="AE5" s="525">
        <v>264</v>
      </c>
      <c r="AF5" s="585">
        <v>22</v>
      </c>
      <c r="AG5" s="525"/>
      <c r="AH5" s="525"/>
      <c r="AJ5" s="585" t="s">
        <v>4854</v>
      </c>
      <c r="AK5" s="1004">
        <v>35694</v>
      </c>
      <c r="AL5" s="1004">
        <v>34831</v>
      </c>
      <c r="AM5" s="1004">
        <v>34550</v>
      </c>
      <c r="AN5" s="1004">
        <v>33631</v>
      </c>
      <c r="AO5" s="1004">
        <v>32717</v>
      </c>
      <c r="AP5" s="1004">
        <v>31904</v>
      </c>
      <c r="AQ5" s="1004">
        <v>31043</v>
      </c>
      <c r="AR5" s="1004"/>
      <c r="AS5" s="1004"/>
      <c r="AT5" s="1004"/>
      <c r="AU5" s="382" t="s">
        <v>4855</v>
      </c>
      <c r="AV5" s="474">
        <f>SUM(AW5:BE5)</f>
        <v>0</v>
      </c>
      <c r="AW5" s="474" t="s">
        <v>546</v>
      </c>
      <c r="AX5" s="474" t="s">
        <v>546</v>
      </c>
      <c r="AY5" s="474" t="s">
        <v>546</v>
      </c>
      <c r="AZ5" s="474" t="s">
        <v>546</v>
      </c>
      <c r="BA5" s="474" t="s">
        <v>546</v>
      </c>
      <c r="BB5" s="474" t="s">
        <v>546</v>
      </c>
      <c r="BC5" s="474" t="s">
        <v>546</v>
      </c>
      <c r="BD5" s="474" t="s">
        <v>546</v>
      </c>
      <c r="BE5" s="474" t="s">
        <v>546</v>
      </c>
      <c r="BF5" s="1004"/>
      <c r="BG5" s="1004"/>
      <c r="BH5" s="525"/>
      <c r="BI5" s="382" t="s">
        <v>4893</v>
      </c>
      <c r="BJ5" s="463">
        <f>SUM(BK5:BL5)</f>
        <v>4538</v>
      </c>
      <c r="BK5" s="463">
        <f>SUM(BK6:BK17)</f>
        <v>2144</v>
      </c>
      <c r="BL5" s="463">
        <f>SUM(BL6:BL17)</f>
        <v>2394</v>
      </c>
      <c r="BP5" s="1066" t="s">
        <v>4894</v>
      </c>
      <c r="BQ5" s="463">
        <f>SUM(BQ6:BQ17)</f>
        <v>5356</v>
      </c>
      <c r="BR5" s="463">
        <f>SUM(BR6:BR17)</f>
        <v>12</v>
      </c>
      <c r="BS5" s="463">
        <f>SUM(BS6:BS17)</f>
        <v>57</v>
      </c>
      <c r="BT5" s="463">
        <f t="shared" ref="BT5:BV5" si="5">SUM(BT6:BT17)</f>
        <v>223</v>
      </c>
      <c r="BU5" s="463">
        <f t="shared" si="5"/>
        <v>335</v>
      </c>
      <c r="BV5" s="463">
        <f t="shared" si="5"/>
        <v>533</v>
      </c>
      <c r="BW5" s="463">
        <f>SUM(BW6:BW17)</f>
        <v>650</v>
      </c>
      <c r="BX5" s="463">
        <f t="shared" ref="BX5:BZ5" si="6">SUM(BX6:BX17)</f>
        <v>1284</v>
      </c>
      <c r="BY5" s="463">
        <f t="shared" si="6"/>
        <v>944</v>
      </c>
      <c r="BZ5" s="463">
        <f t="shared" si="6"/>
        <v>1318</v>
      </c>
      <c r="CC5" s="525"/>
      <c r="CD5" s="382" t="s">
        <v>4895</v>
      </c>
      <c r="CE5" s="463">
        <f t="shared" ref="CE5:CJ5" si="7">SUM(CE6:CE16)</f>
        <v>7489</v>
      </c>
      <c r="CF5" s="463">
        <f t="shared" si="7"/>
        <v>2994</v>
      </c>
      <c r="CG5" s="463">
        <f t="shared" si="7"/>
        <v>4495</v>
      </c>
      <c r="CH5" s="436">
        <f t="shared" si="7"/>
        <v>7493</v>
      </c>
      <c r="CI5" s="463">
        <f t="shared" si="7"/>
        <v>3011</v>
      </c>
      <c r="CJ5" s="463">
        <f t="shared" si="7"/>
        <v>4482</v>
      </c>
      <c r="CK5" s="454">
        <f>SUM(CL5:CM5)</f>
        <v>7532</v>
      </c>
      <c r="CL5" s="463">
        <f>SUM(CL18,CL31,CL44)</f>
        <v>3054</v>
      </c>
      <c r="CM5" s="463">
        <f>SUM(CM18,CM31,CM44)</f>
        <v>4478</v>
      </c>
      <c r="CP5" s="525"/>
      <c r="CQ5" s="862"/>
      <c r="CR5" s="862"/>
      <c r="CS5" s="862"/>
    </row>
    <row r="6" spans="1:97">
      <c r="A6" s="1061" t="s">
        <v>4859</v>
      </c>
      <c r="B6" s="862">
        <f>SUM(C6:E6)</f>
        <v>14</v>
      </c>
      <c r="C6" s="862">
        <v>1</v>
      </c>
      <c r="D6" s="525">
        <v>12</v>
      </c>
      <c r="E6" s="525">
        <v>1</v>
      </c>
      <c r="F6" s="862">
        <f>SUM(G6:I6)</f>
        <v>15</v>
      </c>
      <c r="G6" s="862">
        <v>7</v>
      </c>
      <c r="H6" s="525">
        <v>7</v>
      </c>
      <c r="I6" s="525">
        <v>1</v>
      </c>
      <c r="L6" s="1061" t="s">
        <v>4859</v>
      </c>
      <c r="M6" s="862">
        <f>SUM(N6:P6)</f>
        <v>19</v>
      </c>
      <c r="N6" s="862">
        <v>7</v>
      </c>
      <c r="O6" s="525">
        <v>11</v>
      </c>
      <c r="P6" s="525">
        <v>1</v>
      </c>
      <c r="Q6" s="862">
        <f>SUM(R6:T6)</f>
        <v>18</v>
      </c>
      <c r="R6" s="862">
        <v>6</v>
      </c>
      <c r="S6" s="525">
        <v>11</v>
      </c>
      <c r="T6" s="525">
        <v>1</v>
      </c>
      <c r="U6" s="538"/>
      <c r="V6" s="538"/>
      <c r="W6" s="623"/>
      <c r="X6" s="585" t="s">
        <v>4860</v>
      </c>
      <c r="Y6" s="623">
        <v>46.7</v>
      </c>
      <c r="Z6" s="743">
        <v>58.6</v>
      </c>
      <c r="AA6" s="623">
        <v>48.9</v>
      </c>
      <c r="AB6" s="623">
        <v>57.8</v>
      </c>
      <c r="AC6" s="623">
        <v>47.7</v>
      </c>
      <c r="AD6" s="623">
        <v>57.1</v>
      </c>
      <c r="AE6" s="623">
        <v>47</v>
      </c>
      <c r="AF6" s="623">
        <v>56.4</v>
      </c>
      <c r="AG6" s="623"/>
      <c r="AH6" s="855"/>
      <c r="AP6" s="525"/>
      <c r="AU6" s="382" t="s">
        <v>4861</v>
      </c>
      <c r="AV6" s="474">
        <f t="shared" ref="AV6:AV10" si="8">SUM(AW6:BE6)</f>
        <v>0</v>
      </c>
      <c r="AW6" s="474" t="s">
        <v>546</v>
      </c>
      <c r="AX6" s="474" t="s">
        <v>546</v>
      </c>
      <c r="AY6" s="474" t="s">
        <v>546</v>
      </c>
      <c r="AZ6" s="474" t="s">
        <v>546</v>
      </c>
      <c r="BA6" s="474" t="s">
        <v>546</v>
      </c>
      <c r="BB6" s="474" t="s">
        <v>546</v>
      </c>
      <c r="BC6" s="474" t="s">
        <v>546</v>
      </c>
      <c r="BD6" s="474" t="s">
        <v>546</v>
      </c>
      <c r="BE6" s="474" t="s">
        <v>546</v>
      </c>
      <c r="BH6" s="525"/>
      <c r="BI6" s="382" t="s">
        <v>4855</v>
      </c>
      <c r="BJ6" s="463">
        <f>SUM(BK6:BL6)</f>
        <v>2</v>
      </c>
      <c r="BK6" s="474">
        <v>1</v>
      </c>
      <c r="BL6" s="474">
        <v>1</v>
      </c>
      <c r="BP6" s="382" t="s">
        <v>4899</v>
      </c>
      <c r="BQ6" s="435" t="s">
        <v>546</v>
      </c>
      <c r="BR6" s="435" t="s">
        <v>546</v>
      </c>
      <c r="BS6" s="435" t="s">
        <v>546</v>
      </c>
      <c r="BT6" s="435" t="s">
        <v>546</v>
      </c>
      <c r="BU6" s="435" t="s">
        <v>546</v>
      </c>
      <c r="BV6" s="435" t="s">
        <v>546</v>
      </c>
      <c r="BW6" s="435" t="s">
        <v>546</v>
      </c>
      <c r="BX6" s="435" t="s">
        <v>546</v>
      </c>
      <c r="BY6" s="435" t="s">
        <v>546</v>
      </c>
      <c r="BZ6" s="435" t="s">
        <v>546</v>
      </c>
      <c r="CA6" s="525"/>
      <c r="CB6" s="525"/>
      <c r="CD6" s="382" t="s">
        <v>4900</v>
      </c>
      <c r="CE6" s="382">
        <f>SUM(CF6:CG6)</f>
        <v>111</v>
      </c>
      <c r="CF6" s="382">
        <f>CF19+CF32+CF45</f>
        <v>54</v>
      </c>
      <c r="CG6" s="382">
        <f>CG19+CG32+CG45</f>
        <v>57</v>
      </c>
      <c r="CH6" s="454">
        <f>SUM(CI6:CJ6)</f>
        <v>121</v>
      </c>
      <c r="CI6" s="463">
        <f>+CI19+CI32+CI45</f>
        <v>60</v>
      </c>
      <c r="CJ6" s="463">
        <f>CJ19+CJ32+CJ45</f>
        <v>61</v>
      </c>
      <c r="CK6" s="454">
        <f>SUM(CL6:CM6)</f>
        <v>104</v>
      </c>
      <c r="CL6" s="463">
        <f t="shared" ref="CL6:CM15" si="9">CL19+CL32+CL45</f>
        <v>52</v>
      </c>
      <c r="CM6" s="463">
        <f t="shared" si="9"/>
        <v>52</v>
      </c>
      <c r="CO6" s="1062"/>
      <c r="CP6" s="525"/>
      <c r="CQ6" s="862"/>
      <c r="CR6" s="862"/>
      <c r="CS6" s="862"/>
    </row>
    <row r="7" spans="1:97">
      <c r="A7" s="391" t="s">
        <v>4864</v>
      </c>
      <c r="B7" s="862">
        <f t="shared" ref="B7:B53" si="10">SUM(C7:E7)</f>
        <v>35</v>
      </c>
      <c r="C7" s="862">
        <v>18</v>
      </c>
      <c r="D7" s="463">
        <v>13</v>
      </c>
      <c r="E7" s="463">
        <v>4</v>
      </c>
      <c r="F7" s="862">
        <f t="shared" ref="F7" si="11">SUM(G7:I7)</f>
        <v>38</v>
      </c>
      <c r="G7" s="862">
        <v>26</v>
      </c>
      <c r="H7" s="463">
        <v>9</v>
      </c>
      <c r="I7" s="463">
        <v>3</v>
      </c>
      <c r="L7" s="391" t="s">
        <v>4864</v>
      </c>
      <c r="M7" s="862">
        <f t="shared" ref="M7:M51" si="12">SUM(N7:P7)</f>
        <v>33</v>
      </c>
      <c r="N7" s="862">
        <v>19</v>
      </c>
      <c r="O7" s="463">
        <v>10</v>
      </c>
      <c r="P7" s="463">
        <v>4</v>
      </c>
      <c r="Q7" s="862">
        <f t="shared" ref="Q7" si="13">SUM(R7:T7)</f>
        <v>33</v>
      </c>
      <c r="R7" s="862">
        <v>19</v>
      </c>
      <c r="S7" s="463">
        <v>9</v>
      </c>
      <c r="T7" s="463">
        <v>5</v>
      </c>
      <c r="U7" s="599"/>
      <c r="V7" s="599"/>
      <c r="W7" s="623"/>
      <c r="X7" s="585" t="s">
        <v>4865</v>
      </c>
      <c r="Y7" s="623">
        <v>14.6</v>
      </c>
      <c r="Z7" s="623">
        <v>30.9</v>
      </c>
      <c r="AA7" s="623">
        <v>16.399999999999999</v>
      </c>
      <c r="AB7" s="623">
        <v>30</v>
      </c>
      <c r="AC7" s="623">
        <v>15.1</v>
      </c>
      <c r="AD7" s="623">
        <v>29</v>
      </c>
      <c r="AE7" s="623">
        <v>14</v>
      </c>
      <c r="AF7" s="623">
        <v>28.3</v>
      </c>
      <c r="AG7" s="623"/>
      <c r="AH7" s="855"/>
      <c r="AJ7" s="585" t="s">
        <v>4866</v>
      </c>
      <c r="AK7" s="525">
        <v>5048</v>
      </c>
      <c r="AL7" s="525">
        <v>5112</v>
      </c>
      <c r="AM7" s="525">
        <v>5196</v>
      </c>
      <c r="AN7" s="525">
        <v>5254</v>
      </c>
      <c r="AO7" s="525">
        <v>5274</v>
      </c>
      <c r="AP7" s="525">
        <v>5237</v>
      </c>
      <c r="AQ7" s="525">
        <v>5186</v>
      </c>
      <c r="AR7" s="525"/>
      <c r="AS7" s="525"/>
      <c r="AT7" s="525"/>
      <c r="AU7" s="382" t="s">
        <v>4867</v>
      </c>
      <c r="AV7" s="474">
        <f t="shared" si="8"/>
        <v>0</v>
      </c>
      <c r="AW7" s="474" t="s">
        <v>546</v>
      </c>
      <c r="AX7" s="474" t="s">
        <v>546</v>
      </c>
      <c r="AY7" s="474" t="s">
        <v>546</v>
      </c>
      <c r="AZ7" s="474" t="s">
        <v>546</v>
      </c>
      <c r="BA7" s="474" t="s">
        <v>546</v>
      </c>
      <c r="BB7" s="474" t="s">
        <v>546</v>
      </c>
      <c r="BC7" s="474" t="s">
        <v>546</v>
      </c>
      <c r="BD7" s="474" t="s">
        <v>546</v>
      </c>
      <c r="BE7" s="474" t="s">
        <v>546</v>
      </c>
      <c r="BF7" s="525"/>
      <c r="BG7" s="525"/>
      <c r="BH7" s="525"/>
      <c r="BI7" s="382" t="s">
        <v>4861</v>
      </c>
      <c r="BJ7" s="463">
        <f>SUM(BK7:BL7)</f>
        <v>71</v>
      </c>
      <c r="BK7" s="435">
        <v>44</v>
      </c>
      <c r="BL7" s="435">
        <v>27</v>
      </c>
      <c r="BP7" s="382" t="s">
        <v>4898</v>
      </c>
      <c r="BQ7" s="435" t="s">
        <v>546</v>
      </c>
      <c r="BR7" s="435" t="s">
        <v>546</v>
      </c>
      <c r="BS7" s="435" t="s">
        <v>546</v>
      </c>
      <c r="BT7" s="435" t="s">
        <v>546</v>
      </c>
      <c r="BU7" s="435" t="s">
        <v>546</v>
      </c>
      <c r="BV7" s="435" t="s">
        <v>546</v>
      </c>
      <c r="BW7" s="435" t="s">
        <v>546</v>
      </c>
      <c r="BX7" s="435" t="s">
        <v>546</v>
      </c>
      <c r="BY7" s="435" t="s">
        <v>546</v>
      </c>
      <c r="BZ7" s="435" t="s">
        <v>546</v>
      </c>
      <c r="CD7" s="1067" t="s">
        <v>4867</v>
      </c>
      <c r="CE7" s="382">
        <f t="shared" ref="CE7:CE15" si="14">SUM(CF7:CG7)</f>
        <v>9</v>
      </c>
      <c r="CF7" s="382">
        <f t="shared" ref="CF7:CG16" si="15">CF20+CF33+CF46</f>
        <v>4</v>
      </c>
      <c r="CG7" s="382">
        <f t="shared" si="15"/>
        <v>5</v>
      </c>
      <c r="CH7" s="454">
        <f>SUM(CI7:CJ7)</f>
        <v>7</v>
      </c>
      <c r="CI7" s="463">
        <f t="shared" ref="CI7:CI15" si="16">+CI20+CI33+CI46</f>
        <v>4</v>
      </c>
      <c r="CJ7" s="463">
        <f t="shared" ref="CJ7:CJ16" si="17">CJ20+CJ33+CJ46</f>
        <v>3</v>
      </c>
      <c r="CK7" s="454">
        <f t="shared" ref="CK7:CK11" si="18">SUM(CL7:CM7)</f>
        <v>8</v>
      </c>
      <c r="CL7" s="463">
        <f t="shared" si="9"/>
        <v>4</v>
      </c>
      <c r="CM7" s="463">
        <f t="shared" si="9"/>
        <v>4</v>
      </c>
      <c r="CO7" s="1062"/>
      <c r="CP7" s="525"/>
      <c r="CQ7" s="862"/>
      <c r="CR7" s="862"/>
      <c r="CS7" s="862"/>
    </row>
    <row r="8" spans="1:97">
      <c r="A8" s="391" t="s">
        <v>4877</v>
      </c>
      <c r="B8" s="862">
        <f t="shared" si="10"/>
        <v>3</v>
      </c>
      <c r="C8" s="862">
        <v>1</v>
      </c>
      <c r="D8" s="463">
        <v>2</v>
      </c>
      <c r="E8" s="463">
        <v>0</v>
      </c>
      <c r="F8" s="862">
        <f>SUM(G8:I8)</f>
        <v>3</v>
      </c>
      <c r="G8" s="862">
        <v>2</v>
      </c>
      <c r="H8" s="463">
        <v>1</v>
      </c>
      <c r="I8" s="463">
        <v>0</v>
      </c>
      <c r="L8" s="391" t="s">
        <v>4877</v>
      </c>
      <c r="M8" s="862">
        <f t="shared" si="12"/>
        <v>3</v>
      </c>
      <c r="N8" s="862">
        <v>2</v>
      </c>
      <c r="O8" s="463">
        <v>1</v>
      </c>
      <c r="P8" s="463">
        <v>0</v>
      </c>
      <c r="Q8" s="862">
        <f>SUM(R8:T8)</f>
        <v>1</v>
      </c>
      <c r="R8" s="862">
        <v>0</v>
      </c>
      <c r="S8" s="463">
        <v>1</v>
      </c>
      <c r="T8" s="463">
        <v>0</v>
      </c>
      <c r="U8" s="599"/>
      <c r="V8" s="599"/>
      <c r="X8" s="585" t="s">
        <v>4878</v>
      </c>
      <c r="Y8" s="1063">
        <v>61694</v>
      </c>
      <c r="Z8" s="1063">
        <v>83070</v>
      </c>
      <c r="AA8" s="1063">
        <v>63385</v>
      </c>
      <c r="AB8" s="1063">
        <v>76283</v>
      </c>
      <c r="AC8" s="1063">
        <v>53010</v>
      </c>
      <c r="AD8" s="1063">
        <v>66340</v>
      </c>
      <c r="AE8" s="1063">
        <v>53194</v>
      </c>
      <c r="AF8" s="1063">
        <v>66063</v>
      </c>
      <c r="AG8" s="1063"/>
      <c r="AH8" s="1004"/>
      <c r="AJ8" s="585" t="s">
        <v>4879</v>
      </c>
      <c r="AK8" s="585">
        <v>72.2</v>
      </c>
      <c r="AL8" s="585">
        <v>71.7</v>
      </c>
      <c r="AM8" s="585">
        <v>71.2</v>
      </c>
      <c r="AN8" s="585">
        <v>70.900000000000006</v>
      </c>
      <c r="AO8" s="585">
        <v>70.7</v>
      </c>
      <c r="AP8" s="855">
        <v>70.400000000000006</v>
      </c>
      <c r="AQ8" s="623">
        <v>70.099999999999994</v>
      </c>
      <c r="AR8" s="623"/>
      <c r="AU8" s="382" t="s">
        <v>4880</v>
      </c>
      <c r="AV8" s="474">
        <f t="shared" si="8"/>
        <v>0</v>
      </c>
      <c r="AW8" s="474" t="s">
        <v>546</v>
      </c>
      <c r="AX8" s="474" t="s">
        <v>546</v>
      </c>
      <c r="AY8" s="474" t="s">
        <v>546</v>
      </c>
      <c r="AZ8" s="474" t="s">
        <v>546</v>
      </c>
      <c r="BA8" s="474" t="s">
        <v>546</v>
      </c>
      <c r="BB8" s="474" t="s">
        <v>546</v>
      </c>
      <c r="BC8" s="474" t="s">
        <v>546</v>
      </c>
      <c r="BD8" s="474" t="s">
        <v>546</v>
      </c>
      <c r="BE8" s="474" t="s">
        <v>546</v>
      </c>
      <c r="BH8" s="525"/>
      <c r="BI8" s="382" t="s">
        <v>4867</v>
      </c>
      <c r="BJ8" s="463">
        <f t="shared" ref="BJ8:BJ17" si="19">SUM(BK8:BL8)</f>
        <v>298</v>
      </c>
      <c r="BK8" s="435">
        <v>153</v>
      </c>
      <c r="BL8" s="435">
        <v>145</v>
      </c>
      <c r="BP8" s="382" t="s">
        <v>4904</v>
      </c>
      <c r="BQ8" s="439">
        <f>SUM(BR8:BZ8)</f>
        <v>1</v>
      </c>
      <c r="BR8" s="474" t="s">
        <v>546</v>
      </c>
      <c r="BS8" s="474" t="s">
        <v>546</v>
      </c>
      <c r="BT8" s="474" t="s">
        <v>546</v>
      </c>
      <c r="BU8" s="475" t="s">
        <v>546</v>
      </c>
      <c r="BV8" s="474" t="s">
        <v>546</v>
      </c>
      <c r="BW8" s="475" t="s">
        <v>546</v>
      </c>
      <c r="BX8" s="474" t="s">
        <v>546</v>
      </c>
      <c r="BY8" s="435">
        <v>1</v>
      </c>
      <c r="BZ8" s="475" t="s">
        <v>546</v>
      </c>
      <c r="CD8" s="1067" t="s">
        <v>4880</v>
      </c>
      <c r="CE8" s="382">
        <f t="shared" si="14"/>
        <v>11</v>
      </c>
      <c r="CF8" s="382">
        <f t="shared" si="15"/>
        <v>5</v>
      </c>
      <c r="CG8" s="382">
        <f t="shared" si="15"/>
        <v>6</v>
      </c>
      <c r="CH8" s="454">
        <f t="shared" ref="CH8:CH15" si="20">SUM(CI8:CJ8)</f>
        <v>6</v>
      </c>
      <c r="CI8" s="463">
        <f t="shared" si="16"/>
        <v>2</v>
      </c>
      <c r="CJ8" s="463">
        <f t="shared" si="17"/>
        <v>4</v>
      </c>
      <c r="CK8" s="454">
        <f t="shared" si="18"/>
        <v>6</v>
      </c>
      <c r="CL8" s="463">
        <f t="shared" si="9"/>
        <v>2</v>
      </c>
      <c r="CM8" s="463">
        <f t="shared" si="9"/>
        <v>4</v>
      </c>
      <c r="CO8" s="1062"/>
      <c r="CP8" s="525"/>
      <c r="CQ8" s="862"/>
      <c r="CR8" s="862"/>
      <c r="CS8" s="862"/>
    </row>
    <row r="9" spans="1:97">
      <c r="A9" s="1061" t="s">
        <v>4889</v>
      </c>
      <c r="B9" s="862">
        <f>SUM(C9:E9)</f>
        <v>3</v>
      </c>
      <c r="C9" s="862">
        <v>1</v>
      </c>
      <c r="D9" s="525">
        <v>2</v>
      </c>
      <c r="E9" s="525">
        <v>0</v>
      </c>
      <c r="F9" s="862">
        <f>SUM(G9:I9)</f>
        <v>2</v>
      </c>
      <c r="G9" s="862">
        <v>2</v>
      </c>
      <c r="H9" s="525">
        <v>0</v>
      </c>
      <c r="I9" s="525">
        <v>0</v>
      </c>
      <c r="L9" s="1061" t="s">
        <v>4889</v>
      </c>
      <c r="M9" s="862">
        <f t="shared" si="12"/>
        <v>1</v>
      </c>
      <c r="N9" s="862">
        <v>1</v>
      </c>
      <c r="O9" s="525">
        <v>0</v>
      </c>
      <c r="P9" s="525">
        <v>0</v>
      </c>
      <c r="Q9" s="862">
        <f t="shared" ref="Q9:Q50" si="21">SUM(R9:T9)</f>
        <v>2</v>
      </c>
      <c r="R9" s="862">
        <v>2</v>
      </c>
      <c r="S9" s="525">
        <v>0</v>
      </c>
      <c r="T9" s="525">
        <v>0</v>
      </c>
      <c r="U9" s="525"/>
      <c r="V9" s="525"/>
      <c r="X9" s="585" t="s">
        <v>4890</v>
      </c>
      <c r="Y9" s="1063">
        <v>63760</v>
      </c>
      <c r="Z9" s="1063">
        <v>257407</v>
      </c>
      <c r="AA9" s="1063">
        <v>77446</v>
      </c>
      <c r="AB9" s="1063">
        <v>239842</v>
      </c>
      <c r="AC9" s="1063">
        <v>65707</v>
      </c>
      <c r="AD9" s="1063">
        <v>221948</v>
      </c>
      <c r="AE9" s="1063">
        <v>59411</v>
      </c>
      <c r="AF9" s="1063">
        <v>209010</v>
      </c>
      <c r="AG9" s="1063"/>
      <c r="AH9" s="1004"/>
      <c r="AJ9" s="585" t="s">
        <v>4891</v>
      </c>
      <c r="AK9" s="1004">
        <v>41449</v>
      </c>
      <c r="AL9" s="1004">
        <v>40599</v>
      </c>
      <c r="AM9" s="1004">
        <v>39788</v>
      </c>
      <c r="AN9" s="1004">
        <v>38644</v>
      </c>
      <c r="AO9" s="1004">
        <v>37735</v>
      </c>
      <c r="AP9" s="1004">
        <v>36801</v>
      </c>
      <c r="AQ9" s="1004">
        <v>35813</v>
      </c>
      <c r="AR9" s="1004"/>
      <c r="AS9" s="1004"/>
      <c r="AT9" s="1004"/>
      <c r="AU9" s="382" t="s">
        <v>4892</v>
      </c>
      <c r="AV9" s="474">
        <f t="shared" si="8"/>
        <v>0</v>
      </c>
      <c r="AW9" s="474" t="s">
        <v>546</v>
      </c>
      <c r="AX9" s="474" t="s">
        <v>546</v>
      </c>
      <c r="AY9" s="474" t="s">
        <v>546</v>
      </c>
      <c r="AZ9" s="474" t="s">
        <v>546</v>
      </c>
      <c r="BA9" s="474" t="s">
        <v>546</v>
      </c>
      <c r="BB9" s="474" t="s">
        <v>546</v>
      </c>
      <c r="BC9" s="474" t="s">
        <v>546</v>
      </c>
      <c r="BD9" s="474" t="s">
        <v>546</v>
      </c>
      <c r="BE9" s="474" t="s">
        <v>546</v>
      </c>
      <c r="BF9" s="1004"/>
      <c r="BG9" s="1004"/>
      <c r="BH9" s="525"/>
      <c r="BI9" s="382" t="s">
        <v>4880</v>
      </c>
      <c r="BJ9" s="463">
        <f t="shared" si="19"/>
        <v>523</v>
      </c>
      <c r="BK9" s="435">
        <v>243</v>
      </c>
      <c r="BL9" s="435">
        <v>280</v>
      </c>
      <c r="BP9" s="382" t="s">
        <v>4907</v>
      </c>
      <c r="BQ9" s="439">
        <f t="shared" ref="BQ9:BQ17" si="22">SUM(BR9:BZ9)</f>
        <v>97</v>
      </c>
      <c r="BR9" s="474" t="s">
        <v>546</v>
      </c>
      <c r="BS9" s="474" t="s">
        <v>546</v>
      </c>
      <c r="BT9" s="439">
        <v>1</v>
      </c>
      <c r="BU9" s="439">
        <v>3</v>
      </c>
      <c r="BV9" s="439">
        <v>3</v>
      </c>
      <c r="BW9" s="439">
        <v>11</v>
      </c>
      <c r="BX9" s="439">
        <v>16</v>
      </c>
      <c r="BY9" s="439">
        <v>16</v>
      </c>
      <c r="BZ9" s="439">
        <v>47</v>
      </c>
      <c r="CD9" s="1067" t="s">
        <v>4892</v>
      </c>
      <c r="CE9" s="382">
        <f t="shared" si="14"/>
        <v>8</v>
      </c>
      <c r="CF9" s="382">
        <f t="shared" si="15"/>
        <v>0</v>
      </c>
      <c r="CG9" s="382">
        <f t="shared" si="15"/>
        <v>8</v>
      </c>
      <c r="CH9" s="454">
        <f t="shared" si="20"/>
        <v>7</v>
      </c>
      <c r="CI9" s="463">
        <f t="shared" si="16"/>
        <v>1</v>
      </c>
      <c r="CJ9" s="463">
        <f t="shared" si="17"/>
        <v>6</v>
      </c>
      <c r="CK9" s="454">
        <f t="shared" si="18"/>
        <v>9</v>
      </c>
      <c r="CL9" s="463">
        <f t="shared" si="9"/>
        <v>3</v>
      </c>
      <c r="CM9" s="463">
        <f t="shared" si="9"/>
        <v>6</v>
      </c>
      <c r="CO9" s="1062"/>
      <c r="CP9" s="525"/>
      <c r="CQ9" s="862"/>
      <c r="CR9" s="862"/>
      <c r="CS9" s="862"/>
    </row>
    <row r="10" spans="1:97">
      <c r="A10" s="1061" t="s">
        <v>4896</v>
      </c>
      <c r="B10" s="862">
        <f>SUM(C10:E10)</f>
        <v>11</v>
      </c>
      <c r="C10" s="862">
        <v>5</v>
      </c>
      <c r="D10" s="525">
        <v>5</v>
      </c>
      <c r="E10" s="525">
        <v>1</v>
      </c>
      <c r="F10" s="862">
        <f>SUM(G10:I10)</f>
        <v>11</v>
      </c>
      <c r="G10" s="862">
        <v>4</v>
      </c>
      <c r="H10" s="525">
        <v>5</v>
      </c>
      <c r="I10" s="525">
        <v>2</v>
      </c>
      <c r="L10" s="624" t="s">
        <v>4897</v>
      </c>
      <c r="M10" s="862">
        <f t="shared" si="12"/>
        <v>127</v>
      </c>
      <c r="N10" s="862">
        <v>73</v>
      </c>
      <c r="O10" s="525">
        <v>29</v>
      </c>
      <c r="P10" s="525">
        <v>25</v>
      </c>
      <c r="Q10" s="862">
        <f t="shared" si="21"/>
        <v>135</v>
      </c>
      <c r="R10" s="862">
        <v>80</v>
      </c>
      <c r="S10" s="525">
        <v>29</v>
      </c>
      <c r="T10" s="525">
        <v>26</v>
      </c>
      <c r="AP10" s="525"/>
      <c r="AU10" s="382" t="s">
        <v>4898</v>
      </c>
      <c r="AV10" s="474">
        <f t="shared" si="8"/>
        <v>0</v>
      </c>
      <c r="AW10" s="474" t="s">
        <v>546</v>
      </c>
      <c r="AX10" s="474" t="s">
        <v>546</v>
      </c>
      <c r="AY10" s="474" t="s">
        <v>546</v>
      </c>
      <c r="AZ10" s="474" t="s">
        <v>546</v>
      </c>
      <c r="BA10" s="474" t="s">
        <v>546</v>
      </c>
      <c r="BB10" s="474" t="s">
        <v>546</v>
      </c>
      <c r="BC10" s="474" t="s">
        <v>546</v>
      </c>
      <c r="BD10" s="474" t="s">
        <v>546</v>
      </c>
      <c r="BE10" s="474" t="s">
        <v>546</v>
      </c>
      <c r="BH10" s="525"/>
      <c r="BI10" s="382" t="s">
        <v>4892</v>
      </c>
      <c r="BJ10" s="463">
        <f t="shared" si="19"/>
        <v>499</v>
      </c>
      <c r="BK10" s="435">
        <v>238</v>
      </c>
      <c r="BL10" s="435">
        <v>261</v>
      </c>
      <c r="BP10" s="382" t="s">
        <v>4909</v>
      </c>
      <c r="BQ10" s="439">
        <f t="shared" si="22"/>
        <v>403</v>
      </c>
      <c r="BR10" s="474" t="s">
        <v>546</v>
      </c>
      <c r="BS10" s="474" t="s">
        <v>546</v>
      </c>
      <c r="BT10" s="439">
        <v>7</v>
      </c>
      <c r="BU10" s="439">
        <v>8</v>
      </c>
      <c r="BV10" s="439">
        <v>12</v>
      </c>
      <c r="BW10" s="439">
        <v>24</v>
      </c>
      <c r="BX10" s="439">
        <v>63</v>
      </c>
      <c r="BY10" s="439">
        <v>83</v>
      </c>
      <c r="BZ10" s="439">
        <v>206</v>
      </c>
      <c r="CD10" s="1067" t="s">
        <v>4898</v>
      </c>
      <c r="CE10" s="382">
        <f>SUM(CF10:CG10)</f>
        <v>19</v>
      </c>
      <c r="CF10" s="382">
        <f t="shared" si="15"/>
        <v>4</v>
      </c>
      <c r="CG10" s="382">
        <f t="shared" si="15"/>
        <v>15</v>
      </c>
      <c r="CH10" s="454">
        <f t="shared" si="20"/>
        <v>24</v>
      </c>
      <c r="CI10" s="463">
        <f t="shared" si="16"/>
        <v>5</v>
      </c>
      <c r="CJ10" s="463">
        <f t="shared" si="17"/>
        <v>19</v>
      </c>
      <c r="CK10" s="454">
        <f t="shared" si="18"/>
        <v>18</v>
      </c>
      <c r="CL10" s="463">
        <f t="shared" si="9"/>
        <v>4</v>
      </c>
      <c r="CM10" s="463">
        <f t="shared" si="9"/>
        <v>14</v>
      </c>
      <c r="CO10" s="1062"/>
      <c r="CP10" s="525"/>
      <c r="CQ10" s="862"/>
      <c r="CR10" s="862"/>
      <c r="CS10" s="862"/>
    </row>
    <row r="11" spans="1:97" ht="12.75" customHeight="1">
      <c r="A11" s="624" t="s">
        <v>4897</v>
      </c>
      <c r="B11" s="862">
        <f t="shared" si="10"/>
        <v>154</v>
      </c>
      <c r="C11" s="862">
        <v>19</v>
      </c>
      <c r="D11" s="525">
        <v>115</v>
      </c>
      <c r="E11" s="525">
        <v>20</v>
      </c>
      <c r="F11" s="862">
        <f t="shared" ref="F11:F48" si="23">SUM(G11:I11)</f>
        <v>155</v>
      </c>
      <c r="G11" s="862">
        <v>104</v>
      </c>
      <c r="H11" s="525">
        <v>27</v>
      </c>
      <c r="I11" s="525">
        <v>24</v>
      </c>
      <c r="L11" s="391" t="s">
        <v>4901</v>
      </c>
      <c r="M11" s="862">
        <f t="shared" si="12"/>
        <v>192</v>
      </c>
      <c r="N11" s="862">
        <v>109</v>
      </c>
      <c r="O11" s="525">
        <v>55</v>
      </c>
      <c r="P11" s="525">
        <v>28</v>
      </c>
      <c r="Q11" s="862">
        <f t="shared" si="21"/>
        <v>153</v>
      </c>
      <c r="R11" s="862">
        <v>69</v>
      </c>
      <c r="S11" s="525">
        <v>53</v>
      </c>
      <c r="T11" s="525">
        <v>31</v>
      </c>
      <c r="U11" s="599"/>
      <c r="V11" s="599"/>
      <c r="X11" s="1053" t="s">
        <v>4902</v>
      </c>
      <c r="Y11" s="435" t="s">
        <v>546</v>
      </c>
      <c r="Z11" s="525">
        <f>SUM(Z12:Z13)</f>
        <v>711</v>
      </c>
      <c r="AA11" s="435" t="s">
        <v>546</v>
      </c>
      <c r="AB11" s="525">
        <f>SUM(AB12:AB13)</f>
        <v>816</v>
      </c>
      <c r="AC11" s="435" t="s">
        <v>546</v>
      </c>
      <c r="AD11" s="525">
        <f>SUM(AD12:AD13)</f>
        <v>930</v>
      </c>
      <c r="AE11" s="474" t="s">
        <v>546</v>
      </c>
      <c r="AF11" s="525">
        <f>SUM(AF12:AF13)</f>
        <v>1072</v>
      </c>
      <c r="AG11" s="435"/>
      <c r="AH11" s="525"/>
      <c r="AJ11" s="585" t="s">
        <v>4903</v>
      </c>
      <c r="AK11" s="585">
        <v>142</v>
      </c>
      <c r="AL11" s="585">
        <v>156</v>
      </c>
      <c r="AM11" s="585">
        <v>170</v>
      </c>
      <c r="AN11" s="585">
        <v>188</v>
      </c>
      <c r="AO11" s="585">
        <v>209</v>
      </c>
      <c r="AP11" s="525">
        <v>219</v>
      </c>
      <c r="AQ11" s="585">
        <v>231</v>
      </c>
      <c r="AU11" s="382" t="s">
        <v>4904</v>
      </c>
      <c r="AV11" s="474">
        <f>SUM(AW11:BE11)</f>
        <v>32</v>
      </c>
      <c r="AW11" s="474" t="s">
        <v>546</v>
      </c>
      <c r="AX11" s="525">
        <v>2</v>
      </c>
      <c r="AY11" s="525">
        <v>2</v>
      </c>
      <c r="AZ11" s="525">
        <v>1</v>
      </c>
      <c r="BA11" s="525">
        <v>2</v>
      </c>
      <c r="BB11" s="525">
        <v>14</v>
      </c>
      <c r="BC11" s="525">
        <v>11</v>
      </c>
      <c r="BD11" s="474" t="s">
        <v>546</v>
      </c>
      <c r="BE11" s="474" t="s">
        <v>546</v>
      </c>
      <c r="BH11" s="525"/>
      <c r="BI11" s="382" t="s">
        <v>4898</v>
      </c>
      <c r="BJ11" s="463">
        <f t="shared" si="19"/>
        <v>561</v>
      </c>
      <c r="BK11" s="463">
        <v>263</v>
      </c>
      <c r="BL11" s="463">
        <v>298</v>
      </c>
      <c r="BP11" s="382" t="s">
        <v>4911</v>
      </c>
      <c r="BQ11" s="439">
        <f t="shared" si="22"/>
        <v>789</v>
      </c>
      <c r="BR11" s="439">
        <v>4</v>
      </c>
      <c r="BS11" s="439">
        <v>2</v>
      </c>
      <c r="BT11" s="439">
        <v>25</v>
      </c>
      <c r="BU11" s="439">
        <v>30</v>
      </c>
      <c r="BV11" s="439">
        <v>51</v>
      </c>
      <c r="BW11" s="439">
        <v>65</v>
      </c>
      <c r="BX11" s="439">
        <v>147</v>
      </c>
      <c r="BY11" s="439">
        <v>162</v>
      </c>
      <c r="BZ11" s="439">
        <v>303</v>
      </c>
      <c r="CD11" s="1067" t="s">
        <v>4904</v>
      </c>
      <c r="CE11" s="382">
        <f t="shared" si="14"/>
        <v>37</v>
      </c>
      <c r="CF11" s="382">
        <f t="shared" si="15"/>
        <v>11</v>
      </c>
      <c r="CG11" s="382">
        <f t="shared" si="15"/>
        <v>26</v>
      </c>
      <c r="CH11" s="454">
        <f t="shared" si="20"/>
        <v>40</v>
      </c>
      <c r="CI11" s="463">
        <f t="shared" si="16"/>
        <v>19</v>
      </c>
      <c r="CJ11" s="463">
        <f t="shared" si="17"/>
        <v>21</v>
      </c>
      <c r="CK11" s="454">
        <f t="shared" si="18"/>
        <v>52</v>
      </c>
      <c r="CL11" s="463">
        <f t="shared" si="9"/>
        <v>21</v>
      </c>
      <c r="CM11" s="463">
        <f t="shared" si="9"/>
        <v>31</v>
      </c>
      <c r="CO11" s="1062"/>
      <c r="CP11" s="525"/>
      <c r="CQ11" s="862"/>
      <c r="CR11" s="862"/>
      <c r="CS11" s="862"/>
    </row>
    <row r="12" spans="1:97">
      <c r="A12" s="391" t="s">
        <v>4905</v>
      </c>
      <c r="B12" s="862">
        <f t="shared" si="10"/>
        <v>154</v>
      </c>
      <c r="C12" s="862">
        <v>84</v>
      </c>
      <c r="D12" s="525">
        <v>54</v>
      </c>
      <c r="E12" s="525">
        <v>16</v>
      </c>
      <c r="F12" s="862">
        <f t="shared" si="23"/>
        <v>152</v>
      </c>
      <c r="G12" s="862">
        <v>88</v>
      </c>
      <c r="H12" s="525">
        <v>43</v>
      </c>
      <c r="I12" s="525">
        <v>21</v>
      </c>
      <c r="L12" s="624" t="s">
        <v>4906</v>
      </c>
      <c r="M12" s="862">
        <f t="shared" si="12"/>
        <v>84</v>
      </c>
      <c r="N12" s="862">
        <v>58</v>
      </c>
      <c r="O12" s="525">
        <v>15</v>
      </c>
      <c r="P12" s="525">
        <v>11</v>
      </c>
      <c r="Q12" s="862">
        <f t="shared" si="21"/>
        <v>80</v>
      </c>
      <c r="R12" s="862">
        <v>52</v>
      </c>
      <c r="S12" s="525">
        <v>16</v>
      </c>
      <c r="T12" s="525">
        <v>12</v>
      </c>
      <c r="U12" s="599"/>
      <c r="V12" s="599"/>
      <c r="X12" s="585" t="s">
        <v>4850</v>
      </c>
      <c r="Y12" s="435" t="s">
        <v>546</v>
      </c>
      <c r="Z12" s="435">
        <v>704</v>
      </c>
      <c r="AA12" s="435" t="s">
        <v>546</v>
      </c>
      <c r="AB12" s="435">
        <v>803</v>
      </c>
      <c r="AC12" s="435" t="s">
        <v>546</v>
      </c>
      <c r="AD12" s="435">
        <v>912</v>
      </c>
      <c r="AE12" s="474" t="s">
        <v>546</v>
      </c>
      <c r="AF12" s="435">
        <v>1050</v>
      </c>
      <c r="AG12" s="435"/>
      <c r="AH12" s="525"/>
      <c r="AJ12" s="585" t="s">
        <v>4879</v>
      </c>
      <c r="AK12" s="623">
        <v>71</v>
      </c>
      <c r="AL12" s="585">
        <v>70.599999999999994</v>
      </c>
      <c r="AM12" s="585">
        <v>70.5</v>
      </c>
      <c r="AN12" s="623">
        <v>70</v>
      </c>
      <c r="AO12" s="585">
        <v>69.8</v>
      </c>
      <c r="AP12" s="855">
        <v>69.099999999999994</v>
      </c>
      <c r="AQ12" s="623">
        <v>68.8</v>
      </c>
      <c r="AR12" s="623"/>
      <c r="AU12" s="382" t="s">
        <v>4907</v>
      </c>
      <c r="AV12" s="474">
        <f>SUM(AW12:BE12)</f>
        <v>226</v>
      </c>
      <c r="AW12" s="525">
        <v>4</v>
      </c>
      <c r="AX12" s="474">
        <v>2</v>
      </c>
      <c r="AY12" s="525">
        <v>2</v>
      </c>
      <c r="AZ12" s="525">
        <v>8</v>
      </c>
      <c r="BA12" s="525">
        <v>10</v>
      </c>
      <c r="BB12" s="525">
        <v>64</v>
      </c>
      <c r="BC12" s="525">
        <v>126</v>
      </c>
      <c r="BD12" s="525">
        <v>10</v>
      </c>
      <c r="BE12" s="474" t="s">
        <v>546</v>
      </c>
      <c r="BH12" s="525"/>
      <c r="BI12" s="382" t="s">
        <v>4904</v>
      </c>
      <c r="BJ12" s="463">
        <f t="shared" si="19"/>
        <v>682</v>
      </c>
      <c r="BK12" s="463">
        <v>307</v>
      </c>
      <c r="BL12" s="463">
        <v>375</v>
      </c>
      <c r="BP12" s="382" t="s">
        <v>4914</v>
      </c>
      <c r="BQ12" s="435">
        <f t="shared" si="22"/>
        <v>1026</v>
      </c>
      <c r="BR12" s="439">
        <v>5</v>
      </c>
      <c r="BS12" s="439">
        <v>27</v>
      </c>
      <c r="BT12" s="439">
        <v>34</v>
      </c>
      <c r="BU12" s="439">
        <v>47</v>
      </c>
      <c r="BV12" s="439">
        <v>87</v>
      </c>
      <c r="BW12" s="439">
        <v>117</v>
      </c>
      <c r="BX12" s="439">
        <v>229</v>
      </c>
      <c r="BY12" s="439">
        <v>194</v>
      </c>
      <c r="BZ12" s="439">
        <v>286</v>
      </c>
      <c r="CD12" s="1067" t="s">
        <v>4907</v>
      </c>
      <c r="CE12" s="382">
        <f t="shared" si="14"/>
        <v>178</v>
      </c>
      <c r="CF12" s="382">
        <f t="shared" si="15"/>
        <v>78</v>
      </c>
      <c r="CG12" s="382">
        <f t="shared" si="15"/>
        <v>100</v>
      </c>
      <c r="CH12" s="454">
        <f t="shared" si="20"/>
        <v>203</v>
      </c>
      <c r="CI12" s="463">
        <f t="shared" si="16"/>
        <v>82</v>
      </c>
      <c r="CJ12" s="463">
        <f t="shared" si="17"/>
        <v>121</v>
      </c>
      <c r="CK12" s="454">
        <f t="shared" ref="CK12:CK15" si="24">SUM(CL12:CM12)</f>
        <v>249</v>
      </c>
      <c r="CL12" s="463">
        <f t="shared" si="9"/>
        <v>118</v>
      </c>
      <c r="CM12" s="463">
        <f t="shared" si="9"/>
        <v>131</v>
      </c>
      <c r="CO12" s="1062"/>
      <c r="CP12" s="525"/>
      <c r="CQ12" s="862"/>
      <c r="CR12" s="862"/>
      <c r="CS12" s="862"/>
    </row>
    <row r="13" spans="1:97">
      <c r="A13" s="391" t="s">
        <v>4906</v>
      </c>
      <c r="B13" s="862">
        <f t="shared" si="10"/>
        <v>96</v>
      </c>
      <c r="C13" s="862">
        <v>53</v>
      </c>
      <c r="D13" s="525">
        <v>34</v>
      </c>
      <c r="E13" s="525">
        <v>9</v>
      </c>
      <c r="F13" s="862">
        <f t="shared" si="23"/>
        <v>85</v>
      </c>
      <c r="G13" s="862">
        <v>62</v>
      </c>
      <c r="H13" s="525">
        <v>13</v>
      </c>
      <c r="I13" s="525">
        <v>10</v>
      </c>
      <c r="L13" s="391" t="s">
        <v>4908</v>
      </c>
      <c r="M13" s="862">
        <f t="shared" si="12"/>
        <v>56</v>
      </c>
      <c r="N13" s="862">
        <v>45</v>
      </c>
      <c r="O13" s="525">
        <v>7</v>
      </c>
      <c r="P13" s="525">
        <v>4</v>
      </c>
      <c r="Q13" s="862">
        <f t="shared" si="21"/>
        <v>47</v>
      </c>
      <c r="R13" s="862">
        <v>37</v>
      </c>
      <c r="S13" s="525">
        <v>5</v>
      </c>
      <c r="T13" s="525">
        <v>5</v>
      </c>
      <c r="U13" s="599"/>
      <c r="V13" s="599"/>
      <c r="X13" s="585" t="s">
        <v>4853</v>
      </c>
      <c r="Y13" s="435" t="s">
        <v>546</v>
      </c>
      <c r="Z13" s="435">
        <v>7</v>
      </c>
      <c r="AA13" s="435" t="s">
        <v>546</v>
      </c>
      <c r="AB13" s="435">
        <v>13</v>
      </c>
      <c r="AC13" s="435" t="s">
        <v>546</v>
      </c>
      <c r="AD13" s="435">
        <v>18</v>
      </c>
      <c r="AE13" s="474" t="s">
        <v>546</v>
      </c>
      <c r="AF13" s="435">
        <v>22</v>
      </c>
      <c r="AG13" s="435"/>
      <c r="AH13" s="525"/>
      <c r="AJ13" s="585" t="s">
        <v>4891</v>
      </c>
      <c r="AK13" s="1004">
        <v>24583</v>
      </c>
      <c r="AL13" s="1004">
        <v>24123</v>
      </c>
      <c r="AM13" s="1004">
        <v>23736</v>
      </c>
      <c r="AN13" s="1004">
        <v>23392</v>
      </c>
      <c r="AO13" s="1004">
        <v>23148</v>
      </c>
      <c r="AP13" s="1004">
        <v>23226</v>
      </c>
      <c r="AQ13" s="1004">
        <v>22912</v>
      </c>
      <c r="AR13" s="1004"/>
      <c r="AS13" s="1004"/>
      <c r="AT13" s="1004"/>
      <c r="AU13" s="382" t="s">
        <v>4909</v>
      </c>
      <c r="AV13" s="474">
        <f>SUM(AW13:BE13)</f>
        <v>261</v>
      </c>
      <c r="AW13" s="525">
        <v>2</v>
      </c>
      <c r="AX13" s="525">
        <v>5</v>
      </c>
      <c r="AY13" s="525">
        <v>5</v>
      </c>
      <c r="AZ13" s="525">
        <v>10</v>
      </c>
      <c r="BA13" s="525">
        <v>4</v>
      </c>
      <c r="BB13" s="525">
        <v>35</v>
      </c>
      <c r="BC13" s="525">
        <v>136</v>
      </c>
      <c r="BD13" s="525">
        <v>61</v>
      </c>
      <c r="BE13" s="435">
        <v>3</v>
      </c>
      <c r="BF13" s="1004"/>
      <c r="BG13" s="1004"/>
      <c r="BH13" s="525"/>
      <c r="BI13" s="382" t="s">
        <v>4907</v>
      </c>
      <c r="BJ13" s="463">
        <f t="shared" si="19"/>
        <v>761</v>
      </c>
      <c r="BK13" s="463">
        <v>373</v>
      </c>
      <c r="BL13" s="463">
        <v>388</v>
      </c>
      <c r="BP13" s="382" t="s">
        <v>4919</v>
      </c>
      <c r="BQ13" s="435">
        <f t="shared" si="22"/>
        <v>1140</v>
      </c>
      <c r="BR13" s="439">
        <v>3</v>
      </c>
      <c r="BS13" s="439">
        <v>17</v>
      </c>
      <c r="BT13" s="439">
        <v>36</v>
      </c>
      <c r="BU13" s="439">
        <v>59</v>
      </c>
      <c r="BV13" s="439">
        <v>105</v>
      </c>
      <c r="BW13" s="439">
        <v>155</v>
      </c>
      <c r="BX13" s="439">
        <v>329</v>
      </c>
      <c r="BY13" s="439">
        <v>219</v>
      </c>
      <c r="BZ13" s="439">
        <v>217</v>
      </c>
      <c r="CD13" s="1067" t="s">
        <v>4909</v>
      </c>
      <c r="CE13" s="382">
        <f t="shared" si="14"/>
        <v>524</v>
      </c>
      <c r="CF13" s="382">
        <f t="shared" si="15"/>
        <v>262</v>
      </c>
      <c r="CG13" s="382">
        <f t="shared" si="15"/>
        <v>262</v>
      </c>
      <c r="CH13" s="454">
        <f t="shared" si="20"/>
        <v>565</v>
      </c>
      <c r="CI13" s="463">
        <f t="shared" si="16"/>
        <v>281</v>
      </c>
      <c r="CJ13" s="463">
        <f t="shared" si="17"/>
        <v>284</v>
      </c>
      <c r="CK13" s="454">
        <f t="shared" si="24"/>
        <v>611</v>
      </c>
      <c r="CL13" s="463">
        <f t="shared" si="9"/>
        <v>293</v>
      </c>
      <c r="CM13" s="463">
        <f t="shared" si="9"/>
        <v>318</v>
      </c>
      <c r="CO13" s="1062"/>
      <c r="CP13" s="525"/>
      <c r="CQ13" s="862"/>
      <c r="CR13" s="862"/>
      <c r="CS13" s="862"/>
    </row>
    <row r="14" spans="1:97">
      <c r="A14" s="391" t="s">
        <v>4910</v>
      </c>
      <c r="B14" s="862">
        <f t="shared" si="10"/>
        <v>40</v>
      </c>
      <c r="C14" s="862">
        <v>23</v>
      </c>
      <c r="D14" s="525">
        <v>14</v>
      </c>
      <c r="E14" s="525">
        <v>3</v>
      </c>
      <c r="F14" s="862">
        <f t="shared" si="23"/>
        <v>52</v>
      </c>
      <c r="G14" s="862">
        <v>42</v>
      </c>
      <c r="H14" s="525">
        <v>7</v>
      </c>
      <c r="I14" s="525">
        <v>3</v>
      </c>
      <c r="L14" s="1061" t="s">
        <v>1935</v>
      </c>
      <c r="M14" s="862">
        <f t="shared" si="12"/>
        <v>199</v>
      </c>
      <c r="N14" s="862">
        <v>114</v>
      </c>
      <c r="O14" s="525">
        <v>71</v>
      </c>
      <c r="P14" s="525">
        <v>14</v>
      </c>
      <c r="Q14" s="862">
        <f t="shared" si="21"/>
        <v>197</v>
      </c>
      <c r="R14" s="862">
        <v>109</v>
      </c>
      <c r="S14" s="525">
        <v>72</v>
      </c>
      <c r="T14" s="525">
        <v>16</v>
      </c>
      <c r="U14" s="525"/>
      <c r="V14" s="525"/>
      <c r="X14" s="585" t="s">
        <v>4860</v>
      </c>
      <c r="Y14" s="435" t="s">
        <v>546</v>
      </c>
      <c r="Z14" s="752">
        <v>58.9</v>
      </c>
      <c r="AA14" s="435" t="s">
        <v>546</v>
      </c>
      <c r="AB14" s="752">
        <v>58.1</v>
      </c>
      <c r="AC14" s="435" t="s">
        <v>546</v>
      </c>
      <c r="AD14" s="752">
        <v>57.4</v>
      </c>
      <c r="AE14" s="474" t="s">
        <v>546</v>
      </c>
      <c r="AF14" s="752">
        <v>56.7</v>
      </c>
      <c r="AG14" s="435"/>
      <c r="AH14" s="855"/>
      <c r="AP14" s="525"/>
      <c r="AU14" s="382" t="s">
        <v>4911</v>
      </c>
      <c r="AV14" s="474">
        <f t="shared" ref="AV14:AV15" si="25">SUM(AW14:BE14)</f>
        <v>180</v>
      </c>
      <c r="AW14" s="525">
        <v>1</v>
      </c>
      <c r="AX14" s="525">
        <v>3</v>
      </c>
      <c r="AY14" s="525">
        <v>7</v>
      </c>
      <c r="AZ14" s="525">
        <v>10</v>
      </c>
      <c r="BA14" s="525">
        <v>8</v>
      </c>
      <c r="BB14" s="525">
        <v>18</v>
      </c>
      <c r="BC14" s="525">
        <v>78</v>
      </c>
      <c r="BD14" s="525">
        <v>42</v>
      </c>
      <c r="BE14" s="525">
        <v>13</v>
      </c>
      <c r="BH14" s="525"/>
      <c r="BI14" s="382" t="s">
        <v>4909</v>
      </c>
      <c r="BJ14" s="463">
        <f t="shared" si="19"/>
        <v>535</v>
      </c>
      <c r="BK14" s="463">
        <v>261</v>
      </c>
      <c r="BL14" s="463">
        <v>274</v>
      </c>
      <c r="BP14" s="382" t="s">
        <v>4922</v>
      </c>
      <c r="BQ14" s="439">
        <f t="shared" si="22"/>
        <v>883</v>
      </c>
      <c r="BR14" s="474" t="s">
        <v>546</v>
      </c>
      <c r="BS14" s="439">
        <v>10</v>
      </c>
      <c r="BT14" s="439">
        <v>29</v>
      </c>
      <c r="BU14" s="439">
        <v>55</v>
      </c>
      <c r="BV14" s="439">
        <v>122</v>
      </c>
      <c r="BW14" s="439">
        <v>140</v>
      </c>
      <c r="BX14" s="439">
        <v>252</v>
      </c>
      <c r="BY14" s="439">
        <v>154</v>
      </c>
      <c r="BZ14" s="439">
        <v>121</v>
      </c>
      <c r="CD14" s="1067" t="s">
        <v>4911</v>
      </c>
      <c r="CE14" s="382">
        <f t="shared" si="14"/>
        <v>972</v>
      </c>
      <c r="CF14" s="382">
        <f t="shared" si="15"/>
        <v>457</v>
      </c>
      <c r="CG14" s="382">
        <f t="shared" si="15"/>
        <v>515</v>
      </c>
      <c r="CH14" s="454">
        <f t="shared" si="20"/>
        <v>976</v>
      </c>
      <c r="CI14" s="463">
        <f t="shared" si="16"/>
        <v>470</v>
      </c>
      <c r="CJ14" s="463">
        <f t="shared" si="17"/>
        <v>506</v>
      </c>
      <c r="CK14" s="454">
        <f t="shared" si="24"/>
        <v>986</v>
      </c>
      <c r="CL14" s="463">
        <f t="shared" si="9"/>
        <v>465</v>
      </c>
      <c r="CM14" s="463">
        <f t="shared" si="9"/>
        <v>521</v>
      </c>
      <c r="CO14" s="1062"/>
      <c r="CP14" s="525"/>
      <c r="CQ14" s="862"/>
      <c r="CR14" s="862"/>
      <c r="CS14" s="862"/>
    </row>
    <row r="15" spans="1:97" ht="12.75" customHeight="1">
      <c r="A15" s="1061" t="s">
        <v>1935</v>
      </c>
      <c r="B15" s="862">
        <f t="shared" si="10"/>
        <v>192</v>
      </c>
      <c r="C15" s="862">
        <v>71</v>
      </c>
      <c r="D15" s="525">
        <v>110</v>
      </c>
      <c r="E15" s="525">
        <v>11</v>
      </c>
      <c r="F15" s="862">
        <f t="shared" si="23"/>
        <v>167</v>
      </c>
      <c r="G15" s="862">
        <v>102</v>
      </c>
      <c r="H15" s="525">
        <v>54</v>
      </c>
      <c r="I15" s="525">
        <v>11</v>
      </c>
      <c r="L15" s="624" t="s">
        <v>4912</v>
      </c>
      <c r="M15" s="862">
        <f t="shared" si="12"/>
        <v>3525</v>
      </c>
      <c r="N15" s="862">
        <v>2358</v>
      </c>
      <c r="O15" s="525">
        <v>804</v>
      </c>
      <c r="P15" s="525">
        <v>363</v>
      </c>
      <c r="Q15" s="862">
        <f t="shared" si="21"/>
        <v>3499</v>
      </c>
      <c r="R15" s="862">
        <v>2265</v>
      </c>
      <c r="S15" s="525">
        <v>832</v>
      </c>
      <c r="T15" s="525">
        <v>402</v>
      </c>
      <c r="U15" s="599"/>
      <c r="V15" s="599"/>
      <c r="X15" s="585" t="s">
        <v>4865</v>
      </c>
      <c r="Y15" s="435" t="s">
        <v>546</v>
      </c>
      <c r="Z15" s="752">
        <v>30.8</v>
      </c>
      <c r="AA15" s="435" t="s">
        <v>546</v>
      </c>
      <c r="AB15" s="752">
        <v>29.9</v>
      </c>
      <c r="AC15" s="435" t="s">
        <v>546</v>
      </c>
      <c r="AD15" s="752">
        <v>28.9</v>
      </c>
      <c r="AE15" s="474" t="s">
        <v>546</v>
      </c>
      <c r="AF15" s="752">
        <v>28.2</v>
      </c>
      <c r="AG15" s="435"/>
      <c r="AH15" s="855"/>
      <c r="AJ15" s="585" t="s">
        <v>4913</v>
      </c>
      <c r="AK15" s="525">
        <v>1742</v>
      </c>
      <c r="AL15" s="525">
        <v>1748</v>
      </c>
      <c r="AM15" s="525">
        <v>1747</v>
      </c>
      <c r="AN15" s="525">
        <v>1727</v>
      </c>
      <c r="AO15" s="525">
        <v>1679</v>
      </c>
      <c r="AP15" s="525">
        <v>1682</v>
      </c>
      <c r="AQ15" s="525">
        <v>1678</v>
      </c>
      <c r="AR15" s="525"/>
      <c r="AS15" s="525"/>
      <c r="AT15" s="525"/>
      <c r="AU15" s="382" t="s">
        <v>4914</v>
      </c>
      <c r="AV15" s="474">
        <f t="shared" si="25"/>
        <v>72</v>
      </c>
      <c r="AW15" s="474" t="s">
        <v>546</v>
      </c>
      <c r="AX15" s="474" t="s">
        <v>546</v>
      </c>
      <c r="AY15" s="862">
        <v>4</v>
      </c>
      <c r="AZ15" s="474">
        <v>4</v>
      </c>
      <c r="BA15" s="525">
        <v>1</v>
      </c>
      <c r="BB15" s="525">
        <v>9</v>
      </c>
      <c r="BC15" s="525">
        <v>29</v>
      </c>
      <c r="BD15" s="525">
        <v>17</v>
      </c>
      <c r="BE15" s="525">
        <v>8</v>
      </c>
      <c r="BF15" s="525"/>
      <c r="BG15" s="525"/>
      <c r="BH15" s="525"/>
      <c r="BI15" s="382" t="s">
        <v>4911</v>
      </c>
      <c r="BJ15" s="463">
        <f t="shared" si="19"/>
        <v>382</v>
      </c>
      <c r="BK15" s="463">
        <v>167</v>
      </c>
      <c r="BL15" s="463">
        <v>215</v>
      </c>
      <c r="BP15" s="382" t="s">
        <v>4926</v>
      </c>
      <c r="BQ15" s="439">
        <f t="shared" si="22"/>
        <v>561</v>
      </c>
      <c r="BR15" s="474" t="s">
        <v>546</v>
      </c>
      <c r="BS15" s="475" t="s">
        <v>546</v>
      </c>
      <c r="BT15" s="439">
        <v>32</v>
      </c>
      <c r="BU15" s="439">
        <v>60</v>
      </c>
      <c r="BV15" s="439">
        <v>76</v>
      </c>
      <c r="BW15" s="439">
        <v>79</v>
      </c>
      <c r="BX15" s="439">
        <v>145</v>
      </c>
      <c r="BY15" s="439">
        <v>80</v>
      </c>
      <c r="BZ15" s="439">
        <v>89</v>
      </c>
      <c r="CD15" s="1067" t="s">
        <v>4914</v>
      </c>
      <c r="CE15" s="382">
        <f t="shared" si="14"/>
        <v>1336</v>
      </c>
      <c r="CF15" s="382">
        <f>CF28+CF41+CF54</f>
        <v>570</v>
      </c>
      <c r="CG15" s="382">
        <f t="shared" si="15"/>
        <v>766</v>
      </c>
      <c r="CH15" s="454">
        <f t="shared" si="20"/>
        <v>1380</v>
      </c>
      <c r="CI15" s="463">
        <f t="shared" si="16"/>
        <v>555</v>
      </c>
      <c r="CJ15" s="463">
        <f t="shared" si="17"/>
        <v>825</v>
      </c>
      <c r="CK15" s="454">
        <f t="shared" si="24"/>
        <v>1422</v>
      </c>
      <c r="CL15" s="463">
        <f t="shared" si="9"/>
        <v>580</v>
      </c>
      <c r="CM15" s="463">
        <f t="shared" si="9"/>
        <v>842</v>
      </c>
      <c r="CO15" s="1062"/>
      <c r="CP15" s="525"/>
      <c r="CQ15" s="862"/>
      <c r="CR15" s="862"/>
      <c r="CS15" s="862"/>
    </row>
    <row r="16" spans="1:97" ht="12.75" customHeight="1">
      <c r="A16" s="1068" t="s">
        <v>4912</v>
      </c>
      <c r="B16" s="862">
        <f t="shared" si="10"/>
        <v>3231</v>
      </c>
      <c r="C16" s="862">
        <v>1819</v>
      </c>
      <c r="D16" s="525">
        <v>1125</v>
      </c>
      <c r="E16" s="525">
        <v>287</v>
      </c>
      <c r="F16" s="862">
        <f t="shared" si="23"/>
        <v>3437</v>
      </c>
      <c r="G16" s="862">
        <v>2355</v>
      </c>
      <c r="H16" s="525">
        <v>750</v>
      </c>
      <c r="I16" s="525">
        <v>332</v>
      </c>
      <c r="L16" s="1068" t="s">
        <v>4915</v>
      </c>
      <c r="M16" s="862">
        <f t="shared" si="12"/>
        <v>111</v>
      </c>
      <c r="N16" s="862">
        <v>90</v>
      </c>
      <c r="O16" s="525">
        <v>15</v>
      </c>
      <c r="P16" s="525">
        <v>6</v>
      </c>
      <c r="Q16" s="862">
        <f t="shared" si="21"/>
        <v>111</v>
      </c>
      <c r="R16" s="862">
        <v>85</v>
      </c>
      <c r="S16" s="525">
        <v>17</v>
      </c>
      <c r="T16" s="525">
        <v>9</v>
      </c>
      <c r="U16" s="525"/>
      <c r="V16" s="525"/>
      <c r="X16" s="585" t="s">
        <v>4878</v>
      </c>
      <c r="Y16" s="435" t="s">
        <v>546</v>
      </c>
      <c r="Z16" s="1069">
        <v>80083</v>
      </c>
      <c r="AA16" s="435" t="s">
        <v>546</v>
      </c>
      <c r="AB16" s="1070">
        <v>72111</v>
      </c>
      <c r="AC16" s="435" t="s">
        <v>546</v>
      </c>
      <c r="AD16" s="1070">
        <v>62793</v>
      </c>
      <c r="AE16" s="474" t="s">
        <v>546</v>
      </c>
      <c r="AF16" s="1070">
        <v>62333</v>
      </c>
      <c r="AG16" s="435"/>
      <c r="AH16" s="1004"/>
      <c r="AJ16" s="585" t="s">
        <v>4879</v>
      </c>
      <c r="AK16" s="623">
        <v>74.3</v>
      </c>
      <c r="AL16" s="585">
        <v>73.8</v>
      </c>
      <c r="AM16" s="585">
        <v>73.5</v>
      </c>
      <c r="AN16" s="623">
        <v>73.2</v>
      </c>
      <c r="AO16" s="623">
        <v>73</v>
      </c>
      <c r="AP16" s="855">
        <v>72.7</v>
      </c>
      <c r="AQ16" s="585">
        <v>72.099999999999994</v>
      </c>
      <c r="AU16" s="382" t="s">
        <v>4916</v>
      </c>
      <c r="AV16" s="474">
        <f>SUM(AW16:BE16)</f>
        <v>42</v>
      </c>
      <c r="AW16" s="474" t="s">
        <v>546</v>
      </c>
      <c r="AX16" s="474" t="s">
        <v>546</v>
      </c>
      <c r="AY16" s="474">
        <v>2</v>
      </c>
      <c r="AZ16" s="474" t="s">
        <v>546</v>
      </c>
      <c r="BA16" s="474" t="s">
        <v>546</v>
      </c>
      <c r="BB16" s="525">
        <v>2</v>
      </c>
      <c r="BC16" s="525">
        <v>16</v>
      </c>
      <c r="BD16" s="525">
        <v>10</v>
      </c>
      <c r="BE16" s="525">
        <v>12</v>
      </c>
      <c r="BH16" s="525"/>
      <c r="BI16" s="382" t="s">
        <v>4914</v>
      </c>
      <c r="BJ16" s="463">
        <f t="shared" si="19"/>
        <v>152</v>
      </c>
      <c r="BK16" s="463">
        <v>62</v>
      </c>
      <c r="BL16" s="463">
        <v>90</v>
      </c>
      <c r="BP16" s="382" t="s">
        <v>4928</v>
      </c>
      <c r="BQ16" s="439">
        <f t="shared" si="22"/>
        <v>281</v>
      </c>
      <c r="BR16" s="474" t="s">
        <v>546</v>
      </c>
      <c r="BS16" s="475" t="s">
        <v>546</v>
      </c>
      <c r="BT16" s="439">
        <v>32</v>
      </c>
      <c r="BU16" s="439">
        <v>36</v>
      </c>
      <c r="BV16" s="439">
        <v>45</v>
      </c>
      <c r="BW16" s="439">
        <v>39</v>
      </c>
      <c r="BX16" s="439">
        <v>74</v>
      </c>
      <c r="BY16" s="439">
        <v>22</v>
      </c>
      <c r="BZ16" s="439">
        <v>33</v>
      </c>
      <c r="CD16" s="1067" t="s">
        <v>4916</v>
      </c>
      <c r="CE16" s="382">
        <f>SUM(CF16:CG16)</f>
        <v>4284</v>
      </c>
      <c r="CF16" s="382">
        <f t="shared" si="15"/>
        <v>1549</v>
      </c>
      <c r="CG16" s="382">
        <f t="shared" si="15"/>
        <v>2735</v>
      </c>
      <c r="CH16" s="454">
        <f>SUM(CI16:CJ16)</f>
        <v>4164</v>
      </c>
      <c r="CI16" s="463">
        <f>+CI29+CI42+CI55</f>
        <v>1532</v>
      </c>
      <c r="CJ16" s="463">
        <f t="shared" si="17"/>
        <v>2632</v>
      </c>
      <c r="CK16" s="454">
        <f>SUM(CL16:CM16)</f>
        <v>4067</v>
      </c>
      <c r="CL16" s="463">
        <f>CL29+CL42+CL55</f>
        <v>1512</v>
      </c>
      <c r="CM16" s="463">
        <f>CM29+CM42+CM55</f>
        <v>2555</v>
      </c>
      <c r="CO16" s="1062"/>
      <c r="CP16" s="525"/>
      <c r="CQ16" s="862"/>
      <c r="CR16" s="862"/>
      <c r="CS16" s="862"/>
    </row>
    <row r="17" spans="1:97">
      <c r="A17" s="1068" t="s">
        <v>4917</v>
      </c>
      <c r="B17" s="862">
        <f t="shared" si="10"/>
        <v>105</v>
      </c>
      <c r="C17" s="862">
        <v>66</v>
      </c>
      <c r="D17" s="525">
        <v>33</v>
      </c>
      <c r="E17" s="525">
        <v>6</v>
      </c>
      <c r="F17" s="862">
        <f t="shared" si="23"/>
        <v>118</v>
      </c>
      <c r="G17" s="862">
        <v>98</v>
      </c>
      <c r="H17" s="525">
        <v>14</v>
      </c>
      <c r="I17" s="525">
        <v>6</v>
      </c>
      <c r="L17" s="1061" t="s">
        <v>4918</v>
      </c>
      <c r="M17" s="862">
        <f t="shared" si="12"/>
        <v>42</v>
      </c>
      <c r="N17" s="862">
        <v>25</v>
      </c>
      <c r="O17" s="525">
        <v>4</v>
      </c>
      <c r="P17" s="525">
        <v>13</v>
      </c>
      <c r="Q17" s="862">
        <f t="shared" si="21"/>
        <v>34</v>
      </c>
      <c r="R17" s="862">
        <v>16</v>
      </c>
      <c r="S17" s="525">
        <v>4</v>
      </c>
      <c r="T17" s="525">
        <v>14</v>
      </c>
      <c r="U17" s="525"/>
      <c r="V17" s="525"/>
      <c r="X17" s="585" t="s">
        <v>4890</v>
      </c>
      <c r="Y17" s="435" t="s">
        <v>546</v>
      </c>
      <c r="Z17" s="1071">
        <v>250820</v>
      </c>
      <c r="AA17" s="435" t="s">
        <v>546</v>
      </c>
      <c r="AB17" s="1070">
        <v>233263</v>
      </c>
      <c r="AC17" s="435" t="s">
        <v>546</v>
      </c>
      <c r="AD17" s="1070">
        <v>215407</v>
      </c>
      <c r="AE17" s="474" t="s">
        <v>546</v>
      </c>
      <c r="AF17" s="1070">
        <v>202820</v>
      </c>
      <c r="AG17" s="435"/>
      <c r="AH17" s="1004"/>
      <c r="AJ17" s="585" t="s">
        <v>4891</v>
      </c>
      <c r="AK17" s="1004">
        <v>19923</v>
      </c>
      <c r="AL17" s="1004">
        <v>18918</v>
      </c>
      <c r="AM17" s="1004">
        <v>18970</v>
      </c>
      <c r="AN17" s="1004">
        <v>18381</v>
      </c>
      <c r="AO17" s="1004">
        <v>18145</v>
      </c>
      <c r="AP17" s="1004">
        <v>17788</v>
      </c>
      <c r="AQ17" s="1004">
        <v>17423</v>
      </c>
      <c r="AR17" s="1004"/>
      <c r="AS17" s="1004"/>
      <c r="AT17" s="1004"/>
      <c r="AU17" s="382"/>
      <c r="BF17" s="1004"/>
      <c r="BG17" s="1004"/>
      <c r="BI17" s="381" t="s">
        <v>4916</v>
      </c>
      <c r="BJ17" s="497">
        <f t="shared" si="19"/>
        <v>72</v>
      </c>
      <c r="BK17" s="497">
        <v>32</v>
      </c>
      <c r="BL17" s="497">
        <v>40</v>
      </c>
      <c r="BP17" s="382" t="s">
        <v>4930</v>
      </c>
      <c r="BQ17" s="439">
        <f t="shared" si="22"/>
        <v>175</v>
      </c>
      <c r="BR17" s="474" t="s">
        <v>546</v>
      </c>
      <c r="BS17" s="474">
        <v>1</v>
      </c>
      <c r="BT17" s="439">
        <v>27</v>
      </c>
      <c r="BU17" s="439">
        <v>37</v>
      </c>
      <c r="BV17" s="439">
        <v>32</v>
      </c>
      <c r="BW17" s="439">
        <v>20</v>
      </c>
      <c r="BX17" s="439">
        <v>29</v>
      </c>
      <c r="BY17" s="439">
        <v>13</v>
      </c>
      <c r="BZ17" s="439">
        <v>16</v>
      </c>
      <c r="CH17" s="851"/>
      <c r="CI17" s="463"/>
      <c r="CK17" s="851"/>
      <c r="CL17" s="463"/>
      <c r="CO17" s="1062"/>
      <c r="CP17" s="525"/>
      <c r="CQ17" s="862"/>
      <c r="CR17" s="862"/>
      <c r="CS17" s="862"/>
    </row>
    <row r="18" spans="1:97">
      <c r="A18" s="1061" t="s">
        <v>4918</v>
      </c>
      <c r="B18" s="862">
        <f t="shared" si="10"/>
        <v>42</v>
      </c>
      <c r="C18" s="862">
        <v>21</v>
      </c>
      <c r="D18" s="525">
        <v>13</v>
      </c>
      <c r="E18" s="525">
        <v>8</v>
      </c>
      <c r="F18" s="862">
        <f t="shared" si="23"/>
        <v>41</v>
      </c>
      <c r="G18" s="862">
        <v>29</v>
      </c>
      <c r="H18" s="525">
        <v>4</v>
      </c>
      <c r="I18" s="525">
        <v>8</v>
      </c>
      <c r="L18" s="1061" t="s">
        <v>4920</v>
      </c>
      <c r="M18" s="862">
        <f t="shared" si="12"/>
        <v>196</v>
      </c>
      <c r="N18" s="862">
        <v>104</v>
      </c>
      <c r="O18" s="525">
        <v>71</v>
      </c>
      <c r="P18" s="525">
        <v>21</v>
      </c>
      <c r="Q18" s="862">
        <f t="shared" si="21"/>
        <v>199</v>
      </c>
      <c r="R18" s="862">
        <v>107</v>
      </c>
      <c r="S18" s="525">
        <v>70</v>
      </c>
      <c r="T18" s="525">
        <v>22</v>
      </c>
      <c r="U18" s="525"/>
      <c r="V18" s="525"/>
      <c r="AP18" s="525"/>
      <c r="AU18" s="382" t="s">
        <v>4921</v>
      </c>
      <c r="AV18" s="525">
        <f>SUM(AV19:AV30)</f>
        <v>711</v>
      </c>
      <c r="AW18" s="525">
        <f>SUM(AW19:AW30)</f>
        <v>7</v>
      </c>
      <c r="AX18" s="525">
        <f t="shared" ref="AX18:BD18" si="26">SUM(AX19:AX30)</f>
        <v>11</v>
      </c>
      <c r="AY18" s="525">
        <f t="shared" si="26"/>
        <v>19</v>
      </c>
      <c r="AZ18" s="525">
        <f t="shared" si="26"/>
        <v>33</v>
      </c>
      <c r="BA18" s="525">
        <f t="shared" si="26"/>
        <v>21</v>
      </c>
      <c r="BB18" s="525">
        <f t="shared" si="26"/>
        <v>118</v>
      </c>
      <c r="BC18" s="525">
        <f t="shared" si="26"/>
        <v>352</v>
      </c>
      <c r="BD18" s="525">
        <f t="shared" si="26"/>
        <v>117</v>
      </c>
      <c r="BE18" s="525">
        <f>SUM(BE19:BE30)</f>
        <v>33</v>
      </c>
      <c r="BH18" s="525"/>
      <c r="BI18" s="382" t="s">
        <v>4932</v>
      </c>
      <c r="BJ18" s="382"/>
      <c r="BK18" s="382"/>
      <c r="BL18" s="382"/>
      <c r="BP18" s="382"/>
      <c r="BQ18" s="463"/>
      <c r="BR18" s="382"/>
      <c r="BS18" s="382"/>
      <c r="BT18" s="382"/>
      <c r="BU18" s="382"/>
      <c r="BV18" s="382"/>
      <c r="BW18" s="382"/>
      <c r="BX18" s="382"/>
      <c r="BY18" s="382"/>
      <c r="BZ18" s="382"/>
      <c r="CD18" s="382" t="s">
        <v>4933</v>
      </c>
      <c r="CE18" s="463">
        <f>SUM(CE19:CE29)</f>
        <v>5356</v>
      </c>
      <c r="CF18" s="463">
        <f>SUM(CF19:CF29)</f>
        <v>2540</v>
      </c>
      <c r="CG18" s="463">
        <f>SUM(CG19:CG29)</f>
        <v>2816</v>
      </c>
      <c r="CH18" s="454">
        <f>SUM(CI18:CJ18)</f>
        <v>5353</v>
      </c>
      <c r="CI18" s="463">
        <f>SUM(CI19:CI29)</f>
        <v>2545</v>
      </c>
      <c r="CJ18" s="463">
        <f>SUM(CJ19:CJ29)</f>
        <v>2808</v>
      </c>
      <c r="CK18" s="454">
        <f>SUM(CL18:CM18)</f>
        <v>5408</v>
      </c>
      <c r="CL18" s="463">
        <f>SUM(CL19:CL29)</f>
        <v>2589</v>
      </c>
      <c r="CM18" s="463">
        <f>SUM(CM19:CM29)</f>
        <v>2819</v>
      </c>
      <c r="CO18" s="1062"/>
      <c r="CP18" s="525"/>
      <c r="CQ18" s="862"/>
      <c r="CR18" s="862"/>
      <c r="CS18" s="862"/>
    </row>
    <row r="19" spans="1:97" ht="12.75" customHeight="1">
      <c r="A19" s="1061" t="s">
        <v>4920</v>
      </c>
      <c r="B19" s="862">
        <f t="shared" si="10"/>
        <v>172</v>
      </c>
      <c r="C19" s="862">
        <v>110</v>
      </c>
      <c r="D19" s="525">
        <v>48</v>
      </c>
      <c r="E19" s="525">
        <v>14</v>
      </c>
      <c r="F19" s="862">
        <f t="shared" si="23"/>
        <v>168</v>
      </c>
      <c r="G19" s="862">
        <v>101</v>
      </c>
      <c r="H19" s="525">
        <v>50</v>
      </c>
      <c r="I19" s="525">
        <v>17</v>
      </c>
      <c r="L19" s="624" t="s">
        <v>4923</v>
      </c>
      <c r="M19" s="862">
        <f t="shared" si="12"/>
        <v>56</v>
      </c>
      <c r="N19" s="862">
        <v>37</v>
      </c>
      <c r="O19" s="525">
        <v>15</v>
      </c>
      <c r="P19" s="525">
        <v>4</v>
      </c>
      <c r="Q19" s="862">
        <f t="shared" si="21"/>
        <v>55</v>
      </c>
      <c r="R19" s="862">
        <v>34</v>
      </c>
      <c r="S19" s="525">
        <v>15</v>
      </c>
      <c r="T19" s="525">
        <v>6</v>
      </c>
      <c r="U19" s="525"/>
      <c r="V19" s="525"/>
      <c r="X19" s="1053" t="s">
        <v>4924</v>
      </c>
      <c r="Y19" s="435" t="s">
        <v>546</v>
      </c>
      <c r="Z19" s="585">
        <f>SUM(Z20:Z21)</f>
        <v>102</v>
      </c>
      <c r="AA19" s="435" t="s">
        <v>546</v>
      </c>
      <c r="AB19" s="585">
        <f>SUM(AB20:AB21)</f>
        <v>117</v>
      </c>
      <c r="AC19" s="435" t="s">
        <v>546</v>
      </c>
      <c r="AD19" s="585">
        <f>SUM(AD20:AD21)</f>
        <v>140</v>
      </c>
      <c r="AE19" s="474" t="s">
        <v>546</v>
      </c>
      <c r="AF19" s="585">
        <f>SUM(AF20:AF21)</f>
        <v>154</v>
      </c>
      <c r="AG19" s="435"/>
      <c r="AH19" s="525"/>
      <c r="AJ19" s="585" t="s">
        <v>4925</v>
      </c>
      <c r="AK19" s="585">
        <v>193</v>
      </c>
      <c r="AL19" s="585">
        <v>185</v>
      </c>
      <c r="AM19" s="585">
        <v>170</v>
      </c>
      <c r="AN19" s="585">
        <v>122</v>
      </c>
      <c r="AO19" s="585">
        <v>113</v>
      </c>
      <c r="AP19" s="525">
        <v>153</v>
      </c>
      <c r="AQ19" s="585">
        <v>152</v>
      </c>
      <c r="AU19" s="382" t="s">
        <v>4855</v>
      </c>
      <c r="AV19" s="474">
        <f>SUM(AW19:BE19)</f>
        <v>0</v>
      </c>
      <c r="AW19" s="474" t="s">
        <v>546</v>
      </c>
      <c r="AX19" s="474" t="s">
        <v>546</v>
      </c>
      <c r="AY19" s="474" t="s">
        <v>546</v>
      </c>
      <c r="AZ19" s="474" t="s">
        <v>546</v>
      </c>
      <c r="BA19" s="474" t="s">
        <v>546</v>
      </c>
      <c r="BB19" s="474" t="s">
        <v>546</v>
      </c>
      <c r="BC19" s="474" t="s">
        <v>546</v>
      </c>
      <c r="BD19" s="474" t="s">
        <v>546</v>
      </c>
      <c r="BE19" s="474" t="s">
        <v>546</v>
      </c>
      <c r="BH19" s="525"/>
      <c r="BP19" s="1066" t="s">
        <v>4936</v>
      </c>
      <c r="BQ19" s="463">
        <f>SUM(BQ20:BQ31)</f>
        <v>149</v>
      </c>
      <c r="BR19" s="435">
        <f>SUM(BR20:BR31)</f>
        <v>0</v>
      </c>
      <c r="BS19" s="435">
        <f t="shared" ref="BS19" si="27">SUM(BS20:BS31)</f>
        <v>0</v>
      </c>
      <c r="BT19" s="435">
        <f>SUM(BT20:BT31)</f>
        <v>11</v>
      </c>
      <c r="BU19" s="435">
        <f t="shared" ref="BU19:BZ19" si="28">SUM(BU20:BU31)</f>
        <v>49</v>
      </c>
      <c r="BV19" s="435">
        <f t="shared" si="28"/>
        <v>30</v>
      </c>
      <c r="BW19" s="435">
        <f t="shared" si="28"/>
        <v>27</v>
      </c>
      <c r="BX19" s="435">
        <f t="shared" si="28"/>
        <v>20</v>
      </c>
      <c r="BY19" s="435">
        <f t="shared" si="28"/>
        <v>9</v>
      </c>
      <c r="BZ19" s="435">
        <f t="shared" si="28"/>
        <v>3</v>
      </c>
      <c r="CD19" s="382" t="s">
        <v>4900</v>
      </c>
      <c r="CE19" s="382">
        <f>SUM(CF19:CG19)</f>
        <v>0</v>
      </c>
      <c r="CF19" s="382">
        <v>0</v>
      </c>
      <c r="CG19" s="382">
        <v>0</v>
      </c>
      <c r="CH19" s="432">
        <v>0</v>
      </c>
      <c r="CI19" s="463">
        <v>0</v>
      </c>
      <c r="CJ19" s="463">
        <v>0</v>
      </c>
      <c r="CK19" s="432">
        <v>0</v>
      </c>
      <c r="CL19" s="435">
        <v>0</v>
      </c>
      <c r="CM19" s="435">
        <v>0</v>
      </c>
      <c r="CO19" s="1062"/>
      <c r="CP19" s="525"/>
      <c r="CQ19" s="862"/>
      <c r="CR19" s="862"/>
      <c r="CS19" s="862"/>
    </row>
    <row r="20" spans="1:97">
      <c r="A20" s="624" t="s">
        <v>4923</v>
      </c>
      <c r="B20" s="862">
        <f t="shared" si="10"/>
        <v>74</v>
      </c>
      <c r="C20" s="862">
        <v>50</v>
      </c>
      <c r="D20" s="525">
        <v>21</v>
      </c>
      <c r="E20" s="525">
        <v>3</v>
      </c>
      <c r="F20" s="862">
        <f t="shared" si="23"/>
        <v>63</v>
      </c>
      <c r="G20" s="862">
        <v>51</v>
      </c>
      <c r="H20" s="525">
        <v>9</v>
      </c>
      <c r="I20" s="525">
        <v>3</v>
      </c>
      <c r="L20" s="624" t="s">
        <v>4927</v>
      </c>
      <c r="M20" s="862">
        <f t="shared" si="12"/>
        <v>46</v>
      </c>
      <c r="N20" s="862">
        <v>27</v>
      </c>
      <c r="O20" s="525">
        <v>12</v>
      </c>
      <c r="P20" s="525">
        <v>7</v>
      </c>
      <c r="Q20" s="862">
        <f t="shared" si="21"/>
        <v>47</v>
      </c>
      <c r="R20" s="862">
        <v>26</v>
      </c>
      <c r="S20" s="525">
        <v>13</v>
      </c>
      <c r="T20" s="525">
        <v>8</v>
      </c>
      <c r="X20" s="585" t="s">
        <v>4850</v>
      </c>
      <c r="Y20" s="435" t="s">
        <v>546</v>
      </c>
      <c r="Z20" s="439">
        <v>102</v>
      </c>
      <c r="AA20" s="435" t="s">
        <v>546</v>
      </c>
      <c r="AB20" s="439">
        <v>117</v>
      </c>
      <c r="AC20" s="435" t="s">
        <v>546</v>
      </c>
      <c r="AD20" s="439">
        <v>140</v>
      </c>
      <c r="AE20" s="474" t="s">
        <v>546</v>
      </c>
      <c r="AF20" s="439">
        <v>154</v>
      </c>
      <c r="AG20" s="435"/>
      <c r="AH20" s="525"/>
      <c r="AJ20" s="585" t="s">
        <v>4879</v>
      </c>
      <c r="AK20" s="585">
        <v>16.5</v>
      </c>
      <c r="AL20" s="585">
        <v>16.399999999999999</v>
      </c>
      <c r="AM20" s="585">
        <v>15.6</v>
      </c>
      <c r="AN20" s="585">
        <v>14.8</v>
      </c>
      <c r="AO20" s="585">
        <v>14.8</v>
      </c>
      <c r="AP20" s="855">
        <v>15.3</v>
      </c>
      <c r="AQ20" s="585">
        <v>16.2</v>
      </c>
      <c r="AU20" s="382" t="s">
        <v>4861</v>
      </c>
      <c r="AV20" s="474">
        <f t="shared" ref="AV20:AV24" si="29">SUM(AW20:BE20)</f>
        <v>0</v>
      </c>
      <c r="AW20" s="474" t="s">
        <v>546</v>
      </c>
      <c r="AX20" s="474" t="s">
        <v>546</v>
      </c>
      <c r="AY20" s="474" t="s">
        <v>546</v>
      </c>
      <c r="AZ20" s="474" t="s">
        <v>546</v>
      </c>
      <c r="BA20" s="474" t="s">
        <v>546</v>
      </c>
      <c r="BB20" s="474" t="s">
        <v>546</v>
      </c>
      <c r="BC20" s="474" t="s">
        <v>546</v>
      </c>
      <c r="BD20" s="474" t="s">
        <v>546</v>
      </c>
      <c r="BE20" s="474" t="s">
        <v>546</v>
      </c>
      <c r="BH20" s="525"/>
      <c r="BP20" s="382" t="s">
        <v>4899</v>
      </c>
      <c r="BQ20" s="435" t="s">
        <v>546</v>
      </c>
      <c r="BR20" s="474" t="s">
        <v>546</v>
      </c>
      <c r="BS20" s="474" t="s">
        <v>546</v>
      </c>
      <c r="BT20" s="474" t="s">
        <v>546</v>
      </c>
      <c r="BU20" s="474" t="s">
        <v>546</v>
      </c>
      <c r="BV20" s="474" t="s">
        <v>546</v>
      </c>
      <c r="BW20" s="474" t="s">
        <v>546</v>
      </c>
      <c r="BX20" s="474" t="s">
        <v>546</v>
      </c>
      <c r="BY20" s="474" t="s">
        <v>546</v>
      </c>
      <c r="BZ20" s="474" t="s">
        <v>546</v>
      </c>
      <c r="CA20" s="382"/>
      <c r="CB20" s="382"/>
      <c r="CD20" s="1067" t="s">
        <v>4867</v>
      </c>
      <c r="CE20" s="382">
        <f>SUM(CF20:CG20)</f>
        <v>0</v>
      </c>
      <c r="CF20" s="1067">
        <v>0</v>
      </c>
      <c r="CG20" s="1067">
        <v>0</v>
      </c>
      <c r="CH20" s="432">
        <v>0</v>
      </c>
      <c r="CI20" s="463">
        <v>0</v>
      </c>
      <c r="CJ20" s="463">
        <v>0</v>
      </c>
      <c r="CK20" s="432">
        <v>0</v>
      </c>
      <c r="CL20" s="435">
        <v>0</v>
      </c>
      <c r="CM20" s="435">
        <v>0</v>
      </c>
      <c r="CP20" s="525"/>
      <c r="CQ20" s="862"/>
      <c r="CR20" s="862"/>
      <c r="CS20" s="862"/>
    </row>
    <row r="21" spans="1:97">
      <c r="A21" s="624" t="s">
        <v>4927</v>
      </c>
      <c r="B21" s="862">
        <f t="shared" si="10"/>
        <v>42</v>
      </c>
      <c r="C21" s="862">
        <v>21</v>
      </c>
      <c r="D21" s="525">
        <v>16</v>
      </c>
      <c r="E21" s="525">
        <v>5</v>
      </c>
      <c r="F21" s="862">
        <f t="shared" si="23"/>
        <v>47</v>
      </c>
      <c r="G21" s="862">
        <v>29</v>
      </c>
      <c r="H21" s="525">
        <v>11</v>
      </c>
      <c r="I21" s="525">
        <v>7</v>
      </c>
      <c r="L21" s="624" t="s">
        <v>4929</v>
      </c>
      <c r="M21" s="862">
        <f t="shared" si="12"/>
        <v>512</v>
      </c>
      <c r="N21" s="862">
        <v>350</v>
      </c>
      <c r="O21" s="525">
        <v>120</v>
      </c>
      <c r="P21" s="525">
        <v>42</v>
      </c>
      <c r="Q21" s="862">
        <f t="shared" si="21"/>
        <v>484</v>
      </c>
      <c r="R21" s="862">
        <v>308</v>
      </c>
      <c r="S21" s="525">
        <v>129</v>
      </c>
      <c r="T21" s="525">
        <v>47</v>
      </c>
      <c r="X21" s="585" t="s">
        <v>4853</v>
      </c>
      <c r="Y21" s="435" t="s">
        <v>546</v>
      </c>
      <c r="Z21" s="439">
        <v>0</v>
      </c>
      <c r="AA21" s="435" t="s">
        <v>546</v>
      </c>
      <c r="AB21" s="439">
        <v>0</v>
      </c>
      <c r="AC21" s="435" t="s">
        <v>546</v>
      </c>
      <c r="AD21" s="439">
        <v>0</v>
      </c>
      <c r="AE21" s="474" t="s">
        <v>546</v>
      </c>
      <c r="AF21" s="439">
        <v>0</v>
      </c>
      <c r="AG21" s="435"/>
      <c r="AH21" s="525"/>
      <c r="AJ21" s="586" t="s">
        <v>4891</v>
      </c>
      <c r="AK21" s="1055">
        <v>2880</v>
      </c>
      <c r="AL21" s="1055">
        <v>2880</v>
      </c>
      <c r="AM21" s="1055">
        <v>2880</v>
      </c>
      <c r="AN21" s="1055">
        <v>2880</v>
      </c>
      <c r="AO21" s="1055">
        <v>2880</v>
      </c>
      <c r="AP21" s="1055">
        <v>2880</v>
      </c>
      <c r="AQ21" s="1055">
        <v>2880</v>
      </c>
      <c r="AR21" s="1004"/>
      <c r="AS21" s="1004"/>
      <c r="AT21" s="1004"/>
      <c r="AU21" s="382" t="s">
        <v>4867</v>
      </c>
      <c r="AV21" s="474">
        <f t="shared" si="29"/>
        <v>0</v>
      </c>
      <c r="AW21" s="474" t="s">
        <v>546</v>
      </c>
      <c r="AX21" s="474" t="s">
        <v>546</v>
      </c>
      <c r="AY21" s="474" t="s">
        <v>546</v>
      </c>
      <c r="AZ21" s="474" t="s">
        <v>546</v>
      </c>
      <c r="BA21" s="474" t="s">
        <v>546</v>
      </c>
      <c r="BB21" s="474" t="s">
        <v>546</v>
      </c>
      <c r="BC21" s="474" t="s">
        <v>546</v>
      </c>
      <c r="BD21" s="474" t="s">
        <v>546</v>
      </c>
      <c r="BE21" s="474" t="s">
        <v>546</v>
      </c>
      <c r="BF21" s="1004"/>
      <c r="BG21" s="1004"/>
      <c r="BH21" s="525"/>
      <c r="BP21" s="382" t="s">
        <v>4898</v>
      </c>
      <c r="BQ21" s="435" t="s">
        <v>546</v>
      </c>
      <c r="BR21" s="474" t="s">
        <v>546</v>
      </c>
      <c r="BS21" s="474" t="s">
        <v>546</v>
      </c>
      <c r="BT21" s="474" t="s">
        <v>546</v>
      </c>
      <c r="BU21" s="474" t="s">
        <v>546</v>
      </c>
      <c r="BV21" s="474" t="s">
        <v>546</v>
      </c>
      <c r="BW21" s="474" t="s">
        <v>546</v>
      </c>
      <c r="BX21" s="474" t="s">
        <v>546</v>
      </c>
      <c r="BY21" s="474" t="s">
        <v>546</v>
      </c>
      <c r="BZ21" s="474" t="s">
        <v>546</v>
      </c>
      <c r="CD21" s="1067" t="s">
        <v>4880</v>
      </c>
      <c r="CE21" s="382">
        <f t="shared" ref="CE21:CE29" si="30">SUM(CF21:CG21)</f>
        <v>0</v>
      </c>
      <c r="CF21" s="1067">
        <v>0</v>
      </c>
      <c r="CG21" s="1067">
        <v>0</v>
      </c>
      <c r="CH21" s="432">
        <v>0</v>
      </c>
      <c r="CI21" s="463">
        <v>0</v>
      </c>
      <c r="CJ21" s="463">
        <v>0</v>
      </c>
      <c r="CK21" s="432">
        <v>0</v>
      </c>
      <c r="CL21" s="435">
        <v>0</v>
      </c>
      <c r="CM21" s="435">
        <v>0</v>
      </c>
      <c r="CP21" s="525"/>
      <c r="CQ21" s="862"/>
      <c r="CR21" s="862"/>
      <c r="CS21" s="862"/>
    </row>
    <row r="22" spans="1:97">
      <c r="A22" s="624" t="s">
        <v>4929</v>
      </c>
      <c r="B22" s="862">
        <f t="shared" si="10"/>
        <v>500</v>
      </c>
      <c r="C22" s="862">
        <v>281</v>
      </c>
      <c r="D22" s="525">
        <v>194</v>
      </c>
      <c r="E22" s="525">
        <v>25</v>
      </c>
      <c r="F22" s="862">
        <f t="shared" si="23"/>
        <v>493</v>
      </c>
      <c r="G22" s="862">
        <v>353</v>
      </c>
      <c r="H22" s="525">
        <v>106</v>
      </c>
      <c r="I22" s="525">
        <v>34</v>
      </c>
      <c r="L22" s="624" t="s">
        <v>4931</v>
      </c>
      <c r="M22" s="862">
        <f t="shared" si="12"/>
        <v>363</v>
      </c>
      <c r="N22" s="862">
        <v>247</v>
      </c>
      <c r="O22" s="525">
        <v>71</v>
      </c>
      <c r="P22" s="525">
        <v>45</v>
      </c>
      <c r="Q22" s="862">
        <f t="shared" si="21"/>
        <v>377</v>
      </c>
      <c r="R22" s="862">
        <v>250</v>
      </c>
      <c r="S22" s="525">
        <v>70</v>
      </c>
      <c r="T22" s="525">
        <v>57</v>
      </c>
      <c r="X22" s="585" t="s">
        <v>4860</v>
      </c>
      <c r="Y22" s="435" t="s">
        <v>546</v>
      </c>
      <c r="Z22" s="752">
        <v>56.7</v>
      </c>
      <c r="AA22" s="435" t="s">
        <v>546</v>
      </c>
      <c r="AB22" s="752">
        <v>56</v>
      </c>
      <c r="AC22" s="435" t="s">
        <v>546</v>
      </c>
      <c r="AD22" s="752">
        <v>55.1</v>
      </c>
      <c r="AE22" s="474" t="s">
        <v>546</v>
      </c>
      <c r="AF22" s="752">
        <v>54.2</v>
      </c>
      <c r="AG22" s="435"/>
      <c r="AH22" s="855"/>
      <c r="AJ22" s="585" t="s">
        <v>4932</v>
      </c>
      <c r="AU22" s="382" t="s">
        <v>4880</v>
      </c>
      <c r="AV22" s="474">
        <f t="shared" si="29"/>
        <v>0</v>
      </c>
      <c r="AW22" s="474" t="s">
        <v>546</v>
      </c>
      <c r="AX22" s="474" t="s">
        <v>546</v>
      </c>
      <c r="AY22" s="474" t="s">
        <v>546</v>
      </c>
      <c r="AZ22" s="474" t="s">
        <v>546</v>
      </c>
      <c r="BA22" s="474" t="s">
        <v>546</v>
      </c>
      <c r="BB22" s="474" t="s">
        <v>546</v>
      </c>
      <c r="BC22" s="474" t="s">
        <v>546</v>
      </c>
      <c r="BD22" s="474" t="s">
        <v>546</v>
      </c>
      <c r="BE22" s="474" t="s">
        <v>546</v>
      </c>
      <c r="BH22" s="525"/>
      <c r="BI22" s="382" t="s">
        <v>4939</v>
      </c>
      <c r="BJ22" s="870"/>
      <c r="BK22" s="870"/>
      <c r="BL22" s="870"/>
      <c r="BP22" s="382" t="s">
        <v>4904</v>
      </c>
      <c r="BQ22" s="475" t="s">
        <v>546</v>
      </c>
      <c r="BR22" s="474" t="s">
        <v>546</v>
      </c>
      <c r="BS22" s="474" t="s">
        <v>546</v>
      </c>
      <c r="BT22" s="474" t="s">
        <v>546</v>
      </c>
      <c r="BU22" s="475" t="s">
        <v>546</v>
      </c>
      <c r="BV22" s="474" t="s">
        <v>546</v>
      </c>
      <c r="BW22" s="474" t="s">
        <v>546</v>
      </c>
      <c r="BX22" s="474" t="s">
        <v>546</v>
      </c>
      <c r="BY22" s="475" t="s">
        <v>546</v>
      </c>
      <c r="BZ22" s="474" t="s">
        <v>546</v>
      </c>
      <c r="CB22" s="884"/>
      <c r="CD22" s="1067" t="s">
        <v>4892</v>
      </c>
      <c r="CE22" s="382">
        <f t="shared" si="30"/>
        <v>0</v>
      </c>
      <c r="CF22" s="1067">
        <v>0</v>
      </c>
      <c r="CG22" s="1067">
        <v>0</v>
      </c>
      <c r="CH22" s="432">
        <v>0</v>
      </c>
      <c r="CI22" s="463">
        <v>0</v>
      </c>
      <c r="CJ22" s="463">
        <v>0</v>
      </c>
      <c r="CK22" s="432">
        <v>0</v>
      </c>
      <c r="CL22" s="435">
        <v>0</v>
      </c>
      <c r="CM22" s="435">
        <v>0</v>
      </c>
      <c r="CQ22" s="862"/>
    </row>
    <row r="23" spans="1:97">
      <c r="A23" s="624" t="s">
        <v>4931</v>
      </c>
      <c r="B23" s="862">
        <f t="shared" si="10"/>
        <v>357</v>
      </c>
      <c r="C23" s="862">
        <v>203</v>
      </c>
      <c r="D23" s="525">
        <v>125</v>
      </c>
      <c r="E23" s="525">
        <v>29</v>
      </c>
      <c r="F23" s="862">
        <f t="shared" si="23"/>
        <v>346</v>
      </c>
      <c r="G23" s="862">
        <v>249</v>
      </c>
      <c r="H23" s="525">
        <v>65</v>
      </c>
      <c r="I23" s="525">
        <v>32</v>
      </c>
      <c r="L23" s="624" t="s">
        <v>4934</v>
      </c>
      <c r="M23" s="862">
        <f t="shared" si="12"/>
        <v>178</v>
      </c>
      <c r="N23" s="862">
        <v>116</v>
      </c>
      <c r="O23" s="525">
        <v>49</v>
      </c>
      <c r="P23" s="525">
        <v>13</v>
      </c>
      <c r="Q23" s="862">
        <f t="shared" si="21"/>
        <v>175</v>
      </c>
      <c r="R23" s="862">
        <v>105</v>
      </c>
      <c r="S23" s="525">
        <v>53</v>
      </c>
      <c r="T23" s="525">
        <v>17</v>
      </c>
      <c r="X23" s="585" t="s">
        <v>4865</v>
      </c>
      <c r="Y23" s="435" t="s">
        <v>546</v>
      </c>
      <c r="Z23" s="752">
        <v>31.3</v>
      </c>
      <c r="AA23" s="435" t="s">
        <v>546</v>
      </c>
      <c r="AB23" s="752">
        <v>30.6</v>
      </c>
      <c r="AC23" s="435" t="s">
        <v>546</v>
      </c>
      <c r="AD23" s="752">
        <v>29.6</v>
      </c>
      <c r="AE23" s="474" t="s">
        <v>546</v>
      </c>
      <c r="AF23" s="752">
        <v>28.9</v>
      </c>
      <c r="AG23" s="435"/>
      <c r="AH23" s="855"/>
      <c r="AJ23" s="585" t="s">
        <v>4935</v>
      </c>
      <c r="AU23" s="382" t="s">
        <v>4892</v>
      </c>
      <c r="AV23" s="474">
        <f t="shared" si="29"/>
        <v>0</v>
      </c>
      <c r="AW23" s="474" t="s">
        <v>546</v>
      </c>
      <c r="AX23" s="474" t="s">
        <v>546</v>
      </c>
      <c r="AY23" s="474" t="s">
        <v>546</v>
      </c>
      <c r="AZ23" s="474" t="s">
        <v>546</v>
      </c>
      <c r="BA23" s="474" t="s">
        <v>546</v>
      </c>
      <c r="BB23" s="474" t="s">
        <v>546</v>
      </c>
      <c r="BC23" s="474" t="s">
        <v>546</v>
      </c>
      <c r="BD23" s="474" t="s">
        <v>546</v>
      </c>
      <c r="BE23" s="474" t="s">
        <v>546</v>
      </c>
      <c r="BH23" s="525"/>
      <c r="BI23" s="382" t="s">
        <v>4940</v>
      </c>
      <c r="BJ23" s="870"/>
      <c r="BK23" s="870"/>
      <c r="BL23" s="870"/>
      <c r="BP23" s="382" t="s">
        <v>4907</v>
      </c>
      <c r="BQ23" s="382">
        <f t="shared" ref="BQ23:BQ30" si="31">SUM(BR23:BZ23)</f>
        <v>8</v>
      </c>
      <c r="BR23" s="474" t="s">
        <v>546</v>
      </c>
      <c r="BS23" s="474" t="s">
        <v>546</v>
      </c>
      <c r="BT23" s="475" t="s">
        <v>546</v>
      </c>
      <c r="BU23" s="439">
        <v>5</v>
      </c>
      <c r="BV23" s="475" t="s">
        <v>546</v>
      </c>
      <c r="BW23" s="474" t="s">
        <v>546</v>
      </c>
      <c r="BX23" s="475" t="s">
        <v>546</v>
      </c>
      <c r="BY23" s="475">
        <v>3</v>
      </c>
      <c r="BZ23" s="474" t="s">
        <v>546</v>
      </c>
      <c r="CD23" s="1067" t="s">
        <v>4898</v>
      </c>
      <c r="CE23" s="382">
        <f t="shared" si="30"/>
        <v>0</v>
      </c>
      <c r="CF23" s="1067">
        <v>0</v>
      </c>
      <c r="CG23" s="1067">
        <v>0</v>
      </c>
      <c r="CH23" s="432">
        <v>0</v>
      </c>
      <c r="CI23" s="463">
        <v>0</v>
      </c>
      <c r="CJ23" s="463">
        <v>0</v>
      </c>
      <c r="CK23" s="432">
        <v>0</v>
      </c>
      <c r="CL23" s="435">
        <v>0</v>
      </c>
      <c r="CM23" s="435">
        <v>0</v>
      </c>
      <c r="CQ23" s="862"/>
    </row>
    <row r="24" spans="1:97">
      <c r="A24" s="624" t="s">
        <v>4934</v>
      </c>
      <c r="B24" s="862">
        <f t="shared" si="10"/>
        <v>161</v>
      </c>
      <c r="C24" s="862">
        <v>90</v>
      </c>
      <c r="D24" s="525">
        <v>61</v>
      </c>
      <c r="E24" s="525">
        <v>10</v>
      </c>
      <c r="F24" s="862">
        <f t="shared" si="23"/>
        <v>162</v>
      </c>
      <c r="G24" s="862">
        <v>108</v>
      </c>
      <c r="H24" s="525">
        <v>44</v>
      </c>
      <c r="I24" s="525">
        <v>10</v>
      </c>
      <c r="L24" s="391" t="s">
        <v>1933</v>
      </c>
      <c r="M24" s="862">
        <f t="shared" si="12"/>
        <v>74</v>
      </c>
      <c r="N24" s="862">
        <v>36</v>
      </c>
      <c r="O24" s="525">
        <v>23</v>
      </c>
      <c r="P24" s="525">
        <v>15</v>
      </c>
      <c r="Q24" s="862">
        <f t="shared" si="21"/>
        <v>75</v>
      </c>
      <c r="R24" s="862">
        <v>37</v>
      </c>
      <c r="S24" s="525">
        <v>24</v>
      </c>
      <c r="T24" s="525">
        <v>14</v>
      </c>
      <c r="X24" s="585" t="s">
        <v>4878</v>
      </c>
      <c r="Y24" s="435" t="s">
        <v>546</v>
      </c>
      <c r="Z24" s="1070">
        <v>103894</v>
      </c>
      <c r="AA24" s="435" t="s">
        <v>546</v>
      </c>
      <c r="AB24" s="1070">
        <v>105382</v>
      </c>
      <c r="AC24" s="435" t="s">
        <v>546</v>
      </c>
      <c r="AD24" s="1070">
        <v>89906</v>
      </c>
      <c r="AE24" s="474" t="s">
        <v>546</v>
      </c>
      <c r="AF24" s="1070">
        <v>92030</v>
      </c>
      <c r="AG24" s="435"/>
      <c r="AH24" s="1004"/>
      <c r="AJ24" s="585" t="s">
        <v>4937</v>
      </c>
      <c r="AU24" s="382" t="s">
        <v>4898</v>
      </c>
      <c r="AV24" s="474">
        <f t="shared" si="29"/>
        <v>0</v>
      </c>
      <c r="AW24" s="474" t="s">
        <v>546</v>
      </c>
      <c r="AX24" s="474" t="s">
        <v>546</v>
      </c>
      <c r="AY24" s="474" t="s">
        <v>546</v>
      </c>
      <c r="AZ24" s="474" t="s">
        <v>546</v>
      </c>
      <c r="BA24" s="474" t="s">
        <v>546</v>
      </c>
      <c r="BB24" s="474" t="s">
        <v>546</v>
      </c>
      <c r="BC24" s="474" t="s">
        <v>546</v>
      </c>
      <c r="BD24" s="474" t="s">
        <v>546</v>
      </c>
      <c r="BE24" s="474" t="s">
        <v>546</v>
      </c>
      <c r="BH24" s="525"/>
      <c r="BI24" s="597"/>
      <c r="BJ24" s="2173">
        <v>45565</v>
      </c>
      <c r="BK24" s="2174"/>
      <c r="BL24" s="2174"/>
      <c r="BP24" s="382" t="s">
        <v>4909</v>
      </c>
      <c r="BQ24" s="382">
        <f t="shared" si="31"/>
        <v>18</v>
      </c>
      <c r="BR24" s="474" t="s">
        <v>546</v>
      </c>
      <c r="BS24" s="474" t="s">
        <v>546</v>
      </c>
      <c r="BT24" s="474">
        <v>1</v>
      </c>
      <c r="BU24" s="439">
        <v>2</v>
      </c>
      <c r="BV24" s="439">
        <v>2</v>
      </c>
      <c r="BW24" s="439">
        <v>5</v>
      </c>
      <c r="BX24" s="439">
        <v>4</v>
      </c>
      <c r="BY24" s="439">
        <v>4</v>
      </c>
      <c r="BZ24" s="474" t="s">
        <v>546</v>
      </c>
      <c r="CA24" s="382"/>
      <c r="CB24" s="382"/>
      <c r="CD24" s="1067" t="s">
        <v>4904</v>
      </c>
      <c r="CE24" s="382">
        <f t="shared" si="30"/>
        <v>1</v>
      </c>
      <c r="CF24" s="1067">
        <v>1</v>
      </c>
      <c r="CG24" s="1067">
        <v>0</v>
      </c>
      <c r="CH24" s="465">
        <f t="shared" ref="CH24:CH28" si="32">SUM(CI24:CJ24)</f>
        <v>4</v>
      </c>
      <c r="CI24" s="463">
        <v>4</v>
      </c>
      <c r="CJ24" s="463">
        <v>0</v>
      </c>
      <c r="CK24" s="465">
        <f t="shared" ref="CK24:CK28" si="33">SUM(CL24:CM24)</f>
        <v>9</v>
      </c>
      <c r="CL24" s="1014">
        <v>7</v>
      </c>
      <c r="CM24" s="1014">
        <v>2</v>
      </c>
      <c r="CO24" s="1062"/>
      <c r="CQ24" s="862"/>
    </row>
    <row r="25" spans="1:97">
      <c r="A25" s="624" t="s">
        <v>1933</v>
      </c>
      <c r="B25" s="862">
        <f t="shared" si="10"/>
        <v>68</v>
      </c>
      <c r="C25" s="862">
        <v>27</v>
      </c>
      <c r="D25" s="525">
        <v>30</v>
      </c>
      <c r="E25" s="525">
        <v>11</v>
      </c>
      <c r="F25" s="862">
        <f t="shared" si="23"/>
        <v>69</v>
      </c>
      <c r="G25" s="862">
        <v>36</v>
      </c>
      <c r="H25" s="525">
        <v>20</v>
      </c>
      <c r="I25" s="525">
        <v>13</v>
      </c>
      <c r="L25" s="391" t="s">
        <v>3295</v>
      </c>
      <c r="M25" s="862">
        <f t="shared" si="12"/>
        <v>22</v>
      </c>
      <c r="N25" s="862">
        <v>14</v>
      </c>
      <c r="O25" s="463">
        <v>5</v>
      </c>
      <c r="P25" s="463">
        <v>3</v>
      </c>
      <c r="Q25" s="862">
        <f t="shared" si="21"/>
        <v>17</v>
      </c>
      <c r="R25" s="862">
        <v>8</v>
      </c>
      <c r="S25" s="463">
        <v>5</v>
      </c>
      <c r="T25" s="463">
        <v>4</v>
      </c>
      <c r="X25" s="586" t="s">
        <v>4890</v>
      </c>
      <c r="Y25" s="556" t="s">
        <v>546</v>
      </c>
      <c r="Z25" s="1072">
        <v>303323</v>
      </c>
      <c r="AA25" s="556" t="s">
        <v>546</v>
      </c>
      <c r="AB25" s="1072">
        <v>285723</v>
      </c>
      <c r="AC25" s="556" t="s">
        <v>546</v>
      </c>
      <c r="AD25" s="1072">
        <v>265404</v>
      </c>
      <c r="AE25" s="1073" t="s">
        <v>546</v>
      </c>
      <c r="AF25" s="1072">
        <v>252099</v>
      </c>
      <c r="AG25" s="435"/>
      <c r="AH25" s="1004"/>
      <c r="AU25" s="382" t="s">
        <v>4904</v>
      </c>
      <c r="AV25" s="474">
        <f>SUM(AW25:BE25)</f>
        <v>26</v>
      </c>
      <c r="AW25" s="474" t="s">
        <v>546</v>
      </c>
      <c r="AX25" s="525">
        <v>2</v>
      </c>
      <c r="AY25" s="525">
        <v>2</v>
      </c>
      <c r="AZ25" s="525">
        <v>1</v>
      </c>
      <c r="BA25" s="525">
        <v>2</v>
      </c>
      <c r="BB25" s="525">
        <v>9</v>
      </c>
      <c r="BC25" s="525">
        <v>10</v>
      </c>
      <c r="BD25" s="474" t="s">
        <v>546</v>
      </c>
      <c r="BE25" s="474" t="s">
        <v>546</v>
      </c>
      <c r="BH25" s="525"/>
      <c r="BI25" s="610" t="s">
        <v>2449</v>
      </c>
      <c r="BJ25" s="642" t="s">
        <v>129</v>
      </c>
      <c r="BK25" s="642" t="s">
        <v>3039</v>
      </c>
      <c r="BL25" s="664" t="s">
        <v>3046</v>
      </c>
      <c r="BP25" s="382" t="s">
        <v>4911</v>
      </c>
      <c r="BQ25" s="382">
        <f t="shared" si="31"/>
        <v>18</v>
      </c>
      <c r="BR25" s="474" t="s">
        <v>546</v>
      </c>
      <c r="BS25" s="474" t="s">
        <v>546</v>
      </c>
      <c r="BT25" s="439">
        <v>1</v>
      </c>
      <c r="BU25" s="439">
        <v>7</v>
      </c>
      <c r="BV25" s="439">
        <v>4</v>
      </c>
      <c r="BW25" s="439">
        <v>3</v>
      </c>
      <c r="BX25" s="435">
        <v>1</v>
      </c>
      <c r="BY25" s="474" t="s">
        <v>546</v>
      </c>
      <c r="BZ25" s="439">
        <v>2</v>
      </c>
      <c r="CD25" s="1067" t="s">
        <v>4907</v>
      </c>
      <c r="CE25" s="382">
        <f t="shared" si="30"/>
        <v>97</v>
      </c>
      <c r="CF25" s="1067">
        <v>62</v>
      </c>
      <c r="CG25" s="1067">
        <v>35</v>
      </c>
      <c r="CH25" s="465">
        <f t="shared" si="32"/>
        <v>114</v>
      </c>
      <c r="CI25" s="463">
        <v>68</v>
      </c>
      <c r="CJ25" s="463">
        <v>46</v>
      </c>
      <c r="CK25" s="465">
        <f t="shared" si="33"/>
        <v>163</v>
      </c>
      <c r="CL25" s="1014">
        <v>102</v>
      </c>
      <c r="CM25" s="1014">
        <v>61</v>
      </c>
      <c r="CO25" s="1062"/>
      <c r="CQ25" s="862"/>
    </row>
    <row r="26" spans="1:97">
      <c r="A26" s="391" t="s">
        <v>3295</v>
      </c>
      <c r="B26" s="862">
        <f t="shared" si="10"/>
        <v>28</v>
      </c>
      <c r="C26" s="862">
        <v>15</v>
      </c>
      <c r="D26" s="463">
        <v>10</v>
      </c>
      <c r="E26" s="463">
        <v>3</v>
      </c>
      <c r="F26" s="862">
        <f t="shared" si="23"/>
        <v>24</v>
      </c>
      <c r="G26" s="862">
        <v>16</v>
      </c>
      <c r="H26" s="463">
        <v>5</v>
      </c>
      <c r="I26" s="463">
        <v>3</v>
      </c>
      <c r="L26" s="624" t="s">
        <v>4938</v>
      </c>
      <c r="M26" s="862">
        <f t="shared" si="12"/>
        <v>43</v>
      </c>
      <c r="N26" s="862">
        <v>23</v>
      </c>
      <c r="O26" s="525">
        <v>17</v>
      </c>
      <c r="P26" s="525">
        <v>3</v>
      </c>
      <c r="Q26" s="862">
        <f t="shared" si="21"/>
        <v>36</v>
      </c>
      <c r="R26" s="862">
        <v>16</v>
      </c>
      <c r="S26" s="525">
        <v>17</v>
      </c>
      <c r="T26" s="525">
        <v>3</v>
      </c>
      <c r="X26" s="585" t="s">
        <v>4932</v>
      </c>
      <c r="AU26" s="382" t="s">
        <v>4907</v>
      </c>
      <c r="AV26" s="474">
        <f>SUM(AW26:BE26)</f>
        <v>191</v>
      </c>
      <c r="AW26" s="525">
        <v>4</v>
      </c>
      <c r="AX26" s="474">
        <v>2</v>
      </c>
      <c r="AY26" s="525">
        <v>2</v>
      </c>
      <c r="AZ26" s="525">
        <v>8</v>
      </c>
      <c r="BA26" s="525">
        <v>7</v>
      </c>
      <c r="BB26" s="525">
        <v>50</v>
      </c>
      <c r="BC26" s="525">
        <v>110</v>
      </c>
      <c r="BD26" s="525">
        <v>8</v>
      </c>
      <c r="BE26" s="474" t="s">
        <v>546</v>
      </c>
      <c r="BH26" s="525"/>
      <c r="BI26" s="382" t="s">
        <v>4893</v>
      </c>
      <c r="BJ26" s="463">
        <f>SUM(BJ33:BJ38)</f>
        <v>813</v>
      </c>
      <c r="BK26" s="463">
        <f t="shared" ref="BK26:BL26" si="34">SUM(BK33:BK38)</f>
        <v>364</v>
      </c>
      <c r="BL26" s="463">
        <f t="shared" si="34"/>
        <v>449</v>
      </c>
      <c r="BP26" s="382" t="s">
        <v>4914</v>
      </c>
      <c r="BQ26" s="382">
        <f t="shared" si="31"/>
        <v>24</v>
      </c>
      <c r="BR26" s="474" t="s">
        <v>546</v>
      </c>
      <c r="BS26" s="474" t="s">
        <v>546</v>
      </c>
      <c r="BT26" s="439">
        <v>1</v>
      </c>
      <c r="BU26" s="439">
        <v>7</v>
      </c>
      <c r="BV26" s="439">
        <v>6</v>
      </c>
      <c r="BW26" s="439">
        <v>4</v>
      </c>
      <c r="BX26" s="439">
        <v>5</v>
      </c>
      <c r="BY26" s="474" t="s">
        <v>546</v>
      </c>
      <c r="BZ26" s="435">
        <v>1</v>
      </c>
      <c r="CD26" s="1067" t="s">
        <v>4909</v>
      </c>
      <c r="CE26" s="382">
        <f t="shared" si="30"/>
        <v>403</v>
      </c>
      <c r="CF26" s="1067">
        <v>237</v>
      </c>
      <c r="CG26" s="1067">
        <v>166</v>
      </c>
      <c r="CH26" s="465">
        <f t="shared" si="32"/>
        <v>444</v>
      </c>
      <c r="CI26" s="463">
        <v>259</v>
      </c>
      <c r="CJ26" s="463">
        <v>185</v>
      </c>
      <c r="CK26" s="465">
        <f t="shared" si="33"/>
        <v>481</v>
      </c>
      <c r="CL26" s="1014">
        <v>271</v>
      </c>
      <c r="CM26" s="1014">
        <v>210</v>
      </c>
      <c r="CO26" s="1062"/>
      <c r="CQ26" s="862"/>
    </row>
    <row r="27" spans="1:97">
      <c r="A27" s="624" t="s">
        <v>4938</v>
      </c>
      <c r="B27" s="862">
        <f t="shared" si="10"/>
        <v>37</v>
      </c>
      <c r="C27" s="862">
        <v>14</v>
      </c>
      <c r="D27" s="525">
        <v>23</v>
      </c>
      <c r="E27" s="525">
        <v>0</v>
      </c>
      <c r="F27" s="862">
        <f t="shared" si="23"/>
        <v>39</v>
      </c>
      <c r="G27" s="862">
        <v>23</v>
      </c>
      <c r="H27" s="525">
        <v>14</v>
      </c>
      <c r="I27" s="525">
        <v>2</v>
      </c>
      <c r="L27" s="624" t="s">
        <v>3032</v>
      </c>
      <c r="M27" s="862">
        <f t="shared" si="12"/>
        <v>176</v>
      </c>
      <c r="N27" s="862">
        <v>162</v>
      </c>
      <c r="O27" s="525">
        <v>7</v>
      </c>
      <c r="P27" s="525">
        <v>7</v>
      </c>
      <c r="Q27" s="862">
        <f t="shared" si="21"/>
        <v>133</v>
      </c>
      <c r="R27" s="862">
        <v>118</v>
      </c>
      <c r="S27" s="525">
        <v>9</v>
      </c>
      <c r="T27" s="525">
        <v>6</v>
      </c>
      <c r="X27" s="585" t="s">
        <v>4937</v>
      </c>
      <c r="AU27" s="382" t="s">
        <v>4909</v>
      </c>
      <c r="AV27" s="474">
        <f>SUM(AW27:BE27)</f>
        <v>225</v>
      </c>
      <c r="AW27" s="525">
        <v>2</v>
      </c>
      <c r="AX27" s="525">
        <v>4</v>
      </c>
      <c r="AY27" s="525">
        <v>4</v>
      </c>
      <c r="AZ27" s="525">
        <v>10</v>
      </c>
      <c r="BA27" s="525">
        <v>3</v>
      </c>
      <c r="BB27" s="525">
        <v>31</v>
      </c>
      <c r="BC27" s="525">
        <v>118</v>
      </c>
      <c r="BD27" s="525">
        <v>51</v>
      </c>
      <c r="BE27" s="435">
        <v>2</v>
      </c>
      <c r="BH27" s="525"/>
      <c r="BI27" s="382" t="s">
        <v>4855</v>
      </c>
      <c r="BJ27" s="474" t="s">
        <v>546</v>
      </c>
      <c r="BK27" s="474" t="s">
        <v>546</v>
      </c>
      <c r="BL27" s="474" t="s">
        <v>546</v>
      </c>
      <c r="BP27" s="382" t="s">
        <v>4919</v>
      </c>
      <c r="BQ27" s="382">
        <f t="shared" si="31"/>
        <v>32</v>
      </c>
      <c r="BR27" s="474" t="s">
        <v>546</v>
      </c>
      <c r="BS27" s="474" t="s">
        <v>546</v>
      </c>
      <c r="BT27" s="439">
        <v>3</v>
      </c>
      <c r="BU27" s="439">
        <v>9</v>
      </c>
      <c r="BV27" s="439">
        <v>6</v>
      </c>
      <c r="BW27" s="439">
        <v>8</v>
      </c>
      <c r="BX27" s="439">
        <v>5</v>
      </c>
      <c r="BY27" s="439">
        <v>1</v>
      </c>
      <c r="BZ27" s="474" t="s">
        <v>546</v>
      </c>
      <c r="CD27" s="1067" t="s">
        <v>4911</v>
      </c>
      <c r="CE27" s="382">
        <f t="shared" si="30"/>
        <v>789</v>
      </c>
      <c r="CF27" s="1067">
        <v>429</v>
      </c>
      <c r="CG27" s="1067">
        <v>360</v>
      </c>
      <c r="CH27" s="465">
        <f t="shared" si="32"/>
        <v>789</v>
      </c>
      <c r="CI27" s="463">
        <v>437</v>
      </c>
      <c r="CJ27" s="463">
        <v>352</v>
      </c>
      <c r="CK27" s="465">
        <f t="shared" si="33"/>
        <v>792</v>
      </c>
      <c r="CL27" s="1014">
        <v>435</v>
      </c>
      <c r="CM27" s="1014">
        <v>357</v>
      </c>
      <c r="CO27" s="1062"/>
      <c r="CQ27" s="862"/>
    </row>
    <row r="28" spans="1:97">
      <c r="A28" s="624" t="s">
        <v>3032</v>
      </c>
      <c r="B28" s="862">
        <f t="shared" si="10"/>
        <v>155</v>
      </c>
      <c r="C28" s="862">
        <v>141</v>
      </c>
      <c r="D28" s="525">
        <v>10</v>
      </c>
      <c r="E28" s="525">
        <v>4</v>
      </c>
      <c r="F28" s="862">
        <f t="shared" si="23"/>
        <v>163</v>
      </c>
      <c r="G28" s="862">
        <v>152</v>
      </c>
      <c r="H28" s="525">
        <v>5</v>
      </c>
      <c r="I28" s="525">
        <v>6</v>
      </c>
      <c r="L28" s="624" t="s">
        <v>4941</v>
      </c>
      <c r="M28" s="862">
        <f t="shared" si="12"/>
        <v>242</v>
      </c>
      <c r="N28" s="862">
        <v>113</v>
      </c>
      <c r="O28" s="525">
        <v>89</v>
      </c>
      <c r="P28" s="525">
        <v>40</v>
      </c>
      <c r="Q28" s="862">
        <f t="shared" si="21"/>
        <v>248</v>
      </c>
      <c r="R28" s="862">
        <v>113</v>
      </c>
      <c r="S28" s="525">
        <v>89</v>
      </c>
      <c r="T28" s="525">
        <v>46</v>
      </c>
      <c r="Z28" s="525"/>
      <c r="AJ28" s="382" t="s">
        <v>4942</v>
      </c>
      <c r="AK28" s="382"/>
      <c r="AL28" s="382"/>
      <c r="AM28" s="382"/>
      <c r="AN28" s="382"/>
      <c r="AQ28" s="870"/>
      <c r="AU28" s="382" t="s">
        <v>4911</v>
      </c>
      <c r="AV28" s="474">
        <f t="shared" ref="AV28:AV30" si="35">SUM(AW28:BE28)</f>
        <v>161</v>
      </c>
      <c r="AW28" s="525">
        <v>1</v>
      </c>
      <c r="AX28" s="525">
        <v>3</v>
      </c>
      <c r="AY28" s="525">
        <v>6</v>
      </c>
      <c r="AZ28" s="525">
        <v>10</v>
      </c>
      <c r="BA28" s="525">
        <v>8</v>
      </c>
      <c r="BB28" s="525">
        <v>17</v>
      </c>
      <c r="BC28" s="525">
        <v>71</v>
      </c>
      <c r="BD28" s="525">
        <v>33</v>
      </c>
      <c r="BE28" s="525">
        <v>12</v>
      </c>
      <c r="BH28" s="525"/>
      <c r="BI28" s="382" t="s">
        <v>4861</v>
      </c>
      <c r="BJ28" s="474" t="s">
        <v>546</v>
      </c>
      <c r="BK28" s="474" t="s">
        <v>546</v>
      </c>
      <c r="BL28" s="474" t="s">
        <v>546</v>
      </c>
      <c r="BP28" s="382" t="s">
        <v>4922</v>
      </c>
      <c r="BQ28" s="382">
        <f t="shared" si="31"/>
        <v>24</v>
      </c>
      <c r="BR28" s="474" t="s">
        <v>546</v>
      </c>
      <c r="BS28" s="474" t="s">
        <v>546</v>
      </c>
      <c r="BT28" s="439">
        <v>2</v>
      </c>
      <c r="BU28" s="439">
        <v>7</v>
      </c>
      <c r="BV28" s="439">
        <v>4</v>
      </c>
      <c r="BW28" s="439">
        <v>6</v>
      </c>
      <c r="BX28" s="439">
        <v>4</v>
      </c>
      <c r="BY28" s="435">
        <v>1</v>
      </c>
      <c r="BZ28" s="474" t="s">
        <v>546</v>
      </c>
      <c r="CD28" s="1067" t="s">
        <v>4914</v>
      </c>
      <c r="CE28" s="463">
        <f>SUM(CF28:CG28)</f>
        <v>1026</v>
      </c>
      <c r="CF28" s="1067">
        <v>513</v>
      </c>
      <c r="CG28" s="1067">
        <v>513</v>
      </c>
      <c r="CH28" s="432">
        <f t="shared" si="32"/>
        <v>1062</v>
      </c>
      <c r="CI28" s="463">
        <v>506</v>
      </c>
      <c r="CJ28" s="463">
        <v>556</v>
      </c>
      <c r="CK28" s="432">
        <f t="shared" si="33"/>
        <v>1108</v>
      </c>
      <c r="CL28" s="1014">
        <v>525</v>
      </c>
      <c r="CM28" s="1014">
        <v>583</v>
      </c>
      <c r="CO28" s="1062"/>
      <c r="CQ28" s="862"/>
    </row>
    <row r="29" spans="1:97">
      <c r="A29" s="624" t="s">
        <v>4941</v>
      </c>
      <c r="B29" s="862">
        <f t="shared" si="10"/>
        <v>229</v>
      </c>
      <c r="C29" s="862">
        <v>59</v>
      </c>
      <c r="D29" s="525">
        <v>140</v>
      </c>
      <c r="E29" s="525">
        <v>30</v>
      </c>
      <c r="F29" s="862">
        <f t="shared" si="23"/>
        <v>225</v>
      </c>
      <c r="G29" s="862">
        <v>119</v>
      </c>
      <c r="H29" s="525">
        <v>75</v>
      </c>
      <c r="I29" s="525">
        <v>31</v>
      </c>
      <c r="L29" s="1061" t="s">
        <v>4943</v>
      </c>
      <c r="M29" s="862">
        <f t="shared" si="12"/>
        <v>298</v>
      </c>
      <c r="N29" s="862">
        <v>234</v>
      </c>
      <c r="O29" s="525">
        <v>51</v>
      </c>
      <c r="P29" s="525">
        <v>13</v>
      </c>
      <c r="Q29" s="862">
        <f t="shared" si="21"/>
        <v>282</v>
      </c>
      <c r="R29" s="862">
        <v>217</v>
      </c>
      <c r="S29" s="525">
        <v>50</v>
      </c>
      <c r="T29" s="525">
        <v>15</v>
      </c>
      <c r="AJ29" s="998" t="s">
        <v>1810</v>
      </c>
      <c r="AK29" s="998">
        <v>2024</v>
      </c>
      <c r="AL29" s="998">
        <v>2023</v>
      </c>
      <c r="AM29" s="998">
        <v>2022</v>
      </c>
      <c r="AN29" s="998">
        <v>2021</v>
      </c>
      <c r="AO29" s="998">
        <v>2020</v>
      </c>
      <c r="AP29" s="938">
        <v>2019</v>
      </c>
      <c r="AQ29" s="939">
        <v>2018</v>
      </c>
      <c r="AU29" s="382" t="s">
        <v>4914</v>
      </c>
      <c r="AV29" s="474">
        <f t="shared" si="35"/>
        <v>68</v>
      </c>
      <c r="AW29" s="474" t="s">
        <v>546</v>
      </c>
      <c r="AX29" s="474" t="s">
        <v>546</v>
      </c>
      <c r="AY29" s="862">
        <v>4</v>
      </c>
      <c r="AZ29" s="474">
        <v>4</v>
      </c>
      <c r="BA29" s="525">
        <v>1</v>
      </c>
      <c r="BB29" s="525">
        <v>9</v>
      </c>
      <c r="BC29" s="525">
        <v>28</v>
      </c>
      <c r="BD29" s="525">
        <v>15</v>
      </c>
      <c r="BE29" s="525">
        <v>7</v>
      </c>
      <c r="BH29" s="525"/>
      <c r="BI29" s="382" t="s">
        <v>4867</v>
      </c>
      <c r="BJ29" s="474" t="s">
        <v>546</v>
      </c>
      <c r="BK29" s="474" t="s">
        <v>546</v>
      </c>
      <c r="BL29" s="474" t="s">
        <v>546</v>
      </c>
      <c r="BP29" s="382" t="s">
        <v>4926</v>
      </c>
      <c r="BQ29" s="382">
        <f t="shared" si="31"/>
        <v>18</v>
      </c>
      <c r="BR29" s="474" t="s">
        <v>546</v>
      </c>
      <c r="BS29" s="474" t="s">
        <v>546</v>
      </c>
      <c r="BT29" s="435">
        <v>1</v>
      </c>
      <c r="BU29" s="439">
        <v>11</v>
      </c>
      <c r="BV29" s="439">
        <v>5</v>
      </c>
      <c r="BW29" s="474" t="s">
        <v>546</v>
      </c>
      <c r="BX29" s="439">
        <v>1</v>
      </c>
      <c r="BY29" s="474" t="s">
        <v>546</v>
      </c>
      <c r="BZ29" s="474" t="s">
        <v>546</v>
      </c>
      <c r="CD29" s="1067" t="s">
        <v>4916</v>
      </c>
      <c r="CE29" s="463">
        <f t="shared" si="30"/>
        <v>3040</v>
      </c>
      <c r="CF29" s="1075">
        <v>1298</v>
      </c>
      <c r="CG29" s="1075">
        <v>1742</v>
      </c>
      <c r="CH29" s="432">
        <f>SUM(CI29:CJ29)</f>
        <v>2940</v>
      </c>
      <c r="CI29" s="463">
        <v>1271</v>
      </c>
      <c r="CJ29" s="463">
        <v>1669</v>
      </c>
      <c r="CK29" s="432">
        <f>SUM(CL29:CM29)</f>
        <v>2855</v>
      </c>
      <c r="CL29" s="538">
        <v>1249</v>
      </c>
      <c r="CM29" s="538">
        <v>1606</v>
      </c>
      <c r="CO29" s="1062"/>
      <c r="CQ29" s="862"/>
    </row>
    <row r="30" spans="1:97">
      <c r="A30" s="1061" t="s">
        <v>4943</v>
      </c>
      <c r="B30" s="862">
        <f t="shared" si="10"/>
        <v>273</v>
      </c>
      <c r="C30" s="862">
        <v>181</v>
      </c>
      <c r="D30" s="525">
        <v>81</v>
      </c>
      <c r="E30" s="525">
        <v>11</v>
      </c>
      <c r="F30" s="862">
        <f t="shared" si="23"/>
        <v>288</v>
      </c>
      <c r="G30" s="862">
        <v>236</v>
      </c>
      <c r="H30" s="525">
        <v>40</v>
      </c>
      <c r="I30" s="525">
        <v>12</v>
      </c>
      <c r="L30" s="624" t="s">
        <v>4944</v>
      </c>
      <c r="M30" s="862">
        <f t="shared" si="12"/>
        <v>238</v>
      </c>
      <c r="N30" s="862">
        <v>135</v>
      </c>
      <c r="O30" s="525">
        <v>81</v>
      </c>
      <c r="P30" s="525">
        <v>22</v>
      </c>
      <c r="Q30" s="862">
        <f t="shared" si="21"/>
        <v>237</v>
      </c>
      <c r="R30" s="862">
        <v>122</v>
      </c>
      <c r="S30" s="525">
        <v>84</v>
      </c>
      <c r="T30" s="525">
        <v>31</v>
      </c>
      <c r="AI30" s="382"/>
      <c r="AJ30" s="585" t="s">
        <v>4831</v>
      </c>
      <c r="AK30" s="585">
        <v>364</v>
      </c>
      <c r="AL30" s="585">
        <v>292</v>
      </c>
      <c r="AM30" s="585">
        <v>249</v>
      </c>
      <c r="AN30" s="525">
        <v>195</v>
      </c>
      <c r="AO30" s="525">
        <v>120</v>
      </c>
      <c r="AP30" s="525">
        <v>66</v>
      </c>
      <c r="AQ30" s="525">
        <v>26</v>
      </c>
      <c r="AR30" s="525"/>
      <c r="AU30" s="382" t="s">
        <v>4916</v>
      </c>
      <c r="AV30" s="474">
        <f t="shared" si="35"/>
        <v>40</v>
      </c>
      <c r="AW30" s="474" t="s">
        <v>546</v>
      </c>
      <c r="AX30" s="474" t="s">
        <v>546</v>
      </c>
      <c r="AY30" s="474">
        <v>1</v>
      </c>
      <c r="AZ30" s="474" t="s">
        <v>546</v>
      </c>
      <c r="BA30" s="474" t="s">
        <v>546</v>
      </c>
      <c r="BB30" s="525">
        <v>2</v>
      </c>
      <c r="BC30" s="525">
        <v>15</v>
      </c>
      <c r="BD30" s="525">
        <v>10</v>
      </c>
      <c r="BE30" s="525">
        <v>12</v>
      </c>
      <c r="BH30" s="525"/>
      <c r="BI30" s="382" t="s">
        <v>4880</v>
      </c>
      <c r="BJ30" s="474" t="s">
        <v>546</v>
      </c>
      <c r="BK30" s="474" t="s">
        <v>546</v>
      </c>
      <c r="BL30" s="474" t="s">
        <v>546</v>
      </c>
      <c r="BP30" s="382" t="s">
        <v>4928</v>
      </c>
      <c r="BQ30" s="382">
        <f t="shared" si="31"/>
        <v>7</v>
      </c>
      <c r="BR30" s="474" t="s">
        <v>546</v>
      </c>
      <c r="BS30" s="474" t="s">
        <v>546</v>
      </c>
      <c r="BT30" s="439">
        <v>2</v>
      </c>
      <c r="BU30" s="439">
        <v>1</v>
      </c>
      <c r="BV30" s="435">
        <v>3</v>
      </c>
      <c r="BW30" s="439">
        <v>1</v>
      </c>
      <c r="BX30" s="474" t="s">
        <v>546</v>
      </c>
      <c r="BY30" s="474" t="s">
        <v>546</v>
      </c>
      <c r="BZ30" s="474" t="s">
        <v>546</v>
      </c>
      <c r="CA30" s="382"/>
      <c r="CB30" s="382"/>
      <c r="CH30" s="851"/>
      <c r="CK30" s="851"/>
      <c r="CO30" s="1062"/>
      <c r="CQ30" s="862"/>
    </row>
    <row r="31" spans="1:97">
      <c r="A31" s="624" t="s">
        <v>4944</v>
      </c>
      <c r="B31" s="862">
        <f t="shared" si="10"/>
        <v>230</v>
      </c>
      <c r="C31" s="862">
        <v>115</v>
      </c>
      <c r="D31" s="525">
        <v>95</v>
      </c>
      <c r="E31" s="525">
        <v>20</v>
      </c>
      <c r="F31" s="862">
        <f t="shared" si="23"/>
        <v>229</v>
      </c>
      <c r="G31" s="862">
        <v>136</v>
      </c>
      <c r="H31" s="525">
        <v>71</v>
      </c>
      <c r="I31" s="525">
        <v>22</v>
      </c>
      <c r="L31" s="624" t="s">
        <v>4945</v>
      </c>
      <c r="M31" s="862">
        <f t="shared" si="12"/>
        <v>51</v>
      </c>
      <c r="N31" s="862">
        <v>41</v>
      </c>
      <c r="O31" s="525">
        <v>7</v>
      </c>
      <c r="P31" s="525">
        <v>3</v>
      </c>
      <c r="Q31" s="862">
        <f t="shared" si="21"/>
        <v>31</v>
      </c>
      <c r="R31" s="862">
        <v>21</v>
      </c>
      <c r="S31" s="525">
        <v>7</v>
      </c>
      <c r="T31" s="525">
        <v>3</v>
      </c>
      <c r="AJ31" s="585" t="s">
        <v>4851</v>
      </c>
      <c r="AK31" s="585">
        <v>66.599999999999994</v>
      </c>
      <c r="AL31" s="623">
        <v>66</v>
      </c>
      <c r="AM31" s="585">
        <v>65.599999999999994</v>
      </c>
      <c r="AN31" s="585">
        <v>63.9</v>
      </c>
      <c r="AO31" s="585">
        <v>64.900000000000006</v>
      </c>
      <c r="AP31" s="855">
        <v>63.1</v>
      </c>
      <c r="AQ31" s="623">
        <v>64.099999999999994</v>
      </c>
      <c r="AR31" s="623"/>
      <c r="AU31" s="382"/>
      <c r="AW31" s="525"/>
      <c r="BI31" s="382" t="s">
        <v>4892</v>
      </c>
      <c r="BJ31" s="474" t="s">
        <v>546</v>
      </c>
      <c r="BK31" s="474" t="s">
        <v>546</v>
      </c>
      <c r="BL31" s="474" t="s">
        <v>546</v>
      </c>
      <c r="BP31" s="381" t="s">
        <v>4930</v>
      </c>
      <c r="BQ31" s="556" t="s">
        <v>546</v>
      </c>
      <c r="BR31" s="1073" t="s">
        <v>546</v>
      </c>
      <c r="BS31" s="1073" t="s">
        <v>546</v>
      </c>
      <c r="BT31" s="1073" t="s">
        <v>546</v>
      </c>
      <c r="BU31" s="1073" t="s">
        <v>546</v>
      </c>
      <c r="BV31" s="1073" t="s">
        <v>546</v>
      </c>
      <c r="BW31" s="1073" t="s">
        <v>546</v>
      </c>
      <c r="BX31" s="1073" t="s">
        <v>546</v>
      </c>
      <c r="BY31" s="1073" t="s">
        <v>546</v>
      </c>
      <c r="BZ31" s="1073" t="s">
        <v>546</v>
      </c>
      <c r="CA31" s="382"/>
      <c r="CB31" s="382"/>
      <c r="CD31" s="382" t="s">
        <v>4954</v>
      </c>
      <c r="CE31" s="382">
        <f>SUM(CE32:CE42)</f>
        <v>149</v>
      </c>
      <c r="CF31" s="382">
        <f>SUM(CF32:CF42)</f>
        <v>73</v>
      </c>
      <c r="CG31" s="382">
        <f>SUM(CG32:CG42)</f>
        <v>76</v>
      </c>
      <c r="CH31" s="851">
        <f>SUM(CI31:CJ31)</f>
        <v>164</v>
      </c>
      <c r="CI31" s="599">
        <f>SUM(CI32:CI42)</f>
        <v>84</v>
      </c>
      <c r="CJ31" s="599">
        <f>SUM(CJ32:CJ42)</f>
        <v>80</v>
      </c>
      <c r="CK31" s="851">
        <f>SUM(CL31:CM31)</f>
        <v>176</v>
      </c>
      <c r="CL31" s="599">
        <f>SUM(CL32:CL42)</f>
        <v>89</v>
      </c>
      <c r="CM31" s="599">
        <f>SUM(CM32:CM42)</f>
        <v>87</v>
      </c>
      <c r="CO31" s="1062"/>
      <c r="CQ31" s="862"/>
    </row>
    <row r="32" spans="1:97">
      <c r="A32" s="624" t="s">
        <v>4945</v>
      </c>
      <c r="B32" s="862">
        <f t="shared" si="10"/>
        <v>38</v>
      </c>
      <c r="C32" s="862">
        <v>16</v>
      </c>
      <c r="D32" s="525">
        <v>21</v>
      </c>
      <c r="E32" s="525">
        <v>1</v>
      </c>
      <c r="F32" s="862">
        <f t="shared" si="23"/>
        <v>40</v>
      </c>
      <c r="G32" s="862">
        <v>31</v>
      </c>
      <c r="H32" s="525">
        <v>7</v>
      </c>
      <c r="I32" s="525">
        <v>2</v>
      </c>
      <c r="L32" s="624" t="s">
        <v>4946</v>
      </c>
      <c r="M32" s="862">
        <f t="shared" si="12"/>
        <v>6</v>
      </c>
      <c r="N32" s="862">
        <v>3</v>
      </c>
      <c r="O32" s="525">
        <v>2</v>
      </c>
      <c r="P32" s="525">
        <v>1</v>
      </c>
      <c r="Q32" s="862">
        <f t="shared" si="21"/>
        <v>6</v>
      </c>
      <c r="R32" s="862">
        <v>3</v>
      </c>
      <c r="S32" s="525">
        <v>2</v>
      </c>
      <c r="T32" s="525">
        <v>1</v>
      </c>
      <c r="X32" s="382" t="s">
        <v>4947</v>
      </c>
      <c r="Y32" s="381"/>
      <c r="Z32" s="586"/>
      <c r="AA32" s="586"/>
      <c r="AB32" s="586"/>
      <c r="AC32" s="586"/>
      <c r="AE32" s="870"/>
      <c r="AF32" s="870"/>
      <c r="AG32" s="870"/>
      <c r="AJ32" s="585" t="s">
        <v>4854</v>
      </c>
      <c r="AK32" s="1004">
        <v>25414</v>
      </c>
      <c r="AL32" s="1004">
        <v>22249</v>
      </c>
      <c r="AM32" s="1004">
        <v>21932</v>
      </c>
      <c r="AN32" s="1004">
        <v>19652</v>
      </c>
      <c r="AO32" s="1004">
        <v>22560</v>
      </c>
      <c r="AP32" s="1004">
        <v>17580</v>
      </c>
      <c r="AQ32" s="1004">
        <v>17499</v>
      </c>
      <c r="AR32" s="1004"/>
      <c r="AS32" s="525"/>
      <c r="AU32" s="382" t="s">
        <v>4948</v>
      </c>
      <c r="AV32" s="525">
        <f>SUM(AV33:AV44)</f>
        <v>102</v>
      </c>
      <c r="AW32" s="435">
        <f>SUM(AW33:AW44)</f>
        <v>0</v>
      </c>
      <c r="AX32" s="525">
        <f>SUM(AX33:AX44)</f>
        <v>1</v>
      </c>
      <c r="AY32" s="525">
        <f t="shared" ref="AY32:BD32" si="36">SUM(AY33:AY44)</f>
        <v>3</v>
      </c>
      <c r="AZ32" s="525">
        <f t="shared" si="36"/>
        <v>0</v>
      </c>
      <c r="BA32" s="525">
        <f t="shared" si="36"/>
        <v>4</v>
      </c>
      <c r="BB32" s="525">
        <f t="shared" si="36"/>
        <v>24</v>
      </c>
      <c r="BC32" s="525">
        <f t="shared" si="36"/>
        <v>44</v>
      </c>
      <c r="BD32" s="525">
        <f t="shared" si="36"/>
        <v>23</v>
      </c>
      <c r="BE32" s="525">
        <f>SUM(BE33:BE44)</f>
        <v>3</v>
      </c>
      <c r="BI32" s="382" t="s">
        <v>4898</v>
      </c>
      <c r="BJ32" s="474" t="s">
        <v>546</v>
      </c>
      <c r="BK32" s="474" t="s">
        <v>546</v>
      </c>
      <c r="BL32" s="474" t="s">
        <v>546</v>
      </c>
      <c r="BP32" s="382" t="s">
        <v>4932</v>
      </c>
      <c r="BQ32" s="382"/>
      <c r="BR32" s="382"/>
      <c r="BS32" s="382"/>
      <c r="BT32" s="382"/>
      <c r="BU32" s="382"/>
      <c r="BV32" s="382"/>
      <c r="BW32" s="382"/>
      <c r="BX32" s="382"/>
      <c r="BY32" s="382"/>
      <c r="BZ32" s="382"/>
      <c r="CD32" s="382" t="s">
        <v>4900</v>
      </c>
      <c r="CE32" s="382">
        <f>SUM(CF32:CG32)</f>
        <v>0</v>
      </c>
      <c r="CF32" s="382">
        <v>0</v>
      </c>
      <c r="CG32" s="382">
        <v>0</v>
      </c>
      <c r="CH32" s="432">
        <v>0</v>
      </c>
      <c r="CI32" s="463">
        <v>0</v>
      </c>
      <c r="CJ32" s="463">
        <v>0</v>
      </c>
      <c r="CK32" s="432">
        <v>0</v>
      </c>
      <c r="CL32" s="435">
        <v>0</v>
      </c>
      <c r="CM32" s="435">
        <v>0</v>
      </c>
      <c r="CO32" s="1062"/>
      <c r="CQ32" s="862"/>
    </row>
    <row r="33" spans="1:97">
      <c r="A33" s="624" t="s">
        <v>4946</v>
      </c>
      <c r="B33" s="862">
        <f t="shared" si="10"/>
        <v>12</v>
      </c>
      <c r="C33" s="862">
        <v>9</v>
      </c>
      <c r="D33" s="525">
        <v>2</v>
      </c>
      <c r="E33" s="525">
        <v>1</v>
      </c>
      <c r="F33" s="862">
        <f t="shared" si="23"/>
        <v>9</v>
      </c>
      <c r="G33" s="862">
        <v>7</v>
      </c>
      <c r="H33" s="525">
        <v>2</v>
      </c>
      <c r="I33" s="525">
        <v>0</v>
      </c>
      <c r="L33" s="624" t="s">
        <v>4949</v>
      </c>
      <c r="M33" s="862">
        <f t="shared" si="12"/>
        <v>51</v>
      </c>
      <c r="N33" s="862">
        <v>27</v>
      </c>
      <c r="O33" s="525">
        <v>21</v>
      </c>
      <c r="P33" s="525">
        <v>3</v>
      </c>
      <c r="Q33" s="862">
        <f t="shared" si="21"/>
        <v>48</v>
      </c>
      <c r="R33" s="862">
        <v>20</v>
      </c>
      <c r="S33" s="525">
        <v>22</v>
      </c>
      <c r="T33" s="525">
        <v>6</v>
      </c>
      <c r="X33" s="998" t="s">
        <v>1810</v>
      </c>
      <c r="Y33" s="1074">
        <v>2024</v>
      </c>
      <c r="Z33" s="1074">
        <v>2023</v>
      </c>
      <c r="AA33" s="1074">
        <v>2022</v>
      </c>
      <c r="AB33" s="1074">
        <v>2021</v>
      </c>
      <c r="AC33" s="1074">
        <v>2020</v>
      </c>
      <c r="AD33" s="938">
        <v>2019</v>
      </c>
      <c r="AE33" s="939">
        <v>2018</v>
      </c>
      <c r="AP33" s="525"/>
      <c r="AS33" s="855"/>
      <c r="AU33" s="382" t="s">
        <v>4855</v>
      </c>
      <c r="AV33" s="474">
        <f>SUM(AW33:BE33)</f>
        <v>0</v>
      </c>
      <c r="AW33" s="474" t="s">
        <v>546</v>
      </c>
      <c r="AX33" s="474" t="s">
        <v>546</v>
      </c>
      <c r="AY33" s="474" t="s">
        <v>546</v>
      </c>
      <c r="AZ33" s="474" t="s">
        <v>546</v>
      </c>
      <c r="BA33" s="474" t="s">
        <v>546</v>
      </c>
      <c r="BB33" s="474" t="s">
        <v>546</v>
      </c>
      <c r="BC33" s="474" t="s">
        <v>546</v>
      </c>
      <c r="BD33" s="474" t="s">
        <v>546</v>
      </c>
      <c r="BE33" s="474" t="s">
        <v>546</v>
      </c>
      <c r="BI33" s="382" t="s">
        <v>4904</v>
      </c>
      <c r="BJ33" s="435">
        <f t="shared" ref="BJ33:BJ38" si="37">SUM(BK33:BL33)</f>
        <v>32</v>
      </c>
      <c r="BK33" s="463">
        <v>19</v>
      </c>
      <c r="BL33" s="463">
        <v>13</v>
      </c>
      <c r="CD33" s="1067" t="s">
        <v>4867</v>
      </c>
      <c r="CE33" s="382">
        <f t="shared" ref="CE33:CE41" si="38">SUM(CF33:CG33)</f>
        <v>0</v>
      </c>
      <c r="CF33" s="1067">
        <v>0</v>
      </c>
      <c r="CG33" s="1067">
        <v>0</v>
      </c>
      <c r="CH33" s="432">
        <v>0</v>
      </c>
      <c r="CI33" s="463">
        <v>0</v>
      </c>
      <c r="CJ33" s="463">
        <v>0</v>
      </c>
      <c r="CK33" s="432">
        <v>0</v>
      </c>
      <c r="CL33" s="435">
        <v>0</v>
      </c>
      <c r="CM33" s="435">
        <v>0</v>
      </c>
      <c r="CO33" s="1062"/>
      <c r="CQ33" s="862"/>
    </row>
    <row r="34" spans="1:97">
      <c r="A34" s="624" t="s">
        <v>4949</v>
      </c>
      <c r="B34" s="862">
        <f t="shared" si="10"/>
        <v>58</v>
      </c>
      <c r="C34" s="862">
        <v>27</v>
      </c>
      <c r="D34" s="525">
        <v>29</v>
      </c>
      <c r="E34" s="525">
        <v>2</v>
      </c>
      <c r="F34" s="862">
        <f t="shared" si="23"/>
        <v>53</v>
      </c>
      <c r="G34" s="862">
        <v>30</v>
      </c>
      <c r="H34" s="525">
        <v>20</v>
      </c>
      <c r="I34" s="525">
        <v>3</v>
      </c>
      <c r="L34" s="624" t="s">
        <v>4950</v>
      </c>
      <c r="M34" s="862">
        <f t="shared" si="12"/>
        <v>245</v>
      </c>
      <c r="N34" s="862">
        <v>75</v>
      </c>
      <c r="O34" s="525">
        <v>141</v>
      </c>
      <c r="P34" s="525">
        <v>29</v>
      </c>
      <c r="Q34" s="862">
        <f t="shared" si="21"/>
        <v>229</v>
      </c>
      <c r="R34" s="862">
        <v>54</v>
      </c>
      <c r="S34" s="525">
        <v>142</v>
      </c>
      <c r="T34" s="525">
        <v>33</v>
      </c>
      <c r="X34" s="1053" t="s">
        <v>129</v>
      </c>
      <c r="Y34" s="525">
        <f>Y35+Y40</f>
        <v>18761</v>
      </c>
      <c r="Z34" s="525">
        <f>Z35+Z40</f>
        <v>18867</v>
      </c>
      <c r="AA34" s="525">
        <f>AA35+AA40</f>
        <v>19203</v>
      </c>
      <c r="AB34" s="525">
        <f>AB35+AB40</f>
        <v>18764</v>
      </c>
      <c r="AC34" s="525">
        <f>SUM(AC35,AC40)</f>
        <v>18609</v>
      </c>
      <c r="AD34" s="764">
        <f>SUM(AD35,AD40)</f>
        <v>18463</v>
      </c>
      <c r="AE34" s="764">
        <f>SUM(AE35,AE40)</f>
        <v>18346</v>
      </c>
      <c r="AH34" s="599"/>
      <c r="AJ34" s="585" t="s">
        <v>4866</v>
      </c>
      <c r="AK34" s="585">
        <v>308</v>
      </c>
      <c r="AL34" s="585">
        <v>241</v>
      </c>
      <c r="AM34" s="585">
        <v>212</v>
      </c>
      <c r="AN34" s="525">
        <v>161</v>
      </c>
      <c r="AO34" s="525">
        <v>103</v>
      </c>
      <c r="AP34" s="525">
        <v>54</v>
      </c>
      <c r="AQ34" s="525">
        <v>26</v>
      </c>
      <c r="AR34" s="525"/>
      <c r="AS34" s="1004"/>
      <c r="AU34" s="382" t="s">
        <v>4861</v>
      </c>
      <c r="AV34" s="474">
        <f t="shared" ref="AV34:AV44" si="39">SUM(AW34:BE34)</f>
        <v>0</v>
      </c>
      <c r="AW34" s="474" t="s">
        <v>546</v>
      </c>
      <c r="AX34" s="474" t="s">
        <v>546</v>
      </c>
      <c r="AY34" s="474" t="s">
        <v>546</v>
      </c>
      <c r="AZ34" s="474" t="s">
        <v>546</v>
      </c>
      <c r="BA34" s="474" t="s">
        <v>546</v>
      </c>
      <c r="BB34" s="474" t="s">
        <v>546</v>
      </c>
      <c r="BC34" s="474" t="s">
        <v>546</v>
      </c>
      <c r="BD34" s="474" t="s">
        <v>546</v>
      </c>
      <c r="BE34" s="474" t="s">
        <v>546</v>
      </c>
      <c r="BI34" s="382" t="s">
        <v>4907</v>
      </c>
      <c r="BJ34" s="435">
        <f t="shared" si="37"/>
        <v>226</v>
      </c>
      <c r="BK34" s="463">
        <v>105</v>
      </c>
      <c r="BL34" s="463">
        <v>121</v>
      </c>
      <c r="CD34" s="1067" t="s">
        <v>4880</v>
      </c>
      <c r="CE34" s="382">
        <f t="shared" si="38"/>
        <v>0</v>
      </c>
      <c r="CF34" s="1067">
        <v>0</v>
      </c>
      <c r="CG34" s="1067">
        <v>0</v>
      </c>
      <c r="CH34" s="432">
        <v>0</v>
      </c>
      <c r="CI34" s="463">
        <v>0</v>
      </c>
      <c r="CJ34" s="463">
        <v>0</v>
      </c>
      <c r="CK34" s="432">
        <v>0</v>
      </c>
      <c r="CL34" s="435">
        <v>0</v>
      </c>
      <c r="CM34" s="435">
        <v>0</v>
      </c>
      <c r="CO34" s="1062"/>
      <c r="CQ34" s="862"/>
    </row>
    <row r="35" spans="1:97">
      <c r="A35" s="624" t="s">
        <v>4951</v>
      </c>
      <c r="B35" s="862">
        <f t="shared" si="10"/>
        <v>4</v>
      </c>
      <c r="C35" s="862">
        <v>0</v>
      </c>
      <c r="D35" s="525">
        <v>4</v>
      </c>
      <c r="E35" s="525">
        <v>0</v>
      </c>
      <c r="F35" s="862">
        <f t="shared" si="23"/>
        <v>1</v>
      </c>
      <c r="G35" s="862">
        <v>0</v>
      </c>
      <c r="H35" s="525">
        <v>1</v>
      </c>
      <c r="I35" s="525">
        <v>0</v>
      </c>
      <c r="L35" s="624" t="s">
        <v>4952</v>
      </c>
      <c r="M35" s="862">
        <f t="shared" si="12"/>
        <v>113</v>
      </c>
      <c r="N35" s="862">
        <v>60</v>
      </c>
      <c r="O35" s="525">
        <v>39</v>
      </c>
      <c r="P35" s="525">
        <v>14</v>
      </c>
      <c r="Q35" s="862">
        <f t="shared" si="21"/>
        <v>111</v>
      </c>
      <c r="R35" s="862">
        <v>56</v>
      </c>
      <c r="S35" s="525">
        <v>41</v>
      </c>
      <c r="T35" s="525">
        <v>14</v>
      </c>
      <c r="X35" s="585" t="s">
        <v>4953</v>
      </c>
      <c r="Y35" s="525">
        <f>SUM(Y36:Y38)</f>
        <v>11147</v>
      </c>
      <c r="Z35" s="525">
        <f>SUM(Z36:Z38)</f>
        <v>11270</v>
      </c>
      <c r="AA35" s="525">
        <f>SUM(AA36:AA38)</f>
        <v>11547</v>
      </c>
      <c r="AB35" s="525">
        <f>SUM(AB36:AB38)</f>
        <v>11290</v>
      </c>
      <c r="AC35" s="525">
        <f>SUM(AC36:AC38)</f>
        <v>11250</v>
      </c>
      <c r="AD35" s="525">
        <f t="shared" ref="AD35:AE35" si="40">SUM(AD36:AD38)</f>
        <v>11136</v>
      </c>
      <c r="AE35" s="525">
        <f t="shared" si="40"/>
        <v>11109</v>
      </c>
      <c r="AJ35" s="585" t="s">
        <v>4879</v>
      </c>
      <c r="AK35" s="585">
        <v>68.099999999999994</v>
      </c>
      <c r="AL35" s="585">
        <v>67.900000000000006</v>
      </c>
      <c r="AM35" s="585">
        <v>67.3</v>
      </c>
      <c r="AN35" s="623">
        <v>66.5</v>
      </c>
      <c r="AO35" s="623">
        <v>66</v>
      </c>
      <c r="AP35" s="855">
        <v>64.599999999999994</v>
      </c>
      <c r="AQ35" s="623">
        <v>64.099999999999994</v>
      </c>
      <c r="AR35" s="623"/>
      <c r="AU35" s="382" t="s">
        <v>4867</v>
      </c>
      <c r="AV35" s="474">
        <f t="shared" si="39"/>
        <v>0</v>
      </c>
      <c r="AW35" s="474" t="s">
        <v>546</v>
      </c>
      <c r="AX35" s="474" t="s">
        <v>546</v>
      </c>
      <c r="AY35" s="474" t="s">
        <v>546</v>
      </c>
      <c r="AZ35" s="474" t="s">
        <v>546</v>
      </c>
      <c r="BA35" s="474" t="s">
        <v>546</v>
      </c>
      <c r="BB35" s="474" t="s">
        <v>546</v>
      </c>
      <c r="BC35" s="474" t="s">
        <v>546</v>
      </c>
      <c r="BD35" s="474" t="s">
        <v>546</v>
      </c>
      <c r="BE35" s="474" t="s">
        <v>546</v>
      </c>
      <c r="BF35" s="525"/>
      <c r="BG35" s="525"/>
      <c r="BI35" s="382" t="s">
        <v>4909</v>
      </c>
      <c r="BJ35" s="435">
        <f t="shared" si="37"/>
        <v>261</v>
      </c>
      <c r="BK35" s="463">
        <v>117</v>
      </c>
      <c r="BL35" s="463">
        <v>144</v>
      </c>
      <c r="CB35" s="884"/>
      <c r="CD35" s="1067" t="s">
        <v>4892</v>
      </c>
      <c r="CE35" s="382">
        <f t="shared" si="38"/>
        <v>0</v>
      </c>
      <c r="CF35" s="1067">
        <v>0</v>
      </c>
      <c r="CG35" s="1067">
        <v>0</v>
      </c>
      <c r="CH35" s="432">
        <v>0</v>
      </c>
      <c r="CI35" s="463">
        <v>0</v>
      </c>
      <c r="CJ35" s="463">
        <v>0</v>
      </c>
      <c r="CK35" s="432">
        <v>0</v>
      </c>
      <c r="CL35" s="435">
        <v>0</v>
      </c>
      <c r="CM35" s="435">
        <v>0</v>
      </c>
      <c r="CO35" s="1062"/>
      <c r="CQ35" s="862"/>
    </row>
    <row r="36" spans="1:97">
      <c r="A36" s="624" t="s">
        <v>4950</v>
      </c>
      <c r="B36" s="862">
        <f>SUM(C36:E36)</f>
        <v>251</v>
      </c>
      <c r="C36" s="862">
        <v>48</v>
      </c>
      <c r="D36" s="525">
        <v>191</v>
      </c>
      <c r="E36" s="525">
        <v>12</v>
      </c>
      <c r="F36" s="862">
        <f t="shared" si="23"/>
        <v>238</v>
      </c>
      <c r="G36" s="862">
        <v>82</v>
      </c>
      <c r="H36" s="525">
        <v>137</v>
      </c>
      <c r="I36" s="525">
        <v>19</v>
      </c>
      <c r="L36" s="624" t="s">
        <v>4955</v>
      </c>
      <c r="M36" s="862">
        <f t="shared" si="12"/>
        <v>24</v>
      </c>
      <c r="N36" s="862">
        <v>12</v>
      </c>
      <c r="O36" s="525">
        <v>9</v>
      </c>
      <c r="P36" s="525">
        <v>3</v>
      </c>
      <c r="Q36" s="862">
        <f t="shared" si="21"/>
        <v>24</v>
      </c>
      <c r="R36" s="862">
        <v>11</v>
      </c>
      <c r="S36" s="525">
        <v>9</v>
      </c>
      <c r="T36" s="525">
        <v>4</v>
      </c>
      <c r="X36" s="585" t="s">
        <v>4956</v>
      </c>
      <c r="Y36" s="525">
        <v>813</v>
      </c>
      <c r="Z36" s="525">
        <v>933</v>
      </c>
      <c r="AA36" s="525">
        <v>1070</v>
      </c>
      <c r="AB36" s="525">
        <v>1226</v>
      </c>
      <c r="AC36" s="525">
        <v>1420</v>
      </c>
      <c r="AD36" s="525">
        <v>1636</v>
      </c>
      <c r="AE36" s="525">
        <v>1870</v>
      </c>
      <c r="AH36" s="525"/>
      <c r="AJ36" s="585" t="s">
        <v>4891</v>
      </c>
      <c r="AK36" s="1004">
        <v>27391</v>
      </c>
      <c r="AL36" s="1004">
        <v>24412</v>
      </c>
      <c r="AM36" s="1004">
        <v>23847</v>
      </c>
      <c r="AN36" s="1004">
        <v>21615</v>
      </c>
      <c r="AO36" s="1004">
        <v>24467</v>
      </c>
      <c r="AP36" s="1004">
        <v>19015</v>
      </c>
      <c r="AQ36" s="1004">
        <v>17499</v>
      </c>
      <c r="AR36" s="1004"/>
      <c r="AS36" s="525"/>
      <c r="AU36" s="382" t="s">
        <v>4880</v>
      </c>
      <c r="AV36" s="474">
        <f t="shared" si="39"/>
        <v>0</v>
      </c>
      <c r="AW36" s="474" t="s">
        <v>546</v>
      </c>
      <c r="AX36" s="474" t="s">
        <v>546</v>
      </c>
      <c r="AY36" s="474" t="s">
        <v>546</v>
      </c>
      <c r="AZ36" s="474" t="s">
        <v>546</v>
      </c>
      <c r="BA36" s="474" t="s">
        <v>546</v>
      </c>
      <c r="BB36" s="474" t="s">
        <v>546</v>
      </c>
      <c r="BC36" s="474" t="s">
        <v>546</v>
      </c>
      <c r="BD36" s="474" t="s">
        <v>546</v>
      </c>
      <c r="BE36" s="474" t="s">
        <v>546</v>
      </c>
      <c r="BI36" s="382" t="s">
        <v>4911</v>
      </c>
      <c r="BJ36" s="435">
        <f t="shared" si="37"/>
        <v>180</v>
      </c>
      <c r="BK36" s="463">
        <v>80</v>
      </c>
      <c r="BL36" s="463">
        <v>100</v>
      </c>
      <c r="BP36" s="382" t="s">
        <v>4962</v>
      </c>
      <c r="BQ36" s="382"/>
      <c r="BR36" s="382"/>
      <c r="BS36" s="382"/>
      <c r="BT36" s="382"/>
      <c r="BU36" s="382"/>
      <c r="BV36" s="382"/>
      <c r="BW36" s="382"/>
      <c r="BX36" s="382"/>
      <c r="BY36" s="382"/>
      <c r="BZ36" s="382"/>
      <c r="CD36" s="1067" t="s">
        <v>4898</v>
      </c>
      <c r="CE36" s="382">
        <f t="shared" si="38"/>
        <v>0</v>
      </c>
      <c r="CF36" s="1067">
        <v>0</v>
      </c>
      <c r="CG36" s="1067">
        <v>0</v>
      </c>
      <c r="CH36" s="432">
        <v>0</v>
      </c>
      <c r="CI36" s="463">
        <v>0</v>
      </c>
      <c r="CJ36" s="463">
        <v>0</v>
      </c>
      <c r="CK36" s="432">
        <v>0</v>
      </c>
      <c r="CL36" s="435">
        <v>0</v>
      </c>
      <c r="CM36" s="435">
        <v>0</v>
      </c>
      <c r="CO36" s="1062"/>
      <c r="CQ36" s="862"/>
    </row>
    <row r="37" spans="1:97">
      <c r="A37" s="624" t="s">
        <v>4952</v>
      </c>
      <c r="B37" s="862">
        <f>SUM(C37:E37)</f>
        <v>126</v>
      </c>
      <c r="C37" s="862">
        <v>32</v>
      </c>
      <c r="D37" s="525">
        <v>82</v>
      </c>
      <c r="E37" s="525">
        <v>12</v>
      </c>
      <c r="F37" s="862">
        <f t="shared" si="23"/>
        <v>123</v>
      </c>
      <c r="G37" s="862">
        <v>76</v>
      </c>
      <c r="H37" s="525">
        <v>35</v>
      </c>
      <c r="I37" s="525">
        <v>12</v>
      </c>
      <c r="L37" s="624" t="s">
        <v>4957</v>
      </c>
      <c r="M37" s="862">
        <f t="shared" si="12"/>
        <v>63</v>
      </c>
      <c r="N37" s="862">
        <v>43</v>
      </c>
      <c r="O37" s="525">
        <v>15</v>
      </c>
      <c r="P37" s="525">
        <v>5</v>
      </c>
      <c r="Q37" s="862">
        <f t="shared" si="21"/>
        <v>66</v>
      </c>
      <c r="R37" s="862">
        <v>47</v>
      </c>
      <c r="S37" s="525">
        <v>15</v>
      </c>
      <c r="T37" s="525">
        <v>4</v>
      </c>
      <c r="X37" s="585" t="s">
        <v>4958</v>
      </c>
      <c r="Y37" s="525">
        <v>4538</v>
      </c>
      <c r="Z37" s="525">
        <v>2640</v>
      </c>
      <c r="AA37" s="525">
        <v>2906</v>
      </c>
      <c r="AB37" s="525">
        <v>2994</v>
      </c>
      <c r="AC37" s="525">
        <v>3020</v>
      </c>
      <c r="AD37" s="525">
        <v>3214</v>
      </c>
      <c r="AE37" s="525">
        <v>3318</v>
      </c>
      <c r="AH37" s="525"/>
      <c r="AP37" s="525"/>
      <c r="AS37" s="623"/>
      <c r="AU37" s="382" t="s">
        <v>4892</v>
      </c>
      <c r="AV37" s="474">
        <f t="shared" si="39"/>
        <v>0</v>
      </c>
      <c r="AW37" s="474" t="s">
        <v>546</v>
      </c>
      <c r="AX37" s="474" t="s">
        <v>546</v>
      </c>
      <c r="AY37" s="474" t="s">
        <v>546</v>
      </c>
      <c r="AZ37" s="474" t="s">
        <v>546</v>
      </c>
      <c r="BA37" s="474" t="s">
        <v>546</v>
      </c>
      <c r="BB37" s="474" t="s">
        <v>546</v>
      </c>
      <c r="BC37" s="474" t="s">
        <v>546</v>
      </c>
      <c r="BD37" s="474" t="s">
        <v>546</v>
      </c>
      <c r="BE37" s="474" t="s">
        <v>546</v>
      </c>
      <c r="BI37" s="382" t="s">
        <v>4914</v>
      </c>
      <c r="BJ37" s="435">
        <f t="shared" si="37"/>
        <v>72</v>
      </c>
      <c r="BK37" s="463">
        <v>31</v>
      </c>
      <c r="BL37" s="463">
        <v>41</v>
      </c>
      <c r="BP37" s="597"/>
      <c r="BQ37" s="404"/>
      <c r="BR37" s="2098" t="s">
        <v>4863</v>
      </c>
      <c r="BS37" s="2098"/>
      <c r="BT37" s="2098"/>
      <c r="BU37" s="2098"/>
      <c r="BV37" s="2098"/>
      <c r="BW37" s="2098"/>
      <c r="BX37" s="2098"/>
      <c r="BY37" s="2098"/>
      <c r="BZ37" s="2078"/>
      <c r="CD37" s="1067" t="s">
        <v>4904</v>
      </c>
      <c r="CE37" s="382">
        <f>SUM(CF37:CG37)</f>
        <v>0</v>
      </c>
      <c r="CF37" s="1067">
        <v>0</v>
      </c>
      <c r="CG37" s="1067">
        <v>0</v>
      </c>
      <c r="CH37" s="465">
        <f t="shared" ref="CH37:CH42" si="41">SUM(CI37:CJ37)</f>
        <v>4</v>
      </c>
      <c r="CI37" s="1014">
        <v>4</v>
      </c>
      <c r="CJ37" s="1014">
        <v>0</v>
      </c>
      <c r="CK37" s="465">
        <f t="shared" ref="CK37:CK42" si="42">SUM(CL37:CM37)</f>
        <v>2</v>
      </c>
      <c r="CL37" s="1014">
        <v>2</v>
      </c>
      <c r="CM37" s="1014">
        <v>0</v>
      </c>
      <c r="CO37" s="1062"/>
      <c r="CP37" s="525"/>
      <c r="CQ37" s="862"/>
      <c r="CR37" s="862"/>
      <c r="CS37" s="862"/>
    </row>
    <row r="38" spans="1:97">
      <c r="A38" s="624" t="s">
        <v>4955</v>
      </c>
      <c r="B38" s="862">
        <f t="shared" si="10"/>
        <v>23</v>
      </c>
      <c r="C38" s="862">
        <v>10</v>
      </c>
      <c r="D38" s="525">
        <v>10</v>
      </c>
      <c r="E38" s="525">
        <v>3</v>
      </c>
      <c r="F38" s="862">
        <f t="shared" si="23"/>
        <v>21</v>
      </c>
      <c r="G38" s="862">
        <v>11</v>
      </c>
      <c r="H38" s="525">
        <v>7</v>
      </c>
      <c r="I38" s="525">
        <v>3</v>
      </c>
      <c r="L38" s="624" t="s">
        <v>1934</v>
      </c>
      <c r="M38" s="862">
        <f t="shared" si="12"/>
        <v>1173</v>
      </c>
      <c r="N38" s="862">
        <v>929</v>
      </c>
      <c r="O38" s="525">
        <v>207</v>
      </c>
      <c r="P38" s="525">
        <v>37</v>
      </c>
      <c r="Q38" s="862">
        <f t="shared" si="21"/>
        <v>1150</v>
      </c>
      <c r="R38" s="862">
        <v>875</v>
      </c>
      <c r="S38" s="525">
        <v>222</v>
      </c>
      <c r="T38" s="525">
        <v>53</v>
      </c>
      <c r="X38" s="585" t="s">
        <v>4959</v>
      </c>
      <c r="Y38" s="525">
        <v>5796</v>
      </c>
      <c r="Z38" s="525">
        <v>7697</v>
      </c>
      <c r="AA38" s="525">
        <v>7571</v>
      </c>
      <c r="AB38" s="525">
        <v>7070</v>
      </c>
      <c r="AC38" s="525">
        <v>6810</v>
      </c>
      <c r="AD38" s="525">
        <v>6286</v>
      </c>
      <c r="AE38" s="525">
        <v>5921</v>
      </c>
      <c r="AJ38" s="585" t="s">
        <v>4903</v>
      </c>
      <c r="AK38" s="585">
        <v>7</v>
      </c>
      <c r="AL38" s="585">
        <v>8</v>
      </c>
      <c r="AM38" s="585">
        <v>6</v>
      </c>
      <c r="AN38" s="585">
        <v>8</v>
      </c>
      <c r="AO38" s="585">
        <v>1</v>
      </c>
      <c r="AP38" s="525">
        <v>1</v>
      </c>
      <c r="AQ38" s="599" t="s">
        <v>2825</v>
      </c>
      <c r="AS38" s="1004"/>
      <c r="AU38" s="382" t="s">
        <v>4898</v>
      </c>
      <c r="AV38" s="474">
        <f t="shared" si="39"/>
        <v>0</v>
      </c>
      <c r="AW38" s="474" t="s">
        <v>546</v>
      </c>
      <c r="AX38" s="474" t="s">
        <v>546</v>
      </c>
      <c r="AY38" s="474" t="s">
        <v>546</v>
      </c>
      <c r="AZ38" s="474" t="s">
        <v>546</v>
      </c>
      <c r="BA38" s="474" t="s">
        <v>546</v>
      </c>
      <c r="BB38" s="474" t="s">
        <v>546</v>
      </c>
      <c r="BC38" s="474" t="s">
        <v>546</v>
      </c>
      <c r="BD38" s="474" t="s">
        <v>546</v>
      </c>
      <c r="BE38" s="474" t="s">
        <v>546</v>
      </c>
      <c r="BI38" s="382" t="s">
        <v>4916</v>
      </c>
      <c r="BJ38" s="435">
        <f t="shared" si="37"/>
        <v>42</v>
      </c>
      <c r="BK38" s="463">
        <v>12</v>
      </c>
      <c r="BL38" s="463">
        <v>30</v>
      </c>
      <c r="BP38" s="493"/>
      <c r="BQ38" s="667" t="s">
        <v>129</v>
      </c>
      <c r="BR38" s="667" t="s">
        <v>4868</v>
      </c>
      <c r="BS38" s="667" t="s">
        <v>4869</v>
      </c>
      <c r="BT38" s="667" t="s">
        <v>4870</v>
      </c>
      <c r="BU38" s="667" t="s">
        <v>4871</v>
      </c>
      <c r="BV38" s="667" t="s">
        <v>4872</v>
      </c>
      <c r="BW38" s="667" t="s">
        <v>4873</v>
      </c>
      <c r="BX38" s="667" t="s">
        <v>4874</v>
      </c>
      <c r="BY38" s="667" t="s">
        <v>4875</v>
      </c>
      <c r="BZ38" s="465" t="s">
        <v>4876</v>
      </c>
      <c r="CD38" s="1067" t="s">
        <v>4907</v>
      </c>
      <c r="CE38" s="382">
        <f t="shared" si="38"/>
        <v>8</v>
      </c>
      <c r="CF38" s="1067">
        <v>4</v>
      </c>
      <c r="CG38" s="1067">
        <v>4</v>
      </c>
      <c r="CH38" s="465">
        <f t="shared" si="41"/>
        <v>8</v>
      </c>
      <c r="CI38" s="1014">
        <v>4</v>
      </c>
      <c r="CJ38" s="1014">
        <v>4</v>
      </c>
      <c r="CK38" s="465">
        <f t="shared" si="42"/>
        <v>8</v>
      </c>
      <c r="CL38" s="1014">
        <v>4</v>
      </c>
      <c r="CM38" s="1014">
        <v>4</v>
      </c>
      <c r="CP38" s="525"/>
      <c r="CQ38" s="862"/>
      <c r="CR38" s="862"/>
      <c r="CS38" s="862"/>
    </row>
    <row r="39" spans="1:97">
      <c r="A39" s="624" t="s">
        <v>4957</v>
      </c>
      <c r="B39" s="862">
        <f t="shared" si="10"/>
        <v>42</v>
      </c>
      <c r="C39" s="862">
        <v>16</v>
      </c>
      <c r="D39" s="525">
        <v>23</v>
      </c>
      <c r="E39" s="525">
        <v>3</v>
      </c>
      <c r="F39" s="862">
        <f t="shared" si="23"/>
        <v>46</v>
      </c>
      <c r="G39" s="862">
        <v>30</v>
      </c>
      <c r="H39" s="525">
        <v>13</v>
      </c>
      <c r="I39" s="525">
        <v>3</v>
      </c>
      <c r="L39" s="624" t="s">
        <v>4960</v>
      </c>
      <c r="M39" s="862">
        <f t="shared" si="12"/>
        <v>320</v>
      </c>
      <c r="N39" s="862">
        <v>160</v>
      </c>
      <c r="O39" s="525">
        <v>116</v>
      </c>
      <c r="P39" s="525">
        <v>44</v>
      </c>
      <c r="Q39" s="862">
        <f t="shared" si="21"/>
        <v>334</v>
      </c>
      <c r="R39" s="862">
        <v>168</v>
      </c>
      <c r="S39" s="525">
        <v>123</v>
      </c>
      <c r="T39" s="525">
        <v>43</v>
      </c>
      <c r="AD39" s="525"/>
      <c r="AE39" s="525"/>
      <c r="AJ39" s="585" t="s">
        <v>4879</v>
      </c>
      <c r="AK39" s="585">
        <v>58.6</v>
      </c>
      <c r="AL39" s="585">
        <v>55.5</v>
      </c>
      <c r="AM39" s="585">
        <v>57.8</v>
      </c>
      <c r="AN39" s="585">
        <v>55.9</v>
      </c>
      <c r="AO39" s="585">
        <v>55.4</v>
      </c>
      <c r="AP39" s="855">
        <v>54.4</v>
      </c>
      <c r="AQ39" s="743" t="s">
        <v>2825</v>
      </c>
      <c r="AR39" s="623"/>
      <c r="AU39" s="382" t="s">
        <v>4904</v>
      </c>
      <c r="AV39" s="474">
        <f t="shared" si="39"/>
        <v>6</v>
      </c>
      <c r="AW39" s="474" t="s">
        <v>546</v>
      </c>
      <c r="AX39" s="474" t="s">
        <v>546</v>
      </c>
      <c r="AY39" s="474" t="s">
        <v>546</v>
      </c>
      <c r="AZ39" s="474" t="s">
        <v>546</v>
      </c>
      <c r="BA39" s="474" t="s">
        <v>546</v>
      </c>
      <c r="BB39" s="525">
        <v>5</v>
      </c>
      <c r="BC39" s="474">
        <v>1</v>
      </c>
      <c r="BD39" s="474" t="s">
        <v>546</v>
      </c>
      <c r="BE39" s="474" t="s">
        <v>546</v>
      </c>
      <c r="BI39" s="382"/>
      <c r="BJ39" s="463"/>
      <c r="BK39" s="463"/>
      <c r="BL39" s="463"/>
      <c r="BP39" s="610" t="s">
        <v>2449</v>
      </c>
      <c r="BQ39" s="441" t="s">
        <v>4832</v>
      </c>
      <c r="BR39" s="441" t="s">
        <v>4881</v>
      </c>
      <c r="BS39" s="441" t="s">
        <v>4882</v>
      </c>
      <c r="BT39" s="441" t="s">
        <v>4883</v>
      </c>
      <c r="BU39" s="441" t="s">
        <v>4884</v>
      </c>
      <c r="BV39" s="441" t="s">
        <v>4885</v>
      </c>
      <c r="BW39" s="441" t="s">
        <v>4886</v>
      </c>
      <c r="BX39" s="441" t="s">
        <v>4887</v>
      </c>
      <c r="BY39" s="441" t="s">
        <v>4876</v>
      </c>
      <c r="BZ39" s="442" t="s">
        <v>4888</v>
      </c>
      <c r="CD39" s="1067" t="s">
        <v>4909</v>
      </c>
      <c r="CE39" s="382">
        <f t="shared" si="38"/>
        <v>18</v>
      </c>
      <c r="CF39" s="1067">
        <v>12</v>
      </c>
      <c r="CG39" s="1067">
        <v>6</v>
      </c>
      <c r="CH39" s="465">
        <f t="shared" si="41"/>
        <v>16</v>
      </c>
      <c r="CI39" s="1014">
        <v>11</v>
      </c>
      <c r="CJ39" s="1014">
        <v>5</v>
      </c>
      <c r="CK39" s="465">
        <f t="shared" si="42"/>
        <v>19</v>
      </c>
      <c r="CL39" s="1014">
        <v>14</v>
      </c>
      <c r="CM39" s="1014">
        <v>5</v>
      </c>
      <c r="CQ39" s="862"/>
    </row>
    <row r="40" spans="1:97">
      <c r="A40" s="624" t="s">
        <v>1934</v>
      </c>
      <c r="B40" s="862">
        <f t="shared" si="10"/>
        <v>1213</v>
      </c>
      <c r="C40" s="862">
        <v>767</v>
      </c>
      <c r="D40" s="525">
        <v>423</v>
      </c>
      <c r="E40" s="525">
        <v>23</v>
      </c>
      <c r="F40" s="862">
        <f t="shared" si="23"/>
        <v>1199</v>
      </c>
      <c r="G40" s="862">
        <v>982</v>
      </c>
      <c r="H40" s="525">
        <v>190</v>
      </c>
      <c r="I40" s="525">
        <v>27</v>
      </c>
      <c r="L40" s="624" t="s">
        <v>4626</v>
      </c>
      <c r="M40" s="862">
        <f t="shared" si="12"/>
        <v>424</v>
      </c>
      <c r="N40" s="862">
        <v>191</v>
      </c>
      <c r="O40" s="525">
        <v>175</v>
      </c>
      <c r="P40" s="525">
        <v>58</v>
      </c>
      <c r="Q40" s="862">
        <f t="shared" si="21"/>
        <v>418</v>
      </c>
      <c r="R40" s="862">
        <v>167</v>
      </c>
      <c r="S40" s="525">
        <v>178</v>
      </c>
      <c r="T40" s="525">
        <v>73</v>
      </c>
      <c r="X40" s="585" t="s">
        <v>4961</v>
      </c>
      <c r="Y40" s="525">
        <f t="shared" ref="Y40:AE40" si="43">SUM(Y41:Y43)</f>
        <v>7614</v>
      </c>
      <c r="Z40" s="525">
        <f t="shared" si="43"/>
        <v>7597</v>
      </c>
      <c r="AA40" s="525">
        <f t="shared" si="43"/>
        <v>7656</v>
      </c>
      <c r="AB40" s="525">
        <f t="shared" si="43"/>
        <v>7474</v>
      </c>
      <c r="AC40" s="525">
        <f t="shared" si="43"/>
        <v>7359</v>
      </c>
      <c r="AD40" s="525">
        <f t="shared" si="43"/>
        <v>7327</v>
      </c>
      <c r="AE40" s="525">
        <f t="shared" si="43"/>
        <v>7237</v>
      </c>
      <c r="AH40" s="599"/>
      <c r="AJ40" s="585" t="s">
        <v>4891</v>
      </c>
      <c r="AK40" s="439" t="s">
        <v>4391</v>
      </c>
      <c r="AL40" s="439" t="s">
        <v>4391</v>
      </c>
      <c r="AM40" s="439" t="s">
        <v>4391</v>
      </c>
      <c r="AN40" s="1076" t="s">
        <v>4391</v>
      </c>
      <c r="AO40" s="1076" t="s">
        <v>4391</v>
      </c>
      <c r="AP40" s="1077" t="s">
        <v>4391</v>
      </c>
      <c r="AQ40" s="1077" t="s">
        <v>2825</v>
      </c>
      <c r="AR40" s="1004"/>
      <c r="AS40" s="525"/>
      <c r="AU40" s="382" t="s">
        <v>4907</v>
      </c>
      <c r="AV40" s="474">
        <f t="shared" si="39"/>
        <v>35</v>
      </c>
      <c r="AW40" s="474" t="s">
        <v>546</v>
      </c>
      <c r="AX40" s="474" t="s">
        <v>546</v>
      </c>
      <c r="AY40" s="474" t="s">
        <v>546</v>
      </c>
      <c r="AZ40" s="474" t="s">
        <v>546</v>
      </c>
      <c r="BA40" s="525">
        <v>3</v>
      </c>
      <c r="BB40" s="525">
        <v>14</v>
      </c>
      <c r="BC40" s="525">
        <v>16</v>
      </c>
      <c r="BD40" s="525">
        <v>2</v>
      </c>
      <c r="BE40" s="474" t="s">
        <v>546</v>
      </c>
      <c r="BI40" s="382" t="s">
        <v>4969</v>
      </c>
      <c r="BJ40" s="463">
        <f>SUM(BK40:BL40)</f>
        <v>711</v>
      </c>
      <c r="BK40" s="463">
        <f>SUM(BK41:BK52)</f>
        <v>275</v>
      </c>
      <c r="BL40" s="463">
        <f>SUM(BL41:BL52)</f>
        <v>436</v>
      </c>
      <c r="BP40" s="1066" t="s">
        <v>4894</v>
      </c>
      <c r="BQ40" s="463">
        <f>SUM(BQ41:BQ52)</f>
        <v>5353</v>
      </c>
      <c r="BR40" s="463">
        <f>SUM(BR41:BR52)</f>
        <v>12</v>
      </c>
      <c r="BS40" s="463">
        <f>SUM(BS41:BS52)</f>
        <v>54</v>
      </c>
      <c r="BT40" s="463">
        <f t="shared" ref="BT40:BV40" si="44">SUM(BT41:BT52)</f>
        <v>230</v>
      </c>
      <c r="BU40" s="463">
        <f t="shared" si="44"/>
        <v>359</v>
      </c>
      <c r="BV40" s="463">
        <f t="shared" si="44"/>
        <v>546</v>
      </c>
      <c r="BW40" s="463">
        <f>SUM(BW41:BW52)</f>
        <v>680</v>
      </c>
      <c r="BX40" s="463">
        <f t="shared" ref="BX40:BZ40" si="45">SUM(BX41:BX52)</f>
        <v>1287</v>
      </c>
      <c r="BY40" s="463">
        <f t="shared" si="45"/>
        <v>933</v>
      </c>
      <c r="BZ40" s="463">
        <f t="shared" si="45"/>
        <v>1252</v>
      </c>
      <c r="CD40" s="1067" t="s">
        <v>4911</v>
      </c>
      <c r="CE40" s="382">
        <f t="shared" si="38"/>
        <v>18</v>
      </c>
      <c r="CF40" s="1067">
        <v>10</v>
      </c>
      <c r="CG40" s="1067">
        <v>8</v>
      </c>
      <c r="CH40" s="465">
        <f t="shared" si="41"/>
        <v>19</v>
      </c>
      <c r="CI40" s="1014">
        <v>12</v>
      </c>
      <c r="CJ40" s="1014">
        <v>7</v>
      </c>
      <c r="CK40" s="465">
        <f t="shared" si="42"/>
        <v>19</v>
      </c>
      <c r="CL40" s="1014">
        <v>9</v>
      </c>
      <c r="CM40" s="1014">
        <v>10</v>
      </c>
      <c r="CQ40" s="862"/>
    </row>
    <row r="41" spans="1:97" ht="14.25">
      <c r="A41" s="624" t="s">
        <v>4960</v>
      </c>
      <c r="B41" s="862">
        <f t="shared" si="10"/>
        <v>352</v>
      </c>
      <c r="C41" s="862">
        <v>71</v>
      </c>
      <c r="D41" s="525">
        <v>244</v>
      </c>
      <c r="E41" s="525">
        <v>37</v>
      </c>
      <c r="F41" s="862">
        <f t="shared" si="23"/>
        <v>336</v>
      </c>
      <c r="G41" s="862">
        <v>180</v>
      </c>
      <c r="H41" s="525">
        <v>117</v>
      </c>
      <c r="I41" s="525">
        <v>39</v>
      </c>
      <c r="L41" s="624" t="s">
        <v>4963</v>
      </c>
      <c r="M41" s="862">
        <f t="shared" si="12"/>
        <v>59</v>
      </c>
      <c r="N41" s="862">
        <v>41</v>
      </c>
      <c r="O41" s="525">
        <v>17</v>
      </c>
      <c r="P41" s="525">
        <v>1</v>
      </c>
      <c r="Q41" s="862">
        <f t="shared" si="21"/>
        <v>41</v>
      </c>
      <c r="R41" s="862">
        <v>23</v>
      </c>
      <c r="S41" s="525">
        <v>17</v>
      </c>
      <c r="T41" s="525">
        <v>1</v>
      </c>
      <c r="X41" s="382" t="s">
        <v>4964</v>
      </c>
      <c r="Y41" s="525">
        <v>7125</v>
      </c>
      <c r="Z41" s="525">
        <v>7201</v>
      </c>
      <c r="AA41" s="525">
        <v>7283</v>
      </c>
      <c r="AB41" s="525">
        <v>7169</v>
      </c>
      <c r="AC41" s="525">
        <v>7162</v>
      </c>
      <c r="AD41" s="525">
        <v>7138</v>
      </c>
      <c r="AE41" s="525">
        <v>7095</v>
      </c>
      <c r="AH41" s="599"/>
      <c r="AP41" s="525"/>
      <c r="AS41" s="623"/>
      <c r="AU41" s="382" t="s">
        <v>4909</v>
      </c>
      <c r="AV41" s="474">
        <f t="shared" si="39"/>
        <v>36</v>
      </c>
      <c r="AW41" s="474" t="s">
        <v>546</v>
      </c>
      <c r="AX41" s="474">
        <v>1</v>
      </c>
      <c r="AY41" s="474">
        <v>1</v>
      </c>
      <c r="AZ41" s="474" t="s">
        <v>546</v>
      </c>
      <c r="BA41" s="525">
        <v>1</v>
      </c>
      <c r="BB41" s="525">
        <v>4</v>
      </c>
      <c r="BC41" s="525">
        <v>18</v>
      </c>
      <c r="BD41" s="525">
        <v>10</v>
      </c>
      <c r="BE41" s="474">
        <v>1</v>
      </c>
      <c r="BI41" s="382" t="s">
        <v>4855</v>
      </c>
      <c r="BJ41" s="474" t="s">
        <v>546</v>
      </c>
      <c r="BK41" s="474" t="s">
        <v>546</v>
      </c>
      <c r="BL41" s="474" t="s">
        <v>546</v>
      </c>
      <c r="BP41" s="382" t="s">
        <v>4899</v>
      </c>
      <c r="BQ41" s="435" t="s">
        <v>546</v>
      </c>
      <c r="BR41" s="435" t="s">
        <v>546</v>
      </c>
      <c r="BS41" s="435" t="s">
        <v>546</v>
      </c>
      <c r="BT41" s="435" t="s">
        <v>546</v>
      </c>
      <c r="BU41" s="435" t="s">
        <v>546</v>
      </c>
      <c r="BV41" s="435" t="s">
        <v>546</v>
      </c>
      <c r="BW41" s="435" t="s">
        <v>546</v>
      </c>
      <c r="BX41" s="435" t="s">
        <v>546</v>
      </c>
      <c r="BY41" s="435" t="s">
        <v>546</v>
      </c>
      <c r="BZ41" s="435" t="s">
        <v>546</v>
      </c>
      <c r="CD41" s="1067" t="s">
        <v>4914</v>
      </c>
      <c r="CE41" s="382">
        <f t="shared" si="38"/>
        <v>24</v>
      </c>
      <c r="CF41" s="1067">
        <v>16</v>
      </c>
      <c r="CG41" s="1067">
        <v>8</v>
      </c>
      <c r="CH41" s="465">
        <f t="shared" si="41"/>
        <v>31</v>
      </c>
      <c r="CI41" s="1014">
        <v>19</v>
      </c>
      <c r="CJ41" s="1014">
        <v>12</v>
      </c>
      <c r="CK41" s="465">
        <f t="shared" si="42"/>
        <v>36</v>
      </c>
      <c r="CL41" s="1014">
        <v>23</v>
      </c>
      <c r="CM41" s="1014">
        <v>13</v>
      </c>
      <c r="CQ41" s="862"/>
    </row>
    <row r="42" spans="1:97">
      <c r="A42" s="624" t="s">
        <v>4626</v>
      </c>
      <c r="B42" s="862">
        <f t="shared" si="10"/>
        <v>441</v>
      </c>
      <c r="C42" s="862">
        <v>165</v>
      </c>
      <c r="D42" s="525">
        <v>230</v>
      </c>
      <c r="E42" s="525">
        <v>46</v>
      </c>
      <c r="F42" s="862">
        <f t="shared" si="23"/>
        <v>411</v>
      </c>
      <c r="G42" s="862">
        <v>199</v>
      </c>
      <c r="H42" s="525">
        <v>159</v>
      </c>
      <c r="I42" s="525">
        <v>53</v>
      </c>
      <c r="L42" s="624" t="s">
        <v>4674</v>
      </c>
      <c r="M42" s="862">
        <f t="shared" si="12"/>
        <v>370</v>
      </c>
      <c r="N42" s="862">
        <v>257</v>
      </c>
      <c r="O42" s="525">
        <v>98</v>
      </c>
      <c r="P42" s="525">
        <v>15</v>
      </c>
      <c r="Q42" s="862">
        <f t="shared" si="21"/>
        <v>370</v>
      </c>
      <c r="R42" s="862">
        <v>253</v>
      </c>
      <c r="S42" s="525">
        <v>100</v>
      </c>
      <c r="T42" s="525">
        <v>17</v>
      </c>
      <c r="X42" s="382" t="s">
        <v>4965</v>
      </c>
      <c r="Y42" s="525">
        <v>364</v>
      </c>
      <c r="Z42" s="525">
        <v>292</v>
      </c>
      <c r="AA42" s="525">
        <v>249</v>
      </c>
      <c r="AB42" s="525">
        <v>195</v>
      </c>
      <c r="AC42" s="525">
        <v>120</v>
      </c>
      <c r="AD42" s="525">
        <v>66</v>
      </c>
      <c r="AE42" s="862">
        <v>26</v>
      </c>
      <c r="AJ42" s="585" t="s">
        <v>4913</v>
      </c>
      <c r="AK42" s="585">
        <v>49</v>
      </c>
      <c r="AL42" s="585">
        <v>43</v>
      </c>
      <c r="AM42" s="585">
        <v>31</v>
      </c>
      <c r="AN42" s="525">
        <v>26</v>
      </c>
      <c r="AO42" s="525">
        <v>16</v>
      </c>
      <c r="AP42" s="525">
        <v>11</v>
      </c>
      <c r="AQ42" s="599" t="s">
        <v>2825</v>
      </c>
      <c r="AR42" s="525"/>
      <c r="AS42" s="1004"/>
      <c r="AU42" s="382" t="s">
        <v>4911</v>
      </c>
      <c r="AV42" s="474">
        <f t="shared" si="39"/>
        <v>19</v>
      </c>
      <c r="AW42" s="474" t="s">
        <v>546</v>
      </c>
      <c r="AX42" s="474" t="s">
        <v>546</v>
      </c>
      <c r="AY42" s="474">
        <v>1</v>
      </c>
      <c r="AZ42" s="474" t="s">
        <v>546</v>
      </c>
      <c r="BA42" s="474" t="s">
        <v>546</v>
      </c>
      <c r="BB42" s="474">
        <v>1</v>
      </c>
      <c r="BC42" s="474">
        <v>7</v>
      </c>
      <c r="BD42" s="525">
        <v>9</v>
      </c>
      <c r="BE42" s="474">
        <v>1</v>
      </c>
      <c r="BI42" s="382" t="s">
        <v>4861</v>
      </c>
      <c r="BJ42" s="474" t="s">
        <v>546</v>
      </c>
      <c r="BK42" s="474" t="s">
        <v>546</v>
      </c>
      <c r="BL42" s="474" t="s">
        <v>546</v>
      </c>
      <c r="BP42" s="382" t="s">
        <v>4898</v>
      </c>
      <c r="BQ42" s="435" t="s">
        <v>546</v>
      </c>
      <c r="BR42" s="435" t="s">
        <v>546</v>
      </c>
      <c r="BS42" s="435" t="s">
        <v>546</v>
      </c>
      <c r="BT42" s="435" t="s">
        <v>546</v>
      </c>
      <c r="BU42" s="435" t="s">
        <v>546</v>
      </c>
      <c r="BV42" s="435" t="s">
        <v>546</v>
      </c>
      <c r="BW42" s="435" t="s">
        <v>546</v>
      </c>
      <c r="BX42" s="435" t="s">
        <v>546</v>
      </c>
      <c r="BY42" s="435" t="s">
        <v>546</v>
      </c>
      <c r="BZ42" s="435" t="s">
        <v>546</v>
      </c>
      <c r="CD42" s="1067" t="s">
        <v>4916</v>
      </c>
      <c r="CE42" s="382">
        <f>SUM(CF42:CG42)</f>
        <v>81</v>
      </c>
      <c r="CF42" s="1067">
        <v>31</v>
      </c>
      <c r="CG42" s="1067">
        <v>50</v>
      </c>
      <c r="CH42" s="465">
        <f t="shared" si="41"/>
        <v>86</v>
      </c>
      <c r="CI42" s="1014">
        <v>34</v>
      </c>
      <c r="CJ42" s="1014">
        <v>52</v>
      </c>
      <c r="CK42" s="465">
        <f t="shared" si="42"/>
        <v>92</v>
      </c>
      <c r="CL42" s="1014">
        <v>37</v>
      </c>
      <c r="CM42" s="1014">
        <v>55</v>
      </c>
      <c r="CO42" s="1062"/>
      <c r="CQ42" s="862"/>
    </row>
    <row r="43" spans="1:97">
      <c r="A43" s="624" t="s">
        <v>4963</v>
      </c>
      <c r="B43" s="862">
        <f t="shared" si="10"/>
        <v>70</v>
      </c>
      <c r="C43" s="862">
        <v>49</v>
      </c>
      <c r="D43" s="525">
        <v>20</v>
      </c>
      <c r="E43" s="525">
        <v>1</v>
      </c>
      <c r="F43" s="862">
        <f t="shared" si="23"/>
        <v>53</v>
      </c>
      <c r="G43" s="862">
        <v>39</v>
      </c>
      <c r="H43" s="525">
        <v>13</v>
      </c>
      <c r="I43" s="525">
        <v>1</v>
      </c>
      <c r="L43" s="391" t="s">
        <v>4966</v>
      </c>
      <c r="M43" s="862">
        <f t="shared" si="12"/>
        <v>404</v>
      </c>
      <c r="N43" s="862">
        <v>265</v>
      </c>
      <c r="O43" s="463">
        <v>111</v>
      </c>
      <c r="P43" s="463">
        <v>28</v>
      </c>
      <c r="Q43" s="862">
        <f t="shared" si="21"/>
        <v>408</v>
      </c>
      <c r="R43" s="862">
        <v>263</v>
      </c>
      <c r="S43" s="463">
        <v>115</v>
      </c>
      <c r="T43" s="463">
        <v>30</v>
      </c>
      <c r="X43" s="586" t="s">
        <v>4967</v>
      </c>
      <c r="Y43" s="586">
        <v>125</v>
      </c>
      <c r="Z43" s="586">
        <v>104</v>
      </c>
      <c r="AA43" s="586">
        <v>124</v>
      </c>
      <c r="AB43" s="586">
        <v>110</v>
      </c>
      <c r="AC43" s="586">
        <v>77</v>
      </c>
      <c r="AD43" s="497">
        <v>123</v>
      </c>
      <c r="AE43" s="633">
        <v>116</v>
      </c>
      <c r="AJ43" s="585" t="s">
        <v>4879</v>
      </c>
      <c r="AK43" s="585">
        <v>58.8</v>
      </c>
      <c r="AL43" s="623">
        <v>57.2</v>
      </c>
      <c r="AM43" s="623">
        <v>56</v>
      </c>
      <c r="AN43" s="623">
        <v>50</v>
      </c>
      <c r="AO43" s="623">
        <v>58.2</v>
      </c>
      <c r="AP43" s="855">
        <v>56.1</v>
      </c>
      <c r="AQ43" s="743" t="s">
        <v>2825</v>
      </c>
      <c r="AU43" s="382" t="s">
        <v>4914</v>
      </c>
      <c r="AV43" s="474">
        <f t="shared" si="39"/>
        <v>4</v>
      </c>
      <c r="AW43" s="474" t="s">
        <v>546</v>
      </c>
      <c r="AX43" s="474" t="s">
        <v>546</v>
      </c>
      <c r="AY43" s="474" t="s">
        <v>546</v>
      </c>
      <c r="AZ43" s="474" t="s">
        <v>546</v>
      </c>
      <c r="BA43" s="474" t="s">
        <v>546</v>
      </c>
      <c r="BB43" s="474" t="s">
        <v>546</v>
      </c>
      <c r="BC43" s="474">
        <v>1</v>
      </c>
      <c r="BD43" s="474">
        <v>2</v>
      </c>
      <c r="BE43" s="474">
        <v>1</v>
      </c>
      <c r="BI43" s="382" t="s">
        <v>4867</v>
      </c>
      <c r="BJ43" s="474" t="s">
        <v>546</v>
      </c>
      <c r="BK43" s="474" t="s">
        <v>546</v>
      </c>
      <c r="BL43" s="474" t="s">
        <v>546</v>
      </c>
      <c r="BP43" s="382" t="s">
        <v>4904</v>
      </c>
      <c r="BQ43" s="439">
        <f>SUM(BR43:BZ43)</f>
        <v>4</v>
      </c>
      <c r="BR43" s="435" t="s">
        <v>546</v>
      </c>
      <c r="BS43" s="435" t="s">
        <v>546</v>
      </c>
      <c r="BT43" s="435" t="s">
        <v>546</v>
      </c>
      <c r="BU43" s="475">
        <v>1</v>
      </c>
      <c r="BV43" s="435" t="s">
        <v>546</v>
      </c>
      <c r="BW43" s="439">
        <v>1</v>
      </c>
      <c r="BX43" s="435">
        <v>1</v>
      </c>
      <c r="BY43" s="435" t="s">
        <v>546</v>
      </c>
      <c r="BZ43" s="439">
        <v>1</v>
      </c>
      <c r="CH43" s="851"/>
      <c r="CK43" s="851"/>
      <c r="CO43" s="1062"/>
      <c r="CQ43" s="862"/>
    </row>
    <row r="44" spans="1:97">
      <c r="A44" s="624" t="s">
        <v>4674</v>
      </c>
      <c r="B44" s="862">
        <f t="shared" si="10"/>
        <v>344</v>
      </c>
      <c r="C44" s="862">
        <v>209</v>
      </c>
      <c r="D44" s="525">
        <v>123</v>
      </c>
      <c r="E44" s="525">
        <v>12</v>
      </c>
      <c r="F44" s="862">
        <f t="shared" si="23"/>
        <v>357</v>
      </c>
      <c r="G44" s="862">
        <v>250</v>
      </c>
      <c r="H44" s="525">
        <v>95</v>
      </c>
      <c r="I44" s="525">
        <v>12</v>
      </c>
      <c r="L44" s="624" t="s">
        <v>3219</v>
      </c>
      <c r="M44" s="862">
        <f t="shared" si="12"/>
        <v>12</v>
      </c>
      <c r="N44" s="862">
        <v>10</v>
      </c>
      <c r="O44" s="525">
        <v>1</v>
      </c>
      <c r="P44" s="525">
        <v>1</v>
      </c>
      <c r="Q44" s="862">
        <f t="shared" si="21"/>
        <v>8</v>
      </c>
      <c r="R44" s="862">
        <v>6</v>
      </c>
      <c r="S44" s="525">
        <v>1</v>
      </c>
      <c r="T44" s="525">
        <v>1</v>
      </c>
      <c r="X44" s="585" t="s">
        <v>4968</v>
      </c>
      <c r="AJ44" s="585" t="s">
        <v>4891</v>
      </c>
      <c r="AK44" s="1004">
        <v>12954</v>
      </c>
      <c r="AL44" s="1004">
        <v>10088</v>
      </c>
      <c r="AM44" s="1004">
        <v>8840</v>
      </c>
      <c r="AN44" s="1076">
        <v>7494</v>
      </c>
      <c r="AO44" s="1076" t="s">
        <v>4391</v>
      </c>
      <c r="AP44" s="1077" t="s">
        <v>4391</v>
      </c>
      <c r="AQ44" s="1077" t="s">
        <v>2825</v>
      </c>
      <c r="AR44" s="1004"/>
      <c r="AS44" s="525"/>
      <c r="AU44" s="381" t="s">
        <v>4916</v>
      </c>
      <c r="AV44" s="1073">
        <f t="shared" si="39"/>
        <v>2</v>
      </c>
      <c r="AW44" s="1073" t="s">
        <v>546</v>
      </c>
      <c r="AX44" s="1073" t="s">
        <v>546</v>
      </c>
      <c r="AY44" s="1073">
        <v>1</v>
      </c>
      <c r="AZ44" s="1073" t="s">
        <v>546</v>
      </c>
      <c r="BA44" s="1073" t="s">
        <v>546</v>
      </c>
      <c r="BB44" s="1073" t="s">
        <v>546</v>
      </c>
      <c r="BC44" s="1073">
        <v>1</v>
      </c>
      <c r="BD44" s="1073" t="s">
        <v>546</v>
      </c>
      <c r="BE44" s="1073" t="s">
        <v>546</v>
      </c>
      <c r="BI44" s="382" t="s">
        <v>4880</v>
      </c>
      <c r="BJ44" s="474" t="s">
        <v>546</v>
      </c>
      <c r="BK44" s="474" t="s">
        <v>546</v>
      </c>
      <c r="BL44" s="474" t="s">
        <v>546</v>
      </c>
      <c r="BP44" s="382" t="s">
        <v>4907</v>
      </c>
      <c r="BQ44" s="439">
        <f t="shared" ref="BQ44:BQ52" si="46">SUM(BR44:BZ44)</f>
        <v>114</v>
      </c>
      <c r="BR44" s="435" t="s">
        <v>546</v>
      </c>
      <c r="BS44" s="435" t="s">
        <v>546</v>
      </c>
      <c r="BT44" s="439">
        <v>2</v>
      </c>
      <c r="BU44" s="439">
        <v>1</v>
      </c>
      <c r="BV44" s="439">
        <v>6</v>
      </c>
      <c r="BW44" s="439">
        <v>14</v>
      </c>
      <c r="BX44" s="439">
        <v>11</v>
      </c>
      <c r="BY44" s="439">
        <v>20</v>
      </c>
      <c r="BZ44" s="439">
        <v>60</v>
      </c>
      <c r="CD44" s="382" t="s">
        <v>4974</v>
      </c>
      <c r="CE44" s="463">
        <f>SUM(CE45:CE55)</f>
        <v>1984</v>
      </c>
      <c r="CF44" s="382">
        <f>SUM(CF45:CF55)</f>
        <v>381</v>
      </c>
      <c r="CG44" s="463">
        <f>SUM(CG45:CG55)</f>
        <v>1603</v>
      </c>
      <c r="CH44" s="454">
        <f>SUM(CI44:CJ44)</f>
        <v>1976</v>
      </c>
      <c r="CI44" s="463">
        <f>SUM(CI45:CI55)</f>
        <v>382</v>
      </c>
      <c r="CJ44" s="463">
        <f>SUM(CJ45:CJ55)</f>
        <v>1594</v>
      </c>
      <c r="CK44" s="454">
        <f>SUM(CL44:CM44)</f>
        <v>1948</v>
      </c>
      <c r="CL44" s="463">
        <f>SUM(CL45:CL55)</f>
        <v>376</v>
      </c>
      <c r="CM44" s="463">
        <f>SUM(CM45:CM55)</f>
        <v>1572</v>
      </c>
      <c r="CO44" s="1062"/>
      <c r="CQ44" s="862"/>
    </row>
    <row r="45" spans="1:97">
      <c r="A45" s="391" t="s">
        <v>4966</v>
      </c>
      <c r="B45" s="862">
        <f t="shared" si="10"/>
        <v>413</v>
      </c>
      <c r="C45" s="862">
        <v>178</v>
      </c>
      <c r="D45" s="463">
        <v>211</v>
      </c>
      <c r="E45" s="463">
        <v>24</v>
      </c>
      <c r="F45" s="862">
        <f t="shared" si="23"/>
        <v>411</v>
      </c>
      <c r="G45" s="862">
        <v>286</v>
      </c>
      <c r="H45" s="463">
        <v>96</v>
      </c>
      <c r="I45" s="463">
        <v>29</v>
      </c>
      <c r="L45" s="624" t="s">
        <v>4970</v>
      </c>
      <c r="M45" s="862">
        <f t="shared" si="12"/>
        <v>22</v>
      </c>
      <c r="N45" s="862">
        <v>20</v>
      </c>
      <c r="O45" s="525">
        <v>1</v>
      </c>
      <c r="P45" s="525">
        <v>1</v>
      </c>
      <c r="Q45" s="862">
        <f t="shared" si="21"/>
        <v>19</v>
      </c>
      <c r="R45" s="862">
        <v>16</v>
      </c>
      <c r="S45" s="525">
        <v>2</v>
      </c>
      <c r="T45" s="525">
        <v>1</v>
      </c>
      <c r="X45" s="585" t="s">
        <v>4971</v>
      </c>
      <c r="Y45" s="525"/>
      <c r="Z45" s="525"/>
      <c r="AA45" s="525"/>
      <c r="AC45" s="525"/>
      <c r="AD45" s="862"/>
      <c r="AP45" s="525"/>
      <c r="AS45" s="623"/>
      <c r="AU45" s="382" t="s">
        <v>4932</v>
      </c>
      <c r="BI45" s="382" t="s">
        <v>4892</v>
      </c>
      <c r="BJ45" s="474" t="s">
        <v>546</v>
      </c>
      <c r="BK45" s="474" t="s">
        <v>546</v>
      </c>
      <c r="BL45" s="474" t="s">
        <v>546</v>
      </c>
      <c r="BP45" s="382" t="s">
        <v>4909</v>
      </c>
      <c r="BQ45" s="439">
        <f t="shared" si="46"/>
        <v>444</v>
      </c>
      <c r="BR45" s="435" t="s">
        <v>546</v>
      </c>
      <c r="BS45" s="474">
        <v>1</v>
      </c>
      <c r="BT45" s="439">
        <v>9</v>
      </c>
      <c r="BU45" s="439">
        <v>14</v>
      </c>
      <c r="BV45" s="439">
        <v>12</v>
      </c>
      <c r="BW45" s="439">
        <v>26</v>
      </c>
      <c r="BX45" s="439">
        <v>80</v>
      </c>
      <c r="BY45" s="439">
        <v>95</v>
      </c>
      <c r="BZ45" s="439">
        <v>207</v>
      </c>
      <c r="CD45" s="382" t="s">
        <v>4900</v>
      </c>
      <c r="CE45" s="382">
        <f>SUM(CF45:CG45)</f>
        <v>111</v>
      </c>
      <c r="CF45" s="382">
        <v>54</v>
      </c>
      <c r="CG45" s="382">
        <v>57</v>
      </c>
      <c r="CH45" s="418">
        <f>SUM(CI45:CJ45)</f>
        <v>121</v>
      </c>
      <c r="CI45" s="599">
        <v>60</v>
      </c>
      <c r="CJ45" s="599">
        <v>61</v>
      </c>
      <c r="CK45" s="418">
        <f>SUM(CL45:CM45)</f>
        <v>104</v>
      </c>
      <c r="CL45" s="599">
        <v>52</v>
      </c>
      <c r="CM45" s="599">
        <v>52</v>
      </c>
      <c r="CO45" s="1062"/>
      <c r="CQ45" s="862"/>
    </row>
    <row r="46" spans="1:97">
      <c r="A46" s="624" t="s">
        <v>3219</v>
      </c>
      <c r="B46" s="862">
        <f t="shared" si="10"/>
        <v>3</v>
      </c>
      <c r="C46" s="862">
        <v>0</v>
      </c>
      <c r="D46" s="525">
        <v>2</v>
      </c>
      <c r="E46" s="525">
        <v>1</v>
      </c>
      <c r="F46" s="862">
        <f t="shared" si="23"/>
        <v>12</v>
      </c>
      <c r="G46" s="862">
        <v>10</v>
      </c>
      <c r="H46" s="525">
        <v>1</v>
      </c>
      <c r="I46" s="525">
        <v>1</v>
      </c>
      <c r="L46" s="624" t="s">
        <v>4972</v>
      </c>
      <c r="M46" s="862">
        <f t="shared" si="12"/>
        <v>251</v>
      </c>
      <c r="N46" s="862">
        <v>225</v>
      </c>
      <c r="O46" s="525">
        <v>19</v>
      </c>
      <c r="P46" s="525">
        <v>7</v>
      </c>
      <c r="Q46" s="862">
        <f t="shared" si="21"/>
        <v>261</v>
      </c>
      <c r="R46" s="862">
        <v>233</v>
      </c>
      <c r="S46" s="525">
        <v>19</v>
      </c>
      <c r="T46" s="525">
        <v>9</v>
      </c>
      <c r="AJ46" s="585" t="s">
        <v>4925</v>
      </c>
      <c r="AK46" s="585">
        <v>0</v>
      </c>
      <c r="AL46" s="585">
        <v>0</v>
      </c>
      <c r="AM46" s="585">
        <v>0</v>
      </c>
      <c r="AN46" s="585">
        <v>2</v>
      </c>
      <c r="AO46" s="585">
        <v>4</v>
      </c>
      <c r="AP46" s="525">
        <v>3</v>
      </c>
      <c r="AQ46" s="599" t="s">
        <v>2825</v>
      </c>
      <c r="AS46" s="1004"/>
      <c r="AT46" s="382"/>
      <c r="BI46" s="382" t="s">
        <v>4898</v>
      </c>
      <c r="BJ46" s="474" t="s">
        <v>546</v>
      </c>
      <c r="BK46" s="474" t="s">
        <v>546</v>
      </c>
      <c r="BL46" s="474" t="s">
        <v>546</v>
      </c>
      <c r="BP46" s="382" t="s">
        <v>4911</v>
      </c>
      <c r="BQ46" s="439">
        <f t="shared" si="46"/>
        <v>789</v>
      </c>
      <c r="BR46" s="439">
        <v>6</v>
      </c>
      <c r="BS46" s="439">
        <v>5</v>
      </c>
      <c r="BT46" s="439">
        <v>19</v>
      </c>
      <c r="BU46" s="439">
        <v>28</v>
      </c>
      <c r="BV46" s="439">
        <v>64</v>
      </c>
      <c r="BW46" s="439">
        <v>72</v>
      </c>
      <c r="BX46" s="439">
        <v>154</v>
      </c>
      <c r="BY46" s="439">
        <v>157</v>
      </c>
      <c r="BZ46" s="439">
        <v>284</v>
      </c>
      <c r="CD46" s="1067" t="s">
        <v>4867</v>
      </c>
      <c r="CE46" s="382">
        <f t="shared" ref="CE46:CE55" si="47">SUM(CF46:CG46)</f>
        <v>9</v>
      </c>
      <c r="CF46" s="1067">
        <v>4</v>
      </c>
      <c r="CG46" s="1067">
        <v>5</v>
      </c>
      <c r="CH46" s="418">
        <f>SUM(CI46:CJ46)</f>
        <v>7</v>
      </c>
      <c r="CI46" s="1014">
        <v>4</v>
      </c>
      <c r="CJ46" s="1014">
        <v>3</v>
      </c>
      <c r="CK46" s="418">
        <f>SUM(CL46:CM46)</f>
        <v>8</v>
      </c>
      <c r="CL46" s="1014">
        <v>4</v>
      </c>
      <c r="CM46" s="1014">
        <v>4</v>
      </c>
      <c r="CO46" s="1062"/>
      <c r="CQ46" s="862"/>
    </row>
    <row r="47" spans="1:97">
      <c r="A47" s="624" t="s">
        <v>4970</v>
      </c>
      <c r="B47" s="862">
        <f t="shared" si="10"/>
        <v>13</v>
      </c>
      <c r="C47" s="862">
        <v>12</v>
      </c>
      <c r="D47" s="525">
        <v>1</v>
      </c>
      <c r="E47" s="525">
        <v>0</v>
      </c>
      <c r="F47" s="862">
        <f t="shared" si="23"/>
        <v>15</v>
      </c>
      <c r="G47" s="862">
        <v>15</v>
      </c>
      <c r="H47" s="525">
        <v>0</v>
      </c>
      <c r="I47" s="525">
        <v>0</v>
      </c>
      <c r="L47" s="624" t="s">
        <v>4973</v>
      </c>
      <c r="M47" s="862">
        <f t="shared" si="12"/>
        <v>19</v>
      </c>
      <c r="N47" s="862">
        <v>12</v>
      </c>
      <c r="O47" s="525">
        <v>3</v>
      </c>
      <c r="P47" s="525">
        <v>4</v>
      </c>
      <c r="Q47" s="862">
        <f t="shared" si="21"/>
        <v>13</v>
      </c>
      <c r="R47" s="862">
        <v>6</v>
      </c>
      <c r="S47" s="525">
        <v>3</v>
      </c>
      <c r="T47" s="525">
        <v>4</v>
      </c>
      <c r="AJ47" s="585" t="s">
        <v>4879</v>
      </c>
      <c r="AK47" s="439" t="s">
        <v>2825</v>
      </c>
      <c r="AL47" s="439" t="s">
        <v>2825</v>
      </c>
      <c r="AM47" s="439" t="s">
        <v>2825</v>
      </c>
      <c r="AN47" s="585">
        <v>18.899999999999999</v>
      </c>
      <c r="AO47" s="585">
        <v>16.100000000000001</v>
      </c>
      <c r="AP47" s="855">
        <v>14.7</v>
      </c>
      <c r="AQ47" s="743" t="s">
        <v>2825</v>
      </c>
      <c r="AT47" s="382"/>
      <c r="BI47" s="382" t="s">
        <v>4904</v>
      </c>
      <c r="BJ47" s="435">
        <f>SUM(BK47:BL47)</f>
        <v>26</v>
      </c>
      <c r="BK47" s="463">
        <v>13</v>
      </c>
      <c r="BL47" s="463">
        <v>13</v>
      </c>
      <c r="BP47" s="382" t="s">
        <v>4914</v>
      </c>
      <c r="BQ47" s="435">
        <f t="shared" si="46"/>
        <v>1062</v>
      </c>
      <c r="BR47" s="439">
        <v>5</v>
      </c>
      <c r="BS47" s="439">
        <v>27</v>
      </c>
      <c r="BT47" s="439">
        <v>37</v>
      </c>
      <c r="BU47" s="439">
        <v>48</v>
      </c>
      <c r="BV47" s="439">
        <v>89</v>
      </c>
      <c r="BW47" s="439">
        <v>129</v>
      </c>
      <c r="BX47" s="439">
        <v>251</v>
      </c>
      <c r="BY47" s="439">
        <v>206</v>
      </c>
      <c r="BZ47" s="439">
        <v>270</v>
      </c>
      <c r="CD47" s="1067" t="s">
        <v>4880</v>
      </c>
      <c r="CE47" s="382">
        <f t="shared" si="47"/>
        <v>11</v>
      </c>
      <c r="CF47" s="1067">
        <v>5</v>
      </c>
      <c r="CG47" s="1067">
        <v>6</v>
      </c>
      <c r="CH47" s="418">
        <f t="shared" ref="CH47:CH55" si="48">SUM(CI47:CJ47)</f>
        <v>6</v>
      </c>
      <c r="CI47" s="475">
        <v>2</v>
      </c>
      <c r="CJ47" s="1014">
        <v>4</v>
      </c>
      <c r="CK47" s="418">
        <f t="shared" ref="CK47:CK55" si="49">SUM(CL47:CM47)</f>
        <v>6</v>
      </c>
      <c r="CL47" s="475">
        <v>2</v>
      </c>
      <c r="CM47" s="1014">
        <v>4</v>
      </c>
      <c r="CO47" s="1062"/>
      <c r="CQ47" s="862"/>
    </row>
    <row r="48" spans="1:97">
      <c r="A48" s="624" t="s">
        <v>4972</v>
      </c>
      <c r="B48" s="862">
        <f t="shared" si="10"/>
        <v>200</v>
      </c>
      <c r="C48" s="862">
        <v>162</v>
      </c>
      <c r="D48" s="525">
        <v>30</v>
      </c>
      <c r="E48" s="525">
        <v>8</v>
      </c>
      <c r="F48" s="862">
        <f t="shared" si="23"/>
        <v>244</v>
      </c>
      <c r="G48" s="862">
        <v>219</v>
      </c>
      <c r="H48" s="525">
        <v>15</v>
      </c>
      <c r="I48" s="525">
        <v>10</v>
      </c>
      <c r="L48" s="624" t="s">
        <v>4605</v>
      </c>
      <c r="M48" s="862">
        <f t="shared" si="12"/>
        <v>371</v>
      </c>
      <c r="N48" s="862">
        <v>203</v>
      </c>
      <c r="O48" s="525">
        <v>128</v>
      </c>
      <c r="P48" s="525">
        <v>40</v>
      </c>
      <c r="Q48" s="862">
        <f t="shared" si="21"/>
        <v>365</v>
      </c>
      <c r="R48" s="862">
        <v>187</v>
      </c>
      <c r="S48" s="525">
        <v>134</v>
      </c>
      <c r="T48" s="525">
        <v>44</v>
      </c>
      <c r="AF48" s="599"/>
      <c r="AG48" s="599"/>
      <c r="AJ48" s="586" t="s">
        <v>4891</v>
      </c>
      <c r="AK48" s="477" t="s">
        <v>2825</v>
      </c>
      <c r="AL48" s="477" t="s">
        <v>2825</v>
      </c>
      <c r="AM48" s="477" t="s">
        <v>2825</v>
      </c>
      <c r="AN48" s="1055">
        <v>2880</v>
      </c>
      <c r="AO48" s="1055">
        <v>2880</v>
      </c>
      <c r="AP48" s="1055">
        <v>2880</v>
      </c>
      <c r="AQ48" s="1078" t="s">
        <v>2825</v>
      </c>
      <c r="AR48" s="1004"/>
      <c r="AT48" s="382"/>
      <c r="BH48" s="598"/>
      <c r="BI48" s="382" t="s">
        <v>4907</v>
      </c>
      <c r="BJ48" s="435">
        <f t="shared" ref="BJ48:BJ52" si="50">SUM(BK48:BL48)</f>
        <v>191</v>
      </c>
      <c r="BK48" s="463">
        <v>74</v>
      </c>
      <c r="BL48" s="463">
        <v>117</v>
      </c>
      <c r="BP48" s="382" t="s">
        <v>4919</v>
      </c>
      <c r="BQ48" s="435">
        <f t="shared" si="46"/>
        <v>1133</v>
      </c>
      <c r="BR48" s="439">
        <v>1</v>
      </c>
      <c r="BS48" s="439">
        <v>11</v>
      </c>
      <c r="BT48" s="439">
        <v>39</v>
      </c>
      <c r="BU48" s="439">
        <v>67</v>
      </c>
      <c r="BV48" s="439">
        <v>119</v>
      </c>
      <c r="BW48" s="439">
        <v>165</v>
      </c>
      <c r="BX48" s="439">
        <v>329</v>
      </c>
      <c r="BY48" s="439">
        <v>219</v>
      </c>
      <c r="BZ48" s="439">
        <v>183</v>
      </c>
      <c r="CD48" s="1067" t="s">
        <v>4892</v>
      </c>
      <c r="CE48" s="382">
        <f t="shared" si="47"/>
        <v>8</v>
      </c>
      <c r="CF48" s="1067">
        <v>0</v>
      </c>
      <c r="CG48" s="1067">
        <v>8</v>
      </c>
      <c r="CH48" s="418">
        <f t="shared" si="48"/>
        <v>7</v>
      </c>
      <c r="CI48" s="1014">
        <v>1</v>
      </c>
      <c r="CJ48" s="1014">
        <v>6</v>
      </c>
      <c r="CK48" s="418">
        <f t="shared" si="49"/>
        <v>9</v>
      </c>
      <c r="CL48" s="1014">
        <v>3</v>
      </c>
      <c r="CM48" s="1014">
        <v>6</v>
      </c>
      <c r="CO48" s="1062"/>
      <c r="CQ48" s="862"/>
    </row>
    <row r="49" spans="1:97">
      <c r="A49" s="624" t="s">
        <v>4973</v>
      </c>
      <c r="B49" s="862">
        <f t="shared" si="10"/>
        <v>18</v>
      </c>
      <c r="C49" s="862">
        <v>4</v>
      </c>
      <c r="D49" s="525">
        <v>11</v>
      </c>
      <c r="E49" s="525">
        <v>3</v>
      </c>
      <c r="F49" s="862">
        <f>SUM(G49:I49)</f>
        <v>19</v>
      </c>
      <c r="G49" s="862">
        <v>12</v>
      </c>
      <c r="H49" s="525">
        <v>3</v>
      </c>
      <c r="I49" s="525">
        <v>4</v>
      </c>
      <c r="L49" s="624" t="s">
        <v>4975</v>
      </c>
      <c r="M49" s="862">
        <f t="shared" si="12"/>
        <v>13</v>
      </c>
      <c r="N49" s="862">
        <v>12</v>
      </c>
      <c r="O49" s="525">
        <v>1</v>
      </c>
      <c r="P49" s="525">
        <v>0</v>
      </c>
      <c r="Q49" s="862">
        <f t="shared" si="21"/>
        <v>16</v>
      </c>
      <c r="R49" s="862">
        <v>11</v>
      </c>
      <c r="S49" s="525">
        <v>5</v>
      </c>
      <c r="T49" s="525">
        <v>0</v>
      </c>
      <c r="X49" s="1079" t="s">
        <v>4976</v>
      </c>
      <c r="Y49" s="1079"/>
      <c r="AE49" s="599"/>
      <c r="AF49" s="525"/>
      <c r="AG49" s="525"/>
      <c r="AJ49" s="585" t="s">
        <v>4932</v>
      </c>
      <c r="AS49" s="623"/>
      <c r="AU49" s="382" t="s">
        <v>4977</v>
      </c>
      <c r="AV49" s="382"/>
      <c r="AW49" s="382"/>
      <c r="AX49" s="382"/>
      <c r="AY49" s="382"/>
      <c r="AZ49" s="382"/>
      <c r="BA49" s="382"/>
      <c r="BB49" s="382"/>
      <c r="BC49" s="382"/>
      <c r="BD49" s="382"/>
      <c r="BE49" s="870"/>
      <c r="BH49" s="599"/>
      <c r="BI49" s="382" t="s">
        <v>4909</v>
      </c>
      <c r="BJ49" s="435">
        <f t="shared" si="50"/>
        <v>225</v>
      </c>
      <c r="BK49" s="463">
        <v>87</v>
      </c>
      <c r="BL49" s="463">
        <v>138</v>
      </c>
      <c r="BP49" s="382" t="s">
        <v>4922</v>
      </c>
      <c r="BQ49" s="439">
        <f t="shared" si="46"/>
        <v>841</v>
      </c>
      <c r="BR49" s="435" t="s">
        <v>546</v>
      </c>
      <c r="BS49" s="439">
        <v>7</v>
      </c>
      <c r="BT49" s="439">
        <v>31</v>
      </c>
      <c r="BU49" s="439">
        <v>65</v>
      </c>
      <c r="BV49" s="439">
        <v>103</v>
      </c>
      <c r="BW49" s="439">
        <v>140</v>
      </c>
      <c r="BX49" s="439">
        <v>234</v>
      </c>
      <c r="BY49" s="439">
        <v>137</v>
      </c>
      <c r="BZ49" s="439">
        <v>124</v>
      </c>
      <c r="CD49" s="1067" t="s">
        <v>4898</v>
      </c>
      <c r="CE49" s="382">
        <f t="shared" si="47"/>
        <v>19</v>
      </c>
      <c r="CF49" s="1067">
        <v>4</v>
      </c>
      <c r="CG49" s="1067">
        <v>15</v>
      </c>
      <c r="CH49" s="418">
        <f t="shared" si="48"/>
        <v>24</v>
      </c>
      <c r="CI49" s="1014">
        <v>5</v>
      </c>
      <c r="CJ49" s="1014">
        <v>19</v>
      </c>
      <c r="CK49" s="418">
        <f t="shared" si="49"/>
        <v>18</v>
      </c>
      <c r="CL49" s="1014">
        <v>4</v>
      </c>
      <c r="CM49" s="1014">
        <v>14</v>
      </c>
      <c r="CO49" s="1062"/>
      <c r="CQ49" s="862"/>
    </row>
    <row r="50" spans="1:97">
      <c r="A50" s="624" t="s">
        <v>4605</v>
      </c>
      <c r="B50" s="862">
        <f t="shared" si="10"/>
        <v>381</v>
      </c>
      <c r="C50" s="862">
        <v>132</v>
      </c>
      <c r="D50" s="525">
        <v>222</v>
      </c>
      <c r="E50" s="525">
        <v>27</v>
      </c>
      <c r="F50" s="862">
        <f t="shared" ref="F50:F52" si="51">SUM(G50:I50)</f>
        <v>382</v>
      </c>
      <c r="G50" s="862">
        <v>218</v>
      </c>
      <c r="H50" s="525">
        <v>130</v>
      </c>
      <c r="I50" s="525">
        <v>34</v>
      </c>
      <c r="L50" s="624" t="s">
        <v>4978</v>
      </c>
      <c r="M50" s="862">
        <f t="shared" si="12"/>
        <v>71</v>
      </c>
      <c r="N50" s="862">
        <v>49</v>
      </c>
      <c r="O50" s="525">
        <v>13</v>
      </c>
      <c r="P50" s="525">
        <v>9</v>
      </c>
      <c r="Q50" s="862">
        <f t="shared" si="21"/>
        <v>67</v>
      </c>
      <c r="R50" s="862">
        <v>43</v>
      </c>
      <c r="S50" s="525">
        <v>14</v>
      </c>
      <c r="T50" s="525">
        <v>10</v>
      </c>
      <c r="X50" s="1080" t="s">
        <v>8719</v>
      </c>
      <c r="Y50" s="1080"/>
      <c r="Z50" s="586"/>
      <c r="AA50" s="586"/>
      <c r="AB50" s="586"/>
      <c r="AC50" s="844"/>
      <c r="AE50" s="525"/>
      <c r="AF50" s="862"/>
      <c r="AG50" s="862"/>
      <c r="AJ50" s="585" t="s">
        <v>4979</v>
      </c>
      <c r="AS50" s="1004"/>
      <c r="AU50" s="597"/>
      <c r="AV50" s="404" t="s">
        <v>129</v>
      </c>
      <c r="AW50" s="2098" t="s">
        <v>4829</v>
      </c>
      <c r="AX50" s="2098"/>
      <c r="AY50" s="2098"/>
      <c r="AZ50" s="2098"/>
      <c r="BA50" s="2098"/>
      <c r="BB50" s="2098"/>
      <c r="BC50" s="2098"/>
      <c r="BD50" s="2098"/>
      <c r="BE50" s="2078"/>
      <c r="BH50" s="525"/>
      <c r="BI50" s="382" t="s">
        <v>4911</v>
      </c>
      <c r="BJ50" s="435">
        <f t="shared" si="50"/>
        <v>161</v>
      </c>
      <c r="BK50" s="463">
        <v>62</v>
      </c>
      <c r="BL50" s="463">
        <v>99</v>
      </c>
      <c r="BP50" s="382" t="s">
        <v>4926</v>
      </c>
      <c r="BQ50" s="439">
        <f t="shared" si="46"/>
        <v>522</v>
      </c>
      <c r="BR50" s="435" t="s">
        <v>546</v>
      </c>
      <c r="BS50" s="439">
        <v>1</v>
      </c>
      <c r="BT50" s="439">
        <v>33</v>
      </c>
      <c r="BU50" s="439">
        <v>55</v>
      </c>
      <c r="BV50" s="439">
        <v>76</v>
      </c>
      <c r="BW50" s="439">
        <v>80</v>
      </c>
      <c r="BX50" s="439">
        <v>136</v>
      </c>
      <c r="BY50" s="439">
        <v>66</v>
      </c>
      <c r="BZ50" s="439">
        <v>75</v>
      </c>
      <c r="CD50" s="1067" t="s">
        <v>4904</v>
      </c>
      <c r="CE50" s="382">
        <f t="shared" si="47"/>
        <v>36</v>
      </c>
      <c r="CF50" s="1067">
        <v>10</v>
      </c>
      <c r="CG50" s="1067">
        <v>26</v>
      </c>
      <c r="CH50" s="418">
        <f t="shared" si="48"/>
        <v>32</v>
      </c>
      <c r="CI50" s="1014">
        <v>11</v>
      </c>
      <c r="CJ50" s="1014">
        <v>21</v>
      </c>
      <c r="CK50" s="418">
        <f t="shared" si="49"/>
        <v>41</v>
      </c>
      <c r="CL50" s="1014">
        <v>12</v>
      </c>
      <c r="CM50" s="1014">
        <v>29</v>
      </c>
      <c r="CO50" s="1062"/>
      <c r="CQ50" s="862"/>
    </row>
    <row r="51" spans="1:97">
      <c r="A51" s="624" t="s">
        <v>4975</v>
      </c>
      <c r="B51" s="862">
        <f t="shared" si="10"/>
        <v>30</v>
      </c>
      <c r="C51" s="862">
        <v>23</v>
      </c>
      <c r="D51" s="525">
        <v>7</v>
      </c>
      <c r="E51" s="525">
        <v>0</v>
      </c>
      <c r="F51" s="862">
        <f t="shared" si="51"/>
        <v>14</v>
      </c>
      <c r="G51" s="862">
        <v>11</v>
      </c>
      <c r="H51" s="525">
        <v>3</v>
      </c>
      <c r="I51" s="525">
        <v>0</v>
      </c>
      <c r="L51" s="628" t="s">
        <v>4980</v>
      </c>
      <c r="M51" s="866">
        <f t="shared" si="12"/>
        <v>649</v>
      </c>
      <c r="N51" s="866">
        <v>437</v>
      </c>
      <c r="O51" s="633">
        <v>149</v>
      </c>
      <c r="P51" s="633">
        <v>63</v>
      </c>
      <c r="Q51" s="866">
        <f>SUM(R51:T51)</f>
        <v>630</v>
      </c>
      <c r="R51" s="866">
        <v>406</v>
      </c>
      <c r="S51" s="633">
        <v>146</v>
      </c>
      <c r="T51" s="633">
        <v>78</v>
      </c>
      <c r="X51" s="588" t="s">
        <v>1810</v>
      </c>
      <c r="Y51" s="938">
        <v>2024</v>
      </c>
      <c r="Z51" s="938">
        <v>2023</v>
      </c>
      <c r="AA51" s="938">
        <v>2022</v>
      </c>
      <c r="AB51" s="938">
        <v>2021</v>
      </c>
      <c r="AC51" s="938">
        <v>2020</v>
      </c>
      <c r="AD51" s="938">
        <v>2019</v>
      </c>
      <c r="AE51" s="939">
        <v>2018</v>
      </c>
      <c r="AF51" s="525"/>
      <c r="AG51" s="525"/>
      <c r="AJ51" s="585" t="s">
        <v>4935</v>
      </c>
      <c r="AU51" s="610" t="s">
        <v>2449</v>
      </c>
      <c r="AV51" s="441" t="s">
        <v>4832</v>
      </c>
      <c r="AW51" s="642" t="s">
        <v>4833</v>
      </c>
      <c r="AX51" s="1054" t="s">
        <v>4834</v>
      </c>
      <c r="AY51" s="1054" t="s">
        <v>4835</v>
      </c>
      <c r="AZ51" s="642" t="s">
        <v>4836</v>
      </c>
      <c r="BA51" s="642" t="s">
        <v>2452</v>
      </c>
      <c r="BB51" s="642" t="s">
        <v>2453</v>
      </c>
      <c r="BC51" s="642" t="s">
        <v>2454</v>
      </c>
      <c r="BD51" s="642" t="s">
        <v>2455</v>
      </c>
      <c r="BE51" s="664" t="s">
        <v>4837</v>
      </c>
      <c r="BH51" s="525"/>
      <c r="BI51" s="382" t="s">
        <v>4914</v>
      </c>
      <c r="BJ51" s="435">
        <f t="shared" si="50"/>
        <v>68</v>
      </c>
      <c r="BK51" s="463">
        <v>29</v>
      </c>
      <c r="BL51" s="463">
        <v>39</v>
      </c>
      <c r="BP51" s="382" t="s">
        <v>4928</v>
      </c>
      <c r="BQ51" s="439">
        <f t="shared" si="46"/>
        <v>295</v>
      </c>
      <c r="BR51" s="435" t="s">
        <v>546</v>
      </c>
      <c r="BS51" s="439">
        <v>1</v>
      </c>
      <c r="BT51" s="439">
        <v>37</v>
      </c>
      <c r="BU51" s="439">
        <v>48</v>
      </c>
      <c r="BV51" s="439">
        <v>48</v>
      </c>
      <c r="BW51" s="439">
        <v>37</v>
      </c>
      <c r="BX51" s="439">
        <v>66</v>
      </c>
      <c r="BY51" s="439">
        <v>24</v>
      </c>
      <c r="BZ51" s="439">
        <v>34</v>
      </c>
      <c r="CD51" s="1067" t="s">
        <v>4907</v>
      </c>
      <c r="CE51" s="382">
        <f t="shared" si="47"/>
        <v>73</v>
      </c>
      <c r="CF51" s="1067">
        <v>12</v>
      </c>
      <c r="CG51" s="1067">
        <v>61</v>
      </c>
      <c r="CH51" s="418">
        <f t="shared" si="48"/>
        <v>81</v>
      </c>
      <c r="CI51" s="1014">
        <v>10</v>
      </c>
      <c r="CJ51" s="1014">
        <v>71</v>
      </c>
      <c r="CK51" s="418">
        <f t="shared" si="49"/>
        <v>78</v>
      </c>
      <c r="CL51" s="1014">
        <v>12</v>
      </c>
      <c r="CM51" s="1014">
        <v>66</v>
      </c>
      <c r="CO51" s="1062"/>
      <c r="CQ51" s="862"/>
    </row>
    <row r="52" spans="1:97">
      <c r="A52" s="624" t="s">
        <v>4978</v>
      </c>
      <c r="B52" s="862">
        <f t="shared" si="10"/>
        <v>74</v>
      </c>
      <c r="C52" s="862">
        <v>41</v>
      </c>
      <c r="D52" s="525">
        <v>23</v>
      </c>
      <c r="E52" s="525">
        <v>10</v>
      </c>
      <c r="F52" s="862">
        <f t="shared" si="51"/>
        <v>74</v>
      </c>
      <c r="G52" s="862">
        <v>49</v>
      </c>
      <c r="H52" s="525">
        <v>14</v>
      </c>
      <c r="I52" s="525">
        <v>11</v>
      </c>
      <c r="L52" s="624" t="s">
        <v>4932</v>
      </c>
      <c r="M52" s="624"/>
      <c r="N52" s="624"/>
      <c r="O52" s="624"/>
      <c r="P52" s="624"/>
      <c r="Q52" s="862"/>
      <c r="R52" s="862"/>
      <c r="S52" s="525"/>
      <c r="T52" s="525"/>
      <c r="X52" s="1053" t="s">
        <v>129</v>
      </c>
      <c r="Y52" s="525">
        <f>SUM(Y53:Y55)</f>
        <v>21068</v>
      </c>
      <c r="Z52" s="525">
        <f>SUM(Z53:Z55)</f>
        <v>24644</v>
      </c>
      <c r="AA52" s="525">
        <f>SUM(AA53:AA55)</f>
        <v>23518</v>
      </c>
      <c r="AB52" s="525">
        <f t="shared" ref="AB52:AD52" si="52">SUM(AB53:AB55)</f>
        <v>21403</v>
      </c>
      <c r="AC52" s="525">
        <f t="shared" si="52"/>
        <v>20012</v>
      </c>
      <c r="AD52" s="764">
        <f t="shared" si="52"/>
        <v>17576</v>
      </c>
      <c r="AE52" s="764">
        <f>SUM(AE53:AE55)</f>
        <v>16296</v>
      </c>
      <c r="AF52" s="525"/>
      <c r="AG52" s="525"/>
      <c r="AJ52" s="585" t="s">
        <v>4937</v>
      </c>
      <c r="AU52" s="382" t="s">
        <v>4852</v>
      </c>
      <c r="AV52" s="525">
        <f>SUM(AV53:AV64)</f>
        <v>4538</v>
      </c>
      <c r="AW52" s="525">
        <f>SUM(AW53:AW64)</f>
        <v>674</v>
      </c>
      <c r="AX52" s="525">
        <f t="shared" ref="AX52:BC52" si="53">SUM(AX53:AX64)</f>
        <v>1026</v>
      </c>
      <c r="AY52" s="525">
        <f t="shared" si="53"/>
        <v>777</v>
      </c>
      <c r="AZ52" s="525">
        <f t="shared" si="53"/>
        <v>781</v>
      </c>
      <c r="BA52" s="525">
        <f t="shared" si="53"/>
        <v>506</v>
      </c>
      <c r="BB52" s="525">
        <f t="shared" si="53"/>
        <v>610</v>
      </c>
      <c r="BC52" s="525">
        <f t="shared" si="53"/>
        <v>125</v>
      </c>
      <c r="BD52" s="525">
        <f>SUM(BD53:BD64)</f>
        <v>36</v>
      </c>
      <c r="BE52" s="525">
        <f>SUM(BE53:BE64)</f>
        <v>3</v>
      </c>
      <c r="BH52" s="525"/>
      <c r="BI52" s="382" t="s">
        <v>4916</v>
      </c>
      <c r="BJ52" s="435">
        <f t="shared" si="50"/>
        <v>40</v>
      </c>
      <c r="BK52" s="463">
        <v>10</v>
      </c>
      <c r="BL52" s="435">
        <v>30</v>
      </c>
      <c r="BP52" s="382" t="s">
        <v>4930</v>
      </c>
      <c r="BQ52" s="439">
        <f t="shared" si="46"/>
        <v>149</v>
      </c>
      <c r="BR52" s="435" t="s">
        <v>546</v>
      </c>
      <c r="BS52" s="474">
        <v>1</v>
      </c>
      <c r="BT52" s="439">
        <v>23</v>
      </c>
      <c r="BU52" s="439">
        <v>32</v>
      </c>
      <c r="BV52" s="439">
        <v>29</v>
      </c>
      <c r="BW52" s="439">
        <v>16</v>
      </c>
      <c r="BX52" s="439">
        <v>25</v>
      </c>
      <c r="BY52" s="439">
        <v>9</v>
      </c>
      <c r="BZ52" s="439">
        <v>14</v>
      </c>
      <c r="CD52" s="1067" t="s">
        <v>4909</v>
      </c>
      <c r="CE52" s="382">
        <f t="shared" si="47"/>
        <v>103</v>
      </c>
      <c r="CF52" s="1067">
        <v>13</v>
      </c>
      <c r="CG52" s="1067">
        <v>90</v>
      </c>
      <c r="CH52" s="418">
        <f t="shared" si="48"/>
        <v>105</v>
      </c>
      <c r="CI52" s="1014">
        <v>11</v>
      </c>
      <c r="CJ52" s="1014">
        <v>94</v>
      </c>
      <c r="CK52" s="418">
        <f t="shared" si="49"/>
        <v>111</v>
      </c>
      <c r="CL52" s="1014">
        <v>8</v>
      </c>
      <c r="CM52" s="1014">
        <v>103</v>
      </c>
      <c r="CO52" s="1062"/>
      <c r="CQ52" s="862"/>
    </row>
    <row r="53" spans="1:97">
      <c r="A53" s="628" t="s">
        <v>4980</v>
      </c>
      <c r="B53" s="866">
        <f t="shared" si="10"/>
        <v>635</v>
      </c>
      <c r="C53" s="866">
        <v>336</v>
      </c>
      <c r="D53" s="633">
        <v>243</v>
      </c>
      <c r="E53" s="633">
        <v>56</v>
      </c>
      <c r="F53" s="866">
        <f>SUM(G53:I53)</f>
        <v>620</v>
      </c>
      <c r="G53" s="866">
        <v>430</v>
      </c>
      <c r="H53" s="633">
        <v>133</v>
      </c>
      <c r="I53" s="633">
        <v>57</v>
      </c>
      <c r="L53" s="624" t="s">
        <v>4981</v>
      </c>
      <c r="M53" s="624"/>
      <c r="N53" s="624"/>
      <c r="O53" s="624"/>
      <c r="P53" s="624"/>
      <c r="Q53" s="862"/>
      <c r="R53" s="862"/>
      <c r="S53" s="525"/>
      <c r="T53" s="525"/>
      <c r="X53" s="585" t="s">
        <v>4982</v>
      </c>
      <c r="Y53" s="525">
        <v>15372</v>
      </c>
      <c r="Z53" s="525">
        <v>16375</v>
      </c>
      <c r="AA53" s="525">
        <v>16056</v>
      </c>
      <c r="AB53" s="525">
        <v>14636</v>
      </c>
      <c r="AC53" s="525">
        <v>13652</v>
      </c>
      <c r="AD53" s="525">
        <v>11599</v>
      </c>
      <c r="AE53" s="525">
        <v>10879</v>
      </c>
      <c r="AF53" s="525"/>
      <c r="AG53" s="525"/>
      <c r="AU53" s="382" t="s">
        <v>4855</v>
      </c>
      <c r="AV53" s="525">
        <f>SUM(AW53:BE53)</f>
        <v>2</v>
      </c>
      <c r="AW53" s="474">
        <v>2</v>
      </c>
      <c r="AX53" s="474" t="s">
        <v>546</v>
      </c>
      <c r="AY53" s="474" t="s">
        <v>546</v>
      </c>
      <c r="AZ53" s="474" t="s">
        <v>546</v>
      </c>
      <c r="BA53" s="474" t="s">
        <v>546</v>
      </c>
      <c r="BB53" s="474" t="s">
        <v>546</v>
      </c>
      <c r="BC53" s="474" t="s">
        <v>546</v>
      </c>
      <c r="BD53" s="474" t="s">
        <v>546</v>
      </c>
      <c r="BE53" s="474" t="s">
        <v>546</v>
      </c>
      <c r="BH53" s="525"/>
      <c r="BJ53" s="525"/>
      <c r="BK53" s="525"/>
      <c r="BL53" s="525"/>
      <c r="BP53" s="382"/>
      <c r="BQ53" s="463"/>
      <c r="BR53" s="382"/>
      <c r="BS53" s="382"/>
      <c r="BT53" s="382"/>
      <c r="BU53" s="382"/>
      <c r="BV53" s="382"/>
      <c r="BW53" s="382"/>
      <c r="BX53" s="382"/>
      <c r="BY53" s="382"/>
      <c r="BZ53" s="382"/>
      <c r="CD53" s="1067" t="s">
        <v>4911</v>
      </c>
      <c r="CE53" s="382">
        <f t="shared" si="47"/>
        <v>165</v>
      </c>
      <c r="CF53" s="1067">
        <v>18</v>
      </c>
      <c r="CG53" s="1067">
        <v>147</v>
      </c>
      <c r="CH53" s="418">
        <f t="shared" si="48"/>
        <v>168</v>
      </c>
      <c r="CI53" s="1014">
        <v>21</v>
      </c>
      <c r="CJ53" s="1014">
        <v>147</v>
      </c>
      <c r="CK53" s="418">
        <f t="shared" si="49"/>
        <v>175</v>
      </c>
      <c r="CL53" s="1014">
        <v>21</v>
      </c>
      <c r="CM53" s="1014">
        <v>154</v>
      </c>
      <c r="CO53" s="1062"/>
      <c r="CQ53" s="862"/>
    </row>
    <row r="54" spans="1:97">
      <c r="A54" s="624" t="s">
        <v>4932</v>
      </c>
      <c r="B54" s="624"/>
      <c r="C54" s="624"/>
      <c r="D54" s="624"/>
      <c r="E54" s="624"/>
      <c r="F54" s="624"/>
      <c r="G54" s="624"/>
      <c r="H54" s="624"/>
      <c r="L54" s="624" t="s">
        <v>4983</v>
      </c>
      <c r="M54" s="624"/>
      <c r="N54" s="624"/>
      <c r="O54" s="624"/>
      <c r="P54" s="624"/>
      <c r="Q54" s="624"/>
      <c r="R54" s="624"/>
      <c r="S54" s="624"/>
      <c r="T54" s="624"/>
      <c r="X54" s="382" t="s">
        <v>4953</v>
      </c>
      <c r="Y54" s="525">
        <v>5571</v>
      </c>
      <c r="Z54" s="525">
        <v>8165</v>
      </c>
      <c r="AA54" s="525">
        <v>7338</v>
      </c>
      <c r="AB54" s="525">
        <v>6657</v>
      </c>
      <c r="AC54" s="525">
        <v>6283</v>
      </c>
      <c r="AD54" s="463">
        <v>5854</v>
      </c>
      <c r="AE54" s="463">
        <v>5301</v>
      </c>
      <c r="AF54" s="525"/>
      <c r="AG54" s="525"/>
      <c r="AU54" s="382" t="s">
        <v>4861</v>
      </c>
      <c r="AV54" s="525">
        <f>SUM(AW54:BE54)</f>
        <v>71</v>
      </c>
      <c r="AW54" s="474">
        <v>66</v>
      </c>
      <c r="AX54" s="862">
        <v>5</v>
      </c>
      <c r="AY54" s="474" t="s">
        <v>546</v>
      </c>
      <c r="AZ54" s="474" t="s">
        <v>546</v>
      </c>
      <c r="BA54" s="474" t="s">
        <v>546</v>
      </c>
      <c r="BB54" s="474" t="s">
        <v>546</v>
      </c>
      <c r="BC54" s="474" t="s">
        <v>546</v>
      </c>
      <c r="BD54" s="474" t="s">
        <v>546</v>
      </c>
      <c r="BE54" s="474" t="s">
        <v>546</v>
      </c>
      <c r="BH54" s="525"/>
      <c r="BI54" s="382" t="s">
        <v>4993</v>
      </c>
      <c r="BJ54" s="463">
        <f>SUM(BK54:BL54)</f>
        <v>102</v>
      </c>
      <c r="BK54" s="463">
        <f>SUM(BK55:BK66)</f>
        <v>89</v>
      </c>
      <c r="BL54" s="463">
        <f>SUM(BL55:BL66)</f>
        <v>13</v>
      </c>
      <c r="BP54" s="1066" t="s">
        <v>4936</v>
      </c>
      <c r="BQ54" s="463">
        <f>SUM(BQ55:BQ66)</f>
        <v>164</v>
      </c>
      <c r="BR54" s="435">
        <f>SUM(BR55:BR66)</f>
        <v>0</v>
      </c>
      <c r="BS54" s="435">
        <f t="shared" ref="BS54" si="54">SUM(BS55:BS66)</f>
        <v>1</v>
      </c>
      <c r="BT54" s="435">
        <f>SUM(BT55:BT66)</f>
        <v>12</v>
      </c>
      <c r="BU54" s="435">
        <f t="shared" ref="BU54:BZ54" si="55">SUM(BU55:BU66)</f>
        <v>57</v>
      </c>
      <c r="BV54" s="435">
        <f t="shared" si="55"/>
        <v>34</v>
      </c>
      <c r="BW54" s="435">
        <f t="shared" si="55"/>
        <v>28</v>
      </c>
      <c r="BX54" s="435">
        <f t="shared" si="55"/>
        <v>21</v>
      </c>
      <c r="BY54" s="435">
        <f t="shared" si="55"/>
        <v>8</v>
      </c>
      <c r="BZ54" s="435">
        <f t="shared" si="55"/>
        <v>3</v>
      </c>
      <c r="CD54" s="1067" t="s">
        <v>4914</v>
      </c>
      <c r="CE54" s="382">
        <f t="shared" si="47"/>
        <v>286</v>
      </c>
      <c r="CF54" s="1067">
        <v>41</v>
      </c>
      <c r="CG54" s="1067">
        <v>245</v>
      </c>
      <c r="CH54" s="418">
        <f t="shared" si="48"/>
        <v>287</v>
      </c>
      <c r="CI54" s="1014">
        <v>30</v>
      </c>
      <c r="CJ54" s="1014">
        <v>257</v>
      </c>
      <c r="CK54" s="418">
        <f t="shared" si="49"/>
        <v>278</v>
      </c>
      <c r="CL54" s="1014">
        <v>32</v>
      </c>
      <c r="CM54" s="1014">
        <v>246</v>
      </c>
      <c r="CO54" s="1062"/>
      <c r="CP54" s="525"/>
      <c r="CQ54" s="862"/>
      <c r="CR54" s="862"/>
      <c r="CS54" s="862"/>
    </row>
    <row r="55" spans="1:97">
      <c r="A55" s="624" t="s">
        <v>4981</v>
      </c>
      <c r="B55" s="624"/>
      <c r="C55" s="624"/>
      <c r="D55" s="624"/>
      <c r="E55" s="624"/>
      <c r="F55" s="624"/>
      <c r="G55" s="624"/>
      <c r="H55" s="624"/>
      <c r="L55" s="624" t="s">
        <v>4984</v>
      </c>
      <c r="M55" s="624"/>
      <c r="N55" s="624"/>
      <c r="O55" s="624"/>
      <c r="P55" s="624"/>
      <c r="Q55" s="624"/>
      <c r="R55" s="624"/>
      <c r="S55" s="624"/>
      <c r="T55" s="624"/>
      <c r="X55" s="586" t="s">
        <v>4985</v>
      </c>
      <c r="Y55" s="633">
        <v>125</v>
      </c>
      <c r="Z55" s="633">
        <v>104</v>
      </c>
      <c r="AA55" s="633">
        <v>124</v>
      </c>
      <c r="AB55" s="633">
        <v>110</v>
      </c>
      <c r="AC55" s="633">
        <v>77</v>
      </c>
      <c r="AD55" s="633">
        <v>123</v>
      </c>
      <c r="AE55" s="633">
        <v>116</v>
      </c>
      <c r="AF55" s="525"/>
      <c r="AG55" s="525"/>
      <c r="AU55" s="382" t="s">
        <v>4867</v>
      </c>
      <c r="AV55" s="525">
        <f t="shared" ref="AV55" si="56">SUM(AW55:BE55)</f>
        <v>298</v>
      </c>
      <c r="AW55" s="474">
        <v>191</v>
      </c>
      <c r="AX55" s="862">
        <v>103</v>
      </c>
      <c r="AY55" s="538">
        <v>4</v>
      </c>
      <c r="AZ55" s="474" t="s">
        <v>546</v>
      </c>
      <c r="BA55" s="474" t="s">
        <v>546</v>
      </c>
      <c r="BB55" s="474" t="s">
        <v>546</v>
      </c>
      <c r="BC55" s="474" t="s">
        <v>546</v>
      </c>
      <c r="BD55" s="474" t="s">
        <v>546</v>
      </c>
      <c r="BE55" s="474" t="s">
        <v>546</v>
      </c>
      <c r="BH55" s="525"/>
      <c r="BI55" s="382" t="s">
        <v>4855</v>
      </c>
      <c r="BJ55" s="474" t="s">
        <v>546</v>
      </c>
      <c r="BK55" s="474" t="s">
        <v>546</v>
      </c>
      <c r="BL55" s="474" t="s">
        <v>546</v>
      </c>
      <c r="BP55" s="382" t="s">
        <v>4899</v>
      </c>
      <c r="BQ55" s="435" t="s">
        <v>546</v>
      </c>
      <c r="BR55" s="435" t="s">
        <v>546</v>
      </c>
      <c r="BS55" s="435" t="s">
        <v>546</v>
      </c>
      <c r="BT55" s="435" t="s">
        <v>546</v>
      </c>
      <c r="BU55" s="435" t="s">
        <v>546</v>
      </c>
      <c r="BV55" s="435" t="s">
        <v>546</v>
      </c>
      <c r="BW55" s="435" t="s">
        <v>546</v>
      </c>
      <c r="BX55" s="435" t="s">
        <v>546</v>
      </c>
      <c r="BY55" s="435" t="s">
        <v>546</v>
      </c>
      <c r="BZ55" s="435" t="s">
        <v>546</v>
      </c>
      <c r="CD55" s="1081" t="s">
        <v>4916</v>
      </c>
      <c r="CE55" s="497">
        <f t="shared" si="47"/>
        <v>1163</v>
      </c>
      <c r="CF55" s="1081">
        <v>220</v>
      </c>
      <c r="CG55" s="1081">
        <v>943</v>
      </c>
      <c r="CH55" s="501">
        <f t="shared" si="48"/>
        <v>1138</v>
      </c>
      <c r="CI55" s="1082">
        <v>227</v>
      </c>
      <c r="CJ55" s="1082">
        <v>911</v>
      </c>
      <c r="CK55" s="501">
        <f t="shared" si="49"/>
        <v>1120</v>
      </c>
      <c r="CL55" s="1082">
        <v>226</v>
      </c>
      <c r="CM55" s="1082">
        <v>894</v>
      </c>
      <c r="CO55" s="1062"/>
      <c r="CP55" s="525"/>
      <c r="CQ55" s="862"/>
      <c r="CR55" s="862"/>
      <c r="CS55" s="862"/>
    </row>
    <row r="56" spans="1:97">
      <c r="A56" s="624" t="s">
        <v>4983</v>
      </c>
      <c r="B56" s="624"/>
      <c r="C56" s="624"/>
      <c r="D56" s="624"/>
      <c r="E56" s="624"/>
      <c r="F56" s="624"/>
      <c r="G56" s="624"/>
      <c r="H56" s="624"/>
      <c r="L56" s="624" t="s">
        <v>4986</v>
      </c>
      <c r="M56" s="624"/>
      <c r="N56" s="624"/>
      <c r="O56" s="624"/>
      <c r="P56" s="624"/>
      <c r="Q56" s="624"/>
      <c r="R56" s="624"/>
      <c r="S56" s="624"/>
      <c r="T56" s="624"/>
      <c r="X56" s="585" t="s">
        <v>4987</v>
      </c>
      <c r="Z56" s="525"/>
      <c r="AA56" s="525"/>
      <c r="AB56" s="525"/>
      <c r="AC56" s="525"/>
      <c r="AD56" s="525"/>
      <c r="AE56" s="525"/>
      <c r="AF56" s="862"/>
      <c r="AG56" s="862"/>
      <c r="AU56" s="382" t="s">
        <v>4880</v>
      </c>
      <c r="AV56" s="525">
        <f>SUM(AW56:BE56)</f>
        <v>523</v>
      </c>
      <c r="AW56" s="474">
        <v>138</v>
      </c>
      <c r="AX56" s="862">
        <v>274</v>
      </c>
      <c r="AY56" s="862">
        <v>107</v>
      </c>
      <c r="AZ56" s="474">
        <v>4</v>
      </c>
      <c r="BA56" s="474" t="s">
        <v>546</v>
      </c>
      <c r="BB56" s="474" t="s">
        <v>546</v>
      </c>
      <c r="BC56" s="474" t="s">
        <v>546</v>
      </c>
      <c r="BD56" s="474" t="s">
        <v>546</v>
      </c>
      <c r="BE56" s="474" t="s">
        <v>546</v>
      </c>
      <c r="BH56" s="525"/>
      <c r="BI56" s="382" t="s">
        <v>4861</v>
      </c>
      <c r="BJ56" s="474" t="s">
        <v>546</v>
      </c>
      <c r="BK56" s="474" t="s">
        <v>546</v>
      </c>
      <c r="BL56" s="474" t="s">
        <v>546</v>
      </c>
      <c r="BP56" s="382" t="s">
        <v>4898</v>
      </c>
      <c r="BQ56" s="435" t="s">
        <v>546</v>
      </c>
      <c r="BR56" s="435" t="s">
        <v>546</v>
      </c>
      <c r="BS56" s="435" t="s">
        <v>546</v>
      </c>
      <c r="BT56" s="435" t="s">
        <v>546</v>
      </c>
      <c r="BU56" s="435" t="s">
        <v>546</v>
      </c>
      <c r="BV56" s="435" t="s">
        <v>546</v>
      </c>
      <c r="BW56" s="435" t="s">
        <v>546</v>
      </c>
      <c r="BX56" s="435" t="s">
        <v>546</v>
      </c>
      <c r="BY56" s="435" t="s">
        <v>546</v>
      </c>
      <c r="BZ56" s="435" t="s">
        <v>546</v>
      </c>
      <c r="CD56" s="382" t="s">
        <v>4932</v>
      </c>
      <c r="CE56" s="382"/>
      <c r="CF56" s="382"/>
      <c r="CG56" s="382"/>
      <c r="CH56" s="382"/>
      <c r="CI56" s="382"/>
      <c r="CJ56" s="382"/>
      <c r="CK56" s="382"/>
      <c r="CL56" s="382"/>
      <c r="CM56" s="382"/>
      <c r="CQ56" s="862"/>
    </row>
    <row r="57" spans="1:97">
      <c r="A57" s="391" t="s">
        <v>4988</v>
      </c>
      <c r="B57" s="624"/>
      <c r="C57" s="624"/>
      <c r="D57" s="624"/>
      <c r="E57" s="624"/>
      <c r="F57" s="624"/>
      <c r="G57" s="624"/>
      <c r="H57" s="624"/>
      <c r="L57" s="624"/>
      <c r="M57" s="624"/>
      <c r="N57" s="624"/>
      <c r="O57" s="624"/>
      <c r="P57" s="624"/>
      <c r="Q57" s="624"/>
      <c r="R57" s="624"/>
      <c r="S57" s="624"/>
      <c r="T57" s="624"/>
      <c r="X57" s="382" t="s">
        <v>4989</v>
      </c>
      <c r="Y57" s="382"/>
      <c r="AE57" s="862"/>
      <c r="AU57" s="382" t="s">
        <v>4892</v>
      </c>
      <c r="AV57" s="525">
        <f t="shared" ref="AV57:AV64" si="57">SUM(AW57:BE57)</f>
        <v>499</v>
      </c>
      <c r="AW57" s="474">
        <v>66</v>
      </c>
      <c r="AX57" s="862">
        <v>174</v>
      </c>
      <c r="AY57" s="862">
        <v>177</v>
      </c>
      <c r="AZ57" s="862">
        <v>79</v>
      </c>
      <c r="BA57" s="474">
        <v>3</v>
      </c>
      <c r="BB57" s="474" t="s">
        <v>546</v>
      </c>
      <c r="BC57" s="474" t="s">
        <v>546</v>
      </c>
      <c r="BD57" s="474" t="s">
        <v>546</v>
      </c>
      <c r="BE57" s="474" t="s">
        <v>546</v>
      </c>
      <c r="BH57" s="525"/>
      <c r="BI57" s="382" t="s">
        <v>4867</v>
      </c>
      <c r="BJ57" s="474" t="s">
        <v>546</v>
      </c>
      <c r="BK57" s="474" t="s">
        <v>546</v>
      </c>
      <c r="BL57" s="474" t="s">
        <v>546</v>
      </c>
      <c r="BP57" s="382" t="s">
        <v>4904</v>
      </c>
      <c r="BQ57" s="382">
        <f t="shared" ref="BQ57:BQ65" si="58">SUM(BR57:BZ57)</f>
        <v>4</v>
      </c>
      <c r="BR57" s="435" t="s">
        <v>546</v>
      </c>
      <c r="BS57" s="435" t="s">
        <v>546</v>
      </c>
      <c r="BT57" s="435" t="s">
        <v>546</v>
      </c>
      <c r="BU57" s="439">
        <v>2</v>
      </c>
      <c r="BV57" s="435" t="s">
        <v>546</v>
      </c>
      <c r="BW57" s="474">
        <v>1</v>
      </c>
      <c r="BX57" s="435" t="s">
        <v>546</v>
      </c>
      <c r="BY57" s="439">
        <v>1</v>
      </c>
      <c r="BZ57" s="435" t="s">
        <v>546</v>
      </c>
      <c r="CD57" s="391" t="s">
        <v>5000</v>
      </c>
      <c r="CE57" s="391"/>
      <c r="CF57" s="391"/>
      <c r="CG57" s="391"/>
      <c r="CH57" s="391"/>
      <c r="CI57" s="391"/>
      <c r="CJ57" s="391"/>
      <c r="CK57" s="382"/>
      <c r="CL57" s="382"/>
      <c r="CM57" s="382"/>
      <c r="CQ57" s="862"/>
    </row>
    <row r="58" spans="1:97">
      <c r="A58" s="391" t="s">
        <v>4990</v>
      </c>
      <c r="B58" s="624"/>
      <c r="C58" s="624"/>
      <c r="D58" s="624"/>
      <c r="E58" s="624"/>
      <c r="F58" s="624"/>
      <c r="G58" s="624"/>
      <c r="H58" s="624"/>
      <c r="L58" s="624" t="s">
        <v>4991</v>
      </c>
      <c r="M58" s="624"/>
      <c r="N58" s="624"/>
      <c r="O58" s="624"/>
      <c r="P58" s="624"/>
      <c r="Q58" s="624"/>
      <c r="R58" s="624"/>
      <c r="S58" s="624"/>
      <c r="T58" s="624"/>
      <c r="X58" s="615" t="s">
        <v>4992</v>
      </c>
      <c r="Y58" s="615"/>
      <c r="AU58" s="382" t="s">
        <v>4898</v>
      </c>
      <c r="AV58" s="525">
        <f t="shared" si="57"/>
        <v>561</v>
      </c>
      <c r="AW58" s="474">
        <v>49</v>
      </c>
      <c r="AX58" s="525">
        <v>136</v>
      </c>
      <c r="AY58" s="525">
        <v>142</v>
      </c>
      <c r="AZ58" s="525">
        <v>166</v>
      </c>
      <c r="BA58" s="525">
        <v>63</v>
      </c>
      <c r="BB58" s="474">
        <v>5</v>
      </c>
      <c r="BC58" s="474" t="s">
        <v>546</v>
      </c>
      <c r="BD58" s="474" t="s">
        <v>546</v>
      </c>
      <c r="BE58" s="474" t="s">
        <v>546</v>
      </c>
      <c r="BH58" s="525"/>
      <c r="BI58" s="382" t="s">
        <v>4880</v>
      </c>
      <c r="BJ58" s="474" t="s">
        <v>546</v>
      </c>
      <c r="BK58" s="474" t="s">
        <v>546</v>
      </c>
      <c r="BL58" s="474" t="s">
        <v>546</v>
      </c>
      <c r="BP58" s="382" t="s">
        <v>4907</v>
      </c>
      <c r="BQ58" s="382">
        <f t="shared" si="58"/>
        <v>8</v>
      </c>
      <c r="BR58" s="435" t="s">
        <v>546</v>
      </c>
      <c r="BS58" s="435" t="s">
        <v>546</v>
      </c>
      <c r="BT58" s="439">
        <v>1</v>
      </c>
      <c r="BU58" s="439">
        <v>4</v>
      </c>
      <c r="BV58" s="439">
        <v>1</v>
      </c>
      <c r="BW58" s="435" t="s">
        <v>546</v>
      </c>
      <c r="BX58" s="439">
        <v>1</v>
      </c>
      <c r="BY58" s="475">
        <v>1</v>
      </c>
      <c r="BZ58" s="435" t="s">
        <v>546</v>
      </c>
      <c r="CD58" s="391"/>
      <c r="CE58" s="391"/>
      <c r="CF58" s="391"/>
      <c r="CG58" s="391"/>
      <c r="CH58" s="391"/>
      <c r="CI58" s="391"/>
      <c r="CJ58" s="391"/>
      <c r="CK58" s="382"/>
      <c r="CL58" s="382"/>
      <c r="CM58" s="382"/>
      <c r="CQ58" s="862"/>
    </row>
    <row r="59" spans="1:97">
      <c r="A59" s="391" t="s">
        <v>4994</v>
      </c>
      <c r="B59" s="624"/>
      <c r="C59" s="624"/>
      <c r="D59" s="624"/>
      <c r="E59" s="624"/>
      <c r="F59" s="624"/>
      <c r="G59" s="624"/>
      <c r="H59" s="624"/>
      <c r="L59" s="624" t="s">
        <v>4995</v>
      </c>
      <c r="Q59" s="624"/>
      <c r="R59" s="624"/>
      <c r="S59" s="624"/>
      <c r="T59" s="624"/>
      <c r="X59" s="382" t="s">
        <v>4996</v>
      </c>
      <c r="Y59" s="382"/>
      <c r="AU59" s="382" t="s">
        <v>4904</v>
      </c>
      <c r="AV59" s="525">
        <f t="shared" si="57"/>
        <v>682</v>
      </c>
      <c r="AW59" s="474">
        <v>53</v>
      </c>
      <c r="AX59" s="525">
        <v>117</v>
      </c>
      <c r="AY59" s="525">
        <v>105</v>
      </c>
      <c r="AZ59" s="525">
        <v>140</v>
      </c>
      <c r="BA59" s="525">
        <v>148</v>
      </c>
      <c r="BB59" s="525">
        <v>118</v>
      </c>
      <c r="BC59" s="474">
        <v>1</v>
      </c>
      <c r="BD59" s="474" t="s">
        <v>546</v>
      </c>
      <c r="BE59" s="474" t="s">
        <v>546</v>
      </c>
      <c r="BH59" s="525"/>
      <c r="BI59" s="382" t="s">
        <v>4892</v>
      </c>
      <c r="BJ59" s="474" t="s">
        <v>546</v>
      </c>
      <c r="BK59" s="474" t="s">
        <v>546</v>
      </c>
      <c r="BL59" s="474" t="s">
        <v>546</v>
      </c>
      <c r="BP59" s="382" t="s">
        <v>4909</v>
      </c>
      <c r="BQ59" s="382">
        <f t="shared" si="58"/>
        <v>16</v>
      </c>
      <c r="BR59" s="435" t="s">
        <v>546</v>
      </c>
      <c r="BS59" s="435" t="s">
        <v>546</v>
      </c>
      <c r="BT59" s="474">
        <v>1</v>
      </c>
      <c r="BU59" s="439">
        <v>2</v>
      </c>
      <c r="BV59" s="439">
        <v>1</v>
      </c>
      <c r="BW59" s="439">
        <v>4</v>
      </c>
      <c r="BX59" s="439">
        <v>4</v>
      </c>
      <c r="BY59" s="439">
        <v>4</v>
      </c>
      <c r="BZ59" s="435" t="s">
        <v>546</v>
      </c>
      <c r="CD59" s="391"/>
      <c r="CE59" s="391"/>
      <c r="CF59" s="391"/>
      <c r="CG59" s="391"/>
      <c r="CH59" s="391"/>
      <c r="CI59" s="391"/>
      <c r="CJ59" s="391"/>
      <c r="CK59" s="382"/>
      <c r="CL59" s="382"/>
      <c r="CM59" s="382"/>
      <c r="CO59" s="1062"/>
      <c r="CQ59" s="862"/>
    </row>
    <row r="60" spans="1:97">
      <c r="A60" s="624" t="s">
        <v>4997</v>
      </c>
      <c r="B60" s="624"/>
      <c r="C60" s="624"/>
      <c r="D60" s="624"/>
      <c r="E60" s="624"/>
      <c r="L60" s="624" t="s">
        <v>4998</v>
      </c>
      <c r="M60" s="624"/>
      <c r="N60" s="624"/>
      <c r="O60" s="624"/>
      <c r="P60" s="624"/>
      <c r="Q60" s="624"/>
      <c r="R60" s="624"/>
      <c r="S60" s="624"/>
      <c r="T60" s="624"/>
      <c r="X60" s="612" t="s">
        <v>4999</v>
      </c>
      <c r="Y60" s="612"/>
      <c r="AU60" s="382" t="s">
        <v>4907</v>
      </c>
      <c r="AV60" s="525">
        <f t="shared" si="57"/>
        <v>761</v>
      </c>
      <c r="AW60" s="474">
        <v>51</v>
      </c>
      <c r="AX60" s="525">
        <v>97</v>
      </c>
      <c r="AY60" s="525">
        <v>101</v>
      </c>
      <c r="AZ60" s="525">
        <v>132</v>
      </c>
      <c r="BA60" s="525">
        <v>114</v>
      </c>
      <c r="BB60" s="525">
        <v>231</v>
      </c>
      <c r="BC60" s="525">
        <v>33</v>
      </c>
      <c r="BD60" s="474">
        <v>2</v>
      </c>
      <c r="BE60" s="474" t="s">
        <v>546</v>
      </c>
      <c r="BH60" s="525"/>
      <c r="BI60" s="382" t="s">
        <v>4898</v>
      </c>
      <c r="BJ60" s="474" t="s">
        <v>546</v>
      </c>
      <c r="BK60" s="474" t="s">
        <v>546</v>
      </c>
      <c r="BL60" s="474" t="s">
        <v>546</v>
      </c>
      <c r="BP60" s="382" t="s">
        <v>4911</v>
      </c>
      <c r="BQ60" s="382">
        <f t="shared" si="58"/>
        <v>19</v>
      </c>
      <c r="BR60" s="435" t="s">
        <v>546</v>
      </c>
      <c r="BS60" s="474">
        <v>1</v>
      </c>
      <c r="BT60" s="439">
        <v>1</v>
      </c>
      <c r="BU60" s="439">
        <v>8</v>
      </c>
      <c r="BV60" s="439">
        <v>3</v>
      </c>
      <c r="BW60" s="439">
        <v>4</v>
      </c>
      <c r="BX60" s="435" t="s">
        <v>546</v>
      </c>
      <c r="BY60" s="435" t="s">
        <v>546</v>
      </c>
      <c r="BZ60" s="439">
        <v>2</v>
      </c>
      <c r="CO60" s="1062"/>
      <c r="CQ60" s="862"/>
    </row>
    <row r="61" spans="1:97">
      <c r="A61" s="624"/>
      <c r="R61" s="624"/>
      <c r="AU61" s="382" t="s">
        <v>4909</v>
      </c>
      <c r="AV61" s="525">
        <f t="shared" si="57"/>
        <v>535</v>
      </c>
      <c r="AW61" s="474">
        <v>34</v>
      </c>
      <c r="AX61" s="525">
        <v>64</v>
      </c>
      <c r="AY61" s="525">
        <v>75</v>
      </c>
      <c r="AZ61" s="525">
        <v>125</v>
      </c>
      <c r="BA61" s="525">
        <v>66</v>
      </c>
      <c r="BB61" s="525">
        <v>113</v>
      </c>
      <c r="BC61" s="525">
        <v>41</v>
      </c>
      <c r="BD61" s="862">
        <v>15</v>
      </c>
      <c r="BE61" s="474">
        <v>2</v>
      </c>
      <c r="BH61" s="525"/>
      <c r="BI61" s="382" t="s">
        <v>4904</v>
      </c>
      <c r="BJ61" s="435">
        <f t="shared" ref="BJ61:BJ66" si="59">SUM(BK61:BL61)</f>
        <v>6</v>
      </c>
      <c r="BK61" s="463">
        <v>6</v>
      </c>
      <c r="BL61" s="474">
        <v>0</v>
      </c>
      <c r="BP61" s="382" t="s">
        <v>4914</v>
      </c>
      <c r="BQ61" s="382">
        <f t="shared" si="58"/>
        <v>31</v>
      </c>
      <c r="BR61" s="435" t="s">
        <v>546</v>
      </c>
      <c r="BS61" s="435" t="s">
        <v>546</v>
      </c>
      <c r="BT61" s="439">
        <v>2</v>
      </c>
      <c r="BU61" s="439">
        <v>11</v>
      </c>
      <c r="BV61" s="439">
        <v>7</v>
      </c>
      <c r="BW61" s="439">
        <v>5</v>
      </c>
      <c r="BX61" s="439">
        <v>5</v>
      </c>
      <c r="BY61" s="435" t="s">
        <v>546</v>
      </c>
      <c r="BZ61" s="435">
        <v>1</v>
      </c>
      <c r="CD61" s="382"/>
      <c r="CE61" s="382"/>
      <c r="CF61" s="382"/>
      <c r="CG61" s="382"/>
      <c r="CH61" s="382"/>
      <c r="CI61" s="382"/>
      <c r="CJ61" s="382"/>
      <c r="CO61" s="1062"/>
      <c r="CQ61" s="862"/>
    </row>
    <row r="62" spans="1:97" ht="14.25">
      <c r="M62" s="1083"/>
      <c r="N62" s="1083"/>
      <c r="O62" s="1083"/>
      <c r="P62" s="1083"/>
      <c r="AU62" s="382" t="s">
        <v>4911</v>
      </c>
      <c r="AV62" s="525">
        <f t="shared" si="57"/>
        <v>382</v>
      </c>
      <c r="AW62" s="474">
        <v>17</v>
      </c>
      <c r="AX62" s="525">
        <v>35</v>
      </c>
      <c r="AY62" s="525">
        <v>46</v>
      </c>
      <c r="AZ62" s="525">
        <v>91</v>
      </c>
      <c r="BA62" s="525">
        <v>60</v>
      </c>
      <c r="BB62" s="525">
        <v>90</v>
      </c>
      <c r="BC62" s="525">
        <v>30</v>
      </c>
      <c r="BD62" s="862">
        <v>13</v>
      </c>
      <c r="BE62" s="474" t="s">
        <v>546</v>
      </c>
      <c r="BH62" s="525"/>
      <c r="BI62" s="382" t="s">
        <v>4907</v>
      </c>
      <c r="BJ62" s="435">
        <f t="shared" si="59"/>
        <v>35</v>
      </c>
      <c r="BK62" s="463">
        <v>31</v>
      </c>
      <c r="BL62" s="463">
        <v>4</v>
      </c>
      <c r="BP62" s="382" t="s">
        <v>4919</v>
      </c>
      <c r="BQ62" s="382">
        <f t="shared" si="58"/>
        <v>33</v>
      </c>
      <c r="BR62" s="435" t="s">
        <v>546</v>
      </c>
      <c r="BS62" s="435" t="s">
        <v>546</v>
      </c>
      <c r="BT62" s="439">
        <v>3</v>
      </c>
      <c r="BU62" s="439">
        <v>10</v>
      </c>
      <c r="BV62" s="439">
        <v>7</v>
      </c>
      <c r="BW62" s="439">
        <v>6</v>
      </c>
      <c r="BX62" s="439">
        <v>5</v>
      </c>
      <c r="BY62" s="439">
        <v>2</v>
      </c>
      <c r="BZ62" s="435" t="s">
        <v>546</v>
      </c>
      <c r="CD62" s="382"/>
      <c r="CE62" s="382"/>
      <c r="CF62" s="382"/>
      <c r="CG62" s="382"/>
      <c r="CH62" s="382"/>
      <c r="CI62" s="382"/>
      <c r="CJ62" s="382"/>
      <c r="CO62" s="1062"/>
      <c r="CQ62" s="862"/>
    </row>
    <row r="63" spans="1:97">
      <c r="AU63" s="382" t="s">
        <v>4914</v>
      </c>
      <c r="AV63" s="525">
        <f t="shared" si="57"/>
        <v>152</v>
      </c>
      <c r="AW63" s="474">
        <v>3</v>
      </c>
      <c r="AX63" s="525">
        <v>16</v>
      </c>
      <c r="AY63" s="525">
        <v>19</v>
      </c>
      <c r="AZ63" s="525">
        <v>28</v>
      </c>
      <c r="BA63" s="525">
        <v>31</v>
      </c>
      <c r="BB63" s="525">
        <v>38</v>
      </c>
      <c r="BC63" s="525">
        <v>14</v>
      </c>
      <c r="BD63" s="474">
        <v>3</v>
      </c>
      <c r="BE63" s="474" t="s">
        <v>546</v>
      </c>
      <c r="BI63" s="382" t="s">
        <v>4909</v>
      </c>
      <c r="BJ63" s="435">
        <f t="shared" si="59"/>
        <v>36</v>
      </c>
      <c r="BK63" s="463">
        <v>30</v>
      </c>
      <c r="BL63" s="463">
        <v>6</v>
      </c>
      <c r="BP63" s="382" t="s">
        <v>4922</v>
      </c>
      <c r="BQ63" s="382">
        <f t="shared" si="58"/>
        <v>26</v>
      </c>
      <c r="BR63" s="435" t="s">
        <v>546</v>
      </c>
      <c r="BS63" s="435" t="s">
        <v>546</v>
      </c>
      <c r="BT63" s="439">
        <v>2</v>
      </c>
      <c r="BU63" s="439">
        <v>8</v>
      </c>
      <c r="BV63" s="439">
        <v>6</v>
      </c>
      <c r="BW63" s="439">
        <v>6</v>
      </c>
      <c r="BX63" s="439">
        <v>4</v>
      </c>
      <c r="BY63" s="435" t="s">
        <v>546</v>
      </c>
      <c r="BZ63" s="435" t="s">
        <v>546</v>
      </c>
      <c r="CD63" s="382"/>
      <c r="CE63" s="382"/>
      <c r="CF63" s="382"/>
      <c r="CG63" s="382"/>
      <c r="CH63" s="382"/>
      <c r="CI63" s="382"/>
      <c r="CJ63" s="382"/>
      <c r="CK63" s="2172"/>
      <c r="CL63" s="2172"/>
      <c r="CM63" s="2172"/>
      <c r="CO63" s="1062"/>
      <c r="CQ63" s="862"/>
    </row>
    <row r="64" spans="1:97">
      <c r="AU64" s="381" t="s">
        <v>4916</v>
      </c>
      <c r="AV64" s="633">
        <f t="shared" si="57"/>
        <v>72</v>
      </c>
      <c r="AW64" s="1073">
        <v>4</v>
      </c>
      <c r="AX64" s="866">
        <v>5</v>
      </c>
      <c r="AY64" s="866">
        <v>1</v>
      </c>
      <c r="AZ64" s="866">
        <v>16</v>
      </c>
      <c r="BA64" s="633">
        <v>21</v>
      </c>
      <c r="BB64" s="633">
        <v>15</v>
      </c>
      <c r="BC64" s="633">
        <v>6</v>
      </c>
      <c r="BD64" s="866">
        <v>3</v>
      </c>
      <c r="BE64" s="1073">
        <v>1</v>
      </c>
      <c r="BH64" s="525"/>
      <c r="BI64" s="382" t="s">
        <v>4911</v>
      </c>
      <c r="BJ64" s="435">
        <f t="shared" si="59"/>
        <v>19</v>
      </c>
      <c r="BK64" s="463">
        <v>18</v>
      </c>
      <c r="BL64" s="463">
        <v>1</v>
      </c>
      <c r="BP64" s="382" t="s">
        <v>4926</v>
      </c>
      <c r="BQ64" s="382">
        <f t="shared" si="58"/>
        <v>19</v>
      </c>
      <c r="BR64" s="435" t="s">
        <v>546</v>
      </c>
      <c r="BS64" s="435" t="s">
        <v>546</v>
      </c>
      <c r="BT64" s="435" t="s">
        <v>546</v>
      </c>
      <c r="BU64" s="439">
        <v>11</v>
      </c>
      <c r="BV64" s="439">
        <v>7</v>
      </c>
      <c r="BW64" s="435" t="s">
        <v>546</v>
      </c>
      <c r="BX64" s="439">
        <v>1</v>
      </c>
      <c r="BY64" s="435" t="s">
        <v>546</v>
      </c>
      <c r="BZ64" s="435" t="s">
        <v>546</v>
      </c>
      <c r="CD64" s="382"/>
      <c r="CE64" s="382"/>
      <c r="CF64" s="382"/>
      <c r="CG64" s="382"/>
      <c r="CH64" s="382"/>
      <c r="CI64" s="382"/>
      <c r="CJ64" s="382"/>
      <c r="CK64" s="599"/>
      <c r="CL64" s="599"/>
      <c r="CM64" s="599"/>
      <c r="CQ64" s="862"/>
    </row>
    <row r="65" spans="24:97">
      <c r="X65" s="382"/>
      <c r="Y65" s="382"/>
      <c r="AU65" s="382" t="s">
        <v>4932</v>
      </c>
      <c r="BH65" s="525"/>
      <c r="BI65" s="382" t="s">
        <v>4914</v>
      </c>
      <c r="BJ65" s="435">
        <f t="shared" si="59"/>
        <v>4</v>
      </c>
      <c r="BK65" s="463">
        <v>2</v>
      </c>
      <c r="BL65" s="463">
        <v>2</v>
      </c>
      <c r="BP65" s="382" t="s">
        <v>4928</v>
      </c>
      <c r="BQ65" s="382">
        <f t="shared" si="58"/>
        <v>8</v>
      </c>
      <c r="BR65" s="435" t="s">
        <v>546</v>
      </c>
      <c r="BS65" s="435" t="s">
        <v>546</v>
      </c>
      <c r="BT65" s="439">
        <v>2</v>
      </c>
      <c r="BU65" s="439">
        <v>1</v>
      </c>
      <c r="BV65" s="435">
        <v>2</v>
      </c>
      <c r="BW65" s="439">
        <v>2</v>
      </c>
      <c r="BX65" s="474">
        <v>1</v>
      </c>
      <c r="BY65" s="435" t="s">
        <v>546</v>
      </c>
      <c r="BZ65" s="435" t="s">
        <v>546</v>
      </c>
      <c r="CD65" s="382"/>
      <c r="CE65" s="382"/>
      <c r="CF65" s="382"/>
      <c r="CG65" s="382"/>
      <c r="CH65" s="382"/>
      <c r="CI65" s="382"/>
      <c r="CJ65" s="382"/>
      <c r="CK65" s="463"/>
      <c r="CL65" s="463"/>
      <c r="CM65" s="463"/>
      <c r="CQ65" s="862"/>
    </row>
    <row r="66" spans="24:97">
      <c r="AB66" s="599"/>
      <c r="AC66" s="599"/>
      <c r="BH66" s="525"/>
      <c r="BI66" s="381" t="s">
        <v>4916</v>
      </c>
      <c r="BJ66" s="556">
        <f t="shared" si="59"/>
        <v>2</v>
      </c>
      <c r="BK66" s="497">
        <v>2</v>
      </c>
      <c r="BL66" s="1073">
        <v>0</v>
      </c>
      <c r="BP66" s="381" t="s">
        <v>4930</v>
      </c>
      <c r="BQ66" s="556" t="s">
        <v>546</v>
      </c>
      <c r="BR66" s="556" t="s">
        <v>546</v>
      </c>
      <c r="BS66" s="556" t="s">
        <v>546</v>
      </c>
      <c r="BT66" s="556" t="s">
        <v>546</v>
      </c>
      <c r="BU66" s="556" t="s">
        <v>546</v>
      </c>
      <c r="BV66" s="556" t="s">
        <v>546</v>
      </c>
      <c r="BW66" s="556" t="s">
        <v>546</v>
      </c>
      <c r="BX66" s="556" t="s">
        <v>546</v>
      </c>
      <c r="BY66" s="556" t="s">
        <v>546</v>
      </c>
      <c r="BZ66" s="556" t="s">
        <v>546</v>
      </c>
      <c r="CD66" s="382"/>
      <c r="CE66" s="382"/>
      <c r="CF66" s="382"/>
      <c r="CG66" s="382"/>
      <c r="CH66" s="382"/>
      <c r="CI66" s="382"/>
      <c r="CJ66" s="382"/>
      <c r="CK66" s="463"/>
      <c r="CL66" s="463"/>
      <c r="CM66" s="463"/>
      <c r="CQ66" s="862"/>
    </row>
    <row r="67" spans="24:97">
      <c r="X67" s="1053"/>
      <c r="Y67" s="764"/>
      <c r="Z67" s="764"/>
      <c r="AA67" s="525"/>
      <c r="AB67" s="525"/>
      <c r="AC67" s="525"/>
      <c r="AD67" s="599"/>
      <c r="AF67" s="525"/>
      <c r="AG67" s="525"/>
      <c r="BH67" s="525"/>
      <c r="BI67" s="382" t="s">
        <v>4932</v>
      </c>
      <c r="BJ67" s="382"/>
      <c r="BK67" s="382"/>
      <c r="BL67" s="382"/>
      <c r="BP67" s="382" t="s">
        <v>4932</v>
      </c>
      <c r="BQ67" s="382"/>
      <c r="BR67" s="382"/>
      <c r="BS67" s="382"/>
      <c r="BT67" s="382"/>
      <c r="BU67" s="382"/>
      <c r="BV67" s="382"/>
      <c r="BW67" s="382"/>
      <c r="BX67" s="382"/>
      <c r="BY67" s="382"/>
      <c r="BZ67" s="382"/>
      <c r="CD67" s="1067"/>
      <c r="CE67" s="1067"/>
      <c r="CF67" s="1067"/>
      <c r="CG67" s="1067"/>
      <c r="CH67" s="1067"/>
      <c r="CI67" s="1067"/>
      <c r="CJ67" s="1067"/>
      <c r="CK67" s="463"/>
      <c r="CL67" s="463"/>
      <c r="CM67" s="463"/>
      <c r="CQ67" s="862"/>
    </row>
    <row r="68" spans="24:97">
      <c r="Y68" s="525"/>
      <c r="Z68" s="525"/>
      <c r="AA68" s="525"/>
      <c r="AB68" s="525"/>
      <c r="AC68" s="525"/>
      <c r="AD68" s="525"/>
      <c r="AE68" s="525"/>
      <c r="BH68" s="525"/>
      <c r="CD68" s="1067"/>
      <c r="CE68" s="1067"/>
      <c r="CF68" s="1067"/>
      <c r="CG68" s="1067"/>
      <c r="CH68" s="1067"/>
      <c r="CI68" s="1067"/>
      <c r="CJ68" s="1067"/>
      <c r="CK68" s="463"/>
      <c r="CL68" s="463"/>
      <c r="CM68" s="463"/>
      <c r="CQ68" s="862"/>
    </row>
    <row r="69" spans="24:97">
      <c r="X69" s="382"/>
      <c r="Y69" s="463"/>
      <c r="Z69" s="463"/>
      <c r="AA69" s="525"/>
      <c r="AB69" s="525"/>
      <c r="AC69" s="525"/>
      <c r="AD69" s="525"/>
      <c r="AU69" s="382" t="s">
        <v>5001</v>
      </c>
      <c r="AV69" s="382"/>
      <c r="AW69" s="382"/>
      <c r="AX69" s="382"/>
      <c r="AY69" s="382"/>
      <c r="AZ69" s="382"/>
      <c r="BA69" s="382"/>
      <c r="BB69" s="382"/>
      <c r="BC69" s="382"/>
      <c r="BD69" s="382"/>
      <c r="BE69" s="870"/>
      <c r="BH69" s="525"/>
      <c r="CD69" s="1067"/>
      <c r="CE69" s="1067"/>
      <c r="CF69" s="1067"/>
      <c r="CG69" s="1067"/>
      <c r="CH69" s="1067"/>
      <c r="CI69" s="1067"/>
      <c r="CJ69" s="1067"/>
      <c r="CK69" s="463"/>
      <c r="CL69" s="463"/>
      <c r="CM69" s="463"/>
      <c r="CQ69" s="862"/>
    </row>
    <row r="70" spans="24:97">
      <c r="Y70" s="525"/>
      <c r="Z70" s="525"/>
      <c r="AA70" s="525"/>
      <c r="AB70" s="525"/>
      <c r="AC70" s="525"/>
      <c r="AD70" s="525"/>
      <c r="AU70" s="597"/>
      <c r="AV70" s="404" t="s">
        <v>129</v>
      </c>
      <c r="AW70" s="2098" t="s">
        <v>4829</v>
      </c>
      <c r="AX70" s="2098"/>
      <c r="AY70" s="2098"/>
      <c r="AZ70" s="2098"/>
      <c r="BA70" s="2098"/>
      <c r="BB70" s="2098"/>
      <c r="BC70" s="2098"/>
      <c r="BD70" s="2098"/>
      <c r="BE70" s="2078"/>
      <c r="BH70" s="525"/>
      <c r="CD70" s="1067"/>
      <c r="CE70" s="1067"/>
      <c r="CF70" s="1067"/>
      <c r="CG70" s="1067"/>
      <c r="CH70" s="1067"/>
      <c r="CI70" s="1067"/>
      <c r="CJ70" s="1067"/>
      <c r="CK70" s="463"/>
      <c r="CL70" s="463"/>
      <c r="CM70" s="463"/>
      <c r="CP70" s="525"/>
      <c r="CQ70" s="862"/>
      <c r="CR70" s="525"/>
      <c r="CS70" s="525"/>
    </row>
    <row r="71" spans="24:97">
      <c r="Z71" s="525"/>
      <c r="AA71" s="525"/>
      <c r="AB71" s="525"/>
      <c r="AC71" s="525"/>
      <c r="AD71" s="525"/>
      <c r="AU71" s="610" t="s">
        <v>2449</v>
      </c>
      <c r="AV71" s="441" t="s">
        <v>4832</v>
      </c>
      <c r="AW71" s="642" t="s">
        <v>4833</v>
      </c>
      <c r="AX71" s="1054" t="s">
        <v>4834</v>
      </c>
      <c r="AY71" s="1054" t="s">
        <v>4835</v>
      </c>
      <c r="AZ71" s="642" t="s">
        <v>4836</v>
      </c>
      <c r="BA71" s="642" t="s">
        <v>2452</v>
      </c>
      <c r="BB71" s="642" t="s">
        <v>2453</v>
      </c>
      <c r="BC71" s="642" t="s">
        <v>2454</v>
      </c>
      <c r="BD71" s="642" t="s">
        <v>2455</v>
      </c>
      <c r="BE71" s="664" t="s">
        <v>4837</v>
      </c>
      <c r="BH71" s="525"/>
      <c r="BI71" s="585" t="s">
        <v>5002</v>
      </c>
      <c r="BP71" s="382" t="s">
        <v>5003</v>
      </c>
      <c r="BQ71" s="382"/>
      <c r="BR71" s="382"/>
      <c r="BS71" s="382"/>
      <c r="BT71" s="382"/>
      <c r="BU71" s="382"/>
      <c r="BV71" s="382"/>
      <c r="BW71" s="382"/>
      <c r="BX71" s="382"/>
      <c r="BY71" s="382"/>
      <c r="BZ71" s="382"/>
      <c r="CD71" s="1067"/>
      <c r="CE71" s="1067"/>
      <c r="CF71" s="1067"/>
      <c r="CG71" s="1067"/>
      <c r="CH71" s="1067"/>
      <c r="CI71" s="1067"/>
      <c r="CJ71" s="1067"/>
      <c r="CK71" s="463"/>
      <c r="CL71" s="463"/>
      <c r="CM71" s="463"/>
    </row>
    <row r="72" spans="24:97">
      <c r="X72" s="382"/>
      <c r="Y72" s="382"/>
      <c r="AD72" s="525"/>
      <c r="AU72" s="382" t="s">
        <v>4852</v>
      </c>
      <c r="AV72" s="525">
        <f>SUM(AV73:AV84)</f>
        <v>933</v>
      </c>
      <c r="AW72" s="525">
        <f>SUM(AW73:AW84)</f>
        <v>13</v>
      </c>
      <c r="AX72" s="525">
        <f>SUM(AX73:AX84)</f>
        <v>14</v>
      </c>
      <c r="AY72" s="525">
        <f t="shared" ref="AY72:BD72" si="60">SUM(AY73:AY84)</f>
        <v>27</v>
      </c>
      <c r="AZ72" s="525">
        <f t="shared" si="60"/>
        <v>32</v>
      </c>
      <c r="BA72" s="525">
        <f t="shared" si="60"/>
        <v>31</v>
      </c>
      <c r="BB72" s="525">
        <f t="shared" si="60"/>
        <v>256</v>
      </c>
      <c r="BC72" s="525">
        <f t="shared" si="60"/>
        <v>415</v>
      </c>
      <c r="BD72" s="525">
        <f t="shared" si="60"/>
        <v>110</v>
      </c>
      <c r="BE72" s="525">
        <f>SUM(BE73:BE84)</f>
        <v>35</v>
      </c>
      <c r="BH72" s="525"/>
      <c r="BI72" s="382" t="s">
        <v>8725</v>
      </c>
      <c r="BP72" s="597"/>
      <c r="BQ72" s="404"/>
      <c r="BR72" s="2098" t="s">
        <v>4863</v>
      </c>
      <c r="BS72" s="2098"/>
      <c r="BT72" s="2098"/>
      <c r="BU72" s="2098"/>
      <c r="BV72" s="2098"/>
      <c r="BW72" s="2098"/>
      <c r="BX72" s="2098"/>
      <c r="BY72" s="2098"/>
      <c r="BZ72" s="2078"/>
      <c r="CD72" s="1067"/>
      <c r="CE72" s="1067"/>
      <c r="CF72" s="1067"/>
      <c r="CG72" s="1067"/>
      <c r="CH72" s="1067"/>
      <c r="CI72" s="1067"/>
      <c r="CJ72" s="1067"/>
      <c r="CK72" s="463"/>
      <c r="CL72" s="463"/>
      <c r="CM72" s="463"/>
    </row>
    <row r="73" spans="24:97">
      <c r="X73" s="615"/>
      <c r="Y73" s="615"/>
      <c r="AU73" s="382" t="s">
        <v>4855</v>
      </c>
      <c r="AV73" s="474">
        <f>SUM(AW73:BE73)</f>
        <v>0</v>
      </c>
      <c r="AW73" s="474" t="s">
        <v>546</v>
      </c>
      <c r="AX73" s="474" t="s">
        <v>546</v>
      </c>
      <c r="AY73" s="474" t="s">
        <v>546</v>
      </c>
      <c r="AZ73" s="474" t="s">
        <v>546</v>
      </c>
      <c r="BA73" s="474" t="s">
        <v>546</v>
      </c>
      <c r="BB73" s="474" t="s">
        <v>546</v>
      </c>
      <c r="BC73" s="474" t="s">
        <v>546</v>
      </c>
      <c r="BD73" s="474" t="s">
        <v>546</v>
      </c>
      <c r="BE73" s="474" t="s">
        <v>546</v>
      </c>
      <c r="BH73" s="525"/>
      <c r="BI73" s="597"/>
      <c r="BJ73" s="2173">
        <v>45199</v>
      </c>
      <c r="BK73" s="2102"/>
      <c r="BL73" s="2102"/>
      <c r="BP73" s="493"/>
      <c r="BQ73" s="667" t="s">
        <v>129</v>
      </c>
      <c r="BR73" s="667" t="s">
        <v>4868</v>
      </c>
      <c r="BS73" s="667" t="s">
        <v>4869</v>
      </c>
      <c r="BT73" s="667" t="s">
        <v>4870</v>
      </c>
      <c r="BU73" s="667" t="s">
        <v>4871</v>
      </c>
      <c r="BV73" s="667" t="s">
        <v>4872</v>
      </c>
      <c r="BW73" s="667" t="s">
        <v>4873</v>
      </c>
      <c r="BX73" s="667" t="s">
        <v>4874</v>
      </c>
      <c r="BY73" s="667" t="s">
        <v>4875</v>
      </c>
      <c r="BZ73" s="465" t="s">
        <v>4876</v>
      </c>
      <c r="CD73" s="1067"/>
      <c r="CE73" s="1067"/>
      <c r="CF73" s="1067"/>
      <c r="CG73" s="1067"/>
      <c r="CH73" s="1067"/>
      <c r="CI73" s="1067"/>
      <c r="CJ73" s="1067"/>
      <c r="CK73" s="463"/>
      <c r="CL73" s="463"/>
      <c r="CM73" s="463"/>
    </row>
    <row r="74" spans="24:97">
      <c r="X74" s="382"/>
      <c r="Y74" s="382"/>
      <c r="AU74" s="382" t="s">
        <v>4861</v>
      </c>
      <c r="AV74" s="474">
        <f t="shared" ref="AV74:AV84" si="61">SUM(AW74:BE74)</f>
        <v>0</v>
      </c>
      <c r="AW74" s="474" t="s">
        <v>546</v>
      </c>
      <c r="AX74" s="474" t="s">
        <v>546</v>
      </c>
      <c r="AY74" s="474" t="s">
        <v>546</v>
      </c>
      <c r="AZ74" s="474" t="s">
        <v>546</v>
      </c>
      <c r="BA74" s="474" t="s">
        <v>546</v>
      </c>
      <c r="BB74" s="474" t="s">
        <v>546</v>
      </c>
      <c r="BC74" s="474" t="s">
        <v>546</v>
      </c>
      <c r="BD74" s="474" t="s">
        <v>546</v>
      </c>
      <c r="BE74" s="474" t="s">
        <v>546</v>
      </c>
      <c r="BH74" s="525"/>
      <c r="BI74" s="610" t="s">
        <v>2449</v>
      </c>
      <c r="BJ74" s="642" t="s">
        <v>129</v>
      </c>
      <c r="BK74" s="642" t="s">
        <v>3039</v>
      </c>
      <c r="BL74" s="664" t="s">
        <v>3046</v>
      </c>
      <c r="BN74" s="598"/>
      <c r="BP74" s="610" t="s">
        <v>2449</v>
      </c>
      <c r="BQ74" s="441" t="s">
        <v>4832</v>
      </c>
      <c r="BR74" s="441" t="s">
        <v>4881</v>
      </c>
      <c r="BS74" s="441" t="s">
        <v>4882</v>
      </c>
      <c r="BT74" s="441" t="s">
        <v>4883</v>
      </c>
      <c r="BU74" s="441" t="s">
        <v>4884</v>
      </c>
      <c r="BV74" s="441" t="s">
        <v>4885</v>
      </c>
      <c r="BW74" s="441" t="s">
        <v>4886</v>
      </c>
      <c r="BX74" s="441" t="s">
        <v>4887</v>
      </c>
      <c r="BY74" s="441" t="s">
        <v>4876</v>
      </c>
      <c r="BZ74" s="442" t="s">
        <v>4888</v>
      </c>
      <c r="CD74" s="1067"/>
      <c r="CE74" s="1067"/>
      <c r="CF74" s="1067"/>
      <c r="CG74" s="1067"/>
      <c r="CH74" s="1067"/>
      <c r="CI74" s="1067"/>
      <c r="CJ74" s="1067"/>
      <c r="CK74" s="463"/>
      <c r="CL74" s="463"/>
      <c r="CM74" s="463"/>
    </row>
    <row r="75" spans="24:97">
      <c r="X75" s="612"/>
      <c r="Y75" s="612"/>
      <c r="AU75" s="382" t="s">
        <v>4867</v>
      </c>
      <c r="AV75" s="474">
        <f t="shared" si="61"/>
        <v>0</v>
      </c>
      <c r="AW75" s="474" t="s">
        <v>546</v>
      </c>
      <c r="AX75" s="474" t="s">
        <v>546</v>
      </c>
      <c r="AY75" s="474" t="s">
        <v>546</v>
      </c>
      <c r="AZ75" s="474" t="s">
        <v>546</v>
      </c>
      <c r="BA75" s="474" t="s">
        <v>546</v>
      </c>
      <c r="BB75" s="474" t="s">
        <v>546</v>
      </c>
      <c r="BC75" s="474" t="s">
        <v>546</v>
      </c>
      <c r="BD75" s="474" t="s">
        <v>546</v>
      </c>
      <c r="BE75" s="474" t="s">
        <v>546</v>
      </c>
      <c r="BH75" s="525"/>
      <c r="BI75" s="382" t="s">
        <v>4893</v>
      </c>
      <c r="BJ75" s="463">
        <f>SUM(BK75:BL75)</f>
        <v>2640</v>
      </c>
      <c r="BK75" s="463">
        <f>SUM(BK76:BK87)</f>
        <v>1272</v>
      </c>
      <c r="BL75" s="463">
        <f>SUM(BL76:BL87)</f>
        <v>1368</v>
      </c>
      <c r="BN75" s="599"/>
      <c r="BP75" s="1066" t="s">
        <v>4894</v>
      </c>
      <c r="BQ75" s="463">
        <f>SUM(BQ76:BQ87)</f>
        <v>5408</v>
      </c>
      <c r="BR75" s="463">
        <f>SUM(BR76:BR87)</f>
        <v>10</v>
      </c>
      <c r="BS75" s="463">
        <f>SUM(BS76:BS87)</f>
        <v>54</v>
      </c>
      <c r="BT75" s="463">
        <f t="shared" ref="BT75:BV75" si="62">SUM(BT76:BT87)</f>
        <v>248</v>
      </c>
      <c r="BU75" s="463">
        <f t="shared" si="62"/>
        <v>378</v>
      </c>
      <c r="BV75" s="463">
        <f t="shared" si="62"/>
        <v>568</v>
      </c>
      <c r="BW75" s="463">
        <f>SUM(BW76:BW87)</f>
        <v>707</v>
      </c>
      <c r="BX75" s="463">
        <f t="shared" ref="BX75:BZ75" si="63">SUM(BX76:BX87)</f>
        <v>1305</v>
      </c>
      <c r="BY75" s="463">
        <f t="shared" si="63"/>
        <v>929</v>
      </c>
      <c r="BZ75" s="463">
        <f t="shared" si="63"/>
        <v>1209</v>
      </c>
      <c r="CD75" s="1067"/>
      <c r="CE75" s="1067"/>
      <c r="CF75" s="1067"/>
      <c r="CG75" s="1067"/>
      <c r="CH75" s="1067"/>
      <c r="CI75" s="1067"/>
      <c r="CJ75" s="1067"/>
      <c r="CK75" s="463"/>
      <c r="CL75" s="463"/>
      <c r="CM75" s="463"/>
    </row>
    <row r="76" spans="24:97">
      <c r="AA76" s="525"/>
      <c r="AU76" s="382" t="s">
        <v>4880</v>
      </c>
      <c r="AV76" s="474">
        <f t="shared" si="61"/>
        <v>0</v>
      </c>
      <c r="AW76" s="474" t="s">
        <v>546</v>
      </c>
      <c r="AX76" s="474" t="s">
        <v>546</v>
      </c>
      <c r="AY76" s="474" t="s">
        <v>546</v>
      </c>
      <c r="AZ76" s="474" t="s">
        <v>546</v>
      </c>
      <c r="BA76" s="474" t="s">
        <v>546</v>
      </c>
      <c r="BB76" s="474" t="s">
        <v>546</v>
      </c>
      <c r="BC76" s="474" t="s">
        <v>546</v>
      </c>
      <c r="BD76" s="474" t="s">
        <v>546</v>
      </c>
      <c r="BE76" s="474" t="s">
        <v>546</v>
      </c>
      <c r="BH76" s="525"/>
      <c r="BI76" s="382" t="s">
        <v>4855</v>
      </c>
      <c r="BJ76" s="474" t="s">
        <v>546</v>
      </c>
      <c r="BK76" s="474" t="s">
        <v>546</v>
      </c>
      <c r="BL76" s="474" t="s">
        <v>546</v>
      </c>
      <c r="BN76" s="525"/>
      <c r="BP76" s="382" t="s">
        <v>4899</v>
      </c>
      <c r="BQ76" s="435" t="s">
        <v>546</v>
      </c>
      <c r="BR76" s="435" t="s">
        <v>546</v>
      </c>
      <c r="BS76" s="435" t="s">
        <v>546</v>
      </c>
      <c r="BT76" s="435" t="s">
        <v>546</v>
      </c>
      <c r="BU76" s="435" t="s">
        <v>546</v>
      </c>
      <c r="BV76" s="435" t="s">
        <v>546</v>
      </c>
      <c r="BW76" s="435" t="s">
        <v>546</v>
      </c>
      <c r="BX76" s="435" t="s">
        <v>546</v>
      </c>
      <c r="BY76" s="435" t="s">
        <v>546</v>
      </c>
      <c r="BZ76" s="435" t="s">
        <v>546</v>
      </c>
      <c r="CD76" s="1067"/>
      <c r="CE76" s="1067"/>
      <c r="CF76" s="1067"/>
      <c r="CG76" s="1067"/>
      <c r="CH76" s="1067"/>
      <c r="CI76" s="1067"/>
      <c r="CJ76" s="1067"/>
      <c r="CK76" s="463"/>
      <c r="CL76" s="463"/>
      <c r="CM76" s="463"/>
      <c r="CP76" s="870"/>
    </row>
    <row r="77" spans="24:97">
      <c r="AA77" s="525"/>
      <c r="AU77" s="382" t="s">
        <v>4892</v>
      </c>
      <c r="AV77" s="474">
        <f t="shared" si="61"/>
        <v>0</v>
      </c>
      <c r="AW77" s="474" t="s">
        <v>546</v>
      </c>
      <c r="AX77" s="474" t="s">
        <v>546</v>
      </c>
      <c r="AY77" s="474" t="s">
        <v>546</v>
      </c>
      <c r="AZ77" s="474" t="s">
        <v>546</v>
      </c>
      <c r="BA77" s="474" t="s">
        <v>546</v>
      </c>
      <c r="BB77" s="474" t="s">
        <v>546</v>
      </c>
      <c r="BC77" s="474" t="s">
        <v>546</v>
      </c>
      <c r="BD77" s="474" t="s">
        <v>546</v>
      </c>
      <c r="BE77" s="474" t="s">
        <v>546</v>
      </c>
      <c r="BI77" s="382" t="s">
        <v>4861</v>
      </c>
      <c r="BJ77" s="463">
        <f>SUM(BK77:BL77)</f>
        <v>4</v>
      </c>
      <c r="BK77" s="435">
        <v>2</v>
      </c>
      <c r="BL77" s="435">
        <v>2</v>
      </c>
      <c r="BM77" s="1084"/>
      <c r="BP77" s="382" t="s">
        <v>4898</v>
      </c>
      <c r="BQ77" s="435" t="s">
        <v>546</v>
      </c>
      <c r="BR77" s="435" t="s">
        <v>546</v>
      </c>
      <c r="BS77" s="435" t="s">
        <v>546</v>
      </c>
      <c r="BT77" s="435" t="s">
        <v>546</v>
      </c>
      <c r="BU77" s="435" t="s">
        <v>546</v>
      </c>
      <c r="BV77" s="435" t="s">
        <v>546</v>
      </c>
      <c r="BW77" s="435" t="s">
        <v>546</v>
      </c>
      <c r="BX77" s="435" t="s">
        <v>546</v>
      </c>
      <c r="BY77" s="435" t="s">
        <v>546</v>
      </c>
      <c r="BZ77" s="435" t="s">
        <v>546</v>
      </c>
      <c r="CD77" s="1067"/>
      <c r="CE77" s="1067"/>
      <c r="CF77" s="1067"/>
      <c r="CG77" s="1067"/>
      <c r="CH77" s="1067"/>
      <c r="CI77" s="1067"/>
      <c r="CJ77" s="1067"/>
      <c r="CK77" s="463"/>
      <c r="CL77" s="463"/>
      <c r="CM77" s="463"/>
    </row>
    <row r="78" spans="24:97">
      <c r="AU78" s="382" t="s">
        <v>4898</v>
      </c>
      <c r="AV78" s="474">
        <f t="shared" si="61"/>
        <v>0</v>
      </c>
      <c r="AW78" s="474" t="s">
        <v>546</v>
      </c>
      <c r="AX78" s="474" t="s">
        <v>546</v>
      </c>
      <c r="AY78" s="474" t="s">
        <v>546</v>
      </c>
      <c r="AZ78" s="474" t="s">
        <v>546</v>
      </c>
      <c r="BA78" s="474" t="s">
        <v>546</v>
      </c>
      <c r="BB78" s="474" t="s">
        <v>546</v>
      </c>
      <c r="BC78" s="474" t="s">
        <v>546</v>
      </c>
      <c r="BD78" s="474" t="s">
        <v>546</v>
      </c>
      <c r="BE78" s="474" t="s">
        <v>546</v>
      </c>
      <c r="BI78" s="382" t="s">
        <v>4867</v>
      </c>
      <c r="BJ78" s="463">
        <f t="shared" ref="BJ78:BJ87" si="64">SUM(BK78:BL78)</f>
        <v>40</v>
      </c>
      <c r="BK78" s="435">
        <v>24</v>
      </c>
      <c r="BL78" s="435">
        <v>16</v>
      </c>
      <c r="BM78" s="439"/>
      <c r="BP78" s="382" t="s">
        <v>4904</v>
      </c>
      <c r="BQ78" s="439">
        <f t="shared" ref="BQ78:BQ87" si="65">SUM(BR78:BZ78)</f>
        <v>9</v>
      </c>
      <c r="BR78" s="475" t="s">
        <v>546</v>
      </c>
      <c r="BS78" s="475" t="s">
        <v>546</v>
      </c>
      <c r="BT78" s="475" t="s">
        <v>546</v>
      </c>
      <c r="BU78" s="475" t="s">
        <v>546</v>
      </c>
      <c r="BV78" s="439">
        <v>1</v>
      </c>
      <c r="BW78" s="439">
        <v>4</v>
      </c>
      <c r="BX78" s="435">
        <v>1</v>
      </c>
      <c r="BY78" s="435">
        <v>0</v>
      </c>
      <c r="BZ78" s="439">
        <v>3</v>
      </c>
      <c r="CD78" s="1067"/>
      <c r="CE78" s="1067"/>
      <c r="CF78" s="1067"/>
      <c r="CG78" s="1067"/>
      <c r="CH78" s="1067"/>
      <c r="CI78" s="1067"/>
      <c r="CJ78" s="1067"/>
      <c r="CK78" s="463"/>
      <c r="CL78" s="463"/>
      <c r="CM78" s="463"/>
      <c r="CQ78" s="1002"/>
    </row>
    <row r="79" spans="24:97">
      <c r="AF79" s="599"/>
      <c r="AG79" s="599"/>
      <c r="AU79" s="382" t="s">
        <v>4904</v>
      </c>
      <c r="AV79" s="474">
        <f>SUM(AW79:BE79)</f>
        <v>63</v>
      </c>
      <c r="AW79" s="525">
        <v>3</v>
      </c>
      <c r="AX79" s="525">
        <v>3</v>
      </c>
      <c r="AY79" s="525">
        <v>3</v>
      </c>
      <c r="AZ79" s="525">
        <v>3</v>
      </c>
      <c r="BA79" s="525">
        <v>4</v>
      </c>
      <c r="BB79" s="525">
        <v>36</v>
      </c>
      <c r="BC79" s="525">
        <v>11</v>
      </c>
      <c r="BD79" s="474" t="s">
        <v>546</v>
      </c>
      <c r="BE79" s="474" t="s">
        <v>546</v>
      </c>
      <c r="BI79" s="382" t="s">
        <v>4880</v>
      </c>
      <c r="BJ79" s="463">
        <f t="shared" si="64"/>
        <v>294</v>
      </c>
      <c r="BK79" s="435">
        <v>132</v>
      </c>
      <c r="BL79" s="435">
        <v>162</v>
      </c>
      <c r="BM79" s="463"/>
      <c r="BP79" s="382" t="s">
        <v>4907</v>
      </c>
      <c r="BQ79" s="439">
        <f t="shared" si="65"/>
        <v>163</v>
      </c>
      <c r="BR79" s="475" t="s">
        <v>546</v>
      </c>
      <c r="BS79" s="474" t="s">
        <v>546</v>
      </c>
      <c r="BT79" s="439">
        <v>5</v>
      </c>
      <c r="BU79" s="439">
        <v>2</v>
      </c>
      <c r="BV79" s="439">
        <v>3</v>
      </c>
      <c r="BW79" s="439">
        <v>18</v>
      </c>
      <c r="BX79" s="439">
        <v>24</v>
      </c>
      <c r="BY79" s="439">
        <v>33</v>
      </c>
      <c r="BZ79" s="439">
        <v>78</v>
      </c>
      <c r="CD79" s="1067"/>
      <c r="CE79" s="1067"/>
      <c r="CF79" s="1067"/>
      <c r="CG79" s="1067"/>
      <c r="CH79" s="1067"/>
      <c r="CI79" s="1067"/>
      <c r="CJ79" s="1067"/>
      <c r="CK79" s="463"/>
      <c r="CL79" s="463"/>
      <c r="CM79" s="463"/>
      <c r="CP79" s="439"/>
      <c r="CQ79" s="599"/>
      <c r="CR79" s="599"/>
      <c r="CS79" s="599"/>
    </row>
    <row r="80" spans="24:97">
      <c r="AE80" s="599"/>
      <c r="AF80" s="525"/>
      <c r="AG80" s="525"/>
      <c r="AU80" s="382" t="s">
        <v>4907</v>
      </c>
      <c r="AV80" s="474">
        <f>SUM(AW80:BE80)</f>
        <v>280</v>
      </c>
      <c r="AW80" s="525">
        <v>3</v>
      </c>
      <c r="AX80" s="474">
        <v>1</v>
      </c>
      <c r="AY80" s="525">
        <v>5</v>
      </c>
      <c r="AZ80" s="525">
        <v>8</v>
      </c>
      <c r="BA80" s="525">
        <v>10</v>
      </c>
      <c r="BB80" s="525">
        <v>102</v>
      </c>
      <c r="BC80" s="525">
        <v>143</v>
      </c>
      <c r="BD80" s="525">
        <v>8</v>
      </c>
      <c r="BE80" s="474" t="s">
        <v>546</v>
      </c>
      <c r="BI80" s="382" t="s">
        <v>4892</v>
      </c>
      <c r="BJ80" s="463">
        <f t="shared" si="64"/>
        <v>278</v>
      </c>
      <c r="BK80" s="435">
        <v>135</v>
      </c>
      <c r="BL80" s="435">
        <v>143</v>
      </c>
      <c r="BM80" s="463"/>
      <c r="BP80" s="382" t="s">
        <v>4909</v>
      </c>
      <c r="BQ80" s="439">
        <f t="shared" si="65"/>
        <v>481</v>
      </c>
      <c r="BR80" s="475" t="s">
        <v>546</v>
      </c>
      <c r="BS80" s="474" t="s">
        <v>546</v>
      </c>
      <c r="BT80" s="439">
        <v>8</v>
      </c>
      <c r="BU80" s="439">
        <v>15</v>
      </c>
      <c r="BV80" s="439">
        <v>17</v>
      </c>
      <c r="BW80" s="439">
        <v>31</v>
      </c>
      <c r="BX80" s="439">
        <v>89</v>
      </c>
      <c r="BY80" s="439">
        <v>101</v>
      </c>
      <c r="BZ80" s="439">
        <v>220</v>
      </c>
      <c r="CD80" s="1067"/>
      <c r="CE80" s="1067"/>
      <c r="CF80" s="1067"/>
      <c r="CG80" s="1067"/>
      <c r="CH80" s="1067"/>
      <c r="CI80" s="1067"/>
      <c r="CJ80" s="1067"/>
      <c r="CK80" s="463"/>
      <c r="CL80" s="463"/>
      <c r="CM80" s="463"/>
      <c r="CP80" s="525"/>
      <c r="CQ80" s="525"/>
      <c r="CR80" s="525"/>
      <c r="CS80" s="525"/>
    </row>
    <row r="81" spans="26:97">
      <c r="AE81" s="525"/>
      <c r="AF81" s="525"/>
      <c r="AG81" s="525"/>
      <c r="AU81" s="382" t="s">
        <v>4909</v>
      </c>
      <c r="AV81" s="474">
        <f>SUM(AW81:BE81)</f>
        <v>291</v>
      </c>
      <c r="AW81" s="525">
        <v>2</v>
      </c>
      <c r="AX81" s="525">
        <v>6</v>
      </c>
      <c r="AY81" s="525">
        <v>8</v>
      </c>
      <c r="AZ81" s="525">
        <v>9</v>
      </c>
      <c r="BA81" s="525">
        <v>8</v>
      </c>
      <c r="BB81" s="525">
        <v>57</v>
      </c>
      <c r="BC81" s="525">
        <v>148</v>
      </c>
      <c r="BD81" s="525">
        <v>50</v>
      </c>
      <c r="BE81" s="435">
        <v>3</v>
      </c>
      <c r="BI81" s="382" t="s">
        <v>4898</v>
      </c>
      <c r="BJ81" s="463">
        <f t="shared" si="64"/>
        <v>339</v>
      </c>
      <c r="BK81" s="463">
        <v>154</v>
      </c>
      <c r="BL81" s="463">
        <v>185</v>
      </c>
      <c r="BM81" s="463"/>
      <c r="BP81" s="382" t="s">
        <v>4911</v>
      </c>
      <c r="BQ81" s="439">
        <f t="shared" si="65"/>
        <v>792</v>
      </c>
      <c r="BR81" s="439">
        <v>5</v>
      </c>
      <c r="BS81" s="439">
        <v>14</v>
      </c>
      <c r="BT81" s="439">
        <v>20</v>
      </c>
      <c r="BU81" s="439">
        <v>32</v>
      </c>
      <c r="BV81" s="439">
        <v>73</v>
      </c>
      <c r="BW81" s="439">
        <v>73</v>
      </c>
      <c r="BX81" s="439">
        <v>164</v>
      </c>
      <c r="BY81" s="439">
        <v>153</v>
      </c>
      <c r="BZ81" s="439">
        <v>258</v>
      </c>
      <c r="CL81" s="463"/>
      <c r="CQ81" s="525"/>
      <c r="CR81" s="525"/>
      <c r="CS81" s="525"/>
    </row>
    <row r="82" spans="26:97">
      <c r="AE82" s="525"/>
      <c r="AF82" s="525"/>
      <c r="AG82" s="525"/>
      <c r="AU82" s="382" t="s">
        <v>4911</v>
      </c>
      <c r="AV82" s="474">
        <f t="shared" si="61"/>
        <v>188</v>
      </c>
      <c r="AW82" s="525">
        <v>4</v>
      </c>
      <c r="AX82" s="525">
        <v>2</v>
      </c>
      <c r="AY82" s="525">
        <v>8</v>
      </c>
      <c r="AZ82" s="525">
        <v>8</v>
      </c>
      <c r="BA82" s="525">
        <v>8</v>
      </c>
      <c r="BB82" s="525">
        <v>40</v>
      </c>
      <c r="BC82" s="525">
        <v>71</v>
      </c>
      <c r="BD82" s="525">
        <v>35</v>
      </c>
      <c r="BE82" s="525">
        <v>12</v>
      </c>
      <c r="BI82" s="382" t="s">
        <v>4904</v>
      </c>
      <c r="BJ82" s="463">
        <f t="shared" si="64"/>
        <v>433</v>
      </c>
      <c r="BK82" s="463">
        <v>197</v>
      </c>
      <c r="BL82" s="463">
        <v>236</v>
      </c>
      <c r="BM82" s="463"/>
      <c r="BP82" s="382" t="s">
        <v>4914</v>
      </c>
      <c r="BQ82" s="435">
        <f t="shared" si="65"/>
        <v>1108</v>
      </c>
      <c r="BR82" s="439">
        <v>4</v>
      </c>
      <c r="BS82" s="439">
        <v>20</v>
      </c>
      <c r="BT82" s="439">
        <v>34</v>
      </c>
      <c r="BU82" s="439">
        <v>58</v>
      </c>
      <c r="BV82" s="439">
        <v>100</v>
      </c>
      <c r="BW82" s="439">
        <v>146</v>
      </c>
      <c r="BX82" s="439">
        <v>277</v>
      </c>
      <c r="BY82" s="439">
        <v>226</v>
      </c>
      <c r="BZ82" s="439">
        <v>243</v>
      </c>
      <c r="CD82" s="382"/>
      <c r="CE82" s="382"/>
      <c r="CF82" s="382"/>
      <c r="CG82" s="382"/>
      <c r="CH82" s="382"/>
      <c r="CI82" s="382"/>
      <c r="CJ82" s="382"/>
      <c r="CK82" s="463"/>
      <c r="CL82" s="463"/>
      <c r="CM82" s="463"/>
      <c r="CQ82" s="525"/>
      <c r="CR82" s="525"/>
      <c r="CS82" s="525"/>
    </row>
    <row r="83" spans="26:97">
      <c r="AE83" s="525"/>
      <c r="AF83" s="525"/>
      <c r="AG83" s="525"/>
      <c r="AU83" s="382" t="s">
        <v>4914</v>
      </c>
      <c r="AV83" s="474">
        <f t="shared" si="61"/>
        <v>72</v>
      </c>
      <c r="AW83" s="474">
        <v>1</v>
      </c>
      <c r="AX83" s="525">
        <v>1</v>
      </c>
      <c r="AY83" s="862">
        <v>2</v>
      </c>
      <c r="AZ83" s="474">
        <v>4</v>
      </c>
      <c r="BA83" s="525">
        <v>1</v>
      </c>
      <c r="BB83" s="525">
        <v>13</v>
      </c>
      <c r="BC83" s="525">
        <v>30</v>
      </c>
      <c r="BD83" s="525">
        <v>12</v>
      </c>
      <c r="BE83" s="525">
        <v>8</v>
      </c>
      <c r="BI83" s="382" t="s">
        <v>4907</v>
      </c>
      <c r="BJ83" s="463">
        <f t="shared" si="64"/>
        <v>471</v>
      </c>
      <c r="BK83" s="463">
        <v>251</v>
      </c>
      <c r="BL83" s="463">
        <v>220</v>
      </c>
      <c r="BM83" s="463"/>
      <c r="BP83" s="382" t="s">
        <v>4919</v>
      </c>
      <c r="BQ83" s="435">
        <f t="shared" si="65"/>
        <v>1133</v>
      </c>
      <c r="BR83" s="439">
        <v>1</v>
      </c>
      <c r="BS83" s="439">
        <v>11</v>
      </c>
      <c r="BT83" s="439">
        <v>46</v>
      </c>
      <c r="BU83" s="439">
        <v>69</v>
      </c>
      <c r="BV83" s="439">
        <v>127</v>
      </c>
      <c r="BW83" s="439">
        <v>163</v>
      </c>
      <c r="BX83" s="439">
        <v>319</v>
      </c>
      <c r="BY83" s="439">
        <v>210</v>
      </c>
      <c r="BZ83" s="439">
        <v>187</v>
      </c>
      <c r="CD83" s="382"/>
      <c r="CE83" s="382"/>
      <c r="CF83" s="382"/>
      <c r="CG83" s="382"/>
      <c r="CH83" s="382"/>
      <c r="CI83" s="382"/>
      <c r="CJ83" s="382"/>
      <c r="CK83" s="439"/>
      <c r="CL83" s="439"/>
      <c r="CM83" s="439"/>
      <c r="CQ83" s="525"/>
      <c r="CR83" s="525"/>
      <c r="CS83" s="525"/>
    </row>
    <row r="84" spans="26:97">
      <c r="AE84" s="525"/>
      <c r="AF84" s="525"/>
      <c r="AG84" s="525"/>
      <c r="AU84" s="382" t="s">
        <v>4916</v>
      </c>
      <c r="AV84" s="474">
        <f t="shared" si="61"/>
        <v>39</v>
      </c>
      <c r="AW84" s="474" t="s">
        <v>546</v>
      </c>
      <c r="AX84" s="474">
        <v>1</v>
      </c>
      <c r="AY84" s="474">
        <v>1</v>
      </c>
      <c r="AZ84" s="474" t="s">
        <v>546</v>
      </c>
      <c r="BA84" s="474" t="s">
        <v>546</v>
      </c>
      <c r="BB84" s="525">
        <v>8</v>
      </c>
      <c r="BC84" s="525">
        <v>12</v>
      </c>
      <c r="BD84" s="525">
        <v>5</v>
      </c>
      <c r="BE84" s="525">
        <v>12</v>
      </c>
      <c r="BI84" s="382" t="s">
        <v>4909</v>
      </c>
      <c r="BJ84" s="463">
        <f t="shared" si="64"/>
        <v>375</v>
      </c>
      <c r="BK84" s="463">
        <v>189</v>
      </c>
      <c r="BL84" s="463">
        <v>186</v>
      </c>
      <c r="BM84" s="463"/>
      <c r="BP84" s="382" t="s">
        <v>4922</v>
      </c>
      <c r="BQ84" s="439">
        <f t="shared" si="65"/>
        <v>806</v>
      </c>
      <c r="BR84" s="475" t="s">
        <v>546</v>
      </c>
      <c r="BS84" s="439">
        <v>6</v>
      </c>
      <c r="BT84" s="439">
        <v>37</v>
      </c>
      <c r="BU84" s="439">
        <v>68</v>
      </c>
      <c r="BV84" s="439">
        <v>97</v>
      </c>
      <c r="BW84" s="439">
        <v>146</v>
      </c>
      <c r="BX84" s="439">
        <v>221</v>
      </c>
      <c r="BY84" s="439">
        <v>120</v>
      </c>
      <c r="BZ84" s="439">
        <v>111</v>
      </c>
      <c r="CD84" s="1067"/>
      <c r="CE84" s="1067"/>
      <c r="CF84" s="1067"/>
      <c r="CG84" s="1067"/>
      <c r="CH84" s="1067"/>
      <c r="CI84" s="1067"/>
      <c r="CJ84" s="1067"/>
      <c r="CK84" s="439"/>
      <c r="CL84" s="439"/>
      <c r="CM84" s="439"/>
      <c r="CQ84" s="525"/>
      <c r="CR84" s="525"/>
      <c r="CS84" s="525"/>
    </row>
    <row r="85" spans="26:97">
      <c r="AE85" s="525"/>
      <c r="AU85" s="382"/>
      <c r="BI85" s="382" t="s">
        <v>4911</v>
      </c>
      <c r="BJ85" s="463">
        <f t="shared" si="64"/>
        <v>246</v>
      </c>
      <c r="BK85" s="463">
        <v>121</v>
      </c>
      <c r="BL85" s="463">
        <v>125</v>
      </c>
      <c r="BM85" s="463"/>
      <c r="BP85" s="382" t="s">
        <v>4926</v>
      </c>
      <c r="BQ85" s="439">
        <f t="shared" si="65"/>
        <v>487</v>
      </c>
      <c r="BR85" s="474" t="s">
        <v>546</v>
      </c>
      <c r="BS85" s="439">
        <v>1</v>
      </c>
      <c r="BT85" s="439">
        <v>35</v>
      </c>
      <c r="BU85" s="439">
        <v>56</v>
      </c>
      <c r="BV85" s="439">
        <v>73</v>
      </c>
      <c r="BW85" s="439">
        <v>72</v>
      </c>
      <c r="BX85" s="439">
        <v>127</v>
      </c>
      <c r="BY85" s="439">
        <v>59</v>
      </c>
      <c r="BZ85" s="439">
        <v>64</v>
      </c>
      <c r="CD85" s="1067"/>
      <c r="CE85" s="1067"/>
      <c r="CF85" s="1067"/>
      <c r="CG85" s="1067"/>
      <c r="CH85" s="1067"/>
      <c r="CI85" s="1067"/>
      <c r="CJ85" s="1067"/>
      <c r="CK85" s="439"/>
      <c r="CL85" s="439"/>
      <c r="CM85" s="439"/>
      <c r="CQ85" s="525"/>
      <c r="CR85" s="525"/>
      <c r="CS85" s="525"/>
    </row>
    <row r="86" spans="26:97">
      <c r="AU86" s="382" t="s">
        <v>4921</v>
      </c>
      <c r="AV86" s="525">
        <f>SUM(AV87:AV98)</f>
        <v>816</v>
      </c>
      <c r="AW86" s="525">
        <f>SUM(AW87:AW98)</f>
        <v>13</v>
      </c>
      <c r="AX86" s="525">
        <f t="shared" ref="AX86:BD86" si="66">SUM(AX87:AX98)</f>
        <v>12</v>
      </c>
      <c r="AY86" s="525">
        <f t="shared" si="66"/>
        <v>25</v>
      </c>
      <c r="AZ86" s="525">
        <f t="shared" si="66"/>
        <v>31</v>
      </c>
      <c r="BA86" s="525">
        <f t="shared" si="66"/>
        <v>26</v>
      </c>
      <c r="BB86" s="525">
        <f t="shared" si="66"/>
        <v>217</v>
      </c>
      <c r="BC86" s="525">
        <f t="shared" si="66"/>
        <v>366</v>
      </c>
      <c r="BD86" s="525">
        <f t="shared" si="66"/>
        <v>94</v>
      </c>
      <c r="BE86" s="525">
        <f>SUM(BE87:BE98)</f>
        <v>32</v>
      </c>
      <c r="BI86" s="382" t="s">
        <v>4914</v>
      </c>
      <c r="BJ86" s="463">
        <f t="shared" si="64"/>
        <v>105</v>
      </c>
      <c r="BK86" s="463">
        <v>42</v>
      </c>
      <c r="BL86" s="463">
        <v>63</v>
      </c>
      <c r="BM86" s="463"/>
      <c r="BP86" s="382" t="s">
        <v>4928</v>
      </c>
      <c r="BQ86" s="439">
        <f t="shared" si="65"/>
        <v>294</v>
      </c>
      <c r="BR86" s="474" t="s">
        <v>546</v>
      </c>
      <c r="BS86" s="439">
        <v>2</v>
      </c>
      <c r="BT86" s="439">
        <v>42</v>
      </c>
      <c r="BU86" s="439">
        <v>50</v>
      </c>
      <c r="BV86" s="439">
        <v>53</v>
      </c>
      <c r="BW86" s="439">
        <v>41</v>
      </c>
      <c r="BX86" s="439">
        <v>57</v>
      </c>
      <c r="BY86" s="439">
        <v>21</v>
      </c>
      <c r="BZ86" s="439">
        <v>28</v>
      </c>
      <c r="CD86" s="1067"/>
      <c r="CE86" s="1067"/>
      <c r="CF86" s="1067"/>
      <c r="CG86" s="1067"/>
      <c r="CH86" s="1067"/>
      <c r="CI86" s="1067"/>
      <c r="CJ86" s="1067"/>
      <c r="CK86" s="439"/>
      <c r="CL86" s="439"/>
      <c r="CM86" s="439"/>
      <c r="CQ86" s="525"/>
      <c r="CR86" s="525"/>
      <c r="CS86" s="525"/>
    </row>
    <row r="87" spans="26:97">
      <c r="AU87" s="382" t="s">
        <v>4855</v>
      </c>
      <c r="AV87" s="474">
        <f>SUM(AW87:BE87)</f>
        <v>0</v>
      </c>
      <c r="AW87" s="474" t="s">
        <v>546</v>
      </c>
      <c r="AX87" s="474" t="s">
        <v>546</v>
      </c>
      <c r="AY87" s="474" t="s">
        <v>546</v>
      </c>
      <c r="AZ87" s="474" t="s">
        <v>546</v>
      </c>
      <c r="BA87" s="474" t="s">
        <v>546</v>
      </c>
      <c r="BB87" s="474" t="s">
        <v>546</v>
      </c>
      <c r="BC87" s="474" t="s">
        <v>546</v>
      </c>
      <c r="BD87" s="474" t="s">
        <v>546</v>
      </c>
      <c r="BE87" s="474" t="s">
        <v>546</v>
      </c>
      <c r="BI87" s="381" t="s">
        <v>4916</v>
      </c>
      <c r="BJ87" s="497">
        <f t="shared" si="64"/>
        <v>55</v>
      </c>
      <c r="BK87" s="497">
        <v>25</v>
      </c>
      <c r="BL87" s="497">
        <v>30</v>
      </c>
      <c r="BM87" s="463"/>
      <c r="BP87" s="382" t="s">
        <v>4930</v>
      </c>
      <c r="BQ87" s="439">
        <f t="shared" si="65"/>
        <v>135</v>
      </c>
      <c r="BR87" s="474" t="s">
        <v>546</v>
      </c>
      <c r="BS87" s="474" t="s">
        <v>546</v>
      </c>
      <c r="BT87" s="439">
        <v>21</v>
      </c>
      <c r="BU87" s="439">
        <v>28</v>
      </c>
      <c r="BV87" s="439">
        <v>24</v>
      </c>
      <c r="BW87" s="439">
        <v>13</v>
      </c>
      <c r="BX87" s="439">
        <v>26</v>
      </c>
      <c r="BY87" s="439">
        <v>6</v>
      </c>
      <c r="BZ87" s="439">
        <v>17</v>
      </c>
      <c r="CD87" s="1067"/>
      <c r="CE87" s="1067"/>
      <c r="CF87" s="1067"/>
      <c r="CG87" s="1067"/>
      <c r="CH87" s="1067"/>
      <c r="CI87" s="1067"/>
      <c r="CJ87" s="1067"/>
      <c r="CK87" s="439"/>
      <c r="CL87" s="439"/>
      <c r="CM87" s="439"/>
      <c r="CQ87" s="525"/>
      <c r="CR87" s="525"/>
      <c r="CS87" s="525"/>
    </row>
    <row r="88" spans="26:97">
      <c r="AU88" s="382" t="s">
        <v>4861</v>
      </c>
      <c r="AV88" s="474">
        <f t="shared" ref="AV88:AV98" si="67">SUM(AW88:BE88)</f>
        <v>0</v>
      </c>
      <c r="AW88" s="474" t="s">
        <v>546</v>
      </c>
      <c r="AX88" s="474" t="s">
        <v>546</v>
      </c>
      <c r="AY88" s="474" t="s">
        <v>546</v>
      </c>
      <c r="AZ88" s="474" t="s">
        <v>546</v>
      </c>
      <c r="BA88" s="474" t="s">
        <v>546</v>
      </c>
      <c r="BB88" s="474" t="s">
        <v>546</v>
      </c>
      <c r="BC88" s="474" t="s">
        <v>546</v>
      </c>
      <c r="BD88" s="474" t="s">
        <v>546</v>
      </c>
      <c r="BE88" s="474" t="s">
        <v>546</v>
      </c>
      <c r="BI88" s="382" t="s">
        <v>4932</v>
      </c>
      <c r="BJ88" s="382"/>
      <c r="BK88" s="382"/>
      <c r="BL88" s="382"/>
      <c r="BM88" s="463"/>
      <c r="BP88" s="382"/>
      <c r="BQ88" s="463"/>
      <c r="BR88" s="382"/>
      <c r="BS88" s="382"/>
      <c r="BT88" s="382"/>
      <c r="BU88" s="382"/>
      <c r="BV88" s="382"/>
      <c r="BW88" s="382"/>
      <c r="BX88" s="382"/>
      <c r="BY88" s="382"/>
      <c r="BZ88" s="382"/>
      <c r="CD88" s="1067"/>
      <c r="CE88" s="1067"/>
      <c r="CF88" s="1067"/>
      <c r="CG88" s="1067"/>
      <c r="CH88" s="1067"/>
      <c r="CI88" s="1067"/>
      <c r="CJ88" s="1067"/>
      <c r="CL88" s="1014"/>
      <c r="CM88" s="1014"/>
      <c r="CQ88" s="525"/>
      <c r="CR88" s="525"/>
      <c r="CS88" s="525"/>
    </row>
    <row r="89" spans="26:97">
      <c r="AU89" s="382" t="s">
        <v>4867</v>
      </c>
      <c r="AV89" s="474">
        <f t="shared" si="67"/>
        <v>0</v>
      </c>
      <c r="AW89" s="474" t="s">
        <v>546</v>
      </c>
      <c r="AX89" s="474" t="s">
        <v>546</v>
      </c>
      <c r="AY89" s="474" t="s">
        <v>546</v>
      </c>
      <c r="AZ89" s="474" t="s">
        <v>546</v>
      </c>
      <c r="BA89" s="474" t="s">
        <v>546</v>
      </c>
      <c r="BB89" s="474" t="s">
        <v>546</v>
      </c>
      <c r="BC89" s="474" t="s">
        <v>546</v>
      </c>
      <c r="BD89" s="474" t="s">
        <v>546</v>
      </c>
      <c r="BE89" s="474" t="s">
        <v>546</v>
      </c>
      <c r="BM89" s="463"/>
      <c r="BP89" s="1066" t="s">
        <v>4936</v>
      </c>
      <c r="BQ89" s="463">
        <f>SUM(BQ90:BQ101)</f>
        <v>176</v>
      </c>
      <c r="BR89" s="435">
        <f>SUM(BR90:BR101)</f>
        <v>0</v>
      </c>
      <c r="BS89" s="435">
        <f t="shared" ref="BS89" si="68">SUM(BS90:BS101)</f>
        <v>0</v>
      </c>
      <c r="BT89" s="435">
        <f>SUM(BT90:BT101)</f>
        <v>17</v>
      </c>
      <c r="BU89" s="435">
        <f t="shared" ref="BU89:BZ89" si="69">SUM(BU90:BU101)</f>
        <v>59</v>
      </c>
      <c r="BV89" s="435">
        <f t="shared" si="69"/>
        <v>39</v>
      </c>
      <c r="BW89" s="435">
        <f t="shared" si="69"/>
        <v>28</v>
      </c>
      <c r="BX89" s="435">
        <f t="shared" si="69"/>
        <v>22</v>
      </c>
      <c r="BY89" s="435">
        <f t="shared" si="69"/>
        <v>7</v>
      </c>
      <c r="BZ89" s="435">
        <f t="shared" si="69"/>
        <v>4</v>
      </c>
      <c r="CD89" s="1067"/>
      <c r="CE89" s="1067"/>
      <c r="CF89" s="1067"/>
      <c r="CG89" s="1067"/>
      <c r="CH89" s="1067"/>
      <c r="CI89" s="1067"/>
      <c r="CJ89" s="1067"/>
      <c r="CL89" s="1014"/>
      <c r="CM89" s="1014"/>
      <c r="CQ89" s="525"/>
      <c r="CR89" s="525"/>
      <c r="CS89" s="525"/>
    </row>
    <row r="90" spans="26:97">
      <c r="AU90" s="382" t="s">
        <v>4880</v>
      </c>
      <c r="AV90" s="474">
        <f t="shared" si="67"/>
        <v>0</v>
      </c>
      <c r="AW90" s="474" t="s">
        <v>546</v>
      </c>
      <c r="AX90" s="474" t="s">
        <v>546</v>
      </c>
      <c r="AY90" s="474" t="s">
        <v>546</v>
      </c>
      <c r="AZ90" s="474" t="s">
        <v>546</v>
      </c>
      <c r="BA90" s="474" t="s">
        <v>546</v>
      </c>
      <c r="BB90" s="474" t="s">
        <v>546</v>
      </c>
      <c r="BC90" s="474" t="s">
        <v>546</v>
      </c>
      <c r="BD90" s="474" t="s">
        <v>546</v>
      </c>
      <c r="BE90" s="474" t="s">
        <v>546</v>
      </c>
      <c r="BM90" s="463"/>
      <c r="BN90" s="525"/>
      <c r="BP90" s="382" t="s">
        <v>4899</v>
      </c>
      <c r="BQ90" s="435" t="s">
        <v>546</v>
      </c>
      <c r="BR90" s="435" t="s">
        <v>546</v>
      </c>
      <c r="BS90" s="435" t="s">
        <v>546</v>
      </c>
      <c r="BT90" s="435" t="s">
        <v>546</v>
      </c>
      <c r="BU90" s="435" t="s">
        <v>546</v>
      </c>
      <c r="BV90" s="435" t="s">
        <v>546</v>
      </c>
      <c r="BW90" s="435" t="s">
        <v>546</v>
      </c>
      <c r="BX90" s="435" t="s">
        <v>546</v>
      </c>
      <c r="BY90" s="435" t="s">
        <v>546</v>
      </c>
      <c r="BZ90" s="435" t="s">
        <v>546</v>
      </c>
      <c r="CD90" s="1067"/>
      <c r="CE90" s="1067"/>
      <c r="CF90" s="1067"/>
      <c r="CG90" s="1067"/>
      <c r="CH90" s="1067"/>
      <c r="CI90" s="1067"/>
      <c r="CJ90" s="1067"/>
      <c r="CL90" s="1014"/>
      <c r="CM90" s="1014"/>
      <c r="CQ90" s="525"/>
      <c r="CR90" s="525"/>
      <c r="CS90" s="525"/>
    </row>
    <row r="91" spans="26:97">
      <c r="AU91" s="382" t="s">
        <v>4892</v>
      </c>
      <c r="AV91" s="474">
        <f t="shared" si="67"/>
        <v>0</v>
      </c>
      <c r="AW91" s="474" t="s">
        <v>546</v>
      </c>
      <c r="AX91" s="474" t="s">
        <v>546</v>
      </c>
      <c r="AY91" s="474" t="s">
        <v>546</v>
      </c>
      <c r="AZ91" s="474" t="s">
        <v>546</v>
      </c>
      <c r="BA91" s="474" t="s">
        <v>546</v>
      </c>
      <c r="BB91" s="474" t="s">
        <v>546</v>
      </c>
      <c r="BC91" s="474" t="s">
        <v>546</v>
      </c>
      <c r="BD91" s="474" t="s">
        <v>546</v>
      </c>
      <c r="BE91" s="474" t="s">
        <v>546</v>
      </c>
      <c r="BM91" s="463"/>
      <c r="BP91" s="382" t="s">
        <v>4898</v>
      </c>
      <c r="BQ91" s="435" t="s">
        <v>546</v>
      </c>
      <c r="BR91" s="435" t="s">
        <v>546</v>
      </c>
      <c r="BS91" s="435" t="s">
        <v>546</v>
      </c>
      <c r="BT91" s="435" t="s">
        <v>546</v>
      </c>
      <c r="BU91" s="435" t="s">
        <v>546</v>
      </c>
      <c r="BV91" s="435" t="s">
        <v>546</v>
      </c>
      <c r="BW91" s="435" t="s">
        <v>546</v>
      </c>
      <c r="BX91" s="435" t="s">
        <v>546</v>
      </c>
      <c r="BY91" s="435" t="s">
        <v>546</v>
      </c>
      <c r="BZ91" s="435" t="s">
        <v>546</v>
      </c>
      <c r="CD91" s="1067"/>
      <c r="CE91" s="1067"/>
      <c r="CF91" s="1067"/>
      <c r="CG91" s="1067"/>
      <c r="CH91" s="1067"/>
      <c r="CI91" s="1067"/>
      <c r="CJ91" s="1067"/>
      <c r="CL91" s="1014"/>
      <c r="CM91" s="1014"/>
      <c r="CQ91" s="525"/>
      <c r="CR91" s="525"/>
      <c r="CS91" s="525"/>
    </row>
    <row r="92" spans="26:97">
      <c r="Z92" s="1004"/>
      <c r="AA92" s="1004"/>
      <c r="AB92" s="1004"/>
      <c r="AC92" s="1004"/>
      <c r="AU92" s="382" t="s">
        <v>4898</v>
      </c>
      <c r="AV92" s="474">
        <f t="shared" si="67"/>
        <v>0</v>
      </c>
      <c r="AW92" s="474" t="s">
        <v>546</v>
      </c>
      <c r="AX92" s="474" t="s">
        <v>546</v>
      </c>
      <c r="AY92" s="474" t="s">
        <v>546</v>
      </c>
      <c r="AZ92" s="474" t="s">
        <v>546</v>
      </c>
      <c r="BA92" s="474" t="s">
        <v>546</v>
      </c>
      <c r="BB92" s="474" t="s">
        <v>546</v>
      </c>
      <c r="BC92" s="474" t="s">
        <v>546</v>
      </c>
      <c r="BD92" s="474" t="s">
        <v>546</v>
      </c>
      <c r="BE92" s="474" t="s">
        <v>546</v>
      </c>
      <c r="BI92" s="382" t="s">
        <v>5004</v>
      </c>
      <c r="BJ92" s="870"/>
      <c r="BK92" s="870"/>
      <c r="BL92" s="870"/>
      <c r="BP92" s="382" t="s">
        <v>4904</v>
      </c>
      <c r="BQ92" s="382">
        <f t="shared" ref="BQ92:BQ101" si="70">SUM(BR92:BZ92)</f>
        <v>2</v>
      </c>
      <c r="BR92" s="474" t="s">
        <v>546</v>
      </c>
      <c r="BS92" s="474" t="s">
        <v>546</v>
      </c>
      <c r="BT92" s="474" t="s">
        <v>546</v>
      </c>
      <c r="BU92" s="439">
        <v>1</v>
      </c>
      <c r="BV92" s="474" t="s">
        <v>546</v>
      </c>
      <c r="BW92" s="474" t="s">
        <v>546</v>
      </c>
      <c r="BX92" s="474" t="s">
        <v>546</v>
      </c>
      <c r="BY92" s="439">
        <v>1</v>
      </c>
      <c r="BZ92" s="474" t="s">
        <v>546</v>
      </c>
      <c r="CD92" s="1067"/>
      <c r="CE92" s="1067"/>
      <c r="CF92" s="1067"/>
      <c r="CG92" s="1067"/>
      <c r="CH92" s="1067"/>
      <c r="CI92" s="1067"/>
      <c r="CJ92" s="1067"/>
      <c r="CL92" s="1014"/>
      <c r="CM92" s="1014"/>
      <c r="CQ92" s="525"/>
      <c r="CR92" s="525"/>
      <c r="CS92" s="525"/>
    </row>
    <row r="93" spans="26:97">
      <c r="Z93" s="1004"/>
      <c r="AA93" s="1004"/>
      <c r="AB93" s="1004"/>
      <c r="AC93" s="1004"/>
      <c r="AU93" s="382" t="s">
        <v>4904</v>
      </c>
      <c r="AV93" s="474">
        <f>SUM(AW93:BE93)</f>
        <v>53</v>
      </c>
      <c r="AW93" s="525">
        <v>3</v>
      </c>
      <c r="AX93" s="525">
        <v>3</v>
      </c>
      <c r="AY93" s="525">
        <v>3</v>
      </c>
      <c r="AZ93" s="525">
        <v>3</v>
      </c>
      <c r="BA93" s="525">
        <v>3</v>
      </c>
      <c r="BB93" s="525">
        <v>27</v>
      </c>
      <c r="BC93" s="525">
        <v>11</v>
      </c>
      <c r="BD93" s="474" t="s">
        <v>546</v>
      </c>
      <c r="BE93" s="474" t="s">
        <v>546</v>
      </c>
      <c r="BI93" s="382" t="s">
        <v>8724</v>
      </c>
      <c r="BJ93" s="870"/>
      <c r="BK93" s="870"/>
      <c r="BL93" s="870"/>
      <c r="BP93" s="382" t="s">
        <v>4907</v>
      </c>
      <c r="BQ93" s="382">
        <f t="shared" si="70"/>
        <v>8</v>
      </c>
      <c r="BR93" s="474" t="s">
        <v>546</v>
      </c>
      <c r="BS93" s="474" t="s">
        <v>546</v>
      </c>
      <c r="BT93" s="439">
        <v>1</v>
      </c>
      <c r="BU93" s="439">
        <v>4</v>
      </c>
      <c r="BV93" s="439">
        <v>1</v>
      </c>
      <c r="BW93" s="474" t="s">
        <v>546</v>
      </c>
      <c r="BX93" s="439">
        <v>2</v>
      </c>
      <c r="BY93" s="475" t="s">
        <v>546</v>
      </c>
      <c r="BZ93" s="474" t="s">
        <v>546</v>
      </c>
      <c r="CD93" s="1067"/>
      <c r="CE93" s="1067"/>
      <c r="CF93" s="1067"/>
      <c r="CG93" s="1067"/>
      <c r="CH93" s="1067"/>
      <c r="CI93" s="1067"/>
      <c r="CJ93" s="1067"/>
      <c r="CL93" s="1014"/>
      <c r="CM93" s="1014"/>
      <c r="CQ93" s="525"/>
      <c r="CR93" s="525"/>
      <c r="CS93" s="525"/>
    </row>
    <row r="94" spans="26:97">
      <c r="AD94" s="1004"/>
      <c r="AH94" s="525"/>
      <c r="AU94" s="382" t="s">
        <v>4907</v>
      </c>
      <c r="AV94" s="474">
        <f>SUM(AW94:BE94)</f>
        <v>232</v>
      </c>
      <c r="AW94" s="525">
        <v>3</v>
      </c>
      <c r="AX94" s="474" t="s">
        <v>546</v>
      </c>
      <c r="AY94" s="525">
        <v>5</v>
      </c>
      <c r="AZ94" s="525">
        <v>7</v>
      </c>
      <c r="BA94" s="525">
        <v>7</v>
      </c>
      <c r="BB94" s="525">
        <v>84</v>
      </c>
      <c r="BC94" s="525">
        <v>119</v>
      </c>
      <c r="BD94" s="525">
        <v>7</v>
      </c>
      <c r="BE94" s="474" t="s">
        <v>546</v>
      </c>
      <c r="BI94" s="597"/>
      <c r="BJ94" s="2173">
        <v>45199</v>
      </c>
      <c r="BK94" s="2174"/>
      <c r="BL94" s="2174"/>
      <c r="BP94" s="382" t="s">
        <v>4909</v>
      </c>
      <c r="BQ94" s="382">
        <f t="shared" si="70"/>
        <v>19</v>
      </c>
      <c r="BR94" s="474" t="s">
        <v>546</v>
      </c>
      <c r="BS94" s="474" t="s">
        <v>546</v>
      </c>
      <c r="BT94" s="474" t="s">
        <v>546</v>
      </c>
      <c r="BU94" s="439">
        <v>3</v>
      </c>
      <c r="BV94" s="439">
        <v>3</v>
      </c>
      <c r="BW94" s="439">
        <v>6</v>
      </c>
      <c r="BX94" s="439">
        <v>3</v>
      </c>
      <c r="BY94" s="439">
        <v>3</v>
      </c>
      <c r="BZ94" s="439">
        <v>1</v>
      </c>
      <c r="CD94" s="1067"/>
      <c r="CE94" s="1067"/>
      <c r="CF94" s="1067"/>
      <c r="CG94" s="1067"/>
      <c r="CH94" s="1067"/>
      <c r="CI94" s="1067"/>
      <c r="CJ94" s="1067"/>
      <c r="CL94" s="1014"/>
      <c r="CM94" s="1014"/>
      <c r="CQ94" s="525"/>
      <c r="CR94" s="525"/>
      <c r="CS94" s="525"/>
    </row>
    <row r="95" spans="26:97">
      <c r="AD95" s="1004"/>
      <c r="AH95" s="525"/>
      <c r="AU95" s="382" t="s">
        <v>4909</v>
      </c>
      <c r="AV95" s="474">
        <f>SUM(AW95:BE95)</f>
        <v>256</v>
      </c>
      <c r="AW95" s="525">
        <v>2</v>
      </c>
      <c r="AX95" s="525">
        <v>6</v>
      </c>
      <c r="AY95" s="525">
        <v>7</v>
      </c>
      <c r="AZ95" s="525">
        <v>9</v>
      </c>
      <c r="BA95" s="525">
        <v>7</v>
      </c>
      <c r="BB95" s="525">
        <v>52</v>
      </c>
      <c r="BC95" s="525">
        <v>131</v>
      </c>
      <c r="BD95" s="525">
        <v>40</v>
      </c>
      <c r="BE95" s="435">
        <v>2</v>
      </c>
      <c r="BI95" s="610" t="s">
        <v>2449</v>
      </c>
      <c r="BJ95" s="642" t="s">
        <v>129</v>
      </c>
      <c r="BK95" s="642" t="s">
        <v>3039</v>
      </c>
      <c r="BL95" s="664" t="s">
        <v>3046</v>
      </c>
      <c r="BP95" s="382" t="s">
        <v>4911</v>
      </c>
      <c r="BQ95" s="382">
        <f t="shared" si="70"/>
        <v>19</v>
      </c>
      <c r="BR95" s="474" t="s">
        <v>546</v>
      </c>
      <c r="BS95" s="474" t="s">
        <v>546</v>
      </c>
      <c r="BT95" s="439">
        <v>3</v>
      </c>
      <c r="BU95" s="439">
        <v>9</v>
      </c>
      <c r="BV95" s="439">
        <v>2</v>
      </c>
      <c r="BW95" s="439">
        <v>4</v>
      </c>
      <c r="BX95" s="474" t="s">
        <v>546</v>
      </c>
      <c r="BY95" s="474" t="s">
        <v>546</v>
      </c>
      <c r="BZ95" s="439">
        <v>1</v>
      </c>
      <c r="CD95" s="1067"/>
      <c r="CE95" s="1067"/>
      <c r="CF95" s="1067"/>
      <c r="CG95" s="1067"/>
      <c r="CH95" s="1067"/>
      <c r="CI95" s="1067"/>
      <c r="CJ95" s="1067"/>
      <c r="CL95" s="1014"/>
      <c r="CM95" s="1014"/>
      <c r="CQ95" s="525"/>
      <c r="CR95" s="525"/>
      <c r="CS95" s="525"/>
    </row>
    <row r="96" spans="26:97">
      <c r="AU96" s="382" t="s">
        <v>4911</v>
      </c>
      <c r="AV96" s="474">
        <f t="shared" si="67"/>
        <v>169</v>
      </c>
      <c r="AW96" s="525">
        <v>4</v>
      </c>
      <c r="AX96" s="525">
        <v>2</v>
      </c>
      <c r="AY96" s="525">
        <v>7</v>
      </c>
      <c r="AZ96" s="525">
        <v>8</v>
      </c>
      <c r="BA96" s="525">
        <v>8</v>
      </c>
      <c r="BB96" s="525">
        <v>33</v>
      </c>
      <c r="BC96" s="525">
        <v>66</v>
      </c>
      <c r="BD96" s="525">
        <v>30</v>
      </c>
      <c r="BE96" s="525">
        <v>11</v>
      </c>
      <c r="BI96" s="382" t="s">
        <v>4893</v>
      </c>
      <c r="BJ96" s="463">
        <f>SUM(BJ103:BJ108)</f>
        <v>933</v>
      </c>
      <c r="BK96" s="463">
        <f t="shared" ref="BK96:BL96" si="71">SUM(BK103:BK108)</f>
        <v>422</v>
      </c>
      <c r="BL96" s="463">
        <f t="shared" si="71"/>
        <v>511</v>
      </c>
      <c r="BP96" s="382" t="s">
        <v>4914</v>
      </c>
      <c r="BQ96" s="382">
        <f t="shared" si="70"/>
        <v>36</v>
      </c>
      <c r="BR96" s="474" t="s">
        <v>546</v>
      </c>
      <c r="BS96" s="474" t="s">
        <v>546</v>
      </c>
      <c r="BT96" s="439">
        <v>1</v>
      </c>
      <c r="BU96" s="439">
        <v>14</v>
      </c>
      <c r="BV96" s="439">
        <v>9</v>
      </c>
      <c r="BW96" s="439">
        <v>4</v>
      </c>
      <c r="BX96" s="439">
        <v>6</v>
      </c>
      <c r="BY96" s="439">
        <v>1</v>
      </c>
      <c r="BZ96" s="435">
        <v>1</v>
      </c>
      <c r="CD96" s="1067"/>
      <c r="CE96" s="1067"/>
      <c r="CF96" s="1067"/>
      <c r="CG96" s="1067"/>
      <c r="CH96" s="1067"/>
      <c r="CI96" s="1067"/>
      <c r="CJ96" s="1067"/>
      <c r="CL96" s="1014"/>
      <c r="CM96" s="1014"/>
      <c r="CN96" s="598"/>
    </row>
    <row r="97" spans="31:97">
      <c r="AU97" s="382" t="s">
        <v>4914</v>
      </c>
      <c r="AV97" s="474">
        <f t="shared" si="67"/>
        <v>69</v>
      </c>
      <c r="AW97" s="474">
        <v>1</v>
      </c>
      <c r="AX97" s="525">
        <v>1</v>
      </c>
      <c r="AY97" s="862">
        <v>2</v>
      </c>
      <c r="AZ97" s="474">
        <v>4</v>
      </c>
      <c r="BA97" s="525">
        <v>1</v>
      </c>
      <c r="BB97" s="525">
        <v>13</v>
      </c>
      <c r="BC97" s="525">
        <v>28</v>
      </c>
      <c r="BD97" s="525">
        <v>12</v>
      </c>
      <c r="BE97" s="525">
        <v>7</v>
      </c>
      <c r="BI97" s="382" t="s">
        <v>4855</v>
      </c>
      <c r="BJ97" s="474" t="s">
        <v>546</v>
      </c>
      <c r="BK97" s="474" t="s">
        <v>546</v>
      </c>
      <c r="BL97" s="474" t="s">
        <v>546</v>
      </c>
      <c r="BP97" s="382" t="s">
        <v>4919</v>
      </c>
      <c r="BQ97" s="382">
        <f t="shared" si="70"/>
        <v>36</v>
      </c>
      <c r="BR97" s="474" t="s">
        <v>546</v>
      </c>
      <c r="BS97" s="474" t="s">
        <v>546</v>
      </c>
      <c r="BT97" s="439">
        <v>4</v>
      </c>
      <c r="BU97" s="439">
        <v>8</v>
      </c>
      <c r="BV97" s="439">
        <v>9</v>
      </c>
      <c r="BW97" s="439">
        <v>8</v>
      </c>
      <c r="BX97" s="439">
        <v>5</v>
      </c>
      <c r="BY97" s="439">
        <v>2</v>
      </c>
      <c r="BZ97" s="474" t="s">
        <v>546</v>
      </c>
      <c r="CD97" s="1067"/>
      <c r="CE97" s="1067"/>
      <c r="CF97" s="1067"/>
      <c r="CG97" s="1067"/>
      <c r="CH97" s="1067"/>
      <c r="CI97" s="1067"/>
      <c r="CJ97" s="1067"/>
      <c r="CL97" s="1014"/>
      <c r="CM97" s="1014"/>
      <c r="CN97" s="599"/>
      <c r="CP97" s="525"/>
      <c r="CQ97" s="525"/>
      <c r="CR97" s="525"/>
      <c r="CS97" s="525"/>
    </row>
    <row r="98" spans="31:97">
      <c r="AU98" s="382" t="s">
        <v>4916</v>
      </c>
      <c r="AV98" s="474">
        <f t="shared" si="67"/>
        <v>37</v>
      </c>
      <c r="AW98" s="474" t="s">
        <v>546</v>
      </c>
      <c r="AX98" s="474" t="s">
        <v>546</v>
      </c>
      <c r="AY98" s="474">
        <v>1</v>
      </c>
      <c r="AZ98" s="474" t="s">
        <v>546</v>
      </c>
      <c r="BA98" s="474" t="s">
        <v>546</v>
      </c>
      <c r="BB98" s="525">
        <v>8</v>
      </c>
      <c r="BC98" s="525">
        <v>11</v>
      </c>
      <c r="BD98" s="525">
        <v>5</v>
      </c>
      <c r="BE98" s="525">
        <v>12</v>
      </c>
      <c r="BI98" s="382" t="s">
        <v>4861</v>
      </c>
      <c r="BJ98" s="474" t="s">
        <v>546</v>
      </c>
      <c r="BK98" s="474" t="s">
        <v>546</v>
      </c>
      <c r="BL98" s="474" t="s">
        <v>546</v>
      </c>
      <c r="BM98" s="1084"/>
      <c r="BP98" s="382" t="s">
        <v>4922</v>
      </c>
      <c r="BQ98" s="382">
        <f t="shared" si="70"/>
        <v>27</v>
      </c>
      <c r="BR98" s="474" t="s">
        <v>546</v>
      </c>
      <c r="BS98" s="474" t="s">
        <v>546</v>
      </c>
      <c r="BT98" s="439">
        <v>2</v>
      </c>
      <c r="BU98" s="439">
        <v>10</v>
      </c>
      <c r="BV98" s="439">
        <v>6</v>
      </c>
      <c r="BW98" s="439">
        <v>4</v>
      </c>
      <c r="BX98" s="439">
        <v>4</v>
      </c>
      <c r="BY98" s="474" t="s">
        <v>546</v>
      </c>
      <c r="BZ98" s="439">
        <v>1</v>
      </c>
      <c r="CN98" s="599"/>
    </row>
    <row r="99" spans="31:97">
      <c r="AH99" s="1004"/>
      <c r="AU99" s="382"/>
      <c r="AW99" s="525"/>
      <c r="BI99" s="382" t="s">
        <v>4867</v>
      </c>
      <c r="BJ99" s="474" t="s">
        <v>546</v>
      </c>
      <c r="BK99" s="474" t="s">
        <v>546</v>
      </c>
      <c r="BL99" s="474" t="s">
        <v>546</v>
      </c>
      <c r="BM99" s="439"/>
      <c r="BP99" s="382" t="s">
        <v>4926</v>
      </c>
      <c r="BQ99" s="382">
        <f t="shared" si="70"/>
        <v>20</v>
      </c>
      <c r="BR99" s="474" t="s">
        <v>546</v>
      </c>
      <c r="BS99" s="474" t="s">
        <v>546</v>
      </c>
      <c r="BT99" s="439">
        <v>1</v>
      </c>
      <c r="BU99" s="439">
        <v>9</v>
      </c>
      <c r="BV99" s="439">
        <v>8</v>
      </c>
      <c r="BW99" s="475" t="s">
        <v>546</v>
      </c>
      <c r="BX99" s="439">
        <v>2</v>
      </c>
      <c r="BY99" s="474" t="s">
        <v>546</v>
      </c>
      <c r="BZ99" s="474" t="s">
        <v>546</v>
      </c>
      <c r="CD99" s="382"/>
      <c r="CE99" s="382"/>
      <c r="CF99" s="382"/>
      <c r="CG99" s="382"/>
      <c r="CH99" s="382"/>
      <c r="CI99" s="382"/>
      <c r="CJ99" s="382"/>
      <c r="CL99" s="599"/>
      <c r="CM99" s="599"/>
      <c r="CN99" s="525"/>
    </row>
    <row r="100" spans="31:97">
      <c r="AH100" s="1004"/>
      <c r="AU100" s="382" t="s">
        <v>4948</v>
      </c>
      <c r="AV100" s="525">
        <f>SUM(AV101:AV112)</f>
        <v>117</v>
      </c>
      <c r="AW100" s="435">
        <f>SUM(AW101:AW112)</f>
        <v>0</v>
      </c>
      <c r="AX100" s="525">
        <f>SUM(AX101:AX112)</f>
        <v>2</v>
      </c>
      <c r="AY100" s="525">
        <f t="shared" ref="AY100:BD100" si="72">SUM(AY101:AY112)</f>
        <v>2</v>
      </c>
      <c r="AZ100" s="525">
        <f t="shared" si="72"/>
        <v>1</v>
      </c>
      <c r="BA100" s="525">
        <f t="shared" si="72"/>
        <v>5</v>
      </c>
      <c r="BB100" s="525">
        <f t="shared" si="72"/>
        <v>39</v>
      </c>
      <c r="BC100" s="525">
        <f t="shared" si="72"/>
        <v>49</v>
      </c>
      <c r="BD100" s="525">
        <f t="shared" si="72"/>
        <v>16</v>
      </c>
      <c r="BE100" s="525">
        <f>SUM(BE101:BE112)</f>
        <v>3</v>
      </c>
      <c r="BI100" s="382" t="s">
        <v>4880</v>
      </c>
      <c r="BJ100" s="474" t="s">
        <v>546</v>
      </c>
      <c r="BK100" s="474" t="s">
        <v>546</v>
      </c>
      <c r="BL100" s="474" t="s">
        <v>546</v>
      </c>
      <c r="BM100" s="463"/>
      <c r="BP100" s="382" t="s">
        <v>4928</v>
      </c>
      <c r="BQ100" s="382">
        <f t="shared" si="70"/>
        <v>7</v>
      </c>
      <c r="BR100" s="474" t="s">
        <v>546</v>
      </c>
      <c r="BS100" s="474" t="s">
        <v>546</v>
      </c>
      <c r="BT100" s="439">
        <v>3</v>
      </c>
      <c r="BU100" s="439">
        <v>1</v>
      </c>
      <c r="BV100" s="435">
        <v>1</v>
      </c>
      <c r="BW100" s="439">
        <v>2</v>
      </c>
      <c r="BX100" s="474" t="s">
        <v>546</v>
      </c>
      <c r="BY100" s="474" t="s">
        <v>546</v>
      </c>
      <c r="BZ100" s="474" t="s">
        <v>546</v>
      </c>
      <c r="CD100" s="382"/>
      <c r="CE100" s="382"/>
      <c r="CF100" s="382"/>
      <c r="CG100" s="382"/>
      <c r="CH100" s="382"/>
      <c r="CI100" s="382"/>
      <c r="CJ100" s="382"/>
      <c r="CK100" s="439"/>
      <c r="CL100" s="439"/>
      <c r="CM100" s="439"/>
    </row>
    <row r="101" spans="31:97">
      <c r="AU101" s="382" t="s">
        <v>4855</v>
      </c>
      <c r="AV101" s="474">
        <f>SUM(AW101:BE101)</f>
        <v>0</v>
      </c>
      <c r="AW101" s="474" t="s">
        <v>546</v>
      </c>
      <c r="AX101" s="474" t="s">
        <v>546</v>
      </c>
      <c r="AY101" s="474" t="s">
        <v>546</v>
      </c>
      <c r="AZ101" s="474" t="s">
        <v>546</v>
      </c>
      <c r="BA101" s="474" t="s">
        <v>546</v>
      </c>
      <c r="BB101" s="474" t="s">
        <v>546</v>
      </c>
      <c r="BC101" s="474" t="s">
        <v>546</v>
      </c>
      <c r="BD101" s="474" t="s">
        <v>546</v>
      </c>
      <c r="BE101" s="474" t="s">
        <v>546</v>
      </c>
      <c r="BI101" s="382" t="s">
        <v>4892</v>
      </c>
      <c r="BJ101" s="474" t="s">
        <v>546</v>
      </c>
      <c r="BK101" s="474" t="s">
        <v>546</v>
      </c>
      <c r="BL101" s="474" t="s">
        <v>546</v>
      </c>
      <c r="BM101" s="463"/>
      <c r="BP101" s="381" t="s">
        <v>4930</v>
      </c>
      <c r="BQ101" s="381">
        <f t="shared" si="70"/>
        <v>2</v>
      </c>
      <c r="BR101" s="1073" t="s">
        <v>546</v>
      </c>
      <c r="BS101" s="1073" t="s">
        <v>546</v>
      </c>
      <c r="BT101" s="477">
        <v>2</v>
      </c>
      <c r="BU101" s="1073" t="s">
        <v>546</v>
      </c>
      <c r="BV101" s="1073" t="s">
        <v>546</v>
      </c>
      <c r="BW101" s="1073" t="s">
        <v>546</v>
      </c>
      <c r="BX101" s="1073" t="s">
        <v>546</v>
      </c>
      <c r="BY101" s="1073" t="s">
        <v>546</v>
      </c>
      <c r="BZ101" s="1073" t="s">
        <v>546</v>
      </c>
      <c r="CD101" s="1067"/>
      <c r="CE101" s="1067"/>
      <c r="CF101" s="1067"/>
      <c r="CG101" s="1067"/>
      <c r="CH101" s="1067"/>
      <c r="CI101" s="1067"/>
      <c r="CJ101" s="1067"/>
      <c r="CK101" s="439"/>
      <c r="CL101" s="439"/>
      <c r="CM101" s="439"/>
    </row>
    <row r="102" spans="31:97">
      <c r="AH102" s="525"/>
      <c r="AU102" s="382" t="s">
        <v>4861</v>
      </c>
      <c r="AV102" s="474">
        <f t="shared" ref="AV102:AV112" si="73">SUM(AW102:BE102)</f>
        <v>0</v>
      </c>
      <c r="AW102" s="474" t="s">
        <v>546</v>
      </c>
      <c r="AX102" s="474" t="s">
        <v>546</v>
      </c>
      <c r="AY102" s="474" t="s">
        <v>546</v>
      </c>
      <c r="AZ102" s="474" t="s">
        <v>546</v>
      </c>
      <c r="BA102" s="474" t="s">
        <v>546</v>
      </c>
      <c r="BB102" s="474" t="s">
        <v>546</v>
      </c>
      <c r="BC102" s="474" t="s">
        <v>546</v>
      </c>
      <c r="BD102" s="474" t="s">
        <v>546</v>
      </c>
      <c r="BE102" s="474" t="s">
        <v>546</v>
      </c>
      <c r="BI102" s="382" t="s">
        <v>4898</v>
      </c>
      <c r="BJ102" s="474" t="s">
        <v>546</v>
      </c>
      <c r="BK102" s="474" t="s">
        <v>546</v>
      </c>
      <c r="BL102" s="474" t="s">
        <v>546</v>
      </c>
      <c r="BM102" s="463"/>
      <c r="BP102" s="382" t="s">
        <v>4932</v>
      </c>
      <c r="BQ102" s="382"/>
      <c r="BR102" s="382"/>
      <c r="BS102" s="382"/>
      <c r="BT102" s="382"/>
      <c r="BU102" s="382"/>
      <c r="BV102" s="382"/>
      <c r="BW102" s="382"/>
      <c r="BX102" s="382"/>
      <c r="BY102" s="382"/>
      <c r="BZ102" s="382"/>
      <c r="CD102" s="1067"/>
      <c r="CE102" s="1067"/>
      <c r="CF102" s="1067"/>
      <c r="CG102" s="1067"/>
      <c r="CH102" s="1067"/>
      <c r="CI102" s="1067"/>
      <c r="CJ102" s="1067"/>
      <c r="CK102" s="439"/>
      <c r="CL102" s="439"/>
      <c r="CM102" s="439"/>
    </row>
    <row r="103" spans="31:97">
      <c r="AH103" s="525"/>
      <c r="AU103" s="382" t="s">
        <v>4867</v>
      </c>
      <c r="AV103" s="474">
        <f t="shared" si="73"/>
        <v>0</v>
      </c>
      <c r="AW103" s="474" t="s">
        <v>546</v>
      </c>
      <c r="AX103" s="474" t="s">
        <v>546</v>
      </c>
      <c r="AY103" s="474" t="s">
        <v>546</v>
      </c>
      <c r="AZ103" s="474" t="s">
        <v>546</v>
      </c>
      <c r="BA103" s="474" t="s">
        <v>546</v>
      </c>
      <c r="BB103" s="474" t="s">
        <v>546</v>
      </c>
      <c r="BC103" s="474" t="s">
        <v>546</v>
      </c>
      <c r="BD103" s="474" t="s">
        <v>546</v>
      </c>
      <c r="BE103" s="474" t="s">
        <v>546</v>
      </c>
      <c r="BI103" s="382" t="s">
        <v>4904</v>
      </c>
      <c r="BJ103" s="435">
        <f t="shared" ref="BJ103:BJ108" si="74">SUM(BK103:BL103)</f>
        <v>63</v>
      </c>
      <c r="BK103" s="463">
        <v>32</v>
      </c>
      <c r="BL103" s="463">
        <v>31</v>
      </c>
      <c r="BM103" s="463"/>
      <c r="CD103" s="1067"/>
      <c r="CE103" s="1067"/>
      <c r="CF103" s="1067"/>
      <c r="CG103" s="1067"/>
      <c r="CH103" s="1067"/>
      <c r="CI103" s="1067"/>
      <c r="CJ103" s="1067"/>
      <c r="CK103" s="439"/>
      <c r="CL103" s="439"/>
      <c r="CM103" s="439"/>
    </row>
    <row r="104" spans="31:97">
      <c r="AU104" s="382" t="s">
        <v>4880</v>
      </c>
      <c r="AV104" s="474">
        <f t="shared" si="73"/>
        <v>0</v>
      </c>
      <c r="AW104" s="474" t="s">
        <v>546</v>
      </c>
      <c r="AX104" s="474" t="s">
        <v>546</v>
      </c>
      <c r="AY104" s="474" t="s">
        <v>546</v>
      </c>
      <c r="AZ104" s="474" t="s">
        <v>546</v>
      </c>
      <c r="BA104" s="474" t="s">
        <v>546</v>
      </c>
      <c r="BB104" s="474" t="s">
        <v>546</v>
      </c>
      <c r="BC104" s="474" t="s">
        <v>546</v>
      </c>
      <c r="BD104" s="474" t="s">
        <v>546</v>
      </c>
      <c r="BE104" s="474" t="s">
        <v>546</v>
      </c>
      <c r="BI104" s="382" t="s">
        <v>4907</v>
      </c>
      <c r="BJ104" s="435">
        <f t="shared" si="74"/>
        <v>280</v>
      </c>
      <c r="BK104" s="463">
        <v>138</v>
      </c>
      <c r="BL104" s="463">
        <v>142</v>
      </c>
      <c r="BM104" s="463"/>
      <c r="CD104" s="1067"/>
      <c r="CE104" s="1067"/>
      <c r="CF104" s="1067"/>
      <c r="CG104" s="1067"/>
      <c r="CH104" s="1067"/>
      <c r="CI104" s="1067"/>
      <c r="CJ104" s="1067"/>
      <c r="CK104" s="439"/>
      <c r="CL104" s="439"/>
      <c r="CM104" s="439"/>
    </row>
    <row r="105" spans="31:97">
      <c r="AU105" s="382" t="s">
        <v>4892</v>
      </c>
      <c r="AV105" s="474">
        <f t="shared" si="73"/>
        <v>0</v>
      </c>
      <c r="AW105" s="474" t="s">
        <v>546</v>
      </c>
      <c r="AX105" s="474" t="s">
        <v>546</v>
      </c>
      <c r="AY105" s="474" t="s">
        <v>546</v>
      </c>
      <c r="AZ105" s="474" t="s">
        <v>546</v>
      </c>
      <c r="BA105" s="474" t="s">
        <v>546</v>
      </c>
      <c r="BB105" s="474" t="s">
        <v>546</v>
      </c>
      <c r="BC105" s="474" t="s">
        <v>546</v>
      </c>
      <c r="BD105" s="474" t="s">
        <v>546</v>
      </c>
      <c r="BE105" s="474" t="s">
        <v>546</v>
      </c>
      <c r="BI105" s="382" t="s">
        <v>4909</v>
      </c>
      <c r="BJ105" s="435">
        <f t="shared" si="74"/>
        <v>291</v>
      </c>
      <c r="BK105" s="463">
        <v>128</v>
      </c>
      <c r="BL105" s="463">
        <v>163</v>
      </c>
      <c r="BM105" s="463"/>
      <c r="CD105" s="1067"/>
      <c r="CE105" s="1067"/>
      <c r="CF105" s="1067"/>
      <c r="CG105" s="1067"/>
      <c r="CH105" s="1067"/>
      <c r="CI105" s="1067"/>
      <c r="CJ105" s="1067"/>
      <c r="CK105" s="382"/>
      <c r="CL105" s="1014"/>
      <c r="CM105" s="1014"/>
    </row>
    <row r="106" spans="31:97">
      <c r="AH106" s="623"/>
      <c r="AU106" s="382" t="s">
        <v>4898</v>
      </c>
      <c r="AV106" s="474">
        <f t="shared" si="73"/>
        <v>0</v>
      </c>
      <c r="AW106" s="474" t="s">
        <v>546</v>
      </c>
      <c r="AX106" s="474" t="s">
        <v>546</v>
      </c>
      <c r="AY106" s="474" t="s">
        <v>546</v>
      </c>
      <c r="AZ106" s="474" t="s">
        <v>546</v>
      </c>
      <c r="BA106" s="474" t="s">
        <v>546</v>
      </c>
      <c r="BB106" s="474" t="s">
        <v>546</v>
      </c>
      <c r="BC106" s="474" t="s">
        <v>546</v>
      </c>
      <c r="BD106" s="474" t="s">
        <v>546</v>
      </c>
      <c r="BE106" s="474" t="s">
        <v>546</v>
      </c>
      <c r="BI106" s="382" t="s">
        <v>4911</v>
      </c>
      <c r="BJ106" s="435">
        <f t="shared" si="74"/>
        <v>188</v>
      </c>
      <c r="BK106" s="463">
        <v>86</v>
      </c>
      <c r="BL106" s="463">
        <v>102</v>
      </c>
      <c r="BM106" s="463"/>
      <c r="BP106" s="382" t="s">
        <v>5005</v>
      </c>
      <c r="BQ106" s="382"/>
      <c r="BR106" s="382"/>
      <c r="BS106" s="382"/>
      <c r="BT106" s="382"/>
      <c r="BU106" s="382"/>
      <c r="BV106" s="382"/>
      <c r="BW106" s="382"/>
      <c r="BX106" s="382"/>
      <c r="BY106" s="382"/>
      <c r="BZ106" s="382"/>
      <c r="CD106" s="1067"/>
      <c r="CE106" s="1067"/>
      <c r="CF106" s="1067"/>
      <c r="CG106" s="1067"/>
      <c r="CH106" s="1067"/>
      <c r="CI106" s="1067"/>
      <c r="CJ106" s="1067"/>
      <c r="CK106" s="382"/>
      <c r="CL106" s="1014"/>
      <c r="CM106" s="1014"/>
    </row>
    <row r="107" spans="31:97">
      <c r="AF107" s="1004"/>
      <c r="AG107" s="1004"/>
      <c r="AH107" s="1004"/>
      <c r="AU107" s="382" t="s">
        <v>4904</v>
      </c>
      <c r="AV107" s="474">
        <f t="shared" si="73"/>
        <v>10</v>
      </c>
      <c r="AW107" s="474" t="s">
        <v>546</v>
      </c>
      <c r="AX107" s="474" t="s">
        <v>546</v>
      </c>
      <c r="AY107" s="474" t="s">
        <v>546</v>
      </c>
      <c r="AZ107" s="474" t="s">
        <v>546</v>
      </c>
      <c r="BA107" s="525">
        <v>1</v>
      </c>
      <c r="BB107" s="525">
        <v>9</v>
      </c>
      <c r="BC107" s="474" t="s">
        <v>546</v>
      </c>
      <c r="BD107" s="474" t="s">
        <v>546</v>
      </c>
      <c r="BE107" s="474" t="s">
        <v>546</v>
      </c>
      <c r="BI107" s="382" t="s">
        <v>4914</v>
      </c>
      <c r="BJ107" s="435">
        <f t="shared" si="74"/>
        <v>72</v>
      </c>
      <c r="BK107" s="463">
        <v>26</v>
      </c>
      <c r="BL107" s="463">
        <v>46</v>
      </c>
      <c r="BM107" s="463"/>
      <c r="BP107" s="597"/>
      <c r="BQ107" s="404"/>
      <c r="BR107" s="2098" t="s">
        <v>4863</v>
      </c>
      <c r="BS107" s="2098"/>
      <c r="BT107" s="2098"/>
      <c r="BU107" s="2098"/>
      <c r="BV107" s="2098"/>
      <c r="BW107" s="2098"/>
      <c r="BX107" s="2098"/>
      <c r="BY107" s="2098"/>
      <c r="BZ107" s="2078"/>
      <c r="CD107" s="1067"/>
      <c r="CE107" s="1067"/>
      <c r="CF107" s="1067"/>
      <c r="CG107" s="1067"/>
      <c r="CH107" s="1067"/>
      <c r="CI107" s="1067"/>
      <c r="CJ107" s="1067"/>
      <c r="CK107" s="382"/>
      <c r="CL107" s="1014"/>
      <c r="CM107" s="1014"/>
    </row>
    <row r="108" spans="31:97">
      <c r="AE108" s="1004"/>
      <c r="AF108" s="1004"/>
      <c r="AG108" s="1004"/>
      <c r="AH108" s="1004"/>
      <c r="AU108" s="382" t="s">
        <v>4907</v>
      </c>
      <c r="AV108" s="474">
        <f t="shared" si="73"/>
        <v>48</v>
      </c>
      <c r="AW108" s="474" t="s">
        <v>546</v>
      </c>
      <c r="AX108" s="474">
        <v>1</v>
      </c>
      <c r="AY108" s="474" t="s">
        <v>546</v>
      </c>
      <c r="AZ108" s="474">
        <v>1</v>
      </c>
      <c r="BA108" s="525">
        <v>3</v>
      </c>
      <c r="BB108" s="525">
        <v>18</v>
      </c>
      <c r="BC108" s="525">
        <v>24</v>
      </c>
      <c r="BD108" s="525">
        <v>1</v>
      </c>
      <c r="BE108" s="474" t="s">
        <v>546</v>
      </c>
      <c r="BI108" s="382" t="s">
        <v>4916</v>
      </c>
      <c r="BJ108" s="435">
        <f t="shared" si="74"/>
        <v>39</v>
      </c>
      <c r="BK108" s="463">
        <v>12</v>
      </c>
      <c r="BL108" s="463">
        <v>27</v>
      </c>
      <c r="BM108" s="463"/>
      <c r="BP108" s="493"/>
      <c r="BQ108" s="667" t="s">
        <v>129</v>
      </c>
      <c r="BR108" s="667" t="s">
        <v>4868</v>
      </c>
      <c r="BS108" s="667" t="s">
        <v>4869</v>
      </c>
      <c r="BT108" s="667" t="s">
        <v>4870</v>
      </c>
      <c r="BU108" s="667" t="s">
        <v>4871</v>
      </c>
      <c r="BV108" s="667" t="s">
        <v>4872</v>
      </c>
      <c r="BW108" s="667" t="s">
        <v>4873</v>
      </c>
      <c r="BX108" s="667" t="s">
        <v>4874</v>
      </c>
      <c r="BY108" s="667" t="s">
        <v>4875</v>
      </c>
      <c r="BZ108" s="465" t="s">
        <v>4876</v>
      </c>
      <c r="CD108" s="1067"/>
      <c r="CE108" s="1067"/>
      <c r="CF108" s="1067"/>
      <c r="CG108" s="1067"/>
      <c r="CH108" s="1067"/>
      <c r="CI108" s="1067"/>
      <c r="CJ108" s="1067"/>
      <c r="CK108" s="382"/>
      <c r="CL108" s="1014"/>
      <c r="CM108" s="1014"/>
    </row>
    <row r="109" spans="31:97">
      <c r="AE109" s="1004"/>
      <c r="AU109" s="382" t="s">
        <v>4909</v>
      </c>
      <c r="AV109" s="474">
        <f t="shared" si="73"/>
        <v>35</v>
      </c>
      <c r="AW109" s="474" t="s">
        <v>546</v>
      </c>
      <c r="AX109" s="474" t="s">
        <v>546</v>
      </c>
      <c r="AY109" s="474">
        <v>1</v>
      </c>
      <c r="AZ109" s="474" t="s">
        <v>546</v>
      </c>
      <c r="BA109" s="525">
        <v>1</v>
      </c>
      <c r="BB109" s="525">
        <v>5</v>
      </c>
      <c r="BC109" s="525">
        <v>17</v>
      </c>
      <c r="BD109" s="525">
        <v>10</v>
      </c>
      <c r="BE109" s="474">
        <v>1</v>
      </c>
      <c r="BI109" s="382"/>
      <c r="BJ109" s="463"/>
      <c r="BK109" s="463"/>
      <c r="BL109" s="463"/>
      <c r="BM109" s="463"/>
      <c r="BP109" s="610" t="s">
        <v>2449</v>
      </c>
      <c r="BQ109" s="441" t="s">
        <v>4832</v>
      </c>
      <c r="BR109" s="441" t="s">
        <v>4881</v>
      </c>
      <c r="BS109" s="441" t="s">
        <v>4882</v>
      </c>
      <c r="BT109" s="441" t="s">
        <v>4883</v>
      </c>
      <c r="BU109" s="441" t="s">
        <v>4884</v>
      </c>
      <c r="BV109" s="441" t="s">
        <v>4885</v>
      </c>
      <c r="BW109" s="441" t="s">
        <v>4886</v>
      </c>
      <c r="BX109" s="441" t="s">
        <v>4887</v>
      </c>
      <c r="BY109" s="441" t="s">
        <v>4876</v>
      </c>
      <c r="BZ109" s="442" t="s">
        <v>4888</v>
      </c>
      <c r="CD109" s="1067"/>
      <c r="CE109" s="1067"/>
      <c r="CF109" s="1067"/>
      <c r="CG109" s="1067"/>
      <c r="CH109" s="1067"/>
      <c r="CI109" s="1067"/>
      <c r="CJ109" s="1067"/>
      <c r="CK109" s="382"/>
      <c r="CL109" s="1014"/>
      <c r="CM109" s="1014"/>
    </row>
    <row r="110" spans="31:97">
      <c r="AU110" s="382" t="s">
        <v>4911</v>
      </c>
      <c r="AV110" s="474">
        <f t="shared" si="73"/>
        <v>19</v>
      </c>
      <c r="AW110" s="474" t="s">
        <v>546</v>
      </c>
      <c r="AX110" s="474" t="s">
        <v>546</v>
      </c>
      <c r="AY110" s="474">
        <v>1</v>
      </c>
      <c r="AZ110" s="474" t="s">
        <v>546</v>
      </c>
      <c r="BA110" s="474" t="s">
        <v>546</v>
      </c>
      <c r="BB110" s="474">
        <v>7</v>
      </c>
      <c r="BC110" s="474">
        <v>5</v>
      </c>
      <c r="BD110" s="525">
        <v>5</v>
      </c>
      <c r="BE110" s="474">
        <v>1</v>
      </c>
      <c r="BI110" s="382" t="s">
        <v>4969</v>
      </c>
      <c r="BJ110" s="463">
        <f>SUM(BK110:BL110)</f>
        <v>816</v>
      </c>
      <c r="BK110" s="463">
        <f>SUM(BK111:BK122)</f>
        <v>320</v>
      </c>
      <c r="BL110" s="463">
        <f>SUM(BL111:BL122)</f>
        <v>496</v>
      </c>
      <c r="BM110" s="463"/>
      <c r="BP110" s="1066" t="s">
        <v>4894</v>
      </c>
      <c r="BQ110" s="463">
        <f>SUM(BQ111:BQ122)</f>
        <v>5417</v>
      </c>
      <c r="BR110" s="463">
        <f>SUM(BR111:BR122)</f>
        <v>52</v>
      </c>
      <c r="BS110" s="463">
        <f>SUM(BS111:BS122)</f>
        <v>50</v>
      </c>
      <c r="BT110" s="463">
        <f t="shared" ref="BT110:BZ110" si="75">SUM(BT111:BT122)</f>
        <v>251</v>
      </c>
      <c r="BU110" s="463">
        <f t="shared" si="75"/>
        <v>409</v>
      </c>
      <c r="BV110" s="463">
        <f t="shared" si="75"/>
        <v>585</v>
      </c>
      <c r="BW110" s="463">
        <f>SUM(BW111:BW122)</f>
        <v>710</v>
      </c>
      <c r="BX110" s="463">
        <f t="shared" si="75"/>
        <v>1317</v>
      </c>
      <c r="BY110" s="463">
        <f t="shared" si="75"/>
        <v>907</v>
      </c>
      <c r="BZ110" s="463">
        <f t="shared" si="75"/>
        <v>1136</v>
      </c>
      <c r="CD110" s="1067"/>
      <c r="CE110" s="1067"/>
      <c r="CF110" s="1067"/>
      <c r="CG110" s="1067"/>
      <c r="CH110" s="1067"/>
      <c r="CI110" s="1067"/>
      <c r="CJ110" s="1067"/>
      <c r="CK110" s="382"/>
      <c r="CL110" s="1014"/>
      <c r="CM110" s="1014"/>
    </row>
    <row r="111" spans="31:97">
      <c r="AU111" s="382" t="s">
        <v>4914</v>
      </c>
      <c r="AV111" s="474">
        <f t="shared" si="73"/>
        <v>3</v>
      </c>
      <c r="AW111" s="474" t="s">
        <v>546</v>
      </c>
      <c r="AX111" s="474" t="s">
        <v>546</v>
      </c>
      <c r="AY111" s="474" t="s">
        <v>546</v>
      </c>
      <c r="AZ111" s="474" t="s">
        <v>546</v>
      </c>
      <c r="BA111" s="474" t="s">
        <v>546</v>
      </c>
      <c r="BB111" s="474" t="s">
        <v>546</v>
      </c>
      <c r="BC111" s="474">
        <v>2</v>
      </c>
      <c r="BD111" s="474" t="s">
        <v>546</v>
      </c>
      <c r="BE111" s="474">
        <v>1</v>
      </c>
      <c r="BI111" s="382" t="s">
        <v>4855</v>
      </c>
      <c r="BJ111" s="474" t="s">
        <v>546</v>
      </c>
      <c r="BK111" s="474" t="s">
        <v>546</v>
      </c>
      <c r="BL111" s="474" t="s">
        <v>546</v>
      </c>
      <c r="BM111" s="463"/>
      <c r="BP111" s="382" t="s">
        <v>4899</v>
      </c>
      <c r="BQ111" s="435" t="s">
        <v>546</v>
      </c>
      <c r="BR111" s="435" t="s">
        <v>546</v>
      </c>
      <c r="BS111" s="435" t="s">
        <v>546</v>
      </c>
      <c r="BT111" s="435" t="s">
        <v>546</v>
      </c>
      <c r="BU111" s="435" t="s">
        <v>546</v>
      </c>
      <c r="BV111" s="435" t="s">
        <v>546</v>
      </c>
      <c r="BW111" s="435" t="s">
        <v>546</v>
      </c>
      <c r="BX111" s="435" t="s">
        <v>546</v>
      </c>
      <c r="BY111" s="435" t="s">
        <v>546</v>
      </c>
      <c r="BZ111" s="435" t="s">
        <v>546</v>
      </c>
      <c r="CD111" s="1067"/>
      <c r="CE111" s="1067"/>
      <c r="CF111" s="1067"/>
      <c r="CG111" s="1067"/>
      <c r="CH111" s="1067"/>
      <c r="CI111" s="1067"/>
      <c r="CJ111" s="1067"/>
      <c r="CK111" s="382"/>
      <c r="CL111" s="1014"/>
      <c r="CM111" s="1014"/>
    </row>
    <row r="112" spans="31:97">
      <c r="AU112" s="381" t="s">
        <v>4916</v>
      </c>
      <c r="AV112" s="1073">
        <f t="shared" si="73"/>
        <v>2</v>
      </c>
      <c r="AW112" s="1073" t="s">
        <v>546</v>
      </c>
      <c r="AX112" s="1073">
        <v>1</v>
      </c>
      <c r="AY112" s="1073" t="s">
        <v>546</v>
      </c>
      <c r="AZ112" s="1073" t="s">
        <v>546</v>
      </c>
      <c r="BA112" s="1073" t="s">
        <v>546</v>
      </c>
      <c r="BB112" s="1073" t="s">
        <v>546</v>
      </c>
      <c r="BC112" s="1073">
        <v>1</v>
      </c>
      <c r="BD112" s="1073" t="s">
        <v>546</v>
      </c>
      <c r="BE112" s="1073" t="s">
        <v>546</v>
      </c>
      <c r="BI112" s="382" t="s">
        <v>4861</v>
      </c>
      <c r="BJ112" s="474" t="s">
        <v>546</v>
      </c>
      <c r="BK112" s="474" t="s">
        <v>546</v>
      </c>
      <c r="BL112" s="474" t="s">
        <v>546</v>
      </c>
      <c r="BM112" s="463"/>
      <c r="BP112" s="382" t="s">
        <v>4898</v>
      </c>
      <c r="BQ112" s="439">
        <f t="shared" ref="BQ112:BQ122" si="76">SUM(BR112:BZ112)</f>
        <v>2</v>
      </c>
      <c r="BR112" s="435" t="s">
        <v>546</v>
      </c>
      <c r="BS112" s="435" t="s">
        <v>546</v>
      </c>
      <c r="BT112" s="435" t="s">
        <v>546</v>
      </c>
      <c r="BU112" s="435">
        <v>1</v>
      </c>
      <c r="BV112" s="435" t="s">
        <v>546</v>
      </c>
      <c r="BW112" s="435" t="s">
        <v>546</v>
      </c>
      <c r="BX112" s="435" t="s">
        <v>546</v>
      </c>
      <c r="BY112" s="435" t="s">
        <v>546</v>
      </c>
      <c r="BZ112" s="435">
        <v>1</v>
      </c>
      <c r="CD112" s="1067"/>
      <c r="CE112" s="1067"/>
      <c r="CF112" s="1067"/>
      <c r="CG112" s="1067"/>
      <c r="CH112" s="1067"/>
      <c r="CI112" s="1067"/>
      <c r="CJ112" s="1067"/>
      <c r="CK112" s="382"/>
      <c r="CL112" s="1014"/>
      <c r="CM112" s="1014"/>
    </row>
    <row r="113" spans="34:97">
      <c r="AU113" s="382" t="s">
        <v>4932</v>
      </c>
      <c r="BI113" s="382" t="s">
        <v>4867</v>
      </c>
      <c r="BJ113" s="474" t="s">
        <v>546</v>
      </c>
      <c r="BK113" s="474" t="s">
        <v>546</v>
      </c>
      <c r="BL113" s="474" t="s">
        <v>546</v>
      </c>
      <c r="BM113" s="463"/>
      <c r="BP113" s="382" t="s">
        <v>4904</v>
      </c>
      <c r="BQ113" s="439">
        <f t="shared" si="76"/>
        <v>16</v>
      </c>
      <c r="BR113" s="439">
        <v>1</v>
      </c>
      <c r="BS113" s="435" t="s">
        <v>546</v>
      </c>
      <c r="BT113" s="435" t="s">
        <v>546</v>
      </c>
      <c r="BU113" s="439">
        <v>1</v>
      </c>
      <c r="BV113" s="439">
        <v>1</v>
      </c>
      <c r="BW113" s="439">
        <v>2</v>
      </c>
      <c r="BX113" s="435" t="s">
        <v>546</v>
      </c>
      <c r="BY113" s="435">
        <v>3</v>
      </c>
      <c r="BZ113" s="439">
        <v>8</v>
      </c>
      <c r="CD113" s="1067"/>
      <c r="CE113" s="1067"/>
      <c r="CF113" s="1067"/>
      <c r="CG113" s="1067"/>
      <c r="CH113" s="1067"/>
      <c r="CI113" s="1067"/>
      <c r="CJ113" s="1067"/>
      <c r="CK113" s="382"/>
      <c r="CL113" s="1014"/>
      <c r="CM113" s="1014"/>
    </row>
    <row r="114" spans="34:97">
      <c r="BI114" s="382" t="s">
        <v>4880</v>
      </c>
      <c r="BJ114" s="474" t="s">
        <v>546</v>
      </c>
      <c r="BK114" s="474" t="s">
        <v>546</v>
      </c>
      <c r="BL114" s="474" t="s">
        <v>546</v>
      </c>
      <c r="BM114" s="463"/>
      <c r="BP114" s="382" t="s">
        <v>4907</v>
      </c>
      <c r="BQ114" s="439">
        <f t="shared" si="76"/>
        <v>162</v>
      </c>
      <c r="BR114" s="439">
        <v>13</v>
      </c>
      <c r="BS114" s="435" t="s">
        <v>546</v>
      </c>
      <c r="BT114" s="439">
        <v>2</v>
      </c>
      <c r="BU114" s="439">
        <v>4</v>
      </c>
      <c r="BV114" s="439">
        <v>2</v>
      </c>
      <c r="BW114" s="439">
        <v>14</v>
      </c>
      <c r="BX114" s="439">
        <v>27</v>
      </c>
      <c r="BY114" s="439">
        <v>27</v>
      </c>
      <c r="BZ114" s="439">
        <v>73</v>
      </c>
      <c r="CD114" s="1067"/>
      <c r="CE114" s="1067"/>
      <c r="CF114" s="1067"/>
      <c r="CG114" s="1067"/>
      <c r="CH114" s="1067"/>
      <c r="CI114" s="1067"/>
      <c r="CJ114" s="1067"/>
      <c r="CK114" s="382"/>
      <c r="CL114" s="1014"/>
      <c r="CM114" s="1014"/>
      <c r="CQ114" s="525"/>
      <c r="CR114" s="525"/>
      <c r="CS114" s="525"/>
    </row>
    <row r="115" spans="34:97">
      <c r="AH115" s="1004"/>
      <c r="BI115" s="382" t="s">
        <v>4892</v>
      </c>
      <c r="BJ115" s="474" t="s">
        <v>546</v>
      </c>
      <c r="BK115" s="474" t="s">
        <v>546</v>
      </c>
      <c r="BL115" s="474" t="s">
        <v>546</v>
      </c>
      <c r="BM115" s="463"/>
      <c r="BP115" s="382" t="s">
        <v>4909</v>
      </c>
      <c r="BQ115" s="439">
        <f t="shared" si="76"/>
        <v>509</v>
      </c>
      <c r="BR115" s="439">
        <v>10</v>
      </c>
      <c r="BS115" s="435" t="s">
        <v>546</v>
      </c>
      <c r="BT115" s="439">
        <v>10</v>
      </c>
      <c r="BU115" s="439">
        <v>17</v>
      </c>
      <c r="BV115" s="439">
        <v>20</v>
      </c>
      <c r="BW115" s="439">
        <v>41</v>
      </c>
      <c r="BX115" s="439">
        <v>94</v>
      </c>
      <c r="BY115" s="439">
        <v>106</v>
      </c>
      <c r="BZ115" s="439">
        <v>211</v>
      </c>
    </row>
    <row r="116" spans="34:97">
      <c r="AH116" s="1004"/>
      <c r="BI116" s="382" t="s">
        <v>4898</v>
      </c>
      <c r="BJ116" s="474" t="s">
        <v>546</v>
      </c>
      <c r="BK116" s="474" t="s">
        <v>546</v>
      </c>
      <c r="BL116" s="474" t="s">
        <v>546</v>
      </c>
      <c r="BM116" s="463"/>
      <c r="BP116" s="382" t="s">
        <v>4911</v>
      </c>
      <c r="BQ116" s="439">
        <f t="shared" si="76"/>
        <v>806</v>
      </c>
      <c r="BR116" s="439">
        <v>12</v>
      </c>
      <c r="BS116" s="439">
        <v>12</v>
      </c>
      <c r="BT116" s="439">
        <v>13</v>
      </c>
      <c r="BU116" s="439">
        <v>35</v>
      </c>
      <c r="BV116" s="439">
        <v>72</v>
      </c>
      <c r="BW116" s="439">
        <v>80</v>
      </c>
      <c r="BX116" s="439">
        <v>173</v>
      </c>
      <c r="BY116" s="439">
        <v>159</v>
      </c>
      <c r="BZ116" s="439">
        <v>250</v>
      </c>
      <c r="CD116" s="382"/>
      <c r="CE116" s="382"/>
      <c r="CF116" s="382"/>
      <c r="CG116" s="382"/>
      <c r="CH116" s="382"/>
      <c r="CI116" s="382"/>
      <c r="CJ116" s="382"/>
      <c r="CK116" s="463"/>
      <c r="CL116" s="463"/>
      <c r="CM116" s="463"/>
    </row>
    <row r="117" spans="34:97">
      <c r="AU117" s="382" t="s">
        <v>5006</v>
      </c>
      <c r="AV117" s="382"/>
      <c r="AW117" s="382"/>
      <c r="AX117" s="382"/>
      <c r="AY117" s="382"/>
      <c r="AZ117" s="382"/>
      <c r="BA117" s="382"/>
      <c r="BB117" s="382"/>
      <c r="BC117" s="382"/>
      <c r="BD117" s="382"/>
      <c r="BE117" s="870"/>
      <c r="BI117" s="382" t="s">
        <v>4904</v>
      </c>
      <c r="BJ117" s="435">
        <f>SUM(BK117:BL117)</f>
        <v>53</v>
      </c>
      <c r="BK117" s="463">
        <v>22</v>
      </c>
      <c r="BL117" s="463">
        <v>31</v>
      </c>
      <c r="BM117" s="463"/>
      <c r="BP117" s="382" t="s">
        <v>4914</v>
      </c>
      <c r="BQ117" s="435">
        <f t="shared" si="76"/>
        <v>1151</v>
      </c>
      <c r="BR117" s="439">
        <v>11</v>
      </c>
      <c r="BS117" s="439">
        <v>17</v>
      </c>
      <c r="BT117" s="439">
        <v>34</v>
      </c>
      <c r="BU117" s="439">
        <v>61</v>
      </c>
      <c r="BV117" s="439">
        <v>117</v>
      </c>
      <c r="BW117" s="439">
        <v>157</v>
      </c>
      <c r="BX117" s="439">
        <v>311</v>
      </c>
      <c r="BY117" s="439">
        <v>217</v>
      </c>
      <c r="BZ117" s="439">
        <v>226</v>
      </c>
      <c r="CD117" s="382"/>
      <c r="CE117" s="382"/>
      <c r="CF117" s="382"/>
      <c r="CG117" s="382"/>
      <c r="CH117" s="382"/>
      <c r="CI117" s="382"/>
      <c r="CJ117" s="382"/>
      <c r="CK117" s="382"/>
      <c r="CL117" s="599"/>
      <c r="CM117" s="599"/>
    </row>
    <row r="118" spans="34:97">
      <c r="AU118" s="597"/>
      <c r="AV118" s="404" t="s">
        <v>129</v>
      </c>
      <c r="AW118" s="2098" t="s">
        <v>4829</v>
      </c>
      <c r="AX118" s="2098"/>
      <c r="AY118" s="2098"/>
      <c r="AZ118" s="2098"/>
      <c r="BA118" s="2098"/>
      <c r="BB118" s="2098"/>
      <c r="BC118" s="2098"/>
      <c r="BD118" s="2098"/>
      <c r="BE118" s="2078"/>
      <c r="BI118" s="382" t="s">
        <v>4907</v>
      </c>
      <c r="BJ118" s="435">
        <f t="shared" ref="BJ118:BJ122" si="77">SUM(BK118:BL118)</f>
        <v>232</v>
      </c>
      <c r="BK118" s="463">
        <v>95</v>
      </c>
      <c r="BL118" s="463">
        <v>137</v>
      </c>
      <c r="BM118" s="463"/>
      <c r="BP118" s="382" t="s">
        <v>4919</v>
      </c>
      <c r="BQ118" s="435">
        <f t="shared" si="76"/>
        <v>1097</v>
      </c>
      <c r="BR118" s="439">
        <v>3</v>
      </c>
      <c r="BS118" s="439">
        <v>13</v>
      </c>
      <c r="BT118" s="439">
        <v>46</v>
      </c>
      <c r="BU118" s="439">
        <v>73</v>
      </c>
      <c r="BV118" s="439">
        <v>125</v>
      </c>
      <c r="BW118" s="439">
        <v>161</v>
      </c>
      <c r="BX118" s="439">
        <v>305</v>
      </c>
      <c r="BY118" s="439">
        <v>202</v>
      </c>
      <c r="BZ118" s="439">
        <v>169</v>
      </c>
      <c r="CD118" s="1067"/>
      <c r="CE118" s="1067"/>
      <c r="CF118" s="1067"/>
      <c r="CG118" s="1067"/>
      <c r="CH118" s="1067"/>
      <c r="CI118" s="1067"/>
      <c r="CJ118" s="1067"/>
      <c r="CK118" s="382"/>
      <c r="CL118" s="1014"/>
      <c r="CM118" s="1014"/>
    </row>
    <row r="119" spans="34:97">
      <c r="AU119" s="610" t="s">
        <v>2449</v>
      </c>
      <c r="AV119" s="441" t="s">
        <v>4832</v>
      </c>
      <c r="AW119" s="642" t="s">
        <v>4833</v>
      </c>
      <c r="AX119" s="1054" t="s">
        <v>4834</v>
      </c>
      <c r="AY119" s="1054" t="s">
        <v>4835</v>
      </c>
      <c r="AZ119" s="642" t="s">
        <v>4836</v>
      </c>
      <c r="BA119" s="642" t="s">
        <v>2452</v>
      </c>
      <c r="BB119" s="642" t="s">
        <v>2453</v>
      </c>
      <c r="BC119" s="642" t="s">
        <v>2454</v>
      </c>
      <c r="BD119" s="642" t="s">
        <v>2455</v>
      </c>
      <c r="BE119" s="664" t="s">
        <v>4837</v>
      </c>
      <c r="BI119" s="382" t="s">
        <v>4909</v>
      </c>
      <c r="BJ119" s="435">
        <f t="shared" si="77"/>
        <v>256</v>
      </c>
      <c r="BK119" s="463">
        <v>98</v>
      </c>
      <c r="BL119" s="463">
        <v>158</v>
      </c>
      <c r="BM119" s="463"/>
      <c r="BP119" s="382" t="s">
        <v>4922</v>
      </c>
      <c r="BQ119" s="439">
        <f t="shared" si="76"/>
        <v>770</v>
      </c>
      <c r="BR119" s="439">
        <v>2</v>
      </c>
      <c r="BS119" s="439">
        <v>4</v>
      </c>
      <c r="BT119" s="439">
        <v>37</v>
      </c>
      <c r="BU119" s="439">
        <v>64</v>
      </c>
      <c r="BV119" s="439">
        <v>98</v>
      </c>
      <c r="BW119" s="439">
        <v>128</v>
      </c>
      <c r="BX119" s="439">
        <v>216</v>
      </c>
      <c r="BY119" s="439">
        <v>115</v>
      </c>
      <c r="BZ119" s="439">
        <v>106</v>
      </c>
      <c r="CD119" s="1067"/>
      <c r="CE119" s="1067"/>
      <c r="CF119" s="1067"/>
      <c r="CG119" s="1067"/>
      <c r="CH119" s="1067"/>
      <c r="CI119" s="1067"/>
      <c r="CJ119" s="1067"/>
      <c r="CK119" s="382"/>
      <c r="CL119" s="1014"/>
      <c r="CM119" s="1014"/>
    </row>
    <row r="120" spans="34:97">
      <c r="AU120" s="382" t="s">
        <v>4852</v>
      </c>
      <c r="AV120" s="525">
        <f>SUM(AV121:AV132)</f>
        <v>2640</v>
      </c>
      <c r="AW120" s="525">
        <f>SUM(AW121:AW132)</f>
        <v>0</v>
      </c>
      <c r="AX120" s="525">
        <f t="shared" ref="AX120:BC120" si="78">SUM(AX121:AX132)</f>
        <v>766</v>
      </c>
      <c r="AY120" s="525">
        <f t="shared" si="78"/>
        <v>524</v>
      </c>
      <c r="AZ120" s="525">
        <f t="shared" si="78"/>
        <v>508</v>
      </c>
      <c r="BA120" s="525">
        <f t="shared" si="78"/>
        <v>317</v>
      </c>
      <c r="BB120" s="525">
        <f t="shared" si="78"/>
        <v>400</v>
      </c>
      <c r="BC120" s="525">
        <f t="shared" si="78"/>
        <v>104</v>
      </c>
      <c r="BD120" s="525">
        <f>SUM(BD121:BD132)</f>
        <v>21</v>
      </c>
      <c r="BE120" s="525">
        <f>SUM(BE121:BE132)</f>
        <v>0</v>
      </c>
      <c r="BI120" s="382" t="s">
        <v>4911</v>
      </c>
      <c r="BJ120" s="435">
        <f t="shared" si="77"/>
        <v>169</v>
      </c>
      <c r="BK120" s="463">
        <v>70</v>
      </c>
      <c r="BL120" s="463">
        <v>99</v>
      </c>
      <c r="BM120" s="463"/>
      <c r="BN120" s="598"/>
      <c r="BP120" s="382" t="s">
        <v>4926</v>
      </c>
      <c r="BQ120" s="439">
        <f t="shared" si="76"/>
        <v>478</v>
      </c>
      <c r="BR120" s="435" t="s">
        <v>546</v>
      </c>
      <c r="BS120" s="439">
        <v>3</v>
      </c>
      <c r="BT120" s="439">
        <v>49</v>
      </c>
      <c r="BU120" s="439">
        <v>65</v>
      </c>
      <c r="BV120" s="439">
        <v>75</v>
      </c>
      <c r="BW120" s="439">
        <v>71</v>
      </c>
      <c r="BX120" s="439">
        <v>109</v>
      </c>
      <c r="BY120" s="439">
        <v>53</v>
      </c>
      <c r="BZ120" s="439">
        <v>53</v>
      </c>
      <c r="CD120" s="1067"/>
      <c r="CE120" s="1067"/>
      <c r="CF120" s="1067"/>
      <c r="CG120" s="1067"/>
      <c r="CH120" s="1067"/>
      <c r="CI120" s="1067"/>
      <c r="CJ120" s="1067"/>
      <c r="CK120" s="382"/>
      <c r="CL120" s="1014"/>
      <c r="CM120" s="1014"/>
    </row>
    <row r="121" spans="34:97">
      <c r="AU121" s="382" t="s">
        <v>4855</v>
      </c>
      <c r="AV121" s="525">
        <f>SUM(AW121:BE121)</f>
        <v>0</v>
      </c>
      <c r="AW121" s="474" t="s">
        <v>546</v>
      </c>
      <c r="AX121" s="474" t="s">
        <v>546</v>
      </c>
      <c r="AY121" s="474" t="s">
        <v>546</v>
      </c>
      <c r="AZ121" s="474" t="s">
        <v>546</v>
      </c>
      <c r="BA121" s="474" t="s">
        <v>546</v>
      </c>
      <c r="BB121" s="474" t="s">
        <v>546</v>
      </c>
      <c r="BC121" s="474" t="s">
        <v>546</v>
      </c>
      <c r="BD121" s="474" t="s">
        <v>546</v>
      </c>
      <c r="BE121" s="474" t="s">
        <v>546</v>
      </c>
      <c r="BI121" s="382" t="s">
        <v>4914</v>
      </c>
      <c r="BJ121" s="435">
        <f t="shared" si="77"/>
        <v>69</v>
      </c>
      <c r="BK121" s="463">
        <v>25</v>
      </c>
      <c r="BL121" s="463">
        <v>44</v>
      </c>
      <c r="BM121" s="463"/>
      <c r="BN121" s="599"/>
      <c r="BP121" s="382" t="s">
        <v>4928</v>
      </c>
      <c r="BQ121" s="439">
        <f t="shared" si="76"/>
        <v>303</v>
      </c>
      <c r="BR121" s="435" t="s">
        <v>546</v>
      </c>
      <c r="BS121" s="439">
        <v>1</v>
      </c>
      <c r="BT121" s="439">
        <v>44</v>
      </c>
      <c r="BU121" s="439">
        <v>60</v>
      </c>
      <c r="BV121" s="439">
        <v>55</v>
      </c>
      <c r="BW121" s="439">
        <v>44</v>
      </c>
      <c r="BX121" s="439">
        <v>54</v>
      </c>
      <c r="BY121" s="439">
        <v>20</v>
      </c>
      <c r="BZ121" s="439">
        <v>25</v>
      </c>
      <c r="CD121" s="1067"/>
      <c r="CE121" s="1067"/>
      <c r="CF121" s="1067"/>
      <c r="CG121" s="1067"/>
      <c r="CH121" s="1067"/>
      <c r="CI121" s="1067"/>
      <c r="CJ121" s="1067"/>
      <c r="CK121" s="382"/>
      <c r="CL121" s="1014"/>
      <c r="CM121" s="1014"/>
    </row>
    <row r="122" spans="34:97">
      <c r="AU122" s="382" t="s">
        <v>4861</v>
      </c>
      <c r="AV122" s="525">
        <f>SUM(AW122:BE122)</f>
        <v>4</v>
      </c>
      <c r="AW122" s="474" t="s">
        <v>546</v>
      </c>
      <c r="AX122" s="862">
        <v>4</v>
      </c>
      <c r="AY122" s="474" t="s">
        <v>546</v>
      </c>
      <c r="AZ122" s="474" t="s">
        <v>546</v>
      </c>
      <c r="BA122" s="474" t="s">
        <v>546</v>
      </c>
      <c r="BB122" s="474" t="s">
        <v>546</v>
      </c>
      <c r="BC122" s="474" t="s">
        <v>546</v>
      </c>
      <c r="BD122" s="474" t="s">
        <v>546</v>
      </c>
      <c r="BE122" s="474" t="s">
        <v>546</v>
      </c>
      <c r="BI122" s="382" t="s">
        <v>4916</v>
      </c>
      <c r="BJ122" s="435">
        <f t="shared" si="77"/>
        <v>37</v>
      </c>
      <c r="BK122" s="463">
        <v>10</v>
      </c>
      <c r="BL122" s="435">
        <v>27</v>
      </c>
      <c r="BM122" s="463"/>
      <c r="BN122" s="525"/>
      <c r="BP122" s="382" t="s">
        <v>4930</v>
      </c>
      <c r="BQ122" s="439">
        <f t="shared" si="76"/>
        <v>123</v>
      </c>
      <c r="BR122" s="435" t="s">
        <v>546</v>
      </c>
      <c r="BS122" s="435" t="s">
        <v>546</v>
      </c>
      <c r="BT122" s="439">
        <v>16</v>
      </c>
      <c r="BU122" s="439">
        <v>28</v>
      </c>
      <c r="BV122" s="439">
        <v>20</v>
      </c>
      <c r="BW122" s="439">
        <v>12</v>
      </c>
      <c r="BX122" s="439">
        <v>28</v>
      </c>
      <c r="BY122" s="439">
        <v>5</v>
      </c>
      <c r="BZ122" s="439">
        <v>14</v>
      </c>
      <c r="CD122" s="1067"/>
      <c r="CE122" s="1067"/>
      <c r="CF122" s="1067"/>
      <c r="CG122" s="1067"/>
      <c r="CH122" s="1067"/>
      <c r="CI122" s="1067"/>
      <c r="CJ122" s="1067"/>
      <c r="CK122" s="382"/>
      <c r="CL122" s="1014"/>
      <c r="CM122" s="1014"/>
    </row>
    <row r="123" spans="34:97">
      <c r="AU123" s="382" t="s">
        <v>4867</v>
      </c>
      <c r="AV123" s="525">
        <f t="shared" ref="AV123:AV132" si="79">SUM(AW123:BE123)</f>
        <v>40</v>
      </c>
      <c r="AW123" s="474" t="s">
        <v>546</v>
      </c>
      <c r="AX123" s="862">
        <v>39</v>
      </c>
      <c r="AY123" s="538">
        <v>1</v>
      </c>
      <c r="AZ123" s="474" t="s">
        <v>546</v>
      </c>
      <c r="BA123" s="474" t="s">
        <v>546</v>
      </c>
      <c r="BB123" s="474" t="s">
        <v>546</v>
      </c>
      <c r="BC123" s="474" t="s">
        <v>546</v>
      </c>
      <c r="BD123" s="474" t="s">
        <v>546</v>
      </c>
      <c r="BE123" s="474" t="s">
        <v>546</v>
      </c>
      <c r="BJ123" s="525"/>
      <c r="BK123" s="525"/>
      <c r="BL123" s="525"/>
      <c r="BM123" s="463"/>
      <c r="BN123" s="525"/>
      <c r="BP123" s="382"/>
      <c r="BQ123" s="463"/>
      <c r="BR123" s="382"/>
      <c r="BS123" s="382"/>
      <c r="BT123" s="382"/>
      <c r="BU123" s="382"/>
      <c r="BV123" s="382"/>
      <c r="BW123" s="382"/>
      <c r="BX123" s="382"/>
      <c r="BY123" s="382"/>
      <c r="BZ123" s="382"/>
      <c r="CD123" s="1067"/>
      <c r="CE123" s="1067"/>
      <c r="CF123" s="1067"/>
      <c r="CG123" s="1067"/>
      <c r="CH123" s="1067"/>
      <c r="CI123" s="1067"/>
      <c r="CJ123" s="1067"/>
      <c r="CK123" s="382"/>
      <c r="CL123" s="1014"/>
      <c r="CM123" s="1014"/>
    </row>
    <row r="124" spans="34:97">
      <c r="AU124" s="382" t="s">
        <v>4880</v>
      </c>
      <c r="AV124" s="525">
        <f>SUM(AW124:BE124)</f>
        <v>294</v>
      </c>
      <c r="AW124" s="474" t="s">
        <v>546</v>
      </c>
      <c r="AX124" s="862">
        <v>224</v>
      </c>
      <c r="AY124" s="862">
        <v>66</v>
      </c>
      <c r="AZ124" s="474">
        <v>4</v>
      </c>
      <c r="BA124" s="474" t="s">
        <v>546</v>
      </c>
      <c r="BB124" s="474" t="s">
        <v>546</v>
      </c>
      <c r="BC124" s="474" t="s">
        <v>546</v>
      </c>
      <c r="BD124" s="474" t="s">
        <v>546</v>
      </c>
      <c r="BE124" s="474" t="s">
        <v>546</v>
      </c>
      <c r="BI124" s="382" t="s">
        <v>4993</v>
      </c>
      <c r="BJ124" s="463">
        <f>SUM(BK124:BL124)</f>
        <v>117</v>
      </c>
      <c r="BK124" s="463">
        <f>SUM(BK125:BK136)</f>
        <v>102</v>
      </c>
      <c r="BL124" s="463">
        <f>SUM(BL125:BL136)</f>
        <v>15</v>
      </c>
      <c r="BM124" s="463"/>
      <c r="BN124" s="525"/>
      <c r="BP124" s="1066" t="s">
        <v>4936</v>
      </c>
      <c r="BQ124" s="463">
        <f>SUM(BQ125:BQ136)</f>
        <v>196</v>
      </c>
      <c r="BR124" s="435">
        <f>SUM(BR125:BR136)</f>
        <v>0</v>
      </c>
      <c r="BS124" s="435">
        <f t="shared" ref="BS124:BZ124" si="80">SUM(BS125:BS136)</f>
        <v>0</v>
      </c>
      <c r="BT124" s="435">
        <f>SUM(BT125:BT136)</f>
        <v>22</v>
      </c>
      <c r="BU124" s="435">
        <f t="shared" si="80"/>
        <v>67</v>
      </c>
      <c r="BV124" s="435">
        <f t="shared" si="80"/>
        <v>43</v>
      </c>
      <c r="BW124" s="435">
        <f t="shared" si="80"/>
        <v>32</v>
      </c>
      <c r="BX124" s="435">
        <f t="shared" si="80"/>
        <v>22</v>
      </c>
      <c r="BY124" s="435">
        <f t="shared" si="80"/>
        <v>6</v>
      </c>
      <c r="BZ124" s="435">
        <f t="shared" si="80"/>
        <v>4</v>
      </c>
      <c r="CD124" s="1067"/>
      <c r="CE124" s="1067"/>
      <c r="CF124" s="1067"/>
      <c r="CG124" s="1067"/>
      <c r="CH124" s="1067"/>
      <c r="CI124" s="1067"/>
      <c r="CJ124" s="1067"/>
      <c r="CK124" s="382"/>
      <c r="CL124" s="1014"/>
      <c r="CM124" s="1014"/>
    </row>
    <row r="125" spans="34:97">
      <c r="AU125" s="382" t="s">
        <v>4892</v>
      </c>
      <c r="AV125" s="525">
        <f t="shared" si="79"/>
        <v>278</v>
      </c>
      <c r="AW125" s="474" t="s">
        <v>546</v>
      </c>
      <c r="AX125" s="862">
        <v>134</v>
      </c>
      <c r="AY125" s="862">
        <v>104</v>
      </c>
      <c r="AZ125" s="862">
        <v>40</v>
      </c>
      <c r="BA125" s="474" t="s">
        <v>546</v>
      </c>
      <c r="BB125" s="474" t="s">
        <v>546</v>
      </c>
      <c r="BC125" s="474" t="s">
        <v>546</v>
      </c>
      <c r="BD125" s="474" t="s">
        <v>546</v>
      </c>
      <c r="BE125" s="474" t="s">
        <v>546</v>
      </c>
      <c r="BI125" s="382" t="s">
        <v>4855</v>
      </c>
      <c r="BJ125" s="474" t="s">
        <v>546</v>
      </c>
      <c r="BK125" s="474" t="s">
        <v>546</v>
      </c>
      <c r="BL125" s="474" t="s">
        <v>546</v>
      </c>
      <c r="BM125" s="463"/>
      <c r="BN125" s="525"/>
      <c r="BP125" s="382" t="s">
        <v>4899</v>
      </c>
      <c r="BQ125" s="435" t="s">
        <v>546</v>
      </c>
      <c r="BR125" s="435" t="s">
        <v>546</v>
      </c>
      <c r="BS125" s="435" t="s">
        <v>546</v>
      </c>
      <c r="BT125" s="435" t="s">
        <v>546</v>
      </c>
      <c r="BU125" s="435" t="s">
        <v>546</v>
      </c>
      <c r="BV125" s="435" t="s">
        <v>546</v>
      </c>
      <c r="BW125" s="435" t="s">
        <v>546</v>
      </c>
      <c r="BX125" s="435" t="s">
        <v>546</v>
      </c>
      <c r="BY125" s="435" t="s">
        <v>546</v>
      </c>
      <c r="BZ125" s="435" t="s">
        <v>546</v>
      </c>
      <c r="CD125" s="1067"/>
      <c r="CE125" s="1067"/>
      <c r="CF125" s="1067"/>
      <c r="CG125" s="1067"/>
      <c r="CH125" s="1067"/>
      <c r="CI125" s="1067"/>
      <c r="CJ125" s="1067"/>
      <c r="CK125" s="382"/>
      <c r="CL125" s="1014"/>
      <c r="CM125" s="1014"/>
    </row>
    <row r="126" spans="34:97">
      <c r="AU126" s="382" t="s">
        <v>4898</v>
      </c>
      <c r="AV126" s="525">
        <f t="shared" si="79"/>
        <v>339</v>
      </c>
      <c r="AW126" s="474" t="s">
        <v>546</v>
      </c>
      <c r="AX126" s="525">
        <v>106</v>
      </c>
      <c r="AY126" s="525">
        <v>83</v>
      </c>
      <c r="AZ126" s="525">
        <v>109</v>
      </c>
      <c r="BA126" s="525">
        <v>41</v>
      </c>
      <c r="BB126" s="474" t="s">
        <v>546</v>
      </c>
      <c r="BC126" s="474" t="s">
        <v>546</v>
      </c>
      <c r="BD126" s="474" t="s">
        <v>546</v>
      </c>
      <c r="BE126" s="474" t="s">
        <v>546</v>
      </c>
      <c r="BI126" s="382" t="s">
        <v>4861</v>
      </c>
      <c r="BJ126" s="474" t="s">
        <v>546</v>
      </c>
      <c r="BK126" s="474" t="s">
        <v>546</v>
      </c>
      <c r="BL126" s="474" t="s">
        <v>546</v>
      </c>
      <c r="BM126" s="463"/>
      <c r="BN126" s="525"/>
      <c r="BP126" s="382" t="s">
        <v>4898</v>
      </c>
      <c r="BQ126" s="435" t="s">
        <v>546</v>
      </c>
      <c r="BR126" s="435" t="s">
        <v>546</v>
      </c>
      <c r="BS126" s="435" t="s">
        <v>546</v>
      </c>
      <c r="BT126" s="435" t="s">
        <v>546</v>
      </c>
      <c r="BU126" s="435" t="s">
        <v>546</v>
      </c>
      <c r="BV126" s="435" t="s">
        <v>546</v>
      </c>
      <c r="BW126" s="435" t="s">
        <v>546</v>
      </c>
      <c r="BX126" s="435" t="s">
        <v>546</v>
      </c>
      <c r="BY126" s="435" t="s">
        <v>546</v>
      </c>
      <c r="BZ126" s="435" t="s">
        <v>546</v>
      </c>
      <c r="CD126" s="1067"/>
      <c r="CE126" s="1067"/>
      <c r="CF126" s="1067"/>
      <c r="CG126" s="1067"/>
      <c r="CH126" s="1067"/>
      <c r="CI126" s="1067"/>
      <c r="CJ126" s="1067"/>
      <c r="CK126" s="382"/>
      <c r="CL126" s="1014"/>
      <c r="CM126" s="1014"/>
    </row>
    <row r="127" spans="34:97">
      <c r="AU127" s="382" t="s">
        <v>4904</v>
      </c>
      <c r="AV127" s="525">
        <f t="shared" si="79"/>
        <v>433</v>
      </c>
      <c r="AW127" s="474" t="s">
        <v>546</v>
      </c>
      <c r="AX127" s="525">
        <v>93</v>
      </c>
      <c r="AY127" s="525">
        <v>77</v>
      </c>
      <c r="AZ127" s="525">
        <v>82</v>
      </c>
      <c r="BA127" s="525">
        <v>92</v>
      </c>
      <c r="BB127" s="525">
        <v>88</v>
      </c>
      <c r="BC127" s="474">
        <v>1</v>
      </c>
      <c r="BD127" s="474" t="s">
        <v>546</v>
      </c>
      <c r="BE127" s="474" t="s">
        <v>546</v>
      </c>
      <c r="BI127" s="382" t="s">
        <v>4867</v>
      </c>
      <c r="BJ127" s="474" t="s">
        <v>546</v>
      </c>
      <c r="BK127" s="474" t="s">
        <v>546</v>
      </c>
      <c r="BL127" s="474" t="s">
        <v>546</v>
      </c>
      <c r="BM127" s="525"/>
      <c r="BN127" s="525"/>
      <c r="BP127" s="382" t="s">
        <v>4904</v>
      </c>
      <c r="BQ127" s="382">
        <f t="shared" ref="BQ127:BQ136" si="81">SUM(BR127:BZ127)</f>
        <v>5</v>
      </c>
      <c r="BR127" s="435" t="s">
        <v>546</v>
      </c>
      <c r="BS127" s="435" t="s">
        <v>546</v>
      </c>
      <c r="BT127" s="435" t="s">
        <v>546</v>
      </c>
      <c r="BU127" s="439">
        <v>4</v>
      </c>
      <c r="BV127" s="435" t="s">
        <v>546</v>
      </c>
      <c r="BW127" s="435" t="s">
        <v>546</v>
      </c>
      <c r="BX127" s="435" t="s">
        <v>546</v>
      </c>
      <c r="BY127" s="439">
        <v>1</v>
      </c>
      <c r="BZ127" s="435" t="s">
        <v>546</v>
      </c>
      <c r="CD127" s="1067"/>
      <c r="CE127" s="1067"/>
      <c r="CF127" s="1067"/>
      <c r="CG127" s="1067"/>
      <c r="CH127" s="1067"/>
      <c r="CI127" s="1067"/>
      <c r="CJ127" s="1067"/>
      <c r="CK127" s="382"/>
      <c r="CL127" s="1014"/>
      <c r="CM127" s="1014"/>
    </row>
    <row r="128" spans="34:97">
      <c r="AU128" s="382" t="s">
        <v>4907</v>
      </c>
      <c r="AV128" s="525">
        <f t="shared" si="79"/>
        <v>471</v>
      </c>
      <c r="AW128" s="474" t="s">
        <v>546</v>
      </c>
      <c r="AX128" s="525">
        <v>83</v>
      </c>
      <c r="AY128" s="525">
        <v>66</v>
      </c>
      <c r="AZ128" s="525">
        <v>94</v>
      </c>
      <c r="BA128" s="525">
        <v>62</v>
      </c>
      <c r="BB128" s="525">
        <v>140</v>
      </c>
      <c r="BC128" s="525">
        <v>26</v>
      </c>
      <c r="BD128" s="474" t="s">
        <v>546</v>
      </c>
      <c r="BE128" s="474" t="s">
        <v>546</v>
      </c>
      <c r="BI128" s="382" t="s">
        <v>4880</v>
      </c>
      <c r="BJ128" s="474" t="s">
        <v>546</v>
      </c>
      <c r="BK128" s="474" t="s">
        <v>546</v>
      </c>
      <c r="BL128" s="474" t="s">
        <v>546</v>
      </c>
      <c r="BM128" s="463"/>
      <c r="BN128" s="525"/>
      <c r="BP128" s="382" t="s">
        <v>4907</v>
      </c>
      <c r="BQ128" s="382">
        <f t="shared" si="81"/>
        <v>11</v>
      </c>
      <c r="BR128" s="435" t="s">
        <v>546</v>
      </c>
      <c r="BS128" s="435" t="s">
        <v>546</v>
      </c>
      <c r="BT128" s="439">
        <v>1</v>
      </c>
      <c r="BU128" s="439">
        <v>3</v>
      </c>
      <c r="BV128" s="439">
        <v>2</v>
      </c>
      <c r="BW128" s="435" t="s">
        <v>546</v>
      </c>
      <c r="BX128" s="439">
        <v>4</v>
      </c>
      <c r="BY128" s="439">
        <v>1</v>
      </c>
      <c r="BZ128" s="435" t="s">
        <v>546</v>
      </c>
      <c r="CD128" s="1067"/>
      <c r="CE128" s="1067"/>
      <c r="CF128" s="1067"/>
      <c r="CG128" s="1067"/>
      <c r="CH128" s="1067"/>
      <c r="CI128" s="1067"/>
      <c r="CJ128" s="1067"/>
      <c r="CK128" s="382"/>
      <c r="CL128" s="1014"/>
      <c r="CM128" s="1014"/>
    </row>
    <row r="129" spans="47:97">
      <c r="AU129" s="382" t="s">
        <v>4909</v>
      </c>
      <c r="AV129" s="525">
        <f t="shared" si="79"/>
        <v>375</v>
      </c>
      <c r="AW129" s="474" t="s">
        <v>546</v>
      </c>
      <c r="AX129" s="525">
        <v>53</v>
      </c>
      <c r="AY129" s="525">
        <v>72</v>
      </c>
      <c r="AZ129" s="525">
        <v>81</v>
      </c>
      <c r="BA129" s="525">
        <v>46</v>
      </c>
      <c r="BB129" s="525">
        <v>75</v>
      </c>
      <c r="BC129" s="525">
        <v>36</v>
      </c>
      <c r="BD129" s="862">
        <v>12</v>
      </c>
      <c r="BE129" s="474" t="s">
        <v>546</v>
      </c>
      <c r="BI129" s="382" t="s">
        <v>4892</v>
      </c>
      <c r="BJ129" s="474" t="s">
        <v>546</v>
      </c>
      <c r="BK129" s="474" t="s">
        <v>546</v>
      </c>
      <c r="BL129" s="474" t="s">
        <v>546</v>
      </c>
      <c r="BM129" s="463"/>
      <c r="BN129" s="525"/>
      <c r="BP129" s="382" t="s">
        <v>4909</v>
      </c>
      <c r="BQ129" s="382">
        <f t="shared" si="81"/>
        <v>20</v>
      </c>
      <c r="BR129" s="435" t="s">
        <v>546</v>
      </c>
      <c r="BS129" s="435" t="s">
        <v>546</v>
      </c>
      <c r="BT129" s="435" t="s">
        <v>546</v>
      </c>
      <c r="BU129" s="439">
        <v>4</v>
      </c>
      <c r="BV129" s="439">
        <v>4</v>
      </c>
      <c r="BW129" s="439">
        <v>7</v>
      </c>
      <c r="BX129" s="439">
        <v>2</v>
      </c>
      <c r="BY129" s="439">
        <v>1</v>
      </c>
      <c r="BZ129" s="439">
        <v>2</v>
      </c>
      <c r="CD129" s="1067"/>
      <c r="CE129" s="1067"/>
      <c r="CF129" s="1067"/>
      <c r="CG129" s="1067"/>
      <c r="CH129" s="1067"/>
      <c r="CI129" s="1067"/>
      <c r="CJ129" s="1067"/>
      <c r="CK129" s="382"/>
      <c r="CL129" s="1014"/>
      <c r="CM129" s="1014"/>
    </row>
    <row r="130" spans="47:97">
      <c r="AU130" s="382" t="s">
        <v>4911</v>
      </c>
      <c r="AV130" s="525">
        <f t="shared" si="79"/>
        <v>246</v>
      </c>
      <c r="AW130" s="474" t="s">
        <v>546</v>
      </c>
      <c r="AX130" s="525">
        <v>16</v>
      </c>
      <c r="AY130" s="525">
        <v>38</v>
      </c>
      <c r="AZ130" s="525">
        <v>62</v>
      </c>
      <c r="BA130" s="525">
        <v>32</v>
      </c>
      <c r="BB130" s="525">
        <v>65</v>
      </c>
      <c r="BC130" s="525">
        <v>27</v>
      </c>
      <c r="BD130" s="862">
        <v>6</v>
      </c>
      <c r="BE130" s="474" t="s">
        <v>546</v>
      </c>
      <c r="BI130" s="382" t="s">
        <v>4898</v>
      </c>
      <c r="BJ130" s="474" t="s">
        <v>546</v>
      </c>
      <c r="BK130" s="474" t="s">
        <v>546</v>
      </c>
      <c r="BL130" s="474" t="s">
        <v>546</v>
      </c>
      <c r="BM130" s="463"/>
      <c r="BN130" s="525"/>
      <c r="BP130" s="382" t="s">
        <v>4911</v>
      </c>
      <c r="BQ130" s="382">
        <f t="shared" si="81"/>
        <v>22</v>
      </c>
      <c r="BR130" s="435" t="s">
        <v>546</v>
      </c>
      <c r="BS130" s="435" t="s">
        <v>546</v>
      </c>
      <c r="BT130" s="439">
        <v>4</v>
      </c>
      <c r="BU130" s="439">
        <v>10</v>
      </c>
      <c r="BV130" s="439">
        <v>4</v>
      </c>
      <c r="BW130" s="439">
        <v>3</v>
      </c>
      <c r="BX130" s="435" t="s">
        <v>546</v>
      </c>
      <c r="BY130" s="435" t="s">
        <v>546</v>
      </c>
      <c r="BZ130" s="439">
        <v>1</v>
      </c>
      <c r="CD130" s="1067"/>
      <c r="CE130" s="1067"/>
      <c r="CF130" s="1067"/>
      <c r="CG130" s="1067"/>
      <c r="CH130" s="1067"/>
      <c r="CI130" s="1067"/>
      <c r="CJ130" s="1067"/>
      <c r="CK130" s="382"/>
      <c r="CL130" s="1014"/>
      <c r="CM130" s="1014"/>
    </row>
    <row r="131" spans="47:97">
      <c r="AU131" s="382" t="s">
        <v>4914</v>
      </c>
      <c r="AV131" s="525">
        <f t="shared" si="79"/>
        <v>105</v>
      </c>
      <c r="AW131" s="474" t="s">
        <v>546</v>
      </c>
      <c r="AX131" s="525">
        <v>11</v>
      </c>
      <c r="AY131" s="525">
        <v>13</v>
      </c>
      <c r="AZ131" s="525">
        <v>22</v>
      </c>
      <c r="BA131" s="525">
        <v>25</v>
      </c>
      <c r="BB131" s="525">
        <v>24</v>
      </c>
      <c r="BC131" s="525">
        <v>10</v>
      </c>
      <c r="BD131" s="474" t="s">
        <v>546</v>
      </c>
      <c r="BE131" s="474" t="s">
        <v>546</v>
      </c>
      <c r="BI131" s="382" t="s">
        <v>4904</v>
      </c>
      <c r="BJ131" s="435">
        <f t="shared" ref="BJ131:BJ136" si="82">SUM(BK131:BL131)</f>
        <v>10</v>
      </c>
      <c r="BK131" s="463">
        <v>10</v>
      </c>
      <c r="BL131" s="474" t="s">
        <v>546</v>
      </c>
      <c r="BM131" s="463"/>
      <c r="BN131" s="525"/>
      <c r="BP131" s="382" t="s">
        <v>4914</v>
      </c>
      <c r="BQ131" s="382">
        <f t="shared" si="81"/>
        <v>39</v>
      </c>
      <c r="BR131" s="435" t="s">
        <v>546</v>
      </c>
      <c r="BS131" s="435" t="s">
        <v>546</v>
      </c>
      <c r="BT131" s="439">
        <v>3</v>
      </c>
      <c r="BU131" s="439">
        <v>14</v>
      </c>
      <c r="BV131" s="439">
        <v>8</v>
      </c>
      <c r="BW131" s="439">
        <v>7</v>
      </c>
      <c r="BX131" s="439">
        <v>6</v>
      </c>
      <c r="BY131" s="439">
        <v>1</v>
      </c>
      <c r="BZ131" s="435" t="s">
        <v>546</v>
      </c>
      <c r="CD131" s="1067"/>
      <c r="CE131" s="1067"/>
      <c r="CF131" s="1067"/>
      <c r="CG131" s="1067"/>
      <c r="CH131" s="1067"/>
      <c r="CI131" s="1067"/>
      <c r="CJ131" s="1067"/>
      <c r="CK131" s="382"/>
      <c r="CL131" s="475"/>
      <c r="CM131" s="475"/>
      <c r="CP131" s="525"/>
      <c r="CQ131" s="525"/>
      <c r="CR131" s="525"/>
      <c r="CS131" s="525"/>
    </row>
    <row r="132" spans="47:97">
      <c r="AU132" s="381" t="s">
        <v>4916</v>
      </c>
      <c r="AV132" s="633">
        <f t="shared" si="79"/>
        <v>55</v>
      </c>
      <c r="AW132" s="1073" t="s">
        <v>546</v>
      </c>
      <c r="AX132" s="866">
        <v>3</v>
      </c>
      <c r="AY132" s="866">
        <v>4</v>
      </c>
      <c r="AZ132" s="866">
        <v>14</v>
      </c>
      <c r="BA132" s="633">
        <v>19</v>
      </c>
      <c r="BB132" s="633">
        <v>8</v>
      </c>
      <c r="BC132" s="633">
        <v>4</v>
      </c>
      <c r="BD132" s="866">
        <v>3</v>
      </c>
      <c r="BE132" s="1073" t="s">
        <v>546</v>
      </c>
      <c r="BI132" s="382" t="s">
        <v>4907</v>
      </c>
      <c r="BJ132" s="435">
        <f t="shared" si="82"/>
        <v>48</v>
      </c>
      <c r="BK132" s="463">
        <v>43</v>
      </c>
      <c r="BL132" s="463">
        <v>5</v>
      </c>
      <c r="BM132" s="463"/>
      <c r="BN132" s="525"/>
      <c r="BP132" s="382" t="s">
        <v>4919</v>
      </c>
      <c r="BQ132" s="382">
        <f t="shared" si="81"/>
        <v>43</v>
      </c>
      <c r="BR132" s="435" t="s">
        <v>546</v>
      </c>
      <c r="BS132" s="435" t="s">
        <v>546</v>
      </c>
      <c r="BT132" s="439">
        <v>5</v>
      </c>
      <c r="BU132" s="439">
        <v>11</v>
      </c>
      <c r="BV132" s="439">
        <v>11</v>
      </c>
      <c r="BW132" s="439">
        <v>9</v>
      </c>
      <c r="BX132" s="439">
        <v>5</v>
      </c>
      <c r="BY132" s="439">
        <v>2</v>
      </c>
      <c r="BZ132" s="435" t="s">
        <v>546</v>
      </c>
      <c r="CD132" s="382"/>
      <c r="CE132" s="382"/>
      <c r="CF132" s="382"/>
      <c r="CG132" s="382"/>
      <c r="CH132" s="382"/>
      <c r="CI132" s="382"/>
      <c r="CJ132" s="382"/>
      <c r="CK132" s="382"/>
      <c r="CL132" s="382"/>
      <c r="CM132" s="382"/>
    </row>
    <row r="133" spans="47:97">
      <c r="AU133" s="382" t="s">
        <v>4932</v>
      </c>
      <c r="BI133" s="382" t="s">
        <v>4909</v>
      </c>
      <c r="BJ133" s="435">
        <f t="shared" si="82"/>
        <v>35</v>
      </c>
      <c r="BK133" s="463">
        <v>30</v>
      </c>
      <c r="BL133" s="463">
        <v>5</v>
      </c>
      <c r="BM133" s="463"/>
      <c r="BN133" s="525"/>
      <c r="BP133" s="382" t="s">
        <v>4922</v>
      </c>
      <c r="BQ133" s="382">
        <f t="shared" si="81"/>
        <v>28</v>
      </c>
      <c r="BR133" s="435" t="s">
        <v>546</v>
      </c>
      <c r="BS133" s="435" t="s">
        <v>546</v>
      </c>
      <c r="BT133" s="439">
        <v>3</v>
      </c>
      <c r="BU133" s="439">
        <v>11</v>
      </c>
      <c r="BV133" s="439">
        <v>6</v>
      </c>
      <c r="BW133" s="439">
        <v>4</v>
      </c>
      <c r="BX133" s="439">
        <v>3</v>
      </c>
      <c r="BY133" s="435" t="s">
        <v>546</v>
      </c>
      <c r="BZ133" s="439">
        <v>1</v>
      </c>
      <c r="CD133" s="382"/>
      <c r="CE133" s="382"/>
      <c r="CF133" s="382"/>
      <c r="CG133" s="382"/>
      <c r="CH133" s="382"/>
      <c r="CI133" s="382"/>
      <c r="CJ133" s="382"/>
      <c r="CK133" s="382"/>
      <c r="CL133" s="382"/>
      <c r="CM133" s="382"/>
    </row>
    <row r="134" spans="47:97">
      <c r="BI134" s="382" t="s">
        <v>4911</v>
      </c>
      <c r="BJ134" s="435">
        <f t="shared" si="82"/>
        <v>19</v>
      </c>
      <c r="BK134" s="463">
        <v>16</v>
      </c>
      <c r="BL134" s="463">
        <v>3</v>
      </c>
      <c r="BM134" s="463"/>
      <c r="BN134" s="525"/>
      <c r="BP134" s="382" t="s">
        <v>4926</v>
      </c>
      <c r="BQ134" s="382">
        <f t="shared" si="81"/>
        <v>22</v>
      </c>
      <c r="BR134" s="435" t="s">
        <v>546</v>
      </c>
      <c r="BS134" s="435" t="s">
        <v>546</v>
      </c>
      <c r="BT134" s="439">
        <v>3</v>
      </c>
      <c r="BU134" s="439">
        <v>8</v>
      </c>
      <c r="BV134" s="439">
        <v>8</v>
      </c>
      <c r="BW134" s="439">
        <v>1</v>
      </c>
      <c r="BX134" s="439">
        <v>2</v>
      </c>
      <c r="BY134" s="435" t="s">
        <v>546</v>
      </c>
      <c r="BZ134" s="435" t="s">
        <v>546</v>
      </c>
      <c r="CD134" s="382"/>
      <c r="CE134" s="382"/>
      <c r="CF134" s="382"/>
      <c r="CG134" s="382"/>
      <c r="CH134" s="382"/>
      <c r="CI134" s="382"/>
      <c r="CJ134" s="382"/>
      <c r="CK134" s="382"/>
      <c r="CL134" s="382"/>
      <c r="CM134" s="382"/>
    </row>
    <row r="135" spans="47:97">
      <c r="BI135" s="382" t="s">
        <v>4914</v>
      </c>
      <c r="BJ135" s="435">
        <f t="shared" si="82"/>
        <v>3</v>
      </c>
      <c r="BK135" s="463">
        <v>1</v>
      </c>
      <c r="BL135" s="463">
        <v>2</v>
      </c>
      <c r="BM135" s="463"/>
      <c r="BP135" s="382" t="s">
        <v>4928</v>
      </c>
      <c r="BQ135" s="382">
        <f t="shared" si="81"/>
        <v>4</v>
      </c>
      <c r="BR135" s="435" t="s">
        <v>546</v>
      </c>
      <c r="BS135" s="435" t="s">
        <v>546</v>
      </c>
      <c r="BT135" s="439">
        <v>1</v>
      </c>
      <c r="BU135" s="439">
        <v>2</v>
      </c>
      <c r="BV135" s="435" t="s">
        <v>546</v>
      </c>
      <c r="BW135" s="439">
        <v>1</v>
      </c>
      <c r="BX135" s="435" t="s">
        <v>546</v>
      </c>
      <c r="BY135" s="435" t="s">
        <v>546</v>
      </c>
      <c r="BZ135" s="435" t="s">
        <v>546</v>
      </c>
      <c r="CD135" s="382"/>
      <c r="CE135" s="382"/>
      <c r="CF135" s="382"/>
      <c r="CG135" s="382"/>
      <c r="CH135" s="382"/>
      <c r="CI135" s="382"/>
      <c r="CJ135" s="382"/>
      <c r="CK135" s="382"/>
      <c r="CL135" s="382"/>
      <c r="CM135" s="382"/>
    </row>
    <row r="136" spans="47:97">
      <c r="BI136" s="381" t="s">
        <v>4916</v>
      </c>
      <c r="BJ136" s="556">
        <f t="shared" si="82"/>
        <v>2</v>
      </c>
      <c r="BK136" s="497">
        <v>2</v>
      </c>
      <c r="BL136" s="1073" t="s">
        <v>546</v>
      </c>
      <c r="BM136" s="463"/>
      <c r="BN136" s="525"/>
      <c r="BP136" s="381" t="s">
        <v>4930</v>
      </c>
      <c r="BQ136" s="381">
        <f t="shared" si="81"/>
        <v>2</v>
      </c>
      <c r="BR136" s="556" t="s">
        <v>546</v>
      </c>
      <c r="BS136" s="556" t="s">
        <v>546</v>
      </c>
      <c r="BT136" s="477">
        <v>2</v>
      </c>
      <c r="BU136" s="556" t="s">
        <v>546</v>
      </c>
      <c r="BV136" s="556" t="s">
        <v>546</v>
      </c>
      <c r="BW136" s="556" t="s">
        <v>546</v>
      </c>
      <c r="BX136" s="556" t="s">
        <v>546</v>
      </c>
      <c r="BY136" s="556" t="s">
        <v>546</v>
      </c>
      <c r="BZ136" s="556" t="s">
        <v>546</v>
      </c>
      <c r="CD136" s="382"/>
      <c r="CE136" s="382"/>
      <c r="CF136" s="382"/>
      <c r="CG136" s="382"/>
      <c r="CH136" s="382"/>
      <c r="CI136" s="382"/>
      <c r="CJ136" s="382"/>
      <c r="CK136" s="382"/>
      <c r="CL136" s="382"/>
      <c r="CM136" s="382"/>
    </row>
    <row r="137" spans="47:97">
      <c r="AU137" s="382" t="s">
        <v>5007</v>
      </c>
      <c r="AV137" s="382"/>
      <c r="AW137" s="382"/>
      <c r="AX137" s="382"/>
      <c r="AY137" s="382"/>
      <c r="AZ137" s="382"/>
      <c r="BA137" s="382"/>
      <c r="BB137" s="382"/>
      <c r="BC137" s="382"/>
      <c r="BD137" s="382"/>
      <c r="BE137" s="870"/>
      <c r="BI137" s="382" t="s">
        <v>4932</v>
      </c>
      <c r="BJ137" s="382"/>
      <c r="BK137" s="382"/>
      <c r="BL137" s="382"/>
      <c r="BM137" s="463"/>
      <c r="BN137" s="525"/>
      <c r="BP137" s="382" t="s">
        <v>4932</v>
      </c>
      <c r="BQ137" s="382"/>
      <c r="BR137" s="382"/>
      <c r="BS137" s="382"/>
      <c r="BT137" s="382"/>
      <c r="BU137" s="382"/>
      <c r="BV137" s="382"/>
      <c r="BW137" s="382"/>
      <c r="BX137" s="382"/>
      <c r="BY137" s="382"/>
      <c r="BZ137" s="382"/>
      <c r="CD137" s="382"/>
      <c r="CE137" s="382"/>
      <c r="CF137" s="382"/>
      <c r="CG137" s="382"/>
      <c r="CH137" s="382"/>
      <c r="CI137" s="382"/>
      <c r="CJ137" s="382"/>
      <c r="CK137" s="382"/>
      <c r="CL137" s="382"/>
      <c r="CM137" s="382"/>
    </row>
    <row r="138" spans="47:97">
      <c r="AU138" s="597"/>
      <c r="AV138" s="404" t="s">
        <v>129</v>
      </c>
      <c r="AW138" s="2098" t="s">
        <v>4829</v>
      </c>
      <c r="AX138" s="2098"/>
      <c r="AY138" s="2098"/>
      <c r="AZ138" s="2098"/>
      <c r="BA138" s="2098"/>
      <c r="BB138" s="2098"/>
      <c r="BC138" s="2098"/>
      <c r="BD138" s="2098"/>
      <c r="BE138" s="2078"/>
      <c r="BM138" s="463"/>
      <c r="BN138" s="525"/>
      <c r="BP138" s="382"/>
      <c r="BQ138" s="382"/>
      <c r="BR138" s="382"/>
      <c r="BS138" s="382"/>
      <c r="BT138" s="382"/>
      <c r="BU138" s="382"/>
      <c r="BV138" s="382"/>
      <c r="BW138" s="382"/>
      <c r="BX138" s="382"/>
      <c r="BY138" s="382"/>
      <c r="BZ138" s="382"/>
      <c r="CD138" s="382"/>
      <c r="CE138" s="382"/>
      <c r="CF138" s="382"/>
      <c r="CG138" s="382"/>
      <c r="CH138" s="382"/>
      <c r="CI138" s="382"/>
      <c r="CJ138" s="382"/>
      <c r="CK138" s="382"/>
      <c r="CL138" s="382"/>
      <c r="CM138" s="382"/>
    </row>
    <row r="139" spans="47:97">
      <c r="AU139" s="610" t="s">
        <v>2449</v>
      </c>
      <c r="AV139" s="441" t="s">
        <v>4832</v>
      </c>
      <c r="AW139" s="642" t="s">
        <v>4833</v>
      </c>
      <c r="AX139" s="1054" t="s">
        <v>4834</v>
      </c>
      <c r="AY139" s="1054" t="s">
        <v>4835</v>
      </c>
      <c r="AZ139" s="642" t="s">
        <v>4836</v>
      </c>
      <c r="BA139" s="642" t="s">
        <v>2452</v>
      </c>
      <c r="BB139" s="642" t="s">
        <v>2453</v>
      </c>
      <c r="BC139" s="642" t="s">
        <v>2454</v>
      </c>
      <c r="BD139" s="642" t="s">
        <v>2455</v>
      </c>
      <c r="BE139" s="664" t="s">
        <v>4837</v>
      </c>
      <c r="BM139" s="463"/>
      <c r="BN139" s="525"/>
      <c r="CD139" s="382"/>
      <c r="CE139" s="382"/>
      <c r="CF139" s="382"/>
      <c r="CG139" s="382"/>
      <c r="CH139" s="382"/>
      <c r="CI139" s="382"/>
      <c r="CJ139" s="382"/>
    </row>
    <row r="140" spans="47:97">
      <c r="AU140" s="382" t="s">
        <v>4852</v>
      </c>
      <c r="AV140" s="525">
        <f>SUM(AV141:AV152)</f>
        <v>1060</v>
      </c>
      <c r="AW140" s="525">
        <f>SUM(AW141:AW152)</f>
        <v>18</v>
      </c>
      <c r="AX140" s="525">
        <f>SUM(AX141:AX152)</f>
        <v>19</v>
      </c>
      <c r="AY140" s="525">
        <f t="shared" ref="AY140:BD140" si="83">SUM(AY141:AY152)</f>
        <v>32</v>
      </c>
      <c r="AZ140" s="525">
        <f t="shared" si="83"/>
        <v>39</v>
      </c>
      <c r="BA140" s="525">
        <f t="shared" si="83"/>
        <v>49</v>
      </c>
      <c r="BB140" s="525">
        <f t="shared" si="83"/>
        <v>381</v>
      </c>
      <c r="BC140" s="525">
        <f t="shared" si="83"/>
        <v>416</v>
      </c>
      <c r="BD140" s="525">
        <f t="shared" si="83"/>
        <v>80</v>
      </c>
      <c r="BE140" s="525">
        <f>SUM(BE141:BE152)</f>
        <v>26</v>
      </c>
      <c r="BM140" s="463"/>
      <c r="BN140" s="525"/>
      <c r="CD140" s="382"/>
      <c r="CE140" s="382"/>
      <c r="CF140" s="382"/>
      <c r="CG140" s="382"/>
      <c r="CH140" s="382"/>
      <c r="CI140" s="382"/>
      <c r="CJ140" s="382"/>
      <c r="CK140" s="1002"/>
    </row>
    <row r="141" spans="47:97">
      <c r="AU141" s="382" t="s">
        <v>4855</v>
      </c>
      <c r="AV141" s="474" t="s">
        <v>546</v>
      </c>
      <c r="AW141" s="474" t="s">
        <v>546</v>
      </c>
      <c r="AX141" s="474" t="s">
        <v>546</v>
      </c>
      <c r="AY141" s="474" t="s">
        <v>546</v>
      </c>
      <c r="AZ141" s="474" t="s">
        <v>546</v>
      </c>
      <c r="BA141" s="474" t="s">
        <v>546</v>
      </c>
      <c r="BB141" s="474" t="s">
        <v>546</v>
      </c>
      <c r="BC141" s="474" t="s">
        <v>546</v>
      </c>
      <c r="BD141" s="474" t="s">
        <v>546</v>
      </c>
      <c r="BE141" s="474" t="s">
        <v>546</v>
      </c>
      <c r="BI141" s="382" t="s">
        <v>5008</v>
      </c>
      <c r="BN141" s="525"/>
      <c r="BP141" s="382"/>
      <c r="BQ141" s="382"/>
      <c r="BR141" s="382"/>
      <c r="BS141" s="382"/>
      <c r="BT141" s="382"/>
      <c r="BU141" s="382"/>
      <c r="BV141" s="382"/>
      <c r="BW141" s="382"/>
      <c r="BX141" s="382"/>
      <c r="BY141" s="382"/>
      <c r="BZ141" s="382"/>
      <c r="CD141" s="382"/>
      <c r="CE141" s="382"/>
      <c r="CF141" s="382"/>
      <c r="CG141" s="382"/>
      <c r="CH141" s="382"/>
      <c r="CI141" s="382"/>
      <c r="CJ141" s="382"/>
      <c r="CK141" s="599"/>
      <c r="CL141" s="599"/>
      <c r="CM141" s="599"/>
    </row>
    <row r="142" spans="47:97">
      <c r="AU142" s="382" t="s">
        <v>4861</v>
      </c>
      <c r="AV142" s="474" t="s">
        <v>546</v>
      </c>
      <c r="AW142" s="474" t="s">
        <v>546</v>
      </c>
      <c r="AX142" s="474" t="s">
        <v>546</v>
      </c>
      <c r="AY142" s="474" t="s">
        <v>546</v>
      </c>
      <c r="AZ142" s="474" t="s">
        <v>546</v>
      </c>
      <c r="BA142" s="474" t="s">
        <v>546</v>
      </c>
      <c r="BB142" s="474" t="s">
        <v>546</v>
      </c>
      <c r="BC142" s="474" t="s">
        <v>546</v>
      </c>
      <c r="BD142" s="474" t="s">
        <v>546</v>
      </c>
      <c r="BE142" s="474" t="s">
        <v>546</v>
      </c>
      <c r="BI142" s="585" t="s">
        <v>8723</v>
      </c>
      <c r="BN142" s="525"/>
      <c r="BP142" s="382"/>
      <c r="BQ142" s="439"/>
      <c r="BR142" s="2073"/>
      <c r="BS142" s="2073"/>
      <c r="BT142" s="2073"/>
      <c r="BU142" s="2073"/>
      <c r="BV142" s="2073"/>
      <c r="BW142" s="2073"/>
      <c r="BX142" s="2073"/>
      <c r="BY142" s="2073"/>
      <c r="BZ142" s="2073"/>
      <c r="CD142" s="382"/>
      <c r="CE142" s="382"/>
      <c r="CF142" s="382"/>
      <c r="CG142" s="382"/>
      <c r="CH142" s="382"/>
      <c r="CI142" s="382"/>
      <c r="CJ142" s="382"/>
      <c r="CK142" s="463"/>
      <c r="CL142" s="463"/>
      <c r="CM142" s="463"/>
    </row>
    <row r="143" spans="47:97">
      <c r="AU143" s="382" t="s">
        <v>4867</v>
      </c>
      <c r="AV143" s="474" t="s">
        <v>546</v>
      </c>
      <c r="AW143" s="474" t="s">
        <v>546</v>
      </c>
      <c r="AX143" s="474" t="s">
        <v>546</v>
      </c>
      <c r="AY143" s="474" t="s">
        <v>546</v>
      </c>
      <c r="AZ143" s="474" t="s">
        <v>546</v>
      </c>
      <c r="BA143" s="474" t="s">
        <v>546</v>
      </c>
      <c r="BB143" s="474" t="s">
        <v>546</v>
      </c>
      <c r="BC143" s="474" t="s">
        <v>546</v>
      </c>
      <c r="BD143" s="474" t="s">
        <v>546</v>
      </c>
      <c r="BE143" s="474" t="s">
        <v>546</v>
      </c>
      <c r="BI143" s="597"/>
      <c r="BJ143" s="2173">
        <v>44834</v>
      </c>
      <c r="BK143" s="2102"/>
      <c r="BL143" s="2102"/>
      <c r="BN143" s="525"/>
      <c r="BP143" s="382"/>
      <c r="BQ143" s="439"/>
      <c r="BR143" s="439"/>
      <c r="BS143" s="439"/>
      <c r="BT143" s="439"/>
      <c r="BU143" s="439"/>
      <c r="BV143" s="439"/>
      <c r="BW143" s="439"/>
      <c r="BX143" s="439"/>
      <c r="BY143" s="439"/>
      <c r="BZ143" s="439"/>
      <c r="CD143" s="382"/>
      <c r="CE143" s="382"/>
      <c r="CF143" s="382"/>
      <c r="CG143" s="382"/>
      <c r="CH143" s="382"/>
      <c r="CI143" s="382"/>
      <c r="CJ143" s="382"/>
      <c r="CK143" s="463"/>
      <c r="CL143" s="463"/>
      <c r="CM143" s="463"/>
    </row>
    <row r="144" spans="47:97">
      <c r="AU144" s="382" t="s">
        <v>4880</v>
      </c>
      <c r="AV144" s="474" t="s">
        <v>546</v>
      </c>
      <c r="AW144" s="474" t="s">
        <v>546</v>
      </c>
      <c r="AX144" s="474" t="s">
        <v>546</v>
      </c>
      <c r="AY144" s="474" t="s">
        <v>546</v>
      </c>
      <c r="AZ144" s="474" t="s">
        <v>546</v>
      </c>
      <c r="BA144" s="474" t="s">
        <v>546</v>
      </c>
      <c r="BB144" s="474" t="s">
        <v>546</v>
      </c>
      <c r="BC144" s="474" t="s">
        <v>546</v>
      </c>
      <c r="BD144" s="474" t="s">
        <v>546</v>
      </c>
      <c r="BE144" s="474" t="s">
        <v>546</v>
      </c>
      <c r="BI144" s="610" t="s">
        <v>2449</v>
      </c>
      <c r="BJ144" s="642" t="s">
        <v>129</v>
      </c>
      <c r="BK144" s="642" t="s">
        <v>3039</v>
      </c>
      <c r="BL144" s="664" t="s">
        <v>3046</v>
      </c>
      <c r="BN144" s="525"/>
      <c r="BP144" s="382"/>
      <c r="BQ144" s="439"/>
      <c r="BR144" s="439"/>
      <c r="BS144" s="439"/>
      <c r="BT144" s="439"/>
      <c r="BU144" s="439"/>
      <c r="BV144" s="439"/>
      <c r="BW144" s="439"/>
      <c r="BX144" s="439"/>
      <c r="BY144" s="439"/>
      <c r="BZ144" s="439"/>
      <c r="CD144" s="1067"/>
      <c r="CE144" s="1067"/>
      <c r="CF144" s="1067"/>
      <c r="CG144" s="1067"/>
      <c r="CH144" s="1067"/>
      <c r="CI144" s="1067"/>
      <c r="CJ144" s="1067"/>
      <c r="CK144" s="463"/>
      <c r="CL144" s="463"/>
      <c r="CM144" s="463"/>
    </row>
    <row r="145" spans="47:97">
      <c r="AU145" s="382" t="s">
        <v>4892</v>
      </c>
      <c r="AV145" s="474" t="s">
        <v>546</v>
      </c>
      <c r="AW145" s="474" t="s">
        <v>546</v>
      </c>
      <c r="AX145" s="474" t="s">
        <v>546</v>
      </c>
      <c r="AY145" s="474" t="s">
        <v>546</v>
      </c>
      <c r="AZ145" s="474" t="s">
        <v>546</v>
      </c>
      <c r="BA145" s="474" t="s">
        <v>546</v>
      </c>
      <c r="BB145" s="474" t="s">
        <v>546</v>
      </c>
      <c r="BC145" s="474" t="s">
        <v>546</v>
      </c>
      <c r="BD145" s="474" t="s">
        <v>546</v>
      </c>
      <c r="BE145" s="474" t="s">
        <v>546</v>
      </c>
      <c r="BI145" s="382" t="s">
        <v>4893</v>
      </c>
      <c r="BJ145" s="463">
        <f>SUM(BK145:BL145)</f>
        <v>2906</v>
      </c>
      <c r="BK145" s="463">
        <f>SUM(BK146:BK157)</f>
        <v>1395</v>
      </c>
      <c r="BL145" s="463">
        <f>SUM(BL146:BL157)</f>
        <v>1511</v>
      </c>
      <c r="BN145" s="525"/>
      <c r="BP145" s="1066"/>
      <c r="BQ145" s="463"/>
      <c r="BR145" s="463"/>
      <c r="BS145" s="463"/>
      <c r="BT145" s="463"/>
      <c r="BU145" s="463"/>
      <c r="BV145" s="463"/>
      <c r="BW145" s="463"/>
      <c r="BX145" s="463"/>
      <c r="BY145" s="463"/>
      <c r="BZ145" s="463"/>
      <c r="CD145" s="1067"/>
      <c r="CE145" s="1067"/>
      <c r="CF145" s="1067"/>
      <c r="CG145" s="1067"/>
      <c r="CH145" s="1067"/>
      <c r="CI145" s="1067"/>
      <c r="CJ145" s="1067"/>
      <c r="CK145" s="463"/>
      <c r="CL145" s="463"/>
      <c r="CM145" s="463"/>
    </row>
    <row r="146" spans="47:97">
      <c r="AU146" s="382" t="s">
        <v>4898</v>
      </c>
      <c r="AV146" s="474" t="s">
        <v>546</v>
      </c>
      <c r="AW146" s="474" t="s">
        <v>546</v>
      </c>
      <c r="AX146" s="474" t="s">
        <v>546</v>
      </c>
      <c r="AY146" s="474" t="s">
        <v>546</v>
      </c>
      <c r="AZ146" s="474" t="s">
        <v>546</v>
      </c>
      <c r="BA146" s="474" t="s">
        <v>546</v>
      </c>
      <c r="BB146" s="474" t="s">
        <v>546</v>
      </c>
      <c r="BC146" s="474" t="s">
        <v>546</v>
      </c>
      <c r="BD146" s="474" t="s">
        <v>546</v>
      </c>
      <c r="BE146" s="474" t="s">
        <v>546</v>
      </c>
      <c r="BI146" s="382" t="s">
        <v>4855</v>
      </c>
      <c r="BJ146" s="474" t="s">
        <v>546</v>
      </c>
      <c r="BK146" s="474" t="s">
        <v>546</v>
      </c>
      <c r="BL146" s="474" t="s">
        <v>546</v>
      </c>
      <c r="BN146" s="525"/>
      <c r="BP146" s="382"/>
      <c r="BQ146" s="439"/>
      <c r="BR146" s="439"/>
      <c r="BS146" s="439"/>
      <c r="BT146" s="439"/>
      <c r="BU146" s="439"/>
      <c r="BV146" s="439"/>
      <c r="BW146" s="439"/>
      <c r="BX146" s="439"/>
      <c r="BY146" s="439"/>
      <c r="BZ146" s="439"/>
      <c r="CD146" s="1067"/>
      <c r="CE146" s="1067"/>
      <c r="CF146" s="1067"/>
      <c r="CG146" s="1067"/>
      <c r="CH146" s="1067"/>
      <c r="CI146" s="1067"/>
      <c r="CJ146" s="1067"/>
      <c r="CK146" s="463"/>
      <c r="CL146" s="463"/>
      <c r="CM146" s="463"/>
      <c r="CP146" s="525"/>
      <c r="CR146" s="525"/>
      <c r="CS146" s="525"/>
    </row>
    <row r="147" spans="47:97">
      <c r="AU147" s="382" t="s">
        <v>4904</v>
      </c>
      <c r="AV147" s="435">
        <f t="shared" ref="AV147:AV152" si="84">SUM(AW147:BE147)</f>
        <v>118</v>
      </c>
      <c r="AW147" s="525">
        <v>5</v>
      </c>
      <c r="AX147" s="525">
        <v>2</v>
      </c>
      <c r="AY147" s="525">
        <v>6</v>
      </c>
      <c r="AZ147" s="525">
        <v>11</v>
      </c>
      <c r="BA147" s="525">
        <v>10</v>
      </c>
      <c r="BB147" s="525">
        <v>72</v>
      </c>
      <c r="BC147" s="525">
        <v>12</v>
      </c>
      <c r="BD147" s="474" t="s">
        <v>546</v>
      </c>
      <c r="BE147" s="474" t="s">
        <v>546</v>
      </c>
      <c r="BI147" s="382" t="s">
        <v>4861</v>
      </c>
      <c r="BJ147" s="463">
        <f>SUM(BK147:BL147)</f>
        <v>5</v>
      </c>
      <c r="BK147" s="435">
        <v>2</v>
      </c>
      <c r="BL147" s="435">
        <v>3</v>
      </c>
      <c r="BM147" s="1084"/>
      <c r="BN147" s="525"/>
      <c r="BP147" s="382"/>
      <c r="BQ147" s="463"/>
      <c r="BR147" s="439"/>
      <c r="BS147" s="439"/>
      <c r="BT147" s="439"/>
      <c r="BU147" s="435"/>
      <c r="BV147" s="439"/>
      <c r="BW147" s="439"/>
      <c r="BX147" s="439"/>
      <c r="BY147" s="439"/>
      <c r="BZ147" s="435"/>
      <c r="CD147" s="1067"/>
      <c r="CE147" s="1067"/>
      <c r="CF147" s="1067"/>
      <c r="CG147" s="1067"/>
      <c r="CH147" s="1067"/>
      <c r="CI147" s="1067"/>
      <c r="CJ147" s="1067"/>
      <c r="CK147" s="463"/>
      <c r="CL147" s="463"/>
      <c r="CM147" s="463"/>
    </row>
    <row r="148" spans="47:97">
      <c r="AU148" s="382" t="s">
        <v>4907</v>
      </c>
      <c r="AV148" s="435">
        <f t="shared" si="84"/>
        <v>315</v>
      </c>
      <c r="AW148" s="525">
        <v>4</v>
      </c>
      <c r="AX148" s="525">
        <v>2</v>
      </c>
      <c r="AY148" s="525">
        <v>7</v>
      </c>
      <c r="AZ148" s="525">
        <v>10</v>
      </c>
      <c r="BA148" s="525">
        <v>13</v>
      </c>
      <c r="BB148" s="525">
        <v>135</v>
      </c>
      <c r="BC148" s="525">
        <v>135</v>
      </c>
      <c r="BD148" s="525">
        <v>9</v>
      </c>
      <c r="BE148" s="474" t="s">
        <v>546</v>
      </c>
      <c r="BI148" s="382" t="s">
        <v>4867</v>
      </c>
      <c r="BJ148" s="463">
        <f t="shared" ref="BJ148:BJ157" si="85">SUM(BK148:BL148)</f>
        <v>86</v>
      </c>
      <c r="BK148" s="435">
        <v>40</v>
      </c>
      <c r="BL148" s="435">
        <v>46</v>
      </c>
      <c r="BM148" s="439"/>
      <c r="BN148" s="525"/>
      <c r="BP148" s="382"/>
      <c r="BQ148" s="463"/>
      <c r="BR148" s="439"/>
      <c r="BS148" s="439"/>
      <c r="BT148" s="439"/>
      <c r="BU148" s="439"/>
      <c r="BV148" s="439"/>
      <c r="BW148" s="439"/>
      <c r="BX148" s="435"/>
      <c r="BY148" s="435"/>
      <c r="BZ148" s="439"/>
      <c r="CD148" s="1067"/>
      <c r="CE148" s="1067"/>
      <c r="CF148" s="1067"/>
      <c r="CG148" s="1067"/>
      <c r="CH148" s="1067"/>
      <c r="CI148" s="1067"/>
      <c r="CJ148" s="1067"/>
      <c r="CK148" s="463"/>
      <c r="CL148" s="463"/>
      <c r="CM148" s="463"/>
    </row>
    <row r="149" spans="47:97">
      <c r="AU149" s="382" t="s">
        <v>4909</v>
      </c>
      <c r="AV149" s="435">
        <f t="shared" si="84"/>
        <v>325</v>
      </c>
      <c r="AW149" s="525">
        <v>1</v>
      </c>
      <c r="AX149" s="525">
        <v>8</v>
      </c>
      <c r="AY149" s="525">
        <v>10</v>
      </c>
      <c r="AZ149" s="525">
        <v>10</v>
      </c>
      <c r="BA149" s="525">
        <v>17</v>
      </c>
      <c r="BB149" s="525">
        <v>91</v>
      </c>
      <c r="BC149" s="525">
        <v>150</v>
      </c>
      <c r="BD149" s="525">
        <v>34</v>
      </c>
      <c r="BE149" s="435">
        <v>4</v>
      </c>
      <c r="BI149" s="382" t="s">
        <v>4880</v>
      </c>
      <c r="BJ149" s="463">
        <f t="shared" si="85"/>
        <v>360</v>
      </c>
      <c r="BK149" s="435">
        <v>159</v>
      </c>
      <c r="BL149" s="435">
        <v>201</v>
      </c>
      <c r="BM149" s="463"/>
      <c r="BP149" s="382"/>
      <c r="BQ149" s="463"/>
      <c r="BR149" s="439"/>
      <c r="BS149" s="439"/>
      <c r="BT149" s="439"/>
      <c r="BU149" s="439"/>
      <c r="BV149" s="439"/>
      <c r="BW149" s="439"/>
      <c r="BX149" s="439"/>
      <c r="BY149" s="439"/>
      <c r="BZ149" s="439"/>
      <c r="CD149" s="1067"/>
      <c r="CE149" s="1067"/>
      <c r="CF149" s="1067"/>
      <c r="CG149" s="1067"/>
      <c r="CH149" s="1067"/>
      <c r="CI149" s="1067"/>
      <c r="CJ149" s="1067"/>
      <c r="CK149" s="463"/>
      <c r="CL149" s="463"/>
      <c r="CM149" s="463"/>
    </row>
    <row r="150" spans="47:97">
      <c r="AU150" s="382" t="s">
        <v>4911</v>
      </c>
      <c r="AV150" s="435">
        <f t="shared" si="84"/>
        <v>202</v>
      </c>
      <c r="AW150" s="525">
        <v>8</v>
      </c>
      <c r="AX150" s="525">
        <v>5</v>
      </c>
      <c r="AY150" s="525">
        <v>6</v>
      </c>
      <c r="AZ150" s="525">
        <v>8</v>
      </c>
      <c r="BA150" s="525">
        <v>8</v>
      </c>
      <c r="BB150" s="525">
        <v>52</v>
      </c>
      <c r="BC150" s="525">
        <v>79</v>
      </c>
      <c r="BD150" s="525">
        <v>24</v>
      </c>
      <c r="BE150" s="525">
        <v>12</v>
      </c>
      <c r="BI150" s="382" t="s">
        <v>4892</v>
      </c>
      <c r="BJ150" s="463">
        <f t="shared" si="85"/>
        <v>327</v>
      </c>
      <c r="BK150" s="435">
        <v>164</v>
      </c>
      <c r="BL150" s="435">
        <v>163</v>
      </c>
      <c r="BM150" s="463"/>
      <c r="BP150" s="382"/>
      <c r="BQ150" s="463"/>
      <c r="BR150" s="439"/>
      <c r="BS150" s="439"/>
      <c r="BT150" s="439"/>
      <c r="BU150" s="439"/>
      <c r="BV150" s="439"/>
      <c r="BW150" s="439"/>
      <c r="BX150" s="439"/>
      <c r="BY150" s="439"/>
      <c r="BZ150" s="439"/>
      <c r="CD150" s="1067"/>
      <c r="CE150" s="1067"/>
      <c r="CF150" s="1067"/>
      <c r="CG150" s="1067"/>
      <c r="CH150" s="1067"/>
      <c r="CI150" s="1067"/>
      <c r="CJ150" s="1067"/>
      <c r="CK150" s="463"/>
      <c r="CL150" s="463"/>
      <c r="CM150" s="463"/>
    </row>
    <row r="151" spans="47:97">
      <c r="AU151" s="382" t="s">
        <v>4914</v>
      </c>
      <c r="AV151" s="435">
        <f t="shared" si="84"/>
        <v>79</v>
      </c>
      <c r="AW151" s="474" t="s">
        <v>546</v>
      </c>
      <c r="AX151" s="525">
        <v>1</v>
      </c>
      <c r="AY151" s="862">
        <v>3</v>
      </c>
      <c r="AZ151" s="474" t="s">
        <v>546</v>
      </c>
      <c r="BA151" s="525">
        <v>1</v>
      </c>
      <c r="BB151" s="525">
        <v>22</v>
      </c>
      <c r="BC151" s="525">
        <v>34</v>
      </c>
      <c r="BD151" s="525">
        <v>9</v>
      </c>
      <c r="BE151" s="525">
        <v>9</v>
      </c>
      <c r="BI151" s="382" t="s">
        <v>4898</v>
      </c>
      <c r="BJ151" s="463">
        <f t="shared" si="85"/>
        <v>389</v>
      </c>
      <c r="BK151" s="463">
        <v>173</v>
      </c>
      <c r="BL151" s="463">
        <v>216</v>
      </c>
      <c r="BM151" s="463"/>
      <c r="BP151" s="382"/>
      <c r="BQ151" s="463"/>
      <c r="BR151" s="439"/>
      <c r="BS151" s="439"/>
      <c r="BT151" s="439"/>
      <c r="BU151" s="439"/>
      <c r="BV151" s="439"/>
      <c r="BW151" s="439"/>
      <c r="BX151" s="439"/>
      <c r="BY151" s="439"/>
      <c r="BZ151" s="439"/>
      <c r="CD151" s="1067"/>
      <c r="CE151" s="1067"/>
      <c r="CF151" s="1067"/>
      <c r="CG151" s="1067"/>
      <c r="CH151" s="1067"/>
      <c r="CI151" s="1067"/>
      <c r="CJ151" s="1067"/>
      <c r="CK151" s="463"/>
      <c r="CL151" s="463"/>
      <c r="CM151" s="463"/>
    </row>
    <row r="152" spans="47:97">
      <c r="AU152" s="382" t="s">
        <v>4916</v>
      </c>
      <c r="AV152" s="435">
        <f t="shared" si="84"/>
        <v>21</v>
      </c>
      <c r="AW152" s="474" t="s">
        <v>546</v>
      </c>
      <c r="AX152" s="435">
        <v>1</v>
      </c>
      <c r="AY152" s="474" t="s">
        <v>546</v>
      </c>
      <c r="AZ152" s="474" t="s">
        <v>546</v>
      </c>
      <c r="BA152" s="474" t="s">
        <v>546</v>
      </c>
      <c r="BB152" s="525">
        <v>9</v>
      </c>
      <c r="BC152" s="525">
        <v>6</v>
      </c>
      <c r="BD152" s="525">
        <v>4</v>
      </c>
      <c r="BE152" s="525">
        <v>1</v>
      </c>
      <c r="BI152" s="382" t="s">
        <v>4904</v>
      </c>
      <c r="BJ152" s="463">
        <f t="shared" si="85"/>
        <v>481</v>
      </c>
      <c r="BK152" s="463">
        <v>230</v>
      </c>
      <c r="BL152" s="463">
        <v>251</v>
      </c>
      <c r="BM152" s="463"/>
      <c r="BP152" s="382"/>
      <c r="BQ152" s="463"/>
      <c r="BR152" s="439"/>
      <c r="BS152" s="439"/>
      <c r="BT152" s="439"/>
      <c r="BU152" s="439"/>
      <c r="BV152" s="439"/>
      <c r="BW152" s="439"/>
      <c r="BX152" s="439"/>
      <c r="BY152" s="439"/>
      <c r="BZ152" s="439"/>
      <c r="CD152" s="1067"/>
      <c r="CE152" s="1067"/>
      <c r="CF152" s="1067"/>
      <c r="CG152" s="1067"/>
      <c r="CH152" s="1067"/>
      <c r="CI152" s="1067"/>
      <c r="CJ152" s="1067"/>
      <c r="CK152" s="463"/>
      <c r="CL152" s="463"/>
      <c r="CM152" s="463"/>
    </row>
    <row r="153" spans="47:97">
      <c r="AU153" s="382"/>
      <c r="BI153" s="382" t="s">
        <v>4907</v>
      </c>
      <c r="BJ153" s="463">
        <f t="shared" si="85"/>
        <v>487</v>
      </c>
      <c r="BK153" s="463">
        <v>266</v>
      </c>
      <c r="BL153" s="463">
        <v>221</v>
      </c>
      <c r="BM153" s="463"/>
      <c r="BP153" s="382"/>
      <c r="BQ153" s="463"/>
      <c r="BR153" s="439"/>
      <c r="BS153" s="439"/>
      <c r="BT153" s="439"/>
      <c r="BU153" s="439"/>
      <c r="BV153" s="439"/>
      <c r="BW153" s="439"/>
      <c r="BX153" s="439"/>
      <c r="BY153" s="439"/>
      <c r="BZ153" s="439"/>
      <c r="CD153" s="1067"/>
      <c r="CE153" s="1067"/>
      <c r="CF153" s="1067"/>
      <c r="CG153" s="1067"/>
      <c r="CH153" s="1067"/>
      <c r="CI153" s="1067"/>
      <c r="CJ153" s="1067"/>
      <c r="CK153" s="463"/>
      <c r="CL153" s="463"/>
      <c r="CM153" s="463"/>
    </row>
    <row r="154" spans="47:97">
      <c r="AU154" s="382" t="s">
        <v>4921</v>
      </c>
      <c r="AV154" s="525">
        <f>SUM(AV155:AV166)</f>
        <v>920</v>
      </c>
      <c r="AW154" s="525">
        <f>SUM(AW155:AW166)</f>
        <v>18</v>
      </c>
      <c r="AX154" s="525">
        <f t="shared" ref="AX154:BD154" si="86">SUM(AX155:AX166)</f>
        <v>17</v>
      </c>
      <c r="AY154" s="525">
        <f t="shared" si="86"/>
        <v>29</v>
      </c>
      <c r="AZ154" s="525">
        <f t="shared" si="86"/>
        <v>36</v>
      </c>
      <c r="BA154" s="525">
        <f t="shared" si="86"/>
        <v>41</v>
      </c>
      <c r="BB154" s="525">
        <f t="shared" si="86"/>
        <v>330</v>
      </c>
      <c r="BC154" s="525">
        <f t="shared" si="86"/>
        <v>358</v>
      </c>
      <c r="BD154" s="525">
        <f t="shared" si="86"/>
        <v>67</v>
      </c>
      <c r="BE154" s="525">
        <f>SUM(BE155:BE166)</f>
        <v>24</v>
      </c>
      <c r="BI154" s="382" t="s">
        <v>4909</v>
      </c>
      <c r="BJ154" s="463">
        <f t="shared" si="85"/>
        <v>385</v>
      </c>
      <c r="BK154" s="463">
        <v>185</v>
      </c>
      <c r="BL154" s="463">
        <v>200</v>
      </c>
      <c r="BM154" s="463"/>
      <c r="BP154" s="382"/>
      <c r="BQ154" s="463"/>
      <c r="BR154" s="439"/>
      <c r="BS154" s="439"/>
      <c r="BT154" s="439"/>
      <c r="BU154" s="439"/>
      <c r="BV154" s="439"/>
      <c r="BW154" s="439"/>
      <c r="BX154" s="439"/>
      <c r="BY154" s="439"/>
      <c r="BZ154" s="439"/>
      <c r="CD154" s="1067"/>
      <c r="CE154" s="1067"/>
      <c r="CF154" s="1067"/>
      <c r="CG154" s="1067"/>
      <c r="CH154" s="1067"/>
      <c r="CI154" s="1067"/>
      <c r="CJ154" s="1067"/>
      <c r="CK154" s="463"/>
      <c r="CL154" s="463"/>
      <c r="CM154" s="463"/>
    </row>
    <row r="155" spans="47:97">
      <c r="AU155" s="382" t="s">
        <v>4855</v>
      </c>
      <c r="AV155" s="474" t="s">
        <v>546</v>
      </c>
      <c r="AW155" s="474" t="s">
        <v>546</v>
      </c>
      <c r="AX155" s="474" t="s">
        <v>546</v>
      </c>
      <c r="AY155" s="474" t="s">
        <v>546</v>
      </c>
      <c r="AZ155" s="474" t="s">
        <v>546</v>
      </c>
      <c r="BA155" s="474" t="s">
        <v>546</v>
      </c>
      <c r="BB155" s="474" t="s">
        <v>546</v>
      </c>
      <c r="BC155" s="474" t="s">
        <v>546</v>
      </c>
      <c r="BD155" s="474" t="s">
        <v>546</v>
      </c>
      <c r="BE155" s="474" t="s">
        <v>546</v>
      </c>
      <c r="BI155" s="382" t="s">
        <v>4911</v>
      </c>
      <c r="BJ155" s="463">
        <f t="shared" si="85"/>
        <v>232</v>
      </c>
      <c r="BK155" s="463">
        <v>111</v>
      </c>
      <c r="BL155" s="463">
        <v>121</v>
      </c>
      <c r="BM155" s="463"/>
      <c r="BP155" s="382"/>
      <c r="BQ155" s="463"/>
      <c r="BR155" s="439"/>
      <c r="BS155" s="439"/>
      <c r="BT155" s="439"/>
      <c r="BU155" s="439"/>
      <c r="BV155" s="439"/>
      <c r="BW155" s="439"/>
      <c r="BX155" s="439"/>
      <c r="BY155" s="439"/>
      <c r="BZ155" s="439"/>
      <c r="CD155" s="1067"/>
      <c r="CE155" s="1067"/>
      <c r="CF155" s="1067"/>
      <c r="CG155" s="1067"/>
      <c r="CH155" s="1067"/>
      <c r="CI155" s="1067"/>
      <c r="CJ155" s="1067"/>
      <c r="CK155" s="463"/>
      <c r="CL155" s="463"/>
      <c r="CM155" s="463"/>
    </row>
    <row r="156" spans="47:97">
      <c r="AU156" s="382" t="s">
        <v>4861</v>
      </c>
      <c r="AV156" s="474" t="s">
        <v>546</v>
      </c>
      <c r="AW156" s="474" t="s">
        <v>546</v>
      </c>
      <c r="AX156" s="474" t="s">
        <v>546</v>
      </c>
      <c r="AY156" s="474" t="s">
        <v>546</v>
      </c>
      <c r="AZ156" s="474" t="s">
        <v>546</v>
      </c>
      <c r="BA156" s="474" t="s">
        <v>546</v>
      </c>
      <c r="BB156" s="474" t="s">
        <v>546</v>
      </c>
      <c r="BC156" s="474" t="s">
        <v>546</v>
      </c>
      <c r="BD156" s="474" t="s">
        <v>546</v>
      </c>
      <c r="BE156" s="474" t="s">
        <v>546</v>
      </c>
      <c r="BI156" s="382" t="s">
        <v>4914</v>
      </c>
      <c r="BJ156" s="463">
        <f t="shared" si="85"/>
        <v>104</v>
      </c>
      <c r="BK156" s="463">
        <v>43</v>
      </c>
      <c r="BL156" s="463">
        <v>61</v>
      </c>
      <c r="BM156" s="463"/>
      <c r="BP156" s="382"/>
      <c r="BQ156" s="463"/>
      <c r="BR156" s="439"/>
      <c r="BS156" s="439"/>
      <c r="BT156" s="439"/>
      <c r="BU156" s="439"/>
      <c r="BV156" s="439"/>
      <c r="BW156" s="439"/>
      <c r="BX156" s="439"/>
      <c r="BY156" s="439"/>
      <c r="BZ156" s="439"/>
      <c r="CD156" s="1067"/>
      <c r="CE156" s="1067"/>
      <c r="CF156" s="1067"/>
      <c r="CG156" s="1067"/>
      <c r="CH156" s="1067"/>
      <c r="CI156" s="1067"/>
      <c r="CJ156" s="1067"/>
      <c r="CK156" s="463"/>
      <c r="CL156" s="463"/>
      <c r="CM156" s="463"/>
    </row>
    <row r="157" spans="47:97">
      <c r="AU157" s="382" t="s">
        <v>4867</v>
      </c>
      <c r="AV157" s="474" t="s">
        <v>546</v>
      </c>
      <c r="AW157" s="474" t="s">
        <v>546</v>
      </c>
      <c r="AX157" s="474" t="s">
        <v>546</v>
      </c>
      <c r="AY157" s="474" t="s">
        <v>546</v>
      </c>
      <c r="AZ157" s="474" t="s">
        <v>546</v>
      </c>
      <c r="BA157" s="474" t="s">
        <v>546</v>
      </c>
      <c r="BB157" s="474" t="s">
        <v>546</v>
      </c>
      <c r="BC157" s="474" t="s">
        <v>546</v>
      </c>
      <c r="BD157" s="474" t="s">
        <v>546</v>
      </c>
      <c r="BE157" s="474" t="s">
        <v>546</v>
      </c>
      <c r="BI157" s="381" t="s">
        <v>4916</v>
      </c>
      <c r="BJ157" s="497">
        <f t="shared" si="85"/>
        <v>50</v>
      </c>
      <c r="BK157" s="497">
        <v>22</v>
      </c>
      <c r="BL157" s="497">
        <v>28</v>
      </c>
      <c r="BM157" s="463"/>
      <c r="BP157" s="382"/>
      <c r="BQ157" s="463"/>
      <c r="BR157" s="439"/>
      <c r="BS157" s="439"/>
      <c r="BT157" s="439"/>
      <c r="BU157" s="439"/>
      <c r="BV157" s="439"/>
      <c r="BW157" s="439"/>
      <c r="BX157" s="439"/>
      <c r="BY157" s="439"/>
      <c r="BZ157" s="439"/>
      <c r="CD157" s="1067"/>
      <c r="CE157" s="1067"/>
      <c r="CF157" s="1067"/>
      <c r="CG157" s="1067"/>
      <c r="CH157" s="1067"/>
      <c r="CI157" s="1067"/>
      <c r="CJ157" s="1067"/>
      <c r="CK157" s="463"/>
      <c r="CL157" s="463"/>
      <c r="CM157" s="463"/>
    </row>
    <row r="158" spans="47:97">
      <c r="AU158" s="382" t="s">
        <v>4880</v>
      </c>
      <c r="AV158" s="474" t="s">
        <v>546</v>
      </c>
      <c r="AW158" s="474" t="s">
        <v>546</v>
      </c>
      <c r="AX158" s="474" t="s">
        <v>546</v>
      </c>
      <c r="AY158" s="474" t="s">
        <v>546</v>
      </c>
      <c r="AZ158" s="474" t="s">
        <v>546</v>
      </c>
      <c r="BA158" s="474" t="s">
        <v>546</v>
      </c>
      <c r="BB158" s="474" t="s">
        <v>546</v>
      </c>
      <c r="BC158" s="474" t="s">
        <v>546</v>
      </c>
      <c r="BD158" s="474" t="s">
        <v>546</v>
      </c>
      <c r="BE158" s="474" t="s">
        <v>546</v>
      </c>
      <c r="BI158" s="382" t="s">
        <v>4932</v>
      </c>
      <c r="BJ158" s="382"/>
      <c r="BK158" s="382"/>
      <c r="BL158" s="382"/>
      <c r="BM158" s="463"/>
      <c r="BP158" s="382"/>
      <c r="BQ158" s="463"/>
      <c r="BR158" s="382"/>
      <c r="BS158" s="382"/>
      <c r="BT158" s="382"/>
      <c r="BU158" s="382"/>
      <c r="BV158" s="382"/>
      <c r="BW158" s="382"/>
      <c r="BX158" s="382"/>
      <c r="BY158" s="382"/>
      <c r="BZ158" s="382"/>
      <c r="CL158" s="463"/>
    </row>
    <row r="159" spans="47:97">
      <c r="AU159" s="382" t="s">
        <v>4892</v>
      </c>
      <c r="AV159" s="474" t="s">
        <v>546</v>
      </c>
      <c r="AW159" s="474" t="s">
        <v>546</v>
      </c>
      <c r="AX159" s="474" t="s">
        <v>546</v>
      </c>
      <c r="AY159" s="474" t="s">
        <v>546</v>
      </c>
      <c r="AZ159" s="474" t="s">
        <v>546</v>
      </c>
      <c r="BA159" s="474" t="s">
        <v>546</v>
      </c>
      <c r="BB159" s="474" t="s">
        <v>546</v>
      </c>
      <c r="BC159" s="474" t="s">
        <v>546</v>
      </c>
      <c r="BD159" s="474" t="s">
        <v>546</v>
      </c>
      <c r="BE159" s="474" t="s">
        <v>546</v>
      </c>
      <c r="BM159" s="463"/>
      <c r="BP159" s="1066"/>
      <c r="BQ159" s="463"/>
      <c r="BR159" s="435"/>
      <c r="BS159" s="435"/>
      <c r="BT159" s="435"/>
      <c r="BU159" s="435"/>
      <c r="BV159" s="435"/>
      <c r="BW159" s="435"/>
      <c r="BX159" s="435"/>
      <c r="BY159" s="435"/>
      <c r="BZ159" s="435"/>
      <c r="CD159" s="382"/>
      <c r="CE159" s="382"/>
      <c r="CF159" s="382"/>
      <c r="CG159" s="382"/>
      <c r="CH159" s="382"/>
      <c r="CI159" s="382"/>
      <c r="CJ159" s="382"/>
      <c r="CK159" s="463"/>
      <c r="CL159" s="463"/>
      <c r="CM159" s="463"/>
    </row>
    <row r="160" spans="47:97">
      <c r="AU160" s="382" t="s">
        <v>4898</v>
      </c>
      <c r="AV160" s="474" t="s">
        <v>546</v>
      </c>
      <c r="AW160" s="474" t="s">
        <v>546</v>
      </c>
      <c r="AX160" s="474" t="s">
        <v>546</v>
      </c>
      <c r="AY160" s="474" t="s">
        <v>546</v>
      </c>
      <c r="AZ160" s="474" t="s">
        <v>546</v>
      </c>
      <c r="BA160" s="474" t="s">
        <v>546</v>
      </c>
      <c r="BB160" s="474" t="s">
        <v>546</v>
      </c>
      <c r="BC160" s="474" t="s">
        <v>546</v>
      </c>
      <c r="BD160" s="474" t="s">
        <v>546</v>
      </c>
      <c r="BE160" s="474" t="s">
        <v>546</v>
      </c>
      <c r="BF160" s="862"/>
      <c r="BM160" s="463"/>
      <c r="BP160" s="382"/>
      <c r="BQ160" s="382"/>
      <c r="BR160" s="439"/>
      <c r="BS160" s="439"/>
      <c r="BT160" s="439"/>
      <c r="BU160" s="439"/>
      <c r="BV160" s="439"/>
      <c r="BW160" s="439"/>
      <c r="BX160" s="439"/>
      <c r="BY160" s="439"/>
      <c r="BZ160" s="439"/>
      <c r="CD160" s="382"/>
      <c r="CE160" s="382"/>
      <c r="CF160" s="382"/>
      <c r="CG160" s="382"/>
      <c r="CH160" s="382"/>
      <c r="CI160" s="382"/>
      <c r="CJ160" s="382"/>
      <c r="CL160" s="439"/>
      <c r="CM160" s="439"/>
    </row>
    <row r="161" spans="47:91">
      <c r="AU161" s="382" t="s">
        <v>4904</v>
      </c>
      <c r="AV161" s="435">
        <f t="shared" ref="AV161:AV166" si="87">SUM(AW161:BE161)</f>
        <v>95</v>
      </c>
      <c r="AW161" s="525">
        <v>5</v>
      </c>
      <c r="AX161" s="525">
        <v>2</v>
      </c>
      <c r="AY161" s="525">
        <v>6</v>
      </c>
      <c r="AZ161" s="525">
        <v>10</v>
      </c>
      <c r="BA161" s="525">
        <v>6</v>
      </c>
      <c r="BB161" s="525">
        <v>55</v>
      </c>
      <c r="BC161" s="525">
        <v>11</v>
      </c>
      <c r="BD161" s="474" t="s">
        <v>546</v>
      </c>
      <c r="BE161" s="474" t="s">
        <v>546</v>
      </c>
      <c r="BM161" s="463"/>
      <c r="BP161" s="382"/>
      <c r="BQ161" s="382"/>
      <c r="BR161" s="439"/>
      <c r="BS161" s="439"/>
      <c r="BT161" s="439"/>
      <c r="BU161" s="439"/>
      <c r="BV161" s="439"/>
      <c r="BW161" s="439"/>
      <c r="BX161" s="439"/>
      <c r="BY161" s="439"/>
      <c r="BZ161" s="439"/>
      <c r="CD161" s="1067"/>
      <c r="CE161" s="1067"/>
      <c r="CF161" s="1067"/>
      <c r="CG161" s="1067"/>
      <c r="CH161" s="1067"/>
      <c r="CI161" s="1067"/>
      <c r="CJ161" s="1067"/>
      <c r="CL161" s="439"/>
      <c r="CM161" s="439"/>
    </row>
    <row r="162" spans="47:91">
      <c r="AU162" s="382" t="s">
        <v>4907</v>
      </c>
      <c r="AV162" s="435">
        <f t="shared" si="87"/>
        <v>263</v>
      </c>
      <c r="AW162" s="525">
        <v>4</v>
      </c>
      <c r="AX162" s="525">
        <v>1</v>
      </c>
      <c r="AY162" s="525">
        <v>5</v>
      </c>
      <c r="AZ162" s="525">
        <v>9</v>
      </c>
      <c r="BA162" s="525">
        <v>11</v>
      </c>
      <c r="BB162" s="525">
        <v>118</v>
      </c>
      <c r="BC162" s="525">
        <v>108</v>
      </c>
      <c r="BD162" s="525">
        <v>7</v>
      </c>
      <c r="BE162" s="474" t="s">
        <v>546</v>
      </c>
      <c r="BI162" s="382" t="s">
        <v>5009</v>
      </c>
      <c r="BJ162" s="870"/>
      <c r="BK162" s="870"/>
      <c r="BL162" s="870"/>
      <c r="BP162" s="382"/>
      <c r="BQ162" s="382"/>
      <c r="BR162" s="439"/>
      <c r="BS162" s="439"/>
      <c r="BT162" s="439"/>
      <c r="BU162" s="439"/>
      <c r="BV162" s="439"/>
      <c r="BW162" s="439"/>
      <c r="BX162" s="439"/>
      <c r="BY162" s="439"/>
      <c r="BZ162" s="439"/>
      <c r="CD162" s="1067"/>
      <c r="CE162" s="1067"/>
      <c r="CF162" s="1067"/>
      <c r="CG162" s="1067"/>
      <c r="CH162" s="1067"/>
      <c r="CI162" s="1067"/>
      <c r="CJ162" s="1067"/>
      <c r="CL162" s="439"/>
      <c r="CM162" s="439"/>
    </row>
    <row r="163" spans="47:91">
      <c r="AU163" s="382" t="s">
        <v>4909</v>
      </c>
      <c r="AV163" s="435">
        <f t="shared" si="87"/>
        <v>284</v>
      </c>
      <c r="AW163" s="525">
        <v>1</v>
      </c>
      <c r="AX163" s="525">
        <v>8</v>
      </c>
      <c r="AY163" s="525">
        <v>9</v>
      </c>
      <c r="AZ163" s="525">
        <v>9</v>
      </c>
      <c r="BA163" s="525">
        <v>15</v>
      </c>
      <c r="BB163" s="525">
        <v>81</v>
      </c>
      <c r="BC163" s="525">
        <v>131</v>
      </c>
      <c r="BD163" s="525">
        <v>26</v>
      </c>
      <c r="BE163" s="435">
        <v>4</v>
      </c>
      <c r="BI163" s="382" t="s">
        <v>8722</v>
      </c>
      <c r="BJ163" s="870"/>
      <c r="BK163" s="870"/>
      <c r="BL163" s="870"/>
      <c r="BP163" s="382"/>
      <c r="BQ163" s="382"/>
      <c r="BR163" s="439"/>
      <c r="BS163" s="439"/>
      <c r="BT163" s="439"/>
      <c r="BU163" s="439"/>
      <c r="BV163" s="439"/>
      <c r="BW163" s="439"/>
      <c r="BX163" s="439"/>
      <c r="BY163" s="439"/>
      <c r="BZ163" s="439"/>
      <c r="CD163" s="1067"/>
      <c r="CE163" s="1067"/>
      <c r="CF163" s="1067"/>
      <c r="CG163" s="1067"/>
      <c r="CH163" s="1067"/>
      <c r="CI163" s="1067"/>
      <c r="CJ163" s="1067"/>
      <c r="CL163" s="439"/>
      <c r="CM163" s="439"/>
    </row>
    <row r="164" spans="47:91">
      <c r="AU164" s="382" t="s">
        <v>4911</v>
      </c>
      <c r="AV164" s="435">
        <f t="shared" si="87"/>
        <v>183</v>
      </c>
      <c r="AW164" s="525">
        <v>8</v>
      </c>
      <c r="AX164" s="525">
        <v>5</v>
      </c>
      <c r="AY164" s="525">
        <v>6</v>
      </c>
      <c r="AZ164" s="525">
        <v>8</v>
      </c>
      <c r="BA164" s="525">
        <v>8</v>
      </c>
      <c r="BB164" s="525">
        <v>47</v>
      </c>
      <c r="BC164" s="525">
        <v>69</v>
      </c>
      <c r="BD164" s="525">
        <v>21</v>
      </c>
      <c r="BE164" s="525">
        <v>11</v>
      </c>
      <c r="BI164" s="597"/>
      <c r="BJ164" s="2173">
        <v>44834</v>
      </c>
      <c r="BK164" s="2174"/>
      <c r="BL164" s="2174"/>
      <c r="BP164" s="382"/>
      <c r="BQ164" s="382"/>
      <c r="BR164" s="439"/>
      <c r="BS164" s="439"/>
      <c r="BT164" s="439"/>
      <c r="BU164" s="439"/>
      <c r="BV164" s="439"/>
      <c r="BW164" s="439"/>
      <c r="BX164" s="439"/>
      <c r="BY164" s="439"/>
      <c r="BZ164" s="439"/>
      <c r="CD164" s="1067"/>
      <c r="CE164" s="1067"/>
      <c r="CF164" s="1067"/>
      <c r="CG164" s="1067"/>
      <c r="CH164" s="1067"/>
      <c r="CI164" s="1067"/>
      <c r="CJ164" s="1067"/>
      <c r="CL164" s="439"/>
      <c r="CM164" s="439"/>
    </row>
    <row r="165" spans="47:91">
      <c r="AU165" s="382" t="s">
        <v>4914</v>
      </c>
      <c r="AV165" s="435">
        <f t="shared" si="87"/>
        <v>75</v>
      </c>
      <c r="AW165" s="474" t="s">
        <v>546</v>
      </c>
      <c r="AX165" s="525">
        <v>1</v>
      </c>
      <c r="AY165" s="862">
        <v>3</v>
      </c>
      <c r="AZ165" s="474" t="s">
        <v>546</v>
      </c>
      <c r="BA165" s="525">
        <v>1</v>
      </c>
      <c r="BB165" s="525">
        <v>20</v>
      </c>
      <c r="BC165" s="525">
        <v>33</v>
      </c>
      <c r="BD165" s="525">
        <v>9</v>
      </c>
      <c r="BE165" s="525">
        <v>8</v>
      </c>
      <c r="BI165" s="610" t="s">
        <v>2449</v>
      </c>
      <c r="BJ165" s="642" t="s">
        <v>129</v>
      </c>
      <c r="BK165" s="642" t="s">
        <v>3039</v>
      </c>
      <c r="BL165" s="664" t="s">
        <v>3046</v>
      </c>
      <c r="BP165" s="382"/>
      <c r="BQ165" s="382"/>
      <c r="BR165" s="439"/>
      <c r="BS165" s="439"/>
      <c r="BT165" s="439"/>
      <c r="BU165" s="439"/>
      <c r="BV165" s="439"/>
      <c r="BW165" s="439"/>
      <c r="BX165" s="439"/>
      <c r="BY165" s="439"/>
      <c r="BZ165" s="439"/>
      <c r="CD165" s="1067"/>
      <c r="CE165" s="1067"/>
      <c r="CF165" s="1067"/>
      <c r="CG165" s="1067"/>
      <c r="CH165" s="1067"/>
      <c r="CI165" s="1067"/>
      <c r="CJ165" s="1067"/>
      <c r="CL165" s="1014"/>
      <c r="CM165" s="1014"/>
    </row>
    <row r="166" spans="47:91">
      <c r="AU166" s="382" t="s">
        <v>4916</v>
      </c>
      <c r="AV166" s="435">
        <f t="shared" si="87"/>
        <v>20</v>
      </c>
      <c r="AW166" s="474" t="s">
        <v>546</v>
      </c>
      <c r="AX166" s="474" t="s">
        <v>546</v>
      </c>
      <c r="AY166" s="474" t="s">
        <v>546</v>
      </c>
      <c r="AZ166" s="474" t="s">
        <v>546</v>
      </c>
      <c r="BA166" s="474" t="s">
        <v>546</v>
      </c>
      <c r="BB166" s="525">
        <v>9</v>
      </c>
      <c r="BC166" s="525">
        <v>6</v>
      </c>
      <c r="BD166" s="525">
        <v>4</v>
      </c>
      <c r="BE166" s="525">
        <v>1</v>
      </c>
      <c r="BI166" s="382" t="s">
        <v>4893</v>
      </c>
      <c r="BJ166" s="463">
        <f>SUM(BJ173:BJ178)</f>
        <v>1070</v>
      </c>
      <c r="BK166" s="463">
        <f t="shared" ref="BK166:BL166" si="88">SUM(BK173:BK178)</f>
        <v>496</v>
      </c>
      <c r="BL166" s="463">
        <f t="shared" si="88"/>
        <v>574</v>
      </c>
      <c r="BP166" s="382"/>
      <c r="BQ166" s="382"/>
      <c r="BR166" s="439"/>
      <c r="BS166" s="439"/>
      <c r="BT166" s="439"/>
      <c r="BU166" s="439"/>
      <c r="BV166" s="439"/>
      <c r="BW166" s="439"/>
      <c r="BX166" s="439"/>
      <c r="BY166" s="439"/>
      <c r="BZ166" s="439"/>
      <c r="CD166" s="1067"/>
      <c r="CE166" s="1067"/>
      <c r="CF166" s="1067"/>
      <c r="CG166" s="1067"/>
      <c r="CH166" s="1067"/>
      <c r="CI166" s="1067"/>
      <c r="CJ166" s="1067"/>
      <c r="CL166" s="1014"/>
      <c r="CM166" s="1014"/>
    </row>
    <row r="167" spans="47:91">
      <c r="AU167" s="382"/>
      <c r="AW167" s="525"/>
      <c r="BI167" s="382" t="s">
        <v>4855</v>
      </c>
      <c r="BJ167" s="474" t="s">
        <v>546</v>
      </c>
      <c r="BK167" s="474" t="s">
        <v>546</v>
      </c>
      <c r="BL167" s="474" t="s">
        <v>546</v>
      </c>
      <c r="BP167" s="382"/>
      <c r="BQ167" s="382"/>
      <c r="BR167" s="439"/>
      <c r="BS167" s="439"/>
      <c r="BT167" s="439"/>
      <c r="BU167" s="439"/>
      <c r="BV167" s="439"/>
      <c r="BW167" s="439"/>
      <c r="BX167" s="439"/>
      <c r="BY167" s="439"/>
      <c r="BZ167" s="439"/>
      <c r="CD167" s="1067"/>
      <c r="CE167" s="1067"/>
      <c r="CF167" s="1067"/>
      <c r="CG167" s="1067"/>
      <c r="CH167" s="1067"/>
      <c r="CI167" s="1067"/>
      <c r="CJ167" s="1067"/>
      <c r="CL167" s="1014"/>
      <c r="CM167" s="1014"/>
    </row>
    <row r="168" spans="47:91">
      <c r="AU168" s="382" t="s">
        <v>4948</v>
      </c>
      <c r="AV168" s="525">
        <f>SUM(AV169:AV180)</f>
        <v>140</v>
      </c>
      <c r="AW168" s="435">
        <f>SUM(AW169:AW180)</f>
        <v>0</v>
      </c>
      <c r="AX168" s="525">
        <f>SUM(AX169:AX180)</f>
        <v>2</v>
      </c>
      <c r="AY168" s="525">
        <f t="shared" ref="AY168:BD168" si="89">SUM(AY169:AY180)</f>
        <v>3</v>
      </c>
      <c r="AZ168" s="525">
        <f t="shared" si="89"/>
        <v>3</v>
      </c>
      <c r="BA168" s="525">
        <f t="shared" si="89"/>
        <v>8</v>
      </c>
      <c r="BB168" s="525">
        <f t="shared" si="89"/>
        <v>51</v>
      </c>
      <c r="BC168" s="525">
        <f t="shared" si="89"/>
        <v>58</v>
      </c>
      <c r="BD168" s="525">
        <f t="shared" si="89"/>
        <v>13</v>
      </c>
      <c r="BE168" s="525">
        <f>SUM(BE169:BE180)</f>
        <v>2</v>
      </c>
      <c r="BI168" s="382" t="s">
        <v>4861</v>
      </c>
      <c r="BJ168" s="474" t="s">
        <v>546</v>
      </c>
      <c r="BK168" s="474" t="s">
        <v>546</v>
      </c>
      <c r="BL168" s="474" t="s">
        <v>546</v>
      </c>
      <c r="BM168" s="1084"/>
      <c r="BP168" s="382"/>
      <c r="BQ168" s="382"/>
      <c r="BR168" s="439"/>
      <c r="BS168" s="439"/>
      <c r="BT168" s="439"/>
      <c r="BU168" s="439"/>
      <c r="BV168" s="439"/>
      <c r="BW168" s="439"/>
      <c r="BX168" s="439"/>
      <c r="BY168" s="439"/>
      <c r="BZ168" s="439"/>
      <c r="CD168" s="1067"/>
      <c r="CE168" s="1067"/>
      <c r="CF168" s="1067"/>
      <c r="CG168" s="1067"/>
      <c r="CH168" s="1067"/>
      <c r="CI168" s="1067"/>
      <c r="CJ168" s="1067"/>
      <c r="CL168" s="1014"/>
      <c r="CM168" s="1014"/>
    </row>
    <row r="169" spans="47:91">
      <c r="AU169" s="382" t="s">
        <v>4855</v>
      </c>
      <c r="AV169" s="474" t="s">
        <v>546</v>
      </c>
      <c r="AW169" s="474" t="s">
        <v>546</v>
      </c>
      <c r="AX169" s="474" t="s">
        <v>546</v>
      </c>
      <c r="AY169" s="474" t="s">
        <v>546</v>
      </c>
      <c r="AZ169" s="474" t="s">
        <v>546</v>
      </c>
      <c r="BA169" s="474" t="s">
        <v>546</v>
      </c>
      <c r="BB169" s="474" t="s">
        <v>546</v>
      </c>
      <c r="BC169" s="474" t="s">
        <v>546</v>
      </c>
      <c r="BD169" s="474" t="s">
        <v>546</v>
      </c>
      <c r="BE169" s="474" t="s">
        <v>546</v>
      </c>
      <c r="BI169" s="382" t="s">
        <v>4867</v>
      </c>
      <c r="BJ169" s="474" t="s">
        <v>546</v>
      </c>
      <c r="BK169" s="474" t="s">
        <v>546</v>
      </c>
      <c r="BL169" s="474" t="s">
        <v>546</v>
      </c>
      <c r="BM169" s="439"/>
      <c r="BP169" s="382"/>
      <c r="BQ169" s="382"/>
      <c r="BR169" s="439"/>
      <c r="BS169" s="439"/>
      <c r="BT169" s="439"/>
      <c r="BU169" s="439"/>
      <c r="BV169" s="439"/>
      <c r="BW169" s="439"/>
      <c r="BX169" s="439"/>
      <c r="BY169" s="439"/>
      <c r="BZ169" s="439"/>
      <c r="CD169" s="1067"/>
      <c r="CE169" s="1067"/>
      <c r="CF169" s="1067"/>
      <c r="CG169" s="1067"/>
      <c r="CH169" s="1067"/>
      <c r="CI169" s="1067"/>
      <c r="CJ169" s="1067"/>
      <c r="CL169" s="1014"/>
      <c r="CM169" s="1014"/>
    </row>
    <row r="170" spans="47:91">
      <c r="AU170" s="382" t="s">
        <v>4861</v>
      </c>
      <c r="AV170" s="474" t="s">
        <v>546</v>
      </c>
      <c r="AW170" s="474" t="s">
        <v>546</v>
      </c>
      <c r="AX170" s="474" t="s">
        <v>546</v>
      </c>
      <c r="AY170" s="474" t="s">
        <v>546</v>
      </c>
      <c r="AZ170" s="474" t="s">
        <v>546</v>
      </c>
      <c r="BA170" s="474" t="s">
        <v>546</v>
      </c>
      <c r="BB170" s="474" t="s">
        <v>546</v>
      </c>
      <c r="BC170" s="474" t="s">
        <v>546</v>
      </c>
      <c r="BD170" s="474" t="s">
        <v>546</v>
      </c>
      <c r="BE170" s="474" t="s">
        <v>546</v>
      </c>
      <c r="BI170" s="382" t="s">
        <v>4880</v>
      </c>
      <c r="BJ170" s="474" t="s">
        <v>546</v>
      </c>
      <c r="BK170" s="474" t="s">
        <v>546</v>
      </c>
      <c r="BL170" s="474" t="s">
        <v>546</v>
      </c>
      <c r="BM170" s="463"/>
      <c r="BP170" s="382"/>
      <c r="BQ170" s="382"/>
      <c r="BR170" s="439"/>
      <c r="BS170" s="439"/>
      <c r="BT170" s="439"/>
      <c r="BU170" s="439"/>
      <c r="BV170" s="439"/>
      <c r="BW170" s="439"/>
      <c r="BX170" s="439"/>
      <c r="BY170" s="439"/>
      <c r="BZ170" s="439"/>
      <c r="CD170" s="1067"/>
      <c r="CE170" s="1067"/>
      <c r="CF170" s="1067"/>
      <c r="CG170" s="1067"/>
      <c r="CH170" s="1067"/>
      <c r="CI170" s="1067"/>
      <c r="CJ170" s="1067"/>
      <c r="CL170" s="1014"/>
      <c r="CM170" s="1014"/>
    </row>
    <row r="171" spans="47:91">
      <c r="AU171" s="382" t="s">
        <v>4867</v>
      </c>
      <c r="AV171" s="474" t="s">
        <v>546</v>
      </c>
      <c r="AW171" s="474" t="s">
        <v>546</v>
      </c>
      <c r="AX171" s="474" t="s">
        <v>546</v>
      </c>
      <c r="AY171" s="474" t="s">
        <v>546</v>
      </c>
      <c r="AZ171" s="474" t="s">
        <v>546</v>
      </c>
      <c r="BA171" s="474" t="s">
        <v>546</v>
      </c>
      <c r="BB171" s="474" t="s">
        <v>546</v>
      </c>
      <c r="BC171" s="474" t="s">
        <v>546</v>
      </c>
      <c r="BD171" s="474" t="s">
        <v>546</v>
      </c>
      <c r="BE171" s="474" t="s">
        <v>546</v>
      </c>
      <c r="BI171" s="382" t="s">
        <v>4892</v>
      </c>
      <c r="BJ171" s="474" t="s">
        <v>546</v>
      </c>
      <c r="BK171" s="474" t="s">
        <v>546</v>
      </c>
      <c r="BL171" s="474" t="s">
        <v>546</v>
      </c>
      <c r="BM171" s="463"/>
      <c r="BP171" s="382"/>
      <c r="BQ171" s="382"/>
      <c r="BR171" s="439"/>
      <c r="BS171" s="439"/>
      <c r="BT171" s="439"/>
      <c r="BU171" s="439"/>
      <c r="BV171" s="439"/>
      <c r="BW171" s="439"/>
      <c r="BX171" s="439"/>
      <c r="BY171" s="439"/>
      <c r="BZ171" s="439"/>
      <c r="CD171" s="1067"/>
      <c r="CE171" s="1067"/>
      <c r="CF171" s="1067"/>
      <c r="CG171" s="1067"/>
      <c r="CH171" s="1067"/>
      <c r="CI171" s="1067"/>
      <c r="CJ171" s="1067"/>
      <c r="CL171" s="1014"/>
      <c r="CM171" s="1014"/>
    </row>
    <row r="172" spans="47:91">
      <c r="AU172" s="382" t="s">
        <v>4880</v>
      </c>
      <c r="AV172" s="474" t="s">
        <v>546</v>
      </c>
      <c r="AW172" s="474" t="s">
        <v>546</v>
      </c>
      <c r="AX172" s="474" t="s">
        <v>546</v>
      </c>
      <c r="AY172" s="474" t="s">
        <v>546</v>
      </c>
      <c r="AZ172" s="474" t="s">
        <v>546</v>
      </c>
      <c r="BA172" s="474" t="s">
        <v>546</v>
      </c>
      <c r="BB172" s="474" t="s">
        <v>546</v>
      </c>
      <c r="BC172" s="474" t="s">
        <v>546</v>
      </c>
      <c r="BD172" s="474" t="s">
        <v>546</v>
      </c>
      <c r="BE172" s="474" t="s">
        <v>546</v>
      </c>
      <c r="BI172" s="382" t="s">
        <v>4898</v>
      </c>
      <c r="BJ172" s="474" t="s">
        <v>546</v>
      </c>
      <c r="BK172" s="474" t="s">
        <v>546</v>
      </c>
      <c r="BL172" s="474" t="s">
        <v>546</v>
      </c>
      <c r="BM172" s="463"/>
      <c r="BP172" s="382"/>
      <c r="BQ172" s="382"/>
      <c r="BR172" s="382"/>
      <c r="BS172" s="382"/>
      <c r="BT172" s="382"/>
      <c r="BU172" s="382"/>
      <c r="BV172" s="382"/>
      <c r="BW172" s="382"/>
      <c r="BX172" s="382"/>
      <c r="BY172" s="382"/>
      <c r="BZ172" s="382"/>
      <c r="CD172" s="1067"/>
      <c r="CE172" s="1067"/>
      <c r="CF172" s="1067"/>
      <c r="CG172" s="1067"/>
      <c r="CH172" s="1067"/>
      <c r="CI172" s="1067"/>
      <c r="CJ172" s="1067"/>
      <c r="CL172" s="1014"/>
      <c r="CM172" s="1014"/>
    </row>
    <row r="173" spans="47:91">
      <c r="AU173" s="382" t="s">
        <v>4892</v>
      </c>
      <c r="AV173" s="474" t="s">
        <v>546</v>
      </c>
      <c r="AW173" s="474" t="s">
        <v>546</v>
      </c>
      <c r="AX173" s="474" t="s">
        <v>546</v>
      </c>
      <c r="AY173" s="474" t="s">
        <v>546</v>
      </c>
      <c r="AZ173" s="474" t="s">
        <v>546</v>
      </c>
      <c r="BA173" s="474" t="s">
        <v>546</v>
      </c>
      <c r="BB173" s="474" t="s">
        <v>546</v>
      </c>
      <c r="BC173" s="474" t="s">
        <v>546</v>
      </c>
      <c r="BD173" s="474" t="s">
        <v>546</v>
      </c>
      <c r="BE173" s="474" t="s">
        <v>546</v>
      </c>
      <c r="BI173" s="382" t="s">
        <v>4904</v>
      </c>
      <c r="BJ173" s="435">
        <f t="shared" ref="BJ173:BJ178" si="90">SUM(BK173:BL173)</f>
        <v>118</v>
      </c>
      <c r="BK173" s="463">
        <v>67</v>
      </c>
      <c r="BL173" s="463">
        <v>51</v>
      </c>
      <c r="BM173" s="463"/>
      <c r="CD173" s="1067"/>
      <c r="CE173" s="1067"/>
      <c r="CF173" s="1067"/>
      <c r="CG173" s="1067"/>
      <c r="CH173" s="1067"/>
      <c r="CI173" s="1067"/>
      <c r="CJ173" s="1067"/>
      <c r="CL173" s="1014"/>
      <c r="CM173" s="1014"/>
    </row>
    <row r="174" spans="47:91">
      <c r="AU174" s="382" t="s">
        <v>4898</v>
      </c>
      <c r="AV174" s="474" t="s">
        <v>546</v>
      </c>
      <c r="AW174" s="474" t="s">
        <v>546</v>
      </c>
      <c r="AX174" s="474" t="s">
        <v>546</v>
      </c>
      <c r="AY174" s="474" t="s">
        <v>546</v>
      </c>
      <c r="AZ174" s="474" t="s">
        <v>546</v>
      </c>
      <c r="BA174" s="474" t="s">
        <v>546</v>
      </c>
      <c r="BB174" s="474" t="s">
        <v>546</v>
      </c>
      <c r="BC174" s="474" t="s">
        <v>546</v>
      </c>
      <c r="BD174" s="474" t="s">
        <v>546</v>
      </c>
      <c r="BE174" s="474" t="s">
        <v>546</v>
      </c>
      <c r="BI174" s="382" t="s">
        <v>4907</v>
      </c>
      <c r="BJ174" s="435">
        <f t="shared" si="90"/>
        <v>315</v>
      </c>
      <c r="BK174" s="463">
        <v>148</v>
      </c>
      <c r="BL174" s="463">
        <v>167</v>
      </c>
      <c r="BM174" s="463"/>
      <c r="CD174" s="1067"/>
      <c r="CE174" s="1067"/>
      <c r="CF174" s="1067"/>
      <c r="CG174" s="1067"/>
      <c r="CH174" s="1067"/>
      <c r="CI174" s="1067"/>
      <c r="CJ174" s="1067"/>
      <c r="CL174" s="1014"/>
      <c r="CM174" s="1014"/>
    </row>
    <row r="175" spans="47:91">
      <c r="AU175" s="382" t="s">
        <v>4904</v>
      </c>
      <c r="AV175" s="435">
        <f t="shared" ref="AV175:AV180" si="91">SUM(AW175:BE175)</f>
        <v>23</v>
      </c>
      <c r="AW175" s="474" t="s">
        <v>546</v>
      </c>
      <c r="AX175" s="474" t="s">
        <v>546</v>
      </c>
      <c r="AY175" s="474" t="s">
        <v>546</v>
      </c>
      <c r="AZ175" s="525">
        <v>1</v>
      </c>
      <c r="BA175" s="525">
        <v>4</v>
      </c>
      <c r="BB175" s="525">
        <v>17</v>
      </c>
      <c r="BC175" s="525">
        <v>1</v>
      </c>
      <c r="BD175" s="474" t="s">
        <v>546</v>
      </c>
      <c r="BE175" s="474" t="s">
        <v>546</v>
      </c>
      <c r="BI175" s="382" t="s">
        <v>4909</v>
      </c>
      <c r="BJ175" s="435">
        <f t="shared" si="90"/>
        <v>325</v>
      </c>
      <c r="BK175" s="463">
        <v>142</v>
      </c>
      <c r="BL175" s="463">
        <v>183</v>
      </c>
      <c r="BM175" s="463"/>
      <c r="BP175" s="382"/>
      <c r="BQ175" s="382"/>
      <c r="BR175" s="382"/>
      <c r="BS175" s="382"/>
      <c r="BT175" s="382"/>
      <c r="BU175" s="382"/>
      <c r="BV175" s="382"/>
      <c r="BW175" s="382"/>
      <c r="BX175" s="382"/>
      <c r="BY175" s="382"/>
      <c r="BZ175" s="382"/>
    </row>
    <row r="176" spans="47:91">
      <c r="AU176" s="382" t="s">
        <v>4907</v>
      </c>
      <c r="AV176" s="435">
        <f t="shared" si="91"/>
        <v>52</v>
      </c>
      <c r="AW176" s="474" t="s">
        <v>546</v>
      </c>
      <c r="AX176" s="435">
        <v>1</v>
      </c>
      <c r="AY176" s="435">
        <v>2</v>
      </c>
      <c r="AZ176" s="435">
        <v>1</v>
      </c>
      <c r="BA176" s="525">
        <v>2</v>
      </c>
      <c r="BB176" s="525">
        <v>17</v>
      </c>
      <c r="BC176" s="525">
        <v>27</v>
      </c>
      <c r="BD176" s="525">
        <v>2</v>
      </c>
      <c r="BE176" s="474" t="s">
        <v>546</v>
      </c>
      <c r="BI176" s="382" t="s">
        <v>4911</v>
      </c>
      <c r="BJ176" s="435">
        <f t="shared" si="90"/>
        <v>202</v>
      </c>
      <c r="BK176" s="463">
        <v>101</v>
      </c>
      <c r="BL176" s="463">
        <v>101</v>
      </c>
      <c r="BM176" s="463"/>
      <c r="BP176" s="382"/>
      <c r="BQ176" s="382"/>
      <c r="BR176" s="382"/>
      <c r="BS176" s="382"/>
      <c r="BT176" s="382"/>
      <c r="BU176" s="382"/>
      <c r="BV176" s="382"/>
      <c r="BW176" s="382"/>
      <c r="BX176" s="382"/>
      <c r="BY176" s="382"/>
      <c r="BZ176" s="382"/>
      <c r="CD176" s="382"/>
      <c r="CE176" s="382"/>
      <c r="CF176" s="382"/>
      <c r="CG176" s="382"/>
      <c r="CH176" s="382"/>
      <c r="CI176" s="382"/>
      <c r="CJ176" s="382"/>
      <c r="CL176" s="599"/>
      <c r="CM176" s="599"/>
    </row>
    <row r="177" spans="47:91">
      <c r="AU177" s="382" t="s">
        <v>4909</v>
      </c>
      <c r="AV177" s="435">
        <f t="shared" si="91"/>
        <v>41</v>
      </c>
      <c r="AW177" s="474" t="s">
        <v>546</v>
      </c>
      <c r="AX177" s="474" t="s">
        <v>546</v>
      </c>
      <c r="AY177" s="435">
        <v>1</v>
      </c>
      <c r="AZ177" s="435">
        <v>1</v>
      </c>
      <c r="BA177" s="525">
        <v>2</v>
      </c>
      <c r="BB177" s="525">
        <v>10</v>
      </c>
      <c r="BC177" s="525">
        <v>19</v>
      </c>
      <c r="BD177" s="525">
        <v>8</v>
      </c>
      <c r="BE177" s="474" t="s">
        <v>546</v>
      </c>
      <c r="BI177" s="382" t="s">
        <v>4914</v>
      </c>
      <c r="BJ177" s="435">
        <f t="shared" si="90"/>
        <v>79</v>
      </c>
      <c r="BK177" s="463">
        <v>29</v>
      </c>
      <c r="BL177" s="463">
        <v>50</v>
      </c>
      <c r="BM177" s="463"/>
      <c r="BP177" s="382"/>
      <c r="BQ177" s="439"/>
      <c r="BR177" s="2073"/>
      <c r="BS177" s="2073"/>
      <c r="BT177" s="2073"/>
      <c r="BU177" s="2073"/>
      <c r="BV177" s="2073"/>
      <c r="BW177" s="2073"/>
      <c r="BX177" s="2073"/>
      <c r="BY177" s="2073"/>
      <c r="BZ177" s="2073"/>
      <c r="CD177" s="382"/>
      <c r="CE177" s="382"/>
      <c r="CF177" s="382"/>
      <c r="CG177" s="382"/>
      <c r="CH177" s="382"/>
      <c r="CI177" s="382"/>
      <c r="CJ177" s="382"/>
      <c r="CK177" s="382"/>
      <c r="CL177" s="599"/>
      <c r="CM177" s="599"/>
    </row>
    <row r="178" spans="47:91">
      <c r="AU178" s="382" t="s">
        <v>4911</v>
      </c>
      <c r="AV178" s="435">
        <f t="shared" si="91"/>
        <v>19</v>
      </c>
      <c r="AW178" s="474" t="s">
        <v>546</v>
      </c>
      <c r="AX178" s="474" t="s">
        <v>546</v>
      </c>
      <c r="AY178" s="474" t="s">
        <v>546</v>
      </c>
      <c r="AZ178" s="474" t="s">
        <v>546</v>
      </c>
      <c r="BA178" s="474" t="s">
        <v>546</v>
      </c>
      <c r="BB178" s="525">
        <v>5</v>
      </c>
      <c r="BC178" s="435">
        <v>10</v>
      </c>
      <c r="BD178" s="525">
        <v>3</v>
      </c>
      <c r="BE178" s="435">
        <v>1</v>
      </c>
      <c r="BI178" s="382" t="s">
        <v>4916</v>
      </c>
      <c r="BJ178" s="435">
        <f t="shared" si="90"/>
        <v>31</v>
      </c>
      <c r="BK178" s="463">
        <v>9</v>
      </c>
      <c r="BL178" s="463">
        <v>22</v>
      </c>
      <c r="BM178" s="463"/>
      <c r="BP178" s="382"/>
      <c r="BQ178" s="439"/>
      <c r="BR178" s="439"/>
      <c r="BS178" s="439"/>
      <c r="BT178" s="439"/>
      <c r="BU178" s="439"/>
      <c r="BV178" s="439"/>
      <c r="BW178" s="439"/>
      <c r="BX178" s="439"/>
      <c r="BY178" s="439"/>
      <c r="BZ178" s="439"/>
      <c r="CD178" s="1067"/>
      <c r="CE178" s="1067"/>
      <c r="CF178" s="1067"/>
      <c r="CG178" s="1067"/>
      <c r="CH178" s="1067"/>
      <c r="CI178" s="1067"/>
      <c r="CJ178" s="1067"/>
      <c r="CK178" s="382"/>
      <c r="CL178" s="1014"/>
      <c r="CM178" s="1014"/>
    </row>
    <row r="179" spans="47:91" ht="12.75" customHeight="1">
      <c r="AU179" s="382" t="s">
        <v>4914</v>
      </c>
      <c r="AV179" s="435">
        <f t="shared" si="91"/>
        <v>4</v>
      </c>
      <c r="AW179" s="474" t="s">
        <v>546</v>
      </c>
      <c r="AX179" s="474" t="s">
        <v>546</v>
      </c>
      <c r="AY179" s="474" t="s">
        <v>546</v>
      </c>
      <c r="AZ179" s="474" t="s">
        <v>546</v>
      </c>
      <c r="BA179" s="474" t="s">
        <v>546</v>
      </c>
      <c r="BB179" s="862">
        <v>2</v>
      </c>
      <c r="BC179" s="435">
        <v>1</v>
      </c>
      <c r="BD179" s="474" t="s">
        <v>546</v>
      </c>
      <c r="BE179" s="435">
        <v>1</v>
      </c>
      <c r="BI179" s="382"/>
      <c r="BJ179" s="463"/>
      <c r="BK179" s="463"/>
      <c r="BL179" s="463"/>
      <c r="BM179" s="463"/>
      <c r="BP179" s="382"/>
      <c r="BQ179" s="439"/>
      <c r="BR179" s="439"/>
      <c r="BS179" s="439"/>
      <c r="BT179" s="439"/>
      <c r="BU179" s="439"/>
      <c r="BV179" s="439"/>
      <c r="BW179" s="439"/>
      <c r="BX179" s="439"/>
      <c r="BY179" s="439"/>
      <c r="BZ179" s="439"/>
      <c r="CD179" s="1067"/>
      <c r="CE179" s="1067"/>
      <c r="CF179" s="1067"/>
      <c r="CG179" s="1067"/>
      <c r="CH179" s="1067"/>
      <c r="CI179" s="1067"/>
      <c r="CJ179" s="1067"/>
      <c r="CK179" s="382"/>
      <c r="CL179" s="1014"/>
      <c r="CM179" s="1014"/>
    </row>
    <row r="180" spans="47:91">
      <c r="AU180" s="381" t="s">
        <v>4916</v>
      </c>
      <c r="AV180" s="556">
        <f t="shared" si="91"/>
        <v>1</v>
      </c>
      <c r="AW180" s="1073" t="s">
        <v>546</v>
      </c>
      <c r="AX180" s="556">
        <v>1</v>
      </c>
      <c r="AY180" s="1073" t="s">
        <v>546</v>
      </c>
      <c r="AZ180" s="1073" t="s">
        <v>546</v>
      </c>
      <c r="BA180" s="1073" t="s">
        <v>546</v>
      </c>
      <c r="BB180" s="1073" t="s">
        <v>546</v>
      </c>
      <c r="BC180" s="1073" t="s">
        <v>546</v>
      </c>
      <c r="BD180" s="1073" t="s">
        <v>546</v>
      </c>
      <c r="BE180" s="1073" t="s">
        <v>546</v>
      </c>
      <c r="BI180" s="382" t="s">
        <v>4969</v>
      </c>
      <c r="BJ180" s="463">
        <f>SUM(BK180:BL180)</f>
        <v>930</v>
      </c>
      <c r="BK180" s="463">
        <f>SUM(BK181:BK192)</f>
        <v>371</v>
      </c>
      <c r="BL180" s="463">
        <f>SUM(BL181:BL192)</f>
        <v>559</v>
      </c>
      <c r="BM180" s="463"/>
      <c r="BP180" s="1066"/>
      <c r="BQ180" s="463"/>
      <c r="BR180" s="463"/>
      <c r="BS180" s="463"/>
      <c r="BT180" s="463"/>
      <c r="BU180" s="463"/>
      <c r="BV180" s="463"/>
      <c r="BW180" s="463"/>
      <c r="BX180" s="463"/>
      <c r="BY180" s="463"/>
      <c r="BZ180" s="463"/>
      <c r="CD180" s="1067"/>
      <c r="CE180" s="1067"/>
      <c r="CF180" s="1067"/>
      <c r="CG180" s="1067"/>
      <c r="CH180" s="1067"/>
      <c r="CI180" s="1067"/>
      <c r="CJ180" s="1067"/>
      <c r="CK180" s="382"/>
      <c r="CL180" s="1014"/>
      <c r="CM180" s="1014"/>
    </row>
    <row r="181" spans="47:91">
      <c r="AU181" s="382" t="s">
        <v>4932</v>
      </c>
      <c r="BI181" s="382" t="s">
        <v>4855</v>
      </c>
      <c r="BJ181" s="474" t="s">
        <v>546</v>
      </c>
      <c r="BK181" s="474" t="s">
        <v>546</v>
      </c>
      <c r="BL181" s="474" t="s">
        <v>546</v>
      </c>
      <c r="BM181" s="463"/>
      <c r="BP181" s="382"/>
      <c r="BQ181" s="439"/>
      <c r="BR181" s="439"/>
      <c r="BS181" s="439"/>
      <c r="BT181" s="439"/>
      <c r="BU181" s="439"/>
      <c r="BV181" s="439"/>
      <c r="BW181" s="439"/>
      <c r="BX181" s="439"/>
      <c r="BY181" s="439"/>
      <c r="BZ181" s="439"/>
      <c r="CD181" s="1067"/>
      <c r="CE181" s="1067"/>
      <c r="CF181" s="1067"/>
      <c r="CG181" s="1067"/>
      <c r="CH181" s="1067"/>
      <c r="CI181" s="1067"/>
      <c r="CJ181" s="1067"/>
      <c r="CK181" s="382"/>
      <c r="CL181" s="1014"/>
      <c r="CM181" s="1014"/>
    </row>
    <row r="182" spans="47:91">
      <c r="BI182" s="382" t="s">
        <v>4861</v>
      </c>
      <c r="BJ182" s="474" t="s">
        <v>546</v>
      </c>
      <c r="BK182" s="474" t="s">
        <v>546</v>
      </c>
      <c r="BL182" s="474" t="s">
        <v>546</v>
      </c>
      <c r="BM182" s="463"/>
      <c r="BP182" s="382"/>
      <c r="BQ182" s="439"/>
      <c r="BR182" s="439"/>
      <c r="BS182" s="439"/>
      <c r="BT182" s="439"/>
      <c r="BU182" s="439"/>
      <c r="BV182" s="439"/>
      <c r="BW182" s="439"/>
      <c r="BX182" s="439"/>
      <c r="BY182" s="439"/>
      <c r="BZ182" s="439"/>
      <c r="CD182" s="1067"/>
      <c r="CE182" s="1067"/>
      <c r="CF182" s="1067"/>
      <c r="CG182" s="1067"/>
      <c r="CH182" s="1067"/>
      <c r="CI182" s="1067"/>
      <c r="CJ182" s="1067"/>
      <c r="CK182" s="382"/>
      <c r="CL182" s="1014"/>
      <c r="CM182" s="1014"/>
    </row>
    <row r="183" spans="47:91">
      <c r="BI183" s="382" t="s">
        <v>4867</v>
      </c>
      <c r="BJ183" s="474" t="s">
        <v>546</v>
      </c>
      <c r="BK183" s="474" t="s">
        <v>546</v>
      </c>
      <c r="BL183" s="474" t="s">
        <v>546</v>
      </c>
      <c r="BM183" s="463"/>
      <c r="BP183" s="382"/>
      <c r="BQ183" s="463"/>
      <c r="BR183" s="439"/>
      <c r="BS183" s="439"/>
      <c r="BT183" s="439"/>
      <c r="BU183" s="435"/>
      <c r="BV183" s="439"/>
      <c r="BW183" s="439"/>
      <c r="BX183" s="439"/>
      <c r="BY183" s="435"/>
      <c r="BZ183" s="439"/>
      <c r="CD183" s="1067"/>
      <c r="CE183" s="1067"/>
      <c r="CF183" s="1067"/>
      <c r="CG183" s="1067"/>
      <c r="CH183" s="1067"/>
      <c r="CI183" s="1067"/>
      <c r="CJ183" s="1067"/>
      <c r="CK183" s="382"/>
      <c r="CL183" s="1014"/>
      <c r="CM183" s="1014"/>
    </row>
    <row r="184" spans="47:91">
      <c r="BI184" s="382" t="s">
        <v>4880</v>
      </c>
      <c r="BJ184" s="474" t="s">
        <v>546</v>
      </c>
      <c r="BK184" s="474" t="s">
        <v>546</v>
      </c>
      <c r="BL184" s="474" t="s">
        <v>546</v>
      </c>
      <c r="BM184" s="463"/>
      <c r="BP184" s="382"/>
      <c r="BQ184" s="463"/>
      <c r="BR184" s="439"/>
      <c r="BS184" s="439"/>
      <c r="BT184" s="439"/>
      <c r="BU184" s="439"/>
      <c r="BV184" s="439"/>
      <c r="BW184" s="439"/>
      <c r="BX184" s="439"/>
      <c r="BY184" s="439"/>
      <c r="BZ184" s="439"/>
      <c r="CD184" s="1067"/>
      <c r="CE184" s="1067"/>
      <c r="CF184" s="1067"/>
      <c r="CG184" s="1067"/>
      <c r="CH184" s="1067"/>
      <c r="CI184" s="1067"/>
      <c r="CJ184" s="1067"/>
      <c r="CK184" s="382"/>
      <c r="CL184" s="1014"/>
      <c r="CM184" s="1014"/>
    </row>
    <row r="185" spans="47:91">
      <c r="AU185" s="382" t="s">
        <v>5010</v>
      </c>
      <c r="AV185" s="382"/>
      <c r="AW185" s="382"/>
      <c r="AX185" s="382"/>
      <c r="AY185" s="382"/>
      <c r="AZ185" s="382"/>
      <c r="BA185" s="382"/>
      <c r="BB185" s="382"/>
      <c r="BC185" s="382"/>
      <c r="BD185" s="382"/>
      <c r="BE185" s="870"/>
      <c r="BI185" s="382" t="s">
        <v>4892</v>
      </c>
      <c r="BJ185" s="474" t="s">
        <v>546</v>
      </c>
      <c r="BK185" s="474" t="s">
        <v>546</v>
      </c>
      <c r="BL185" s="474" t="s">
        <v>546</v>
      </c>
      <c r="BM185" s="463"/>
      <c r="BP185" s="382"/>
      <c r="BQ185" s="463"/>
      <c r="BR185" s="439"/>
      <c r="BS185" s="439"/>
      <c r="BT185" s="439"/>
      <c r="BU185" s="439"/>
      <c r="BV185" s="439"/>
      <c r="BW185" s="439"/>
      <c r="BX185" s="439"/>
      <c r="BY185" s="439"/>
      <c r="BZ185" s="439"/>
      <c r="CD185" s="1067"/>
      <c r="CE185" s="1067"/>
      <c r="CF185" s="1067"/>
      <c r="CG185" s="1067"/>
      <c r="CH185" s="1067"/>
      <c r="CI185" s="1067"/>
      <c r="CJ185" s="1067"/>
      <c r="CK185" s="382"/>
      <c r="CL185" s="1014"/>
      <c r="CM185" s="1014"/>
    </row>
    <row r="186" spans="47:91">
      <c r="AU186" s="597"/>
      <c r="AV186" s="404" t="s">
        <v>129</v>
      </c>
      <c r="AW186" s="2098" t="s">
        <v>4829</v>
      </c>
      <c r="AX186" s="2098"/>
      <c r="AY186" s="2098"/>
      <c r="AZ186" s="2098"/>
      <c r="BA186" s="2098"/>
      <c r="BB186" s="2098"/>
      <c r="BC186" s="2098"/>
      <c r="BD186" s="2098"/>
      <c r="BE186" s="2078"/>
      <c r="BI186" s="382" t="s">
        <v>4898</v>
      </c>
      <c r="BJ186" s="474" t="s">
        <v>546</v>
      </c>
      <c r="BK186" s="474" t="s">
        <v>546</v>
      </c>
      <c r="BL186" s="474" t="s">
        <v>546</v>
      </c>
      <c r="BM186" s="463"/>
      <c r="BP186" s="382"/>
      <c r="BQ186" s="463"/>
      <c r="BR186" s="439"/>
      <c r="BS186" s="439"/>
      <c r="BT186" s="439"/>
      <c r="BU186" s="439"/>
      <c r="BV186" s="439"/>
      <c r="BW186" s="439"/>
      <c r="BX186" s="439"/>
      <c r="BY186" s="439"/>
      <c r="BZ186" s="439"/>
      <c r="CD186" s="1067"/>
      <c r="CE186" s="1067"/>
      <c r="CF186" s="1067"/>
      <c r="CG186" s="1067"/>
      <c r="CH186" s="1067"/>
      <c r="CI186" s="1067"/>
      <c r="CJ186" s="1067"/>
      <c r="CK186" s="382"/>
      <c r="CL186" s="1014"/>
      <c r="CM186" s="1014"/>
    </row>
    <row r="187" spans="47:91">
      <c r="AU187" s="610" t="s">
        <v>2449</v>
      </c>
      <c r="AV187" s="441" t="s">
        <v>4832</v>
      </c>
      <c r="AW187" s="642" t="s">
        <v>4833</v>
      </c>
      <c r="AX187" s="1054" t="s">
        <v>4834</v>
      </c>
      <c r="AY187" s="1054" t="s">
        <v>4835</v>
      </c>
      <c r="AZ187" s="642" t="s">
        <v>4836</v>
      </c>
      <c r="BA187" s="642" t="s">
        <v>2452</v>
      </c>
      <c r="BB187" s="642" t="s">
        <v>2453</v>
      </c>
      <c r="BC187" s="642" t="s">
        <v>2454</v>
      </c>
      <c r="BD187" s="642" t="s">
        <v>2455</v>
      </c>
      <c r="BE187" s="664" t="s">
        <v>4837</v>
      </c>
      <c r="BI187" s="382" t="s">
        <v>4904</v>
      </c>
      <c r="BJ187" s="435">
        <f t="shared" ref="BJ187:BJ192" si="92">SUM(BK187:BL187)</f>
        <v>95</v>
      </c>
      <c r="BK187" s="463">
        <v>45</v>
      </c>
      <c r="BL187" s="463">
        <v>50</v>
      </c>
      <c r="BM187" s="463"/>
      <c r="BP187" s="382"/>
      <c r="BQ187" s="463"/>
      <c r="BR187" s="439"/>
      <c r="BS187" s="439"/>
      <c r="BT187" s="439"/>
      <c r="BU187" s="439"/>
      <c r="BV187" s="439"/>
      <c r="BW187" s="439"/>
      <c r="BX187" s="439"/>
      <c r="BY187" s="439"/>
      <c r="BZ187" s="439"/>
      <c r="CD187" s="1067"/>
      <c r="CE187" s="1067"/>
      <c r="CF187" s="1067"/>
      <c r="CG187" s="1067"/>
      <c r="CH187" s="1067"/>
      <c r="CI187" s="1067"/>
      <c r="CJ187" s="1067"/>
      <c r="CK187" s="382"/>
      <c r="CL187" s="1014"/>
      <c r="CM187" s="1014"/>
    </row>
    <row r="188" spans="47:91">
      <c r="AU188" s="382" t="s">
        <v>4852</v>
      </c>
      <c r="AV188" s="525">
        <f>SUM(AV189:AV200)</f>
        <v>2906</v>
      </c>
      <c r="AW188" s="525">
        <f>SUM(AW189:AW200)</f>
        <v>21</v>
      </c>
      <c r="AX188" s="525">
        <f t="shared" ref="AX188:BC188" si="93">SUM(AX189:AX200)</f>
        <v>996</v>
      </c>
      <c r="AY188" s="525">
        <f t="shared" si="93"/>
        <v>591</v>
      </c>
      <c r="AZ188" s="525">
        <f t="shared" si="93"/>
        <v>470</v>
      </c>
      <c r="BA188" s="525">
        <f t="shared" si="93"/>
        <v>412</v>
      </c>
      <c r="BB188" s="525">
        <f t="shared" si="93"/>
        <v>309</v>
      </c>
      <c r="BC188" s="525">
        <f t="shared" si="93"/>
        <v>85</v>
      </c>
      <c r="BD188" s="525">
        <f>SUM(BD189:BD200)</f>
        <v>22</v>
      </c>
      <c r="BE188" s="525">
        <f>SUM(BE189:BE200)</f>
        <v>0</v>
      </c>
      <c r="BI188" s="382" t="s">
        <v>4907</v>
      </c>
      <c r="BJ188" s="435">
        <f t="shared" si="92"/>
        <v>263</v>
      </c>
      <c r="BK188" s="463">
        <v>102</v>
      </c>
      <c r="BL188" s="463">
        <v>161</v>
      </c>
      <c r="BM188" s="463"/>
      <c r="BP188" s="382"/>
      <c r="BQ188" s="463"/>
      <c r="BR188" s="439"/>
      <c r="BS188" s="439"/>
      <c r="BT188" s="439"/>
      <c r="BU188" s="439"/>
      <c r="BV188" s="439"/>
      <c r="BW188" s="439"/>
      <c r="BX188" s="439"/>
      <c r="BY188" s="439"/>
      <c r="BZ188" s="439"/>
      <c r="CD188" s="1067"/>
      <c r="CE188" s="1067"/>
      <c r="CF188" s="1067"/>
      <c r="CG188" s="1067"/>
      <c r="CH188" s="1067"/>
      <c r="CI188" s="1067"/>
      <c r="CJ188" s="1067"/>
      <c r="CK188" s="382"/>
      <c r="CL188" s="1014"/>
      <c r="CM188" s="1014"/>
    </row>
    <row r="189" spans="47:91">
      <c r="AU189" s="382" t="s">
        <v>4855</v>
      </c>
      <c r="AV189" s="474" t="s">
        <v>546</v>
      </c>
      <c r="AW189" s="474" t="s">
        <v>546</v>
      </c>
      <c r="AX189" s="474" t="s">
        <v>546</v>
      </c>
      <c r="AY189" s="474" t="s">
        <v>546</v>
      </c>
      <c r="AZ189" s="474" t="s">
        <v>546</v>
      </c>
      <c r="BA189" s="474" t="s">
        <v>546</v>
      </c>
      <c r="BB189" s="474" t="s">
        <v>546</v>
      </c>
      <c r="BC189" s="474" t="s">
        <v>546</v>
      </c>
      <c r="BD189" s="474" t="s">
        <v>546</v>
      </c>
      <c r="BE189" s="474" t="s">
        <v>546</v>
      </c>
      <c r="BI189" s="382" t="s">
        <v>4909</v>
      </c>
      <c r="BJ189" s="435">
        <f t="shared" si="92"/>
        <v>284</v>
      </c>
      <c r="BK189" s="463">
        <v>105</v>
      </c>
      <c r="BL189" s="463">
        <v>179</v>
      </c>
      <c r="BM189" s="463"/>
      <c r="BP189" s="382"/>
      <c r="BQ189" s="463"/>
      <c r="BR189" s="439"/>
      <c r="BS189" s="439"/>
      <c r="BT189" s="439"/>
      <c r="BU189" s="439"/>
      <c r="BV189" s="439"/>
      <c r="BW189" s="439"/>
      <c r="BX189" s="439"/>
      <c r="BY189" s="439"/>
      <c r="BZ189" s="439"/>
      <c r="CD189" s="1067"/>
      <c r="CE189" s="1067"/>
      <c r="CF189" s="1067"/>
      <c r="CG189" s="1067"/>
      <c r="CH189" s="1067"/>
      <c r="CI189" s="1067"/>
      <c r="CJ189" s="1067"/>
      <c r="CK189" s="382"/>
      <c r="CL189" s="1014"/>
      <c r="CM189" s="1014"/>
    </row>
    <row r="190" spans="47:91">
      <c r="AU190" s="382" t="s">
        <v>4861</v>
      </c>
      <c r="AV190" s="525">
        <f>SUM(AW190:BE190)</f>
        <v>5</v>
      </c>
      <c r="AW190" s="538" t="s">
        <v>546</v>
      </c>
      <c r="AX190" s="862">
        <v>5</v>
      </c>
      <c r="AY190" s="474" t="s">
        <v>546</v>
      </c>
      <c r="AZ190" s="474" t="s">
        <v>546</v>
      </c>
      <c r="BA190" s="474" t="s">
        <v>546</v>
      </c>
      <c r="BB190" s="474" t="s">
        <v>546</v>
      </c>
      <c r="BC190" s="474" t="s">
        <v>546</v>
      </c>
      <c r="BD190" s="474" t="s">
        <v>546</v>
      </c>
      <c r="BE190" s="474" t="s">
        <v>546</v>
      </c>
      <c r="BI190" s="382" t="s">
        <v>4911</v>
      </c>
      <c r="BJ190" s="435">
        <f t="shared" si="92"/>
        <v>183</v>
      </c>
      <c r="BK190" s="463">
        <v>85</v>
      </c>
      <c r="BL190" s="463">
        <v>98</v>
      </c>
      <c r="BM190" s="463"/>
      <c r="BP190" s="382"/>
      <c r="BQ190" s="463"/>
      <c r="BR190" s="439"/>
      <c r="BS190" s="439"/>
      <c r="BT190" s="439"/>
      <c r="BU190" s="439"/>
      <c r="BV190" s="439"/>
      <c r="BW190" s="439"/>
      <c r="BX190" s="439"/>
      <c r="BY190" s="439"/>
      <c r="BZ190" s="439"/>
      <c r="CD190" s="1067"/>
      <c r="CE190" s="1067"/>
      <c r="CF190" s="1067"/>
      <c r="CG190" s="1067"/>
      <c r="CH190" s="1067"/>
      <c r="CI190" s="1067"/>
      <c r="CJ190" s="1067"/>
      <c r="CK190" s="382"/>
      <c r="CL190" s="1014"/>
      <c r="CM190" s="1014"/>
    </row>
    <row r="191" spans="47:91">
      <c r="AU191" s="382" t="s">
        <v>4867</v>
      </c>
      <c r="AV191" s="525">
        <f t="shared" ref="AV191:AV200" si="94">SUM(AW191:BE191)</f>
        <v>86</v>
      </c>
      <c r="AW191" s="862">
        <v>3</v>
      </c>
      <c r="AX191" s="862">
        <v>82</v>
      </c>
      <c r="AY191" s="538" t="s">
        <v>546</v>
      </c>
      <c r="AZ191" s="435">
        <v>1</v>
      </c>
      <c r="BA191" s="474" t="s">
        <v>546</v>
      </c>
      <c r="BB191" s="474" t="s">
        <v>546</v>
      </c>
      <c r="BC191" s="474" t="s">
        <v>546</v>
      </c>
      <c r="BD191" s="474" t="s">
        <v>546</v>
      </c>
      <c r="BE191" s="474" t="s">
        <v>546</v>
      </c>
      <c r="BI191" s="382" t="s">
        <v>4914</v>
      </c>
      <c r="BJ191" s="435">
        <f t="shared" si="92"/>
        <v>75</v>
      </c>
      <c r="BK191" s="463">
        <v>26</v>
      </c>
      <c r="BL191" s="463">
        <v>49</v>
      </c>
      <c r="BM191" s="463"/>
      <c r="BP191" s="382"/>
      <c r="BQ191" s="463"/>
      <c r="BR191" s="439"/>
      <c r="BS191" s="439"/>
      <c r="BT191" s="439"/>
      <c r="BU191" s="439"/>
      <c r="BV191" s="439"/>
      <c r="BW191" s="439"/>
      <c r="BX191" s="439"/>
      <c r="BY191" s="439"/>
      <c r="BZ191" s="439"/>
      <c r="CD191" s="1067"/>
      <c r="CE191" s="1067"/>
      <c r="CF191" s="1067"/>
      <c r="CG191" s="1067"/>
      <c r="CH191" s="1067"/>
      <c r="CI191" s="1067"/>
      <c r="CJ191" s="1067"/>
      <c r="CK191" s="382"/>
      <c r="CL191" s="1014"/>
      <c r="CM191" s="1014"/>
    </row>
    <row r="192" spans="47:91">
      <c r="AU192" s="382" t="s">
        <v>4880</v>
      </c>
      <c r="AV192" s="525">
        <f t="shared" si="94"/>
        <v>360</v>
      </c>
      <c r="AW192" s="862">
        <v>7</v>
      </c>
      <c r="AX192" s="862">
        <v>287</v>
      </c>
      <c r="AY192" s="862">
        <v>62</v>
      </c>
      <c r="AZ192" s="435">
        <v>4</v>
      </c>
      <c r="BA192" s="474" t="s">
        <v>546</v>
      </c>
      <c r="BB192" s="474" t="s">
        <v>546</v>
      </c>
      <c r="BC192" s="474" t="s">
        <v>546</v>
      </c>
      <c r="BD192" s="474" t="s">
        <v>546</v>
      </c>
      <c r="BE192" s="474" t="s">
        <v>546</v>
      </c>
      <c r="BI192" s="382" t="s">
        <v>4916</v>
      </c>
      <c r="BJ192" s="435">
        <f t="shared" si="92"/>
        <v>30</v>
      </c>
      <c r="BK192" s="463">
        <v>8</v>
      </c>
      <c r="BL192" s="435">
        <v>22</v>
      </c>
      <c r="BM192" s="463"/>
      <c r="BP192" s="382"/>
      <c r="BQ192" s="463"/>
      <c r="BR192" s="439"/>
      <c r="BS192" s="439"/>
      <c r="BT192" s="439"/>
      <c r="BU192" s="439"/>
      <c r="BV192" s="439"/>
      <c r="BW192" s="439"/>
      <c r="BX192" s="439"/>
      <c r="BY192" s="439"/>
      <c r="BZ192" s="439"/>
    </row>
    <row r="193" spans="47:91">
      <c r="AU193" s="382" t="s">
        <v>4892</v>
      </c>
      <c r="AV193" s="525">
        <f t="shared" si="94"/>
        <v>327</v>
      </c>
      <c r="AW193" s="862">
        <v>2</v>
      </c>
      <c r="AX193" s="862">
        <v>171</v>
      </c>
      <c r="AY193" s="862">
        <v>113</v>
      </c>
      <c r="AZ193" s="862">
        <v>41</v>
      </c>
      <c r="BA193" s="474" t="s">
        <v>546</v>
      </c>
      <c r="BB193" s="474" t="s">
        <v>546</v>
      </c>
      <c r="BC193" s="474" t="s">
        <v>546</v>
      </c>
      <c r="BD193" s="474" t="s">
        <v>546</v>
      </c>
      <c r="BE193" s="474" t="s">
        <v>546</v>
      </c>
      <c r="BJ193" s="525"/>
      <c r="BK193" s="525"/>
      <c r="BL193" s="525"/>
      <c r="BM193" s="463"/>
      <c r="BP193" s="382"/>
      <c r="BQ193" s="463"/>
      <c r="BR193" s="382"/>
      <c r="BS193" s="382"/>
      <c r="BT193" s="382"/>
      <c r="BU193" s="382"/>
      <c r="BV193" s="382"/>
      <c r="BW193" s="382"/>
      <c r="BX193" s="382"/>
      <c r="BY193" s="382"/>
      <c r="BZ193" s="382"/>
      <c r="CD193" s="382"/>
      <c r="CE193" s="382"/>
      <c r="CF193" s="382"/>
      <c r="CG193" s="382"/>
      <c r="CH193" s="382"/>
      <c r="CI193" s="382"/>
      <c r="CJ193" s="382"/>
      <c r="CK193" s="463"/>
      <c r="CL193" s="463"/>
      <c r="CM193" s="463"/>
    </row>
    <row r="194" spans="47:91">
      <c r="AU194" s="382" t="s">
        <v>4898</v>
      </c>
      <c r="AV194" s="525">
        <f t="shared" si="94"/>
        <v>389</v>
      </c>
      <c r="AW194" s="525">
        <v>3</v>
      </c>
      <c r="AX194" s="525">
        <v>133</v>
      </c>
      <c r="AY194" s="525">
        <v>103</v>
      </c>
      <c r="AZ194" s="525">
        <v>100</v>
      </c>
      <c r="BA194" s="525">
        <v>50</v>
      </c>
      <c r="BB194" s="474" t="s">
        <v>546</v>
      </c>
      <c r="BC194" s="474" t="s">
        <v>546</v>
      </c>
      <c r="BD194" s="474" t="s">
        <v>546</v>
      </c>
      <c r="BE194" s="474" t="s">
        <v>546</v>
      </c>
      <c r="BI194" s="382" t="s">
        <v>4993</v>
      </c>
      <c r="BJ194" s="463">
        <f>SUM(BK194:BL194)</f>
        <v>140</v>
      </c>
      <c r="BK194" s="463">
        <f>SUM(BK195:BK206)</f>
        <v>125</v>
      </c>
      <c r="BL194" s="463">
        <f>SUM(BL195:BL206)</f>
        <v>15</v>
      </c>
      <c r="BM194" s="463"/>
      <c r="BP194" s="1066"/>
      <c r="BQ194" s="463"/>
      <c r="BR194" s="439"/>
      <c r="BS194" s="439"/>
      <c r="BT194" s="463"/>
      <c r="BU194" s="463"/>
      <c r="BV194" s="463"/>
      <c r="BW194" s="463"/>
      <c r="BX194" s="463"/>
      <c r="BY194" s="463"/>
      <c r="BZ194" s="463"/>
      <c r="CD194" s="382"/>
      <c r="CE194" s="382"/>
      <c r="CF194" s="382"/>
      <c r="CG194" s="382"/>
      <c r="CH194" s="382"/>
      <c r="CI194" s="382"/>
      <c r="CJ194" s="382"/>
      <c r="CK194" s="382"/>
      <c r="CM194" s="599"/>
    </row>
    <row r="195" spans="47:91">
      <c r="AU195" s="382" t="s">
        <v>4904</v>
      </c>
      <c r="AV195" s="525">
        <f t="shared" si="94"/>
        <v>481</v>
      </c>
      <c r="AW195" s="525">
        <v>3</v>
      </c>
      <c r="AX195" s="525">
        <v>115</v>
      </c>
      <c r="AY195" s="525">
        <v>94</v>
      </c>
      <c r="AZ195" s="525">
        <v>74</v>
      </c>
      <c r="BA195" s="525">
        <v>127</v>
      </c>
      <c r="BB195" s="525">
        <v>68</v>
      </c>
      <c r="BC195" s="474" t="s">
        <v>546</v>
      </c>
      <c r="BD195" s="474" t="s">
        <v>546</v>
      </c>
      <c r="BE195" s="474" t="s">
        <v>546</v>
      </c>
      <c r="BI195" s="382" t="s">
        <v>4855</v>
      </c>
      <c r="BJ195" s="474" t="s">
        <v>546</v>
      </c>
      <c r="BK195" s="474" t="s">
        <v>546</v>
      </c>
      <c r="BL195" s="474" t="s">
        <v>546</v>
      </c>
      <c r="BM195" s="463"/>
      <c r="BP195" s="382"/>
      <c r="BQ195" s="439"/>
      <c r="BR195" s="439"/>
      <c r="BS195" s="439"/>
      <c r="BT195" s="439"/>
      <c r="BU195" s="439"/>
      <c r="BV195" s="439"/>
      <c r="BW195" s="439"/>
      <c r="BX195" s="439"/>
      <c r="BY195" s="439"/>
      <c r="BZ195" s="439"/>
      <c r="CD195" s="1067"/>
      <c r="CE195" s="1067"/>
      <c r="CF195" s="1067"/>
      <c r="CG195" s="1067"/>
      <c r="CH195" s="1067"/>
      <c r="CI195" s="1067"/>
      <c r="CJ195" s="1067"/>
      <c r="CK195" s="382"/>
      <c r="CL195" s="1014"/>
      <c r="CM195" s="1014"/>
    </row>
    <row r="196" spans="47:91">
      <c r="AU196" s="382" t="s">
        <v>4907</v>
      </c>
      <c r="AV196" s="525">
        <f t="shared" si="94"/>
        <v>487</v>
      </c>
      <c r="AW196" s="525">
        <v>2</v>
      </c>
      <c r="AX196" s="525">
        <v>101</v>
      </c>
      <c r="AY196" s="525">
        <v>74</v>
      </c>
      <c r="AZ196" s="525">
        <v>94</v>
      </c>
      <c r="BA196" s="525">
        <v>81</v>
      </c>
      <c r="BB196" s="525">
        <v>108</v>
      </c>
      <c r="BC196" s="525">
        <v>24</v>
      </c>
      <c r="BD196" s="435">
        <v>3</v>
      </c>
      <c r="BE196" s="474" t="s">
        <v>546</v>
      </c>
      <c r="BI196" s="382" t="s">
        <v>4861</v>
      </c>
      <c r="BJ196" s="474" t="s">
        <v>546</v>
      </c>
      <c r="BK196" s="474" t="s">
        <v>546</v>
      </c>
      <c r="BL196" s="474" t="s">
        <v>546</v>
      </c>
      <c r="BM196" s="463"/>
      <c r="BP196" s="382"/>
      <c r="BQ196" s="439"/>
      <c r="BR196" s="439"/>
      <c r="BS196" s="439"/>
      <c r="BT196" s="439"/>
      <c r="BU196" s="439"/>
      <c r="BV196" s="439"/>
      <c r="BW196" s="439"/>
      <c r="BX196" s="439"/>
      <c r="BY196" s="439"/>
      <c r="BZ196" s="439"/>
      <c r="CD196" s="1067"/>
      <c r="CE196" s="1067"/>
      <c r="CF196" s="1067"/>
      <c r="CG196" s="1067"/>
      <c r="CH196" s="1067"/>
      <c r="CI196" s="1067"/>
      <c r="CJ196" s="1067"/>
      <c r="CK196" s="382"/>
      <c r="CL196" s="1014"/>
      <c r="CM196" s="1014"/>
    </row>
    <row r="197" spans="47:91">
      <c r="AU197" s="382" t="s">
        <v>4909</v>
      </c>
      <c r="AV197" s="525">
        <f t="shared" si="94"/>
        <v>385</v>
      </c>
      <c r="AW197" s="525">
        <v>1</v>
      </c>
      <c r="AX197" s="525">
        <v>64</v>
      </c>
      <c r="AY197" s="525">
        <v>80</v>
      </c>
      <c r="AZ197" s="525">
        <v>76</v>
      </c>
      <c r="BA197" s="525">
        <v>61</v>
      </c>
      <c r="BB197" s="525">
        <v>63</v>
      </c>
      <c r="BC197" s="525">
        <v>30</v>
      </c>
      <c r="BD197" s="862">
        <v>10</v>
      </c>
      <c r="BE197" s="474" t="s">
        <v>546</v>
      </c>
      <c r="BI197" s="382" t="s">
        <v>4867</v>
      </c>
      <c r="BJ197" s="474" t="s">
        <v>546</v>
      </c>
      <c r="BK197" s="474" t="s">
        <v>546</v>
      </c>
      <c r="BL197" s="474" t="s">
        <v>546</v>
      </c>
      <c r="BM197" s="525"/>
      <c r="BP197" s="382"/>
      <c r="BQ197" s="382"/>
      <c r="BR197" s="439"/>
      <c r="BS197" s="439"/>
      <c r="BT197" s="439"/>
      <c r="BU197" s="439"/>
      <c r="BV197" s="439"/>
      <c r="BW197" s="439"/>
      <c r="BX197" s="439"/>
      <c r="BY197" s="439"/>
      <c r="BZ197" s="439"/>
      <c r="CD197" s="1067"/>
      <c r="CE197" s="1067"/>
      <c r="CF197" s="1067"/>
      <c r="CG197" s="1067"/>
      <c r="CH197" s="1067"/>
      <c r="CI197" s="1067"/>
      <c r="CJ197" s="1067"/>
      <c r="CK197" s="382"/>
      <c r="CL197" s="1014"/>
      <c r="CM197" s="1014"/>
    </row>
    <row r="198" spans="47:91">
      <c r="AU198" s="382" t="s">
        <v>4911</v>
      </c>
      <c r="AV198" s="525">
        <f t="shared" si="94"/>
        <v>232</v>
      </c>
      <c r="AW198" s="538" t="s">
        <v>546</v>
      </c>
      <c r="AX198" s="525">
        <v>21</v>
      </c>
      <c r="AY198" s="525">
        <v>44</v>
      </c>
      <c r="AZ198" s="525">
        <v>48</v>
      </c>
      <c r="BA198" s="525">
        <v>52</v>
      </c>
      <c r="BB198" s="525">
        <v>43</v>
      </c>
      <c r="BC198" s="525">
        <v>20</v>
      </c>
      <c r="BD198" s="862">
        <v>4</v>
      </c>
      <c r="BE198" s="474" t="s">
        <v>546</v>
      </c>
      <c r="BI198" s="382" t="s">
        <v>4880</v>
      </c>
      <c r="BJ198" s="474" t="s">
        <v>546</v>
      </c>
      <c r="BK198" s="474" t="s">
        <v>546</v>
      </c>
      <c r="BL198" s="474" t="s">
        <v>546</v>
      </c>
      <c r="BM198" s="463"/>
      <c r="BP198" s="382"/>
      <c r="BQ198" s="382"/>
      <c r="BR198" s="439"/>
      <c r="BS198" s="439"/>
      <c r="BT198" s="439"/>
      <c r="BU198" s="439"/>
      <c r="BV198" s="439"/>
      <c r="BW198" s="439"/>
      <c r="BX198" s="439"/>
      <c r="BY198" s="439"/>
      <c r="BZ198" s="439"/>
      <c r="CD198" s="1067"/>
      <c r="CE198" s="1067"/>
      <c r="CF198" s="1067"/>
      <c r="CG198" s="1067"/>
      <c r="CH198" s="1067"/>
      <c r="CI198" s="1067"/>
      <c r="CJ198" s="1067"/>
      <c r="CK198" s="382"/>
      <c r="CL198" s="1014"/>
      <c r="CM198" s="1014"/>
    </row>
    <row r="199" spans="47:91">
      <c r="AU199" s="382" t="s">
        <v>4914</v>
      </c>
      <c r="AV199" s="525">
        <f t="shared" si="94"/>
        <v>104</v>
      </c>
      <c r="AW199" s="538" t="s">
        <v>546</v>
      </c>
      <c r="AX199" s="525">
        <v>16</v>
      </c>
      <c r="AY199" s="525">
        <v>14</v>
      </c>
      <c r="AZ199" s="525">
        <v>22</v>
      </c>
      <c r="BA199" s="525">
        <v>20</v>
      </c>
      <c r="BB199" s="525">
        <v>21</v>
      </c>
      <c r="BC199" s="525">
        <v>9</v>
      </c>
      <c r="BD199" s="435">
        <v>2</v>
      </c>
      <c r="BE199" s="474" t="s">
        <v>546</v>
      </c>
      <c r="BI199" s="382" t="s">
        <v>4892</v>
      </c>
      <c r="BJ199" s="474" t="s">
        <v>546</v>
      </c>
      <c r="BK199" s="474" t="s">
        <v>546</v>
      </c>
      <c r="BL199" s="474" t="s">
        <v>546</v>
      </c>
      <c r="BM199" s="463"/>
      <c r="BP199" s="382"/>
      <c r="BQ199" s="382"/>
      <c r="BR199" s="439"/>
      <c r="BS199" s="439"/>
      <c r="BT199" s="439"/>
      <c r="BU199" s="439"/>
      <c r="BV199" s="439"/>
      <c r="BW199" s="439"/>
      <c r="BX199" s="439"/>
      <c r="BY199" s="439"/>
      <c r="BZ199" s="439"/>
      <c r="CD199" s="1067"/>
      <c r="CE199" s="1067"/>
      <c r="CF199" s="1067"/>
      <c r="CG199" s="1067"/>
      <c r="CH199" s="1067"/>
      <c r="CI199" s="1067"/>
      <c r="CJ199" s="1067"/>
      <c r="CK199" s="382"/>
      <c r="CL199" s="1014"/>
      <c r="CM199" s="1014"/>
    </row>
    <row r="200" spans="47:91">
      <c r="AU200" s="381" t="s">
        <v>4916</v>
      </c>
      <c r="AV200" s="633">
        <f t="shared" si="94"/>
        <v>50</v>
      </c>
      <c r="AW200" s="1073" t="s">
        <v>546</v>
      </c>
      <c r="AX200" s="866">
        <v>1</v>
      </c>
      <c r="AY200" s="866">
        <v>7</v>
      </c>
      <c r="AZ200" s="866">
        <v>10</v>
      </c>
      <c r="BA200" s="633">
        <v>21</v>
      </c>
      <c r="BB200" s="633">
        <v>6</v>
      </c>
      <c r="BC200" s="633">
        <v>2</v>
      </c>
      <c r="BD200" s="866">
        <v>3</v>
      </c>
      <c r="BE200" s="1073" t="s">
        <v>546</v>
      </c>
      <c r="BI200" s="382" t="s">
        <v>4898</v>
      </c>
      <c r="BJ200" s="474" t="s">
        <v>546</v>
      </c>
      <c r="BK200" s="474" t="s">
        <v>546</v>
      </c>
      <c r="BL200" s="474" t="s">
        <v>546</v>
      </c>
      <c r="BM200" s="463"/>
      <c r="BP200" s="382"/>
      <c r="BQ200" s="382"/>
      <c r="BR200" s="439"/>
      <c r="BS200" s="439"/>
      <c r="BT200" s="439"/>
      <c r="BU200" s="439"/>
      <c r="BV200" s="439"/>
      <c r="BW200" s="439"/>
      <c r="BX200" s="439"/>
      <c r="BY200" s="439"/>
      <c r="BZ200" s="439"/>
      <c r="CD200" s="1067"/>
      <c r="CE200" s="1067"/>
      <c r="CF200" s="1067"/>
      <c r="CG200" s="1067"/>
      <c r="CH200" s="1067"/>
      <c r="CI200" s="1067"/>
      <c r="CJ200" s="1067"/>
      <c r="CK200" s="382"/>
      <c r="CL200" s="1014"/>
      <c r="CM200" s="1014"/>
    </row>
    <row r="201" spans="47:91">
      <c r="AU201" s="382" t="s">
        <v>4932</v>
      </c>
      <c r="BH201" s="382"/>
      <c r="BI201" s="382" t="s">
        <v>4904</v>
      </c>
      <c r="BJ201" s="435">
        <f t="shared" ref="BJ201:BJ206" si="95">SUM(BK201:BL201)</f>
        <v>23</v>
      </c>
      <c r="BK201" s="463">
        <v>22</v>
      </c>
      <c r="BL201" s="463">
        <v>1</v>
      </c>
      <c r="BM201" s="463"/>
      <c r="BP201" s="382"/>
      <c r="BQ201" s="382"/>
      <c r="BR201" s="439"/>
      <c r="BS201" s="439"/>
      <c r="BT201" s="439"/>
      <c r="BU201" s="439"/>
      <c r="BV201" s="439"/>
      <c r="BW201" s="439"/>
      <c r="BX201" s="439"/>
      <c r="BY201" s="439"/>
      <c r="BZ201" s="439"/>
      <c r="CD201" s="1067"/>
      <c r="CE201" s="1067"/>
      <c r="CF201" s="1067"/>
      <c r="CG201" s="1067"/>
      <c r="CH201" s="1067"/>
      <c r="CI201" s="1067"/>
      <c r="CJ201" s="1067"/>
      <c r="CK201" s="382"/>
      <c r="CL201" s="1014"/>
      <c r="CM201" s="1014"/>
    </row>
    <row r="202" spans="47:91">
      <c r="BH202" s="382"/>
      <c r="BI202" s="382" t="s">
        <v>4907</v>
      </c>
      <c r="BJ202" s="435">
        <f t="shared" si="95"/>
        <v>52</v>
      </c>
      <c r="BK202" s="463">
        <v>46</v>
      </c>
      <c r="BL202" s="463">
        <v>6</v>
      </c>
      <c r="BM202" s="463"/>
      <c r="BP202" s="382"/>
      <c r="BQ202" s="382"/>
      <c r="BR202" s="439"/>
      <c r="BS202" s="439"/>
      <c r="BT202" s="439"/>
      <c r="BU202" s="439"/>
      <c r="BV202" s="439"/>
      <c r="BW202" s="439"/>
      <c r="BX202" s="439"/>
      <c r="BY202" s="439"/>
      <c r="BZ202" s="439"/>
      <c r="CD202" s="1067"/>
      <c r="CE202" s="1067"/>
      <c r="CF202" s="1067"/>
      <c r="CG202" s="1067"/>
      <c r="CH202" s="1067"/>
      <c r="CI202" s="1067"/>
      <c r="CJ202" s="1067"/>
      <c r="CK202" s="382"/>
      <c r="CL202" s="1014"/>
      <c r="CM202" s="1014"/>
    </row>
    <row r="203" spans="47:91">
      <c r="BH203" s="382"/>
      <c r="BI203" s="382" t="s">
        <v>4909</v>
      </c>
      <c r="BJ203" s="435">
        <f t="shared" si="95"/>
        <v>41</v>
      </c>
      <c r="BK203" s="463">
        <v>37</v>
      </c>
      <c r="BL203" s="463">
        <v>4</v>
      </c>
      <c r="BM203" s="463"/>
      <c r="BP203" s="382"/>
      <c r="BQ203" s="382"/>
      <c r="BR203" s="439"/>
      <c r="BS203" s="439"/>
      <c r="BT203" s="439"/>
      <c r="BU203" s="439"/>
      <c r="BV203" s="439"/>
      <c r="BW203" s="439"/>
      <c r="BX203" s="439"/>
      <c r="BY203" s="439"/>
      <c r="BZ203" s="439"/>
      <c r="CD203" s="1067"/>
      <c r="CE203" s="1067"/>
      <c r="CF203" s="1067"/>
      <c r="CG203" s="1067"/>
      <c r="CH203" s="1067"/>
      <c r="CI203" s="1067"/>
      <c r="CJ203" s="1067"/>
      <c r="CK203" s="382"/>
      <c r="CL203" s="1014"/>
      <c r="CM203" s="1014"/>
    </row>
    <row r="204" spans="47:91">
      <c r="BH204" s="382"/>
      <c r="BI204" s="382" t="s">
        <v>4911</v>
      </c>
      <c r="BJ204" s="435">
        <f t="shared" si="95"/>
        <v>19</v>
      </c>
      <c r="BK204" s="463">
        <v>16</v>
      </c>
      <c r="BL204" s="463">
        <v>3</v>
      </c>
      <c r="BM204" s="463"/>
      <c r="BP204" s="382"/>
      <c r="BQ204" s="382"/>
      <c r="BR204" s="439"/>
      <c r="BS204" s="439"/>
      <c r="BT204" s="439"/>
      <c r="BU204" s="439"/>
      <c r="BV204" s="439"/>
      <c r="BW204" s="439"/>
      <c r="BX204" s="439"/>
      <c r="BY204" s="439"/>
      <c r="BZ204" s="439"/>
      <c r="CD204" s="1067"/>
      <c r="CE204" s="1067"/>
      <c r="CF204" s="1067"/>
      <c r="CG204" s="1067"/>
      <c r="CH204" s="1067"/>
      <c r="CI204" s="1067"/>
      <c r="CJ204" s="1067"/>
      <c r="CK204" s="382"/>
      <c r="CL204" s="1014"/>
      <c r="CM204" s="1014"/>
    </row>
    <row r="205" spans="47:91">
      <c r="AU205" s="382" t="s">
        <v>5011</v>
      </c>
      <c r="AV205" s="382"/>
      <c r="AW205" s="382"/>
      <c r="AX205" s="382"/>
      <c r="AY205" s="382"/>
      <c r="AZ205" s="382"/>
      <c r="BA205" s="382"/>
      <c r="BB205" s="382"/>
      <c r="BC205" s="382"/>
      <c r="BD205" s="382"/>
      <c r="BE205" s="870"/>
      <c r="BH205" s="382"/>
      <c r="BI205" s="382" t="s">
        <v>4914</v>
      </c>
      <c r="BJ205" s="435">
        <f t="shared" si="95"/>
        <v>4</v>
      </c>
      <c r="BK205" s="463">
        <v>3</v>
      </c>
      <c r="BL205" s="463">
        <v>1</v>
      </c>
      <c r="BM205" s="463"/>
      <c r="BP205" s="382"/>
      <c r="BQ205" s="382"/>
      <c r="BR205" s="439"/>
      <c r="BS205" s="439"/>
      <c r="BT205" s="439"/>
      <c r="BU205" s="439"/>
      <c r="BV205" s="439"/>
      <c r="BW205" s="439"/>
      <c r="BX205" s="439"/>
      <c r="BY205" s="439"/>
      <c r="BZ205" s="439"/>
      <c r="CD205" s="1067"/>
      <c r="CE205" s="1067"/>
      <c r="CF205" s="1067"/>
      <c r="CG205" s="1067"/>
      <c r="CH205" s="1067"/>
      <c r="CI205" s="1067"/>
      <c r="CJ205" s="1067"/>
      <c r="CK205" s="382"/>
      <c r="CL205" s="1014"/>
      <c r="CM205" s="1014"/>
    </row>
    <row r="206" spans="47:91">
      <c r="AU206" s="597"/>
      <c r="AV206" s="404" t="s">
        <v>129</v>
      </c>
      <c r="AW206" s="2098" t="s">
        <v>4829</v>
      </c>
      <c r="AX206" s="2098"/>
      <c r="AY206" s="2098"/>
      <c r="AZ206" s="2098"/>
      <c r="BA206" s="2098"/>
      <c r="BB206" s="2098"/>
      <c r="BC206" s="2098"/>
      <c r="BD206" s="2098"/>
      <c r="BE206" s="2078"/>
      <c r="BH206" s="382"/>
      <c r="BI206" s="381" t="s">
        <v>4916</v>
      </c>
      <c r="BJ206" s="556">
        <f t="shared" si="95"/>
        <v>1</v>
      </c>
      <c r="BK206" s="497">
        <v>1</v>
      </c>
      <c r="BL206" s="1073" t="s">
        <v>546</v>
      </c>
      <c r="BM206" s="463"/>
      <c r="BP206" s="382"/>
      <c r="BQ206" s="382"/>
      <c r="BR206" s="439"/>
      <c r="BS206" s="439"/>
      <c r="BT206" s="439"/>
      <c r="BU206" s="439"/>
      <c r="BV206" s="439"/>
      <c r="BW206" s="439"/>
      <c r="BX206" s="439"/>
      <c r="BY206" s="439"/>
      <c r="BZ206" s="439"/>
      <c r="CD206" s="1067"/>
      <c r="CE206" s="1067"/>
      <c r="CF206" s="1067"/>
      <c r="CG206" s="1067"/>
      <c r="CH206" s="1067"/>
      <c r="CI206" s="1067"/>
      <c r="CJ206" s="1067"/>
      <c r="CK206" s="382"/>
      <c r="CL206" s="1014"/>
      <c r="CM206" s="1014"/>
    </row>
    <row r="207" spans="47:91">
      <c r="AU207" s="610" t="s">
        <v>2449</v>
      </c>
      <c r="AV207" s="441" t="s">
        <v>4832</v>
      </c>
      <c r="AW207" s="642" t="s">
        <v>4833</v>
      </c>
      <c r="AX207" s="1054" t="s">
        <v>4834</v>
      </c>
      <c r="AY207" s="1054" t="s">
        <v>4835</v>
      </c>
      <c r="AZ207" s="642" t="s">
        <v>4836</v>
      </c>
      <c r="BA207" s="642" t="s">
        <v>2452</v>
      </c>
      <c r="BB207" s="642" t="s">
        <v>2453</v>
      </c>
      <c r="BC207" s="642" t="s">
        <v>2454</v>
      </c>
      <c r="BD207" s="642" t="s">
        <v>2455</v>
      </c>
      <c r="BE207" s="664" t="s">
        <v>4837</v>
      </c>
      <c r="BH207" s="382"/>
      <c r="BI207" s="382" t="s">
        <v>4932</v>
      </c>
      <c r="BJ207" s="382"/>
      <c r="BK207" s="382"/>
      <c r="BL207" s="382"/>
      <c r="BM207" s="463"/>
      <c r="BP207" s="382"/>
      <c r="BQ207" s="382"/>
      <c r="BR207" s="382"/>
      <c r="BS207" s="382"/>
      <c r="BT207" s="382"/>
      <c r="BU207" s="382"/>
      <c r="BV207" s="382"/>
      <c r="BW207" s="382"/>
      <c r="BX207" s="382"/>
      <c r="BY207" s="382"/>
      <c r="BZ207" s="382"/>
      <c r="CD207" s="1067"/>
      <c r="CE207" s="1067"/>
      <c r="CF207" s="1067"/>
      <c r="CG207" s="1067"/>
      <c r="CH207" s="1067"/>
      <c r="CI207" s="1067"/>
      <c r="CJ207" s="1067"/>
      <c r="CK207" s="382"/>
      <c r="CL207" s="1014"/>
      <c r="CM207" s="1014"/>
    </row>
    <row r="208" spans="47:91">
      <c r="AU208" s="382" t="s">
        <v>4852</v>
      </c>
      <c r="AV208" s="525">
        <f>SUM(AV209:AV220)</f>
        <v>1226</v>
      </c>
      <c r="AW208" s="525">
        <f>SUM(AW209:AW220)</f>
        <v>22</v>
      </c>
      <c r="AX208" s="525">
        <f>SUM(AX209:AX220)</f>
        <v>24</v>
      </c>
      <c r="AY208" s="525">
        <f t="shared" ref="AY208:BD208" si="96">SUM(AY209:AY220)</f>
        <v>39</v>
      </c>
      <c r="AZ208" s="525">
        <f t="shared" si="96"/>
        <v>39</v>
      </c>
      <c r="BA208" s="525">
        <f t="shared" si="96"/>
        <v>68</v>
      </c>
      <c r="BB208" s="525">
        <f t="shared" si="96"/>
        <v>523</v>
      </c>
      <c r="BC208" s="525">
        <f t="shared" si="96"/>
        <v>409</v>
      </c>
      <c r="BD208" s="525">
        <f t="shared" si="96"/>
        <v>67</v>
      </c>
      <c r="BE208" s="525">
        <f>SUM(BE209:BE220)</f>
        <v>35</v>
      </c>
      <c r="BH208" s="382"/>
      <c r="BM208" s="463"/>
      <c r="BP208" s="382"/>
      <c r="BQ208" s="382"/>
      <c r="BR208" s="382"/>
      <c r="BS208" s="382"/>
      <c r="BT208" s="382"/>
      <c r="BU208" s="382"/>
      <c r="BV208" s="382"/>
      <c r="BW208" s="382"/>
      <c r="BX208" s="382"/>
      <c r="BY208" s="382"/>
      <c r="BZ208" s="382"/>
      <c r="CD208" s="1067"/>
      <c r="CE208" s="1067"/>
      <c r="CF208" s="1067"/>
      <c r="CG208" s="1067"/>
      <c r="CH208" s="1067"/>
      <c r="CI208" s="1067"/>
      <c r="CJ208" s="1067"/>
      <c r="CK208" s="382"/>
      <c r="CL208" s="475"/>
      <c r="CM208" s="475"/>
    </row>
    <row r="209" spans="47:91">
      <c r="AU209" s="382" t="s">
        <v>4855</v>
      </c>
      <c r="AV209" s="435" t="s">
        <v>546</v>
      </c>
      <c r="AW209" s="435" t="s">
        <v>546</v>
      </c>
      <c r="AX209" s="435" t="s">
        <v>546</v>
      </c>
      <c r="AY209" s="435" t="s">
        <v>546</v>
      </c>
      <c r="AZ209" s="435" t="s">
        <v>546</v>
      </c>
      <c r="BA209" s="435" t="s">
        <v>546</v>
      </c>
      <c r="BB209" s="435" t="s">
        <v>546</v>
      </c>
      <c r="BC209" s="435" t="s">
        <v>546</v>
      </c>
      <c r="BD209" s="435" t="s">
        <v>546</v>
      </c>
      <c r="BE209" s="435" t="s">
        <v>546</v>
      </c>
      <c r="BH209" s="382"/>
      <c r="BM209" s="463"/>
      <c r="BP209" s="382"/>
      <c r="BQ209" s="382"/>
      <c r="BR209" s="382"/>
      <c r="BS209" s="382"/>
      <c r="BT209" s="382"/>
      <c r="BU209" s="382"/>
      <c r="BV209" s="382"/>
      <c r="BW209" s="382"/>
      <c r="BX209" s="382"/>
      <c r="BY209" s="382"/>
      <c r="BZ209" s="382"/>
      <c r="CD209" s="382"/>
      <c r="CE209" s="382"/>
      <c r="CF209" s="382"/>
      <c r="CG209" s="382"/>
      <c r="CH209" s="382"/>
      <c r="CI209" s="382"/>
      <c r="CJ209" s="382"/>
      <c r="CK209" s="382"/>
      <c r="CL209" s="382"/>
      <c r="CM209" s="382"/>
    </row>
    <row r="210" spans="47:91">
      <c r="AU210" s="382" t="s">
        <v>4861</v>
      </c>
      <c r="AV210" s="435" t="s">
        <v>546</v>
      </c>
      <c r="AW210" s="435" t="s">
        <v>546</v>
      </c>
      <c r="AX210" s="435" t="s">
        <v>546</v>
      </c>
      <c r="AY210" s="435" t="s">
        <v>546</v>
      </c>
      <c r="AZ210" s="435" t="s">
        <v>546</v>
      </c>
      <c r="BA210" s="435" t="s">
        <v>546</v>
      </c>
      <c r="BB210" s="435" t="s">
        <v>546</v>
      </c>
      <c r="BC210" s="435" t="s">
        <v>546</v>
      </c>
      <c r="BD210" s="435" t="s">
        <v>546</v>
      </c>
      <c r="BE210" s="435" t="s">
        <v>546</v>
      </c>
      <c r="BH210" s="382"/>
      <c r="BM210" s="463"/>
      <c r="BP210" s="382"/>
      <c r="BQ210" s="382"/>
      <c r="BR210" s="382"/>
      <c r="BS210" s="382"/>
      <c r="BT210" s="382"/>
      <c r="BU210" s="382"/>
      <c r="BV210" s="382"/>
      <c r="BW210" s="382"/>
      <c r="BX210" s="382"/>
      <c r="BY210" s="382"/>
      <c r="BZ210" s="382"/>
    </row>
    <row r="211" spans="47:91">
      <c r="AU211" s="382" t="s">
        <v>4867</v>
      </c>
      <c r="AV211" s="435" t="s">
        <v>546</v>
      </c>
      <c r="AW211" s="435" t="s">
        <v>546</v>
      </c>
      <c r="AX211" s="435" t="s">
        <v>546</v>
      </c>
      <c r="AY211" s="435" t="s">
        <v>546</v>
      </c>
      <c r="AZ211" s="435" t="s">
        <v>546</v>
      </c>
      <c r="BA211" s="435" t="s">
        <v>546</v>
      </c>
      <c r="BB211" s="435" t="s">
        <v>546</v>
      </c>
      <c r="BC211" s="435" t="s">
        <v>546</v>
      </c>
      <c r="BD211" s="435" t="s">
        <v>546</v>
      </c>
      <c r="BE211" s="435" t="s">
        <v>546</v>
      </c>
      <c r="BH211" s="382"/>
      <c r="BI211" s="382" t="s">
        <v>5012</v>
      </c>
      <c r="BP211" s="382"/>
      <c r="BQ211" s="382"/>
      <c r="BR211" s="382"/>
      <c r="BS211" s="382"/>
      <c r="BT211" s="382"/>
      <c r="BU211" s="382"/>
      <c r="BV211" s="382"/>
      <c r="BW211" s="382"/>
      <c r="BX211" s="382"/>
      <c r="BY211" s="382"/>
      <c r="BZ211" s="382"/>
    </row>
    <row r="212" spans="47:91" ht="12.75" customHeight="1">
      <c r="AU212" s="382" t="s">
        <v>4880</v>
      </c>
      <c r="AV212" s="435" t="s">
        <v>546</v>
      </c>
      <c r="AW212" s="435" t="s">
        <v>546</v>
      </c>
      <c r="AX212" s="435" t="s">
        <v>546</v>
      </c>
      <c r="AY212" s="435" t="s">
        <v>546</v>
      </c>
      <c r="AZ212" s="435" t="s">
        <v>546</v>
      </c>
      <c r="BA212" s="435" t="s">
        <v>546</v>
      </c>
      <c r="BB212" s="435" t="s">
        <v>546</v>
      </c>
      <c r="BC212" s="435" t="s">
        <v>546</v>
      </c>
      <c r="BD212" s="435" t="s">
        <v>546</v>
      </c>
      <c r="BE212" s="435" t="s">
        <v>546</v>
      </c>
      <c r="BH212" s="382"/>
      <c r="BI212" s="585" t="s">
        <v>8721</v>
      </c>
      <c r="BP212" s="382"/>
      <c r="BQ212" s="382"/>
      <c r="BR212" s="382"/>
      <c r="BS212" s="382"/>
      <c r="BT212" s="382"/>
      <c r="BU212" s="382"/>
      <c r="BV212" s="382"/>
      <c r="BW212" s="382"/>
      <c r="BX212" s="382"/>
      <c r="BY212" s="382"/>
      <c r="BZ212" s="382"/>
    </row>
    <row r="213" spans="47:91">
      <c r="AU213" s="382" t="s">
        <v>4892</v>
      </c>
      <c r="AV213" s="435" t="s">
        <v>546</v>
      </c>
      <c r="AW213" s="435" t="s">
        <v>546</v>
      </c>
      <c r="AX213" s="435" t="s">
        <v>546</v>
      </c>
      <c r="AY213" s="435" t="s">
        <v>546</v>
      </c>
      <c r="AZ213" s="435" t="s">
        <v>546</v>
      </c>
      <c r="BA213" s="435" t="s">
        <v>546</v>
      </c>
      <c r="BB213" s="435" t="s">
        <v>546</v>
      </c>
      <c r="BC213" s="435" t="s">
        <v>546</v>
      </c>
      <c r="BD213" s="435" t="s">
        <v>546</v>
      </c>
      <c r="BE213" s="435" t="s">
        <v>546</v>
      </c>
      <c r="BH213" s="382"/>
      <c r="BI213" s="597"/>
      <c r="BJ213" s="2173">
        <v>44469</v>
      </c>
      <c r="BK213" s="2102"/>
      <c r="BL213" s="2102"/>
      <c r="BP213" s="382"/>
      <c r="BQ213" s="439"/>
      <c r="BR213" s="2073"/>
      <c r="BS213" s="2073"/>
      <c r="BT213" s="2073"/>
      <c r="BU213" s="2073"/>
      <c r="BV213" s="2073"/>
      <c r="BW213" s="2073"/>
      <c r="BX213" s="2073"/>
      <c r="BY213" s="2073"/>
      <c r="BZ213" s="2073"/>
      <c r="CD213" s="382"/>
      <c r="CE213" s="382"/>
      <c r="CF213" s="382"/>
      <c r="CG213" s="382"/>
      <c r="CH213" s="382"/>
      <c r="CI213" s="382"/>
      <c r="CJ213" s="382"/>
    </row>
    <row r="214" spans="47:91">
      <c r="AU214" s="382" t="s">
        <v>4898</v>
      </c>
      <c r="AV214" s="435">
        <f t="shared" ref="AV214:AV220" si="97">SUM(AW214:BE214)</f>
        <v>5</v>
      </c>
      <c r="AW214" s="435" t="s">
        <v>546</v>
      </c>
      <c r="AX214" s="435" t="s">
        <v>546</v>
      </c>
      <c r="AY214" s="525">
        <v>1</v>
      </c>
      <c r="AZ214" s="525">
        <v>1</v>
      </c>
      <c r="BA214" s="435" t="s">
        <v>546</v>
      </c>
      <c r="BB214" s="525">
        <v>2</v>
      </c>
      <c r="BC214" s="435">
        <v>1</v>
      </c>
      <c r="BD214" s="435" t="s">
        <v>546</v>
      </c>
      <c r="BE214" s="435" t="s">
        <v>546</v>
      </c>
      <c r="BH214" s="382"/>
      <c r="BI214" s="610" t="s">
        <v>2449</v>
      </c>
      <c r="BJ214" s="642" t="s">
        <v>129</v>
      </c>
      <c r="BK214" s="642" t="s">
        <v>3039</v>
      </c>
      <c r="BL214" s="664" t="s">
        <v>3046</v>
      </c>
      <c r="BP214" s="382"/>
      <c r="BQ214" s="439"/>
      <c r="BR214" s="439"/>
      <c r="BS214" s="439"/>
      <c r="BT214" s="439"/>
      <c r="BU214" s="439"/>
      <c r="BV214" s="439"/>
      <c r="BW214" s="439"/>
      <c r="BX214" s="439"/>
      <c r="BY214" s="439"/>
      <c r="BZ214" s="439"/>
      <c r="CD214" s="382"/>
      <c r="CE214" s="382"/>
      <c r="CF214" s="382"/>
      <c r="CG214" s="382"/>
      <c r="CH214" s="382"/>
      <c r="CI214" s="382"/>
      <c r="CJ214" s="382"/>
      <c r="CK214" s="2172"/>
      <c r="CL214" s="2154"/>
      <c r="CM214" s="2154"/>
    </row>
    <row r="215" spans="47:91">
      <c r="AU215" s="382" t="s">
        <v>4904</v>
      </c>
      <c r="AV215" s="435">
        <f t="shared" si="97"/>
        <v>182</v>
      </c>
      <c r="AW215" s="525">
        <v>8</v>
      </c>
      <c r="AX215" s="525">
        <v>3</v>
      </c>
      <c r="AY215" s="525">
        <v>6</v>
      </c>
      <c r="AZ215" s="525">
        <v>10</v>
      </c>
      <c r="BA215" s="525">
        <v>20</v>
      </c>
      <c r="BB215" s="525">
        <v>118</v>
      </c>
      <c r="BC215" s="525">
        <v>17</v>
      </c>
      <c r="BD215" s="435" t="s">
        <v>546</v>
      </c>
      <c r="BE215" s="435" t="s">
        <v>546</v>
      </c>
      <c r="BH215" s="382"/>
      <c r="BI215" s="382" t="s">
        <v>4893</v>
      </c>
      <c r="BJ215" s="463">
        <f>SUM(BK215:BL215)</f>
        <v>2994</v>
      </c>
      <c r="BK215" s="463">
        <f>SUM(BK216:BK227)</f>
        <v>1435</v>
      </c>
      <c r="BL215" s="463">
        <f>SUM(BL216:BL227)</f>
        <v>1559</v>
      </c>
      <c r="BP215" s="382"/>
      <c r="BQ215" s="439"/>
      <c r="BR215" s="439"/>
      <c r="BS215" s="439"/>
      <c r="BT215" s="439"/>
      <c r="BU215" s="439"/>
      <c r="BV215" s="439"/>
      <c r="BW215" s="439"/>
      <c r="BX215" s="439"/>
      <c r="BY215" s="439"/>
      <c r="BZ215" s="439"/>
      <c r="CD215" s="382"/>
      <c r="CE215" s="382"/>
      <c r="CF215" s="382"/>
      <c r="CG215" s="382"/>
      <c r="CH215" s="382"/>
      <c r="CI215" s="382"/>
      <c r="CJ215" s="382"/>
      <c r="CK215" s="599"/>
      <c r="CL215" s="599"/>
      <c r="CM215" s="599"/>
    </row>
    <row r="216" spans="47:91">
      <c r="AU216" s="382" t="s">
        <v>4907</v>
      </c>
      <c r="AV216" s="435">
        <f t="shared" si="97"/>
        <v>365</v>
      </c>
      <c r="AW216" s="525">
        <v>1</v>
      </c>
      <c r="AX216" s="525">
        <v>4</v>
      </c>
      <c r="AY216" s="525">
        <v>9</v>
      </c>
      <c r="AZ216" s="525">
        <v>11</v>
      </c>
      <c r="BA216" s="525">
        <v>20</v>
      </c>
      <c r="BB216" s="525">
        <v>167</v>
      </c>
      <c r="BC216" s="525">
        <v>146</v>
      </c>
      <c r="BD216" s="525">
        <v>7</v>
      </c>
      <c r="BE216" s="435" t="s">
        <v>546</v>
      </c>
      <c r="BH216" s="382"/>
      <c r="BI216" s="382" t="s">
        <v>4855</v>
      </c>
      <c r="BJ216" s="435" t="s">
        <v>546</v>
      </c>
      <c r="BK216" s="435" t="s">
        <v>546</v>
      </c>
      <c r="BL216" s="435" t="s">
        <v>546</v>
      </c>
      <c r="BM216" s="1084"/>
      <c r="BP216" s="1066"/>
      <c r="BQ216" s="463"/>
      <c r="BR216" s="463"/>
      <c r="BS216" s="463"/>
      <c r="BT216" s="463"/>
      <c r="BU216" s="463"/>
      <c r="BV216" s="463"/>
      <c r="BW216" s="463"/>
      <c r="BX216" s="463"/>
      <c r="BY216" s="463"/>
      <c r="BZ216" s="463"/>
      <c r="CD216" s="382"/>
      <c r="CE216" s="382"/>
      <c r="CF216" s="382"/>
      <c r="CG216" s="382"/>
      <c r="CH216" s="382"/>
      <c r="CI216" s="382"/>
      <c r="CJ216" s="382"/>
      <c r="CK216" s="463"/>
      <c r="CL216" s="463"/>
      <c r="CM216" s="463"/>
    </row>
    <row r="217" spans="47:91">
      <c r="AU217" s="382" t="s">
        <v>4909</v>
      </c>
      <c r="AV217" s="435">
        <f t="shared" si="97"/>
        <v>353</v>
      </c>
      <c r="AW217" s="525">
        <v>5</v>
      </c>
      <c r="AX217" s="525">
        <v>6</v>
      </c>
      <c r="AY217" s="525">
        <v>13</v>
      </c>
      <c r="AZ217" s="525">
        <v>9</v>
      </c>
      <c r="BA217" s="525">
        <v>19</v>
      </c>
      <c r="BB217" s="525">
        <v>131</v>
      </c>
      <c r="BC217" s="525">
        <v>137</v>
      </c>
      <c r="BD217" s="525">
        <v>33</v>
      </c>
      <c r="BE217" s="435" t="s">
        <v>546</v>
      </c>
      <c r="BH217" s="382"/>
      <c r="BI217" s="382" t="s">
        <v>4861</v>
      </c>
      <c r="BJ217" s="463">
        <f t="shared" ref="BJ217:BJ227" si="98">SUM(BK217:BL217)</f>
        <v>12</v>
      </c>
      <c r="BK217" s="435">
        <v>6</v>
      </c>
      <c r="BL217" s="435">
        <v>6</v>
      </c>
      <c r="BM217" s="439"/>
      <c r="BP217" s="382"/>
      <c r="BQ217" s="439"/>
      <c r="BR217" s="439"/>
      <c r="BS217" s="439"/>
      <c r="BT217" s="439"/>
      <c r="BU217" s="439"/>
      <c r="BV217" s="439"/>
      <c r="BW217" s="439"/>
      <c r="BX217" s="439"/>
      <c r="BY217" s="439"/>
      <c r="BZ217" s="439"/>
      <c r="CD217" s="382"/>
      <c r="CE217" s="382"/>
      <c r="CF217" s="382"/>
      <c r="CG217" s="382"/>
      <c r="CH217" s="382"/>
      <c r="CI217" s="382"/>
      <c r="CJ217" s="382"/>
      <c r="CK217" s="463"/>
      <c r="CL217" s="463"/>
      <c r="CM217" s="463"/>
    </row>
    <row r="218" spans="47:91">
      <c r="AU218" s="382" t="s">
        <v>4911</v>
      </c>
      <c r="AV218" s="435">
        <f t="shared" si="97"/>
        <v>208</v>
      </c>
      <c r="AW218" s="525">
        <v>8</v>
      </c>
      <c r="AX218" s="525">
        <v>8</v>
      </c>
      <c r="AY218" s="525">
        <v>7</v>
      </c>
      <c r="AZ218" s="525">
        <v>7</v>
      </c>
      <c r="BA218" s="525">
        <v>7</v>
      </c>
      <c r="BB218" s="525">
        <v>66</v>
      </c>
      <c r="BC218" s="525">
        <v>73</v>
      </c>
      <c r="BD218" s="525">
        <v>17</v>
      </c>
      <c r="BE218" s="525">
        <v>15</v>
      </c>
      <c r="BH218" s="382"/>
      <c r="BI218" s="382" t="s">
        <v>4867</v>
      </c>
      <c r="BJ218" s="463">
        <f t="shared" si="98"/>
        <v>144</v>
      </c>
      <c r="BK218" s="435">
        <v>69</v>
      </c>
      <c r="BL218" s="435">
        <v>75</v>
      </c>
      <c r="BM218" s="463"/>
      <c r="BP218" s="382"/>
      <c r="BQ218" s="439"/>
      <c r="BR218" s="439"/>
      <c r="BS218" s="439"/>
      <c r="BT218" s="439"/>
      <c r="BU218" s="439"/>
      <c r="BV218" s="439"/>
      <c r="BW218" s="439"/>
      <c r="BX218" s="439"/>
      <c r="BY218" s="439"/>
      <c r="BZ218" s="439"/>
      <c r="CD218" s="1067"/>
      <c r="CE218" s="1067"/>
      <c r="CF218" s="1067"/>
      <c r="CG218" s="1067"/>
      <c r="CH218" s="1067"/>
      <c r="CI218" s="1067"/>
      <c r="CJ218" s="1067"/>
      <c r="CK218" s="463"/>
      <c r="CL218" s="463"/>
      <c r="CM218" s="463"/>
    </row>
    <row r="219" spans="47:91">
      <c r="AU219" s="382" t="s">
        <v>4914</v>
      </c>
      <c r="AV219" s="435">
        <f t="shared" si="97"/>
        <v>76</v>
      </c>
      <c r="AW219" s="435" t="s">
        <v>546</v>
      </c>
      <c r="AX219" s="525">
        <v>1</v>
      </c>
      <c r="AY219" s="862">
        <v>3</v>
      </c>
      <c r="AZ219" s="463">
        <v>1</v>
      </c>
      <c r="BA219" s="525">
        <v>2</v>
      </c>
      <c r="BB219" s="525">
        <v>26</v>
      </c>
      <c r="BC219" s="525">
        <v>26</v>
      </c>
      <c r="BD219" s="525">
        <v>5</v>
      </c>
      <c r="BE219" s="525">
        <v>12</v>
      </c>
      <c r="BH219" s="382"/>
      <c r="BI219" s="382" t="s">
        <v>4880</v>
      </c>
      <c r="BJ219" s="463">
        <f t="shared" si="98"/>
        <v>355</v>
      </c>
      <c r="BK219" s="435">
        <v>162</v>
      </c>
      <c r="BL219" s="435">
        <v>193</v>
      </c>
      <c r="BM219" s="463"/>
      <c r="BP219" s="382"/>
      <c r="BQ219" s="463"/>
      <c r="BR219" s="439"/>
      <c r="BS219" s="439"/>
      <c r="BT219" s="439"/>
      <c r="BU219" s="439"/>
      <c r="BV219" s="439"/>
      <c r="BW219" s="439"/>
      <c r="BX219" s="439"/>
      <c r="BY219" s="439"/>
      <c r="BZ219" s="439"/>
      <c r="CD219" s="1067"/>
      <c r="CE219" s="1067"/>
      <c r="CF219" s="1067"/>
      <c r="CG219" s="1067"/>
      <c r="CH219" s="1067"/>
      <c r="CI219" s="1067"/>
      <c r="CJ219" s="1067"/>
      <c r="CK219" s="463"/>
      <c r="CL219" s="463"/>
      <c r="CM219" s="463"/>
    </row>
    <row r="220" spans="47:91">
      <c r="AU220" s="382" t="s">
        <v>4916</v>
      </c>
      <c r="AV220" s="435">
        <f t="shared" si="97"/>
        <v>37</v>
      </c>
      <c r="AW220" s="435" t="s">
        <v>546</v>
      </c>
      <c r="AX220" s="435">
        <v>2</v>
      </c>
      <c r="AY220" s="435" t="s">
        <v>546</v>
      </c>
      <c r="AZ220" s="435" t="s">
        <v>546</v>
      </c>
      <c r="BA220" s="435" t="s">
        <v>546</v>
      </c>
      <c r="BB220" s="525">
        <v>13</v>
      </c>
      <c r="BC220" s="525">
        <v>9</v>
      </c>
      <c r="BD220" s="525">
        <v>5</v>
      </c>
      <c r="BE220" s="525">
        <v>8</v>
      </c>
      <c r="BH220" s="382"/>
      <c r="BI220" s="382" t="s">
        <v>4892</v>
      </c>
      <c r="BJ220" s="463">
        <f t="shared" si="98"/>
        <v>354</v>
      </c>
      <c r="BK220" s="435">
        <v>166</v>
      </c>
      <c r="BL220" s="435">
        <v>188</v>
      </c>
      <c r="BM220" s="463"/>
      <c r="BP220" s="382"/>
      <c r="BQ220" s="463"/>
      <c r="BR220" s="439"/>
      <c r="BS220" s="439"/>
      <c r="BT220" s="439"/>
      <c r="BU220" s="439"/>
      <c r="BV220" s="439"/>
      <c r="BW220" s="439"/>
      <c r="BX220" s="439"/>
      <c r="BY220" s="439"/>
      <c r="BZ220" s="439"/>
      <c r="CD220" s="1067"/>
      <c r="CE220" s="1067"/>
      <c r="CF220" s="1067"/>
      <c r="CG220" s="1067"/>
      <c r="CH220" s="1067"/>
      <c r="CI220" s="1067"/>
      <c r="CJ220" s="1067"/>
      <c r="CK220" s="463"/>
      <c r="CL220" s="463"/>
      <c r="CM220" s="463"/>
    </row>
    <row r="221" spans="47:91">
      <c r="AU221" s="382"/>
      <c r="BH221" s="382"/>
      <c r="BI221" s="382" t="s">
        <v>4898</v>
      </c>
      <c r="BJ221" s="463">
        <f t="shared" si="98"/>
        <v>419</v>
      </c>
      <c r="BK221" s="463">
        <v>194</v>
      </c>
      <c r="BL221" s="463">
        <v>225</v>
      </c>
      <c r="BM221" s="463"/>
      <c r="BP221" s="382"/>
      <c r="BQ221" s="463"/>
      <c r="BR221" s="439"/>
      <c r="BS221" s="439"/>
      <c r="BT221" s="439"/>
      <c r="BU221" s="439"/>
      <c r="BV221" s="439"/>
      <c r="BW221" s="439"/>
      <c r="BX221" s="439"/>
      <c r="BY221" s="439"/>
      <c r="BZ221" s="439"/>
      <c r="CC221" s="1062"/>
      <c r="CD221" s="1067"/>
      <c r="CE221" s="1067"/>
      <c r="CF221" s="1067"/>
      <c r="CG221" s="1067"/>
      <c r="CH221" s="1067"/>
      <c r="CI221" s="1067"/>
      <c r="CJ221" s="1067"/>
      <c r="CK221" s="463"/>
      <c r="CL221" s="463"/>
      <c r="CM221" s="463"/>
    </row>
    <row r="222" spans="47:91">
      <c r="AU222" s="382" t="s">
        <v>4921</v>
      </c>
      <c r="AV222" s="525">
        <f>SUM(AV223:AV234)</f>
        <v>1072</v>
      </c>
      <c r="AW222" s="525">
        <f>SUM(AW223:AW234)</f>
        <v>22</v>
      </c>
      <c r="AX222" s="525">
        <f t="shared" ref="AX222:BE222" si="99">SUM(AX223:AX234)</f>
        <v>22</v>
      </c>
      <c r="AY222" s="525">
        <f t="shared" si="99"/>
        <v>36</v>
      </c>
      <c r="AZ222" s="525">
        <f t="shared" si="99"/>
        <v>36</v>
      </c>
      <c r="BA222" s="525">
        <f t="shared" si="99"/>
        <v>54</v>
      </c>
      <c r="BB222" s="525">
        <f t="shared" si="99"/>
        <v>455</v>
      </c>
      <c r="BC222" s="525">
        <f t="shared" si="99"/>
        <v>359</v>
      </c>
      <c r="BD222" s="525">
        <f t="shared" si="99"/>
        <v>56</v>
      </c>
      <c r="BE222" s="525">
        <f t="shared" si="99"/>
        <v>32</v>
      </c>
      <c r="BH222" s="382"/>
      <c r="BI222" s="382" t="s">
        <v>4904</v>
      </c>
      <c r="BJ222" s="463">
        <f t="shared" si="98"/>
        <v>506</v>
      </c>
      <c r="BK222" s="463">
        <v>236</v>
      </c>
      <c r="BL222" s="463">
        <v>270</v>
      </c>
      <c r="BM222" s="463"/>
      <c r="BP222" s="382"/>
      <c r="BQ222" s="463"/>
      <c r="BR222" s="439"/>
      <c r="BS222" s="439"/>
      <c r="BT222" s="439"/>
      <c r="BU222" s="439"/>
      <c r="BV222" s="439"/>
      <c r="BW222" s="439"/>
      <c r="BX222" s="439"/>
      <c r="BY222" s="439"/>
      <c r="BZ222" s="439"/>
      <c r="CC222" s="1062"/>
      <c r="CD222" s="1067"/>
      <c r="CE222" s="1067"/>
      <c r="CF222" s="1067"/>
      <c r="CG222" s="1067"/>
      <c r="CH222" s="1067"/>
      <c r="CI222" s="1067"/>
      <c r="CJ222" s="1067"/>
      <c r="CK222" s="463"/>
      <c r="CL222" s="463"/>
      <c r="CM222" s="463"/>
    </row>
    <row r="223" spans="47:91">
      <c r="AU223" s="382" t="s">
        <v>4855</v>
      </c>
      <c r="AV223" s="435" t="s">
        <v>546</v>
      </c>
      <c r="AW223" s="435" t="s">
        <v>546</v>
      </c>
      <c r="AX223" s="435" t="s">
        <v>546</v>
      </c>
      <c r="AY223" s="435" t="s">
        <v>546</v>
      </c>
      <c r="AZ223" s="435" t="s">
        <v>546</v>
      </c>
      <c r="BA223" s="435" t="s">
        <v>546</v>
      </c>
      <c r="BB223" s="435" t="s">
        <v>546</v>
      </c>
      <c r="BC223" s="435" t="s">
        <v>546</v>
      </c>
      <c r="BD223" s="435" t="s">
        <v>546</v>
      </c>
      <c r="BE223" s="435" t="s">
        <v>546</v>
      </c>
      <c r="BH223" s="382"/>
      <c r="BI223" s="382" t="s">
        <v>4907</v>
      </c>
      <c r="BJ223" s="463">
        <f t="shared" si="98"/>
        <v>453</v>
      </c>
      <c r="BK223" s="463">
        <v>256</v>
      </c>
      <c r="BL223" s="463">
        <v>197</v>
      </c>
      <c r="BM223" s="463"/>
      <c r="BP223" s="382"/>
      <c r="BQ223" s="463"/>
      <c r="BR223" s="439"/>
      <c r="BS223" s="439"/>
      <c r="BT223" s="439"/>
      <c r="BU223" s="439"/>
      <c r="BV223" s="439"/>
      <c r="BW223" s="439"/>
      <c r="BX223" s="439"/>
      <c r="BY223" s="439"/>
      <c r="BZ223" s="439"/>
      <c r="CC223" s="1062"/>
      <c r="CD223" s="1067"/>
      <c r="CE223" s="1067"/>
      <c r="CF223" s="1067"/>
      <c r="CG223" s="1067"/>
      <c r="CH223" s="1067"/>
      <c r="CI223" s="1067"/>
      <c r="CJ223" s="1067"/>
      <c r="CK223" s="463"/>
      <c r="CL223" s="463"/>
      <c r="CM223" s="463"/>
    </row>
    <row r="224" spans="47:91">
      <c r="AU224" s="382" t="s">
        <v>4861</v>
      </c>
      <c r="AV224" s="435" t="s">
        <v>546</v>
      </c>
      <c r="AW224" s="435" t="s">
        <v>546</v>
      </c>
      <c r="AX224" s="435" t="s">
        <v>546</v>
      </c>
      <c r="AY224" s="435" t="s">
        <v>546</v>
      </c>
      <c r="AZ224" s="435" t="s">
        <v>546</v>
      </c>
      <c r="BA224" s="435" t="s">
        <v>546</v>
      </c>
      <c r="BB224" s="435" t="s">
        <v>546</v>
      </c>
      <c r="BC224" s="435" t="s">
        <v>546</v>
      </c>
      <c r="BD224" s="435" t="s">
        <v>546</v>
      </c>
      <c r="BE224" s="435" t="s">
        <v>546</v>
      </c>
      <c r="BH224" s="382"/>
      <c r="BI224" s="382" t="s">
        <v>4909</v>
      </c>
      <c r="BJ224" s="463">
        <f t="shared" si="98"/>
        <v>386</v>
      </c>
      <c r="BK224" s="463">
        <v>179</v>
      </c>
      <c r="BL224" s="463">
        <v>207</v>
      </c>
      <c r="BM224" s="463"/>
      <c r="BP224" s="382"/>
      <c r="BQ224" s="463"/>
      <c r="BR224" s="439"/>
      <c r="BS224" s="439"/>
      <c r="BT224" s="439"/>
      <c r="BU224" s="439"/>
      <c r="BV224" s="439"/>
      <c r="BW224" s="439"/>
      <c r="BX224" s="439"/>
      <c r="BY224" s="439"/>
      <c r="BZ224" s="439"/>
      <c r="CC224" s="1062"/>
      <c r="CD224" s="1067"/>
      <c r="CE224" s="1067"/>
      <c r="CF224" s="1067"/>
      <c r="CG224" s="1067"/>
      <c r="CH224" s="1067"/>
      <c r="CI224" s="1067"/>
      <c r="CJ224" s="1067"/>
      <c r="CK224" s="463"/>
      <c r="CL224" s="463"/>
      <c r="CM224" s="463"/>
    </row>
    <row r="225" spans="47:91">
      <c r="AU225" s="382" t="s">
        <v>4867</v>
      </c>
      <c r="AV225" s="435" t="s">
        <v>546</v>
      </c>
      <c r="AW225" s="435" t="s">
        <v>546</v>
      </c>
      <c r="AX225" s="435" t="s">
        <v>546</v>
      </c>
      <c r="AY225" s="435" t="s">
        <v>546</v>
      </c>
      <c r="AZ225" s="435" t="s">
        <v>546</v>
      </c>
      <c r="BA225" s="435" t="s">
        <v>546</v>
      </c>
      <c r="BB225" s="435" t="s">
        <v>546</v>
      </c>
      <c r="BC225" s="435" t="s">
        <v>546</v>
      </c>
      <c r="BD225" s="435" t="s">
        <v>546</v>
      </c>
      <c r="BE225" s="435" t="s">
        <v>546</v>
      </c>
      <c r="BH225" s="382"/>
      <c r="BI225" s="382" t="s">
        <v>4911</v>
      </c>
      <c r="BJ225" s="463">
        <f t="shared" si="98"/>
        <v>215</v>
      </c>
      <c r="BK225" s="463">
        <v>102</v>
      </c>
      <c r="BL225" s="463">
        <v>113</v>
      </c>
      <c r="BM225" s="463"/>
      <c r="BP225" s="382"/>
      <c r="BQ225" s="463"/>
      <c r="BR225" s="439"/>
      <c r="BS225" s="439"/>
      <c r="BT225" s="439"/>
      <c r="BU225" s="439"/>
      <c r="BV225" s="439"/>
      <c r="BW225" s="439"/>
      <c r="BX225" s="439"/>
      <c r="BY225" s="439"/>
      <c r="BZ225" s="439"/>
      <c r="CD225" s="1067"/>
      <c r="CE225" s="1067"/>
      <c r="CF225" s="1067"/>
      <c r="CG225" s="1067"/>
      <c r="CH225" s="1067"/>
      <c r="CI225" s="1067"/>
      <c r="CJ225" s="1067"/>
      <c r="CK225" s="463"/>
      <c r="CL225" s="463"/>
      <c r="CM225" s="463"/>
    </row>
    <row r="226" spans="47:91">
      <c r="AU226" s="382" t="s">
        <v>4880</v>
      </c>
      <c r="AV226" s="435" t="s">
        <v>546</v>
      </c>
      <c r="AW226" s="435" t="s">
        <v>546</v>
      </c>
      <c r="AX226" s="435" t="s">
        <v>546</v>
      </c>
      <c r="AY226" s="435" t="s">
        <v>546</v>
      </c>
      <c r="AZ226" s="435" t="s">
        <v>546</v>
      </c>
      <c r="BA226" s="435" t="s">
        <v>546</v>
      </c>
      <c r="BB226" s="435" t="s">
        <v>546</v>
      </c>
      <c r="BC226" s="435" t="s">
        <v>546</v>
      </c>
      <c r="BD226" s="435" t="s">
        <v>546</v>
      </c>
      <c r="BE226" s="435" t="s">
        <v>546</v>
      </c>
      <c r="BH226" s="382"/>
      <c r="BI226" s="382" t="s">
        <v>4914</v>
      </c>
      <c r="BJ226" s="463">
        <f t="shared" si="98"/>
        <v>104</v>
      </c>
      <c r="BK226" s="463">
        <v>39</v>
      </c>
      <c r="BL226" s="463">
        <v>65</v>
      </c>
      <c r="BM226" s="463"/>
      <c r="BP226" s="382"/>
      <c r="BQ226" s="463"/>
      <c r="BR226" s="439"/>
      <c r="BS226" s="439"/>
      <c r="BT226" s="439"/>
      <c r="BU226" s="439"/>
      <c r="BV226" s="439"/>
      <c r="BW226" s="439"/>
      <c r="BX226" s="439"/>
      <c r="BY226" s="439"/>
      <c r="BZ226" s="439"/>
      <c r="CD226" s="1067"/>
      <c r="CE226" s="1067"/>
      <c r="CF226" s="1067"/>
      <c r="CG226" s="1067"/>
      <c r="CH226" s="1067"/>
      <c r="CI226" s="1067"/>
      <c r="CJ226" s="1067"/>
      <c r="CK226" s="463"/>
      <c r="CL226" s="463"/>
      <c r="CM226" s="463"/>
    </row>
    <row r="227" spans="47:91">
      <c r="AU227" s="382" t="s">
        <v>4892</v>
      </c>
      <c r="AV227" s="435" t="s">
        <v>546</v>
      </c>
      <c r="AW227" s="435" t="s">
        <v>546</v>
      </c>
      <c r="AX227" s="435" t="s">
        <v>546</v>
      </c>
      <c r="AY227" s="435" t="s">
        <v>546</v>
      </c>
      <c r="AZ227" s="435" t="s">
        <v>546</v>
      </c>
      <c r="BA227" s="435" t="s">
        <v>546</v>
      </c>
      <c r="BB227" s="435" t="s">
        <v>546</v>
      </c>
      <c r="BC227" s="435" t="s">
        <v>546</v>
      </c>
      <c r="BD227" s="435" t="s">
        <v>546</v>
      </c>
      <c r="BE227" s="435" t="s">
        <v>546</v>
      </c>
      <c r="BH227" s="382"/>
      <c r="BI227" s="381" t="s">
        <v>4916</v>
      </c>
      <c r="BJ227" s="497">
        <f t="shared" si="98"/>
        <v>46</v>
      </c>
      <c r="BK227" s="497">
        <v>26</v>
      </c>
      <c r="BL227" s="497">
        <v>20</v>
      </c>
      <c r="BM227" s="463"/>
      <c r="BP227" s="382"/>
      <c r="BQ227" s="463"/>
      <c r="BR227" s="439"/>
      <c r="BS227" s="439"/>
      <c r="BT227" s="439"/>
      <c r="BU227" s="439"/>
      <c r="BV227" s="439"/>
      <c r="BW227" s="439"/>
      <c r="BX227" s="439"/>
      <c r="BY227" s="439"/>
      <c r="BZ227" s="439"/>
      <c r="CD227" s="1067"/>
      <c r="CE227" s="1067"/>
      <c r="CF227" s="1067"/>
      <c r="CG227" s="1067"/>
      <c r="CH227" s="1067"/>
      <c r="CI227" s="1067"/>
      <c r="CJ227" s="1067"/>
      <c r="CK227" s="463"/>
      <c r="CL227" s="463"/>
      <c r="CM227" s="463"/>
    </row>
    <row r="228" spans="47:91">
      <c r="AU228" s="382" t="s">
        <v>4898</v>
      </c>
      <c r="AV228" s="435">
        <f t="shared" ref="AV228:AV234" si="100">SUM(AW228:BE228)</f>
        <v>5</v>
      </c>
      <c r="AW228" s="435" t="s">
        <v>546</v>
      </c>
      <c r="AX228" s="435" t="s">
        <v>546</v>
      </c>
      <c r="AY228" s="525">
        <v>1</v>
      </c>
      <c r="AZ228" s="525">
        <v>1</v>
      </c>
      <c r="BA228" s="435" t="s">
        <v>546</v>
      </c>
      <c r="BB228" s="525">
        <v>2</v>
      </c>
      <c r="BC228" s="435">
        <v>1</v>
      </c>
      <c r="BD228" s="435" t="s">
        <v>546</v>
      </c>
      <c r="BE228" s="435" t="s">
        <v>546</v>
      </c>
      <c r="BH228" s="382"/>
      <c r="BI228" s="382" t="s">
        <v>4932</v>
      </c>
      <c r="BJ228" s="382"/>
      <c r="BK228" s="382"/>
      <c r="BL228" s="382"/>
      <c r="BM228" s="463"/>
      <c r="BP228" s="382"/>
      <c r="BQ228" s="463"/>
      <c r="BR228" s="439"/>
      <c r="BS228" s="439"/>
      <c r="BT228" s="439"/>
      <c r="BU228" s="439"/>
      <c r="BV228" s="439"/>
      <c r="BW228" s="439"/>
      <c r="BX228" s="439"/>
      <c r="BY228" s="439"/>
      <c r="BZ228" s="439"/>
      <c r="CD228" s="1067"/>
      <c r="CE228" s="1067"/>
      <c r="CF228" s="1067"/>
      <c r="CG228" s="1067"/>
      <c r="CH228" s="1067"/>
      <c r="CI228" s="1067"/>
      <c r="CJ228" s="1067"/>
      <c r="CK228" s="463"/>
      <c r="CL228" s="463"/>
      <c r="CM228" s="463"/>
    </row>
    <row r="229" spans="47:91">
      <c r="AU229" s="382" t="s">
        <v>4904</v>
      </c>
      <c r="AV229" s="435">
        <f t="shared" si="100"/>
        <v>150</v>
      </c>
      <c r="AW229" s="525">
        <v>8</v>
      </c>
      <c r="AX229" s="525">
        <v>3</v>
      </c>
      <c r="AY229" s="525">
        <v>6</v>
      </c>
      <c r="AZ229" s="525">
        <v>9</v>
      </c>
      <c r="BA229" s="525">
        <v>12</v>
      </c>
      <c r="BB229" s="525">
        <v>97</v>
      </c>
      <c r="BC229" s="525">
        <v>15</v>
      </c>
      <c r="BD229" s="435" t="s">
        <v>546</v>
      </c>
      <c r="BE229" s="435" t="s">
        <v>546</v>
      </c>
      <c r="BM229" s="463"/>
      <c r="BP229" s="382"/>
      <c r="BQ229" s="463"/>
      <c r="BR229" s="382"/>
      <c r="BS229" s="382"/>
      <c r="BT229" s="382"/>
      <c r="BU229" s="382"/>
      <c r="BV229" s="382"/>
      <c r="BW229" s="382"/>
      <c r="BX229" s="382"/>
      <c r="BY229" s="382"/>
      <c r="BZ229" s="382"/>
      <c r="CD229" s="1067"/>
      <c r="CE229" s="1067"/>
      <c r="CF229" s="1067"/>
      <c r="CG229" s="1067"/>
      <c r="CH229" s="1067"/>
      <c r="CI229" s="1067"/>
      <c r="CJ229" s="1067"/>
      <c r="CK229" s="463"/>
      <c r="CL229" s="463"/>
      <c r="CM229" s="463"/>
    </row>
    <row r="230" spans="47:91">
      <c r="AU230" s="382" t="s">
        <v>4907</v>
      </c>
      <c r="AV230" s="435">
        <f t="shared" si="100"/>
        <v>308</v>
      </c>
      <c r="AW230" s="525">
        <v>1</v>
      </c>
      <c r="AX230" s="525">
        <v>3</v>
      </c>
      <c r="AY230" s="525">
        <v>7</v>
      </c>
      <c r="AZ230" s="525">
        <v>9</v>
      </c>
      <c r="BA230" s="525">
        <v>17</v>
      </c>
      <c r="BB230" s="525">
        <v>142</v>
      </c>
      <c r="BC230" s="525">
        <v>123</v>
      </c>
      <c r="BD230" s="525">
        <v>6</v>
      </c>
      <c r="BE230" s="435" t="s">
        <v>546</v>
      </c>
      <c r="BM230" s="463"/>
      <c r="BP230" s="1066"/>
      <c r="BQ230" s="463"/>
      <c r="BR230" s="439"/>
      <c r="BS230" s="439"/>
      <c r="BT230" s="463"/>
      <c r="BU230" s="463"/>
      <c r="BV230" s="463"/>
      <c r="BW230" s="463"/>
      <c r="BX230" s="463"/>
      <c r="BY230" s="463"/>
      <c r="BZ230" s="463"/>
      <c r="CD230" s="1067"/>
      <c r="CE230" s="1067"/>
      <c r="CF230" s="1067"/>
      <c r="CG230" s="1067"/>
      <c r="CH230" s="1067"/>
      <c r="CI230" s="1067"/>
      <c r="CJ230" s="1067"/>
      <c r="CK230" s="463"/>
      <c r="CL230" s="463"/>
      <c r="CM230" s="463"/>
    </row>
    <row r="231" spans="47:91">
      <c r="AU231" s="382" t="s">
        <v>4909</v>
      </c>
      <c r="AV231" s="435">
        <f t="shared" si="100"/>
        <v>304</v>
      </c>
      <c r="AW231" s="525">
        <v>5</v>
      </c>
      <c r="AX231" s="525">
        <v>6</v>
      </c>
      <c r="AY231" s="525">
        <v>12</v>
      </c>
      <c r="AZ231" s="525">
        <v>9</v>
      </c>
      <c r="BA231" s="525">
        <v>16</v>
      </c>
      <c r="BB231" s="525">
        <v>113</v>
      </c>
      <c r="BC231" s="525">
        <v>118</v>
      </c>
      <c r="BD231" s="525">
        <v>25</v>
      </c>
      <c r="BE231" s="435" t="s">
        <v>546</v>
      </c>
      <c r="BH231" s="598"/>
      <c r="BP231" s="382"/>
      <c r="BQ231" s="439"/>
      <c r="BR231" s="439"/>
      <c r="BS231" s="439"/>
      <c r="BT231" s="439"/>
      <c r="BU231" s="439"/>
      <c r="BV231" s="439"/>
      <c r="BW231" s="439"/>
      <c r="BX231" s="439"/>
      <c r="BY231" s="439"/>
      <c r="BZ231" s="439"/>
      <c r="CD231" s="1067"/>
      <c r="CE231" s="1067"/>
      <c r="CF231" s="1067"/>
      <c r="CG231" s="1067"/>
      <c r="CH231" s="1067"/>
      <c r="CI231" s="1067"/>
      <c r="CJ231" s="1067"/>
      <c r="CK231" s="463"/>
      <c r="CL231" s="463"/>
      <c r="CM231" s="463"/>
    </row>
    <row r="232" spans="47:91">
      <c r="AU232" s="382" t="s">
        <v>4911</v>
      </c>
      <c r="AV232" s="435">
        <f t="shared" si="100"/>
        <v>196</v>
      </c>
      <c r="AW232" s="525">
        <v>8</v>
      </c>
      <c r="AX232" s="525">
        <v>8</v>
      </c>
      <c r="AY232" s="525">
        <v>7</v>
      </c>
      <c r="AZ232" s="525">
        <v>7</v>
      </c>
      <c r="BA232" s="525">
        <v>7</v>
      </c>
      <c r="BB232" s="525">
        <v>64</v>
      </c>
      <c r="BC232" s="525">
        <v>67</v>
      </c>
      <c r="BD232" s="525">
        <v>15</v>
      </c>
      <c r="BE232" s="525">
        <v>13</v>
      </c>
      <c r="BI232" s="382" t="s">
        <v>5013</v>
      </c>
      <c r="BJ232" s="870"/>
      <c r="BK232" s="870"/>
      <c r="BL232" s="870"/>
      <c r="BP232" s="382"/>
      <c r="BQ232" s="382"/>
      <c r="BR232" s="439"/>
      <c r="BS232" s="439"/>
      <c r="BT232" s="439"/>
      <c r="BU232" s="439"/>
      <c r="BV232" s="439"/>
      <c r="BW232" s="439"/>
      <c r="BX232" s="439"/>
      <c r="BY232" s="439"/>
      <c r="BZ232" s="439"/>
    </row>
    <row r="233" spans="47:91">
      <c r="AU233" s="382" t="s">
        <v>4914</v>
      </c>
      <c r="AV233" s="435">
        <f t="shared" si="100"/>
        <v>73</v>
      </c>
      <c r="AW233" s="435" t="s">
        <v>546</v>
      </c>
      <c r="AX233" s="525">
        <v>1</v>
      </c>
      <c r="AY233" s="862">
        <v>3</v>
      </c>
      <c r="AZ233" s="435">
        <v>1</v>
      </c>
      <c r="BA233" s="525">
        <v>2</v>
      </c>
      <c r="BB233" s="525">
        <v>24</v>
      </c>
      <c r="BC233" s="525">
        <v>26</v>
      </c>
      <c r="BD233" s="525">
        <v>5</v>
      </c>
      <c r="BE233" s="525">
        <v>11</v>
      </c>
      <c r="BI233" s="382" t="s">
        <v>8720</v>
      </c>
      <c r="BJ233" s="870"/>
      <c r="BK233" s="870"/>
      <c r="BL233" s="870"/>
      <c r="BP233" s="382"/>
      <c r="BQ233" s="382"/>
      <c r="BR233" s="439"/>
      <c r="BS233" s="439"/>
      <c r="BT233" s="439"/>
      <c r="BU233" s="439"/>
      <c r="BV233" s="439"/>
      <c r="BW233" s="439"/>
      <c r="BX233" s="439"/>
      <c r="BY233" s="439"/>
      <c r="BZ233" s="439"/>
      <c r="CD233" s="382"/>
      <c r="CE233" s="382"/>
      <c r="CF233" s="382"/>
      <c r="CG233" s="382"/>
      <c r="CH233" s="382"/>
      <c r="CI233" s="382"/>
      <c r="CJ233" s="382"/>
      <c r="CK233" s="463"/>
      <c r="CL233" s="463"/>
      <c r="CM233" s="463"/>
    </row>
    <row r="234" spans="47:91">
      <c r="AU234" s="382" t="s">
        <v>4916</v>
      </c>
      <c r="AV234" s="435">
        <f t="shared" si="100"/>
        <v>36</v>
      </c>
      <c r="AW234" s="435" t="s">
        <v>546</v>
      </c>
      <c r="AX234" s="435">
        <v>1</v>
      </c>
      <c r="AY234" s="435" t="s">
        <v>546</v>
      </c>
      <c r="AZ234" s="435" t="s">
        <v>546</v>
      </c>
      <c r="BA234" s="435" t="s">
        <v>546</v>
      </c>
      <c r="BB234" s="525">
        <v>13</v>
      </c>
      <c r="BC234" s="525">
        <v>9</v>
      </c>
      <c r="BD234" s="525">
        <v>5</v>
      </c>
      <c r="BE234" s="525">
        <v>8</v>
      </c>
      <c r="BI234" s="597"/>
      <c r="BJ234" s="2173">
        <v>44469</v>
      </c>
      <c r="BK234" s="2174"/>
      <c r="BL234" s="2174"/>
      <c r="BP234" s="382"/>
      <c r="BQ234" s="382"/>
      <c r="BR234" s="439"/>
      <c r="BS234" s="439"/>
      <c r="BT234" s="439"/>
      <c r="BU234" s="439"/>
      <c r="BV234" s="439"/>
      <c r="BW234" s="439"/>
      <c r="BX234" s="439"/>
      <c r="BY234" s="439"/>
      <c r="BZ234" s="439"/>
      <c r="CD234" s="382"/>
      <c r="CE234" s="382"/>
      <c r="CF234" s="382"/>
      <c r="CG234" s="382"/>
      <c r="CH234" s="382"/>
      <c r="CI234" s="382"/>
      <c r="CJ234" s="382"/>
      <c r="CL234" s="382"/>
      <c r="CM234" s="382"/>
    </row>
    <row r="235" spans="47:91">
      <c r="AU235" s="382"/>
      <c r="AW235" s="525"/>
      <c r="BI235" s="610" t="s">
        <v>2449</v>
      </c>
      <c r="BJ235" s="642" t="s">
        <v>129</v>
      </c>
      <c r="BK235" s="642" t="s">
        <v>3039</v>
      </c>
      <c r="BL235" s="664" t="s">
        <v>3046</v>
      </c>
      <c r="BP235" s="382"/>
      <c r="BQ235" s="382"/>
      <c r="BR235" s="439"/>
      <c r="BS235" s="439"/>
      <c r="BT235" s="439"/>
      <c r="BU235" s="439"/>
      <c r="BV235" s="439"/>
      <c r="BW235" s="439"/>
      <c r="BX235" s="439"/>
      <c r="BY235" s="439"/>
      <c r="BZ235" s="439"/>
      <c r="CD235" s="1067"/>
      <c r="CE235" s="1067"/>
      <c r="CF235" s="1067"/>
      <c r="CG235" s="1067"/>
      <c r="CH235" s="1067"/>
      <c r="CI235" s="1067"/>
      <c r="CJ235" s="1067"/>
      <c r="CL235" s="1067"/>
      <c r="CM235" s="1067"/>
    </row>
    <row r="236" spans="47:91">
      <c r="AU236" s="382" t="s">
        <v>4948</v>
      </c>
      <c r="AV236" s="525">
        <f>SUM(AV237:AV248)</f>
        <v>154</v>
      </c>
      <c r="AW236" s="435">
        <f>SUM(AW237:AW248)</f>
        <v>0</v>
      </c>
      <c r="AX236" s="525">
        <f>SUM(AX237:AX248)</f>
        <v>2</v>
      </c>
      <c r="AY236" s="525">
        <f t="shared" ref="AY236:BD236" si="101">SUM(AY237:AY248)</f>
        <v>3</v>
      </c>
      <c r="AZ236" s="525">
        <f t="shared" si="101"/>
        <v>3</v>
      </c>
      <c r="BA236" s="525">
        <f t="shared" si="101"/>
        <v>14</v>
      </c>
      <c r="BB236" s="525">
        <f t="shared" si="101"/>
        <v>68</v>
      </c>
      <c r="BC236" s="525">
        <f t="shared" si="101"/>
        <v>50</v>
      </c>
      <c r="BD236" s="525">
        <f t="shared" si="101"/>
        <v>11</v>
      </c>
      <c r="BE236" s="525">
        <f>SUM(BE237:BE248)</f>
        <v>3</v>
      </c>
      <c r="BI236" s="382" t="s">
        <v>4893</v>
      </c>
      <c r="BJ236" s="463">
        <f>SUM(BK236:BL236)</f>
        <v>1226</v>
      </c>
      <c r="BK236" s="463">
        <f>SUM(BK237:BK248)</f>
        <v>575</v>
      </c>
      <c r="BL236" s="463">
        <f>SUM(BL237:BL248)</f>
        <v>651</v>
      </c>
      <c r="BM236" s="1084"/>
      <c r="BP236" s="382"/>
      <c r="BQ236" s="382"/>
      <c r="BR236" s="439"/>
      <c r="BS236" s="439"/>
      <c r="BT236" s="439"/>
      <c r="BU236" s="439"/>
      <c r="BV236" s="439"/>
      <c r="BW236" s="439"/>
      <c r="BX236" s="439"/>
      <c r="BY236" s="439"/>
      <c r="BZ236" s="439"/>
      <c r="CD236" s="1067"/>
      <c r="CE236" s="1067"/>
      <c r="CF236" s="1067"/>
      <c r="CG236" s="1067"/>
      <c r="CH236" s="1067"/>
      <c r="CI236" s="1067"/>
      <c r="CJ236" s="1067"/>
      <c r="CL236" s="1067"/>
      <c r="CM236" s="1067"/>
    </row>
    <row r="237" spans="47:91">
      <c r="AU237" s="382" t="s">
        <v>4855</v>
      </c>
      <c r="AV237" s="435" t="s">
        <v>546</v>
      </c>
      <c r="AW237" s="435" t="s">
        <v>546</v>
      </c>
      <c r="AX237" s="435" t="s">
        <v>546</v>
      </c>
      <c r="AY237" s="435" t="s">
        <v>546</v>
      </c>
      <c r="AZ237" s="435" t="s">
        <v>546</v>
      </c>
      <c r="BA237" s="435" t="s">
        <v>546</v>
      </c>
      <c r="BB237" s="435" t="s">
        <v>546</v>
      </c>
      <c r="BC237" s="435" t="s">
        <v>546</v>
      </c>
      <c r="BD237" s="435" t="s">
        <v>546</v>
      </c>
      <c r="BE237" s="435" t="s">
        <v>546</v>
      </c>
      <c r="BI237" s="382" t="s">
        <v>4855</v>
      </c>
      <c r="BJ237" s="435" t="s">
        <v>546</v>
      </c>
      <c r="BK237" s="435" t="s">
        <v>546</v>
      </c>
      <c r="BL237" s="435" t="s">
        <v>546</v>
      </c>
      <c r="BM237" s="439"/>
      <c r="BP237" s="382"/>
      <c r="BQ237" s="382"/>
      <c r="BR237" s="439"/>
      <c r="BS237" s="439"/>
      <c r="BT237" s="439"/>
      <c r="BU237" s="439"/>
      <c r="BV237" s="439"/>
      <c r="BW237" s="439"/>
      <c r="BX237" s="439"/>
      <c r="BY237" s="439"/>
      <c r="BZ237" s="439"/>
      <c r="CD237" s="1067"/>
      <c r="CE237" s="1067"/>
      <c r="CF237" s="1067"/>
      <c r="CG237" s="1067"/>
      <c r="CH237" s="1067"/>
      <c r="CI237" s="1067"/>
      <c r="CJ237" s="1067"/>
      <c r="CL237" s="1062"/>
      <c r="CM237" s="1062"/>
    </row>
    <row r="238" spans="47:91">
      <c r="AU238" s="382" t="s">
        <v>4861</v>
      </c>
      <c r="AV238" s="435" t="s">
        <v>546</v>
      </c>
      <c r="AW238" s="435" t="s">
        <v>546</v>
      </c>
      <c r="AX238" s="435" t="s">
        <v>546</v>
      </c>
      <c r="AY238" s="435" t="s">
        <v>546</v>
      </c>
      <c r="AZ238" s="435" t="s">
        <v>546</v>
      </c>
      <c r="BA238" s="435" t="s">
        <v>546</v>
      </c>
      <c r="BB238" s="435" t="s">
        <v>546</v>
      </c>
      <c r="BC238" s="435" t="s">
        <v>546</v>
      </c>
      <c r="BD238" s="435" t="s">
        <v>546</v>
      </c>
      <c r="BE238" s="435" t="s">
        <v>546</v>
      </c>
      <c r="BI238" s="382" t="s">
        <v>4861</v>
      </c>
      <c r="BJ238" s="435" t="s">
        <v>546</v>
      </c>
      <c r="BK238" s="435" t="s">
        <v>546</v>
      </c>
      <c r="BL238" s="435" t="s">
        <v>546</v>
      </c>
      <c r="BM238" s="463"/>
      <c r="BP238" s="382"/>
      <c r="BQ238" s="382"/>
      <c r="BR238" s="439"/>
      <c r="BS238" s="439"/>
      <c r="BT238" s="439"/>
      <c r="BU238" s="439"/>
      <c r="BV238" s="439"/>
      <c r="BW238" s="439"/>
      <c r="BX238" s="439"/>
      <c r="BY238" s="439"/>
      <c r="BZ238" s="439"/>
      <c r="CD238" s="1067"/>
      <c r="CE238" s="1067"/>
      <c r="CF238" s="1067"/>
      <c r="CG238" s="1067"/>
      <c r="CH238" s="1067"/>
      <c r="CI238" s="1067"/>
      <c r="CJ238" s="1067"/>
      <c r="CL238" s="1062"/>
      <c r="CM238" s="1062"/>
    </row>
    <row r="239" spans="47:91">
      <c r="AU239" s="382" t="s">
        <v>4867</v>
      </c>
      <c r="AV239" s="435" t="s">
        <v>546</v>
      </c>
      <c r="AW239" s="435" t="s">
        <v>546</v>
      </c>
      <c r="AX239" s="435" t="s">
        <v>546</v>
      </c>
      <c r="AY239" s="435" t="s">
        <v>546</v>
      </c>
      <c r="AZ239" s="435" t="s">
        <v>546</v>
      </c>
      <c r="BA239" s="435" t="s">
        <v>546</v>
      </c>
      <c r="BB239" s="435" t="s">
        <v>546</v>
      </c>
      <c r="BC239" s="435" t="s">
        <v>546</v>
      </c>
      <c r="BD239" s="435" t="s">
        <v>546</v>
      </c>
      <c r="BE239" s="435" t="s">
        <v>546</v>
      </c>
      <c r="BI239" s="382" t="s">
        <v>4867</v>
      </c>
      <c r="BJ239" s="435" t="s">
        <v>546</v>
      </c>
      <c r="BK239" s="435" t="s">
        <v>546</v>
      </c>
      <c r="BL239" s="435" t="s">
        <v>546</v>
      </c>
      <c r="BM239" s="435"/>
      <c r="BP239" s="382"/>
      <c r="BQ239" s="382"/>
      <c r="BR239" s="439"/>
      <c r="BS239" s="439"/>
      <c r="BT239" s="439"/>
      <c r="BU239" s="439"/>
      <c r="BV239" s="439"/>
      <c r="BW239" s="439"/>
      <c r="BX239" s="439"/>
      <c r="BY239" s="439"/>
      <c r="BZ239" s="439"/>
      <c r="CD239" s="1067"/>
      <c r="CE239" s="1067"/>
      <c r="CF239" s="1067"/>
      <c r="CG239" s="1067"/>
      <c r="CH239" s="1067"/>
      <c r="CI239" s="1067"/>
      <c r="CJ239" s="1067"/>
      <c r="CL239" s="1062"/>
      <c r="CM239" s="1062"/>
    </row>
    <row r="240" spans="47:91">
      <c r="AU240" s="382" t="s">
        <v>4880</v>
      </c>
      <c r="AV240" s="435" t="s">
        <v>546</v>
      </c>
      <c r="AW240" s="435" t="s">
        <v>546</v>
      </c>
      <c r="AX240" s="435" t="s">
        <v>546</v>
      </c>
      <c r="AY240" s="435" t="s">
        <v>546</v>
      </c>
      <c r="AZ240" s="435" t="s">
        <v>546</v>
      </c>
      <c r="BA240" s="435" t="s">
        <v>546</v>
      </c>
      <c r="BB240" s="435" t="s">
        <v>546</v>
      </c>
      <c r="BC240" s="435" t="s">
        <v>546</v>
      </c>
      <c r="BD240" s="435" t="s">
        <v>546</v>
      </c>
      <c r="BE240" s="435" t="s">
        <v>546</v>
      </c>
      <c r="BI240" s="382" t="s">
        <v>4880</v>
      </c>
      <c r="BJ240" s="435" t="s">
        <v>546</v>
      </c>
      <c r="BK240" s="435" t="s">
        <v>546</v>
      </c>
      <c r="BL240" s="435" t="s">
        <v>546</v>
      </c>
      <c r="BM240" s="435"/>
      <c r="BP240" s="382"/>
      <c r="BQ240" s="382"/>
      <c r="BR240" s="439"/>
      <c r="BS240" s="439"/>
      <c r="BT240" s="439"/>
      <c r="BU240" s="439"/>
      <c r="BV240" s="439"/>
      <c r="BW240" s="439"/>
      <c r="BX240" s="439"/>
      <c r="BY240" s="439"/>
      <c r="BZ240" s="439"/>
      <c r="CD240" s="1067"/>
      <c r="CE240" s="1067"/>
      <c r="CF240" s="1067"/>
      <c r="CG240" s="1067"/>
      <c r="CH240" s="1067"/>
      <c r="CI240" s="1067"/>
      <c r="CJ240" s="1067"/>
      <c r="CL240" s="1062"/>
      <c r="CM240" s="1062"/>
    </row>
    <row r="241" spans="47:91">
      <c r="AU241" s="382" t="s">
        <v>4892</v>
      </c>
      <c r="AV241" s="435" t="s">
        <v>546</v>
      </c>
      <c r="AW241" s="435" t="s">
        <v>546</v>
      </c>
      <c r="AX241" s="435" t="s">
        <v>546</v>
      </c>
      <c r="AY241" s="435" t="s">
        <v>546</v>
      </c>
      <c r="AZ241" s="435" t="s">
        <v>546</v>
      </c>
      <c r="BA241" s="435" t="s">
        <v>546</v>
      </c>
      <c r="BB241" s="435" t="s">
        <v>546</v>
      </c>
      <c r="BC241" s="435" t="s">
        <v>546</v>
      </c>
      <c r="BD241" s="435" t="s">
        <v>546</v>
      </c>
      <c r="BE241" s="435" t="s">
        <v>546</v>
      </c>
      <c r="BI241" s="382" t="s">
        <v>4892</v>
      </c>
      <c r="BJ241" s="435" t="s">
        <v>546</v>
      </c>
      <c r="BK241" s="435" t="s">
        <v>546</v>
      </c>
      <c r="BL241" s="435" t="s">
        <v>546</v>
      </c>
      <c r="BM241" s="435"/>
      <c r="BP241" s="382"/>
      <c r="BQ241" s="382"/>
      <c r="BR241" s="439"/>
      <c r="BS241" s="439"/>
      <c r="BT241" s="439"/>
      <c r="BU241" s="439"/>
      <c r="BV241" s="439"/>
      <c r="BW241" s="439"/>
      <c r="BX241" s="439"/>
      <c r="BY241" s="439"/>
      <c r="BZ241" s="439"/>
      <c r="CD241" s="1067"/>
      <c r="CE241" s="1067"/>
      <c r="CF241" s="1067"/>
      <c r="CG241" s="1067"/>
      <c r="CH241" s="1067"/>
      <c r="CI241" s="1067"/>
      <c r="CJ241" s="1067"/>
      <c r="CL241" s="1062"/>
      <c r="CM241" s="1062"/>
    </row>
    <row r="242" spans="47:91">
      <c r="AU242" s="382" t="s">
        <v>4898</v>
      </c>
      <c r="AV242" s="435" t="s">
        <v>546</v>
      </c>
      <c r="AW242" s="435" t="s">
        <v>546</v>
      </c>
      <c r="AX242" s="435" t="s">
        <v>546</v>
      </c>
      <c r="AY242" s="435" t="s">
        <v>546</v>
      </c>
      <c r="AZ242" s="435" t="s">
        <v>546</v>
      </c>
      <c r="BA242" s="435" t="s">
        <v>546</v>
      </c>
      <c r="BB242" s="435" t="s">
        <v>546</v>
      </c>
      <c r="BC242" s="435" t="s">
        <v>546</v>
      </c>
      <c r="BD242" s="435" t="s">
        <v>546</v>
      </c>
      <c r="BE242" s="435" t="s">
        <v>546</v>
      </c>
      <c r="BI242" s="382" t="s">
        <v>4898</v>
      </c>
      <c r="BJ242" s="435">
        <f>SUM(BK242:BL242)</f>
        <v>5</v>
      </c>
      <c r="BK242" s="463">
        <v>4</v>
      </c>
      <c r="BL242" s="463">
        <v>1</v>
      </c>
      <c r="BM242" s="435"/>
      <c r="BP242" s="382"/>
      <c r="BQ242" s="382"/>
      <c r="BR242" s="439"/>
      <c r="BS242" s="439"/>
      <c r="BT242" s="439"/>
      <c r="BU242" s="439"/>
      <c r="BV242" s="439"/>
      <c r="BW242" s="439"/>
      <c r="BX242" s="439"/>
      <c r="BY242" s="439"/>
      <c r="BZ242" s="439"/>
      <c r="CD242" s="1067"/>
      <c r="CE242" s="1067"/>
      <c r="CF242" s="1067"/>
      <c r="CG242" s="1067"/>
      <c r="CH242" s="1067"/>
      <c r="CI242" s="1067"/>
      <c r="CJ242" s="1067"/>
      <c r="CL242" s="1062"/>
      <c r="CM242" s="1062"/>
    </row>
    <row r="243" spans="47:91">
      <c r="AU243" s="382" t="s">
        <v>4904</v>
      </c>
      <c r="AV243" s="435">
        <f t="shared" ref="AV243:AV248" si="102">SUM(AW243:BE243)</f>
        <v>32</v>
      </c>
      <c r="AW243" s="435" t="s">
        <v>546</v>
      </c>
      <c r="AX243" s="435" t="s">
        <v>546</v>
      </c>
      <c r="AY243" s="435" t="s">
        <v>546</v>
      </c>
      <c r="AZ243" s="525">
        <v>1</v>
      </c>
      <c r="BA243" s="525">
        <v>8</v>
      </c>
      <c r="BB243" s="525">
        <v>21</v>
      </c>
      <c r="BC243" s="525">
        <v>2</v>
      </c>
      <c r="BD243" s="435" t="s">
        <v>546</v>
      </c>
      <c r="BE243" s="435" t="s">
        <v>546</v>
      </c>
      <c r="BI243" s="382" t="s">
        <v>4904</v>
      </c>
      <c r="BJ243" s="435">
        <f t="shared" ref="BJ243:BJ248" si="103">SUM(BK243:BL243)</f>
        <v>182</v>
      </c>
      <c r="BK243" s="463">
        <v>93</v>
      </c>
      <c r="BL243" s="463">
        <v>89</v>
      </c>
      <c r="BM243" s="435"/>
      <c r="BP243" s="382"/>
      <c r="BQ243" s="382"/>
      <c r="BR243" s="382"/>
      <c r="BS243" s="382"/>
      <c r="BT243" s="382"/>
      <c r="BU243" s="382"/>
      <c r="BV243" s="382"/>
      <c r="BW243" s="382"/>
      <c r="BX243" s="382"/>
      <c r="BY243" s="382"/>
      <c r="BZ243" s="382"/>
      <c r="CD243" s="1067"/>
      <c r="CE243" s="1067"/>
      <c r="CF243" s="1067"/>
      <c r="CG243" s="1067"/>
      <c r="CH243" s="1067"/>
      <c r="CI243" s="1067"/>
      <c r="CJ243" s="1067"/>
      <c r="CL243" s="1062"/>
      <c r="CM243" s="1062"/>
    </row>
    <row r="244" spans="47:91">
      <c r="AU244" s="382" t="s">
        <v>4907</v>
      </c>
      <c r="AV244" s="435">
        <f t="shared" si="102"/>
        <v>57</v>
      </c>
      <c r="AW244" s="435" t="s">
        <v>546</v>
      </c>
      <c r="AX244" s="435">
        <v>1</v>
      </c>
      <c r="AY244" s="435">
        <v>2</v>
      </c>
      <c r="AZ244" s="435">
        <v>2</v>
      </c>
      <c r="BA244" s="525">
        <v>3</v>
      </c>
      <c r="BB244" s="525">
        <v>25</v>
      </c>
      <c r="BC244" s="525">
        <v>23</v>
      </c>
      <c r="BD244" s="525">
        <v>1</v>
      </c>
      <c r="BE244" s="435" t="s">
        <v>546</v>
      </c>
      <c r="BI244" s="382" t="s">
        <v>4907</v>
      </c>
      <c r="BJ244" s="435">
        <f t="shared" si="103"/>
        <v>365</v>
      </c>
      <c r="BK244" s="463">
        <v>177</v>
      </c>
      <c r="BL244" s="463">
        <v>188</v>
      </c>
      <c r="BM244" s="463"/>
      <c r="BP244" s="382"/>
      <c r="BQ244" s="382"/>
      <c r="BR244" s="382"/>
      <c r="BS244" s="382"/>
      <c r="BT244" s="382"/>
      <c r="BU244" s="382"/>
      <c r="BV244" s="382"/>
      <c r="BW244" s="382"/>
      <c r="BX244" s="382"/>
      <c r="BY244" s="382"/>
      <c r="BZ244" s="382"/>
      <c r="CD244" s="1067"/>
      <c r="CE244" s="1067"/>
      <c r="CF244" s="1067"/>
      <c r="CG244" s="1067"/>
      <c r="CH244" s="1067"/>
      <c r="CI244" s="1067"/>
      <c r="CJ244" s="1067"/>
      <c r="CL244" s="1062"/>
      <c r="CM244" s="1062"/>
    </row>
    <row r="245" spans="47:91">
      <c r="AU245" s="382" t="s">
        <v>4909</v>
      </c>
      <c r="AV245" s="435">
        <f t="shared" si="102"/>
        <v>49</v>
      </c>
      <c r="AW245" s="435" t="s">
        <v>546</v>
      </c>
      <c r="AX245" s="435" t="s">
        <v>546</v>
      </c>
      <c r="AY245" s="435">
        <v>1</v>
      </c>
      <c r="AZ245" s="435" t="s">
        <v>546</v>
      </c>
      <c r="BA245" s="525">
        <v>3</v>
      </c>
      <c r="BB245" s="525">
        <v>18</v>
      </c>
      <c r="BC245" s="525">
        <v>19</v>
      </c>
      <c r="BD245" s="525">
        <v>8</v>
      </c>
      <c r="BE245" s="435" t="s">
        <v>546</v>
      </c>
      <c r="BI245" s="382" t="s">
        <v>4909</v>
      </c>
      <c r="BJ245" s="435">
        <f t="shared" si="103"/>
        <v>353</v>
      </c>
      <c r="BK245" s="463">
        <v>159</v>
      </c>
      <c r="BL245" s="463">
        <v>194</v>
      </c>
      <c r="BM245" s="463"/>
      <c r="BP245" s="382"/>
      <c r="BQ245" s="382"/>
      <c r="BR245" s="382"/>
      <c r="BS245" s="382"/>
      <c r="BT245" s="382"/>
      <c r="BU245" s="382"/>
      <c r="BV245" s="382"/>
      <c r="BW245" s="382"/>
      <c r="BX245" s="382"/>
      <c r="BY245" s="382"/>
      <c r="BZ245" s="382"/>
      <c r="CD245" s="1067"/>
      <c r="CE245" s="1067"/>
      <c r="CF245" s="1067"/>
      <c r="CG245" s="1067"/>
      <c r="CH245" s="1067"/>
      <c r="CI245" s="1067"/>
      <c r="CJ245" s="1067"/>
      <c r="CL245" s="1062"/>
      <c r="CM245" s="1062"/>
    </row>
    <row r="246" spans="47:91">
      <c r="AU246" s="382" t="s">
        <v>4911</v>
      </c>
      <c r="AV246" s="435">
        <f t="shared" si="102"/>
        <v>12</v>
      </c>
      <c r="AW246" s="435" t="s">
        <v>546</v>
      </c>
      <c r="AX246" s="435" t="s">
        <v>546</v>
      </c>
      <c r="AY246" s="435" t="s">
        <v>546</v>
      </c>
      <c r="AZ246" s="435" t="s">
        <v>546</v>
      </c>
      <c r="BA246" s="435" t="s">
        <v>546</v>
      </c>
      <c r="BB246" s="525">
        <v>2</v>
      </c>
      <c r="BC246" s="435">
        <v>6</v>
      </c>
      <c r="BD246" s="525">
        <v>2</v>
      </c>
      <c r="BE246" s="435">
        <v>2</v>
      </c>
      <c r="BI246" s="382" t="s">
        <v>4911</v>
      </c>
      <c r="BJ246" s="435">
        <f t="shared" si="103"/>
        <v>208</v>
      </c>
      <c r="BK246" s="463">
        <v>101</v>
      </c>
      <c r="BL246" s="463">
        <v>107</v>
      </c>
      <c r="BM246" s="463"/>
      <c r="BP246" s="382"/>
      <c r="BQ246" s="382"/>
      <c r="BR246" s="382"/>
      <c r="BS246" s="382"/>
      <c r="BT246" s="382"/>
      <c r="BU246" s="382"/>
      <c r="BV246" s="382"/>
      <c r="BW246" s="382"/>
      <c r="BX246" s="382"/>
      <c r="BY246" s="382"/>
      <c r="BZ246" s="382"/>
      <c r="CD246" s="1067"/>
      <c r="CE246" s="1067"/>
      <c r="CF246" s="1067"/>
      <c r="CG246" s="1067"/>
      <c r="CH246" s="1067"/>
      <c r="CI246" s="1067"/>
      <c r="CJ246" s="1067"/>
      <c r="CL246" s="1062"/>
      <c r="CM246" s="1062"/>
    </row>
    <row r="247" spans="47:91">
      <c r="AU247" s="382" t="s">
        <v>4914</v>
      </c>
      <c r="AV247" s="435">
        <f t="shared" si="102"/>
        <v>3</v>
      </c>
      <c r="AW247" s="435" t="s">
        <v>546</v>
      </c>
      <c r="AX247" s="435" t="s">
        <v>546</v>
      </c>
      <c r="AY247" s="435" t="s">
        <v>546</v>
      </c>
      <c r="AZ247" s="435" t="s">
        <v>546</v>
      </c>
      <c r="BA247" s="435" t="s">
        <v>546</v>
      </c>
      <c r="BB247" s="862">
        <v>2</v>
      </c>
      <c r="BC247" s="435" t="s">
        <v>546</v>
      </c>
      <c r="BD247" s="435" t="s">
        <v>546</v>
      </c>
      <c r="BE247" s="435">
        <v>1</v>
      </c>
      <c r="BI247" s="382" t="s">
        <v>4914</v>
      </c>
      <c r="BJ247" s="435">
        <f t="shared" si="103"/>
        <v>76</v>
      </c>
      <c r="BK247" s="463">
        <v>30</v>
      </c>
      <c r="BL247" s="463">
        <v>46</v>
      </c>
      <c r="BM247" s="463"/>
      <c r="BP247" s="382"/>
      <c r="BQ247" s="382"/>
      <c r="BR247" s="382"/>
      <c r="BS247" s="382"/>
      <c r="BT247" s="382"/>
      <c r="BU247" s="382"/>
      <c r="BV247" s="382"/>
      <c r="BW247" s="382"/>
      <c r="BX247" s="382"/>
      <c r="BY247" s="382"/>
      <c r="BZ247" s="382"/>
      <c r="CD247" s="1067"/>
      <c r="CE247" s="1067"/>
      <c r="CF247" s="1067"/>
      <c r="CG247" s="1067"/>
      <c r="CH247" s="1067"/>
      <c r="CI247" s="1067"/>
      <c r="CJ247" s="1067"/>
      <c r="CL247" s="1062"/>
      <c r="CM247" s="1062"/>
    </row>
    <row r="248" spans="47:91">
      <c r="AU248" s="381" t="s">
        <v>4916</v>
      </c>
      <c r="AV248" s="556">
        <f t="shared" si="102"/>
        <v>1</v>
      </c>
      <c r="AW248" s="556" t="s">
        <v>546</v>
      </c>
      <c r="AX248" s="556">
        <v>1</v>
      </c>
      <c r="AY248" s="556" t="s">
        <v>546</v>
      </c>
      <c r="AZ248" s="556" t="s">
        <v>546</v>
      </c>
      <c r="BA248" s="556" t="s">
        <v>546</v>
      </c>
      <c r="BB248" s="556" t="s">
        <v>546</v>
      </c>
      <c r="BC248" s="556" t="s">
        <v>546</v>
      </c>
      <c r="BD248" s="556" t="s">
        <v>546</v>
      </c>
      <c r="BE248" s="556" t="s">
        <v>546</v>
      </c>
      <c r="BI248" s="382" t="s">
        <v>4916</v>
      </c>
      <c r="BJ248" s="435">
        <f t="shared" si="103"/>
        <v>37</v>
      </c>
      <c r="BK248" s="463">
        <v>11</v>
      </c>
      <c r="BL248" s="463">
        <v>26</v>
      </c>
      <c r="BM248" s="463"/>
      <c r="BP248" s="382"/>
      <c r="BQ248" s="439"/>
      <c r="BR248" s="2073"/>
      <c r="BS248" s="2073"/>
      <c r="BT248" s="2073"/>
      <c r="BU248" s="2073"/>
      <c r="BV248" s="2073"/>
      <c r="BW248" s="2073"/>
      <c r="BX248" s="2073"/>
      <c r="BY248" s="2073"/>
      <c r="BZ248" s="2073"/>
      <c r="CD248" s="1067"/>
      <c r="CE248" s="1067"/>
      <c r="CF248" s="1067"/>
      <c r="CG248" s="1067"/>
      <c r="CH248" s="1067"/>
      <c r="CI248" s="1067"/>
      <c r="CJ248" s="1067"/>
      <c r="CL248" s="1062"/>
      <c r="CM248" s="1062"/>
    </row>
    <row r="249" spans="47:91">
      <c r="AU249" s="382" t="s">
        <v>4932</v>
      </c>
      <c r="BI249" s="382"/>
      <c r="BJ249" s="463"/>
      <c r="BK249" s="463"/>
      <c r="BL249" s="463"/>
      <c r="BM249" s="463"/>
      <c r="BP249" s="382"/>
      <c r="BQ249" s="439"/>
      <c r="BR249" s="439"/>
      <c r="BS249" s="439"/>
      <c r="BT249" s="439"/>
      <c r="BU249" s="439"/>
      <c r="BV249" s="439"/>
      <c r="BW249" s="439"/>
      <c r="BX249" s="439"/>
      <c r="BY249" s="439"/>
      <c r="BZ249" s="439"/>
    </row>
    <row r="250" spans="47:91">
      <c r="BI250" s="382" t="s">
        <v>4969</v>
      </c>
      <c r="BJ250" s="463">
        <f>SUM(BK250:BL250)</f>
        <v>1072</v>
      </c>
      <c r="BK250" s="463">
        <f>SUM(BK251:BK262)</f>
        <v>437</v>
      </c>
      <c r="BL250" s="463">
        <f>SUM(BL251:BL262)</f>
        <v>635</v>
      </c>
      <c r="BM250" s="463"/>
      <c r="BP250" s="382"/>
      <c r="BQ250" s="439"/>
      <c r="BR250" s="439"/>
      <c r="BS250" s="439"/>
      <c r="BT250" s="439"/>
      <c r="BU250" s="439"/>
      <c r="BV250" s="439"/>
      <c r="BW250" s="439"/>
      <c r="BX250" s="439"/>
      <c r="BY250" s="439"/>
      <c r="BZ250" s="439"/>
      <c r="CD250" s="382"/>
      <c r="CE250" s="382"/>
      <c r="CF250" s="382"/>
      <c r="CG250" s="382"/>
      <c r="CH250" s="382"/>
      <c r="CI250" s="382"/>
      <c r="CJ250" s="382"/>
    </row>
    <row r="251" spans="47:91">
      <c r="BI251" s="382" t="s">
        <v>4855</v>
      </c>
      <c r="BJ251" s="435" t="s">
        <v>546</v>
      </c>
      <c r="BK251" s="435" t="s">
        <v>546</v>
      </c>
      <c r="BL251" s="435" t="s">
        <v>546</v>
      </c>
      <c r="BM251" s="463"/>
      <c r="BP251" s="1066"/>
      <c r="BQ251" s="463"/>
      <c r="BR251" s="463"/>
      <c r="BS251" s="463"/>
      <c r="BT251" s="463"/>
      <c r="BU251" s="463"/>
      <c r="BV251" s="463"/>
      <c r="BW251" s="463"/>
      <c r="BX251" s="463"/>
      <c r="BY251" s="463"/>
      <c r="BZ251" s="463"/>
      <c r="CD251" s="382"/>
      <c r="CE251" s="382"/>
      <c r="CF251" s="382"/>
      <c r="CG251" s="382"/>
      <c r="CH251" s="382"/>
      <c r="CI251" s="382"/>
      <c r="CJ251" s="382"/>
      <c r="CK251" s="382"/>
    </row>
    <row r="252" spans="47:91">
      <c r="BI252" s="382" t="s">
        <v>4861</v>
      </c>
      <c r="BJ252" s="435" t="s">
        <v>546</v>
      </c>
      <c r="BK252" s="435" t="s">
        <v>546</v>
      </c>
      <c r="BL252" s="435" t="s">
        <v>546</v>
      </c>
      <c r="BM252" s="463"/>
      <c r="BP252" s="382"/>
      <c r="BQ252" s="463"/>
      <c r="BR252" s="435"/>
      <c r="BS252" s="435"/>
      <c r="BT252" s="435"/>
      <c r="BU252" s="435"/>
      <c r="BV252" s="435"/>
      <c r="BW252" s="435"/>
      <c r="BX252" s="435"/>
      <c r="BY252" s="435"/>
      <c r="BZ252" s="435"/>
      <c r="CD252" s="1067"/>
      <c r="CE252" s="1067"/>
      <c r="CF252" s="1067"/>
      <c r="CG252" s="1067"/>
      <c r="CH252" s="1067"/>
      <c r="CI252" s="1067"/>
      <c r="CJ252" s="1067"/>
      <c r="CK252" s="382"/>
      <c r="CL252" s="1062"/>
      <c r="CM252" s="1062"/>
    </row>
    <row r="253" spans="47:91">
      <c r="AU253" s="382" t="s">
        <v>5014</v>
      </c>
      <c r="AV253" s="382"/>
      <c r="AW253" s="382"/>
      <c r="AX253" s="382"/>
      <c r="AY253" s="382"/>
      <c r="AZ253" s="382"/>
      <c r="BA253" s="382"/>
      <c r="BB253" s="382"/>
      <c r="BC253" s="382"/>
      <c r="BD253" s="382"/>
      <c r="BE253" s="870"/>
      <c r="BI253" s="382" t="s">
        <v>4867</v>
      </c>
      <c r="BJ253" s="435" t="s">
        <v>546</v>
      </c>
      <c r="BK253" s="435" t="s">
        <v>546</v>
      </c>
      <c r="BL253" s="435" t="s">
        <v>546</v>
      </c>
      <c r="BM253" s="435"/>
      <c r="BP253" s="382"/>
      <c r="BQ253" s="439"/>
      <c r="BR253" s="439"/>
      <c r="BS253" s="439"/>
      <c r="BT253" s="439"/>
      <c r="BU253" s="439"/>
      <c r="BV253" s="439"/>
      <c r="BW253" s="439"/>
      <c r="BX253" s="439"/>
      <c r="BY253" s="439"/>
      <c r="BZ253" s="439"/>
      <c r="CD253" s="1067"/>
      <c r="CE253" s="1067"/>
      <c r="CF253" s="1067"/>
      <c r="CG253" s="1067"/>
      <c r="CH253" s="1067"/>
      <c r="CI253" s="1067"/>
      <c r="CJ253" s="1067"/>
      <c r="CK253" s="382"/>
      <c r="CL253" s="1062"/>
      <c r="CM253" s="1062"/>
    </row>
    <row r="254" spans="47:91">
      <c r="AU254" s="597"/>
      <c r="AV254" s="404" t="s">
        <v>129</v>
      </c>
      <c r="AW254" s="2098" t="s">
        <v>4829</v>
      </c>
      <c r="AX254" s="2098"/>
      <c r="AY254" s="2098"/>
      <c r="AZ254" s="2098"/>
      <c r="BA254" s="2098"/>
      <c r="BB254" s="2098"/>
      <c r="BC254" s="2098"/>
      <c r="BD254" s="2098"/>
      <c r="BE254" s="2078"/>
      <c r="BI254" s="382" t="s">
        <v>4880</v>
      </c>
      <c r="BJ254" s="435" t="s">
        <v>546</v>
      </c>
      <c r="BK254" s="435" t="s">
        <v>546</v>
      </c>
      <c r="BL254" s="435" t="s">
        <v>546</v>
      </c>
      <c r="BM254" s="435"/>
      <c r="BP254" s="382"/>
      <c r="BQ254" s="463"/>
      <c r="BR254" s="439"/>
      <c r="BS254" s="439"/>
      <c r="BT254" s="439"/>
      <c r="BU254" s="439"/>
      <c r="BV254" s="439"/>
      <c r="BW254" s="439"/>
      <c r="BX254" s="439"/>
      <c r="BY254" s="439"/>
      <c r="BZ254" s="439"/>
      <c r="CD254" s="1067"/>
      <c r="CE254" s="1067"/>
      <c r="CF254" s="1067"/>
      <c r="CG254" s="1067"/>
      <c r="CH254" s="1067"/>
      <c r="CI254" s="1067"/>
      <c r="CJ254" s="1067"/>
      <c r="CK254" s="382"/>
      <c r="CL254" s="1062"/>
      <c r="CM254" s="1062"/>
    </row>
    <row r="255" spans="47:91">
      <c r="AU255" s="610" t="s">
        <v>2449</v>
      </c>
      <c r="AV255" s="441" t="s">
        <v>4832</v>
      </c>
      <c r="AW255" s="642" t="s">
        <v>4833</v>
      </c>
      <c r="AX255" s="1054" t="s">
        <v>4834</v>
      </c>
      <c r="AY255" s="1054" t="s">
        <v>4835</v>
      </c>
      <c r="AZ255" s="642" t="s">
        <v>4836</v>
      </c>
      <c r="BA255" s="642" t="s">
        <v>2452</v>
      </c>
      <c r="BB255" s="642" t="s">
        <v>2453</v>
      </c>
      <c r="BC255" s="642" t="s">
        <v>2454</v>
      </c>
      <c r="BD255" s="642" t="s">
        <v>2455</v>
      </c>
      <c r="BE255" s="664" t="s">
        <v>4837</v>
      </c>
      <c r="BI255" s="382" t="s">
        <v>4892</v>
      </c>
      <c r="BJ255" s="435" t="s">
        <v>546</v>
      </c>
      <c r="BK255" s="435" t="s">
        <v>546</v>
      </c>
      <c r="BL255" s="435" t="s">
        <v>546</v>
      </c>
      <c r="BM255" s="435"/>
      <c r="BP255" s="382"/>
      <c r="BQ255" s="463"/>
      <c r="BR255" s="439"/>
      <c r="BS255" s="439"/>
      <c r="BT255" s="439"/>
      <c r="BU255" s="439"/>
      <c r="BV255" s="439"/>
      <c r="BW255" s="439"/>
      <c r="BX255" s="439"/>
      <c r="BY255" s="439"/>
      <c r="BZ255" s="439"/>
      <c r="CD255" s="1067"/>
      <c r="CE255" s="1067"/>
      <c r="CF255" s="1067"/>
      <c r="CG255" s="1067"/>
      <c r="CH255" s="1067"/>
      <c r="CI255" s="1067"/>
      <c r="CJ255" s="1067"/>
      <c r="CK255" s="382"/>
      <c r="CL255" s="1062"/>
      <c r="CM255" s="1062"/>
    </row>
    <row r="256" spans="47:91">
      <c r="AU256" s="382" t="s">
        <v>4852</v>
      </c>
      <c r="AV256" s="525">
        <f>SUM(AV257:AV268)</f>
        <v>2994</v>
      </c>
      <c r="AW256" s="525">
        <f t="shared" ref="AW256:BC256" si="104">SUM(AW257:AW268)</f>
        <v>265</v>
      </c>
      <c r="AX256" s="525">
        <f t="shared" si="104"/>
        <v>883</v>
      </c>
      <c r="AY256" s="525">
        <f t="shared" si="104"/>
        <v>597</v>
      </c>
      <c r="AZ256" s="525">
        <f t="shared" si="104"/>
        <v>442</v>
      </c>
      <c r="BA256" s="525">
        <f t="shared" si="104"/>
        <v>466</v>
      </c>
      <c r="BB256" s="525">
        <f t="shared" si="104"/>
        <v>250</v>
      </c>
      <c r="BC256" s="525">
        <f t="shared" si="104"/>
        <v>72</v>
      </c>
      <c r="BD256" s="525">
        <f>SUM(BD257:BD268)</f>
        <v>18</v>
      </c>
      <c r="BE256" s="525">
        <f>SUM(BE257:BE268)</f>
        <v>1</v>
      </c>
      <c r="BI256" s="382" t="s">
        <v>4898</v>
      </c>
      <c r="BJ256" s="435">
        <f>SUM(BK256:BL256)</f>
        <v>5</v>
      </c>
      <c r="BK256" s="435">
        <v>4</v>
      </c>
      <c r="BL256" s="435">
        <v>1</v>
      </c>
      <c r="BM256" s="435"/>
      <c r="BP256" s="382"/>
      <c r="BQ256" s="463"/>
      <c r="BR256" s="439"/>
      <c r="BS256" s="439"/>
      <c r="BT256" s="439"/>
      <c r="BU256" s="439"/>
      <c r="BV256" s="439"/>
      <c r="BW256" s="439"/>
      <c r="BX256" s="439"/>
      <c r="BY256" s="439"/>
      <c r="BZ256" s="439"/>
      <c r="CD256" s="1067"/>
      <c r="CE256" s="1067"/>
      <c r="CF256" s="1067"/>
      <c r="CG256" s="1067"/>
      <c r="CH256" s="1067"/>
      <c r="CI256" s="1067"/>
      <c r="CJ256" s="1067"/>
      <c r="CK256" s="382"/>
      <c r="CL256" s="1062"/>
      <c r="CM256" s="1062"/>
    </row>
    <row r="257" spans="47:91">
      <c r="AU257" s="382" t="s">
        <v>4855</v>
      </c>
      <c r="AV257" s="435">
        <f>SUM(AW257:BE257)</f>
        <v>0</v>
      </c>
      <c r="AW257" s="435" t="s">
        <v>546</v>
      </c>
      <c r="AX257" s="435" t="s">
        <v>546</v>
      </c>
      <c r="AY257" s="435" t="s">
        <v>546</v>
      </c>
      <c r="AZ257" s="435" t="s">
        <v>546</v>
      </c>
      <c r="BA257" s="435" t="s">
        <v>546</v>
      </c>
      <c r="BB257" s="435" t="s">
        <v>546</v>
      </c>
      <c r="BC257" s="435" t="s">
        <v>546</v>
      </c>
      <c r="BD257" s="435" t="s">
        <v>546</v>
      </c>
      <c r="BE257" s="435" t="s">
        <v>546</v>
      </c>
      <c r="BI257" s="382" t="s">
        <v>4904</v>
      </c>
      <c r="BJ257" s="435">
        <f t="shared" ref="BJ257:BJ262" si="105">SUM(BK257:BL257)</f>
        <v>150</v>
      </c>
      <c r="BK257" s="463">
        <v>62</v>
      </c>
      <c r="BL257" s="463">
        <v>88</v>
      </c>
      <c r="BM257" s="435"/>
      <c r="BP257" s="382"/>
      <c r="BQ257" s="463"/>
      <c r="BR257" s="439"/>
      <c r="BS257" s="439"/>
      <c r="BT257" s="439"/>
      <c r="BU257" s="439"/>
      <c r="BV257" s="439"/>
      <c r="BW257" s="439"/>
      <c r="BX257" s="439"/>
      <c r="BY257" s="439"/>
      <c r="BZ257" s="439"/>
      <c r="CD257" s="1067"/>
      <c r="CE257" s="1067"/>
      <c r="CF257" s="1067"/>
      <c r="CG257" s="1067"/>
      <c r="CH257" s="1067"/>
      <c r="CI257" s="1067"/>
      <c r="CJ257" s="1067"/>
      <c r="CK257" s="382"/>
      <c r="CL257" s="1062"/>
      <c r="CM257" s="1062"/>
    </row>
    <row r="258" spans="47:91">
      <c r="AU258" s="382" t="s">
        <v>4861</v>
      </c>
      <c r="AV258" s="525">
        <f>SUM(AW258:BE258)</f>
        <v>12</v>
      </c>
      <c r="AW258" s="862">
        <v>8</v>
      </c>
      <c r="AX258" s="862">
        <v>4</v>
      </c>
      <c r="AY258" s="435" t="s">
        <v>546</v>
      </c>
      <c r="AZ258" s="435" t="s">
        <v>546</v>
      </c>
      <c r="BA258" s="435" t="s">
        <v>546</v>
      </c>
      <c r="BB258" s="435" t="s">
        <v>546</v>
      </c>
      <c r="BC258" s="435" t="s">
        <v>546</v>
      </c>
      <c r="BD258" s="435" t="s">
        <v>546</v>
      </c>
      <c r="BE258" s="435" t="s">
        <v>546</v>
      </c>
      <c r="BI258" s="382" t="s">
        <v>4907</v>
      </c>
      <c r="BJ258" s="435">
        <f t="shared" si="105"/>
        <v>308</v>
      </c>
      <c r="BK258" s="463">
        <v>128</v>
      </c>
      <c r="BL258" s="463">
        <v>180</v>
      </c>
      <c r="BM258" s="463"/>
      <c r="BP258" s="382"/>
      <c r="BQ258" s="463"/>
      <c r="BR258" s="439"/>
      <c r="BS258" s="439"/>
      <c r="BT258" s="439"/>
      <c r="BU258" s="439"/>
      <c r="BV258" s="439"/>
      <c r="BW258" s="439"/>
      <c r="BX258" s="439"/>
      <c r="BY258" s="439"/>
      <c r="BZ258" s="439"/>
      <c r="CD258" s="1067"/>
      <c r="CE258" s="1067"/>
      <c r="CF258" s="1067"/>
      <c r="CG258" s="1067"/>
      <c r="CH258" s="1067"/>
      <c r="CI258" s="1067"/>
      <c r="CJ258" s="1067"/>
      <c r="CK258" s="382"/>
      <c r="CL258" s="1062"/>
      <c r="CM258" s="1062"/>
    </row>
    <row r="259" spans="47:91">
      <c r="AU259" s="382" t="s">
        <v>4867</v>
      </c>
      <c r="AV259" s="525">
        <f t="shared" ref="AV259:AV268" si="106">SUM(AW259:BE259)</f>
        <v>144</v>
      </c>
      <c r="AW259" s="862">
        <v>44</v>
      </c>
      <c r="AX259" s="862">
        <v>96</v>
      </c>
      <c r="AY259" s="862">
        <v>3</v>
      </c>
      <c r="AZ259" s="435">
        <v>1</v>
      </c>
      <c r="BA259" s="435" t="s">
        <v>546</v>
      </c>
      <c r="BB259" s="435" t="s">
        <v>546</v>
      </c>
      <c r="BC259" s="435" t="s">
        <v>546</v>
      </c>
      <c r="BD259" s="435" t="s">
        <v>546</v>
      </c>
      <c r="BE259" s="435" t="s">
        <v>546</v>
      </c>
      <c r="BI259" s="382" t="s">
        <v>4909</v>
      </c>
      <c r="BJ259" s="435">
        <f t="shared" si="105"/>
        <v>304</v>
      </c>
      <c r="BK259" s="463">
        <v>113</v>
      </c>
      <c r="BL259" s="463">
        <v>191</v>
      </c>
      <c r="BM259" s="463"/>
      <c r="BP259" s="382"/>
      <c r="BQ259" s="463"/>
      <c r="BR259" s="439"/>
      <c r="BS259" s="439"/>
      <c r="BT259" s="439"/>
      <c r="BU259" s="439"/>
      <c r="BV259" s="439"/>
      <c r="BW259" s="439"/>
      <c r="BX259" s="439"/>
      <c r="BY259" s="439"/>
      <c r="BZ259" s="439"/>
      <c r="CD259" s="1067"/>
      <c r="CE259" s="1067"/>
      <c r="CF259" s="1067"/>
      <c r="CG259" s="1067"/>
      <c r="CH259" s="1067"/>
      <c r="CI259" s="1067"/>
      <c r="CJ259" s="1067"/>
      <c r="CK259" s="382"/>
      <c r="CL259" s="1062"/>
      <c r="CM259" s="1062"/>
    </row>
    <row r="260" spans="47:91">
      <c r="AU260" s="382" t="s">
        <v>4880</v>
      </c>
      <c r="AV260" s="525">
        <f t="shared" si="106"/>
        <v>355</v>
      </c>
      <c r="AW260" s="862">
        <v>70</v>
      </c>
      <c r="AX260" s="862">
        <v>224</v>
      </c>
      <c r="AY260" s="862">
        <v>59</v>
      </c>
      <c r="AZ260" s="435">
        <v>1</v>
      </c>
      <c r="BA260" s="435" t="s">
        <v>546</v>
      </c>
      <c r="BB260" s="435" t="s">
        <v>546</v>
      </c>
      <c r="BC260" s="435" t="s">
        <v>546</v>
      </c>
      <c r="BD260" s="435" t="s">
        <v>546</v>
      </c>
      <c r="BE260" s="435">
        <v>1</v>
      </c>
      <c r="BI260" s="382" t="s">
        <v>4911</v>
      </c>
      <c r="BJ260" s="435">
        <f t="shared" si="105"/>
        <v>196</v>
      </c>
      <c r="BK260" s="463">
        <v>92</v>
      </c>
      <c r="BL260" s="463">
        <v>104</v>
      </c>
      <c r="BM260" s="463"/>
      <c r="BP260" s="382"/>
      <c r="BQ260" s="463"/>
      <c r="BR260" s="439"/>
      <c r="BS260" s="439"/>
      <c r="BT260" s="439"/>
      <c r="BU260" s="439"/>
      <c r="BV260" s="439"/>
      <c r="BW260" s="439"/>
      <c r="BX260" s="439"/>
      <c r="BY260" s="439"/>
      <c r="BZ260" s="439"/>
      <c r="CD260" s="1067"/>
      <c r="CE260" s="1067"/>
      <c r="CF260" s="1067"/>
      <c r="CG260" s="1067"/>
      <c r="CH260" s="1067"/>
      <c r="CI260" s="1067"/>
      <c r="CJ260" s="1067"/>
      <c r="CK260" s="382"/>
      <c r="CL260" s="1062"/>
      <c r="CM260" s="1062"/>
    </row>
    <row r="261" spans="47:91">
      <c r="AU261" s="382" t="s">
        <v>4892</v>
      </c>
      <c r="AV261" s="525">
        <f t="shared" si="106"/>
        <v>354</v>
      </c>
      <c r="AW261" s="862">
        <v>36</v>
      </c>
      <c r="AX261" s="862">
        <v>172</v>
      </c>
      <c r="AY261" s="862">
        <v>108</v>
      </c>
      <c r="AZ261" s="862">
        <v>36</v>
      </c>
      <c r="BA261" s="435">
        <v>2</v>
      </c>
      <c r="BB261" s="435" t="s">
        <v>546</v>
      </c>
      <c r="BC261" s="435" t="s">
        <v>546</v>
      </c>
      <c r="BD261" s="435" t="s">
        <v>546</v>
      </c>
      <c r="BE261" s="435" t="s">
        <v>546</v>
      </c>
      <c r="BI261" s="382" t="s">
        <v>4914</v>
      </c>
      <c r="BJ261" s="435">
        <f t="shared" si="105"/>
        <v>73</v>
      </c>
      <c r="BK261" s="463">
        <v>28</v>
      </c>
      <c r="BL261" s="463">
        <v>45</v>
      </c>
      <c r="BM261" s="463"/>
      <c r="BP261" s="382"/>
      <c r="BQ261" s="463"/>
      <c r="BR261" s="439"/>
      <c r="BS261" s="439"/>
      <c r="BT261" s="439"/>
      <c r="BU261" s="439"/>
      <c r="BV261" s="439"/>
      <c r="BW261" s="439"/>
      <c r="BX261" s="439"/>
      <c r="BY261" s="439"/>
      <c r="BZ261" s="439"/>
      <c r="CD261" s="1067"/>
      <c r="CE261" s="1067"/>
      <c r="CF261" s="1067"/>
      <c r="CG261" s="1067"/>
      <c r="CH261" s="1067"/>
      <c r="CI261" s="1067"/>
      <c r="CJ261" s="1067"/>
      <c r="CK261" s="382"/>
      <c r="CL261" s="1062"/>
      <c r="CM261" s="1062"/>
    </row>
    <row r="262" spans="47:91">
      <c r="AU262" s="382" t="s">
        <v>4898</v>
      </c>
      <c r="AV262" s="525">
        <f t="shared" si="106"/>
        <v>419</v>
      </c>
      <c r="AW262" s="525">
        <v>35</v>
      </c>
      <c r="AX262" s="525">
        <v>112</v>
      </c>
      <c r="AY262" s="525">
        <v>113</v>
      </c>
      <c r="AZ262" s="525">
        <v>94</v>
      </c>
      <c r="BA262" s="525">
        <v>63</v>
      </c>
      <c r="BB262" s="862">
        <v>1</v>
      </c>
      <c r="BC262" s="435">
        <v>1</v>
      </c>
      <c r="BD262" s="435" t="s">
        <v>546</v>
      </c>
      <c r="BE262" s="435" t="s">
        <v>546</v>
      </c>
      <c r="BI262" s="382" t="s">
        <v>4916</v>
      </c>
      <c r="BJ262" s="435">
        <f t="shared" si="105"/>
        <v>36</v>
      </c>
      <c r="BK262" s="463">
        <v>10</v>
      </c>
      <c r="BL262" s="435">
        <v>26</v>
      </c>
      <c r="BM262" s="463"/>
      <c r="BP262" s="382"/>
      <c r="BQ262" s="463"/>
      <c r="BR262" s="439"/>
      <c r="BS262" s="439"/>
      <c r="BT262" s="439"/>
      <c r="BU262" s="439"/>
      <c r="BV262" s="439"/>
      <c r="BW262" s="439"/>
      <c r="BX262" s="439"/>
      <c r="BY262" s="439"/>
      <c r="BZ262" s="439"/>
      <c r="CD262" s="1067"/>
      <c r="CE262" s="1067"/>
      <c r="CF262" s="1067"/>
      <c r="CG262" s="1067"/>
      <c r="CH262" s="1067"/>
      <c r="CI262" s="1067"/>
      <c r="CJ262" s="1067"/>
      <c r="CK262" s="382"/>
      <c r="CL262" s="1062"/>
      <c r="CM262" s="1062"/>
    </row>
    <row r="263" spans="47:91">
      <c r="AU263" s="382" t="s">
        <v>4904</v>
      </c>
      <c r="AV263" s="525">
        <f t="shared" si="106"/>
        <v>506</v>
      </c>
      <c r="AW263" s="525">
        <v>33</v>
      </c>
      <c r="AX263" s="525">
        <v>96</v>
      </c>
      <c r="AY263" s="525">
        <v>93</v>
      </c>
      <c r="AZ263" s="525">
        <v>81</v>
      </c>
      <c r="BA263" s="525">
        <v>143</v>
      </c>
      <c r="BB263" s="525">
        <v>59</v>
      </c>
      <c r="BC263" s="435">
        <v>1</v>
      </c>
      <c r="BD263" s="435" t="s">
        <v>546</v>
      </c>
      <c r="BE263" s="435" t="s">
        <v>546</v>
      </c>
      <c r="BJ263" s="525"/>
      <c r="BK263" s="525"/>
      <c r="BL263" s="525"/>
      <c r="BM263" s="463"/>
      <c r="BP263" s="382"/>
      <c r="BQ263" s="463"/>
      <c r="BR263" s="439"/>
      <c r="BS263" s="439"/>
      <c r="BT263" s="439"/>
      <c r="BU263" s="439"/>
      <c r="BV263" s="439"/>
      <c r="BW263" s="439"/>
      <c r="BX263" s="439"/>
      <c r="BY263" s="439"/>
      <c r="BZ263" s="439"/>
      <c r="CD263" s="1067"/>
      <c r="CE263" s="1067"/>
      <c r="CF263" s="1067"/>
      <c r="CG263" s="1067"/>
      <c r="CH263" s="1067"/>
      <c r="CI263" s="1067"/>
      <c r="CJ263" s="1067"/>
      <c r="CK263" s="382"/>
      <c r="CL263" s="1062"/>
      <c r="CM263" s="1062"/>
    </row>
    <row r="264" spans="47:91">
      <c r="AU264" s="382" t="s">
        <v>4907</v>
      </c>
      <c r="AV264" s="525">
        <f t="shared" si="106"/>
        <v>453</v>
      </c>
      <c r="AW264" s="525">
        <v>17</v>
      </c>
      <c r="AX264" s="525">
        <v>88</v>
      </c>
      <c r="AY264" s="525">
        <v>83</v>
      </c>
      <c r="AZ264" s="525">
        <v>83</v>
      </c>
      <c r="BA264" s="525">
        <v>84</v>
      </c>
      <c r="BB264" s="525">
        <v>79</v>
      </c>
      <c r="BC264" s="525">
        <v>18</v>
      </c>
      <c r="BD264" s="435">
        <v>1</v>
      </c>
      <c r="BE264" s="435" t="s">
        <v>546</v>
      </c>
      <c r="BI264" s="382" t="s">
        <v>4993</v>
      </c>
      <c r="BJ264" s="463">
        <f>SUM(BK264:BL264)</f>
        <v>154</v>
      </c>
      <c r="BK264" s="463">
        <f>SUM(BK265:BK276)</f>
        <v>138</v>
      </c>
      <c r="BL264" s="463">
        <f>SUM(BL265:BL276)</f>
        <v>16</v>
      </c>
      <c r="BM264" s="463"/>
      <c r="BP264" s="382"/>
      <c r="BQ264" s="463"/>
      <c r="BR264" s="382"/>
      <c r="BS264" s="382"/>
      <c r="BT264" s="382"/>
      <c r="BU264" s="382"/>
      <c r="BV264" s="382"/>
      <c r="BW264" s="382"/>
      <c r="BX264" s="382"/>
      <c r="BY264" s="382"/>
      <c r="BZ264" s="382"/>
      <c r="CD264" s="1067"/>
      <c r="CE264" s="1067"/>
      <c r="CF264" s="1067"/>
      <c r="CG264" s="1067"/>
      <c r="CH264" s="1067"/>
      <c r="CI264" s="1067"/>
      <c r="CJ264" s="1067"/>
      <c r="CK264" s="382"/>
      <c r="CL264" s="1062"/>
      <c r="CM264" s="1062"/>
    </row>
    <row r="265" spans="47:91">
      <c r="AU265" s="382" t="s">
        <v>4909</v>
      </c>
      <c r="AV265" s="525">
        <f t="shared" si="106"/>
        <v>386</v>
      </c>
      <c r="AW265" s="525">
        <v>15</v>
      </c>
      <c r="AX265" s="525">
        <v>52</v>
      </c>
      <c r="AY265" s="525">
        <v>80</v>
      </c>
      <c r="AZ265" s="525">
        <v>66</v>
      </c>
      <c r="BA265" s="525">
        <v>84</v>
      </c>
      <c r="BB265" s="525">
        <v>55</v>
      </c>
      <c r="BC265" s="525">
        <v>25</v>
      </c>
      <c r="BD265" s="862">
        <v>9</v>
      </c>
      <c r="BE265" s="435" t="s">
        <v>546</v>
      </c>
      <c r="BI265" s="382" t="s">
        <v>4855</v>
      </c>
      <c r="BJ265" s="435" t="s">
        <v>546</v>
      </c>
      <c r="BK265" s="435" t="s">
        <v>546</v>
      </c>
      <c r="BL265" s="435" t="s">
        <v>546</v>
      </c>
      <c r="BM265" s="525"/>
      <c r="BP265" s="1066"/>
      <c r="BQ265" s="463"/>
      <c r="BR265" s="439"/>
      <c r="BS265" s="439"/>
      <c r="BT265" s="463"/>
      <c r="BU265" s="463"/>
      <c r="BV265" s="463"/>
      <c r="BW265" s="463"/>
      <c r="BX265" s="463"/>
      <c r="BY265" s="463"/>
      <c r="BZ265" s="463"/>
      <c r="CD265" s="1067"/>
      <c r="CE265" s="1067"/>
      <c r="CF265" s="1067"/>
      <c r="CG265" s="1067"/>
      <c r="CH265" s="1067"/>
      <c r="CI265" s="1067"/>
      <c r="CJ265" s="1067"/>
      <c r="CK265" s="382"/>
      <c r="CL265" s="1062"/>
      <c r="CM265" s="1062"/>
    </row>
    <row r="266" spans="47:91">
      <c r="AU266" s="382" t="s">
        <v>4911</v>
      </c>
      <c r="AV266" s="525">
        <f t="shared" si="106"/>
        <v>215</v>
      </c>
      <c r="AW266" s="525">
        <v>4</v>
      </c>
      <c r="AX266" s="525">
        <v>29</v>
      </c>
      <c r="AY266" s="525">
        <v>36</v>
      </c>
      <c r="AZ266" s="525">
        <v>44</v>
      </c>
      <c r="BA266" s="525">
        <v>48</v>
      </c>
      <c r="BB266" s="525">
        <v>32</v>
      </c>
      <c r="BC266" s="525">
        <v>19</v>
      </c>
      <c r="BD266" s="862">
        <v>3</v>
      </c>
      <c r="BE266" s="435" t="s">
        <v>546</v>
      </c>
      <c r="BI266" s="382" t="s">
        <v>4861</v>
      </c>
      <c r="BJ266" s="435" t="s">
        <v>546</v>
      </c>
      <c r="BK266" s="435" t="s">
        <v>546</v>
      </c>
      <c r="BL266" s="435" t="s">
        <v>546</v>
      </c>
      <c r="BM266" s="463"/>
      <c r="BP266" s="382"/>
      <c r="BQ266" s="439"/>
      <c r="BR266" s="439"/>
      <c r="BS266" s="439"/>
      <c r="BT266" s="439"/>
      <c r="BU266" s="439"/>
      <c r="BV266" s="439"/>
      <c r="BW266" s="439"/>
      <c r="BX266" s="439"/>
      <c r="BY266" s="439"/>
      <c r="BZ266" s="439"/>
    </row>
    <row r="267" spans="47:91">
      <c r="AU267" s="382" t="s">
        <v>4914</v>
      </c>
      <c r="AV267" s="525">
        <f t="shared" si="106"/>
        <v>104</v>
      </c>
      <c r="AW267" s="525">
        <v>3</v>
      </c>
      <c r="AX267" s="525">
        <v>9</v>
      </c>
      <c r="AY267" s="525">
        <v>16</v>
      </c>
      <c r="AZ267" s="525">
        <v>24</v>
      </c>
      <c r="BA267" s="525">
        <v>28</v>
      </c>
      <c r="BB267" s="525">
        <v>15</v>
      </c>
      <c r="BC267" s="525">
        <v>6</v>
      </c>
      <c r="BD267" s="435">
        <v>3</v>
      </c>
      <c r="BE267" s="435" t="s">
        <v>546</v>
      </c>
      <c r="BI267" s="382" t="s">
        <v>4867</v>
      </c>
      <c r="BJ267" s="435" t="s">
        <v>546</v>
      </c>
      <c r="BK267" s="435" t="s">
        <v>546</v>
      </c>
      <c r="BL267" s="435" t="s">
        <v>546</v>
      </c>
      <c r="BM267" s="435"/>
      <c r="BP267" s="382"/>
      <c r="BQ267" s="382"/>
      <c r="BR267" s="439"/>
      <c r="BS267" s="439"/>
      <c r="BT267" s="439"/>
      <c r="BU267" s="439"/>
      <c r="BV267" s="439"/>
      <c r="BW267" s="439"/>
      <c r="BX267" s="439"/>
      <c r="BY267" s="439"/>
      <c r="BZ267" s="439"/>
      <c r="CD267" s="382"/>
      <c r="CE267" s="382"/>
      <c r="CF267" s="382"/>
      <c r="CG267" s="382"/>
      <c r="CH267" s="382"/>
      <c r="CI267" s="382"/>
      <c r="CJ267" s="382"/>
      <c r="CK267" s="463"/>
      <c r="CL267" s="463"/>
      <c r="CM267" s="463"/>
    </row>
    <row r="268" spans="47:91">
      <c r="AU268" s="381" t="s">
        <v>4916</v>
      </c>
      <c r="AV268" s="633">
        <f t="shared" si="106"/>
        <v>46</v>
      </c>
      <c r="AW268" s="556" t="s">
        <v>546</v>
      </c>
      <c r="AX268" s="866">
        <v>1</v>
      </c>
      <c r="AY268" s="866">
        <v>6</v>
      </c>
      <c r="AZ268" s="866">
        <v>12</v>
      </c>
      <c r="BA268" s="633">
        <v>14</v>
      </c>
      <c r="BB268" s="633">
        <v>9</v>
      </c>
      <c r="BC268" s="633">
        <v>2</v>
      </c>
      <c r="BD268" s="866">
        <v>2</v>
      </c>
      <c r="BE268" s="556" t="s">
        <v>546</v>
      </c>
      <c r="BI268" s="382" t="s">
        <v>4880</v>
      </c>
      <c r="BJ268" s="435" t="s">
        <v>546</v>
      </c>
      <c r="BK268" s="435" t="s">
        <v>546</v>
      </c>
      <c r="BL268" s="435" t="s">
        <v>546</v>
      </c>
      <c r="BM268" s="435"/>
      <c r="BP268" s="382"/>
      <c r="BQ268" s="382"/>
      <c r="BR268" s="439"/>
      <c r="BS268" s="439"/>
      <c r="BT268" s="439"/>
      <c r="BU268" s="439"/>
      <c r="BV268" s="439"/>
      <c r="BW268" s="439"/>
      <c r="BX268" s="439"/>
      <c r="BY268" s="439"/>
      <c r="BZ268" s="439"/>
      <c r="CD268" s="382"/>
      <c r="CE268" s="382"/>
      <c r="CF268" s="382"/>
      <c r="CG268" s="382"/>
      <c r="CH268" s="382"/>
      <c r="CI268" s="382"/>
      <c r="CJ268" s="382"/>
      <c r="CK268" s="382"/>
    </row>
    <row r="269" spans="47:91">
      <c r="AU269" s="382" t="s">
        <v>4932</v>
      </c>
      <c r="BI269" s="382" t="s">
        <v>4892</v>
      </c>
      <c r="BJ269" s="435" t="s">
        <v>546</v>
      </c>
      <c r="BK269" s="435" t="s">
        <v>546</v>
      </c>
      <c r="BL269" s="435" t="s">
        <v>546</v>
      </c>
      <c r="BM269" s="435"/>
      <c r="BP269" s="382"/>
      <c r="BQ269" s="382"/>
      <c r="BR269" s="439"/>
      <c r="BS269" s="439"/>
      <c r="BT269" s="439"/>
      <c r="BU269" s="439"/>
      <c r="BV269" s="439"/>
      <c r="BW269" s="439"/>
      <c r="BX269" s="439"/>
      <c r="BY269" s="439"/>
      <c r="BZ269" s="439"/>
      <c r="CD269" s="1067"/>
      <c r="CE269" s="1067"/>
      <c r="CF269" s="1067"/>
      <c r="CG269" s="1067"/>
      <c r="CH269" s="1067"/>
      <c r="CI269" s="1067"/>
      <c r="CJ269" s="1067"/>
      <c r="CK269" s="382"/>
      <c r="CL269" s="1062"/>
      <c r="CM269" s="1062"/>
    </row>
    <row r="270" spans="47:91">
      <c r="AU270" s="382"/>
      <c r="BI270" s="382" t="s">
        <v>4898</v>
      </c>
      <c r="BJ270" s="435" t="s">
        <v>546</v>
      </c>
      <c r="BK270" s="435" t="s">
        <v>546</v>
      </c>
      <c r="BL270" s="435" t="s">
        <v>546</v>
      </c>
      <c r="BM270" s="435"/>
      <c r="BP270" s="382"/>
      <c r="BQ270" s="382"/>
      <c r="BR270" s="439"/>
      <c r="BS270" s="439"/>
      <c r="BT270" s="439"/>
      <c r="BU270" s="439"/>
      <c r="BV270" s="439"/>
      <c r="BW270" s="439"/>
      <c r="BX270" s="439"/>
      <c r="BY270" s="439"/>
      <c r="BZ270" s="439"/>
      <c r="CD270" s="1067"/>
      <c r="CE270" s="1067"/>
      <c r="CF270" s="1067"/>
      <c r="CG270" s="1067"/>
      <c r="CH270" s="1067"/>
      <c r="CI270" s="1067"/>
      <c r="CJ270" s="1067"/>
      <c r="CK270" s="382"/>
      <c r="CL270" s="1062"/>
      <c r="CM270" s="1062"/>
    </row>
    <row r="271" spans="47:91">
      <c r="AU271" s="382"/>
      <c r="BI271" s="382" t="s">
        <v>4904</v>
      </c>
      <c r="BJ271" s="435">
        <f t="shared" ref="BJ271:BJ276" si="107">SUM(BK271:BL271)</f>
        <v>32</v>
      </c>
      <c r="BK271" s="463">
        <v>31</v>
      </c>
      <c r="BL271" s="463">
        <v>1</v>
      </c>
      <c r="BM271" s="435"/>
      <c r="BP271" s="382"/>
      <c r="BQ271" s="382"/>
      <c r="BR271" s="439"/>
      <c r="BS271" s="439"/>
      <c r="BT271" s="439"/>
      <c r="BU271" s="439"/>
      <c r="BV271" s="439"/>
      <c r="BW271" s="439"/>
      <c r="BX271" s="439"/>
      <c r="BY271" s="439"/>
      <c r="BZ271" s="439"/>
      <c r="CD271" s="1067"/>
      <c r="CE271" s="1067"/>
      <c r="CF271" s="1067"/>
      <c r="CG271" s="1067"/>
      <c r="CH271" s="1067"/>
      <c r="CI271" s="1067"/>
      <c r="CJ271" s="1067"/>
      <c r="CK271" s="382"/>
      <c r="CL271" s="1062"/>
      <c r="CM271" s="1062"/>
    </row>
    <row r="272" spans="47:91">
      <c r="AU272" s="382"/>
      <c r="BI272" s="382" t="s">
        <v>4907</v>
      </c>
      <c r="BJ272" s="435">
        <f t="shared" si="107"/>
        <v>57</v>
      </c>
      <c r="BK272" s="463">
        <v>49</v>
      </c>
      <c r="BL272" s="463">
        <v>8</v>
      </c>
      <c r="BM272" s="463"/>
      <c r="BP272" s="382"/>
      <c r="BQ272" s="382"/>
      <c r="BR272" s="439"/>
      <c r="BS272" s="439"/>
      <c r="BT272" s="439"/>
      <c r="BU272" s="439"/>
      <c r="BV272" s="439"/>
      <c r="BW272" s="439"/>
      <c r="BX272" s="439"/>
      <c r="BY272" s="439"/>
      <c r="BZ272" s="439"/>
      <c r="CD272" s="1067"/>
      <c r="CE272" s="1067"/>
      <c r="CF272" s="1067"/>
      <c r="CG272" s="1067"/>
      <c r="CH272" s="1067"/>
      <c r="CI272" s="1067"/>
      <c r="CJ272" s="1067"/>
      <c r="CK272" s="382"/>
      <c r="CL272" s="1062"/>
      <c r="CM272" s="1062"/>
    </row>
    <row r="273" spans="47:91">
      <c r="AU273" s="382"/>
      <c r="AV273" s="382"/>
      <c r="AW273" s="382"/>
      <c r="AX273" s="382"/>
      <c r="AY273" s="382"/>
      <c r="AZ273" s="382"/>
      <c r="BA273" s="382"/>
      <c r="BB273" s="382"/>
      <c r="BC273" s="382"/>
      <c r="BD273" s="382"/>
      <c r="BE273" s="870"/>
      <c r="BI273" s="382" t="s">
        <v>4909</v>
      </c>
      <c r="BJ273" s="435">
        <f t="shared" si="107"/>
        <v>49</v>
      </c>
      <c r="BK273" s="463">
        <v>46</v>
      </c>
      <c r="BL273" s="463">
        <v>3</v>
      </c>
      <c r="BM273" s="463"/>
      <c r="BP273" s="382"/>
      <c r="BQ273" s="382"/>
      <c r="BR273" s="439"/>
      <c r="BS273" s="439"/>
      <c r="BT273" s="439"/>
      <c r="BU273" s="439"/>
      <c r="BV273" s="439"/>
      <c r="BW273" s="439"/>
      <c r="BX273" s="439"/>
      <c r="BY273" s="439"/>
      <c r="BZ273" s="439"/>
      <c r="CD273" s="1067"/>
      <c r="CE273" s="1067"/>
      <c r="CF273" s="1067"/>
      <c r="CG273" s="1067"/>
      <c r="CH273" s="1067"/>
      <c r="CI273" s="1067"/>
      <c r="CJ273" s="1067"/>
      <c r="CK273" s="382"/>
      <c r="CL273" s="1062"/>
      <c r="CM273" s="1062"/>
    </row>
    <row r="274" spans="47:91">
      <c r="AU274" s="382"/>
      <c r="AV274" s="439"/>
      <c r="AW274" s="2073"/>
      <c r="AX274" s="2073"/>
      <c r="AY274" s="2073"/>
      <c r="AZ274" s="2073"/>
      <c r="BA274" s="2073"/>
      <c r="BB274" s="2073"/>
      <c r="BC274" s="2073"/>
      <c r="BD274" s="2073"/>
      <c r="BE274" s="2073"/>
      <c r="BI274" s="382" t="s">
        <v>4911</v>
      </c>
      <c r="BJ274" s="435">
        <f t="shared" si="107"/>
        <v>12</v>
      </c>
      <c r="BK274" s="463">
        <v>9</v>
      </c>
      <c r="BL274" s="463">
        <v>3</v>
      </c>
      <c r="BM274" s="463"/>
      <c r="BP274" s="382"/>
      <c r="BQ274" s="382"/>
      <c r="BR274" s="439"/>
      <c r="BS274" s="439"/>
      <c r="BT274" s="439"/>
      <c r="BU274" s="439"/>
      <c r="BV274" s="439"/>
      <c r="BW274" s="439"/>
      <c r="BX274" s="439"/>
      <c r="BY274" s="439"/>
      <c r="BZ274" s="439"/>
      <c r="CD274" s="1067"/>
      <c r="CE274" s="1067"/>
      <c r="CF274" s="1067"/>
      <c r="CG274" s="1067"/>
      <c r="CH274" s="1067"/>
      <c r="CI274" s="1067"/>
      <c r="CJ274" s="1067"/>
      <c r="CK274" s="382"/>
      <c r="CL274" s="1062"/>
      <c r="CM274" s="1062"/>
    </row>
    <row r="275" spans="47:91">
      <c r="AU275" s="382"/>
      <c r="AV275" s="439"/>
      <c r="AW275" s="439"/>
      <c r="AX275" s="1085"/>
      <c r="AY275" s="1085"/>
      <c r="AZ275" s="439"/>
      <c r="BA275" s="439"/>
      <c r="BB275" s="439"/>
      <c r="BC275" s="439"/>
      <c r="BD275" s="439"/>
      <c r="BE275" s="439"/>
      <c r="BI275" s="382" t="s">
        <v>4914</v>
      </c>
      <c r="BJ275" s="435">
        <f t="shared" si="107"/>
        <v>3</v>
      </c>
      <c r="BK275" s="463">
        <v>2</v>
      </c>
      <c r="BL275" s="463">
        <v>1</v>
      </c>
      <c r="BM275" s="463"/>
      <c r="BP275" s="382"/>
      <c r="BQ275" s="382"/>
      <c r="BR275" s="439"/>
      <c r="BS275" s="439"/>
      <c r="BT275" s="439"/>
      <c r="BU275" s="439"/>
      <c r="BV275" s="439"/>
      <c r="BW275" s="439"/>
      <c r="BX275" s="439"/>
      <c r="BY275" s="439"/>
      <c r="BZ275" s="439"/>
      <c r="CD275" s="1067"/>
      <c r="CE275" s="1067"/>
      <c r="CF275" s="1067"/>
      <c r="CG275" s="1067"/>
      <c r="CH275" s="1067"/>
      <c r="CI275" s="1067"/>
      <c r="CJ275" s="1067"/>
      <c r="CK275" s="382"/>
      <c r="CL275" s="1062"/>
      <c r="CM275" s="1062"/>
    </row>
    <row r="276" spans="47:91">
      <c r="AU276" s="382"/>
      <c r="AV276" s="525"/>
      <c r="AW276" s="525"/>
      <c r="AX276" s="525"/>
      <c r="AY276" s="525"/>
      <c r="AZ276" s="525"/>
      <c r="BA276" s="525"/>
      <c r="BB276" s="525"/>
      <c r="BC276" s="525"/>
      <c r="BD276" s="525"/>
      <c r="BE276" s="525"/>
      <c r="BI276" s="381" t="s">
        <v>4916</v>
      </c>
      <c r="BJ276" s="556">
        <f t="shared" si="107"/>
        <v>1</v>
      </c>
      <c r="BK276" s="497">
        <v>1</v>
      </c>
      <c r="BL276" s="556" t="s">
        <v>546</v>
      </c>
      <c r="BM276" s="463"/>
      <c r="BP276" s="382"/>
      <c r="BQ276" s="382"/>
      <c r="BR276" s="439"/>
      <c r="BS276" s="439"/>
      <c r="BT276" s="439"/>
      <c r="BU276" s="439"/>
      <c r="BV276" s="439"/>
      <c r="BW276" s="439"/>
      <c r="BX276" s="439"/>
      <c r="BY276" s="439"/>
      <c r="BZ276" s="439"/>
      <c r="CD276" s="1067"/>
      <c r="CE276" s="1067"/>
      <c r="CF276" s="1067"/>
      <c r="CG276" s="1067"/>
      <c r="CH276" s="1067"/>
      <c r="CI276" s="1067"/>
      <c r="CJ276" s="1067"/>
      <c r="CK276" s="382"/>
      <c r="CL276" s="1062"/>
      <c r="CM276" s="1062"/>
    </row>
    <row r="277" spans="47:91">
      <c r="AU277" s="382"/>
      <c r="AV277" s="435"/>
      <c r="AW277" s="435"/>
      <c r="AX277" s="435"/>
      <c r="AY277" s="435"/>
      <c r="AZ277" s="435"/>
      <c r="BA277" s="435"/>
      <c r="BB277" s="435"/>
      <c r="BC277" s="435"/>
      <c r="BD277" s="435"/>
      <c r="BE277" s="435"/>
      <c r="BI277" s="382" t="s">
        <v>4932</v>
      </c>
      <c r="BJ277" s="382"/>
      <c r="BK277" s="382"/>
      <c r="BL277" s="382"/>
      <c r="BM277" s="463"/>
      <c r="BP277" s="382"/>
      <c r="BQ277" s="382"/>
      <c r="BR277" s="439"/>
      <c r="BS277" s="439"/>
      <c r="BT277" s="439"/>
      <c r="BU277" s="439"/>
      <c r="BV277" s="439"/>
      <c r="BW277" s="439"/>
      <c r="BX277" s="439"/>
      <c r="BY277" s="439"/>
      <c r="BZ277" s="439"/>
      <c r="CD277" s="1067"/>
      <c r="CE277" s="1067"/>
      <c r="CF277" s="1067"/>
      <c r="CG277" s="1067"/>
      <c r="CH277" s="1067"/>
      <c r="CI277" s="1067"/>
      <c r="CJ277" s="1067"/>
      <c r="CK277" s="382"/>
      <c r="CL277" s="1062"/>
      <c r="CM277" s="1062"/>
    </row>
    <row r="278" spans="47:91">
      <c r="AU278" s="382"/>
      <c r="AV278" s="435"/>
      <c r="AW278" s="435"/>
      <c r="AX278" s="435"/>
      <c r="AY278" s="435"/>
      <c r="AZ278" s="435"/>
      <c r="BA278" s="435"/>
      <c r="BB278" s="435"/>
      <c r="BC278" s="435"/>
      <c r="BD278" s="435"/>
      <c r="BE278" s="435"/>
      <c r="BM278" s="463"/>
      <c r="BP278" s="382"/>
      <c r="BQ278" s="382"/>
      <c r="BR278" s="382"/>
      <c r="BS278" s="382"/>
      <c r="BT278" s="382"/>
      <c r="BU278" s="382"/>
      <c r="BV278" s="382"/>
      <c r="BW278" s="382"/>
      <c r="BX278" s="382"/>
      <c r="BY278" s="382"/>
      <c r="BZ278" s="382"/>
      <c r="CD278" s="1067"/>
      <c r="CE278" s="1067"/>
      <c r="CF278" s="1067"/>
      <c r="CG278" s="1067"/>
      <c r="CH278" s="1067"/>
      <c r="CI278" s="1067"/>
      <c r="CJ278" s="1067"/>
      <c r="CK278" s="382"/>
      <c r="CL278" s="1062"/>
      <c r="CM278" s="1062"/>
    </row>
    <row r="279" spans="47:91">
      <c r="AU279" s="382"/>
      <c r="AV279" s="435"/>
      <c r="AW279" s="435"/>
      <c r="AX279" s="435"/>
      <c r="AY279" s="435"/>
      <c r="AZ279" s="435"/>
      <c r="BA279" s="435"/>
      <c r="BB279" s="435"/>
      <c r="BC279" s="435"/>
      <c r="BD279" s="435"/>
      <c r="BE279" s="435"/>
      <c r="CD279" s="1067"/>
      <c r="CE279" s="1067"/>
      <c r="CF279" s="1067"/>
      <c r="CG279" s="1067"/>
      <c r="CH279" s="1067"/>
      <c r="CI279" s="1067"/>
      <c r="CJ279" s="1067"/>
      <c r="CK279" s="382"/>
      <c r="CL279" s="1062"/>
      <c r="CM279" s="1062"/>
    </row>
    <row r="280" spans="47:91">
      <c r="AU280" s="382"/>
      <c r="AV280" s="435"/>
      <c r="AW280" s="435"/>
      <c r="AX280" s="435"/>
      <c r="AY280" s="435"/>
      <c r="AZ280" s="435"/>
      <c r="BA280" s="435"/>
      <c r="BB280" s="435"/>
      <c r="BC280" s="435"/>
      <c r="BD280" s="435"/>
      <c r="BE280" s="435"/>
      <c r="CD280" s="1067"/>
      <c r="CE280" s="1067"/>
      <c r="CF280" s="1067"/>
      <c r="CG280" s="1067"/>
      <c r="CH280" s="1067"/>
      <c r="CI280" s="1067"/>
      <c r="CJ280" s="1067"/>
      <c r="CK280" s="382"/>
      <c r="CL280" s="1062"/>
      <c r="CM280" s="1062"/>
    </row>
    <row r="281" spans="47:91">
      <c r="AU281" s="382"/>
      <c r="AV281" s="435"/>
      <c r="AW281" s="435"/>
      <c r="AX281" s="435"/>
      <c r="AY281" s="435"/>
      <c r="AZ281" s="435"/>
      <c r="BA281" s="435"/>
      <c r="BB281" s="435"/>
      <c r="BC281" s="435"/>
      <c r="BD281" s="435"/>
      <c r="BE281" s="435"/>
      <c r="BI281" s="382"/>
      <c r="CD281" s="1067"/>
      <c r="CE281" s="1067"/>
      <c r="CF281" s="1067"/>
      <c r="CG281" s="1067"/>
      <c r="CH281" s="1067"/>
      <c r="CI281" s="1067"/>
      <c r="CJ281" s="1067"/>
      <c r="CK281" s="382"/>
      <c r="CL281" s="1062"/>
      <c r="CM281" s="1062"/>
    </row>
    <row r="282" spans="47:91">
      <c r="AU282" s="382"/>
      <c r="AV282" s="525"/>
      <c r="AW282" s="435"/>
      <c r="AX282" s="525"/>
      <c r="AY282" s="525"/>
      <c r="AZ282" s="525"/>
      <c r="BA282" s="525"/>
      <c r="BB282" s="525"/>
      <c r="BC282" s="435"/>
      <c r="BD282" s="435"/>
      <c r="BE282" s="435"/>
      <c r="CD282" s="1067"/>
      <c r="CE282" s="1067"/>
      <c r="CF282" s="1067"/>
      <c r="CG282" s="1067"/>
      <c r="CH282" s="1067"/>
      <c r="CI282" s="1067"/>
      <c r="CJ282" s="1067"/>
      <c r="CK282" s="382"/>
      <c r="CL282" s="1067"/>
      <c r="CM282" s="1067"/>
    </row>
    <row r="283" spans="47:91">
      <c r="AU283" s="382"/>
      <c r="AV283" s="525"/>
      <c r="AW283" s="525"/>
      <c r="AX283" s="525"/>
      <c r="AY283" s="525"/>
      <c r="AZ283" s="525"/>
      <c r="BA283" s="525"/>
      <c r="BB283" s="525"/>
      <c r="BC283" s="525"/>
      <c r="BD283" s="435"/>
      <c r="BE283" s="435"/>
      <c r="BI283" s="382"/>
      <c r="BJ283" s="2172"/>
      <c r="BK283" s="2154"/>
      <c r="BL283" s="2154"/>
      <c r="CD283" s="382"/>
      <c r="CE283" s="382"/>
      <c r="CF283" s="382"/>
      <c r="CG283" s="382"/>
      <c r="CH283" s="382"/>
      <c r="CI283" s="382"/>
      <c r="CJ283" s="382"/>
      <c r="CK283" s="382"/>
      <c r="CL283" s="382"/>
      <c r="CM283" s="382"/>
    </row>
    <row r="284" spans="47:91">
      <c r="AU284" s="382"/>
      <c r="AV284" s="525"/>
      <c r="AW284" s="525"/>
      <c r="AX284" s="525"/>
      <c r="AY284" s="525"/>
      <c r="AZ284" s="525"/>
      <c r="BA284" s="525"/>
      <c r="BB284" s="525"/>
      <c r="BC284" s="525"/>
      <c r="BD284" s="525"/>
      <c r="BE284" s="435"/>
      <c r="BI284" s="382"/>
      <c r="BJ284" s="439"/>
      <c r="BK284" s="439"/>
      <c r="BL284" s="439"/>
      <c r="CD284" s="1062"/>
      <c r="CE284" s="1062"/>
      <c r="CF284" s="1062"/>
      <c r="CG284" s="1062"/>
      <c r="CH284" s="1062"/>
      <c r="CI284" s="1062"/>
      <c r="CJ284" s="1062"/>
      <c r="CK284" s="1062"/>
      <c r="CL284" s="1062"/>
      <c r="CM284" s="1062"/>
    </row>
    <row r="285" spans="47:91">
      <c r="AU285" s="382"/>
      <c r="AV285" s="525"/>
      <c r="AW285" s="525"/>
      <c r="AX285" s="525"/>
      <c r="AY285" s="525"/>
      <c r="AZ285" s="525"/>
      <c r="BA285" s="525"/>
      <c r="BB285" s="525"/>
      <c r="BC285" s="525"/>
      <c r="BD285" s="525"/>
      <c r="BE285" s="525"/>
      <c r="BI285" s="382"/>
      <c r="BJ285" s="463"/>
      <c r="BK285" s="463"/>
      <c r="BL285" s="463"/>
      <c r="BM285" s="1084"/>
      <c r="CD285" s="1062"/>
      <c r="CE285" s="1062"/>
      <c r="CF285" s="1062"/>
      <c r="CG285" s="1062"/>
      <c r="CH285" s="1062"/>
      <c r="CI285" s="1062"/>
      <c r="CJ285" s="1062"/>
      <c r="CK285" s="1062"/>
      <c r="CL285" s="1062"/>
      <c r="CM285" s="1062"/>
    </row>
    <row r="286" spans="47:91">
      <c r="AU286" s="382"/>
      <c r="AV286" s="525"/>
      <c r="AW286" s="525"/>
      <c r="AX286" s="525"/>
      <c r="AY286" s="525"/>
      <c r="AZ286" s="525"/>
      <c r="BA286" s="525"/>
      <c r="BB286" s="525"/>
      <c r="BC286" s="525"/>
      <c r="BD286" s="525"/>
      <c r="BE286" s="525"/>
      <c r="BI286" s="382"/>
      <c r="BJ286" s="435"/>
      <c r="BK286" s="435"/>
      <c r="BL286" s="435"/>
      <c r="BM286" s="439"/>
      <c r="CD286" s="1062"/>
      <c r="CE286" s="1062"/>
      <c r="CF286" s="1062"/>
      <c r="CG286" s="1062"/>
      <c r="CH286" s="1062"/>
      <c r="CI286" s="1062"/>
      <c r="CJ286" s="1062"/>
      <c r="CK286" s="1062"/>
      <c r="CL286" s="1062"/>
      <c r="CM286" s="1062"/>
    </row>
    <row r="287" spans="47:91">
      <c r="AU287" s="382"/>
      <c r="AV287" s="525"/>
      <c r="AW287" s="862"/>
      <c r="AX287" s="525"/>
      <c r="AY287" s="862"/>
      <c r="AZ287" s="463"/>
      <c r="BA287" s="525"/>
      <c r="BB287" s="525"/>
      <c r="BC287" s="525"/>
      <c r="BD287" s="525"/>
      <c r="BE287" s="525"/>
      <c r="BI287" s="382"/>
      <c r="BJ287" s="463"/>
      <c r="BK287" s="435"/>
      <c r="BL287" s="435"/>
      <c r="BM287" s="463"/>
      <c r="CD287" s="1062"/>
      <c r="CE287" s="1062"/>
      <c r="CF287" s="1062"/>
      <c r="CG287" s="1062"/>
      <c r="CH287" s="1062"/>
      <c r="CI287" s="1062"/>
      <c r="CJ287" s="1062"/>
      <c r="CK287" s="1062"/>
      <c r="CL287" s="1062"/>
      <c r="CM287" s="1062"/>
    </row>
    <row r="288" spans="47:91">
      <c r="AU288" s="382"/>
      <c r="AV288" s="525"/>
      <c r="AW288" s="435"/>
      <c r="AX288" s="435"/>
      <c r="AY288" s="435"/>
      <c r="AZ288" s="435"/>
      <c r="BA288" s="525"/>
      <c r="BB288" s="525"/>
      <c r="BC288" s="525"/>
      <c r="BD288" s="525"/>
      <c r="BE288" s="525"/>
      <c r="BI288" s="382"/>
      <c r="BJ288" s="463"/>
      <c r="BK288" s="435"/>
      <c r="BL288" s="435"/>
      <c r="BM288" s="463"/>
    </row>
    <row r="289" spans="47:65">
      <c r="AU289" s="382"/>
      <c r="BI289" s="382"/>
      <c r="BJ289" s="463"/>
      <c r="BK289" s="435"/>
      <c r="BL289" s="435"/>
      <c r="BM289" s="463"/>
    </row>
    <row r="290" spans="47:65">
      <c r="AU290" s="382"/>
      <c r="AV290" s="525"/>
      <c r="AW290" s="525"/>
      <c r="AX290" s="525"/>
      <c r="AY290" s="525"/>
      <c r="AZ290" s="525"/>
      <c r="BA290" s="525"/>
      <c r="BB290" s="525"/>
      <c r="BC290" s="525"/>
      <c r="BD290" s="525"/>
      <c r="BE290" s="525"/>
      <c r="BI290" s="382"/>
      <c r="BJ290" s="463"/>
      <c r="BK290" s="435"/>
      <c r="BL290" s="435"/>
      <c r="BM290" s="463"/>
    </row>
    <row r="291" spans="47:65">
      <c r="AU291" s="382"/>
      <c r="AV291" s="435"/>
      <c r="AW291" s="435"/>
      <c r="AX291" s="435"/>
      <c r="AY291" s="435"/>
      <c r="AZ291" s="435"/>
      <c r="BA291" s="435"/>
      <c r="BB291" s="435"/>
      <c r="BC291" s="435"/>
      <c r="BD291" s="435"/>
      <c r="BE291" s="435"/>
      <c r="BI291" s="382"/>
      <c r="BJ291" s="463"/>
      <c r="BK291" s="463"/>
      <c r="BL291" s="463"/>
      <c r="BM291" s="463"/>
    </row>
    <row r="292" spans="47:65">
      <c r="AU292" s="382"/>
      <c r="AV292" s="435"/>
      <c r="AW292" s="435"/>
      <c r="AX292" s="435"/>
      <c r="AY292" s="435"/>
      <c r="AZ292" s="435"/>
      <c r="BA292" s="435"/>
      <c r="BB292" s="435"/>
      <c r="BC292" s="435"/>
      <c r="BD292" s="435"/>
      <c r="BE292" s="435"/>
      <c r="BI292" s="382"/>
      <c r="BJ292" s="463"/>
      <c r="BK292" s="463"/>
      <c r="BL292" s="463"/>
      <c r="BM292" s="463"/>
    </row>
    <row r="293" spans="47:65">
      <c r="AU293" s="382"/>
      <c r="AV293" s="435"/>
      <c r="AW293" s="435"/>
      <c r="AX293" s="435"/>
      <c r="AY293" s="435"/>
      <c r="AZ293" s="435"/>
      <c r="BA293" s="435"/>
      <c r="BB293" s="435"/>
      <c r="BC293" s="435"/>
      <c r="BD293" s="435"/>
      <c r="BE293" s="435"/>
      <c r="BI293" s="382"/>
      <c r="BJ293" s="463"/>
      <c r="BK293" s="463"/>
      <c r="BL293" s="463"/>
      <c r="BM293" s="463"/>
    </row>
    <row r="294" spans="47:65">
      <c r="AU294" s="382"/>
      <c r="AV294" s="435"/>
      <c r="AW294" s="435"/>
      <c r="AX294" s="435"/>
      <c r="AY294" s="435"/>
      <c r="AZ294" s="435"/>
      <c r="BA294" s="435"/>
      <c r="BB294" s="435"/>
      <c r="BC294" s="435"/>
      <c r="BD294" s="435"/>
      <c r="BE294" s="435"/>
      <c r="BI294" s="382"/>
      <c r="BJ294" s="463"/>
      <c r="BK294" s="463"/>
      <c r="BL294" s="463"/>
      <c r="BM294" s="463"/>
    </row>
    <row r="295" spans="47:65">
      <c r="AU295" s="382"/>
      <c r="AV295" s="435"/>
      <c r="AW295" s="435"/>
      <c r="AX295" s="435"/>
      <c r="AY295" s="435"/>
      <c r="AZ295" s="435"/>
      <c r="BA295" s="435"/>
      <c r="BB295" s="435"/>
      <c r="BC295" s="435"/>
      <c r="BD295" s="435"/>
      <c r="BE295" s="435"/>
      <c r="BI295" s="382"/>
      <c r="BJ295" s="463"/>
      <c r="BK295" s="463"/>
      <c r="BL295" s="463"/>
      <c r="BM295" s="463"/>
    </row>
    <row r="296" spans="47:65">
      <c r="AU296" s="382"/>
      <c r="AV296" s="525"/>
      <c r="AW296" s="435"/>
      <c r="AX296" s="525"/>
      <c r="AY296" s="525"/>
      <c r="AZ296" s="525"/>
      <c r="BA296" s="525"/>
      <c r="BB296" s="525"/>
      <c r="BC296" s="435"/>
      <c r="BD296" s="435"/>
      <c r="BE296" s="435"/>
      <c r="BI296" s="382"/>
      <c r="BJ296" s="463"/>
      <c r="BK296" s="463"/>
      <c r="BL296" s="463"/>
      <c r="BM296" s="463"/>
    </row>
    <row r="297" spans="47:65">
      <c r="AU297" s="382"/>
      <c r="AV297" s="525"/>
      <c r="AW297" s="525"/>
      <c r="AX297" s="525"/>
      <c r="AY297" s="525"/>
      <c r="AZ297" s="525"/>
      <c r="BA297" s="525"/>
      <c r="BB297" s="525"/>
      <c r="BC297" s="525"/>
      <c r="BD297" s="435"/>
      <c r="BE297" s="435"/>
      <c r="BI297" s="382"/>
      <c r="BJ297" s="463"/>
      <c r="BK297" s="463"/>
      <c r="BL297" s="463"/>
      <c r="BM297" s="463"/>
    </row>
    <row r="298" spans="47:65">
      <c r="AU298" s="382"/>
      <c r="AV298" s="525"/>
      <c r="AW298" s="525"/>
      <c r="AX298" s="525"/>
      <c r="AY298" s="525"/>
      <c r="AZ298" s="525"/>
      <c r="BA298" s="525"/>
      <c r="BB298" s="525"/>
      <c r="BC298" s="525"/>
      <c r="BD298" s="525"/>
      <c r="BE298" s="435"/>
      <c r="BI298" s="382"/>
      <c r="BJ298" s="382"/>
      <c r="BK298" s="382"/>
      <c r="BL298" s="382"/>
      <c r="BM298" s="463"/>
    </row>
    <row r="299" spans="47:65">
      <c r="AU299" s="382"/>
      <c r="AV299" s="525"/>
      <c r="AW299" s="525"/>
      <c r="AX299" s="525"/>
      <c r="AY299" s="525"/>
      <c r="AZ299" s="525"/>
      <c r="BA299" s="525"/>
      <c r="BB299" s="525"/>
      <c r="BC299" s="525"/>
      <c r="BD299" s="525"/>
      <c r="BE299" s="525"/>
      <c r="BI299" s="382"/>
      <c r="BJ299" s="382"/>
      <c r="BK299" s="382"/>
      <c r="BL299" s="382"/>
      <c r="BM299" s="463"/>
    </row>
    <row r="300" spans="47:65">
      <c r="AU300" s="382"/>
      <c r="AV300" s="525"/>
      <c r="AW300" s="525"/>
      <c r="AX300" s="525"/>
      <c r="AY300" s="525"/>
      <c r="AZ300" s="525"/>
      <c r="BA300" s="525"/>
      <c r="BB300" s="525"/>
      <c r="BC300" s="525"/>
      <c r="BD300" s="525"/>
      <c r="BE300" s="525"/>
      <c r="BI300" s="382"/>
      <c r="BJ300" s="382"/>
      <c r="BK300" s="382"/>
      <c r="BL300" s="382"/>
      <c r="BM300" s="463"/>
    </row>
    <row r="301" spans="47:65">
      <c r="AU301" s="382"/>
      <c r="AV301" s="525"/>
      <c r="AW301" s="862"/>
      <c r="AX301" s="525"/>
      <c r="AY301" s="862"/>
      <c r="AZ301" s="435"/>
      <c r="BA301" s="525"/>
      <c r="BB301" s="525"/>
      <c r="BC301" s="525"/>
      <c r="BD301" s="525"/>
      <c r="BE301" s="525"/>
      <c r="BI301" s="382"/>
      <c r="BJ301" s="382"/>
      <c r="BK301" s="382"/>
      <c r="BL301" s="382"/>
      <c r="BM301" s="463"/>
    </row>
    <row r="302" spans="47:65">
      <c r="AU302" s="382"/>
      <c r="AV302" s="525"/>
      <c r="AW302" s="435"/>
      <c r="AX302" s="435"/>
      <c r="AY302" s="435"/>
      <c r="AZ302" s="435"/>
      <c r="BA302" s="525"/>
      <c r="BB302" s="525"/>
      <c r="BC302" s="525"/>
      <c r="BD302" s="525"/>
      <c r="BE302" s="525"/>
      <c r="BI302" s="382"/>
      <c r="BJ302" s="870"/>
      <c r="BK302" s="870"/>
      <c r="BL302" s="870"/>
      <c r="BM302" s="463"/>
    </row>
    <row r="303" spans="47:65">
      <c r="AU303" s="382"/>
      <c r="AW303" s="525"/>
      <c r="BI303" s="382"/>
      <c r="BJ303" s="870"/>
      <c r="BK303" s="870"/>
      <c r="BL303" s="870"/>
      <c r="BM303" s="463"/>
    </row>
    <row r="304" spans="47:65">
      <c r="AU304" s="382"/>
      <c r="AV304" s="525"/>
      <c r="AW304" s="435"/>
      <c r="AX304" s="525"/>
      <c r="AY304" s="525"/>
      <c r="AZ304" s="525"/>
      <c r="BA304" s="525"/>
      <c r="BB304" s="525"/>
      <c r="BC304" s="525"/>
      <c r="BD304" s="525"/>
      <c r="BE304" s="525"/>
      <c r="BI304" s="382"/>
      <c r="BJ304" s="2172"/>
      <c r="BK304" s="2172"/>
      <c r="BL304" s="2172"/>
      <c r="BM304" s="463"/>
    </row>
    <row r="305" spans="47:65">
      <c r="AU305" s="382"/>
      <c r="AV305" s="435"/>
      <c r="AW305" s="435"/>
      <c r="AX305" s="435"/>
      <c r="AY305" s="435"/>
      <c r="AZ305" s="435"/>
      <c r="BA305" s="435"/>
      <c r="BB305" s="435"/>
      <c r="BC305" s="435"/>
      <c r="BD305" s="435"/>
      <c r="BE305" s="435"/>
      <c r="BI305" s="382"/>
      <c r="BJ305" s="439"/>
      <c r="BK305" s="439"/>
      <c r="BL305" s="439"/>
      <c r="BM305" s="463"/>
    </row>
    <row r="306" spans="47:65">
      <c r="AU306" s="382"/>
      <c r="AV306" s="435"/>
      <c r="AW306" s="435"/>
      <c r="AX306" s="435"/>
      <c r="AY306" s="435"/>
      <c r="AZ306" s="435"/>
      <c r="BA306" s="435"/>
      <c r="BB306" s="435"/>
      <c r="BC306" s="435"/>
      <c r="BD306" s="435"/>
      <c r="BE306" s="435"/>
      <c r="BI306" s="382"/>
      <c r="BJ306" s="463"/>
      <c r="BK306" s="463"/>
      <c r="BL306" s="463"/>
      <c r="BM306" s="463"/>
    </row>
    <row r="307" spans="47:65">
      <c r="AU307" s="382"/>
      <c r="AV307" s="435"/>
      <c r="AW307" s="435"/>
      <c r="AX307" s="435"/>
      <c r="AY307" s="435"/>
      <c r="AZ307" s="435"/>
      <c r="BA307" s="435"/>
      <c r="BB307" s="435"/>
      <c r="BC307" s="435"/>
      <c r="BD307" s="435"/>
      <c r="BE307" s="435"/>
      <c r="BI307" s="382"/>
      <c r="BJ307" s="435"/>
      <c r="BK307" s="435"/>
      <c r="BL307" s="435"/>
      <c r="BM307" s="463"/>
    </row>
    <row r="308" spans="47:65">
      <c r="AU308" s="382"/>
      <c r="AV308" s="435"/>
      <c r="AW308" s="435"/>
      <c r="AX308" s="435"/>
      <c r="AY308" s="435"/>
      <c r="AZ308" s="435"/>
      <c r="BA308" s="435"/>
      <c r="BB308" s="435"/>
      <c r="BC308" s="435"/>
      <c r="BD308" s="435"/>
      <c r="BE308" s="435"/>
      <c r="BI308" s="382"/>
      <c r="BJ308" s="435"/>
      <c r="BK308" s="435"/>
      <c r="BL308" s="435"/>
      <c r="BM308" s="463"/>
    </row>
    <row r="309" spans="47:65">
      <c r="AU309" s="382"/>
      <c r="AV309" s="435"/>
      <c r="AW309" s="435"/>
      <c r="AX309" s="435"/>
      <c r="AY309" s="435"/>
      <c r="AZ309" s="435"/>
      <c r="BA309" s="435"/>
      <c r="BB309" s="435"/>
      <c r="BC309" s="435"/>
      <c r="BD309" s="435"/>
      <c r="BE309" s="435"/>
      <c r="BI309" s="382"/>
      <c r="BJ309" s="435"/>
      <c r="BK309" s="435"/>
      <c r="BL309" s="435"/>
      <c r="BM309" s="463"/>
    </row>
    <row r="310" spans="47:65">
      <c r="AU310" s="382"/>
      <c r="AV310" s="525"/>
      <c r="AW310" s="435"/>
      <c r="AX310" s="435"/>
      <c r="AY310" s="435"/>
      <c r="AZ310" s="435"/>
      <c r="BA310" s="525"/>
      <c r="BB310" s="435"/>
      <c r="BC310" s="435"/>
      <c r="BD310" s="435"/>
      <c r="BE310" s="435"/>
      <c r="BI310" s="382"/>
      <c r="BJ310" s="435"/>
      <c r="BK310" s="435"/>
      <c r="BL310" s="435"/>
      <c r="BM310" s="463"/>
    </row>
    <row r="311" spans="47:65">
      <c r="AU311" s="382"/>
      <c r="AV311" s="525"/>
      <c r="AW311" s="435"/>
      <c r="AX311" s="435"/>
      <c r="AY311" s="435"/>
      <c r="AZ311" s="525"/>
      <c r="BA311" s="525"/>
      <c r="BB311" s="525"/>
      <c r="BC311" s="525"/>
      <c r="BD311" s="435"/>
      <c r="BE311" s="435"/>
      <c r="BI311" s="382"/>
      <c r="BJ311" s="435"/>
      <c r="BK311" s="435"/>
      <c r="BL311" s="435"/>
      <c r="BM311" s="463"/>
    </row>
    <row r="312" spans="47:65">
      <c r="AU312" s="382"/>
      <c r="AV312" s="525"/>
      <c r="AW312" s="435"/>
      <c r="AX312" s="435"/>
      <c r="AY312" s="435"/>
      <c r="AZ312" s="435"/>
      <c r="BA312" s="525"/>
      <c r="BB312" s="525"/>
      <c r="BC312" s="525"/>
      <c r="BD312" s="525"/>
      <c r="BE312" s="435"/>
      <c r="BI312" s="382"/>
      <c r="BJ312" s="463"/>
      <c r="BK312" s="463"/>
      <c r="BL312" s="463"/>
      <c r="BM312" s="463"/>
    </row>
    <row r="313" spans="47:65">
      <c r="AU313" s="382"/>
      <c r="AV313" s="525"/>
      <c r="AW313" s="435"/>
      <c r="AX313" s="435"/>
      <c r="AY313" s="435"/>
      <c r="AZ313" s="435"/>
      <c r="BA313" s="525"/>
      <c r="BB313" s="525"/>
      <c r="BC313" s="525"/>
      <c r="BD313" s="525"/>
      <c r="BE313" s="435"/>
      <c r="BI313" s="382"/>
      <c r="BJ313" s="463"/>
      <c r="BK313" s="463"/>
      <c r="BL313" s="463"/>
      <c r="BM313" s="463"/>
    </row>
    <row r="314" spans="47:65">
      <c r="AU314" s="382"/>
      <c r="AV314" s="525"/>
      <c r="AW314" s="435"/>
      <c r="AX314" s="435"/>
      <c r="AY314" s="435"/>
      <c r="AZ314" s="435"/>
      <c r="BA314" s="435"/>
      <c r="BB314" s="525"/>
      <c r="BC314" s="435"/>
      <c r="BD314" s="525"/>
      <c r="BE314" s="435"/>
      <c r="BI314" s="382"/>
      <c r="BJ314" s="463"/>
      <c r="BK314" s="463"/>
      <c r="BL314" s="463"/>
      <c r="BM314" s="525"/>
    </row>
    <row r="315" spans="47:65">
      <c r="AU315" s="382"/>
      <c r="AV315" s="525"/>
      <c r="AW315" s="435"/>
      <c r="AX315" s="435"/>
      <c r="AY315" s="435"/>
      <c r="AZ315" s="435"/>
      <c r="BA315" s="435"/>
      <c r="BB315" s="862"/>
      <c r="BC315" s="435"/>
      <c r="BD315" s="435"/>
      <c r="BE315" s="435"/>
      <c r="BI315" s="382"/>
      <c r="BJ315" s="463"/>
      <c r="BK315" s="463"/>
      <c r="BL315" s="463"/>
      <c r="BM315" s="463"/>
    </row>
    <row r="316" spans="47:65">
      <c r="AU316" s="382"/>
      <c r="AV316" s="525"/>
      <c r="AW316" s="435"/>
      <c r="AX316" s="435"/>
      <c r="AY316" s="435"/>
      <c r="AZ316" s="435"/>
      <c r="BA316" s="435"/>
      <c r="BB316" s="435"/>
      <c r="BC316" s="435"/>
      <c r="BD316" s="435"/>
      <c r="BE316" s="435"/>
      <c r="BI316" s="382"/>
      <c r="BJ316" s="463"/>
      <c r="BK316" s="463"/>
      <c r="BL316" s="463"/>
      <c r="BM316" s="463"/>
    </row>
    <row r="317" spans="47:65">
      <c r="AU317" s="382"/>
      <c r="BI317" s="382"/>
      <c r="BJ317" s="463"/>
      <c r="BK317" s="463"/>
      <c r="BL317" s="463"/>
      <c r="BM317" s="463"/>
    </row>
    <row r="318" spans="47:65">
      <c r="BI318" s="382"/>
      <c r="BJ318" s="463"/>
      <c r="BK318" s="463"/>
      <c r="BL318" s="463"/>
      <c r="BM318" s="463"/>
    </row>
    <row r="319" spans="47:65">
      <c r="BI319" s="382"/>
      <c r="BJ319" s="463"/>
      <c r="BK319" s="463"/>
      <c r="BL319" s="463"/>
      <c r="BM319" s="463"/>
    </row>
    <row r="320" spans="47:65">
      <c r="BI320" s="382"/>
      <c r="BJ320" s="463"/>
      <c r="BK320" s="463"/>
      <c r="BL320" s="463"/>
      <c r="BM320" s="463"/>
    </row>
    <row r="321" spans="47:65">
      <c r="AU321" s="382"/>
      <c r="AV321" s="382"/>
      <c r="AW321" s="382"/>
      <c r="AX321" s="382"/>
      <c r="AY321" s="382"/>
      <c r="AZ321" s="382"/>
      <c r="BA321" s="382"/>
      <c r="BB321" s="382"/>
      <c r="BC321" s="382"/>
      <c r="BD321" s="382"/>
      <c r="BE321" s="870"/>
      <c r="BI321" s="382"/>
      <c r="BJ321" s="435"/>
      <c r="BK321" s="435"/>
      <c r="BL321" s="435"/>
      <c r="BM321" s="463"/>
    </row>
    <row r="322" spans="47:65">
      <c r="AU322" s="382"/>
      <c r="AV322" s="439"/>
      <c r="AW322" s="2073"/>
      <c r="AX322" s="2073"/>
      <c r="AY322" s="2073"/>
      <c r="AZ322" s="2073"/>
      <c r="BA322" s="2073"/>
      <c r="BB322" s="2073"/>
      <c r="BC322" s="2073"/>
      <c r="BD322" s="2073"/>
      <c r="BE322" s="2073"/>
      <c r="BI322" s="382"/>
      <c r="BJ322" s="435"/>
      <c r="BK322" s="435"/>
      <c r="BL322" s="435"/>
      <c r="BM322" s="463"/>
    </row>
    <row r="323" spans="47:65">
      <c r="AU323" s="382"/>
      <c r="AV323" s="439"/>
      <c r="AW323" s="439"/>
      <c r="AX323" s="1085"/>
      <c r="AY323" s="1085"/>
      <c r="AZ323" s="439"/>
      <c r="BA323" s="439"/>
      <c r="BB323" s="439"/>
      <c r="BC323" s="439"/>
      <c r="BD323" s="439"/>
      <c r="BE323" s="439"/>
      <c r="BI323" s="382"/>
      <c r="BJ323" s="435"/>
      <c r="BK323" s="435"/>
      <c r="BL323" s="435"/>
      <c r="BM323" s="463"/>
    </row>
    <row r="324" spans="47:65">
      <c r="AU324" s="382"/>
      <c r="AV324" s="525"/>
      <c r="AW324" s="525"/>
      <c r="AX324" s="525"/>
      <c r="AY324" s="525"/>
      <c r="AZ324" s="525"/>
      <c r="BA324" s="525"/>
      <c r="BB324" s="525"/>
      <c r="BC324" s="525"/>
      <c r="BD324" s="525"/>
      <c r="BE324" s="435"/>
      <c r="BI324" s="382"/>
      <c r="BJ324" s="435"/>
      <c r="BK324" s="435"/>
      <c r="BL324" s="435"/>
      <c r="BM324" s="463"/>
    </row>
    <row r="325" spans="47:65">
      <c r="AU325" s="382"/>
      <c r="AV325" s="435"/>
      <c r="AW325" s="435"/>
      <c r="AX325" s="435"/>
      <c r="AY325" s="435"/>
      <c r="AZ325" s="435"/>
      <c r="BA325" s="435"/>
      <c r="BB325" s="435"/>
      <c r="BC325" s="435"/>
      <c r="BD325" s="435"/>
      <c r="BE325" s="435"/>
      <c r="BI325" s="382"/>
      <c r="BJ325" s="435"/>
      <c r="BK325" s="435"/>
      <c r="BL325" s="435"/>
      <c r="BM325" s="463"/>
    </row>
    <row r="326" spans="47:65">
      <c r="AU326" s="382"/>
      <c r="AV326" s="525"/>
      <c r="AW326" s="862"/>
      <c r="AX326" s="862"/>
      <c r="AY326" s="435"/>
      <c r="AZ326" s="435"/>
      <c r="BA326" s="435"/>
      <c r="BB326" s="435"/>
      <c r="BC326" s="435"/>
      <c r="BD326" s="435"/>
      <c r="BE326" s="435"/>
      <c r="BI326" s="382"/>
      <c r="BJ326" s="463"/>
      <c r="BK326" s="463"/>
      <c r="BL326" s="435"/>
      <c r="BM326" s="463"/>
    </row>
    <row r="327" spans="47:65">
      <c r="AU327" s="382"/>
      <c r="AV327" s="525"/>
      <c r="AW327" s="862"/>
      <c r="AX327" s="862"/>
      <c r="AY327" s="862"/>
      <c r="AZ327" s="435"/>
      <c r="BA327" s="435"/>
      <c r="BB327" s="435"/>
      <c r="BC327" s="435"/>
      <c r="BD327" s="435"/>
      <c r="BE327" s="435"/>
      <c r="BI327" s="382"/>
      <c r="BJ327" s="463"/>
      <c r="BK327" s="463"/>
      <c r="BL327" s="463"/>
      <c r="BM327" s="463"/>
    </row>
    <row r="328" spans="47:65">
      <c r="AU328" s="382"/>
      <c r="AV328" s="525"/>
      <c r="AW328" s="862"/>
      <c r="AX328" s="862"/>
      <c r="AY328" s="862"/>
      <c r="AZ328" s="435"/>
      <c r="BA328" s="435"/>
      <c r="BB328" s="435"/>
      <c r="BC328" s="435"/>
      <c r="BD328" s="435"/>
      <c r="BE328" s="435"/>
      <c r="BI328" s="382"/>
      <c r="BJ328" s="463"/>
      <c r="BK328" s="463"/>
      <c r="BL328" s="463"/>
    </row>
    <row r="329" spans="47:65">
      <c r="AU329" s="382"/>
      <c r="AV329" s="525"/>
      <c r="AW329" s="862"/>
      <c r="AX329" s="862"/>
      <c r="AY329" s="862"/>
      <c r="AZ329" s="862"/>
      <c r="BA329" s="435"/>
      <c r="BB329" s="862"/>
      <c r="BC329" s="435"/>
      <c r="BD329" s="435"/>
      <c r="BE329" s="435"/>
      <c r="BI329" s="382"/>
      <c r="BJ329" s="463"/>
      <c r="BK329" s="463"/>
      <c r="BL329" s="463"/>
    </row>
    <row r="330" spans="47:65">
      <c r="AU330" s="382"/>
      <c r="AV330" s="525"/>
      <c r="AW330" s="525"/>
      <c r="AX330" s="525"/>
      <c r="AY330" s="525"/>
      <c r="AZ330" s="525"/>
      <c r="BA330" s="525"/>
      <c r="BB330" s="862"/>
      <c r="BC330" s="435"/>
      <c r="BD330" s="435"/>
      <c r="BE330" s="435"/>
      <c r="BI330" s="382"/>
      <c r="BJ330" s="463"/>
      <c r="BK330" s="463"/>
      <c r="BL330" s="463"/>
    </row>
    <row r="331" spans="47:65">
      <c r="AU331" s="382"/>
      <c r="AV331" s="525"/>
      <c r="AW331" s="525"/>
      <c r="AX331" s="525"/>
      <c r="AY331" s="525"/>
      <c r="AZ331" s="525"/>
      <c r="BA331" s="525"/>
      <c r="BB331" s="525"/>
      <c r="BC331" s="435"/>
      <c r="BD331" s="435"/>
      <c r="BE331" s="435"/>
      <c r="BI331" s="382"/>
      <c r="BJ331" s="463"/>
      <c r="BK331" s="463"/>
      <c r="BL331" s="463"/>
    </row>
    <row r="332" spans="47:65">
      <c r="AU332" s="382"/>
      <c r="AV332" s="525"/>
      <c r="AW332" s="525"/>
      <c r="AX332" s="525"/>
      <c r="AY332" s="525"/>
      <c r="AZ332" s="525"/>
      <c r="BA332" s="525"/>
      <c r="BB332" s="525"/>
      <c r="BC332" s="525"/>
      <c r="BD332" s="435"/>
      <c r="BE332" s="435"/>
      <c r="BI332" s="382"/>
      <c r="BJ332" s="463"/>
      <c r="BK332" s="463"/>
      <c r="BL332" s="435"/>
    </row>
    <row r="333" spans="47:65">
      <c r="AU333" s="382"/>
      <c r="AV333" s="525"/>
      <c r="AW333" s="525"/>
      <c r="AX333" s="525"/>
      <c r="AY333" s="525"/>
      <c r="AZ333" s="525"/>
      <c r="BA333" s="525"/>
      <c r="BB333" s="525"/>
      <c r="BC333" s="525"/>
      <c r="BD333" s="862"/>
      <c r="BE333" s="435"/>
      <c r="BJ333" s="525"/>
      <c r="BK333" s="525"/>
      <c r="BL333" s="525"/>
    </row>
    <row r="334" spans="47:65">
      <c r="AU334" s="382"/>
      <c r="AV334" s="525"/>
      <c r="AW334" s="525"/>
      <c r="AX334" s="525"/>
      <c r="AY334" s="525"/>
      <c r="AZ334" s="525"/>
      <c r="BA334" s="525"/>
      <c r="BB334" s="525"/>
      <c r="BC334" s="525"/>
      <c r="BD334" s="862"/>
      <c r="BE334" s="435"/>
      <c r="BI334" s="382"/>
      <c r="BJ334" s="463"/>
      <c r="BK334" s="463"/>
      <c r="BL334" s="463"/>
    </row>
    <row r="335" spans="47:65">
      <c r="AU335" s="382"/>
      <c r="AV335" s="525"/>
      <c r="AW335" s="525"/>
      <c r="AX335" s="525"/>
      <c r="AY335" s="525"/>
      <c r="AZ335" s="525"/>
      <c r="BA335" s="525"/>
      <c r="BB335" s="525"/>
      <c r="BC335" s="525"/>
      <c r="BD335" s="435"/>
      <c r="BE335" s="435"/>
      <c r="BI335" s="382"/>
      <c r="BJ335" s="435"/>
      <c r="BK335" s="435"/>
      <c r="BL335" s="435"/>
    </row>
    <row r="336" spans="47:65">
      <c r="AU336" s="382"/>
      <c r="AV336" s="525"/>
      <c r="AW336" s="862"/>
      <c r="AX336" s="862"/>
      <c r="AY336" s="862"/>
      <c r="AZ336" s="862"/>
      <c r="BA336" s="525"/>
      <c r="BB336" s="525"/>
      <c r="BC336" s="525"/>
      <c r="BD336" s="862"/>
      <c r="BE336" s="435"/>
      <c r="BI336" s="382"/>
      <c r="BJ336" s="435"/>
      <c r="BK336" s="435"/>
      <c r="BL336" s="435"/>
    </row>
    <row r="337" spans="47:64">
      <c r="AU337" s="382"/>
      <c r="BI337" s="382"/>
      <c r="BJ337" s="435"/>
      <c r="BK337" s="435"/>
      <c r="BL337" s="435"/>
    </row>
    <row r="338" spans="47:64">
      <c r="BI338" s="382"/>
      <c r="BJ338" s="435"/>
      <c r="BK338" s="435"/>
      <c r="BL338" s="435"/>
    </row>
    <row r="339" spans="47:64">
      <c r="BI339" s="382"/>
      <c r="BJ339" s="435"/>
      <c r="BK339" s="435"/>
      <c r="BL339" s="435"/>
    </row>
    <row r="340" spans="47:64">
      <c r="BI340" s="382"/>
      <c r="BJ340" s="463"/>
      <c r="BK340" s="463"/>
      <c r="BL340" s="435"/>
    </row>
    <row r="341" spans="47:64">
      <c r="AU341" s="382"/>
      <c r="AV341" s="382"/>
      <c r="AW341" s="382"/>
      <c r="AX341" s="382"/>
      <c r="AY341" s="382"/>
      <c r="AZ341" s="382"/>
      <c r="BA341" s="382"/>
      <c r="BB341" s="382"/>
      <c r="BC341" s="382"/>
      <c r="BD341" s="382"/>
      <c r="BE341" s="870"/>
      <c r="BI341" s="382"/>
      <c r="BJ341" s="463"/>
      <c r="BK341" s="463"/>
      <c r="BL341" s="463"/>
    </row>
    <row r="342" spans="47:64">
      <c r="AU342" s="382"/>
      <c r="AV342" s="439"/>
      <c r="AW342" s="2073"/>
      <c r="AX342" s="2073"/>
      <c r="AY342" s="2073"/>
      <c r="AZ342" s="2073"/>
      <c r="BA342" s="2073"/>
      <c r="BB342" s="2073"/>
      <c r="BC342" s="2073"/>
      <c r="BD342" s="2073"/>
      <c r="BE342" s="2073"/>
      <c r="BI342" s="382"/>
      <c r="BJ342" s="463"/>
      <c r="BK342" s="463"/>
      <c r="BL342" s="463"/>
    </row>
    <row r="343" spans="47:64">
      <c r="AU343" s="382"/>
      <c r="AV343" s="439"/>
      <c r="AW343" s="439"/>
      <c r="AX343" s="1085"/>
      <c r="AY343" s="1085"/>
      <c r="AZ343" s="439"/>
      <c r="BA343" s="439"/>
      <c r="BB343" s="439"/>
      <c r="BC343" s="439"/>
      <c r="BD343" s="439"/>
      <c r="BE343" s="439"/>
      <c r="BI343" s="382"/>
      <c r="BJ343" s="463"/>
      <c r="BK343" s="463"/>
      <c r="BL343" s="463"/>
    </row>
    <row r="344" spans="47:64">
      <c r="AU344" s="382"/>
      <c r="AV344" s="525"/>
      <c r="AW344" s="525"/>
      <c r="AX344" s="525"/>
      <c r="AY344" s="525"/>
      <c r="AZ344" s="525"/>
      <c r="BA344" s="525"/>
      <c r="BB344" s="525"/>
      <c r="BC344" s="525"/>
      <c r="BD344" s="525"/>
      <c r="BE344" s="525"/>
      <c r="BI344" s="382"/>
      <c r="BJ344" s="463"/>
      <c r="BK344" s="463"/>
      <c r="BL344" s="463"/>
    </row>
    <row r="345" spans="47:64">
      <c r="AU345" s="382"/>
      <c r="BI345" s="382"/>
      <c r="BJ345" s="463"/>
      <c r="BK345" s="463"/>
      <c r="BL345" s="463"/>
    </row>
    <row r="346" spans="47:64">
      <c r="AU346" s="382"/>
      <c r="BI346" s="382"/>
      <c r="BJ346" s="463"/>
      <c r="BK346" s="463"/>
      <c r="BL346" s="435"/>
    </row>
    <row r="347" spans="47:64">
      <c r="AU347" s="382"/>
      <c r="AV347" s="435"/>
      <c r="AW347" s="435"/>
      <c r="AX347" s="435"/>
      <c r="AY347" s="435"/>
      <c r="AZ347" s="435"/>
      <c r="BA347" s="435"/>
      <c r="BB347" s="435"/>
      <c r="BC347" s="435"/>
      <c r="BD347" s="435"/>
      <c r="BE347" s="435"/>
      <c r="BI347" s="382"/>
      <c r="BJ347" s="382"/>
      <c r="BK347" s="382"/>
      <c r="BL347" s="382"/>
    </row>
    <row r="348" spans="47:64">
      <c r="AU348" s="382"/>
      <c r="AV348" s="435"/>
      <c r="AW348" s="435"/>
      <c r="AX348" s="435"/>
      <c r="AY348" s="435"/>
      <c r="AZ348" s="435"/>
      <c r="BA348" s="435"/>
      <c r="BB348" s="435"/>
      <c r="BC348" s="435"/>
      <c r="BD348" s="435"/>
      <c r="BE348" s="435"/>
      <c r="BI348" s="382"/>
      <c r="BJ348" s="382"/>
      <c r="BK348" s="382"/>
      <c r="BL348" s="382"/>
    </row>
    <row r="349" spans="47:64">
      <c r="AU349" s="382"/>
      <c r="AV349" s="435"/>
      <c r="AW349" s="435"/>
      <c r="AX349" s="435"/>
      <c r="AY349" s="435"/>
      <c r="AZ349" s="435"/>
      <c r="BA349" s="435"/>
      <c r="BB349" s="435"/>
      <c r="BC349" s="435"/>
      <c r="BD349" s="435"/>
      <c r="BE349" s="435"/>
      <c r="BI349" s="382"/>
      <c r="BJ349" s="382"/>
      <c r="BK349" s="382"/>
      <c r="BL349" s="382"/>
    </row>
    <row r="350" spans="47:64">
      <c r="AU350" s="382"/>
      <c r="AV350" s="525"/>
      <c r="AW350" s="525"/>
      <c r="AX350" s="525"/>
      <c r="AY350" s="525"/>
      <c r="AZ350" s="525"/>
      <c r="BA350" s="525"/>
      <c r="BB350" s="525"/>
      <c r="BC350" s="435"/>
      <c r="BD350" s="435"/>
      <c r="BE350" s="435"/>
      <c r="BI350" s="382"/>
      <c r="BJ350" s="382"/>
      <c r="BK350" s="382"/>
      <c r="BL350" s="382"/>
    </row>
    <row r="351" spans="47:64">
      <c r="AU351" s="382"/>
      <c r="AV351" s="525"/>
      <c r="AW351" s="525"/>
      <c r="AX351" s="525"/>
      <c r="AY351" s="525"/>
      <c r="AZ351" s="525"/>
      <c r="BA351" s="525"/>
      <c r="BB351" s="525"/>
      <c r="BC351" s="525"/>
      <c r="BD351" s="435"/>
      <c r="BE351" s="435"/>
    </row>
    <row r="352" spans="47:64">
      <c r="AU352" s="382"/>
      <c r="AV352" s="525"/>
      <c r="AW352" s="525"/>
      <c r="AX352" s="525"/>
      <c r="AY352" s="525"/>
      <c r="AZ352" s="525"/>
      <c r="BA352" s="525"/>
      <c r="BB352" s="525"/>
      <c r="BC352" s="525"/>
      <c r="BD352" s="525"/>
      <c r="BE352" s="862"/>
    </row>
    <row r="353" spans="47:64">
      <c r="AU353" s="382"/>
      <c r="AV353" s="525"/>
      <c r="AW353" s="525"/>
      <c r="AX353" s="525"/>
      <c r="AY353" s="525"/>
      <c r="AZ353" s="525"/>
      <c r="BA353" s="525"/>
      <c r="BB353" s="525"/>
      <c r="BC353" s="525"/>
      <c r="BD353" s="525"/>
      <c r="BE353" s="525"/>
      <c r="BI353" s="382"/>
      <c r="BJ353" s="2172"/>
      <c r="BK353" s="2154"/>
      <c r="BL353" s="2154"/>
    </row>
    <row r="354" spans="47:64">
      <c r="AU354" s="382"/>
      <c r="AV354" s="525"/>
      <c r="AW354" s="525"/>
      <c r="AX354" s="525"/>
      <c r="AY354" s="525"/>
      <c r="AZ354" s="525"/>
      <c r="BA354" s="525"/>
      <c r="BB354" s="525"/>
      <c r="BC354" s="525"/>
      <c r="BD354" s="525"/>
      <c r="BE354" s="525"/>
      <c r="BI354" s="382"/>
      <c r="BJ354" s="439"/>
      <c r="BK354" s="439"/>
      <c r="BL354" s="439"/>
    </row>
    <row r="355" spans="47:64">
      <c r="AU355" s="382"/>
      <c r="AV355" s="525"/>
      <c r="AW355" s="435"/>
      <c r="AX355" s="525"/>
      <c r="AY355" s="435"/>
      <c r="AZ355" s="525"/>
      <c r="BA355" s="525"/>
      <c r="BB355" s="525"/>
      <c r="BC355" s="525"/>
      <c r="BD355" s="525"/>
      <c r="BE355" s="525"/>
      <c r="BI355" s="382"/>
      <c r="BJ355" s="463"/>
      <c r="BK355" s="463"/>
      <c r="BL355" s="463"/>
    </row>
    <row r="356" spans="47:64">
      <c r="AU356" s="382"/>
      <c r="AV356" s="525"/>
      <c r="AW356" s="435"/>
      <c r="AX356" s="435"/>
      <c r="AY356" s="435"/>
      <c r="AZ356" s="435"/>
      <c r="BA356" s="525"/>
      <c r="BB356" s="525"/>
      <c r="BC356" s="525"/>
      <c r="BD356" s="525"/>
      <c r="BE356" s="525"/>
      <c r="BI356" s="382"/>
      <c r="BJ356" s="435"/>
      <c r="BK356" s="435"/>
      <c r="BL356" s="435"/>
    </row>
    <row r="357" spans="47:64">
      <c r="AU357" s="382"/>
      <c r="BI357" s="382"/>
      <c r="BJ357" s="463"/>
      <c r="BK357" s="435"/>
      <c r="BL357" s="435"/>
    </row>
    <row r="358" spans="47:64">
      <c r="AU358" s="382"/>
      <c r="AV358" s="463"/>
      <c r="AW358" s="463"/>
      <c r="AX358" s="463"/>
      <c r="AY358" s="463"/>
      <c r="AZ358" s="463"/>
      <c r="BA358" s="463"/>
      <c r="BB358" s="463"/>
      <c r="BC358" s="463"/>
      <c r="BD358" s="463"/>
      <c r="BE358" s="463"/>
      <c r="BI358" s="382"/>
      <c r="BJ358" s="463"/>
      <c r="BK358" s="435"/>
      <c r="BL358" s="435"/>
    </row>
    <row r="359" spans="47:64">
      <c r="AU359" s="382"/>
      <c r="AV359" s="435"/>
      <c r="AW359" s="435"/>
      <c r="AX359" s="435"/>
      <c r="AY359" s="435"/>
      <c r="AZ359" s="435"/>
      <c r="BA359" s="435"/>
      <c r="BB359" s="435"/>
      <c r="BC359" s="435"/>
      <c r="BD359" s="435"/>
      <c r="BE359" s="435"/>
      <c r="BI359" s="382"/>
      <c r="BJ359" s="463"/>
      <c r="BK359" s="435"/>
      <c r="BL359" s="435"/>
    </row>
    <row r="360" spans="47:64">
      <c r="AU360" s="382"/>
      <c r="AV360" s="435"/>
      <c r="AW360" s="435"/>
      <c r="AX360" s="435"/>
      <c r="AY360" s="435"/>
      <c r="AZ360" s="435"/>
      <c r="BA360" s="435"/>
      <c r="BB360" s="435"/>
      <c r="BC360" s="435"/>
      <c r="BD360" s="435"/>
      <c r="BE360" s="435"/>
      <c r="BI360" s="382"/>
      <c r="BJ360" s="463"/>
      <c r="BK360" s="435"/>
      <c r="BL360" s="435"/>
    </row>
    <row r="361" spans="47:64">
      <c r="AU361" s="382"/>
      <c r="AV361" s="435"/>
      <c r="AW361" s="435"/>
      <c r="AX361" s="435"/>
      <c r="AY361" s="435"/>
      <c r="AZ361" s="435"/>
      <c r="BA361" s="435"/>
      <c r="BB361" s="435"/>
      <c r="BC361" s="435"/>
      <c r="BD361" s="435"/>
      <c r="BE361" s="435"/>
      <c r="BI361" s="382"/>
      <c r="BJ361" s="463"/>
      <c r="BK361" s="463"/>
      <c r="BL361" s="463"/>
    </row>
    <row r="362" spans="47:64">
      <c r="AU362" s="382"/>
      <c r="AV362" s="435"/>
      <c r="AW362" s="435"/>
      <c r="AX362" s="435"/>
      <c r="AY362" s="435"/>
      <c r="AZ362" s="435"/>
      <c r="BA362" s="435"/>
      <c r="BB362" s="435"/>
      <c r="BC362" s="435"/>
      <c r="BD362" s="435"/>
      <c r="BE362" s="435"/>
      <c r="BI362" s="382"/>
      <c r="BJ362" s="463"/>
      <c r="BK362" s="463"/>
      <c r="BL362" s="463"/>
    </row>
    <row r="363" spans="47:64">
      <c r="AU363" s="382"/>
      <c r="AV363" s="435"/>
      <c r="AW363" s="435"/>
      <c r="AX363" s="435"/>
      <c r="AY363" s="435"/>
      <c r="AZ363" s="435"/>
      <c r="BA363" s="435"/>
      <c r="BB363" s="435"/>
      <c r="BC363" s="435"/>
      <c r="BD363" s="435"/>
      <c r="BE363" s="435"/>
      <c r="BI363" s="382"/>
      <c r="BJ363" s="463"/>
      <c r="BK363" s="463"/>
      <c r="BL363" s="463"/>
    </row>
    <row r="364" spans="47:64">
      <c r="AU364" s="382"/>
      <c r="AV364" s="463"/>
      <c r="AW364" s="463"/>
      <c r="AX364" s="463"/>
      <c r="AY364" s="463"/>
      <c r="AZ364" s="463"/>
      <c r="BA364" s="463"/>
      <c r="BB364" s="463"/>
      <c r="BC364" s="435"/>
      <c r="BD364" s="435"/>
      <c r="BE364" s="435"/>
      <c r="BI364" s="382"/>
      <c r="BJ364" s="463"/>
      <c r="BK364" s="463"/>
      <c r="BL364" s="463"/>
    </row>
    <row r="365" spans="47:64">
      <c r="AU365" s="382"/>
      <c r="AV365" s="463"/>
      <c r="AW365" s="463"/>
      <c r="AX365" s="463"/>
      <c r="AY365" s="463"/>
      <c r="AZ365" s="463"/>
      <c r="BA365" s="463"/>
      <c r="BB365" s="463"/>
      <c r="BC365" s="463"/>
      <c r="BD365" s="435"/>
      <c r="BE365" s="435"/>
      <c r="BI365" s="382"/>
      <c r="BJ365" s="463"/>
      <c r="BK365" s="463"/>
      <c r="BL365" s="463"/>
    </row>
    <row r="366" spans="47:64">
      <c r="AU366" s="382"/>
      <c r="AV366" s="463"/>
      <c r="AW366" s="463"/>
      <c r="AX366" s="463"/>
      <c r="AY366" s="463"/>
      <c r="AZ366" s="463"/>
      <c r="BA366" s="463"/>
      <c r="BB366" s="463"/>
      <c r="BC366" s="463"/>
      <c r="BD366" s="463"/>
      <c r="BE366" s="435"/>
      <c r="BI366" s="382"/>
      <c r="BJ366" s="463"/>
      <c r="BK366" s="463"/>
      <c r="BL366" s="463"/>
    </row>
    <row r="367" spans="47:64">
      <c r="AU367" s="382"/>
      <c r="AV367" s="463"/>
      <c r="AW367" s="463"/>
      <c r="AX367" s="463"/>
      <c r="AY367" s="463"/>
      <c r="AZ367" s="463"/>
      <c r="BA367" s="463"/>
      <c r="BB367" s="463"/>
      <c r="BC367" s="463"/>
      <c r="BD367" s="463"/>
      <c r="BE367" s="463"/>
      <c r="BI367" s="382"/>
      <c r="BJ367" s="463"/>
      <c r="BK367" s="463"/>
      <c r="BL367" s="463"/>
    </row>
    <row r="368" spans="47:64">
      <c r="AU368" s="382"/>
      <c r="AV368" s="463"/>
      <c r="AW368" s="463"/>
      <c r="AX368" s="463"/>
      <c r="AY368" s="463"/>
      <c r="AZ368" s="463"/>
      <c r="BA368" s="463"/>
      <c r="BB368" s="463"/>
      <c r="BC368" s="463"/>
      <c r="BD368" s="463"/>
      <c r="BE368" s="463"/>
      <c r="BI368" s="382"/>
      <c r="BJ368" s="382"/>
      <c r="BK368" s="382"/>
      <c r="BL368" s="382"/>
    </row>
    <row r="369" spans="47:65">
      <c r="AU369" s="382"/>
      <c r="AV369" s="463"/>
      <c r="AW369" s="435"/>
      <c r="AX369" s="463"/>
      <c r="AY369" s="435"/>
      <c r="AZ369" s="463"/>
      <c r="BA369" s="463"/>
      <c r="BB369" s="463"/>
      <c r="BC369" s="463"/>
      <c r="BD369" s="463"/>
      <c r="BE369" s="463"/>
      <c r="BI369" s="382"/>
      <c r="BJ369" s="382"/>
      <c r="BK369" s="382"/>
      <c r="BL369" s="382"/>
    </row>
    <row r="370" spans="47:65">
      <c r="AU370" s="382"/>
      <c r="AV370" s="463"/>
      <c r="AW370" s="435"/>
      <c r="AX370" s="435"/>
      <c r="AY370" s="435"/>
      <c r="AZ370" s="435"/>
      <c r="BA370" s="463"/>
      <c r="BB370" s="463"/>
      <c r="BC370" s="463"/>
      <c r="BD370" s="463"/>
      <c r="BE370" s="463"/>
      <c r="BI370" s="382"/>
      <c r="BJ370" s="382"/>
      <c r="BK370" s="382"/>
      <c r="BL370" s="382"/>
    </row>
    <row r="371" spans="47:65">
      <c r="AU371" s="382"/>
      <c r="AW371" s="525"/>
      <c r="BI371" s="382"/>
      <c r="BJ371" s="382"/>
      <c r="BK371" s="382"/>
      <c r="BL371" s="382"/>
    </row>
    <row r="372" spans="47:65">
      <c r="AU372" s="382"/>
      <c r="AV372" s="525"/>
      <c r="AW372" s="525"/>
      <c r="AX372" s="525"/>
      <c r="AY372" s="525"/>
      <c r="AZ372" s="525"/>
      <c r="BA372" s="525"/>
      <c r="BB372" s="525"/>
      <c r="BC372" s="525"/>
      <c r="BD372" s="525"/>
      <c r="BE372" s="525"/>
      <c r="BI372" s="382"/>
      <c r="BJ372" s="870"/>
      <c r="BK372" s="870"/>
      <c r="BL372" s="870"/>
    </row>
    <row r="373" spans="47:65">
      <c r="AU373" s="382"/>
      <c r="AV373" s="435"/>
      <c r="AW373" s="435"/>
      <c r="AX373" s="435"/>
      <c r="AY373" s="435"/>
      <c r="AZ373" s="435"/>
      <c r="BA373" s="435"/>
      <c r="BB373" s="435"/>
      <c r="BC373" s="435"/>
      <c r="BD373" s="435"/>
      <c r="BE373" s="435"/>
      <c r="BI373" s="382"/>
      <c r="BJ373" s="870"/>
      <c r="BK373" s="870"/>
      <c r="BL373" s="870"/>
    </row>
    <row r="374" spans="47:65">
      <c r="AU374" s="382"/>
      <c r="AV374" s="435"/>
      <c r="AW374" s="435"/>
      <c r="AX374" s="435"/>
      <c r="AY374" s="435"/>
      <c r="AZ374" s="435"/>
      <c r="BA374" s="435"/>
      <c r="BB374" s="435"/>
      <c r="BC374" s="435"/>
      <c r="BD374" s="435"/>
      <c r="BE374" s="435"/>
      <c r="BI374" s="382"/>
      <c r="BJ374" s="2172"/>
      <c r="BK374" s="2172"/>
      <c r="BL374" s="2172"/>
    </row>
    <row r="375" spans="47:65">
      <c r="AU375" s="382"/>
      <c r="AV375" s="435"/>
      <c r="AW375" s="435"/>
      <c r="AX375" s="435"/>
      <c r="AY375" s="435"/>
      <c r="AZ375" s="435"/>
      <c r="BA375" s="435"/>
      <c r="BB375" s="435"/>
      <c r="BC375" s="435"/>
      <c r="BD375" s="435"/>
      <c r="BE375" s="435"/>
      <c r="BI375" s="382"/>
      <c r="BJ375" s="439"/>
      <c r="BK375" s="439"/>
      <c r="BL375" s="439"/>
      <c r="BM375" s="598"/>
    </row>
    <row r="376" spans="47:65">
      <c r="AU376" s="382"/>
      <c r="AV376" s="435"/>
      <c r="AW376" s="435"/>
      <c r="AX376" s="435"/>
      <c r="AY376" s="435"/>
      <c r="AZ376" s="435"/>
      <c r="BA376" s="435"/>
      <c r="BB376" s="435"/>
      <c r="BC376" s="435"/>
      <c r="BD376" s="435"/>
      <c r="BE376" s="435"/>
      <c r="BI376" s="382"/>
      <c r="BJ376" s="463"/>
      <c r="BK376" s="463"/>
      <c r="BL376" s="463"/>
    </row>
    <row r="377" spans="47:65">
      <c r="AU377" s="382"/>
      <c r="AV377" s="435"/>
      <c r="AW377" s="435"/>
      <c r="AX377" s="435"/>
      <c r="AY377" s="435"/>
      <c r="AZ377" s="435"/>
      <c r="BA377" s="435"/>
      <c r="BB377" s="435"/>
      <c r="BC377" s="435"/>
      <c r="BD377" s="435"/>
      <c r="BE377" s="435"/>
      <c r="BI377" s="382"/>
      <c r="BJ377" s="435"/>
      <c r="BK377" s="435"/>
      <c r="BL377" s="435"/>
    </row>
    <row r="378" spans="47:65">
      <c r="AU378" s="382"/>
      <c r="AV378" s="525"/>
      <c r="AW378" s="435"/>
      <c r="AX378" s="435"/>
      <c r="AY378" s="435"/>
      <c r="AZ378" s="435"/>
      <c r="BA378" s="525"/>
      <c r="BB378" s="435"/>
      <c r="BC378" s="435"/>
      <c r="BD378" s="435"/>
      <c r="BE378" s="435"/>
      <c r="BI378" s="382"/>
      <c r="BJ378" s="435"/>
      <c r="BK378" s="435"/>
      <c r="BL378" s="435"/>
    </row>
    <row r="379" spans="47:65">
      <c r="AU379" s="382"/>
      <c r="AV379" s="525"/>
      <c r="AW379" s="435"/>
      <c r="AX379" s="435"/>
      <c r="AY379" s="435"/>
      <c r="AZ379" s="525"/>
      <c r="BA379" s="525"/>
      <c r="BB379" s="525"/>
      <c r="BC379" s="525"/>
      <c r="BD379" s="435"/>
      <c r="BE379" s="435"/>
      <c r="BI379" s="382"/>
      <c r="BJ379" s="435"/>
      <c r="BK379" s="435"/>
      <c r="BL379" s="435"/>
    </row>
    <row r="380" spans="47:65">
      <c r="AU380" s="382"/>
      <c r="AV380" s="525"/>
      <c r="AW380" s="435"/>
      <c r="AX380" s="435"/>
      <c r="AY380" s="435"/>
      <c r="AZ380" s="435"/>
      <c r="BA380" s="525"/>
      <c r="BB380" s="525"/>
      <c r="BC380" s="525"/>
      <c r="BD380" s="435"/>
      <c r="BE380" s="435"/>
      <c r="BI380" s="382"/>
      <c r="BJ380" s="435"/>
      <c r="BK380" s="435"/>
      <c r="BL380" s="435"/>
    </row>
    <row r="381" spans="47:65">
      <c r="AU381" s="382"/>
      <c r="AV381" s="525"/>
      <c r="AW381" s="435"/>
      <c r="AX381" s="435"/>
      <c r="AY381" s="435"/>
      <c r="AZ381" s="435"/>
      <c r="BA381" s="525"/>
      <c r="BB381" s="525"/>
      <c r="BC381" s="525"/>
      <c r="BD381" s="525"/>
      <c r="BE381" s="435"/>
      <c r="BI381" s="382"/>
      <c r="BJ381" s="435"/>
      <c r="BK381" s="435"/>
      <c r="BL381" s="435"/>
    </row>
    <row r="382" spans="47:65">
      <c r="AU382" s="382"/>
      <c r="AV382" s="525"/>
      <c r="AW382" s="435"/>
      <c r="AX382" s="435"/>
      <c r="AY382" s="435"/>
      <c r="AZ382" s="435"/>
      <c r="BA382" s="435"/>
      <c r="BB382" s="525"/>
      <c r="BC382" s="435"/>
      <c r="BD382" s="525"/>
      <c r="BE382" s="435"/>
      <c r="BI382" s="382"/>
      <c r="BJ382" s="463"/>
      <c r="BK382" s="463"/>
      <c r="BL382" s="463"/>
    </row>
    <row r="383" spans="47:65">
      <c r="AU383" s="382"/>
      <c r="AV383" s="525"/>
      <c r="AW383" s="435"/>
      <c r="AX383" s="435"/>
      <c r="AY383" s="435"/>
      <c r="AZ383" s="435"/>
      <c r="BA383" s="435"/>
      <c r="BB383" s="862"/>
      <c r="BC383" s="435"/>
      <c r="BD383" s="435"/>
      <c r="BE383" s="435"/>
      <c r="BI383" s="382"/>
      <c r="BJ383" s="463"/>
      <c r="BK383" s="463"/>
      <c r="BL383" s="463"/>
    </row>
    <row r="384" spans="47:65">
      <c r="AU384" s="382"/>
      <c r="AV384" s="435"/>
      <c r="AW384" s="435"/>
      <c r="AX384" s="435"/>
      <c r="AY384" s="435"/>
      <c r="AZ384" s="435"/>
      <c r="BA384" s="435"/>
      <c r="BB384" s="435"/>
      <c r="BC384" s="435"/>
      <c r="BD384" s="435"/>
      <c r="BE384" s="435"/>
      <c r="BI384" s="382"/>
      <c r="BJ384" s="463"/>
      <c r="BK384" s="463"/>
      <c r="BL384" s="463"/>
    </row>
    <row r="385" spans="47:64">
      <c r="AU385" s="382"/>
      <c r="BI385" s="382"/>
      <c r="BJ385" s="463"/>
      <c r="BK385" s="463"/>
      <c r="BL385" s="463"/>
    </row>
    <row r="386" spans="47:64">
      <c r="BI386" s="382"/>
      <c r="BJ386" s="463"/>
      <c r="BK386" s="463"/>
      <c r="BL386" s="463"/>
    </row>
    <row r="387" spans="47:64">
      <c r="BI387" s="382"/>
      <c r="BJ387" s="463"/>
      <c r="BK387" s="463"/>
      <c r="BL387" s="463"/>
    </row>
    <row r="388" spans="47:64">
      <c r="BI388" s="382"/>
      <c r="BJ388" s="463"/>
      <c r="BK388" s="463"/>
      <c r="BL388" s="463"/>
    </row>
    <row r="389" spans="47:64">
      <c r="AU389" s="382"/>
      <c r="AV389" s="382"/>
      <c r="AW389" s="382"/>
      <c r="AX389" s="382"/>
      <c r="AY389" s="382"/>
      <c r="AZ389" s="382"/>
      <c r="BA389" s="382"/>
      <c r="BB389" s="382"/>
      <c r="BC389" s="382"/>
      <c r="BD389" s="382"/>
      <c r="BE389" s="870"/>
      <c r="BI389" s="382"/>
      <c r="BJ389" s="463"/>
      <c r="BK389" s="463"/>
      <c r="BL389" s="463"/>
    </row>
    <row r="390" spans="47:64">
      <c r="AU390" s="382"/>
      <c r="AV390" s="439"/>
      <c r="AW390" s="2073"/>
      <c r="AX390" s="2073"/>
      <c r="AY390" s="2073"/>
      <c r="AZ390" s="2073"/>
      <c r="BA390" s="2073"/>
      <c r="BB390" s="2073"/>
      <c r="BC390" s="2073"/>
      <c r="BD390" s="2073"/>
      <c r="BE390" s="2073"/>
      <c r="BI390" s="382"/>
      <c r="BJ390" s="463"/>
      <c r="BK390" s="463"/>
      <c r="BL390" s="463"/>
    </row>
    <row r="391" spans="47:64">
      <c r="AU391" s="382"/>
      <c r="AV391" s="439"/>
      <c r="AW391" s="439"/>
      <c r="AX391" s="1085"/>
      <c r="AY391" s="1085"/>
      <c r="AZ391" s="439"/>
      <c r="BA391" s="439"/>
      <c r="BB391" s="439"/>
      <c r="BC391" s="439"/>
      <c r="BD391" s="439"/>
      <c r="BE391" s="439"/>
      <c r="BI391" s="382"/>
      <c r="BJ391" s="435"/>
      <c r="BK391" s="435"/>
      <c r="BL391" s="435"/>
    </row>
    <row r="392" spans="47:64">
      <c r="AU392" s="382"/>
      <c r="AV392" s="525"/>
      <c r="AW392" s="525"/>
      <c r="AX392" s="525"/>
      <c r="AY392" s="525"/>
      <c r="AZ392" s="525"/>
      <c r="BA392" s="525"/>
      <c r="BB392" s="525"/>
      <c r="BC392" s="525"/>
      <c r="BD392" s="525"/>
      <c r="BE392" s="435"/>
      <c r="BI392" s="382"/>
      <c r="BJ392" s="435"/>
      <c r="BK392" s="435"/>
      <c r="BL392" s="435"/>
    </row>
    <row r="393" spans="47:64">
      <c r="AU393" s="382"/>
      <c r="AV393" s="435"/>
      <c r="AW393" s="435"/>
      <c r="AX393" s="435"/>
      <c r="AY393" s="435"/>
      <c r="AZ393" s="435"/>
      <c r="BA393" s="435"/>
      <c r="BB393" s="435"/>
      <c r="BC393" s="435"/>
      <c r="BD393" s="435"/>
      <c r="BE393" s="435"/>
      <c r="BI393" s="382"/>
      <c r="BJ393" s="435"/>
      <c r="BK393" s="435"/>
      <c r="BL393" s="435"/>
    </row>
    <row r="394" spans="47:64">
      <c r="AU394" s="382"/>
      <c r="AV394" s="525"/>
      <c r="AW394" s="862"/>
      <c r="AX394" s="862"/>
      <c r="AY394" s="862"/>
      <c r="AZ394" s="435"/>
      <c r="BA394" s="435"/>
      <c r="BB394" s="435"/>
      <c r="BC394" s="435"/>
      <c r="BD394" s="435"/>
      <c r="BE394" s="435"/>
      <c r="BI394" s="382"/>
      <c r="BJ394" s="435"/>
      <c r="BK394" s="435"/>
      <c r="BL394" s="435"/>
    </row>
    <row r="395" spans="47:64">
      <c r="AU395" s="382"/>
      <c r="AV395" s="525"/>
      <c r="AW395" s="862"/>
      <c r="AX395" s="862"/>
      <c r="AY395" s="862"/>
      <c r="AZ395" s="435"/>
      <c r="BA395" s="435"/>
      <c r="BB395" s="435"/>
      <c r="BC395" s="435"/>
      <c r="BD395" s="435"/>
      <c r="BE395" s="435"/>
      <c r="BI395" s="382"/>
      <c r="BJ395" s="435"/>
      <c r="BK395" s="435"/>
      <c r="BL395" s="435"/>
    </row>
    <row r="396" spans="47:64">
      <c r="AU396" s="382"/>
      <c r="AV396" s="525"/>
      <c r="AW396" s="862"/>
      <c r="AX396" s="862"/>
      <c r="AY396" s="862"/>
      <c r="AZ396" s="435"/>
      <c r="BA396" s="435"/>
      <c r="BB396" s="435"/>
      <c r="BC396" s="435"/>
      <c r="BD396" s="435"/>
      <c r="BE396" s="435"/>
      <c r="BI396" s="382"/>
      <c r="BJ396" s="463"/>
      <c r="BK396" s="463"/>
      <c r="BL396" s="463"/>
    </row>
    <row r="397" spans="47:64">
      <c r="AU397" s="382"/>
      <c r="AV397" s="525"/>
      <c r="AW397" s="862"/>
      <c r="AX397" s="862"/>
      <c r="AY397" s="862"/>
      <c r="AZ397" s="862"/>
      <c r="BA397" s="435"/>
      <c r="BB397" s="435"/>
      <c r="BC397" s="435"/>
      <c r="BD397" s="435"/>
      <c r="BE397" s="435"/>
      <c r="BI397" s="382"/>
      <c r="BJ397" s="463"/>
      <c r="BK397" s="463"/>
      <c r="BL397" s="463"/>
    </row>
    <row r="398" spans="47:64">
      <c r="AU398" s="382"/>
      <c r="AV398" s="525"/>
      <c r="AW398" s="525"/>
      <c r="AX398" s="525"/>
      <c r="AY398" s="525"/>
      <c r="AZ398" s="525"/>
      <c r="BA398" s="525"/>
      <c r="BB398" s="435"/>
      <c r="BC398" s="435"/>
      <c r="BD398" s="435"/>
      <c r="BE398" s="435"/>
      <c r="BI398" s="382"/>
      <c r="BJ398" s="463"/>
      <c r="BK398" s="463"/>
      <c r="BL398" s="463"/>
    </row>
    <row r="399" spans="47:64">
      <c r="AU399" s="382"/>
      <c r="AV399" s="525"/>
      <c r="AW399" s="525"/>
      <c r="AX399" s="525"/>
      <c r="AY399" s="525"/>
      <c r="AZ399" s="525"/>
      <c r="BA399" s="525"/>
      <c r="BB399" s="525"/>
      <c r="BC399" s="435"/>
      <c r="BD399" s="435"/>
      <c r="BE399" s="435"/>
      <c r="BI399" s="382"/>
      <c r="BJ399" s="463"/>
      <c r="BK399" s="463"/>
      <c r="BL399" s="463"/>
    </row>
    <row r="400" spans="47:64">
      <c r="AU400" s="382"/>
      <c r="AV400" s="525"/>
      <c r="AW400" s="525"/>
      <c r="AX400" s="525"/>
      <c r="AY400" s="525"/>
      <c r="AZ400" s="525"/>
      <c r="BA400" s="525"/>
      <c r="BB400" s="525"/>
      <c r="BC400" s="525"/>
      <c r="BD400" s="435"/>
      <c r="BE400" s="435"/>
      <c r="BI400" s="382"/>
      <c r="BJ400" s="463"/>
      <c r="BK400" s="463"/>
      <c r="BL400" s="463"/>
    </row>
    <row r="401" spans="47:64">
      <c r="AU401" s="382"/>
      <c r="AV401" s="525"/>
      <c r="AW401" s="525"/>
      <c r="AX401" s="525"/>
      <c r="AY401" s="525"/>
      <c r="AZ401" s="525"/>
      <c r="BA401" s="525"/>
      <c r="BB401" s="525"/>
      <c r="BC401" s="525"/>
      <c r="BD401" s="862"/>
      <c r="BE401" s="435"/>
      <c r="BI401" s="382"/>
      <c r="BJ401" s="463"/>
      <c r="BK401" s="463"/>
      <c r="BL401" s="463"/>
    </row>
    <row r="402" spans="47:64">
      <c r="AU402" s="382"/>
      <c r="AV402" s="525"/>
      <c r="AW402" s="525"/>
      <c r="AX402" s="525"/>
      <c r="AY402" s="525"/>
      <c r="AZ402" s="525"/>
      <c r="BA402" s="525"/>
      <c r="BB402" s="525"/>
      <c r="BC402" s="525"/>
      <c r="BD402" s="862"/>
      <c r="BE402" s="435"/>
      <c r="BI402" s="382"/>
      <c r="BJ402" s="463"/>
      <c r="BK402" s="463"/>
      <c r="BL402" s="463"/>
    </row>
    <row r="403" spans="47:64">
      <c r="AU403" s="382"/>
      <c r="AV403" s="525"/>
      <c r="AW403" s="525"/>
      <c r="AX403" s="525"/>
      <c r="AY403" s="525"/>
      <c r="AZ403" s="525"/>
      <c r="BA403" s="525"/>
      <c r="BB403" s="525"/>
      <c r="BC403" s="525"/>
      <c r="BD403" s="435"/>
      <c r="BE403" s="435"/>
      <c r="BJ403" s="525"/>
      <c r="BK403" s="525"/>
      <c r="BL403" s="525"/>
    </row>
    <row r="404" spans="47:64">
      <c r="AU404" s="382"/>
      <c r="AV404" s="525"/>
      <c r="AW404" s="862"/>
      <c r="AX404" s="862"/>
      <c r="AY404" s="862"/>
      <c r="AZ404" s="862"/>
      <c r="BA404" s="525"/>
      <c r="BB404" s="525"/>
      <c r="BC404" s="525"/>
      <c r="BD404" s="862"/>
      <c r="BE404" s="435"/>
      <c r="BI404" s="382"/>
      <c r="BJ404" s="463"/>
      <c r="BK404" s="463"/>
      <c r="BL404" s="463"/>
    </row>
    <row r="405" spans="47:64">
      <c r="AU405" s="382"/>
      <c r="BI405" s="382"/>
      <c r="BJ405" s="435"/>
      <c r="BK405" s="435"/>
      <c r="BL405" s="435"/>
    </row>
    <row r="406" spans="47:64">
      <c r="AU406" s="382"/>
      <c r="BI406" s="382"/>
      <c r="BJ406" s="435"/>
      <c r="BK406" s="435"/>
      <c r="BL406" s="435"/>
    </row>
    <row r="407" spans="47:64">
      <c r="AU407" s="382"/>
      <c r="BI407" s="382"/>
      <c r="BJ407" s="435"/>
      <c r="BK407" s="435"/>
      <c r="BL407" s="435"/>
    </row>
    <row r="408" spans="47:64">
      <c r="AU408" s="382"/>
      <c r="BI408" s="382"/>
      <c r="BJ408" s="435"/>
      <c r="BK408" s="435"/>
      <c r="BL408" s="435"/>
    </row>
    <row r="409" spans="47:64">
      <c r="AU409" s="382"/>
      <c r="AV409" s="382"/>
      <c r="AW409" s="382"/>
      <c r="AX409" s="382"/>
      <c r="AY409" s="382"/>
      <c r="AZ409" s="382"/>
      <c r="BA409" s="382"/>
      <c r="BB409" s="382"/>
      <c r="BC409" s="382"/>
      <c r="BD409" s="382"/>
      <c r="BE409" s="870"/>
      <c r="BI409" s="382"/>
      <c r="BJ409" s="435"/>
      <c r="BK409" s="435"/>
      <c r="BL409" s="435"/>
    </row>
    <row r="410" spans="47:64">
      <c r="AU410" s="382"/>
      <c r="AV410" s="439"/>
      <c r="AW410" s="2073"/>
      <c r="AX410" s="2073"/>
      <c r="AY410" s="2073"/>
      <c r="AZ410" s="2073"/>
      <c r="BA410" s="2073"/>
      <c r="BB410" s="2073"/>
      <c r="BC410" s="2073"/>
      <c r="BD410" s="2073"/>
      <c r="BE410" s="2073"/>
      <c r="BI410" s="382"/>
      <c r="BJ410" s="463"/>
      <c r="BK410" s="463"/>
      <c r="BL410" s="435"/>
    </row>
    <row r="411" spans="47:64">
      <c r="AU411" s="382"/>
      <c r="AV411" s="439"/>
      <c r="AW411" s="439"/>
      <c r="AX411" s="1085"/>
      <c r="AY411" s="1085"/>
      <c r="AZ411" s="439"/>
      <c r="BA411" s="439"/>
      <c r="BB411" s="439"/>
      <c r="BC411" s="439"/>
      <c r="BD411" s="439"/>
      <c r="BE411" s="439"/>
      <c r="BI411" s="382"/>
      <c r="BJ411" s="463"/>
      <c r="BK411" s="463"/>
      <c r="BL411" s="463"/>
    </row>
    <row r="412" spans="47:64">
      <c r="AU412" s="382"/>
      <c r="AV412" s="525"/>
      <c r="AW412" s="525"/>
      <c r="AX412" s="525"/>
      <c r="AY412" s="525"/>
      <c r="AZ412" s="525"/>
      <c r="BA412" s="525"/>
      <c r="BB412" s="525"/>
      <c r="BC412" s="525"/>
      <c r="BD412" s="525"/>
      <c r="BE412" s="525"/>
      <c r="BI412" s="382"/>
      <c r="BJ412" s="463"/>
      <c r="BK412" s="463"/>
      <c r="BL412" s="463"/>
    </row>
    <row r="413" spans="47:64">
      <c r="AU413" s="382"/>
      <c r="AV413" s="862"/>
      <c r="AW413" s="862"/>
      <c r="AX413" s="862"/>
      <c r="AY413" s="862"/>
      <c r="AZ413" s="862"/>
      <c r="BA413" s="862"/>
      <c r="BB413" s="862"/>
      <c r="BC413" s="862"/>
      <c r="BD413" s="862"/>
      <c r="BE413" s="862"/>
      <c r="BI413" s="382"/>
      <c r="BJ413" s="463"/>
      <c r="BK413" s="463"/>
      <c r="BL413" s="463"/>
    </row>
    <row r="414" spans="47:64">
      <c r="AU414" s="382"/>
      <c r="AV414" s="862"/>
      <c r="AW414" s="862"/>
      <c r="AX414" s="862"/>
      <c r="AY414" s="862"/>
      <c r="AZ414" s="862"/>
      <c r="BA414" s="862"/>
      <c r="BB414" s="862"/>
      <c r="BC414" s="862"/>
      <c r="BD414" s="862"/>
      <c r="BE414" s="862"/>
      <c r="BI414" s="382"/>
      <c r="BJ414" s="463"/>
      <c r="BK414" s="463"/>
      <c r="BL414" s="435"/>
    </row>
    <row r="415" spans="47:64">
      <c r="AU415" s="382"/>
      <c r="AV415" s="862"/>
      <c r="AW415" s="862"/>
      <c r="AX415" s="862"/>
      <c r="AY415" s="862"/>
      <c r="AZ415" s="862"/>
      <c r="BA415" s="862"/>
      <c r="BB415" s="862"/>
      <c r="BC415" s="862"/>
      <c r="BD415" s="862"/>
      <c r="BE415" s="862"/>
      <c r="BI415" s="382"/>
      <c r="BJ415" s="463"/>
      <c r="BK415" s="463"/>
      <c r="BL415" s="435"/>
    </row>
    <row r="416" spans="47:64">
      <c r="AU416" s="382"/>
      <c r="AV416" s="862"/>
      <c r="AW416" s="862"/>
      <c r="AX416" s="862"/>
      <c r="AY416" s="862"/>
      <c r="AZ416" s="862"/>
      <c r="BA416" s="862"/>
      <c r="BB416" s="862"/>
      <c r="BC416" s="862"/>
      <c r="BD416" s="862"/>
      <c r="BE416" s="862"/>
      <c r="BI416" s="382"/>
      <c r="BJ416" s="463"/>
      <c r="BK416" s="435"/>
      <c r="BL416" s="435"/>
    </row>
    <row r="417" spans="47:64">
      <c r="AU417" s="382"/>
      <c r="AV417" s="862"/>
      <c r="AW417" s="862"/>
      <c r="AX417" s="862"/>
      <c r="AY417" s="862"/>
      <c r="AZ417" s="862"/>
      <c r="BA417" s="862"/>
      <c r="BB417" s="862"/>
      <c r="BC417" s="862"/>
      <c r="BD417" s="862"/>
      <c r="BE417" s="862"/>
      <c r="BI417" s="382"/>
      <c r="BJ417" s="382"/>
      <c r="BK417" s="382"/>
      <c r="BL417" s="382"/>
    </row>
    <row r="418" spans="47:64">
      <c r="AU418" s="382"/>
      <c r="AV418" s="525"/>
      <c r="AW418" s="525"/>
      <c r="AX418" s="525"/>
      <c r="AY418" s="525"/>
      <c r="AZ418" s="525"/>
      <c r="BA418" s="525"/>
      <c r="BB418" s="525"/>
      <c r="BC418" s="862"/>
      <c r="BD418" s="862"/>
      <c r="BE418" s="862"/>
      <c r="BI418" s="382"/>
      <c r="BJ418" s="382"/>
      <c r="BK418" s="382"/>
      <c r="BL418" s="382"/>
    </row>
    <row r="419" spans="47:64">
      <c r="AU419" s="382"/>
      <c r="AV419" s="525"/>
      <c r="AW419" s="525"/>
      <c r="AX419" s="525"/>
      <c r="AY419" s="525"/>
      <c r="AZ419" s="525"/>
      <c r="BA419" s="525"/>
      <c r="BB419" s="525"/>
      <c r="BC419" s="525"/>
      <c r="BD419" s="862"/>
      <c r="BE419" s="862"/>
      <c r="BI419" s="382"/>
      <c r="BJ419" s="382"/>
      <c r="BK419" s="382"/>
      <c r="BL419" s="382"/>
    </row>
    <row r="420" spans="47:64">
      <c r="AU420" s="382"/>
      <c r="AV420" s="525"/>
      <c r="AW420" s="525"/>
      <c r="AX420" s="525"/>
      <c r="AY420" s="525"/>
      <c r="AZ420" s="525"/>
      <c r="BA420" s="525"/>
      <c r="BB420" s="525"/>
      <c r="BC420" s="525"/>
      <c r="BD420" s="525"/>
      <c r="BE420" s="862"/>
      <c r="BI420" s="382"/>
      <c r="BJ420" s="382"/>
      <c r="BK420" s="382"/>
      <c r="BL420" s="382"/>
    </row>
    <row r="421" spans="47:64">
      <c r="AU421" s="382"/>
      <c r="AV421" s="525"/>
      <c r="AW421" s="525"/>
      <c r="AX421" s="525"/>
      <c r="AY421" s="525"/>
      <c r="AZ421" s="525"/>
      <c r="BA421" s="525"/>
      <c r="BB421" s="525"/>
      <c r="BC421" s="525"/>
      <c r="BD421" s="525"/>
      <c r="BE421" s="525"/>
    </row>
    <row r="422" spans="47:64">
      <c r="AU422" s="382"/>
      <c r="AV422" s="525"/>
      <c r="AW422" s="525"/>
      <c r="AX422" s="525"/>
      <c r="AY422" s="525"/>
      <c r="AZ422" s="525"/>
      <c r="BA422" s="525"/>
      <c r="BB422" s="525"/>
      <c r="BC422" s="525"/>
      <c r="BD422" s="525"/>
      <c r="BE422" s="525"/>
      <c r="BI422" s="382"/>
      <c r="BJ422" s="2172"/>
      <c r="BK422" s="2172"/>
      <c r="BL422" s="2172"/>
    </row>
    <row r="423" spans="47:64">
      <c r="AU423" s="382"/>
      <c r="AV423" s="525"/>
      <c r="AW423" s="525"/>
      <c r="AX423" s="525"/>
      <c r="AY423" s="525"/>
      <c r="AZ423" s="525"/>
      <c r="BA423" s="525"/>
      <c r="BB423" s="525"/>
      <c r="BC423" s="525"/>
      <c r="BD423" s="525"/>
      <c r="BE423" s="525"/>
      <c r="BI423" s="382"/>
      <c r="BJ423" s="439"/>
      <c r="BK423" s="439"/>
      <c r="BL423" s="439"/>
    </row>
    <row r="424" spans="47:64">
      <c r="AU424" s="382"/>
      <c r="AV424" s="525"/>
      <c r="AW424" s="862"/>
      <c r="AX424" s="862"/>
      <c r="AY424" s="862"/>
      <c r="AZ424" s="862"/>
      <c r="BA424" s="525"/>
      <c r="BB424" s="525"/>
      <c r="BC424" s="525"/>
      <c r="BD424" s="525"/>
      <c r="BE424" s="525"/>
      <c r="BI424" s="382"/>
      <c r="BJ424" s="463"/>
      <c r="BK424" s="463"/>
      <c r="BL424" s="463"/>
    </row>
    <row r="425" spans="47:64">
      <c r="AU425" s="382"/>
      <c r="BI425" s="382"/>
      <c r="BJ425" s="463"/>
      <c r="BK425" s="435"/>
      <c r="BL425" s="435"/>
    </row>
    <row r="426" spans="47:64">
      <c r="AU426" s="382"/>
      <c r="AV426" s="525"/>
      <c r="AW426" s="525"/>
      <c r="AX426" s="525"/>
      <c r="AY426" s="525"/>
      <c r="AZ426" s="525"/>
      <c r="BA426" s="525"/>
      <c r="BB426" s="525"/>
      <c r="BC426" s="525"/>
      <c r="BD426" s="525"/>
      <c r="BE426" s="525"/>
      <c r="BI426" s="382"/>
      <c r="BJ426" s="463"/>
      <c r="BK426" s="435"/>
      <c r="BL426" s="435"/>
    </row>
    <row r="427" spans="47:64">
      <c r="AU427" s="382"/>
      <c r="AV427" s="862"/>
      <c r="AW427" s="862"/>
      <c r="AX427" s="862"/>
      <c r="AY427" s="862"/>
      <c r="AZ427" s="862"/>
      <c r="BA427" s="862"/>
      <c r="BB427" s="862"/>
      <c r="BC427" s="862"/>
      <c r="BD427" s="862"/>
      <c r="BE427" s="862"/>
      <c r="BI427" s="382"/>
      <c r="BJ427" s="463"/>
      <c r="BK427" s="435"/>
      <c r="BL427" s="435"/>
    </row>
    <row r="428" spans="47:64">
      <c r="AU428" s="382"/>
      <c r="AV428" s="862"/>
      <c r="AW428" s="862"/>
      <c r="AX428" s="862"/>
      <c r="AY428" s="862"/>
      <c r="AZ428" s="862"/>
      <c r="BA428" s="862"/>
      <c r="BB428" s="862"/>
      <c r="BC428" s="862"/>
      <c r="BD428" s="862"/>
      <c r="BE428" s="862"/>
      <c r="BI428" s="382"/>
      <c r="BJ428" s="463"/>
      <c r="BK428" s="435"/>
      <c r="BL428" s="435"/>
    </row>
    <row r="429" spans="47:64">
      <c r="AU429" s="382"/>
      <c r="AV429" s="862"/>
      <c r="AW429" s="862"/>
      <c r="AX429" s="862"/>
      <c r="AY429" s="862"/>
      <c r="AZ429" s="862"/>
      <c r="BA429" s="862"/>
      <c r="BB429" s="862"/>
      <c r="BC429" s="862"/>
      <c r="BD429" s="862"/>
      <c r="BE429" s="862"/>
      <c r="BI429" s="382"/>
      <c r="BJ429" s="463"/>
      <c r="BK429" s="435"/>
      <c r="BL429" s="435"/>
    </row>
    <row r="430" spans="47:64">
      <c r="AU430" s="382"/>
      <c r="AV430" s="862"/>
      <c r="AW430" s="862"/>
      <c r="AX430" s="862"/>
      <c r="AY430" s="862"/>
      <c r="AZ430" s="862"/>
      <c r="BA430" s="862"/>
      <c r="BB430" s="862"/>
      <c r="BC430" s="862"/>
      <c r="BD430" s="862"/>
      <c r="BE430" s="862"/>
      <c r="BI430" s="382"/>
      <c r="BJ430" s="463"/>
      <c r="BK430" s="463"/>
      <c r="BL430" s="463"/>
    </row>
    <row r="431" spans="47:64">
      <c r="AU431" s="382"/>
      <c r="AV431" s="862"/>
      <c r="AW431" s="862"/>
      <c r="AX431" s="862"/>
      <c r="AY431" s="862"/>
      <c r="AZ431" s="862"/>
      <c r="BA431" s="862"/>
      <c r="BB431" s="862"/>
      <c r="BC431" s="862"/>
      <c r="BD431" s="862"/>
      <c r="BE431" s="862"/>
      <c r="BI431" s="382"/>
      <c r="BJ431" s="463"/>
      <c r="BK431" s="463"/>
      <c r="BL431" s="463"/>
    </row>
    <row r="432" spans="47:64">
      <c r="AU432" s="382"/>
      <c r="AV432" s="525"/>
      <c r="AW432" s="525"/>
      <c r="AX432" s="525"/>
      <c r="AY432" s="525"/>
      <c r="AZ432" s="525"/>
      <c r="BA432" s="525"/>
      <c r="BB432" s="525"/>
      <c r="BC432" s="862"/>
      <c r="BD432" s="862"/>
      <c r="BE432" s="862"/>
      <c r="BI432" s="382"/>
      <c r="BJ432" s="463"/>
      <c r="BK432" s="463"/>
      <c r="BL432" s="463"/>
    </row>
    <row r="433" spans="47:64">
      <c r="AU433" s="382"/>
      <c r="AV433" s="525"/>
      <c r="AW433" s="525"/>
      <c r="AX433" s="525"/>
      <c r="AY433" s="525"/>
      <c r="AZ433" s="525"/>
      <c r="BA433" s="525"/>
      <c r="BB433" s="525"/>
      <c r="BC433" s="525"/>
      <c r="BD433" s="862"/>
      <c r="BE433" s="862"/>
      <c r="BI433" s="382"/>
      <c r="BJ433" s="463"/>
      <c r="BK433" s="463"/>
      <c r="BL433" s="463"/>
    </row>
    <row r="434" spans="47:64">
      <c r="AU434" s="382"/>
      <c r="AV434" s="525"/>
      <c r="AW434" s="525"/>
      <c r="AX434" s="525"/>
      <c r="AY434" s="525"/>
      <c r="AZ434" s="525"/>
      <c r="BA434" s="525"/>
      <c r="BB434" s="525"/>
      <c r="BC434" s="525"/>
      <c r="BD434" s="525"/>
      <c r="BE434" s="862"/>
      <c r="BI434" s="382"/>
      <c r="BJ434" s="463"/>
      <c r="BK434" s="463"/>
      <c r="BL434" s="463"/>
    </row>
    <row r="435" spans="47:64">
      <c r="AU435" s="382"/>
      <c r="AV435" s="525"/>
      <c r="AW435" s="525"/>
      <c r="AX435" s="525"/>
      <c r="AY435" s="525"/>
      <c r="AZ435" s="525"/>
      <c r="BA435" s="525"/>
      <c r="BB435" s="525"/>
      <c r="BC435" s="525"/>
      <c r="BD435" s="525"/>
      <c r="BE435" s="525"/>
      <c r="BI435" s="382"/>
      <c r="BJ435" s="463"/>
      <c r="BK435" s="463"/>
      <c r="BL435" s="463"/>
    </row>
    <row r="436" spans="47:64">
      <c r="AU436" s="382"/>
      <c r="AV436" s="525"/>
      <c r="AW436" s="525"/>
      <c r="AX436" s="525"/>
      <c r="AY436" s="525"/>
      <c r="AZ436" s="525"/>
      <c r="BA436" s="525"/>
      <c r="BB436" s="525"/>
      <c r="BC436" s="525"/>
      <c r="BD436" s="525"/>
      <c r="BE436" s="525"/>
      <c r="BI436" s="382"/>
      <c r="BJ436" s="463"/>
      <c r="BK436" s="463"/>
      <c r="BL436" s="463"/>
    </row>
    <row r="437" spans="47:64">
      <c r="AU437" s="382"/>
      <c r="AV437" s="525"/>
      <c r="AW437" s="525"/>
      <c r="AX437" s="525"/>
      <c r="AY437" s="525"/>
      <c r="AZ437" s="525"/>
      <c r="BA437" s="525"/>
      <c r="BB437" s="525"/>
      <c r="BC437" s="525"/>
      <c r="BD437" s="525"/>
      <c r="BE437" s="525"/>
      <c r="BI437" s="382"/>
      <c r="BJ437" s="382"/>
      <c r="BK437" s="382"/>
      <c r="BL437" s="382"/>
    </row>
    <row r="438" spans="47:64">
      <c r="AU438" s="382"/>
      <c r="AV438" s="525"/>
      <c r="AW438" s="862"/>
      <c r="AX438" s="862"/>
      <c r="AY438" s="862"/>
      <c r="AZ438" s="862"/>
      <c r="BA438" s="525"/>
      <c r="BB438" s="525"/>
      <c r="BC438" s="525"/>
      <c r="BD438" s="525"/>
      <c r="BE438" s="525"/>
      <c r="BI438" s="382"/>
      <c r="BJ438" s="382"/>
      <c r="BK438" s="382"/>
      <c r="BL438" s="382"/>
    </row>
    <row r="439" spans="47:64">
      <c r="AU439" s="382"/>
      <c r="AW439" s="525"/>
      <c r="BI439" s="382"/>
      <c r="BJ439" s="382"/>
      <c r="BK439" s="382"/>
      <c r="BL439" s="382"/>
    </row>
    <row r="440" spans="47:64">
      <c r="AU440" s="382"/>
      <c r="AV440" s="525"/>
      <c r="AW440" s="525"/>
      <c r="AX440" s="525"/>
      <c r="AY440" s="525"/>
      <c r="AZ440" s="525"/>
      <c r="BA440" s="525"/>
      <c r="BB440" s="525"/>
      <c r="BC440" s="525"/>
      <c r="BD440" s="525"/>
      <c r="BE440" s="862"/>
      <c r="BI440" s="382"/>
      <c r="BJ440" s="382"/>
      <c r="BK440" s="382"/>
      <c r="BL440" s="382"/>
    </row>
    <row r="441" spans="47:64">
      <c r="AU441" s="382"/>
      <c r="AV441" s="862"/>
      <c r="AW441" s="862"/>
      <c r="AX441" s="862"/>
      <c r="AY441" s="862"/>
      <c r="AZ441" s="862"/>
      <c r="BA441" s="862"/>
      <c r="BB441" s="862"/>
      <c r="BC441" s="862"/>
      <c r="BD441" s="862"/>
      <c r="BE441" s="862"/>
      <c r="BI441" s="382"/>
      <c r="BJ441" s="870"/>
      <c r="BK441" s="870"/>
      <c r="BL441" s="870"/>
    </row>
    <row r="442" spans="47:64">
      <c r="AU442" s="382"/>
      <c r="AV442" s="862"/>
      <c r="AW442" s="862"/>
      <c r="AX442" s="862"/>
      <c r="AY442" s="862"/>
      <c r="AZ442" s="862"/>
      <c r="BA442" s="862"/>
      <c r="BB442" s="862"/>
      <c r="BC442" s="862"/>
      <c r="BD442" s="862"/>
      <c r="BE442" s="862"/>
      <c r="BI442" s="382"/>
      <c r="BJ442" s="2172"/>
      <c r="BK442" s="2172"/>
      <c r="BL442" s="2172"/>
    </row>
    <row r="443" spans="47:64">
      <c r="AU443" s="382"/>
      <c r="AV443" s="862"/>
      <c r="AW443" s="862"/>
      <c r="AX443" s="862"/>
      <c r="AY443" s="862"/>
      <c r="AZ443" s="862"/>
      <c r="BA443" s="862"/>
      <c r="BB443" s="862"/>
      <c r="BC443" s="862"/>
      <c r="BD443" s="862"/>
      <c r="BE443" s="862"/>
      <c r="BI443" s="382"/>
      <c r="BJ443" s="439"/>
      <c r="BK443" s="439"/>
      <c r="BL443" s="439"/>
    </row>
    <row r="444" spans="47:64">
      <c r="AU444" s="382"/>
      <c r="AV444" s="862"/>
      <c r="AW444" s="862"/>
      <c r="AX444" s="862"/>
      <c r="AY444" s="862"/>
      <c r="AZ444" s="862"/>
      <c r="BA444" s="862"/>
      <c r="BB444" s="862"/>
      <c r="BC444" s="862"/>
      <c r="BD444" s="862"/>
      <c r="BE444" s="862"/>
      <c r="BI444" s="382"/>
      <c r="BJ444" s="463"/>
      <c r="BK444" s="463"/>
      <c r="BL444" s="463"/>
    </row>
    <row r="445" spans="47:64">
      <c r="AU445" s="382"/>
      <c r="AV445" s="862"/>
      <c r="AW445" s="862"/>
      <c r="AX445" s="862"/>
      <c r="AY445" s="862"/>
      <c r="AZ445" s="862"/>
      <c r="BA445" s="862"/>
      <c r="BB445" s="862"/>
      <c r="BC445" s="862"/>
      <c r="BD445" s="862"/>
      <c r="BE445" s="862"/>
      <c r="BI445" s="382"/>
      <c r="BJ445" s="435"/>
      <c r="BK445" s="435"/>
      <c r="BL445" s="435"/>
    </row>
    <row r="446" spans="47:64">
      <c r="AU446" s="382"/>
      <c r="AV446" s="525"/>
      <c r="AW446" s="862"/>
      <c r="AX446" s="862"/>
      <c r="AY446" s="862"/>
      <c r="AZ446" s="862"/>
      <c r="BA446" s="525"/>
      <c r="BB446" s="525"/>
      <c r="BC446" s="862"/>
      <c r="BD446" s="862"/>
      <c r="BE446" s="862"/>
      <c r="BI446" s="382"/>
      <c r="BJ446" s="435"/>
      <c r="BK446" s="435"/>
      <c r="BL446" s="435"/>
    </row>
    <row r="447" spans="47:64">
      <c r="AU447" s="382"/>
      <c r="AV447" s="525"/>
      <c r="AW447" s="862"/>
      <c r="AX447" s="862"/>
      <c r="AY447" s="862"/>
      <c r="AZ447" s="525"/>
      <c r="BA447" s="525"/>
      <c r="BB447" s="525"/>
      <c r="BC447" s="525"/>
      <c r="BD447" s="862"/>
      <c r="BE447" s="862"/>
      <c r="BI447" s="382"/>
      <c r="BJ447" s="435"/>
      <c r="BK447" s="435"/>
      <c r="BL447" s="435"/>
    </row>
    <row r="448" spans="47:64">
      <c r="AU448" s="382"/>
      <c r="AV448" s="525"/>
      <c r="AW448" s="862"/>
      <c r="AX448" s="862"/>
      <c r="AY448" s="862"/>
      <c r="AZ448" s="862"/>
      <c r="BA448" s="525"/>
      <c r="BB448" s="525"/>
      <c r="BC448" s="525"/>
      <c r="BD448" s="525"/>
      <c r="BE448" s="862"/>
      <c r="BI448" s="382"/>
      <c r="BJ448" s="435"/>
      <c r="BK448" s="435"/>
      <c r="BL448" s="435"/>
    </row>
    <row r="449" spans="47:64">
      <c r="AU449" s="382"/>
      <c r="AV449" s="525"/>
      <c r="AW449" s="862"/>
      <c r="AX449" s="862"/>
      <c r="AY449" s="862"/>
      <c r="AZ449" s="862"/>
      <c r="BA449" s="525"/>
      <c r="BB449" s="525"/>
      <c r="BC449" s="525"/>
      <c r="BD449" s="525"/>
      <c r="BE449" s="862"/>
      <c r="BI449" s="382"/>
      <c r="BJ449" s="435"/>
      <c r="BK449" s="435"/>
      <c r="BL449" s="435"/>
    </row>
    <row r="450" spans="47:64">
      <c r="AU450" s="382"/>
      <c r="AV450" s="525"/>
      <c r="AW450" s="862"/>
      <c r="AX450" s="862"/>
      <c r="AY450" s="862"/>
      <c r="AZ450" s="862"/>
      <c r="BA450" s="862"/>
      <c r="BB450" s="862"/>
      <c r="BC450" s="862"/>
      <c r="BD450" s="525"/>
      <c r="BE450" s="862"/>
      <c r="BI450" s="382"/>
      <c r="BJ450" s="463"/>
      <c r="BK450" s="463"/>
      <c r="BL450" s="463"/>
    </row>
    <row r="451" spans="47:64">
      <c r="AU451" s="382"/>
      <c r="AV451" s="525"/>
      <c r="AW451" s="862"/>
      <c r="AX451" s="862"/>
      <c r="AY451" s="862"/>
      <c r="AZ451" s="862"/>
      <c r="BA451" s="862"/>
      <c r="BB451" s="862"/>
      <c r="BC451" s="862"/>
      <c r="BD451" s="862"/>
      <c r="BE451" s="862"/>
      <c r="BI451" s="382"/>
      <c r="BJ451" s="463"/>
      <c r="BK451" s="463"/>
      <c r="BL451" s="463"/>
    </row>
    <row r="452" spans="47:64">
      <c r="AU452" s="382"/>
      <c r="AV452" s="525"/>
      <c r="AW452" s="862"/>
      <c r="AX452" s="862"/>
      <c r="AY452" s="862"/>
      <c r="AZ452" s="862"/>
      <c r="BA452" s="862"/>
      <c r="BB452" s="862"/>
      <c r="BC452" s="862"/>
      <c r="BD452" s="862"/>
      <c r="BE452" s="862"/>
      <c r="BI452" s="382"/>
      <c r="BJ452" s="463"/>
      <c r="BK452" s="463"/>
      <c r="BL452" s="463"/>
    </row>
    <row r="453" spans="47:64">
      <c r="AU453" s="382"/>
      <c r="BI453" s="382"/>
      <c r="BJ453" s="463"/>
      <c r="BK453" s="463"/>
      <c r="BL453" s="463"/>
    </row>
    <row r="454" spans="47:64">
      <c r="BI454" s="382"/>
      <c r="BJ454" s="463"/>
      <c r="BK454" s="463"/>
      <c r="BL454" s="463"/>
    </row>
    <row r="455" spans="47:64">
      <c r="BI455" s="382"/>
      <c r="BJ455" s="463"/>
      <c r="BK455" s="463"/>
      <c r="BL455" s="463"/>
    </row>
    <row r="456" spans="47:64">
      <c r="BI456" s="382"/>
      <c r="BJ456" s="463"/>
      <c r="BK456" s="463"/>
      <c r="BL456" s="463"/>
    </row>
    <row r="457" spans="47:64">
      <c r="AU457" s="382"/>
      <c r="AV457" s="382"/>
      <c r="AW457" s="382"/>
      <c r="AX457" s="382"/>
      <c r="AY457" s="382"/>
      <c r="AZ457" s="382"/>
      <c r="BA457" s="382"/>
      <c r="BB457" s="382"/>
      <c r="BC457" s="382"/>
      <c r="BD457" s="382"/>
      <c r="BE457" s="870"/>
      <c r="BI457" s="382"/>
      <c r="BJ457" s="463"/>
      <c r="BK457" s="463"/>
      <c r="BL457" s="463"/>
    </row>
    <row r="458" spans="47:64">
      <c r="AU458" s="382"/>
      <c r="AV458" s="439"/>
      <c r="AW458" s="2073"/>
      <c r="AX458" s="2073"/>
      <c r="AY458" s="2073"/>
      <c r="AZ458" s="2073"/>
      <c r="BA458" s="2073"/>
      <c r="BB458" s="2073"/>
      <c r="BC458" s="2073"/>
      <c r="BD458" s="2073"/>
      <c r="BE458" s="2073"/>
      <c r="BI458" s="382"/>
      <c r="BJ458" s="463"/>
      <c r="BK458" s="463"/>
      <c r="BL458" s="463"/>
    </row>
    <row r="459" spans="47:64">
      <c r="AU459" s="382"/>
      <c r="AV459" s="439"/>
      <c r="AW459" s="439"/>
      <c r="AX459" s="1085"/>
      <c r="AY459" s="1085"/>
      <c r="AZ459" s="439"/>
      <c r="BA459" s="439"/>
      <c r="BB459" s="439"/>
      <c r="BC459" s="439"/>
      <c r="BD459" s="439"/>
      <c r="BE459" s="439"/>
      <c r="BI459" s="382"/>
      <c r="BJ459" s="435"/>
      <c r="BK459" s="435"/>
      <c r="BL459" s="435"/>
    </row>
    <row r="460" spans="47:64">
      <c r="AU460" s="382"/>
      <c r="AV460" s="525"/>
      <c r="AW460" s="525"/>
      <c r="AX460" s="525"/>
      <c r="AY460" s="525"/>
      <c r="AZ460" s="525"/>
      <c r="BA460" s="525"/>
      <c r="BB460" s="525"/>
      <c r="BC460" s="525"/>
      <c r="BD460" s="525"/>
      <c r="BE460" s="862"/>
      <c r="BI460" s="382"/>
      <c r="BJ460" s="435"/>
      <c r="BK460" s="435"/>
      <c r="BL460" s="435"/>
    </row>
    <row r="461" spans="47:64">
      <c r="AU461" s="382"/>
      <c r="AV461" s="525"/>
      <c r="AW461" s="862"/>
      <c r="AX461" s="862"/>
      <c r="AY461" s="862"/>
      <c r="AZ461" s="862"/>
      <c r="BA461" s="862"/>
      <c r="BB461" s="862"/>
      <c r="BC461" s="862"/>
      <c r="BD461" s="862"/>
      <c r="BE461" s="862"/>
      <c r="BI461" s="382"/>
      <c r="BJ461" s="435"/>
      <c r="BK461" s="435"/>
      <c r="BL461" s="435"/>
    </row>
    <row r="462" spans="47:64">
      <c r="AU462" s="382"/>
      <c r="AV462" s="525"/>
      <c r="AW462" s="862"/>
      <c r="AX462" s="862"/>
      <c r="AY462" s="862"/>
      <c r="AZ462" s="862"/>
      <c r="BA462" s="862"/>
      <c r="BB462" s="862"/>
      <c r="BC462" s="862"/>
      <c r="BD462" s="862"/>
      <c r="BE462" s="862"/>
      <c r="BI462" s="382"/>
      <c r="BJ462" s="435"/>
      <c r="BK462" s="435"/>
      <c r="BL462" s="435"/>
    </row>
    <row r="463" spans="47:64">
      <c r="AU463" s="382"/>
      <c r="AV463" s="525"/>
      <c r="AW463" s="862"/>
      <c r="AX463" s="862"/>
      <c r="AY463" s="862"/>
      <c r="AZ463" s="862"/>
      <c r="BA463" s="862"/>
      <c r="BB463" s="862"/>
      <c r="BC463" s="862"/>
      <c r="BD463" s="862"/>
      <c r="BE463" s="862"/>
      <c r="BI463" s="382"/>
      <c r="BJ463" s="435"/>
      <c r="BK463" s="435"/>
      <c r="BL463" s="435"/>
    </row>
    <row r="464" spans="47:64">
      <c r="AU464" s="382"/>
      <c r="AV464" s="525"/>
      <c r="AW464" s="862"/>
      <c r="AX464" s="862"/>
      <c r="AY464" s="862"/>
      <c r="AZ464" s="862"/>
      <c r="BA464" s="862"/>
      <c r="BB464" s="862"/>
      <c r="BC464" s="862"/>
      <c r="BD464" s="862"/>
      <c r="BE464" s="862"/>
      <c r="BI464" s="382"/>
      <c r="BJ464" s="463"/>
      <c r="BK464" s="463"/>
      <c r="BL464" s="463"/>
    </row>
    <row r="465" spans="47:64">
      <c r="AU465" s="382"/>
      <c r="AV465" s="525"/>
      <c r="AW465" s="862"/>
      <c r="AX465" s="862"/>
      <c r="AY465" s="862"/>
      <c r="AZ465" s="862"/>
      <c r="BA465" s="862"/>
      <c r="BB465" s="862"/>
      <c r="BC465" s="862"/>
      <c r="BD465" s="862"/>
      <c r="BE465" s="862"/>
      <c r="BI465" s="382"/>
      <c r="BJ465" s="463"/>
      <c r="BK465" s="463"/>
      <c r="BL465" s="463"/>
    </row>
    <row r="466" spans="47:64">
      <c r="AU466" s="382"/>
      <c r="AV466" s="525"/>
      <c r="AW466" s="525"/>
      <c r="AX466" s="525"/>
      <c r="AY466" s="525"/>
      <c r="AZ466" s="525"/>
      <c r="BA466" s="525"/>
      <c r="BB466" s="862"/>
      <c r="BC466" s="862"/>
      <c r="BD466" s="862"/>
      <c r="BE466" s="862"/>
      <c r="BI466" s="382"/>
      <c r="BJ466" s="463"/>
      <c r="BK466" s="463"/>
      <c r="BL466" s="463"/>
    </row>
    <row r="467" spans="47:64">
      <c r="AU467" s="382"/>
      <c r="AV467" s="525"/>
      <c r="AW467" s="525"/>
      <c r="AX467" s="525"/>
      <c r="AY467" s="525"/>
      <c r="AZ467" s="525"/>
      <c r="BA467" s="525"/>
      <c r="BB467" s="525"/>
      <c r="BC467" s="862"/>
      <c r="BD467" s="862"/>
      <c r="BE467" s="862"/>
      <c r="BI467" s="382"/>
      <c r="BJ467" s="463"/>
      <c r="BK467" s="463"/>
      <c r="BL467" s="463"/>
    </row>
    <row r="468" spans="47:64">
      <c r="AU468" s="382"/>
      <c r="AV468" s="525"/>
      <c r="AW468" s="525"/>
      <c r="AX468" s="525"/>
      <c r="AY468" s="525"/>
      <c r="AZ468" s="525"/>
      <c r="BA468" s="525"/>
      <c r="BB468" s="525"/>
      <c r="BC468" s="525"/>
      <c r="BD468" s="862"/>
      <c r="BE468" s="862"/>
      <c r="BI468" s="382"/>
      <c r="BJ468" s="463"/>
      <c r="BK468" s="463"/>
      <c r="BL468" s="463"/>
    </row>
    <row r="469" spans="47:64">
      <c r="AU469" s="382"/>
      <c r="AV469" s="525"/>
      <c r="AW469" s="525"/>
      <c r="AX469" s="525"/>
      <c r="AY469" s="525"/>
      <c r="AZ469" s="525"/>
      <c r="BA469" s="525"/>
      <c r="BB469" s="525"/>
      <c r="BC469" s="525"/>
      <c r="BD469" s="862"/>
      <c r="BE469" s="862"/>
      <c r="BI469" s="382"/>
      <c r="BJ469" s="463"/>
      <c r="BK469" s="463"/>
      <c r="BL469" s="463"/>
    </row>
    <row r="470" spans="47:64">
      <c r="AU470" s="382"/>
      <c r="AV470" s="525"/>
      <c r="AW470" s="525"/>
      <c r="AX470" s="525"/>
      <c r="AY470" s="525"/>
      <c r="AZ470" s="525"/>
      <c r="BA470" s="525"/>
      <c r="BB470" s="525"/>
      <c r="BC470" s="525"/>
      <c r="BD470" s="862"/>
      <c r="BE470" s="862"/>
      <c r="BI470" s="382"/>
      <c r="BJ470" s="463"/>
      <c r="BK470" s="463"/>
      <c r="BL470" s="463"/>
    </row>
    <row r="471" spans="47:64">
      <c r="AU471" s="382"/>
      <c r="AV471" s="525"/>
      <c r="AW471" s="525"/>
      <c r="AX471" s="525"/>
      <c r="AY471" s="525"/>
      <c r="AZ471" s="525"/>
      <c r="BA471" s="525"/>
      <c r="BB471" s="525"/>
      <c r="BC471" s="525"/>
      <c r="BD471" s="862"/>
      <c r="BE471" s="862"/>
      <c r="BJ471" s="525"/>
      <c r="BK471" s="525"/>
      <c r="BL471" s="525"/>
    </row>
    <row r="472" spans="47:64">
      <c r="AU472" s="382"/>
      <c r="AV472" s="525"/>
      <c r="AW472" s="862"/>
      <c r="AX472" s="862"/>
      <c r="AY472" s="862"/>
      <c r="AZ472" s="862"/>
      <c r="BA472" s="525"/>
      <c r="BB472" s="525"/>
      <c r="BC472" s="525"/>
      <c r="BD472" s="862"/>
      <c r="BE472" s="862"/>
      <c r="BI472" s="382"/>
      <c r="BJ472" s="463"/>
      <c r="BK472" s="463"/>
      <c r="BL472" s="463"/>
    </row>
    <row r="473" spans="47:64">
      <c r="AU473" s="382"/>
      <c r="BI473" s="382"/>
      <c r="BJ473" s="435"/>
      <c r="BK473" s="435"/>
      <c r="BL473" s="435"/>
    </row>
    <row r="474" spans="47:64">
      <c r="BI474" s="382"/>
      <c r="BJ474" s="435"/>
      <c r="BK474" s="435"/>
      <c r="BL474" s="435"/>
    </row>
    <row r="475" spans="47:64">
      <c r="BI475" s="382"/>
      <c r="BJ475" s="435"/>
      <c r="BK475" s="435"/>
      <c r="BL475" s="435"/>
    </row>
    <row r="476" spans="47:64">
      <c r="BI476" s="382"/>
      <c r="BJ476" s="435"/>
      <c r="BK476" s="435"/>
      <c r="BL476" s="435"/>
    </row>
    <row r="477" spans="47:64">
      <c r="BI477" s="382"/>
      <c r="BJ477" s="435"/>
      <c r="BK477" s="435"/>
      <c r="BL477" s="435"/>
    </row>
    <row r="478" spans="47:64">
      <c r="BI478" s="382"/>
      <c r="BJ478" s="463"/>
      <c r="BK478" s="463"/>
      <c r="BL478" s="435"/>
    </row>
    <row r="479" spans="47:64">
      <c r="BI479" s="382"/>
      <c r="BJ479" s="463"/>
      <c r="BK479" s="463"/>
      <c r="BL479" s="463"/>
    </row>
    <row r="480" spans="47:64">
      <c r="BI480" s="382"/>
      <c r="BJ480" s="463"/>
      <c r="BK480" s="463"/>
      <c r="BL480" s="463"/>
    </row>
    <row r="481" spans="61:64">
      <c r="BI481" s="382"/>
      <c r="BJ481" s="463"/>
      <c r="BK481" s="463"/>
      <c r="BL481" s="463"/>
    </row>
    <row r="482" spans="61:64">
      <c r="BI482" s="382"/>
      <c r="BJ482" s="463"/>
      <c r="BK482" s="463"/>
      <c r="BL482" s="435"/>
    </row>
    <row r="483" spans="61:64">
      <c r="BI483" s="382"/>
      <c r="BJ483" s="463"/>
      <c r="BK483" s="463"/>
      <c r="BL483" s="435"/>
    </row>
    <row r="484" spans="61:64">
      <c r="BI484" s="382"/>
      <c r="BJ484" s="463"/>
      <c r="BK484" s="463"/>
      <c r="BL484" s="435"/>
    </row>
    <row r="485" spans="61:64">
      <c r="BI485" s="382"/>
      <c r="BJ485" s="382"/>
      <c r="BK485" s="382"/>
      <c r="BL485" s="382"/>
    </row>
    <row r="486" spans="61:64">
      <c r="BI486" s="382"/>
      <c r="BJ486" s="382"/>
      <c r="BK486" s="382"/>
      <c r="BL486" s="382"/>
    </row>
    <row r="487" spans="61:64">
      <c r="BI487" s="382"/>
      <c r="BJ487" s="382"/>
      <c r="BK487" s="382"/>
      <c r="BL487" s="382"/>
    </row>
    <row r="488" spans="61:64">
      <c r="BI488" s="382"/>
      <c r="BJ488" s="382"/>
      <c r="BK488" s="382"/>
      <c r="BL488" s="382"/>
    </row>
    <row r="489" spans="61:64">
      <c r="BI489" s="382"/>
      <c r="BJ489" s="382"/>
      <c r="BK489" s="382"/>
      <c r="BL489" s="382"/>
    </row>
    <row r="490" spans="61:64">
      <c r="BI490" s="382"/>
      <c r="BJ490" s="870"/>
      <c r="BK490" s="870"/>
      <c r="BL490" s="870"/>
    </row>
    <row r="491" spans="61:64">
      <c r="BI491" s="382"/>
      <c r="BJ491" s="2172"/>
      <c r="BK491" s="2154"/>
      <c r="BL491" s="2154"/>
    </row>
    <row r="492" spans="61:64">
      <c r="BI492" s="382"/>
      <c r="BJ492" s="439"/>
      <c r="BK492" s="439"/>
      <c r="BL492" s="439"/>
    </row>
    <row r="493" spans="61:64">
      <c r="BI493" s="382"/>
      <c r="BJ493" s="463"/>
      <c r="BK493" s="463"/>
      <c r="BL493" s="463"/>
    </row>
    <row r="494" spans="61:64">
      <c r="BI494" s="382"/>
      <c r="BJ494" s="463"/>
      <c r="BK494" s="463"/>
      <c r="BL494" s="463"/>
    </row>
    <row r="495" spans="61:64">
      <c r="BI495" s="382"/>
      <c r="BJ495" s="463"/>
      <c r="BK495" s="463"/>
      <c r="BL495" s="463"/>
    </row>
    <row r="496" spans="61:64">
      <c r="BI496" s="382"/>
      <c r="BJ496" s="463"/>
      <c r="BK496" s="463"/>
      <c r="BL496" s="463"/>
    </row>
    <row r="497" spans="61:64">
      <c r="BI497" s="382"/>
      <c r="BJ497" s="463"/>
      <c r="BK497" s="463"/>
      <c r="BL497" s="463"/>
    </row>
    <row r="498" spans="61:64">
      <c r="BI498" s="382"/>
      <c r="BJ498" s="463"/>
      <c r="BK498" s="463"/>
      <c r="BL498" s="463"/>
    </row>
    <row r="499" spans="61:64">
      <c r="BI499" s="382"/>
      <c r="BJ499" s="463"/>
      <c r="BK499" s="463"/>
      <c r="BL499" s="463"/>
    </row>
    <row r="500" spans="61:64">
      <c r="BI500" s="382"/>
      <c r="BJ500" s="463"/>
      <c r="BK500" s="463"/>
      <c r="BL500" s="463"/>
    </row>
    <row r="501" spans="61:64">
      <c r="BI501" s="382"/>
      <c r="BJ501" s="463"/>
      <c r="BK501" s="463"/>
      <c r="BL501" s="463"/>
    </row>
    <row r="502" spans="61:64">
      <c r="BI502" s="382"/>
      <c r="BJ502" s="463"/>
      <c r="BK502" s="463"/>
      <c r="BL502" s="463"/>
    </row>
    <row r="503" spans="61:64">
      <c r="BI503" s="382"/>
      <c r="BJ503" s="463"/>
      <c r="BK503" s="463"/>
      <c r="BL503" s="463"/>
    </row>
    <row r="504" spans="61:64">
      <c r="BI504" s="382"/>
      <c r="BJ504" s="463"/>
      <c r="BK504" s="463"/>
      <c r="BL504" s="463"/>
    </row>
    <row r="505" spans="61:64">
      <c r="BI505" s="382"/>
      <c r="BJ505" s="463"/>
      <c r="BK505" s="463"/>
      <c r="BL505" s="463"/>
    </row>
    <row r="506" spans="61:64">
      <c r="BI506" s="382"/>
      <c r="BJ506" s="463"/>
      <c r="BK506" s="463"/>
      <c r="BL506" s="463"/>
    </row>
    <row r="507" spans="61:64">
      <c r="BI507" s="382"/>
      <c r="BJ507" s="463"/>
      <c r="BK507" s="463"/>
      <c r="BL507" s="463"/>
    </row>
    <row r="508" spans="61:64">
      <c r="BI508" s="382"/>
      <c r="BJ508" s="463"/>
      <c r="BK508" s="463"/>
      <c r="BL508" s="463"/>
    </row>
    <row r="509" spans="61:64">
      <c r="BI509" s="382"/>
      <c r="BJ509" s="463"/>
      <c r="BK509" s="463"/>
      <c r="BL509" s="463"/>
    </row>
    <row r="510" spans="61:64">
      <c r="BI510" s="382"/>
      <c r="BJ510" s="463"/>
      <c r="BK510" s="463"/>
      <c r="BL510" s="463"/>
    </row>
    <row r="511" spans="61:64">
      <c r="BI511" s="382"/>
      <c r="BJ511" s="463"/>
      <c r="BK511" s="463"/>
      <c r="BL511" s="463"/>
    </row>
    <row r="512" spans="61:64">
      <c r="BI512" s="382"/>
      <c r="BJ512" s="463"/>
      <c r="BK512" s="463"/>
      <c r="BL512" s="463"/>
    </row>
    <row r="513" spans="61:64">
      <c r="BI513" s="382"/>
      <c r="BJ513" s="463"/>
      <c r="BK513" s="463"/>
      <c r="BL513" s="463"/>
    </row>
    <row r="514" spans="61:64">
      <c r="BI514" s="382"/>
      <c r="BJ514" s="463"/>
      <c r="BK514" s="463"/>
      <c r="BL514" s="463"/>
    </row>
    <row r="515" spans="61:64">
      <c r="BI515" s="382"/>
      <c r="BJ515" s="463"/>
      <c r="BK515" s="463"/>
      <c r="BL515" s="463"/>
    </row>
    <row r="516" spans="61:64">
      <c r="BI516" s="382"/>
      <c r="BJ516" s="463"/>
      <c r="BK516" s="463"/>
      <c r="BL516" s="463"/>
    </row>
    <row r="517" spans="61:64">
      <c r="BI517" s="382"/>
      <c r="BJ517" s="463"/>
      <c r="BK517" s="463"/>
      <c r="BL517" s="463"/>
    </row>
    <row r="518" spans="61:64">
      <c r="BI518" s="382"/>
      <c r="BJ518" s="463"/>
      <c r="BK518" s="463"/>
      <c r="BL518" s="463"/>
    </row>
    <row r="519" spans="61:64">
      <c r="BI519" s="382"/>
      <c r="BJ519" s="463"/>
      <c r="BK519" s="463"/>
      <c r="BL519" s="463"/>
    </row>
    <row r="520" spans="61:64">
      <c r="BJ520" s="525"/>
      <c r="BK520" s="525"/>
      <c r="BL520" s="525"/>
    </row>
    <row r="521" spans="61:64">
      <c r="BI521" s="382"/>
      <c r="BJ521" s="463"/>
      <c r="BK521" s="463"/>
      <c r="BL521" s="463"/>
    </row>
    <row r="522" spans="61:64">
      <c r="BI522" s="382"/>
      <c r="BJ522" s="463"/>
      <c r="BK522" s="463"/>
      <c r="BL522" s="463"/>
    </row>
    <row r="523" spans="61:64">
      <c r="BI523" s="382"/>
      <c r="BJ523" s="463"/>
      <c r="BK523" s="463"/>
      <c r="BL523" s="463"/>
    </row>
    <row r="524" spans="61:64">
      <c r="BI524" s="382"/>
      <c r="BJ524" s="463"/>
      <c r="BK524" s="463"/>
      <c r="BL524" s="463"/>
    </row>
    <row r="525" spans="61:64">
      <c r="BI525" s="382"/>
      <c r="BJ525" s="463"/>
      <c r="BK525" s="463"/>
      <c r="BL525" s="463"/>
    </row>
    <row r="526" spans="61:64">
      <c r="BI526" s="382"/>
      <c r="BJ526" s="463"/>
      <c r="BK526" s="463"/>
      <c r="BL526" s="463"/>
    </row>
    <row r="527" spans="61:64">
      <c r="BI527" s="382"/>
      <c r="BJ527" s="463"/>
      <c r="BK527" s="463"/>
      <c r="BL527" s="463"/>
    </row>
    <row r="528" spans="61:64">
      <c r="BI528" s="382"/>
      <c r="BJ528" s="463"/>
      <c r="BK528" s="463"/>
      <c r="BL528" s="463"/>
    </row>
    <row r="529" spans="61:64">
      <c r="BI529" s="382"/>
      <c r="BJ529" s="463"/>
      <c r="BK529" s="463"/>
      <c r="BL529" s="463"/>
    </row>
    <row r="530" spans="61:64">
      <c r="BI530" s="382"/>
      <c r="BJ530" s="463"/>
      <c r="BK530" s="463"/>
      <c r="BL530" s="463"/>
    </row>
    <row r="531" spans="61:64">
      <c r="BI531" s="382"/>
      <c r="BJ531" s="463"/>
      <c r="BK531" s="463"/>
      <c r="BL531" s="463"/>
    </row>
    <row r="532" spans="61:64">
      <c r="BI532" s="382"/>
      <c r="BJ532" s="463"/>
      <c r="BK532" s="463"/>
      <c r="BL532" s="463"/>
    </row>
    <row r="533" spans="61:64">
      <c r="BI533" s="382"/>
      <c r="BJ533" s="463"/>
      <c r="BK533" s="463"/>
      <c r="BL533" s="463"/>
    </row>
    <row r="534" spans="61:64">
      <c r="BI534" s="382"/>
      <c r="BJ534" s="382"/>
      <c r="BK534" s="382"/>
      <c r="BL534" s="382"/>
    </row>
    <row r="535" spans="61:64">
      <c r="BI535" s="382"/>
      <c r="BJ535" s="382"/>
      <c r="BK535" s="382"/>
      <c r="BL535" s="382"/>
    </row>
    <row r="536" spans="61:64">
      <c r="BI536" s="382"/>
      <c r="BJ536" s="382"/>
      <c r="BK536" s="382"/>
      <c r="BL536" s="382"/>
    </row>
    <row r="537" spans="61:64">
      <c r="BI537" s="382"/>
      <c r="BJ537" s="382"/>
      <c r="BK537" s="382"/>
      <c r="BL537" s="382"/>
    </row>
    <row r="538" spans="61:64">
      <c r="BI538" s="382"/>
      <c r="BJ538" s="382"/>
      <c r="BK538" s="382"/>
      <c r="BL538" s="382"/>
    </row>
    <row r="539" spans="61:64">
      <c r="BI539" s="382"/>
      <c r="BJ539" s="382"/>
      <c r="BK539" s="382"/>
      <c r="BL539" s="382"/>
    </row>
    <row r="540" spans="61:64">
      <c r="BI540" s="382"/>
      <c r="BJ540" s="382"/>
      <c r="BK540" s="382"/>
      <c r="BL540" s="382"/>
    </row>
    <row r="541" spans="61:64">
      <c r="BI541" s="382"/>
      <c r="BJ541" s="382"/>
      <c r="BK541" s="382"/>
      <c r="BL541" s="382"/>
    </row>
    <row r="542" spans="61:64">
      <c r="BI542" s="382"/>
      <c r="BJ542" s="382"/>
      <c r="BK542" s="382"/>
      <c r="BL542" s="382"/>
    </row>
    <row r="543" spans="61:64">
      <c r="BI543" s="382"/>
      <c r="BJ543" s="382"/>
      <c r="BK543" s="382"/>
      <c r="BL543" s="382"/>
    </row>
    <row r="544" spans="61:64">
      <c r="BI544" s="382"/>
      <c r="BJ544" s="382"/>
      <c r="BK544" s="382"/>
      <c r="BL544" s="382"/>
    </row>
    <row r="545" spans="61:64">
      <c r="BI545" s="382"/>
      <c r="BJ545" s="382"/>
      <c r="BK545" s="382"/>
      <c r="BL545" s="382"/>
    </row>
    <row r="546" spans="61:64">
      <c r="BI546" s="382"/>
      <c r="BJ546" s="382"/>
      <c r="BK546" s="382"/>
      <c r="BL546" s="382"/>
    </row>
    <row r="547" spans="61:64">
      <c r="BI547" s="382"/>
      <c r="BJ547" s="382"/>
      <c r="BK547" s="382"/>
      <c r="BL547" s="382"/>
    </row>
    <row r="548" spans="61:64">
      <c r="BI548" s="382"/>
      <c r="BJ548" s="382"/>
      <c r="BK548" s="382"/>
      <c r="BL548" s="382"/>
    </row>
    <row r="549" spans="61:64">
      <c r="BI549" s="382"/>
      <c r="BJ549" s="382"/>
      <c r="BK549" s="382"/>
      <c r="BL549" s="382"/>
    </row>
    <row r="550" spans="61:64">
      <c r="BI550" s="382"/>
      <c r="BJ550" s="382"/>
      <c r="BK550" s="382"/>
      <c r="BL550" s="382"/>
    </row>
    <row r="551" spans="61:64">
      <c r="BI551" s="382"/>
      <c r="BJ551" s="382"/>
      <c r="BK551" s="382"/>
    </row>
    <row r="552" spans="61:64">
      <c r="BI552" s="382"/>
      <c r="BJ552" s="382"/>
      <c r="BK552" s="382"/>
    </row>
    <row r="553" spans="61:64">
      <c r="BI553" s="382"/>
      <c r="BJ553" s="382"/>
      <c r="BK553" s="382"/>
    </row>
    <row r="554" spans="61:64">
      <c r="BI554" s="382"/>
      <c r="BJ554" s="382"/>
      <c r="BK554" s="382"/>
    </row>
    <row r="555" spans="61:64">
      <c r="BI555" s="382"/>
      <c r="BJ555" s="382"/>
      <c r="BK555" s="382"/>
    </row>
    <row r="556" spans="61:64">
      <c r="BI556" s="382"/>
      <c r="BJ556" s="382"/>
      <c r="BK556" s="382"/>
    </row>
    <row r="557" spans="61:64">
      <c r="BI557" s="382"/>
      <c r="BJ557" s="382"/>
      <c r="BK557" s="382"/>
    </row>
    <row r="558" spans="61:64">
      <c r="BI558" s="382"/>
      <c r="BJ558" s="382"/>
      <c r="BK558" s="382"/>
    </row>
    <row r="559" spans="61:64">
      <c r="BI559" s="382"/>
      <c r="BJ559" s="382"/>
      <c r="BK559" s="382"/>
    </row>
    <row r="560" spans="61:64">
      <c r="BI560" s="382"/>
      <c r="BJ560" s="382"/>
      <c r="BK560" s="382"/>
    </row>
    <row r="561" spans="61:63">
      <c r="BI561" s="382"/>
      <c r="BJ561" s="382"/>
      <c r="BK561" s="382"/>
    </row>
    <row r="562" spans="61:63">
      <c r="BI562" s="382"/>
      <c r="BJ562" s="382"/>
      <c r="BK562" s="382"/>
    </row>
    <row r="563" spans="61:63">
      <c r="BI563" s="382"/>
      <c r="BJ563" s="382"/>
      <c r="BK563" s="382"/>
    </row>
    <row r="564" spans="61:63">
      <c r="BI564" s="382"/>
      <c r="BJ564" s="382"/>
      <c r="BK564" s="382"/>
    </row>
    <row r="565" spans="61:63">
      <c r="BI565" s="382"/>
      <c r="BJ565" s="382"/>
      <c r="BK565" s="382"/>
    </row>
    <row r="566" spans="61:63">
      <c r="BI566" s="382"/>
      <c r="BJ566" s="382"/>
      <c r="BK566" s="382"/>
    </row>
    <row r="567" spans="61:63">
      <c r="BI567" s="382"/>
      <c r="BJ567" s="382"/>
      <c r="BK567" s="382"/>
    </row>
    <row r="568" spans="61:63">
      <c r="BI568" s="382"/>
      <c r="BJ568" s="382"/>
      <c r="BK568" s="382"/>
    </row>
    <row r="569" spans="61:63">
      <c r="BI569" s="382"/>
      <c r="BJ569" s="382"/>
      <c r="BK569" s="382"/>
    </row>
    <row r="570" spans="61:63">
      <c r="BI570" s="382"/>
      <c r="BJ570" s="382"/>
      <c r="BK570" s="382"/>
    </row>
    <row r="571" spans="61:63">
      <c r="BI571" s="382"/>
      <c r="BJ571" s="382"/>
      <c r="BK571" s="382"/>
    </row>
    <row r="572" spans="61:63">
      <c r="BI572" s="382"/>
      <c r="BJ572" s="382"/>
      <c r="BK572" s="382"/>
    </row>
    <row r="573" spans="61:63">
      <c r="BI573" s="382"/>
      <c r="BJ573" s="382"/>
      <c r="BK573" s="382"/>
    </row>
    <row r="574" spans="61:63">
      <c r="BI574" s="382"/>
      <c r="BJ574" s="382"/>
      <c r="BK574" s="382"/>
    </row>
    <row r="575" spans="61:63">
      <c r="BI575" s="382"/>
      <c r="BJ575" s="382"/>
      <c r="BK575" s="382"/>
    </row>
    <row r="576" spans="61:63">
      <c r="BI576" s="382"/>
      <c r="BJ576" s="382"/>
      <c r="BK576" s="382"/>
    </row>
    <row r="577" spans="61:64">
      <c r="BI577" s="382"/>
      <c r="BJ577" s="382"/>
      <c r="BK577" s="382"/>
    </row>
    <row r="578" spans="61:64">
      <c r="BI578" s="382"/>
      <c r="BJ578" s="382"/>
      <c r="BK578" s="382"/>
    </row>
    <row r="581" spans="61:64">
      <c r="BI581" s="598"/>
      <c r="BJ581" s="598"/>
      <c r="BK581" s="598"/>
      <c r="BL581" s="598"/>
    </row>
  </sheetData>
  <mergeCells count="46">
    <mergeCell ref="BR2:BZ2"/>
    <mergeCell ref="AW2:BE2"/>
    <mergeCell ref="B3:E3"/>
    <mergeCell ref="F3:I3"/>
    <mergeCell ref="M3:P3"/>
    <mergeCell ref="Q3:T3"/>
    <mergeCell ref="BJ94:BL94"/>
    <mergeCell ref="BJ3:BL3"/>
    <mergeCell ref="CE3:CG3"/>
    <mergeCell ref="CH3:CJ3"/>
    <mergeCell ref="CK3:CM3"/>
    <mergeCell ref="BJ24:BL24"/>
    <mergeCell ref="BR37:BZ37"/>
    <mergeCell ref="AW50:BE50"/>
    <mergeCell ref="CK63:CM63"/>
    <mergeCell ref="AW70:BE70"/>
    <mergeCell ref="BR72:BZ72"/>
    <mergeCell ref="BJ73:BL73"/>
    <mergeCell ref="CK214:CM214"/>
    <mergeCell ref="BR107:BZ107"/>
    <mergeCell ref="AW118:BE118"/>
    <mergeCell ref="AW138:BE138"/>
    <mergeCell ref="BR142:BZ142"/>
    <mergeCell ref="BJ143:BL143"/>
    <mergeCell ref="BJ164:BL164"/>
    <mergeCell ref="BJ304:BL304"/>
    <mergeCell ref="BR177:BZ177"/>
    <mergeCell ref="AW186:BE186"/>
    <mergeCell ref="AW206:BE206"/>
    <mergeCell ref="BJ213:BL213"/>
    <mergeCell ref="BR213:BZ213"/>
    <mergeCell ref="BJ234:BL234"/>
    <mergeCell ref="BR248:BZ248"/>
    <mergeCell ref="AW254:BE254"/>
    <mergeCell ref="AW274:BE274"/>
    <mergeCell ref="BJ283:BL283"/>
    <mergeCell ref="BJ422:BL422"/>
    <mergeCell ref="BJ442:BL442"/>
    <mergeCell ref="AW458:BE458"/>
    <mergeCell ref="BJ491:BL491"/>
    <mergeCell ref="AW322:BE322"/>
    <mergeCell ref="AW342:BE342"/>
    <mergeCell ref="BJ353:BL353"/>
    <mergeCell ref="BJ374:BL374"/>
    <mergeCell ref="AW390:BE390"/>
    <mergeCell ref="AW410:BE410"/>
  </mergeCells>
  <pageMargins left="0.5" right="0.5" top="1" bottom="1" header="0.5" footer="0.5"/>
  <pageSetup scale="74" orientation="portrait" r:id="rId1"/>
  <headerFooter alignWithMargins="0"/>
  <ignoredErrors>
    <ignoredError sqref="Z11:AF11 Z19:AF19 CE19:CE23 CE32:CE36" formulaRange="1"/>
    <ignoredError sqref="CH18 CH31 CH44 CK44 CK31 CK6:CK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21FB7-0942-481F-970A-06FADEDF8ACB}">
  <sheetPr>
    <tabColor rgb="FFFFFF00"/>
  </sheetPr>
  <dimension ref="A1:HP261"/>
  <sheetViews>
    <sheetView showGridLines="0" topLeftCell="FU1" zoomScale="50" zoomScaleNormal="50" workbookViewId="0">
      <selection activeCell="S31" sqref="S31"/>
    </sheetView>
  </sheetViews>
  <sheetFormatPr defaultColWidth="9.140625" defaultRowHeight="15.6" customHeight="1"/>
  <cols>
    <col min="1" max="1" width="18.7109375" style="398" customWidth="1"/>
    <col min="2" max="7" width="14.7109375" style="398" customWidth="1"/>
    <col min="8" max="8" width="7.28515625" style="398" customWidth="1"/>
    <col min="9" max="10" width="11.7109375" style="398" customWidth="1"/>
    <col min="11" max="11" width="31.28515625" style="398" customWidth="1"/>
    <col min="12" max="17" width="13.7109375" style="398" customWidth="1"/>
    <col min="18" max="18" width="9.7109375" style="398" customWidth="1"/>
    <col min="19" max="19" width="13.28515625" style="398" customWidth="1"/>
    <col min="20" max="20" width="38.85546875" style="398" customWidth="1"/>
    <col min="21" max="25" width="14.7109375" style="398" customWidth="1"/>
    <col min="26" max="26" width="12" style="398" customWidth="1"/>
    <col min="27" max="27" width="9.42578125" style="398" customWidth="1"/>
    <col min="28" max="28" width="42.7109375" style="382" customWidth="1"/>
    <col min="29" max="29" width="14.7109375" style="382" customWidth="1"/>
    <col min="30" max="30" width="14" style="382" customWidth="1"/>
    <col min="31" max="34" width="14.7109375" style="382" customWidth="1"/>
    <col min="35" max="35" width="9.7109375" style="382" customWidth="1"/>
    <col min="36" max="36" width="9.140625" style="398"/>
    <col min="37" max="37" width="35.28515625" style="398" customWidth="1"/>
    <col min="38" max="43" width="11.7109375" style="398" customWidth="1"/>
    <col min="44" max="44" width="5.42578125" style="398" customWidth="1"/>
    <col min="45" max="45" width="11.7109375" style="398" customWidth="1"/>
    <col min="46" max="46" width="9.42578125" style="398" customWidth="1"/>
    <col min="47" max="47" width="9.7109375" style="398" customWidth="1"/>
    <col min="48" max="48" width="20.7109375" style="398" customWidth="1"/>
    <col min="49" max="49" width="11.42578125" style="398" customWidth="1"/>
    <col min="50" max="50" width="11.28515625" style="398" customWidth="1"/>
    <col min="51" max="52" width="11.42578125" style="398" customWidth="1"/>
    <col min="53" max="54" width="10.85546875" style="398" customWidth="1"/>
    <col min="55" max="55" width="12.42578125" style="398" customWidth="1"/>
    <col min="56" max="56" width="15.7109375" style="398" customWidth="1"/>
    <col min="57" max="57" width="11.28515625" style="398" customWidth="1"/>
    <col min="58" max="58" width="11" style="398" customWidth="1"/>
    <col min="59" max="59" width="11.42578125" style="398" customWidth="1"/>
    <col min="60" max="60" width="11.5703125" style="398" customWidth="1"/>
    <col min="61" max="62" width="10.28515625" style="398" customWidth="1"/>
    <col min="63" max="63" width="9.42578125" style="398" customWidth="1"/>
    <col min="64" max="64" width="28" style="398" customWidth="1"/>
    <col min="65" max="70" width="12.85546875" style="398" customWidth="1"/>
    <col min="71" max="71" width="11.140625" style="398" customWidth="1"/>
    <col min="72" max="72" width="8" style="398" customWidth="1"/>
    <col min="73" max="73" width="64.28515625" style="398" customWidth="1"/>
    <col min="74" max="76" width="14.28515625" style="398" customWidth="1"/>
    <col min="77" max="77" width="12.85546875" style="398" customWidth="1"/>
    <col min="78" max="78" width="10.5703125" style="398" customWidth="1"/>
    <col min="79" max="79" width="11.7109375" style="402" customWidth="1"/>
    <col min="80" max="80" width="49.140625" style="398" customWidth="1"/>
    <col min="81" max="85" width="12.7109375" style="398" customWidth="1"/>
    <col min="86" max="86" width="9.5703125" style="398" customWidth="1"/>
    <col min="87" max="87" width="4.28515625" style="398" customWidth="1"/>
    <col min="88" max="88" width="27.7109375" style="398" hidden="1" customWidth="1"/>
    <col min="89" max="98" width="12.7109375" style="398" hidden="1" customWidth="1"/>
    <col min="99" max="99" width="27.7109375" style="398" hidden="1" customWidth="1"/>
    <col min="100" max="103" width="9.7109375" style="398" hidden="1" customWidth="1"/>
    <col min="104" max="104" width="12.7109375" style="398" hidden="1" customWidth="1"/>
    <col min="105" max="108" width="9.7109375" style="398" hidden="1" customWidth="1"/>
    <col min="109" max="110" width="12.7109375" style="398" hidden="1" customWidth="1"/>
    <col min="111" max="111" width="27.7109375" style="398" hidden="1" customWidth="1"/>
    <col min="112" max="115" width="9.7109375" style="398" hidden="1" customWidth="1"/>
    <col min="116" max="116" width="12.7109375" style="398" hidden="1" customWidth="1"/>
    <col min="117" max="120" width="9.7109375" style="398" hidden="1" customWidth="1"/>
    <col min="121" max="121" width="2.42578125" style="398" customWidth="1"/>
    <col min="122" max="122" width="9.140625" style="398"/>
    <col min="123" max="123" width="28" style="398" customWidth="1"/>
    <col min="124" max="132" width="8.7109375" style="398" customWidth="1"/>
    <col min="133" max="134" width="9.140625" style="398"/>
    <col min="135" max="135" width="28.7109375" style="398" customWidth="1"/>
    <col min="136" max="143" width="9.140625" style="398" customWidth="1"/>
    <col min="144" max="147" width="9.140625" style="398"/>
    <col min="148" max="148" width="28.7109375" style="398" customWidth="1"/>
    <col min="149" max="151" width="9.140625" style="398" customWidth="1"/>
    <col min="152" max="152" width="9.42578125" style="398" customWidth="1"/>
    <col min="153" max="158" width="9.140625" style="398" customWidth="1"/>
    <col min="159" max="162" width="9.140625" style="398"/>
    <col min="163" max="163" width="28.7109375" style="398" customWidth="1"/>
    <col min="164" max="167" width="9.140625" style="398" customWidth="1"/>
    <col min="168" max="177" width="9.140625" style="398"/>
    <col min="178" max="178" width="28.7109375" style="398" customWidth="1"/>
    <col min="179" max="179" width="9.140625" style="398" customWidth="1"/>
    <col min="180" max="180" width="9.5703125" style="398" customWidth="1"/>
    <col min="181" max="181" width="10.7109375" style="398" customWidth="1"/>
    <col min="182" max="182" width="12.5703125" style="398" customWidth="1"/>
    <col min="183" max="185" width="10.7109375" style="398" customWidth="1"/>
    <col min="186" max="186" width="12" style="398" customWidth="1"/>
    <col min="187" max="188" width="9.140625" style="398"/>
    <col min="189" max="189" width="10.7109375" style="398" customWidth="1"/>
    <col min="190" max="190" width="11.5703125" style="398" customWidth="1"/>
    <col min="191" max="191" width="9.140625" style="398"/>
    <col min="192" max="192" width="7.28515625" style="398" customWidth="1"/>
    <col min="193" max="193" width="9.140625" style="398"/>
    <col min="194" max="194" width="28.7109375" style="398" customWidth="1"/>
    <col min="195" max="195" width="9.140625" style="398" customWidth="1"/>
    <col min="196" max="196" width="9.5703125" style="398" customWidth="1"/>
    <col min="197" max="197" width="9.140625" style="398" customWidth="1"/>
    <col min="198" max="198" width="9.5703125" style="398" customWidth="1"/>
    <col min="199" max="201" width="9.140625" style="398" customWidth="1"/>
    <col min="202" max="202" width="7.42578125" style="398" customWidth="1"/>
    <col min="203" max="203" width="9.140625" style="398"/>
    <col min="204" max="204" width="29.7109375" style="398" customWidth="1"/>
    <col min="205" max="205" width="9.140625" style="398"/>
    <col min="206" max="206" width="9.42578125" style="398" customWidth="1"/>
    <col min="207" max="207" width="9.140625" style="398"/>
    <col min="208" max="208" width="9.7109375" style="398" customWidth="1"/>
    <col min="209" max="209" width="9.140625" style="398"/>
    <col min="210" max="210" width="9.5703125" style="398" customWidth="1"/>
    <col min="211" max="212" width="9.140625" style="398"/>
    <col min="213" max="213" width="6" style="398" customWidth="1"/>
    <col min="214" max="215" width="9.140625" style="398"/>
    <col min="216" max="216" width="29.7109375" style="398" customWidth="1"/>
    <col min="217" max="217" width="9.140625" style="398"/>
    <col min="218" max="218" width="9.5703125" style="398" customWidth="1"/>
    <col min="219" max="219" width="9.140625" style="398"/>
    <col min="220" max="220" width="10.28515625" style="398" customWidth="1"/>
    <col min="221" max="223" width="9.140625" style="398"/>
    <col min="224" max="224" width="2.140625" style="398" customWidth="1"/>
    <col min="225" max="16384" width="9.140625" style="398"/>
  </cols>
  <sheetData>
    <row r="1" spans="1:224" ht="15.6" customHeight="1">
      <c r="A1" s="398" t="s">
        <v>5015</v>
      </c>
      <c r="J1" s="386"/>
      <c r="K1" s="387" t="s">
        <v>5016</v>
      </c>
      <c r="L1" s="387"/>
      <c r="M1" s="387"/>
      <c r="N1" s="387"/>
      <c r="O1" s="387"/>
      <c r="T1" s="387" t="s">
        <v>5017</v>
      </c>
      <c r="U1" s="387"/>
      <c r="V1" s="387"/>
      <c r="AB1" s="387" t="s">
        <v>5018</v>
      </c>
      <c r="AC1" s="387"/>
      <c r="AD1" s="387"/>
      <c r="AE1" s="387"/>
      <c r="AF1" s="387"/>
      <c r="AG1" s="398"/>
      <c r="AH1" s="398"/>
      <c r="AK1" s="387" t="s">
        <v>5019</v>
      </c>
      <c r="AL1" s="387"/>
      <c r="AM1" s="387"/>
      <c r="AN1" s="387"/>
      <c r="AO1" s="387"/>
      <c r="AP1" s="387"/>
      <c r="AV1" s="1086" t="s">
        <v>5020</v>
      </c>
      <c r="AW1" s="1086"/>
      <c r="AX1" s="1086"/>
      <c r="AY1" s="1086"/>
      <c r="AZ1" s="1086"/>
      <c r="BA1" s="1087"/>
      <c r="BB1" s="1087"/>
      <c r="BC1" s="1087"/>
      <c r="BD1" s="1088" t="s">
        <v>5021</v>
      </c>
      <c r="BE1" s="1088"/>
      <c r="BF1" s="1088"/>
      <c r="BG1" s="1088"/>
      <c r="BH1" s="1089"/>
      <c r="BI1" s="1089"/>
      <c r="BJ1" s="1089"/>
      <c r="BK1" s="1089"/>
      <c r="BL1" s="1088" t="s">
        <v>5022</v>
      </c>
      <c r="BM1" s="1089"/>
      <c r="BN1" s="1089"/>
      <c r="BO1" s="1089"/>
      <c r="BP1" s="1089"/>
      <c r="BQ1" s="1089"/>
      <c r="BR1" s="1089"/>
      <c r="BT1" s="2179" t="s">
        <v>5023</v>
      </c>
      <c r="BU1" s="2179"/>
      <c r="BV1" s="2179"/>
      <c r="BW1" s="2179"/>
      <c r="BX1" s="2181"/>
      <c r="BZ1" s="1091"/>
      <c r="CB1" s="386" t="s">
        <v>5024</v>
      </c>
      <c r="CC1" s="386"/>
      <c r="CD1" s="386"/>
      <c r="CE1" s="679"/>
      <c r="CF1" s="679"/>
      <c r="CG1" s="679"/>
      <c r="CH1" s="679"/>
      <c r="CI1" s="679"/>
      <c r="CJ1" s="1092" t="s">
        <v>5025</v>
      </c>
      <c r="CK1" s="725"/>
      <c r="CL1" s="726"/>
      <c r="CM1" s="387"/>
      <c r="CN1" s="387"/>
      <c r="CO1" s="387"/>
      <c r="CP1" s="387"/>
      <c r="CQ1" s="387"/>
      <c r="CR1" s="387"/>
      <c r="CS1" s="387"/>
      <c r="CT1" s="679"/>
      <c r="CU1" s="1092" t="s">
        <v>5026</v>
      </c>
      <c r="CV1" s="725"/>
      <c r="CW1" s="726"/>
      <c r="CX1" s="387"/>
      <c r="CY1" s="387"/>
      <c r="CZ1" s="387"/>
      <c r="DA1" s="387"/>
      <c r="DB1" s="387"/>
      <c r="DC1" s="387"/>
      <c r="DD1" s="387"/>
      <c r="DE1" s="679"/>
      <c r="DF1" s="679"/>
      <c r="DG1" s="1092" t="s">
        <v>5027</v>
      </c>
      <c r="DH1" s="725"/>
      <c r="DI1" s="726"/>
      <c r="DJ1" s="387"/>
      <c r="DK1" s="387"/>
      <c r="DL1" s="387"/>
      <c r="DM1" s="387"/>
      <c r="DN1" s="387"/>
      <c r="DO1" s="387"/>
      <c r="DP1" s="387"/>
      <c r="DQ1" s="679"/>
      <c r="DR1" s="679"/>
      <c r="DS1" s="1093" t="s">
        <v>5028</v>
      </c>
      <c r="DT1" s="910"/>
      <c r="DU1" s="681"/>
      <c r="EE1" s="1092" t="s">
        <v>5029</v>
      </c>
      <c r="EF1" s="1092"/>
      <c r="EG1" s="1092"/>
      <c r="EH1" s="1092"/>
      <c r="EI1" s="1092"/>
      <c r="EJ1" s="1092"/>
      <c r="EK1" s="1092"/>
      <c r="EL1" s="1093"/>
      <c r="EM1" s="1093"/>
      <c r="ER1" s="1092" t="s">
        <v>5030</v>
      </c>
      <c r="ES1" s="1092"/>
      <c r="ET1" s="1092"/>
      <c r="EU1" s="1092"/>
      <c r="EV1" s="1092"/>
      <c r="EW1" s="1092"/>
      <c r="EX1" s="1092"/>
      <c r="EY1" s="1092"/>
      <c r="EZ1" s="1093"/>
      <c r="FA1" s="1093"/>
      <c r="FB1" s="1093"/>
      <c r="FG1" s="1093" t="s">
        <v>5031</v>
      </c>
      <c r="FH1" s="1092"/>
      <c r="FI1" s="1092"/>
      <c r="FJ1" s="1092"/>
      <c r="FK1" s="1092"/>
      <c r="FL1" s="387"/>
      <c r="FV1" s="1092" t="s">
        <v>5032</v>
      </c>
      <c r="FW1" s="1092"/>
      <c r="FX1" s="1092"/>
      <c r="FY1" s="1092"/>
      <c r="FZ1" s="1092"/>
      <c r="GA1" s="1092"/>
      <c r="GB1" s="1092"/>
      <c r="GC1" s="1092"/>
      <c r="GD1" s="1092"/>
      <c r="GL1" s="1092" t="s">
        <v>5033</v>
      </c>
      <c r="GM1" s="1092"/>
      <c r="GN1" s="1092"/>
      <c r="GO1" s="1092"/>
      <c r="GP1" s="1092"/>
      <c r="GQ1" s="1093"/>
      <c r="GR1" s="1093"/>
      <c r="GS1" s="1093"/>
      <c r="GT1" s="1093"/>
      <c r="GV1" s="1092" t="s">
        <v>5034</v>
      </c>
      <c r="GW1" s="1092"/>
      <c r="GX1" s="1092"/>
      <c r="GY1" s="1092"/>
      <c r="GZ1" s="1092"/>
      <c r="HA1" s="1093"/>
      <c r="HB1" s="1093"/>
      <c r="HC1" s="1093"/>
      <c r="HD1" s="1093"/>
      <c r="HE1" s="1093"/>
      <c r="HH1" s="1093" t="s">
        <v>5035</v>
      </c>
      <c r="HI1" s="1092"/>
      <c r="HJ1" s="1092"/>
      <c r="HK1" s="1092"/>
      <c r="HL1" s="1092"/>
    </row>
    <row r="2" spans="1:224" ht="15.6" customHeight="1">
      <c r="A2" s="937" t="s">
        <v>1648</v>
      </c>
      <c r="B2" s="1094">
        <v>2024</v>
      </c>
      <c r="C2" s="1094">
        <v>2023</v>
      </c>
      <c r="D2" s="1094">
        <v>2022</v>
      </c>
      <c r="E2" s="1094">
        <v>2021</v>
      </c>
      <c r="F2" s="1094">
        <v>2020</v>
      </c>
      <c r="G2" s="658">
        <v>2019</v>
      </c>
      <c r="H2" s="385"/>
      <c r="K2" s="1095" t="s">
        <v>5036</v>
      </c>
      <c r="L2" s="642">
        <v>2024</v>
      </c>
      <c r="M2" s="642">
        <v>2023</v>
      </c>
      <c r="N2" s="642">
        <v>2022</v>
      </c>
      <c r="O2" s="642">
        <v>2021</v>
      </c>
      <c r="P2" s="664">
        <v>2020</v>
      </c>
      <c r="Q2" s="385"/>
      <c r="T2" s="1095" t="s">
        <v>5037</v>
      </c>
      <c r="U2" s="728">
        <v>2024</v>
      </c>
      <c r="V2" s="728">
        <v>2023</v>
      </c>
      <c r="W2" s="728">
        <v>2022</v>
      </c>
      <c r="X2" s="728">
        <v>2021</v>
      </c>
      <c r="Y2" s="729">
        <v>2020</v>
      </c>
      <c r="Z2" s="385"/>
      <c r="AA2" s="385"/>
      <c r="AB2" s="1095" t="s">
        <v>1648</v>
      </c>
      <c r="AC2" s="728">
        <v>2024</v>
      </c>
      <c r="AD2" s="728">
        <v>2023</v>
      </c>
      <c r="AE2" s="728">
        <v>2022</v>
      </c>
      <c r="AF2" s="728">
        <v>2021</v>
      </c>
      <c r="AG2" s="729">
        <v>2020</v>
      </c>
      <c r="AH2" s="385"/>
      <c r="AJ2" s="402"/>
      <c r="AK2" s="387" t="s">
        <v>5038</v>
      </c>
      <c r="AL2" s="728">
        <v>2024</v>
      </c>
      <c r="AM2" s="728">
        <v>2023</v>
      </c>
      <c r="AN2" s="728" t="s">
        <v>5039</v>
      </c>
      <c r="AO2" s="728" t="s">
        <v>2496</v>
      </c>
      <c r="AP2" s="728">
        <v>2020</v>
      </c>
      <c r="AQ2" s="729">
        <v>2019</v>
      </c>
      <c r="AU2" s="385"/>
      <c r="AV2" s="1096" t="s">
        <v>1936</v>
      </c>
      <c r="AW2" s="1097">
        <v>2024</v>
      </c>
      <c r="AX2" s="1097">
        <v>2023</v>
      </c>
      <c r="AY2" s="1097">
        <v>2022</v>
      </c>
      <c r="AZ2" s="1097">
        <v>2021</v>
      </c>
      <c r="BA2" s="1097">
        <v>2020</v>
      </c>
      <c r="BB2" s="1854"/>
      <c r="BC2" s="1087"/>
      <c r="BD2" s="1098" t="s">
        <v>1810</v>
      </c>
      <c r="BE2" s="1099">
        <v>2024</v>
      </c>
      <c r="BF2" s="1099">
        <v>2023</v>
      </c>
      <c r="BG2" s="1099">
        <v>2022</v>
      </c>
      <c r="BH2" s="1099">
        <v>2021</v>
      </c>
      <c r="BI2" s="1100">
        <v>2020</v>
      </c>
      <c r="BJ2" s="1258"/>
      <c r="BK2" s="1101"/>
      <c r="BL2" s="1098" t="s">
        <v>1810</v>
      </c>
      <c r="BM2" s="1102">
        <v>2024</v>
      </c>
      <c r="BN2" s="1102">
        <v>2023</v>
      </c>
      <c r="BO2" s="1102">
        <v>2022</v>
      </c>
      <c r="BP2" s="1103">
        <v>2021</v>
      </c>
      <c r="BQ2" s="1103">
        <v>2020</v>
      </c>
      <c r="BR2" s="1101"/>
      <c r="BS2" s="385"/>
      <c r="BT2" s="414"/>
      <c r="BU2" s="417"/>
      <c r="BV2" s="439" t="s">
        <v>4350</v>
      </c>
      <c r="BW2" s="465" t="s">
        <v>841</v>
      </c>
      <c r="BX2" s="1104"/>
      <c r="CB2" s="937" t="s">
        <v>5040</v>
      </c>
      <c r="CC2" s="905">
        <v>2024</v>
      </c>
      <c r="CD2" s="905">
        <v>2023</v>
      </c>
      <c r="CE2" s="905">
        <v>2022</v>
      </c>
      <c r="CF2" s="905">
        <v>2021</v>
      </c>
      <c r="CG2" s="906">
        <v>2020</v>
      </c>
      <c r="CI2" s="1105"/>
      <c r="CJ2" s="387" t="s">
        <v>5041</v>
      </c>
      <c r="CK2" s="728" t="s">
        <v>129</v>
      </c>
      <c r="CL2" s="728" t="s">
        <v>1705</v>
      </c>
      <c r="CM2" s="728" t="s">
        <v>1696</v>
      </c>
      <c r="CN2" s="728" t="s">
        <v>1708</v>
      </c>
      <c r="CO2" s="728" t="s">
        <v>2644</v>
      </c>
      <c r="CP2" s="728" t="s">
        <v>3769</v>
      </c>
      <c r="CQ2" s="728" t="s">
        <v>1693</v>
      </c>
      <c r="CR2" s="728" t="s">
        <v>1709</v>
      </c>
      <c r="CS2" s="729" t="s">
        <v>2597</v>
      </c>
      <c r="CT2" s="1105"/>
      <c r="CU2" s="387" t="s">
        <v>5041</v>
      </c>
      <c r="CV2" s="728" t="s">
        <v>129</v>
      </c>
      <c r="CW2" s="728" t="s">
        <v>1705</v>
      </c>
      <c r="CX2" s="728" t="s">
        <v>1696</v>
      </c>
      <c r="CY2" s="728" t="s">
        <v>1708</v>
      </c>
      <c r="CZ2" s="728" t="s">
        <v>2644</v>
      </c>
      <c r="DA2" s="728" t="s">
        <v>3769</v>
      </c>
      <c r="DB2" s="728" t="s">
        <v>1693</v>
      </c>
      <c r="DC2" s="728" t="s">
        <v>1709</v>
      </c>
      <c r="DD2" s="729" t="s">
        <v>2597</v>
      </c>
      <c r="DE2" s="1105"/>
      <c r="DF2" s="1105"/>
      <c r="DG2" s="387" t="s">
        <v>5041</v>
      </c>
      <c r="DH2" s="728" t="s">
        <v>129</v>
      </c>
      <c r="DI2" s="728" t="s">
        <v>1705</v>
      </c>
      <c r="DJ2" s="728" t="s">
        <v>1696</v>
      </c>
      <c r="DK2" s="728" t="s">
        <v>1708</v>
      </c>
      <c r="DL2" s="728" t="s">
        <v>2644</v>
      </c>
      <c r="DM2" s="728" t="s">
        <v>3769</v>
      </c>
      <c r="DN2" s="728" t="s">
        <v>1693</v>
      </c>
      <c r="DO2" s="728" t="s">
        <v>1709</v>
      </c>
      <c r="DP2" s="729" t="s">
        <v>2597</v>
      </c>
      <c r="DQ2" s="1105"/>
      <c r="DS2" s="1106"/>
      <c r="DT2" s="2127">
        <v>2024</v>
      </c>
      <c r="DU2" s="2128"/>
      <c r="DV2" s="2128"/>
      <c r="DW2" s="2128"/>
      <c r="DX2" s="2127">
        <v>2023</v>
      </c>
      <c r="DY2" s="2128"/>
      <c r="DZ2" s="2128"/>
      <c r="EA2" s="2128"/>
      <c r="EE2" s="1107"/>
      <c r="EF2" s="1108">
        <v>2019</v>
      </c>
      <c r="EG2" s="1109"/>
      <c r="EH2" s="1108">
        <v>2018</v>
      </c>
      <c r="EI2" s="1109"/>
      <c r="EJ2" s="2195">
        <v>2017</v>
      </c>
      <c r="EK2" s="2196"/>
      <c r="EL2" s="2195">
        <v>2016</v>
      </c>
      <c r="EM2" s="2196"/>
      <c r="EN2" s="2195">
        <v>2015</v>
      </c>
      <c r="EO2" s="2213"/>
      <c r="EP2" s="1111"/>
      <c r="ER2" s="1112"/>
      <c r="ES2" s="2214">
        <v>2019</v>
      </c>
      <c r="ET2" s="2215"/>
      <c r="EU2" s="2214">
        <v>2018</v>
      </c>
      <c r="EV2" s="2215"/>
      <c r="EW2" s="2214">
        <v>2017</v>
      </c>
      <c r="EX2" s="2215"/>
      <c r="EY2" s="2214">
        <v>2016</v>
      </c>
      <c r="EZ2" s="2216"/>
      <c r="FA2" s="2214">
        <v>2015</v>
      </c>
      <c r="FB2" s="2216"/>
      <c r="FC2" s="2182"/>
      <c r="FD2" s="2182"/>
      <c r="FE2" s="2182"/>
      <c r="FF2" s="2182"/>
      <c r="FG2" s="1113"/>
      <c r="FH2" s="2195">
        <v>2019</v>
      </c>
      <c r="FI2" s="2196"/>
      <c r="FJ2" s="2195">
        <v>2018</v>
      </c>
      <c r="FK2" s="2196"/>
      <c r="FL2" s="2195">
        <v>2017</v>
      </c>
      <c r="FM2" s="2196"/>
      <c r="FN2" s="2195">
        <v>2016</v>
      </c>
      <c r="FO2" s="2196"/>
      <c r="FP2" s="2195">
        <v>2015</v>
      </c>
      <c r="FQ2" s="2213"/>
      <c r="FR2" s="1114"/>
      <c r="FS2" s="1114"/>
      <c r="FV2" s="1115"/>
      <c r="FW2" s="2204">
        <v>2019</v>
      </c>
      <c r="FX2" s="2205"/>
      <c r="FY2" s="2205"/>
      <c r="FZ2" s="2206"/>
      <c r="GA2" s="2204">
        <v>2018</v>
      </c>
      <c r="GB2" s="2205"/>
      <c r="GC2" s="2205"/>
      <c r="GD2" s="2206"/>
      <c r="GE2" s="2204">
        <v>2017</v>
      </c>
      <c r="GF2" s="2205"/>
      <c r="GG2" s="2205"/>
      <c r="GH2" s="2205"/>
      <c r="GI2" s="1116"/>
      <c r="GJ2" s="1116"/>
      <c r="GL2" s="1117"/>
      <c r="GM2" s="2184">
        <v>2019</v>
      </c>
      <c r="GN2" s="2212"/>
      <c r="GO2" s="2184">
        <v>2018</v>
      </c>
      <c r="GP2" s="2212"/>
      <c r="GQ2" s="2184">
        <v>2017</v>
      </c>
      <c r="GR2" s="2185"/>
      <c r="GS2" s="2193"/>
      <c r="GT2" s="2193"/>
      <c r="GU2" s="1118"/>
      <c r="GV2" s="1117"/>
      <c r="GW2" s="2184">
        <v>2019</v>
      </c>
      <c r="GX2" s="2185"/>
      <c r="GY2" s="2185"/>
      <c r="GZ2" s="2185"/>
      <c r="HA2" s="2184">
        <v>2018</v>
      </c>
      <c r="HB2" s="2185"/>
      <c r="HC2" s="2186"/>
      <c r="HD2" s="2186"/>
      <c r="HE2" s="1119"/>
      <c r="HF2" s="1117"/>
      <c r="HH2" s="1113"/>
      <c r="HI2" s="2213">
        <v>2019</v>
      </c>
      <c r="HJ2" s="2196"/>
      <c r="HK2" s="2213">
        <v>2018</v>
      </c>
      <c r="HL2" s="2196"/>
      <c r="HM2" s="1110">
        <v>2017</v>
      </c>
      <c r="HN2" s="1110"/>
      <c r="HO2" s="2197"/>
      <c r="HP2" s="2197"/>
    </row>
    <row r="3" spans="1:224" ht="15" customHeight="1">
      <c r="A3" s="949" t="s">
        <v>5042</v>
      </c>
      <c r="B3" s="385">
        <v>3</v>
      </c>
      <c r="C3" s="385">
        <v>3</v>
      </c>
      <c r="D3" s="385">
        <v>3</v>
      </c>
      <c r="E3" s="385">
        <v>3</v>
      </c>
      <c r="F3" s="385">
        <v>3</v>
      </c>
      <c r="G3" s="385">
        <v>3</v>
      </c>
      <c r="H3" s="385"/>
      <c r="K3" s="386" t="s">
        <v>5043</v>
      </c>
      <c r="L3" s="463">
        <v>5994</v>
      </c>
      <c r="M3" s="463">
        <v>8748</v>
      </c>
      <c r="N3" s="463">
        <v>8773</v>
      </c>
      <c r="O3" s="463">
        <v>8421</v>
      </c>
      <c r="P3" s="463">
        <v>8915</v>
      </c>
      <c r="Q3" s="463"/>
      <c r="T3" s="709" t="s">
        <v>4314</v>
      </c>
      <c r="U3" s="463">
        <f>SUM(U4:U25)</f>
        <v>48793</v>
      </c>
      <c r="V3" s="463">
        <f>SUM(V4:V25)</f>
        <v>8747</v>
      </c>
      <c r="W3" s="463">
        <v>8773</v>
      </c>
      <c r="X3" s="463">
        <v>8241</v>
      </c>
      <c r="Y3" s="463">
        <f>SUM(Y4:Y25)</f>
        <v>8915</v>
      </c>
      <c r="Z3" s="463"/>
      <c r="AA3" s="463"/>
      <c r="AB3" s="709" t="s">
        <v>5044</v>
      </c>
      <c r="AC3" s="515">
        <f>SUM(AC4:AC13)</f>
        <v>18130</v>
      </c>
      <c r="AD3" s="515">
        <f>SUM(AD4:AD15,AD22)</f>
        <v>106742</v>
      </c>
      <c r="AE3" s="515">
        <v>120882</v>
      </c>
      <c r="AF3" s="515">
        <v>103866</v>
      </c>
      <c r="AG3" s="515">
        <f>SUM(AG4:AG13) + AG15 + AG22</f>
        <v>119635</v>
      </c>
      <c r="AH3" s="515"/>
      <c r="AK3" s="1120" t="s">
        <v>5045</v>
      </c>
      <c r="AL3" s="1121">
        <v>2370</v>
      </c>
      <c r="AM3" s="1121">
        <v>2378</v>
      </c>
      <c r="AN3" s="1122">
        <v>2520</v>
      </c>
      <c r="AO3" s="1123">
        <v>2630</v>
      </c>
      <c r="AP3" s="1123">
        <v>2938</v>
      </c>
      <c r="AQ3" s="1123">
        <v>3057</v>
      </c>
      <c r="AR3" s="1121"/>
      <c r="AS3" s="1121"/>
      <c r="AU3" s="1124"/>
      <c r="AV3" s="1087" t="s">
        <v>5046</v>
      </c>
      <c r="AW3" s="1125">
        <v>2370</v>
      </c>
      <c r="AX3" s="1125">
        <v>2378</v>
      </c>
      <c r="AY3" s="1125">
        <v>2521</v>
      </c>
      <c r="AZ3" s="1125">
        <v>2630</v>
      </c>
      <c r="BA3" s="1125">
        <v>2938</v>
      </c>
      <c r="BB3" s="1125"/>
      <c r="BC3" s="1125"/>
      <c r="BD3" s="1126" t="s">
        <v>129</v>
      </c>
      <c r="BE3" s="1127">
        <f>SUM(BE4:BE12)</f>
        <v>145</v>
      </c>
      <c r="BF3" s="1127">
        <f>SUM(BF4:BF12)</f>
        <v>155</v>
      </c>
      <c r="BG3" s="1127">
        <f>SUM(BG4:BG12)</f>
        <v>135</v>
      </c>
      <c r="BH3" s="1127">
        <f>SUM(BH4:BH12)</f>
        <v>153</v>
      </c>
      <c r="BI3" s="1127">
        <f>SUM(BI4:BI12)</f>
        <v>224</v>
      </c>
      <c r="BJ3" s="1127"/>
      <c r="BK3" s="1128"/>
      <c r="BL3" s="1126" t="s">
        <v>129</v>
      </c>
      <c r="BM3" s="1127">
        <f>SUM(BM4:BM12)</f>
        <v>145</v>
      </c>
      <c r="BN3" s="1127">
        <v>155</v>
      </c>
      <c r="BO3" s="1127">
        <v>135</v>
      </c>
      <c r="BP3" s="1127">
        <f>SUM(BP4:BP12)</f>
        <v>153</v>
      </c>
      <c r="BQ3" s="1127">
        <f>SUM(BQ4:BQ12)</f>
        <v>224</v>
      </c>
      <c r="BR3" s="1128"/>
      <c r="BS3" s="1124"/>
      <c r="BT3" s="1129" t="s">
        <v>5047</v>
      </c>
      <c r="BU3" s="1130" t="s">
        <v>5048</v>
      </c>
      <c r="BV3" s="1131" t="s">
        <v>5049</v>
      </c>
      <c r="BW3" s="1132" t="s">
        <v>5050</v>
      </c>
      <c r="BX3" s="1104"/>
      <c r="BZ3" s="1133"/>
      <c r="CB3" s="386" t="s">
        <v>5051</v>
      </c>
      <c r="CC3" s="385"/>
      <c r="CD3" s="385"/>
      <c r="CE3" s="385"/>
      <c r="CF3" s="1134"/>
      <c r="CG3" s="385"/>
      <c r="CH3" s="385"/>
      <c r="CJ3" s="1135" t="s">
        <v>5052</v>
      </c>
      <c r="CK3" s="393"/>
      <c r="CL3" s="1136"/>
      <c r="CM3" s="1136"/>
      <c r="CN3" s="1136"/>
      <c r="CO3" s="1136"/>
      <c r="CP3" s="1136"/>
      <c r="CQ3" s="1136"/>
      <c r="CR3" s="1136"/>
      <c r="CS3" s="1136"/>
      <c r="CU3" s="1135" t="s">
        <v>5052</v>
      </c>
      <c r="CV3" s="393">
        <f>SUM(CW3:DD3)</f>
        <v>62</v>
      </c>
      <c r="CW3" s="1136">
        <v>31</v>
      </c>
      <c r="CX3" s="1136">
        <v>0</v>
      </c>
      <c r="CY3" s="1136">
        <v>0</v>
      </c>
      <c r="CZ3" s="1136">
        <v>15</v>
      </c>
      <c r="DA3" s="1136">
        <v>0</v>
      </c>
      <c r="DB3" s="1136">
        <v>12</v>
      </c>
      <c r="DC3" s="1136">
        <v>3</v>
      </c>
      <c r="DD3" s="1136">
        <v>1</v>
      </c>
      <c r="DG3" s="1135" t="s">
        <v>5052</v>
      </c>
      <c r="DH3" s="393">
        <f>SUM(DI3:DP3)</f>
        <v>29</v>
      </c>
      <c r="DI3" s="1136">
        <v>20</v>
      </c>
      <c r="DJ3" s="1136">
        <v>3</v>
      </c>
      <c r="DK3" s="1136">
        <v>0</v>
      </c>
      <c r="DL3" s="1136">
        <v>6</v>
      </c>
      <c r="DM3" s="1136">
        <v>0</v>
      </c>
      <c r="DN3" s="1136">
        <v>0</v>
      </c>
      <c r="DO3" s="1136">
        <v>0</v>
      </c>
      <c r="DP3" s="1136">
        <v>0</v>
      </c>
      <c r="DQ3" s="409"/>
      <c r="DS3" s="727" t="s">
        <v>5040</v>
      </c>
      <c r="DT3" s="1137" t="s">
        <v>129</v>
      </c>
      <c r="DU3" s="1137" t="s">
        <v>1711</v>
      </c>
      <c r="DV3" s="1137" t="s">
        <v>1712</v>
      </c>
      <c r="DW3" s="1137" t="s">
        <v>2597</v>
      </c>
      <c r="DX3" s="1137" t="s">
        <v>129</v>
      </c>
      <c r="DY3" s="1137" t="s">
        <v>1711</v>
      </c>
      <c r="DZ3" s="719" t="s">
        <v>1712</v>
      </c>
      <c r="EA3" s="719" t="s">
        <v>2597</v>
      </c>
      <c r="EE3" s="1138" t="s">
        <v>5053</v>
      </c>
      <c r="EF3" s="1139" t="s">
        <v>5054</v>
      </c>
      <c r="EG3" s="1140" t="s">
        <v>5055</v>
      </c>
      <c r="EH3" s="1139" t="s">
        <v>5054</v>
      </c>
      <c r="EI3" s="1140" t="s">
        <v>5055</v>
      </c>
      <c r="EJ3" s="1139" t="s">
        <v>5054</v>
      </c>
      <c r="EK3" s="1140" t="s">
        <v>5055</v>
      </c>
      <c r="EL3" s="1139" t="s">
        <v>5054</v>
      </c>
      <c r="EM3" s="1140" t="s">
        <v>5055</v>
      </c>
      <c r="EN3" s="1139" t="s">
        <v>5054</v>
      </c>
      <c r="EO3" s="1140" t="s">
        <v>5055</v>
      </c>
      <c r="EP3" s="1141"/>
      <c r="ER3" s="1142" t="s">
        <v>5053</v>
      </c>
      <c r="ES3" s="1143" t="s">
        <v>5054</v>
      </c>
      <c r="ET3" s="1144" t="s">
        <v>5055</v>
      </c>
      <c r="EU3" s="1143" t="s">
        <v>5054</v>
      </c>
      <c r="EV3" s="1144" t="s">
        <v>5055</v>
      </c>
      <c r="EW3" s="1143" t="s">
        <v>5054</v>
      </c>
      <c r="EX3" s="1144" t="s">
        <v>5055</v>
      </c>
      <c r="EY3" s="1143" t="s">
        <v>5054</v>
      </c>
      <c r="EZ3" s="1144" t="s">
        <v>5055</v>
      </c>
      <c r="FA3" s="1143" t="s">
        <v>5054</v>
      </c>
      <c r="FB3" s="1144" t="s">
        <v>5055</v>
      </c>
      <c r="FC3" s="1145"/>
      <c r="FD3" s="1146"/>
      <c r="FE3" s="1145"/>
      <c r="FF3" s="1146"/>
      <c r="FG3" s="1147" t="s">
        <v>5053</v>
      </c>
      <c r="FH3" s="1148" t="s">
        <v>5054</v>
      </c>
      <c r="FI3" s="1149" t="s">
        <v>5055</v>
      </c>
      <c r="FJ3" s="1148" t="s">
        <v>5054</v>
      </c>
      <c r="FK3" s="1149" t="s">
        <v>5055</v>
      </c>
      <c r="FL3" s="1148" t="s">
        <v>5054</v>
      </c>
      <c r="FM3" s="1149" t="s">
        <v>5055</v>
      </c>
      <c r="FN3" s="1148" t="s">
        <v>5054</v>
      </c>
      <c r="FO3" s="1149" t="s">
        <v>5055</v>
      </c>
      <c r="FP3" s="1150" t="s">
        <v>5054</v>
      </c>
      <c r="FQ3" s="1151" t="s">
        <v>5055</v>
      </c>
      <c r="FR3" s="1141"/>
      <c r="FS3" s="1152"/>
      <c r="FV3" s="1115"/>
      <c r="FW3" s="2199" t="s">
        <v>5056</v>
      </c>
      <c r="FX3" s="2200"/>
      <c r="FY3" s="2199" t="s">
        <v>5057</v>
      </c>
      <c r="FZ3" s="2200"/>
      <c r="GA3" s="2199" t="s">
        <v>5056</v>
      </c>
      <c r="GB3" s="2200"/>
      <c r="GC3" s="2199" t="s">
        <v>5057</v>
      </c>
      <c r="GD3" s="2200"/>
      <c r="GE3" s="1153" t="s">
        <v>5056</v>
      </c>
      <c r="GF3" s="1154"/>
      <c r="GG3" s="2199" t="s">
        <v>5057</v>
      </c>
      <c r="GH3" s="2203"/>
      <c r="GI3" s="1157"/>
      <c r="GJ3" s="1157"/>
      <c r="GL3" s="1158" t="s">
        <v>5053</v>
      </c>
      <c r="GM3" s="1159" t="s">
        <v>5054</v>
      </c>
      <c r="GN3" s="1160" t="s">
        <v>5055</v>
      </c>
      <c r="GO3" s="1159" t="s">
        <v>5054</v>
      </c>
      <c r="GP3" s="1160" t="s">
        <v>5055</v>
      </c>
      <c r="GQ3" s="1159" t="s">
        <v>5054</v>
      </c>
      <c r="GR3" s="1160" t="s">
        <v>5055</v>
      </c>
      <c r="GS3" s="1161"/>
      <c r="GT3" s="1162"/>
      <c r="GU3" s="1163"/>
      <c r="GV3" s="1164"/>
      <c r="GW3" s="2187" t="s">
        <v>5058</v>
      </c>
      <c r="GX3" s="2209"/>
      <c r="GY3" s="2190" t="s">
        <v>5059</v>
      </c>
      <c r="GZ3" s="2210"/>
      <c r="HA3" s="2187" t="s">
        <v>5058</v>
      </c>
      <c r="HB3" s="2188"/>
      <c r="HC3" s="2189" t="s">
        <v>5059</v>
      </c>
      <c r="HD3" s="2190"/>
      <c r="HE3" s="1165"/>
      <c r="HF3" s="1165"/>
      <c r="HH3" s="1147" t="s">
        <v>5053</v>
      </c>
      <c r="HI3" s="1139" t="s">
        <v>5054</v>
      </c>
      <c r="HJ3" s="1149" t="s">
        <v>5055</v>
      </c>
      <c r="HK3" s="1139" t="s">
        <v>5054</v>
      </c>
      <c r="HL3" s="1149" t="s">
        <v>5055</v>
      </c>
      <c r="HM3" s="1139" t="s">
        <v>5054</v>
      </c>
      <c r="HN3" s="1151" t="s">
        <v>5055</v>
      </c>
      <c r="HO3" s="1166"/>
      <c r="HP3" s="1167"/>
    </row>
    <row r="4" spans="1:224" ht="15" customHeight="1">
      <c r="A4" s="398" t="s">
        <v>5060</v>
      </c>
      <c r="B4" s="385">
        <v>37</v>
      </c>
      <c r="C4" s="385">
        <v>37</v>
      </c>
      <c r="D4" s="385">
        <v>34</v>
      </c>
      <c r="E4" s="385">
        <v>34</v>
      </c>
      <c r="F4" s="385">
        <v>34</v>
      </c>
      <c r="G4" s="385">
        <v>34</v>
      </c>
      <c r="K4" s="386" t="s">
        <v>5061</v>
      </c>
      <c r="L4" s="382">
        <v>336</v>
      </c>
      <c r="M4" s="382">
        <v>289</v>
      </c>
      <c r="N4" s="382">
        <v>206</v>
      </c>
      <c r="O4" s="382">
        <v>115</v>
      </c>
      <c r="P4" s="382">
        <v>129</v>
      </c>
      <c r="Q4" s="382"/>
      <c r="T4" s="398" t="s">
        <v>5062</v>
      </c>
      <c r="U4" s="382">
        <v>2730</v>
      </c>
      <c r="V4" s="382">
        <v>219</v>
      </c>
      <c r="W4" s="382">
        <v>238</v>
      </c>
      <c r="X4" s="382">
        <v>154</v>
      </c>
      <c r="Y4" s="382">
        <v>264</v>
      </c>
      <c r="Z4" s="382"/>
      <c r="AA4" s="382"/>
      <c r="AB4" s="386" t="s">
        <v>5063</v>
      </c>
      <c r="AC4" s="463">
        <v>77</v>
      </c>
      <c r="AD4" s="463">
        <v>314</v>
      </c>
      <c r="AE4" s="463">
        <v>362</v>
      </c>
      <c r="AF4" s="463">
        <v>201</v>
      </c>
      <c r="AG4" s="463">
        <v>456</v>
      </c>
      <c r="AJ4" s="515"/>
      <c r="AK4" s="1168" t="s">
        <v>5064</v>
      </c>
      <c r="AL4" s="864" t="s">
        <v>1627</v>
      </c>
      <c r="AM4" s="1169">
        <v>14</v>
      </c>
      <c r="AN4" s="1170">
        <v>14.903658493311097</v>
      </c>
      <c r="AO4" s="1171">
        <v>15.580476418978561</v>
      </c>
      <c r="AP4" s="1171">
        <v>19.098260485192021</v>
      </c>
      <c r="AQ4" s="1171">
        <v>18.180304372907361</v>
      </c>
      <c r="AR4" s="1169"/>
      <c r="AS4" s="1169"/>
      <c r="AU4" s="1172"/>
      <c r="AV4" s="1087" t="s">
        <v>5065</v>
      </c>
      <c r="AW4" s="1125">
        <v>145</v>
      </c>
      <c r="AX4" s="1125">
        <v>155</v>
      </c>
      <c r="AY4" s="1125">
        <v>135</v>
      </c>
      <c r="AZ4" s="1125">
        <v>46</v>
      </c>
      <c r="BA4" s="1125">
        <v>33</v>
      </c>
      <c r="BB4" s="1125"/>
      <c r="BC4" s="1125"/>
      <c r="BD4" s="1173" t="s">
        <v>5066</v>
      </c>
      <c r="BE4" s="1174">
        <v>1</v>
      </c>
      <c r="BF4" s="1174">
        <v>0</v>
      </c>
      <c r="BG4" s="1174">
        <v>1</v>
      </c>
      <c r="BH4" s="1174">
        <v>0</v>
      </c>
      <c r="BI4" s="1174">
        <v>0</v>
      </c>
      <c r="BJ4" s="1174"/>
      <c r="BK4" s="1175"/>
      <c r="BL4" s="1176" t="s">
        <v>1705</v>
      </c>
      <c r="BM4" s="1177">
        <v>72</v>
      </c>
      <c r="BN4" s="1177">
        <v>93</v>
      </c>
      <c r="BO4" s="1177">
        <v>77</v>
      </c>
      <c r="BP4" s="1177">
        <v>89</v>
      </c>
      <c r="BQ4" s="1177">
        <v>130</v>
      </c>
      <c r="BR4" s="1178"/>
      <c r="BS4" s="1172"/>
      <c r="BT4" s="382"/>
      <c r="BU4" s="382" t="s">
        <v>5067</v>
      </c>
      <c r="BV4" s="463">
        <v>1165</v>
      </c>
      <c r="BW4" s="799">
        <f>SUM(BW5:BW16)</f>
        <v>100.00407725321887</v>
      </c>
      <c r="BX4" s="771"/>
      <c r="BY4" s="771"/>
      <c r="BZ4" s="799"/>
      <c r="CB4" s="386" t="s">
        <v>5068</v>
      </c>
      <c r="CC4" s="1179">
        <v>0</v>
      </c>
      <c r="CD4" s="1180">
        <v>0</v>
      </c>
      <c r="CE4" s="1180">
        <v>0</v>
      </c>
      <c r="CF4" s="1180">
        <v>0</v>
      </c>
      <c r="CG4" s="1180">
        <v>0</v>
      </c>
      <c r="CH4" s="1180"/>
      <c r="CJ4" s="382" t="s">
        <v>5069</v>
      </c>
      <c r="CK4" s="393"/>
      <c r="CL4" s="1181"/>
      <c r="CM4" s="1181"/>
      <c r="CN4" s="1181"/>
      <c r="CO4" s="1181"/>
      <c r="CP4" s="1181"/>
      <c r="CQ4" s="1181"/>
      <c r="CR4" s="1181"/>
      <c r="CS4" s="1181"/>
      <c r="CU4" s="382" t="s">
        <v>5069</v>
      </c>
      <c r="CV4" s="393">
        <f t="shared" ref="CV4:CV6" si="0">SUM(CW4:DD4)</f>
        <v>2</v>
      </c>
      <c r="CW4" s="1181">
        <v>2</v>
      </c>
      <c r="CX4" s="1181">
        <v>0</v>
      </c>
      <c r="CY4" s="1181">
        <v>0</v>
      </c>
      <c r="CZ4" s="1181">
        <v>0</v>
      </c>
      <c r="DA4" s="1181">
        <v>0</v>
      </c>
      <c r="DB4" s="1181">
        <v>0</v>
      </c>
      <c r="DC4" s="1181">
        <v>0</v>
      </c>
      <c r="DD4" s="1181">
        <v>0</v>
      </c>
      <c r="DG4" s="382" t="s">
        <v>5069</v>
      </c>
      <c r="DH4" s="393">
        <f>SUM(DI4:DP4)</f>
        <v>3</v>
      </c>
      <c r="DI4" s="1181">
        <v>1</v>
      </c>
      <c r="DJ4" s="1181">
        <v>0</v>
      </c>
      <c r="DK4" s="1181">
        <v>2</v>
      </c>
      <c r="DL4" s="1181">
        <v>0</v>
      </c>
      <c r="DM4" s="1181">
        <v>0</v>
      </c>
      <c r="DN4" s="1181">
        <v>0</v>
      </c>
      <c r="DO4" s="1181">
        <v>0</v>
      </c>
      <c r="DP4" s="1181">
        <v>0</v>
      </c>
      <c r="DQ4" s="409"/>
      <c r="DS4" s="398" t="s">
        <v>5051</v>
      </c>
      <c r="DT4" s="402"/>
      <c r="DU4" s="402"/>
      <c r="DV4" s="402"/>
      <c r="DW4" s="402"/>
      <c r="DX4" s="402"/>
      <c r="DY4" s="402"/>
      <c r="DZ4" s="402"/>
      <c r="EA4" s="402"/>
      <c r="EE4" s="1182" t="s">
        <v>129</v>
      </c>
      <c r="EF4" s="1183">
        <v>9</v>
      </c>
      <c r="EG4" s="1184" t="s">
        <v>5070</v>
      </c>
      <c r="EH4" s="1185">
        <v>7.4</v>
      </c>
      <c r="EI4" s="1185" t="s">
        <v>5071</v>
      </c>
      <c r="EJ4" s="1185">
        <v>7.8</v>
      </c>
      <c r="EK4" s="1185" t="s">
        <v>5072</v>
      </c>
      <c r="EL4" s="1185">
        <v>8.3000000000000007</v>
      </c>
      <c r="EM4" s="1185" t="s">
        <v>5073</v>
      </c>
      <c r="EN4" s="1185">
        <v>8.1</v>
      </c>
      <c r="EO4" s="1185" t="s">
        <v>5074</v>
      </c>
      <c r="EP4" s="1186"/>
      <c r="ER4" s="1187" t="s">
        <v>129</v>
      </c>
      <c r="ES4" s="1101">
        <v>2.4</v>
      </c>
      <c r="ET4" s="1101" t="s">
        <v>5075</v>
      </c>
      <c r="EU4" s="1101">
        <v>3.4</v>
      </c>
      <c r="EV4" s="1101" t="s">
        <v>5076</v>
      </c>
      <c r="EW4" s="1188">
        <v>3.6</v>
      </c>
      <c r="EX4" s="1188" t="s">
        <v>5077</v>
      </c>
      <c r="EY4" s="1188">
        <v>2.4</v>
      </c>
      <c r="EZ4" s="1188" t="s">
        <v>5078</v>
      </c>
      <c r="FA4" s="1187">
        <v>2.9</v>
      </c>
      <c r="FB4" s="1187" t="s">
        <v>5079</v>
      </c>
      <c r="FC4" s="1189"/>
      <c r="FD4" s="1189"/>
      <c r="FE4" s="1189"/>
      <c r="FF4" s="1189"/>
      <c r="FG4" s="1182" t="s">
        <v>129</v>
      </c>
      <c r="FH4" s="1185">
        <v>3.2</v>
      </c>
      <c r="FI4" s="1185" t="s">
        <v>5080</v>
      </c>
      <c r="FJ4" s="1185">
        <v>4.5</v>
      </c>
      <c r="FK4" s="1185" t="s">
        <v>5081</v>
      </c>
      <c r="FL4" s="1185">
        <v>4.9000000000000004</v>
      </c>
      <c r="FM4" s="1185" t="s">
        <v>5082</v>
      </c>
      <c r="FN4" s="1185">
        <v>3.2</v>
      </c>
      <c r="FO4" s="1185" t="s">
        <v>5083</v>
      </c>
      <c r="FP4" s="1185">
        <v>4.0999999999999996</v>
      </c>
      <c r="FQ4" s="1185" t="s">
        <v>5084</v>
      </c>
      <c r="FR4" s="1186"/>
      <c r="FS4" s="1186"/>
      <c r="FV4" s="1190" t="s">
        <v>5085</v>
      </c>
      <c r="FW4" s="1191" t="s">
        <v>5054</v>
      </c>
      <c r="FX4" s="1156" t="s">
        <v>5055</v>
      </c>
      <c r="FY4" s="1191" t="s">
        <v>5054</v>
      </c>
      <c r="FZ4" s="1155" t="s">
        <v>5055</v>
      </c>
      <c r="GA4" s="1191" t="s">
        <v>5054</v>
      </c>
      <c r="GB4" s="1156" t="s">
        <v>5055</v>
      </c>
      <c r="GC4" s="1191" t="s">
        <v>5054</v>
      </c>
      <c r="GD4" s="1155" t="s">
        <v>5055</v>
      </c>
      <c r="GE4" s="1191" t="s">
        <v>5054</v>
      </c>
      <c r="GF4" s="1156" t="s">
        <v>5055</v>
      </c>
      <c r="GG4" s="1191" t="s">
        <v>5054</v>
      </c>
      <c r="GH4" s="1156" t="s">
        <v>5055</v>
      </c>
      <c r="GI4" s="1157"/>
      <c r="GJ4" s="1157"/>
      <c r="GL4" s="1192" t="s">
        <v>129</v>
      </c>
      <c r="GM4" s="1117">
        <v>23.4</v>
      </c>
      <c r="GN4" s="1117" t="s">
        <v>5086</v>
      </c>
      <c r="GO4" s="1193">
        <v>21.9</v>
      </c>
      <c r="GP4" s="1117" t="s">
        <v>5087</v>
      </c>
      <c r="GQ4" s="1117">
        <v>26.4</v>
      </c>
      <c r="GR4" s="1117" t="s">
        <v>5088</v>
      </c>
      <c r="GS4" s="1161"/>
      <c r="GT4" s="1161"/>
      <c r="GU4" s="1194"/>
      <c r="GV4" s="1195" t="s">
        <v>5085</v>
      </c>
      <c r="GW4" s="1196" t="s">
        <v>5054</v>
      </c>
      <c r="GX4" s="1197" t="s">
        <v>5055</v>
      </c>
      <c r="GY4" s="1196" t="s">
        <v>5054</v>
      </c>
      <c r="GZ4" s="1197" t="s">
        <v>5055</v>
      </c>
      <c r="HA4" s="1196" t="s">
        <v>5054</v>
      </c>
      <c r="HB4" s="1197" t="s">
        <v>5055</v>
      </c>
      <c r="HC4" s="1196" t="s">
        <v>5054</v>
      </c>
      <c r="HD4" s="1197" t="s">
        <v>5055</v>
      </c>
      <c r="HE4" s="1198"/>
      <c r="HF4" s="1198"/>
      <c r="HH4" s="1182" t="s">
        <v>129</v>
      </c>
      <c r="HI4" s="1185">
        <v>18</v>
      </c>
      <c r="HJ4" s="1185" t="s">
        <v>5089</v>
      </c>
      <c r="HK4" s="1185">
        <v>17.899999999999999</v>
      </c>
      <c r="HL4" s="1185" t="s">
        <v>5090</v>
      </c>
      <c r="HM4" s="1185">
        <v>22.7</v>
      </c>
      <c r="HN4" s="1185" t="s">
        <v>5091</v>
      </c>
      <c r="HO4" s="1199"/>
      <c r="HP4" s="1199"/>
    </row>
    <row r="5" spans="1:224" ht="15" customHeight="1">
      <c r="A5" s="384" t="s">
        <v>5092</v>
      </c>
      <c r="B5" s="824">
        <v>92</v>
      </c>
      <c r="C5" s="824">
        <v>92</v>
      </c>
      <c r="D5" s="824">
        <v>92</v>
      </c>
      <c r="E5" s="824">
        <v>92</v>
      </c>
      <c r="F5" s="824">
        <v>92</v>
      </c>
      <c r="G5" s="824">
        <v>92</v>
      </c>
      <c r="H5" s="385"/>
      <c r="K5" s="386" t="s">
        <v>5093</v>
      </c>
      <c r="L5" s="382">
        <v>161</v>
      </c>
      <c r="M5" s="382">
        <v>161</v>
      </c>
      <c r="N5" s="382">
        <v>161</v>
      </c>
      <c r="O5" s="382">
        <v>161</v>
      </c>
      <c r="P5" s="382">
        <v>161</v>
      </c>
      <c r="Q5" s="382"/>
      <c r="T5" s="398" t="s">
        <v>5094</v>
      </c>
      <c r="U5" s="382">
        <v>1361</v>
      </c>
      <c r="V5" s="382">
        <v>137</v>
      </c>
      <c r="W5" s="382">
        <v>127</v>
      </c>
      <c r="X5" s="382">
        <v>111</v>
      </c>
      <c r="Y5" s="382">
        <v>133</v>
      </c>
      <c r="Z5" s="382"/>
      <c r="AA5" s="382"/>
      <c r="AB5" s="386" t="s">
        <v>5095</v>
      </c>
      <c r="AC5" s="463">
        <v>676</v>
      </c>
      <c r="AD5" s="463">
        <v>618</v>
      </c>
      <c r="AE5" s="463">
        <v>651</v>
      </c>
      <c r="AF5" s="463">
        <v>410</v>
      </c>
      <c r="AG5" s="463">
        <v>68</v>
      </c>
      <c r="AH5" s="463"/>
      <c r="AJ5" s="515"/>
      <c r="AK5" s="1120" t="s">
        <v>5096</v>
      </c>
      <c r="AL5" s="1121">
        <v>1165</v>
      </c>
      <c r="AM5" s="1121">
        <v>1193</v>
      </c>
      <c r="AN5" s="1121">
        <v>1247</v>
      </c>
      <c r="AO5" s="1123">
        <v>1281</v>
      </c>
      <c r="AP5" s="1123">
        <v>1193</v>
      </c>
      <c r="AQ5" s="1123">
        <v>1035</v>
      </c>
      <c r="AR5" s="1200"/>
      <c r="AS5" s="1200"/>
      <c r="AU5" s="1124"/>
      <c r="AV5" s="1086" t="s">
        <v>5097</v>
      </c>
      <c r="AW5" s="1201" t="s">
        <v>1627</v>
      </c>
      <c r="AX5" s="1201" t="s">
        <v>1627</v>
      </c>
      <c r="AY5" s="1202">
        <v>10.210000000000001</v>
      </c>
      <c r="AZ5" s="1201" t="s">
        <v>1627</v>
      </c>
      <c r="BA5" s="1203">
        <v>19.100000000000001</v>
      </c>
      <c r="BB5" s="1204"/>
      <c r="BC5" s="1204"/>
      <c r="BD5" s="1173">
        <v>13</v>
      </c>
      <c r="BE5" s="1174">
        <v>0</v>
      </c>
      <c r="BF5" s="1174">
        <v>1</v>
      </c>
      <c r="BG5" s="1174">
        <v>1</v>
      </c>
      <c r="BH5" s="1174">
        <v>1</v>
      </c>
      <c r="BI5" s="1174">
        <v>1</v>
      </c>
      <c r="BJ5" s="1174"/>
      <c r="BK5" s="1175"/>
      <c r="BL5" s="1176" t="s">
        <v>1696</v>
      </c>
      <c r="BM5" s="1177">
        <v>6</v>
      </c>
      <c r="BN5" s="1177">
        <v>7</v>
      </c>
      <c r="BO5" s="1177">
        <v>7</v>
      </c>
      <c r="BP5" s="1177">
        <v>6</v>
      </c>
      <c r="BQ5" s="1177">
        <v>12</v>
      </c>
      <c r="BR5" s="1178"/>
      <c r="BS5" s="1124"/>
      <c r="BT5" s="1090">
        <v>1</v>
      </c>
      <c r="BU5" s="585" t="s">
        <v>5098</v>
      </c>
      <c r="BV5" s="585">
        <v>349</v>
      </c>
      <c r="BW5" s="886">
        <v>29.95708154506438</v>
      </c>
      <c r="BX5" s="771"/>
      <c r="BY5" s="771"/>
      <c r="BZ5" s="799"/>
      <c r="CB5" s="382" t="s">
        <v>5099</v>
      </c>
      <c r="CC5" s="1179">
        <v>0</v>
      </c>
      <c r="CD5" s="1180">
        <v>0</v>
      </c>
      <c r="CE5" s="1180">
        <v>0</v>
      </c>
      <c r="CF5" s="1180">
        <v>0</v>
      </c>
      <c r="CG5" s="1180">
        <v>0</v>
      </c>
      <c r="CH5" s="1180"/>
      <c r="CJ5" s="382" t="s">
        <v>5100</v>
      </c>
      <c r="CK5" s="393"/>
      <c r="CL5" s="1181"/>
      <c r="CM5" s="1181"/>
      <c r="CN5" s="1181"/>
      <c r="CO5" s="1181"/>
      <c r="CP5" s="1181"/>
      <c r="CQ5" s="1181"/>
      <c r="CR5" s="1181"/>
      <c r="CS5" s="1181"/>
      <c r="CU5" s="382" t="s">
        <v>5100</v>
      </c>
      <c r="CV5" s="393">
        <f t="shared" si="0"/>
        <v>8</v>
      </c>
      <c r="CW5" s="1181">
        <v>3</v>
      </c>
      <c r="CX5" s="1181">
        <v>0</v>
      </c>
      <c r="CY5" s="1181">
        <v>1</v>
      </c>
      <c r="CZ5" s="1181">
        <v>0</v>
      </c>
      <c r="DA5" s="1181">
        <v>0</v>
      </c>
      <c r="DB5" s="1181">
        <v>2</v>
      </c>
      <c r="DC5" s="1181">
        <v>0</v>
      </c>
      <c r="DD5" s="1181">
        <v>2</v>
      </c>
      <c r="DG5" s="382" t="s">
        <v>5100</v>
      </c>
      <c r="DH5" s="393">
        <f t="shared" ref="DH5:DH28" si="1">SUM(DI5:DP5)</f>
        <v>4</v>
      </c>
      <c r="DI5" s="1181">
        <v>1</v>
      </c>
      <c r="DJ5" s="1181">
        <v>0</v>
      </c>
      <c r="DK5" s="1181">
        <v>1</v>
      </c>
      <c r="DL5" s="1181">
        <v>0</v>
      </c>
      <c r="DM5" s="1181">
        <v>0</v>
      </c>
      <c r="DN5" s="1181">
        <v>1</v>
      </c>
      <c r="DO5" s="1181">
        <v>1</v>
      </c>
      <c r="DP5" s="1181">
        <v>0</v>
      </c>
      <c r="DQ5" s="409"/>
      <c r="DS5" s="386" t="s">
        <v>5068</v>
      </c>
      <c r="DT5" s="1179">
        <v>0</v>
      </c>
      <c r="DU5" s="1180">
        <v>0</v>
      </c>
      <c r="DV5" s="1180">
        <v>0</v>
      </c>
      <c r="DW5" s="1180">
        <v>0</v>
      </c>
      <c r="DX5" s="1180">
        <v>0</v>
      </c>
      <c r="DY5" s="1180">
        <v>0</v>
      </c>
      <c r="DZ5" s="1180">
        <v>0</v>
      </c>
      <c r="EA5" s="1180">
        <v>0</v>
      </c>
      <c r="EE5" s="1182" t="s">
        <v>2449</v>
      </c>
      <c r="EF5" s="1185"/>
      <c r="EG5" s="1184"/>
      <c r="EH5" s="1185"/>
      <c r="EI5" s="1185"/>
      <c r="EJ5" s="1185"/>
      <c r="EK5" s="1185"/>
      <c r="EL5" s="1185"/>
      <c r="EM5" s="1185"/>
      <c r="EN5" s="1184"/>
      <c r="EO5" s="1185"/>
      <c r="EP5" s="1205"/>
      <c r="ER5" s="1187" t="s">
        <v>2449</v>
      </c>
      <c r="ES5" s="1101"/>
      <c r="ET5" s="1101"/>
      <c r="EU5" s="1101"/>
      <c r="EV5" s="1101"/>
      <c r="EW5" s="1187"/>
      <c r="EX5" s="1187"/>
      <c r="EY5" s="1187"/>
      <c r="EZ5" s="1187"/>
      <c r="FA5" s="1187"/>
      <c r="FB5" s="1187"/>
      <c r="FC5" s="1115"/>
      <c r="FD5" s="1115"/>
      <c r="FE5" s="1115"/>
      <c r="FF5" s="1115"/>
      <c r="FG5" s="1182" t="s">
        <v>2449</v>
      </c>
      <c r="FH5" s="1185"/>
      <c r="FI5" s="1185"/>
      <c r="FJ5" s="1185"/>
      <c r="FK5" s="1185"/>
      <c r="FL5" s="1185"/>
      <c r="FM5" s="1185"/>
      <c r="FN5" s="1185"/>
      <c r="FO5" s="1185"/>
      <c r="FP5" s="1185"/>
      <c r="FQ5" s="1185"/>
      <c r="FR5" s="1205"/>
      <c r="FS5" s="1205"/>
      <c r="FV5" s="1206" t="s">
        <v>129</v>
      </c>
      <c r="FW5" s="1115">
        <v>11.7</v>
      </c>
      <c r="FX5" s="1115" t="s">
        <v>5101</v>
      </c>
      <c r="FY5" s="1115">
        <v>1.1000000000000001</v>
      </c>
      <c r="FZ5" s="1115" t="s">
        <v>5102</v>
      </c>
      <c r="GA5" s="1115">
        <v>13.7</v>
      </c>
      <c r="GB5" s="1115" t="s">
        <v>5103</v>
      </c>
      <c r="GC5" s="1115">
        <v>1.8</v>
      </c>
      <c r="GD5" s="1115" t="s">
        <v>5104</v>
      </c>
      <c r="GE5" s="402">
        <v>13.9</v>
      </c>
      <c r="GF5" s="402" t="s">
        <v>5105</v>
      </c>
      <c r="GG5" s="402">
        <v>1.6</v>
      </c>
      <c r="GH5" s="402" t="s">
        <v>5106</v>
      </c>
      <c r="GI5" s="1207"/>
      <c r="GJ5" s="1207"/>
      <c r="GL5" s="1192" t="s">
        <v>2449</v>
      </c>
      <c r="GM5" s="1117"/>
      <c r="GN5" s="1117"/>
      <c r="GO5" s="1193"/>
      <c r="GP5" s="1117"/>
      <c r="GQ5" s="1117"/>
      <c r="GR5" s="1117"/>
      <c r="GS5" s="1208"/>
      <c r="GT5" s="1208"/>
      <c r="GU5" s="1209"/>
      <c r="GV5" s="1192" t="s">
        <v>129</v>
      </c>
      <c r="GW5" s="1117">
        <v>34.1</v>
      </c>
      <c r="GX5" s="1117" t="s">
        <v>5107</v>
      </c>
      <c r="GY5" s="1117">
        <v>33.6</v>
      </c>
      <c r="GZ5" s="1117" t="s">
        <v>5108</v>
      </c>
      <c r="HA5" s="1117">
        <v>32.4</v>
      </c>
      <c r="HB5" s="1117" t="s">
        <v>5109</v>
      </c>
      <c r="HC5" s="1117">
        <v>29.8</v>
      </c>
      <c r="HD5" s="1117" t="s">
        <v>5110</v>
      </c>
      <c r="HE5" s="1210"/>
      <c r="HF5" s="1199"/>
      <c r="HH5" s="1182" t="s">
        <v>2449</v>
      </c>
      <c r="HI5" s="1185"/>
      <c r="HJ5" s="1185"/>
      <c r="HK5" s="1185"/>
      <c r="HL5" s="1185"/>
      <c r="HM5" s="1185"/>
      <c r="HN5" s="1185"/>
      <c r="HO5" s="1199"/>
      <c r="HP5" s="1199"/>
    </row>
    <row r="6" spans="1:224" ht="15" customHeight="1">
      <c r="A6" s="398" t="s">
        <v>5111</v>
      </c>
      <c r="I6" s="385"/>
      <c r="J6" s="385" t="s">
        <v>5112</v>
      </c>
      <c r="K6" s="386" t="s">
        <v>5113</v>
      </c>
      <c r="L6" s="382">
        <v>233</v>
      </c>
      <c r="M6" s="382">
        <v>205</v>
      </c>
      <c r="N6" s="382">
        <v>184</v>
      </c>
      <c r="O6" s="382">
        <v>196</v>
      </c>
      <c r="P6" s="382">
        <v>147</v>
      </c>
      <c r="Q6" s="382"/>
      <c r="T6" s="398" t="s">
        <v>5114</v>
      </c>
      <c r="U6" s="382">
        <v>6759</v>
      </c>
      <c r="V6" s="382">
        <v>308</v>
      </c>
      <c r="W6" s="382">
        <v>283</v>
      </c>
      <c r="X6" s="382">
        <v>124</v>
      </c>
      <c r="Y6" s="382">
        <v>110</v>
      </c>
      <c r="Z6" s="382"/>
      <c r="AA6" s="382"/>
      <c r="AB6" s="386" t="s">
        <v>5115</v>
      </c>
      <c r="AC6" s="463">
        <v>167</v>
      </c>
      <c r="AD6" s="463">
        <v>1394</v>
      </c>
      <c r="AE6" s="463">
        <v>1663</v>
      </c>
      <c r="AF6" s="463">
        <v>1415</v>
      </c>
      <c r="AG6" s="463">
        <v>1163</v>
      </c>
      <c r="AH6" s="463"/>
      <c r="AJ6" s="515"/>
      <c r="AK6" s="1168" t="s">
        <v>5116</v>
      </c>
      <c r="AL6" s="864" t="s">
        <v>1627</v>
      </c>
      <c r="AM6" s="1169">
        <v>7</v>
      </c>
      <c r="AN6" s="1170">
        <v>7.374945294110689</v>
      </c>
      <c r="AO6" s="1171">
        <v>7.588817601791459</v>
      </c>
      <c r="AP6" s="1171">
        <v>7.7550118307808313</v>
      </c>
      <c r="AQ6" s="1171">
        <v>6.1552551606016097</v>
      </c>
      <c r="AR6" s="1169"/>
      <c r="AS6" s="1169"/>
      <c r="AU6" s="1124"/>
      <c r="AV6" s="1087" t="s">
        <v>5117</v>
      </c>
      <c r="AW6" s="1087"/>
      <c r="AX6" s="1087"/>
      <c r="AY6" s="1087"/>
      <c r="AZ6" s="1087"/>
      <c r="BA6" s="1087"/>
      <c r="BB6" s="1087"/>
      <c r="BC6" s="1087"/>
      <c r="BD6" s="1173">
        <v>14</v>
      </c>
      <c r="BE6" s="1174">
        <v>2</v>
      </c>
      <c r="BF6" s="1174">
        <v>1</v>
      </c>
      <c r="BG6" s="1174">
        <v>2</v>
      </c>
      <c r="BH6" s="1174">
        <v>1</v>
      </c>
      <c r="BI6" s="1174">
        <v>3</v>
      </c>
      <c r="BJ6" s="1174"/>
      <c r="BK6" s="1175"/>
      <c r="BL6" s="1176" t="s">
        <v>2648</v>
      </c>
      <c r="BM6" s="1177">
        <v>5</v>
      </c>
      <c r="BN6" s="1177">
        <v>3</v>
      </c>
      <c r="BO6" s="1177">
        <v>3</v>
      </c>
      <c r="BP6" s="1177">
        <v>3</v>
      </c>
      <c r="BQ6" s="1177">
        <v>5</v>
      </c>
      <c r="BR6" s="1178"/>
      <c r="BS6" s="1124"/>
      <c r="BT6" s="1090">
        <v>2</v>
      </c>
      <c r="BU6" s="585" t="s">
        <v>5118</v>
      </c>
      <c r="BV6" s="585">
        <v>197</v>
      </c>
      <c r="BW6" s="886">
        <v>16.909871244635195</v>
      </c>
      <c r="BX6" s="771"/>
      <c r="BY6" s="771"/>
      <c r="BZ6" s="799"/>
      <c r="CB6" s="1211" t="s">
        <v>5119</v>
      </c>
      <c r="CC6" s="1179">
        <v>0</v>
      </c>
      <c r="CD6" s="1180">
        <v>0</v>
      </c>
      <c r="CE6" s="1180">
        <v>0</v>
      </c>
      <c r="CF6" s="1180">
        <v>0</v>
      </c>
      <c r="CG6" s="1180">
        <v>0</v>
      </c>
      <c r="CH6" s="1180"/>
      <c r="CJ6" s="382" t="s">
        <v>5120</v>
      </c>
      <c r="CK6" s="393"/>
      <c r="CL6" s="1181"/>
      <c r="CM6" s="1181"/>
      <c r="CN6" s="1181"/>
      <c r="CO6" s="1181"/>
      <c r="CP6" s="1181"/>
      <c r="CQ6" s="1181"/>
      <c r="CR6" s="1181"/>
      <c r="CS6" s="1181"/>
      <c r="CU6" s="382" t="s">
        <v>5120</v>
      </c>
      <c r="CV6" s="393">
        <f t="shared" si="0"/>
        <v>19</v>
      </c>
      <c r="CW6" s="1181">
        <v>4</v>
      </c>
      <c r="CX6" s="1181">
        <v>0</v>
      </c>
      <c r="CY6" s="1181">
        <v>0</v>
      </c>
      <c r="CZ6" s="1181">
        <v>10</v>
      </c>
      <c r="DA6" s="1181">
        <v>0</v>
      </c>
      <c r="DB6" s="1181">
        <v>1</v>
      </c>
      <c r="DC6" s="1181">
        <v>0</v>
      </c>
      <c r="DD6" s="1181">
        <v>4</v>
      </c>
      <c r="DG6" s="382" t="s">
        <v>5120</v>
      </c>
      <c r="DH6" s="393">
        <f t="shared" si="1"/>
        <v>29</v>
      </c>
      <c r="DI6" s="1181">
        <v>5</v>
      </c>
      <c r="DJ6" s="1181">
        <v>2</v>
      </c>
      <c r="DK6" s="1181">
        <v>0</v>
      </c>
      <c r="DL6" s="1181">
        <v>12</v>
      </c>
      <c r="DM6" s="1181">
        <v>0</v>
      </c>
      <c r="DN6" s="1181">
        <v>0</v>
      </c>
      <c r="DO6" s="1181">
        <v>9</v>
      </c>
      <c r="DP6" s="1181">
        <v>1</v>
      </c>
      <c r="DQ6" s="409"/>
      <c r="DS6" s="382" t="s">
        <v>5099</v>
      </c>
      <c r="DT6" s="1179">
        <v>0</v>
      </c>
      <c r="DU6" s="1180">
        <v>0</v>
      </c>
      <c r="DV6" s="1180">
        <v>0</v>
      </c>
      <c r="DW6" s="1180">
        <v>0</v>
      </c>
      <c r="DX6" s="1180">
        <v>0</v>
      </c>
      <c r="DY6" s="1180">
        <v>0</v>
      </c>
      <c r="DZ6" s="1180">
        <v>0</v>
      </c>
      <c r="EA6" s="1180">
        <v>0</v>
      </c>
      <c r="EE6" s="1212" t="s">
        <v>3581</v>
      </c>
      <c r="EF6" s="1183">
        <v>8.6999999999999993</v>
      </c>
      <c r="EG6" s="1185" t="s">
        <v>5121</v>
      </c>
      <c r="EH6" s="1185">
        <v>5.4</v>
      </c>
      <c r="EI6" s="1185" t="s">
        <v>5122</v>
      </c>
      <c r="EJ6" s="1185">
        <v>5.2</v>
      </c>
      <c r="EK6" s="1185" t="s">
        <v>5123</v>
      </c>
      <c r="EL6" s="1185">
        <v>2.8</v>
      </c>
      <c r="EM6" s="1185" t="s">
        <v>5124</v>
      </c>
      <c r="EN6" s="1185">
        <v>7.8</v>
      </c>
      <c r="EO6" s="1185" t="s">
        <v>5125</v>
      </c>
      <c r="EP6" s="1205"/>
      <c r="ER6" s="1213" t="s">
        <v>3581</v>
      </c>
      <c r="ES6" s="1115">
        <v>0.3</v>
      </c>
      <c r="ET6" s="1101" t="s">
        <v>5126</v>
      </c>
      <c r="EU6" s="1115">
        <v>0.6</v>
      </c>
      <c r="EV6" s="1101" t="s">
        <v>5127</v>
      </c>
      <c r="EW6" s="1188">
        <v>1.5</v>
      </c>
      <c r="EX6" s="1188" t="s">
        <v>5128</v>
      </c>
      <c r="EY6" s="1188">
        <v>1.2</v>
      </c>
      <c r="EZ6" s="1188" t="s">
        <v>5129</v>
      </c>
      <c r="FA6" s="1214" t="s">
        <v>1627</v>
      </c>
      <c r="FB6" s="1214" t="s">
        <v>1627</v>
      </c>
      <c r="FC6" s="1115"/>
      <c r="FD6" s="1115"/>
      <c r="FE6" s="1115"/>
      <c r="FF6" s="1115"/>
      <c r="FG6" s="1212" t="s">
        <v>3581</v>
      </c>
      <c r="FH6" s="1183">
        <v>1.4</v>
      </c>
      <c r="FI6" s="1185" t="s">
        <v>5130</v>
      </c>
      <c r="FJ6" s="1183">
        <v>1.2</v>
      </c>
      <c r="FK6" s="1185" t="s">
        <v>5129</v>
      </c>
      <c r="FL6" s="1185">
        <v>1.5</v>
      </c>
      <c r="FM6" s="1185" t="s">
        <v>5128</v>
      </c>
      <c r="FN6" s="1185" t="s">
        <v>5131</v>
      </c>
      <c r="FO6" s="1185" t="s">
        <v>5131</v>
      </c>
      <c r="FP6" s="1185">
        <v>0.8</v>
      </c>
      <c r="FQ6" s="1185" t="s">
        <v>5132</v>
      </c>
      <c r="FR6" s="1205"/>
      <c r="FS6" s="1205"/>
      <c r="FV6" s="1206" t="s">
        <v>2449</v>
      </c>
      <c r="FW6" s="1115"/>
      <c r="FX6" s="1115"/>
      <c r="FY6" s="1115"/>
      <c r="FZ6" s="1115"/>
      <c r="GA6" s="1115"/>
      <c r="GB6" s="1115"/>
      <c r="GC6" s="1115"/>
      <c r="GD6" s="1115"/>
      <c r="GE6" s="402"/>
      <c r="GF6" s="402"/>
      <c r="GG6" s="402"/>
      <c r="GH6" s="402"/>
      <c r="GI6" s="1115"/>
      <c r="GJ6" s="1115"/>
      <c r="GL6" s="1215" t="s">
        <v>3581</v>
      </c>
      <c r="GM6" s="1117">
        <v>10.1</v>
      </c>
      <c r="GN6" s="1117" t="s">
        <v>5133</v>
      </c>
      <c r="GO6" s="1193">
        <v>11.3</v>
      </c>
      <c r="GP6" s="1117" t="s">
        <v>5134</v>
      </c>
      <c r="GQ6" s="1209">
        <v>17.2</v>
      </c>
      <c r="GR6" s="1117" t="s">
        <v>5135</v>
      </c>
      <c r="GS6" s="1208"/>
      <c r="GT6" s="1208"/>
      <c r="GU6" s="1209"/>
      <c r="GV6" s="1192" t="s">
        <v>2449</v>
      </c>
      <c r="GW6" s="1117"/>
      <c r="GX6" s="1117"/>
      <c r="GY6" s="1192"/>
      <c r="GZ6" s="1192"/>
      <c r="HA6" s="1117"/>
      <c r="HB6" s="1117"/>
      <c r="HC6" s="1192"/>
      <c r="HD6" s="1192"/>
      <c r="HE6" s="1216"/>
      <c r="HF6" s="1217"/>
      <c r="HH6" s="1212" t="s">
        <v>3581</v>
      </c>
      <c r="HI6" s="1185">
        <v>19.3</v>
      </c>
      <c r="HJ6" s="1185" t="s">
        <v>5136</v>
      </c>
      <c r="HK6" s="1185">
        <v>21.5</v>
      </c>
      <c r="HL6" s="1185" t="s">
        <v>5137</v>
      </c>
      <c r="HM6" s="1185">
        <v>24.5</v>
      </c>
      <c r="HN6" s="1185" t="s">
        <v>5138</v>
      </c>
      <c r="HO6" s="1199"/>
      <c r="HP6" s="1199"/>
    </row>
    <row r="7" spans="1:224" ht="15" customHeight="1">
      <c r="A7" s="398" t="s">
        <v>5139</v>
      </c>
      <c r="K7" s="423" t="s">
        <v>5140</v>
      </c>
      <c r="L7" s="497">
        <v>16461</v>
      </c>
      <c r="M7" s="381">
        <v>376</v>
      </c>
      <c r="N7" s="381">
        <v>331</v>
      </c>
      <c r="O7" s="381">
        <v>255</v>
      </c>
      <c r="P7" s="381">
        <v>191</v>
      </c>
      <c r="Q7" s="382"/>
      <c r="T7" s="398" t="s">
        <v>5141</v>
      </c>
      <c r="U7" s="382">
        <v>78</v>
      </c>
      <c r="V7" s="382">
        <v>16</v>
      </c>
      <c r="W7" s="382">
        <v>16</v>
      </c>
      <c r="X7" s="382">
        <v>9</v>
      </c>
      <c r="Y7" s="382">
        <v>14</v>
      </c>
      <c r="Z7" s="382"/>
      <c r="AA7" s="382"/>
      <c r="AB7" s="386" t="s">
        <v>5142</v>
      </c>
      <c r="AC7" s="463">
        <v>755</v>
      </c>
      <c r="AD7" s="463">
        <v>5648</v>
      </c>
      <c r="AE7" s="463">
        <v>1965</v>
      </c>
      <c r="AF7" s="463">
        <v>697</v>
      </c>
      <c r="AG7" s="463">
        <v>521</v>
      </c>
      <c r="AH7" s="463"/>
      <c r="AJ7" s="515"/>
      <c r="AK7" s="1168" t="s">
        <v>5143</v>
      </c>
      <c r="AL7" s="864">
        <v>26</v>
      </c>
      <c r="AM7" s="864">
        <v>40</v>
      </c>
      <c r="AN7" s="1122">
        <v>27</v>
      </c>
      <c r="AO7" s="1218">
        <v>41</v>
      </c>
      <c r="AP7" s="1218">
        <v>25</v>
      </c>
      <c r="AQ7" s="1218">
        <v>30</v>
      </c>
      <c r="AR7" s="1200"/>
      <c r="AS7" s="1200"/>
      <c r="AU7" s="1124"/>
      <c r="AV7" s="1087" t="s">
        <v>5144</v>
      </c>
      <c r="AW7" s="1087"/>
      <c r="AX7" s="1087"/>
      <c r="AY7" s="1087"/>
      <c r="AZ7" s="1087"/>
      <c r="BA7" s="1087"/>
      <c r="BB7" s="1087"/>
      <c r="BC7" s="1087"/>
      <c r="BD7" s="1173">
        <v>15</v>
      </c>
      <c r="BE7" s="1174">
        <v>8</v>
      </c>
      <c r="BF7" s="1174">
        <v>5</v>
      </c>
      <c r="BG7" s="1174">
        <v>2</v>
      </c>
      <c r="BH7" s="1174">
        <v>4</v>
      </c>
      <c r="BI7" s="1174">
        <v>5</v>
      </c>
      <c r="BJ7" s="1174"/>
      <c r="BK7" s="1175"/>
      <c r="BL7" s="1176" t="s">
        <v>1693</v>
      </c>
      <c r="BM7" s="1177">
        <v>0</v>
      </c>
      <c r="BN7" s="1177">
        <v>7</v>
      </c>
      <c r="BO7" s="1177">
        <v>0</v>
      </c>
      <c r="BP7" s="1177">
        <v>0</v>
      </c>
      <c r="BQ7" s="1177">
        <v>0</v>
      </c>
      <c r="BR7" s="1178"/>
      <c r="BS7" s="1124"/>
      <c r="BT7" s="1090">
        <v>3</v>
      </c>
      <c r="BU7" s="1219" t="s">
        <v>5145</v>
      </c>
      <c r="BV7" s="585">
        <v>89</v>
      </c>
      <c r="BW7" s="886">
        <v>7.6394849785407724</v>
      </c>
      <c r="BX7" s="771"/>
      <c r="BY7" s="771"/>
      <c r="BZ7" s="799"/>
      <c r="CB7" s="1211" t="s">
        <v>5146</v>
      </c>
      <c r="CC7" s="1179">
        <v>0</v>
      </c>
      <c r="CD7" s="1180">
        <v>0</v>
      </c>
      <c r="CE7" s="1180">
        <v>0</v>
      </c>
      <c r="CF7" s="1180">
        <v>0</v>
      </c>
      <c r="CG7" s="1180">
        <v>0</v>
      </c>
      <c r="CH7" s="1180"/>
      <c r="CJ7" s="382" t="s">
        <v>5147</v>
      </c>
      <c r="CK7" s="393"/>
      <c r="CL7" s="1181"/>
      <c r="CM7" s="1181"/>
      <c r="CN7" s="1181"/>
      <c r="CO7" s="1181"/>
      <c r="CP7" s="1181"/>
      <c r="CQ7" s="1181"/>
      <c r="CR7" s="1181"/>
      <c r="CS7" s="1181"/>
      <c r="CU7" s="382" t="s">
        <v>5147</v>
      </c>
      <c r="CV7" s="393">
        <f>SUM(CW7:DD7)</f>
        <v>881</v>
      </c>
      <c r="CW7" s="1181">
        <v>195</v>
      </c>
      <c r="CX7" s="1181">
        <v>72</v>
      </c>
      <c r="CY7" s="1181">
        <v>75</v>
      </c>
      <c r="CZ7" s="1181">
        <v>147</v>
      </c>
      <c r="DA7" s="1181">
        <v>54</v>
      </c>
      <c r="DB7" s="1181">
        <v>22</v>
      </c>
      <c r="DC7" s="1181">
        <v>4</v>
      </c>
      <c r="DD7" s="1181">
        <v>312</v>
      </c>
      <c r="DG7" s="382" t="s">
        <v>5147</v>
      </c>
      <c r="DH7" s="393">
        <f t="shared" si="1"/>
        <v>979</v>
      </c>
      <c r="DI7" s="1181">
        <v>200</v>
      </c>
      <c r="DJ7" s="1181">
        <v>92</v>
      </c>
      <c r="DK7" s="1181">
        <v>64</v>
      </c>
      <c r="DL7" s="1181">
        <v>214</v>
      </c>
      <c r="DM7" s="1181">
        <v>59</v>
      </c>
      <c r="DN7" s="1181">
        <v>10</v>
      </c>
      <c r="DO7" s="1181">
        <v>72</v>
      </c>
      <c r="DP7" s="1181">
        <v>268</v>
      </c>
      <c r="DQ7" s="409"/>
      <c r="DS7" s="1211" t="s">
        <v>5119</v>
      </c>
      <c r="DT7" s="1179">
        <v>0</v>
      </c>
      <c r="DU7" s="1180">
        <v>0</v>
      </c>
      <c r="DV7" s="1180">
        <v>0</v>
      </c>
      <c r="DW7" s="1180">
        <v>0</v>
      </c>
      <c r="DX7" s="1180">
        <v>0</v>
      </c>
      <c r="DY7" s="1179">
        <v>0</v>
      </c>
      <c r="DZ7" s="1179">
        <v>0</v>
      </c>
      <c r="EA7" s="1179">
        <v>0</v>
      </c>
      <c r="EB7" s="385"/>
      <c r="EE7" s="1212" t="s">
        <v>3592</v>
      </c>
      <c r="EF7" s="1183">
        <v>11.4</v>
      </c>
      <c r="EG7" s="1185" t="s">
        <v>5148</v>
      </c>
      <c r="EH7" s="1185">
        <v>8.1</v>
      </c>
      <c r="EI7" s="1185" t="s">
        <v>5149</v>
      </c>
      <c r="EJ7" s="1185">
        <v>7.4</v>
      </c>
      <c r="EK7" s="1185" t="s">
        <v>5150</v>
      </c>
      <c r="EL7" s="1185">
        <v>6.9</v>
      </c>
      <c r="EM7" s="1185" t="s">
        <v>5151</v>
      </c>
      <c r="EN7" s="1185">
        <v>9.9</v>
      </c>
      <c r="EO7" s="1185" t="s">
        <v>5152</v>
      </c>
      <c r="EP7" s="1205"/>
      <c r="ER7" s="1213" t="s">
        <v>3592</v>
      </c>
      <c r="ES7" s="1115">
        <v>0.3</v>
      </c>
      <c r="ET7" s="1101" t="s">
        <v>5153</v>
      </c>
      <c r="EU7" s="1115">
        <v>0</v>
      </c>
      <c r="EV7" s="1101"/>
      <c r="EW7" s="1188" t="s">
        <v>5131</v>
      </c>
      <c r="EX7" s="1188" t="s">
        <v>5131</v>
      </c>
      <c r="EY7" s="1188">
        <v>0.4</v>
      </c>
      <c r="EZ7" s="1188" t="s">
        <v>5154</v>
      </c>
      <c r="FA7" s="1188">
        <v>0.2</v>
      </c>
      <c r="FB7" s="1188" t="s">
        <v>5155</v>
      </c>
      <c r="FC7" s="1115"/>
      <c r="FD7" s="1115"/>
      <c r="FE7" s="1115"/>
      <c r="FF7" s="1115"/>
      <c r="FG7" s="1212" t="s">
        <v>3592</v>
      </c>
      <c r="FH7" s="1183">
        <v>0.3</v>
      </c>
      <c r="FI7" s="1185" t="s">
        <v>5153</v>
      </c>
      <c r="FJ7" s="1183">
        <v>1.6</v>
      </c>
      <c r="FK7" s="1185" t="s">
        <v>5129</v>
      </c>
      <c r="FL7" s="1185" t="s">
        <v>5131</v>
      </c>
      <c r="FM7" s="1185" t="s">
        <v>5131</v>
      </c>
      <c r="FN7" s="1185">
        <v>1.1000000000000001</v>
      </c>
      <c r="FO7" s="1185" t="s">
        <v>5156</v>
      </c>
      <c r="FP7" s="1185">
        <v>0.2</v>
      </c>
      <c r="FQ7" s="1185" t="s">
        <v>5157</v>
      </c>
      <c r="FR7" s="1205"/>
      <c r="FS7" s="1205"/>
      <c r="FV7" s="1220" t="s">
        <v>3581</v>
      </c>
      <c r="FW7" s="1115" t="s">
        <v>5131</v>
      </c>
      <c r="FX7" s="1115" t="s">
        <v>5131</v>
      </c>
      <c r="FY7" s="1115">
        <v>0.6</v>
      </c>
      <c r="FZ7" s="1115" t="s">
        <v>5127</v>
      </c>
      <c r="GA7" s="1115">
        <v>0.6</v>
      </c>
      <c r="GB7" s="1115" t="s">
        <v>5127</v>
      </c>
      <c r="GC7" s="1115" t="s">
        <v>5131</v>
      </c>
      <c r="GD7" s="1115" t="s">
        <v>5131</v>
      </c>
      <c r="GE7" s="402">
        <v>0.6</v>
      </c>
      <c r="GF7" s="402" t="s">
        <v>5158</v>
      </c>
      <c r="GG7" s="402">
        <v>0.3</v>
      </c>
      <c r="GH7" s="402" t="s">
        <v>5126</v>
      </c>
      <c r="GI7" s="1115"/>
      <c r="GJ7" s="1115"/>
      <c r="GL7" s="1215" t="s">
        <v>3592</v>
      </c>
      <c r="GM7" s="1117">
        <v>25.9</v>
      </c>
      <c r="GN7" s="1117" t="s">
        <v>5159</v>
      </c>
      <c r="GO7" s="1193">
        <v>21.5</v>
      </c>
      <c r="GP7" s="1117" t="s">
        <v>5160</v>
      </c>
      <c r="GQ7" s="1117">
        <v>25.7</v>
      </c>
      <c r="GR7" s="1117" t="s">
        <v>5161</v>
      </c>
      <c r="GS7" s="1208"/>
      <c r="GT7" s="1208"/>
      <c r="GU7" s="1209"/>
      <c r="GV7" s="1215" t="s">
        <v>3581</v>
      </c>
      <c r="GW7" s="1209">
        <v>31.2</v>
      </c>
      <c r="GX7" s="1117" t="s">
        <v>5162</v>
      </c>
      <c r="GY7" s="1221">
        <v>22.2</v>
      </c>
      <c r="GZ7" s="1117" t="s">
        <v>5163</v>
      </c>
      <c r="HA7" s="1117">
        <v>25.8</v>
      </c>
      <c r="HB7" s="1117" t="s">
        <v>5164</v>
      </c>
      <c r="HC7" s="1221">
        <v>23.9</v>
      </c>
      <c r="HD7" s="1192" t="s">
        <v>5165</v>
      </c>
      <c r="HE7" s="1222"/>
      <c r="HF7" s="1223"/>
      <c r="HH7" s="1212" t="s">
        <v>3592</v>
      </c>
      <c r="HI7" s="1185">
        <v>25.2</v>
      </c>
      <c r="HJ7" s="1185" t="s">
        <v>5166</v>
      </c>
      <c r="HK7" s="1185">
        <v>20.5</v>
      </c>
      <c r="HL7" s="1185" t="s">
        <v>5167</v>
      </c>
      <c r="HM7" s="1185">
        <v>30.7</v>
      </c>
      <c r="HN7" s="1185" t="s">
        <v>5168</v>
      </c>
      <c r="HO7" s="1199"/>
      <c r="HP7" s="1199"/>
    </row>
    <row r="8" spans="1:224" ht="15.6" customHeight="1">
      <c r="A8" s="398" t="s">
        <v>5169</v>
      </c>
      <c r="I8" s="385"/>
      <c r="J8" s="385"/>
      <c r="K8" s="398" t="s">
        <v>5170</v>
      </c>
      <c r="T8" s="398" t="s">
        <v>5171</v>
      </c>
      <c r="U8" s="382">
        <v>2233</v>
      </c>
      <c r="V8" s="382">
        <v>89</v>
      </c>
      <c r="W8" s="382">
        <v>69</v>
      </c>
      <c r="X8" s="382">
        <v>17</v>
      </c>
      <c r="Y8" s="382">
        <v>31</v>
      </c>
      <c r="Z8" s="382"/>
      <c r="AA8" s="382"/>
      <c r="AB8" s="386" t="s">
        <v>5172</v>
      </c>
      <c r="AC8" s="463">
        <v>10674</v>
      </c>
      <c r="AD8" s="463">
        <v>9358</v>
      </c>
      <c r="AE8" s="463">
        <v>10596</v>
      </c>
      <c r="AF8" s="463">
        <v>7588</v>
      </c>
      <c r="AG8" s="463">
        <v>26552</v>
      </c>
      <c r="AH8" s="463"/>
      <c r="AK8" s="1224" t="s">
        <v>5173</v>
      </c>
      <c r="AL8" s="864" t="s">
        <v>1627</v>
      </c>
      <c r="AM8" s="864">
        <v>22</v>
      </c>
      <c r="AN8" s="1225">
        <v>13</v>
      </c>
      <c r="AO8" s="1218">
        <v>28</v>
      </c>
      <c r="AP8" s="1218">
        <v>15</v>
      </c>
      <c r="AQ8" s="1218">
        <v>23</v>
      </c>
      <c r="AR8" s="1200"/>
      <c r="AS8" s="1200"/>
      <c r="AU8" s="1124"/>
      <c r="AV8" s="1124"/>
      <c r="AW8" s="1124"/>
      <c r="AX8" s="1124"/>
      <c r="AY8" s="1124"/>
      <c r="AZ8" s="1124"/>
      <c r="BA8" s="1124"/>
      <c r="BB8" s="1124"/>
      <c r="BC8" s="1124"/>
      <c r="BD8" s="1173">
        <v>16</v>
      </c>
      <c r="BE8" s="1174">
        <v>13</v>
      </c>
      <c r="BF8" s="1174">
        <v>9</v>
      </c>
      <c r="BG8" s="1174">
        <v>9</v>
      </c>
      <c r="BH8" s="1174">
        <v>12</v>
      </c>
      <c r="BI8" s="1174">
        <v>13</v>
      </c>
      <c r="BJ8" s="1174"/>
      <c r="BK8" s="1175"/>
      <c r="BL8" s="1176" t="s">
        <v>484</v>
      </c>
      <c r="BM8" s="1177">
        <v>41</v>
      </c>
      <c r="BN8" s="1177">
        <v>9</v>
      </c>
      <c r="BO8" s="1177">
        <v>42</v>
      </c>
      <c r="BP8" s="1177">
        <v>47</v>
      </c>
      <c r="BQ8" s="1177">
        <v>66</v>
      </c>
      <c r="BR8" s="1178"/>
      <c r="BS8" s="1124"/>
      <c r="BT8" s="1090">
        <v>4</v>
      </c>
      <c r="BU8" s="1219" t="s">
        <v>5174</v>
      </c>
      <c r="BV8" s="585">
        <v>69</v>
      </c>
      <c r="BW8" s="886">
        <v>5.9227467811158796</v>
      </c>
      <c r="BX8" s="771"/>
      <c r="BY8" s="771"/>
      <c r="BZ8" s="799"/>
      <c r="CB8" s="1211" t="s">
        <v>5175</v>
      </c>
      <c r="CC8" s="1179">
        <v>0</v>
      </c>
      <c r="CD8" s="1180">
        <v>0</v>
      </c>
      <c r="CE8" s="1180">
        <v>0</v>
      </c>
      <c r="CF8" s="1180">
        <v>0</v>
      </c>
      <c r="CG8" s="1180">
        <v>0</v>
      </c>
      <c r="CH8" s="1180"/>
      <c r="CJ8" s="382" t="s">
        <v>5176</v>
      </c>
      <c r="CK8" s="393"/>
      <c r="CL8" s="1181"/>
      <c r="CM8" s="1181"/>
      <c r="CN8" s="1181"/>
      <c r="CO8" s="1181"/>
      <c r="CP8" s="1181"/>
      <c r="CQ8" s="1181"/>
      <c r="CR8" s="1181"/>
      <c r="CS8" s="1181"/>
      <c r="CU8" s="382" t="s">
        <v>5176</v>
      </c>
      <c r="CV8" s="393">
        <f t="shared" ref="CV8:CV53" si="2">SUM(CW8:DD8)</f>
        <v>0</v>
      </c>
      <c r="CW8" s="1181">
        <v>0</v>
      </c>
      <c r="CX8" s="1181">
        <v>0</v>
      </c>
      <c r="CY8" s="1181">
        <v>0</v>
      </c>
      <c r="CZ8" s="1181">
        <v>0</v>
      </c>
      <c r="DA8" s="1181">
        <v>0</v>
      </c>
      <c r="DB8" s="1181">
        <v>0</v>
      </c>
      <c r="DC8" s="1181">
        <v>0</v>
      </c>
      <c r="DD8" s="1181">
        <v>0</v>
      </c>
      <c r="DG8" s="382" t="s">
        <v>5176</v>
      </c>
      <c r="DH8" s="393">
        <f t="shared" si="1"/>
        <v>0</v>
      </c>
      <c r="DI8" s="1181">
        <v>0</v>
      </c>
      <c r="DJ8" s="1181">
        <v>0</v>
      </c>
      <c r="DK8" s="1181">
        <v>0</v>
      </c>
      <c r="DL8" s="1181">
        <v>0</v>
      </c>
      <c r="DM8" s="1181">
        <v>0</v>
      </c>
      <c r="DN8" s="1181">
        <v>0</v>
      </c>
      <c r="DO8" s="1181">
        <v>0</v>
      </c>
      <c r="DP8" s="1181">
        <v>0</v>
      </c>
      <c r="DQ8" s="409"/>
      <c r="DS8" s="1211" t="s">
        <v>5146</v>
      </c>
      <c r="DT8" s="1179">
        <v>0</v>
      </c>
      <c r="DU8" s="1180">
        <v>0</v>
      </c>
      <c r="DV8" s="1180">
        <v>0</v>
      </c>
      <c r="DW8" s="1180">
        <v>0</v>
      </c>
      <c r="DX8" s="1180">
        <v>0</v>
      </c>
      <c r="DY8" s="1180">
        <v>0</v>
      </c>
      <c r="DZ8" s="1180">
        <v>0</v>
      </c>
      <c r="EA8" s="1180">
        <v>0</v>
      </c>
      <c r="EB8" s="393"/>
      <c r="EE8" s="1212" t="s">
        <v>3604</v>
      </c>
      <c r="EF8" s="1183">
        <v>10</v>
      </c>
      <c r="EG8" s="1185" t="s">
        <v>5177</v>
      </c>
      <c r="EH8" s="1185">
        <v>8.6</v>
      </c>
      <c r="EI8" s="1185" t="s">
        <v>5178</v>
      </c>
      <c r="EJ8" s="1185">
        <v>7.8</v>
      </c>
      <c r="EK8" s="1185" t="s">
        <v>5179</v>
      </c>
      <c r="EL8" s="1185">
        <v>13.4</v>
      </c>
      <c r="EM8" s="1185" t="s">
        <v>5180</v>
      </c>
      <c r="EN8" s="1185">
        <v>7.2</v>
      </c>
      <c r="EO8" s="1185" t="s">
        <v>5181</v>
      </c>
      <c r="EP8" s="1205"/>
      <c r="ER8" s="1213" t="s">
        <v>3604</v>
      </c>
      <c r="ES8" s="1115">
        <v>2.1</v>
      </c>
      <c r="ET8" s="1101" t="s">
        <v>5182</v>
      </c>
      <c r="EU8" s="1115">
        <v>5.7</v>
      </c>
      <c r="EV8" s="1101" t="s">
        <v>5183</v>
      </c>
      <c r="EW8" s="1188">
        <v>0.5</v>
      </c>
      <c r="EX8" s="1188" t="s">
        <v>5184</v>
      </c>
      <c r="EY8" s="1188">
        <v>1.4</v>
      </c>
      <c r="EZ8" s="1188" t="s">
        <v>5185</v>
      </c>
      <c r="FA8" s="1188">
        <v>1.5</v>
      </c>
      <c r="FB8" s="1188" t="s">
        <v>5186</v>
      </c>
      <c r="FC8" s="1115"/>
      <c r="FD8" s="1115"/>
      <c r="FE8" s="1115"/>
      <c r="FF8" s="1115"/>
      <c r="FG8" s="1212" t="s">
        <v>3604</v>
      </c>
      <c r="FH8" s="1183">
        <v>1.4</v>
      </c>
      <c r="FI8" s="1185" t="s">
        <v>5187</v>
      </c>
      <c r="FJ8" s="1183">
        <v>3.7</v>
      </c>
      <c r="FK8" s="1185" t="s">
        <v>5188</v>
      </c>
      <c r="FL8" s="1183">
        <v>4</v>
      </c>
      <c r="FM8" s="1185" t="s">
        <v>5189</v>
      </c>
      <c r="FN8" s="1183">
        <v>1</v>
      </c>
      <c r="FO8" s="1185" t="s">
        <v>5190</v>
      </c>
      <c r="FP8" s="1226" t="s">
        <v>5191</v>
      </c>
      <c r="FQ8" s="1185" t="s">
        <v>5192</v>
      </c>
      <c r="FR8" s="1205"/>
      <c r="FS8" s="1205"/>
      <c r="FV8" s="1220" t="s">
        <v>3592</v>
      </c>
      <c r="FW8" s="1115">
        <v>2.9</v>
      </c>
      <c r="FX8" s="1115" t="s">
        <v>5193</v>
      </c>
      <c r="FY8" s="1115">
        <v>1.8</v>
      </c>
      <c r="FZ8" s="1115" t="s">
        <v>5194</v>
      </c>
      <c r="GA8" s="1115">
        <v>2.2000000000000002</v>
      </c>
      <c r="GB8" s="1115" t="s">
        <v>5195</v>
      </c>
      <c r="GC8" s="1115">
        <v>5.6</v>
      </c>
      <c r="GD8" s="1115" t="s">
        <v>5196</v>
      </c>
      <c r="GE8" s="402">
        <v>1.9</v>
      </c>
      <c r="GF8" s="402" t="s">
        <v>5197</v>
      </c>
      <c r="GG8" s="402">
        <v>3.1</v>
      </c>
      <c r="GH8" s="402" t="s">
        <v>5198</v>
      </c>
      <c r="GI8" s="1115"/>
      <c r="GJ8" s="1115"/>
      <c r="GL8" s="1215" t="s">
        <v>3604</v>
      </c>
      <c r="GM8" s="1117">
        <v>31.4</v>
      </c>
      <c r="GN8" s="1117" t="s">
        <v>5199</v>
      </c>
      <c r="GO8" s="1193">
        <v>23.6</v>
      </c>
      <c r="GP8" s="1117" t="s">
        <v>5200</v>
      </c>
      <c r="GQ8" s="1117">
        <v>32.9</v>
      </c>
      <c r="GR8" s="1117" t="s">
        <v>5201</v>
      </c>
      <c r="GS8" s="1208"/>
      <c r="GT8" s="1208"/>
      <c r="GU8" s="1209"/>
      <c r="GV8" s="1215" t="s">
        <v>3592</v>
      </c>
      <c r="GW8" s="1209">
        <v>34.5</v>
      </c>
      <c r="GX8" s="1117" t="s">
        <v>5202</v>
      </c>
      <c r="GY8" s="1221">
        <v>38.299999999999997</v>
      </c>
      <c r="GZ8" s="1117" t="s">
        <v>5203</v>
      </c>
      <c r="HA8" s="1117">
        <v>30.5</v>
      </c>
      <c r="HB8" s="1117" t="s">
        <v>5204</v>
      </c>
      <c r="HC8" s="1221">
        <v>36</v>
      </c>
      <c r="HD8" s="1192" t="s">
        <v>5205</v>
      </c>
      <c r="HE8" s="1222"/>
      <c r="HF8" s="1223"/>
      <c r="HH8" s="1212" t="s">
        <v>3604</v>
      </c>
      <c r="HI8" s="1185">
        <v>21.3</v>
      </c>
      <c r="HJ8" s="1185" t="s">
        <v>5206</v>
      </c>
      <c r="HK8" s="1185">
        <v>17.8</v>
      </c>
      <c r="HL8" s="1185" t="s">
        <v>5207</v>
      </c>
      <c r="HM8" s="1183">
        <v>23.3</v>
      </c>
      <c r="HN8" s="1185" t="s">
        <v>5208</v>
      </c>
      <c r="HO8" s="1199"/>
      <c r="HP8" s="1199"/>
    </row>
    <row r="9" spans="1:224" ht="15.6" customHeight="1">
      <c r="K9" s="398" t="s">
        <v>5209</v>
      </c>
      <c r="T9" s="398" t="s">
        <v>5210</v>
      </c>
      <c r="U9" s="382">
        <v>2982</v>
      </c>
      <c r="V9" s="382">
        <v>161</v>
      </c>
      <c r="W9" s="382">
        <v>135</v>
      </c>
      <c r="X9" s="382">
        <v>107</v>
      </c>
      <c r="Y9" s="382">
        <v>150</v>
      </c>
      <c r="Z9" s="382"/>
      <c r="AA9" s="382"/>
      <c r="AB9" s="386" t="s">
        <v>5211</v>
      </c>
      <c r="AC9" s="463">
        <v>13</v>
      </c>
      <c r="AD9" s="463">
        <v>9691</v>
      </c>
      <c r="AE9" s="463">
        <v>10378</v>
      </c>
      <c r="AF9" s="463">
        <v>3617</v>
      </c>
      <c r="AG9" s="463">
        <v>6101</v>
      </c>
      <c r="AH9" s="463"/>
      <c r="AJ9" s="515"/>
      <c r="AK9" s="1227" t="s">
        <v>5212</v>
      </c>
      <c r="AL9" s="864" t="s">
        <v>1627</v>
      </c>
      <c r="AM9" s="1228">
        <v>16.8</v>
      </c>
      <c r="AN9" s="1229">
        <v>10.714285714285714</v>
      </c>
      <c r="AO9" s="1171">
        <v>15.589353612167299</v>
      </c>
      <c r="AP9" s="1171">
        <v>8.509189925119129</v>
      </c>
      <c r="AQ9" s="1171">
        <v>9.8135426889106974</v>
      </c>
      <c r="AR9" s="1169"/>
      <c r="AS9" s="1169"/>
      <c r="AU9" s="1172"/>
      <c r="AV9" s="1172"/>
      <c r="AW9" s="1172"/>
      <c r="AX9" s="1172"/>
      <c r="AY9" s="1172"/>
      <c r="AZ9" s="1172"/>
      <c r="BA9" s="1172"/>
      <c r="BB9" s="1172"/>
      <c r="BC9" s="1172"/>
      <c r="BD9" s="1173">
        <v>17</v>
      </c>
      <c r="BE9" s="1174">
        <v>22</v>
      </c>
      <c r="BF9" s="1174">
        <v>29</v>
      </c>
      <c r="BG9" s="1174">
        <v>26</v>
      </c>
      <c r="BH9" s="1174">
        <v>30</v>
      </c>
      <c r="BI9" s="1174">
        <v>15</v>
      </c>
      <c r="BJ9" s="1174"/>
      <c r="BK9" s="1175"/>
      <c r="BL9" s="1176" t="s">
        <v>528</v>
      </c>
      <c r="BM9" s="1177">
        <v>0</v>
      </c>
      <c r="BN9" s="1177">
        <v>1</v>
      </c>
      <c r="BO9" s="1177">
        <v>1</v>
      </c>
      <c r="BP9" s="1177">
        <v>2</v>
      </c>
      <c r="BQ9" s="1177">
        <v>1</v>
      </c>
      <c r="BR9" s="1178"/>
      <c r="BS9" s="1172"/>
      <c r="BT9" s="1090">
        <v>5</v>
      </c>
      <c r="BU9" s="585" t="s">
        <v>5213</v>
      </c>
      <c r="BV9" s="585">
        <v>52</v>
      </c>
      <c r="BW9" s="886">
        <v>4.4635193133047206</v>
      </c>
      <c r="BX9" s="771"/>
      <c r="BY9" s="771"/>
      <c r="BZ9" s="799"/>
      <c r="CB9" s="1211" t="s">
        <v>5214</v>
      </c>
      <c r="CC9" s="1179">
        <v>0</v>
      </c>
      <c r="CD9" s="1180">
        <v>0</v>
      </c>
      <c r="CE9" s="1180">
        <v>0</v>
      </c>
      <c r="CF9" s="1180">
        <v>0</v>
      </c>
      <c r="CG9" s="1180">
        <v>0</v>
      </c>
      <c r="CH9" s="1180"/>
      <c r="CJ9" s="1133" t="s">
        <v>5215</v>
      </c>
      <c r="CK9" s="393"/>
      <c r="CL9" s="1181"/>
      <c r="CM9" s="1181"/>
      <c r="CN9" s="1181"/>
      <c r="CO9" s="1181"/>
      <c r="CP9" s="1181"/>
      <c r="CQ9" s="1181"/>
      <c r="CR9" s="1181"/>
      <c r="CS9" s="1181"/>
      <c r="CU9" s="1133" t="s">
        <v>5215</v>
      </c>
      <c r="CV9" s="393">
        <f t="shared" si="2"/>
        <v>17</v>
      </c>
      <c r="CW9" s="1181">
        <v>12</v>
      </c>
      <c r="CX9" s="1181">
        <v>0</v>
      </c>
      <c r="CY9" s="1181">
        <v>1</v>
      </c>
      <c r="CZ9" s="1181">
        <v>0</v>
      </c>
      <c r="DA9" s="1181">
        <v>0</v>
      </c>
      <c r="DB9" s="1181">
        <v>4</v>
      </c>
      <c r="DC9" s="1181">
        <v>0</v>
      </c>
      <c r="DD9" s="1181">
        <v>0</v>
      </c>
      <c r="DG9" s="1133" t="s">
        <v>5215</v>
      </c>
      <c r="DH9" s="393">
        <f t="shared" si="1"/>
        <v>74</v>
      </c>
      <c r="DI9" s="1181">
        <v>43</v>
      </c>
      <c r="DJ9" s="1181">
        <v>6</v>
      </c>
      <c r="DK9" s="1181">
        <v>3</v>
      </c>
      <c r="DL9" s="1181">
        <v>14</v>
      </c>
      <c r="DM9" s="1181">
        <v>0</v>
      </c>
      <c r="DN9" s="1181">
        <v>1</v>
      </c>
      <c r="DO9" s="1181">
        <v>1</v>
      </c>
      <c r="DP9" s="1181">
        <v>6</v>
      </c>
      <c r="DQ9" s="409"/>
      <c r="DS9" s="1211" t="s">
        <v>5175</v>
      </c>
      <c r="DT9" s="1179">
        <v>0</v>
      </c>
      <c r="DU9" s="1180">
        <v>0</v>
      </c>
      <c r="DV9" s="1180">
        <v>0</v>
      </c>
      <c r="DW9" s="1180">
        <v>0</v>
      </c>
      <c r="DX9" s="1180">
        <v>0</v>
      </c>
      <c r="DY9" s="1179">
        <v>0</v>
      </c>
      <c r="DZ9" s="1179">
        <v>0</v>
      </c>
      <c r="EA9" s="1179">
        <v>0</v>
      </c>
      <c r="EB9" s="393"/>
      <c r="EE9" s="1212" t="s">
        <v>3617</v>
      </c>
      <c r="EF9" s="1183">
        <v>11.4</v>
      </c>
      <c r="EG9" s="1185" t="s">
        <v>5216</v>
      </c>
      <c r="EH9" s="1185">
        <v>8.4</v>
      </c>
      <c r="EI9" s="1185" t="s">
        <v>5217</v>
      </c>
      <c r="EJ9" s="1185">
        <v>13.1</v>
      </c>
      <c r="EK9" s="1185" t="s">
        <v>5218</v>
      </c>
      <c r="EL9" s="1185">
        <v>11.6</v>
      </c>
      <c r="EM9" s="1185" t="s">
        <v>5219</v>
      </c>
      <c r="EN9" s="1185">
        <v>9.9</v>
      </c>
      <c r="EO9" s="1185" t="s">
        <v>5220</v>
      </c>
      <c r="EP9" s="1205"/>
      <c r="ER9" s="1213" t="s">
        <v>3617</v>
      </c>
      <c r="ES9" s="1115">
        <v>2.5</v>
      </c>
      <c r="ET9" s="1101" t="s">
        <v>5221</v>
      </c>
      <c r="EU9" s="1115">
        <v>2</v>
      </c>
      <c r="EV9" s="1101" t="s">
        <v>5222</v>
      </c>
      <c r="EW9" s="1188">
        <v>6.6</v>
      </c>
      <c r="EX9" s="1188" t="s">
        <v>5223</v>
      </c>
      <c r="EY9" s="1188">
        <v>2.8</v>
      </c>
      <c r="EZ9" s="1188" t="s">
        <v>5224</v>
      </c>
      <c r="FA9" s="1188">
        <v>3.5</v>
      </c>
      <c r="FB9" s="1188" t="s">
        <v>5225</v>
      </c>
      <c r="FC9" s="1115"/>
      <c r="FD9" s="1115"/>
      <c r="FE9" s="1115"/>
      <c r="FF9" s="1115"/>
      <c r="FG9" s="1212" t="s">
        <v>3617</v>
      </c>
      <c r="FH9" s="1183">
        <v>4.7</v>
      </c>
      <c r="FI9" s="1185" t="s">
        <v>5226</v>
      </c>
      <c r="FJ9" s="1183">
        <v>4.0999999999999996</v>
      </c>
      <c r="FK9" s="1185" t="s">
        <v>5227</v>
      </c>
      <c r="FL9" s="1183">
        <v>8.1999999999999993</v>
      </c>
      <c r="FM9" s="1185" t="s">
        <v>5228</v>
      </c>
      <c r="FN9" s="1183">
        <v>5</v>
      </c>
      <c r="FO9" s="1185" t="s">
        <v>5229</v>
      </c>
      <c r="FP9" s="1185">
        <v>3.7</v>
      </c>
      <c r="FQ9" s="1185" t="s">
        <v>5230</v>
      </c>
      <c r="FR9" s="1205"/>
      <c r="FS9" s="1205"/>
      <c r="FV9" s="1220" t="s">
        <v>3604</v>
      </c>
      <c r="FW9" s="1115">
        <v>8.5</v>
      </c>
      <c r="FX9" s="1115" t="s">
        <v>5231</v>
      </c>
      <c r="FY9" s="1115">
        <v>2</v>
      </c>
      <c r="FZ9" s="1115" t="s">
        <v>5232</v>
      </c>
      <c r="GA9" s="1115">
        <v>10.7</v>
      </c>
      <c r="GB9" s="1115" t="s">
        <v>5233</v>
      </c>
      <c r="GC9" s="1115">
        <v>1.5</v>
      </c>
      <c r="GD9" s="1115" t="s">
        <v>5234</v>
      </c>
      <c r="GE9" s="402">
        <v>10.4</v>
      </c>
      <c r="GF9" s="402" t="s">
        <v>5235</v>
      </c>
      <c r="GG9" s="402">
        <v>2.4</v>
      </c>
      <c r="GH9" s="402" t="s">
        <v>5236</v>
      </c>
      <c r="GI9" s="1115"/>
      <c r="GJ9" s="1115"/>
      <c r="GL9" s="1215" t="s">
        <v>3617</v>
      </c>
      <c r="GM9" s="1117">
        <v>26.6</v>
      </c>
      <c r="GN9" s="1117" t="s">
        <v>5237</v>
      </c>
      <c r="GO9" s="1193">
        <v>27.4</v>
      </c>
      <c r="GP9" s="1117" t="s">
        <v>5238</v>
      </c>
      <c r="GQ9" s="1117">
        <v>32.5</v>
      </c>
      <c r="GR9" s="1117" t="s">
        <v>5239</v>
      </c>
      <c r="GS9" s="1208"/>
      <c r="GT9" s="1208"/>
      <c r="GU9" s="1209"/>
      <c r="GV9" s="1215" t="s">
        <v>3604</v>
      </c>
      <c r="GW9" s="1209">
        <v>35.4</v>
      </c>
      <c r="GX9" s="1117" t="s">
        <v>5240</v>
      </c>
      <c r="GY9" s="1221">
        <v>39.299999999999997</v>
      </c>
      <c r="GZ9" s="1117" t="s">
        <v>5241</v>
      </c>
      <c r="HA9" s="1117">
        <v>34.6</v>
      </c>
      <c r="HB9" s="1117" t="s">
        <v>5242</v>
      </c>
      <c r="HC9" s="1221">
        <v>32.299999999999997</v>
      </c>
      <c r="HD9" s="1192" t="s">
        <v>5243</v>
      </c>
      <c r="HE9" s="1222"/>
      <c r="HF9" s="1223"/>
      <c r="HH9" s="1212" t="s">
        <v>3617</v>
      </c>
      <c r="HI9" s="1185">
        <v>16.8</v>
      </c>
      <c r="HJ9" s="1185" t="s">
        <v>5244</v>
      </c>
      <c r="HK9" s="1185">
        <v>18.600000000000001</v>
      </c>
      <c r="HL9" s="1185" t="s">
        <v>5245</v>
      </c>
      <c r="HM9" s="1185">
        <v>26.5</v>
      </c>
      <c r="HN9" s="1185" t="s">
        <v>5246</v>
      </c>
      <c r="HO9" s="1199"/>
      <c r="HP9" s="1199"/>
    </row>
    <row r="10" spans="1:224" ht="15.6" customHeight="1">
      <c r="K10" s="398" t="s">
        <v>5247</v>
      </c>
      <c r="S10" s="386"/>
      <c r="T10" s="398" t="s">
        <v>5248</v>
      </c>
      <c r="U10" s="382">
        <v>6396</v>
      </c>
      <c r="V10" s="382">
        <v>188</v>
      </c>
      <c r="W10" s="382">
        <v>131</v>
      </c>
      <c r="X10" s="382">
        <v>235</v>
      </c>
      <c r="Y10" s="382">
        <v>206</v>
      </c>
      <c r="Z10" s="382"/>
      <c r="AA10" s="382"/>
      <c r="AB10" s="386" t="s">
        <v>5249</v>
      </c>
      <c r="AC10" s="463">
        <v>5591</v>
      </c>
      <c r="AD10" s="463">
        <v>17289</v>
      </c>
      <c r="AE10" s="463">
        <v>19249</v>
      </c>
      <c r="AF10" s="463">
        <v>14916</v>
      </c>
      <c r="AG10" s="463">
        <v>15705</v>
      </c>
      <c r="AH10" s="463"/>
      <c r="AK10" s="1168" t="s">
        <v>5250</v>
      </c>
      <c r="AL10" s="864" t="s">
        <v>1627</v>
      </c>
      <c r="AM10" s="864">
        <v>4</v>
      </c>
      <c r="AN10" s="1225">
        <v>2</v>
      </c>
      <c r="AO10" s="1218">
        <v>8</v>
      </c>
      <c r="AP10" s="1218">
        <v>1</v>
      </c>
      <c r="AQ10" s="1218">
        <v>1</v>
      </c>
      <c r="AR10" s="864"/>
      <c r="AS10" s="1200"/>
      <c r="AU10" s="1124"/>
      <c r="AV10" s="1087"/>
      <c r="AW10" s="1087"/>
      <c r="AX10" s="1087"/>
      <c r="AY10" s="1087"/>
      <c r="AZ10" s="1087"/>
      <c r="BA10" s="1087"/>
      <c r="BB10" s="1087"/>
      <c r="BC10" s="1087"/>
      <c r="BD10" s="1173">
        <v>18</v>
      </c>
      <c r="BE10" s="1174">
        <v>41</v>
      </c>
      <c r="BF10" s="1174">
        <v>37</v>
      </c>
      <c r="BG10" s="1174">
        <v>42</v>
      </c>
      <c r="BH10" s="1174">
        <v>44</v>
      </c>
      <c r="BI10" s="1174">
        <v>60</v>
      </c>
      <c r="BJ10" s="1174"/>
      <c r="BK10" s="1175"/>
      <c r="BL10" s="1176" t="s">
        <v>5251</v>
      </c>
      <c r="BM10" s="1177">
        <v>0</v>
      </c>
      <c r="BN10" s="1177">
        <v>0</v>
      </c>
      <c r="BO10" s="1177">
        <v>0</v>
      </c>
      <c r="BP10" s="1177">
        <v>0</v>
      </c>
      <c r="BQ10" s="1177">
        <v>0</v>
      </c>
      <c r="BR10" s="1178"/>
      <c r="BS10" s="1124"/>
      <c r="BT10" s="1090">
        <v>6</v>
      </c>
      <c r="BU10" s="1219" t="s">
        <v>5252</v>
      </c>
      <c r="BV10" s="585">
        <v>41</v>
      </c>
      <c r="BW10" s="886">
        <v>3.5193133047210301</v>
      </c>
      <c r="BX10" s="771"/>
      <c r="BY10" s="771"/>
      <c r="BZ10" s="799"/>
      <c r="CB10" s="1211" t="s">
        <v>5253</v>
      </c>
      <c r="CC10" s="1179">
        <v>0</v>
      </c>
      <c r="CD10" s="1180">
        <v>0</v>
      </c>
      <c r="CE10" s="1180">
        <v>0</v>
      </c>
      <c r="CF10" s="1180">
        <v>0</v>
      </c>
      <c r="CG10" s="1180">
        <v>0</v>
      </c>
      <c r="CH10" s="1180"/>
      <c r="CJ10" s="382" t="s">
        <v>5254</v>
      </c>
      <c r="CK10" s="393"/>
      <c r="CL10" s="1181"/>
      <c r="CM10" s="1181"/>
      <c r="CN10" s="1181"/>
      <c r="CO10" s="1181"/>
      <c r="CP10" s="1181"/>
      <c r="CQ10" s="1181"/>
      <c r="CR10" s="1181"/>
      <c r="CS10" s="1181"/>
      <c r="CU10" s="382" t="s">
        <v>5254</v>
      </c>
      <c r="CV10" s="393">
        <f t="shared" si="2"/>
        <v>87</v>
      </c>
      <c r="CW10" s="1181">
        <v>41</v>
      </c>
      <c r="CX10" s="1181">
        <v>8</v>
      </c>
      <c r="CY10" s="1181">
        <v>0</v>
      </c>
      <c r="CZ10" s="1181">
        <v>35</v>
      </c>
      <c r="DA10" s="1181">
        <v>0</v>
      </c>
      <c r="DB10" s="1181">
        <v>0</v>
      </c>
      <c r="DC10" s="1181">
        <v>1</v>
      </c>
      <c r="DD10" s="1181">
        <v>2</v>
      </c>
      <c r="DG10" s="382" t="s">
        <v>5254</v>
      </c>
      <c r="DH10" s="393">
        <f t="shared" si="1"/>
        <v>306</v>
      </c>
      <c r="DI10" s="1181">
        <v>59</v>
      </c>
      <c r="DJ10" s="1181">
        <v>20</v>
      </c>
      <c r="DK10" s="1181">
        <v>21</v>
      </c>
      <c r="DL10" s="1181">
        <v>91</v>
      </c>
      <c r="DM10" s="1181">
        <v>1</v>
      </c>
      <c r="DN10" s="1181">
        <v>2</v>
      </c>
      <c r="DO10" s="1181">
        <v>50</v>
      </c>
      <c r="DP10" s="1181">
        <v>62</v>
      </c>
      <c r="DQ10" s="409"/>
      <c r="DS10" s="1211" t="s">
        <v>5214</v>
      </c>
      <c r="DT10" s="1179">
        <v>0</v>
      </c>
      <c r="DU10" s="1180">
        <v>0</v>
      </c>
      <c r="DV10" s="1180">
        <v>0</v>
      </c>
      <c r="DW10" s="1180">
        <v>0</v>
      </c>
      <c r="DX10" s="1180">
        <v>0</v>
      </c>
      <c r="DY10" s="1179">
        <v>0</v>
      </c>
      <c r="DZ10" s="1179">
        <v>0</v>
      </c>
      <c r="EA10" s="1179">
        <v>0</v>
      </c>
      <c r="EB10" s="393"/>
      <c r="EE10" s="1212" t="s">
        <v>3626</v>
      </c>
      <c r="EF10" s="1183">
        <v>6.4</v>
      </c>
      <c r="EG10" s="1185" t="s">
        <v>5255</v>
      </c>
      <c r="EH10" s="1185">
        <v>7.6</v>
      </c>
      <c r="EI10" s="1185" t="s">
        <v>5256</v>
      </c>
      <c r="EJ10" s="1185">
        <v>6.7</v>
      </c>
      <c r="EK10" s="1185" t="s">
        <v>5257</v>
      </c>
      <c r="EL10" s="1185">
        <v>11.1</v>
      </c>
      <c r="EM10" s="1185" t="s">
        <v>5258</v>
      </c>
      <c r="EN10" s="1185">
        <v>9.1999999999999993</v>
      </c>
      <c r="EO10" s="1185" t="s">
        <v>5259</v>
      </c>
      <c r="EP10" s="1205"/>
      <c r="ER10" s="1213" t="s">
        <v>3626</v>
      </c>
      <c r="ES10" s="1115">
        <v>4.8</v>
      </c>
      <c r="ET10" s="1101" t="s">
        <v>5260</v>
      </c>
      <c r="EU10" s="1115">
        <v>8</v>
      </c>
      <c r="EV10" s="1101" t="s">
        <v>5261</v>
      </c>
      <c r="EW10" s="1188">
        <v>5.0999999999999996</v>
      </c>
      <c r="EX10" s="1188" t="s">
        <v>5262</v>
      </c>
      <c r="EY10" s="1188">
        <v>2.6</v>
      </c>
      <c r="EZ10" s="1188" t="s">
        <v>5263</v>
      </c>
      <c r="FA10" s="1188">
        <v>4.8</v>
      </c>
      <c r="FB10" s="1188" t="s">
        <v>5264</v>
      </c>
      <c r="FC10" s="1115"/>
      <c r="FD10" s="1115"/>
      <c r="FE10" s="1115"/>
      <c r="FF10" s="1115"/>
      <c r="FG10" s="1212" t="s">
        <v>3626</v>
      </c>
      <c r="FH10" s="1183">
        <v>6.2</v>
      </c>
      <c r="FI10" s="1185" t="s">
        <v>5265</v>
      </c>
      <c r="FJ10" s="1183">
        <v>7.6</v>
      </c>
      <c r="FK10" s="1185" t="s">
        <v>5266</v>
      </c>
      <c r="FL10" s="1185">
        <v>8</v>
      </c>
      <c r="FM10" s="1185" t="s">
        <v>5267</v>
      </c>
      <c r="FN10" s="1185">
        <v>5.8</v>
      </c>
      <c r="FO10" s="1185" t="s">
        <v>5268</v>
      </c>
      <c r="FP10" s="1185">
        <v>12.3</v>
      </c>
      <c r="FQ10" s="1185" t="s">
        <v>5269</v>
      </c>
      <c r="FR10" s="1205"/>
      <c r="FS10" s="1205"/>
      <c r="FV10" s="1220" t="s">
        <v>3617</v>
      </c>
      <c r="FW10" s="1115">
        <v>16.8</v>
      </c>
      <c r="FX10" s="1115" t="s">
        <v>5270</v>
      </c>
      <c r="FY10" s="1115">
        <v>0.8</v>
      </c>
      <c r="FZ10" s="1115" t="s">
        <v>5271</v>
      </c>
      <c r="GA10" s="1115">
        <v>20.399999999999999</v>
      </c>
      <c r="GB10" s="1115" t="s">
        <v>5272</v>
      </c>
      <c r="GC10" s="1115">
        <v>0.9</v>
      </c>
      <c r="GD10" s="1115" t="s">
        <v>5273</v>
      </c>
      <c r="GE10" s="402">
        <v>21.4</v>
      </c>
      <c r="GF10" s="402" t="s">
        <v>5274</v>
      </c>
      <c r="GG10" s="402">
        <v>1.3</v>
      </c>
      <c r="GH10" s="402" t="s">
        <v>5234</v>
      </c>
      <c r="GI10" s="1115"/>
      <c r="GJ10" s="1115"/>
      <c r="GL10" s="1215" t="s">
        <v>3626</v>
      </c>
      <c r="GM10" s="1117">
        <v>26.9</v>
      </c>
      <c r="GN10" s="1117" t="s">
        <v>5275</v>
      </c>
      <c r="GO10" s="1193">
        <v>27.3</v>
      </c>
      <c r="GP10" s="1117" t="s">
        <v>5276</v>
      </c>
      <c r="GQ10" s="1117">
        <v>29.4</v>
      </c>
      <c r="GR10" s="1117" t="s">
        <v>5277</v>
      </c>
      <c r="GS10" s="1208"/>
      <c r="GT10" s="1208"/>
      <c r="GU10" s="1209"/>
      <c r="GV10" s="1215" t="s">
        <v>3617</v>
      </c>
      <c r="GW10" s="1209">
        <v>35</v>
      </c>
      <c r="GX10" s="1117" t="s">
        <v>5278</v>
      </c>
      <c r="GY10" s="1221">
        <v>39.4</v>
      </c>
      <c r="GZ10" s="1117" t="s">
        <v>5279</v>
      </c>
      <c r="HA10" s="1117">
        <v>31.5</v>
      </c>
      <c r="HB10" s="1117" t="s">
        <v>5280</v>
      </c>
      <c r="HC10" s="1221">
        <v>32.299999999999997</v>
      </c>
      <c r="HD10" s="1192" t="s">
        <v>5281</v>
      </c>
      <c r="HE10" s="1222"/>
      <c r="HF10" s="1223"/>
      <c r="HH10" s="1212" t="s">
        <v>3626</v>
      </c>
      <c r="HI10" s="1185">
        <v>12.5</v>
      </c>
      <c r="HJ10" s="1185" t="s">
        <v>5282</v>
      </c>
      <c r="HK10" s="1185">
        <v>15.9</v>
      </c>
      <c r="HL10" s="1185" t="s">
        <v>5283</v>
      </c>
      <c r="HM10" s="1185">
        <v>10.3</v>
      </c>
      <c r="HN10" s="1185" t="s">
        <v>5284</v>
      </c>
      <c r="HO10" s="1199"/>
      <c r="HP10" s="1199"/>
    </row>
    <row r="11" spans="1:224" ht="15.6" customHeight="1">
      <c r="K11" s="398" t="s">
        <v>5285</v>
      </c>
      <c r="T11" s="398" t="s">
        <v>5286</v>
      </c>
      <c r="U11" s="382">
        <v>816</v>
      </c>
      <c r="V11" s="382">
        <v>121</v>
      </c>
      <c r="W11" s="382">
        <v>143</v>
      </c>
      <c r="X11" s="382">
        <v>137</v>
      </c>
      <c r="Y11" s="382">
        <v>162</v>
      </c>
      <c r="Z11" s="382"/>
      <c r="AA11" s="382"/>
      <c r="AB11" s="386" t="s">
        <v>5287</v>
      </c>
      <c r="AC11" s="463">
        <v>83</v>
      </c>
      <c r="AD11" s="463">
        <v>63</v>
      </c>
      <c r="AE11" s="463">
        <v>428</v>
      </c>
      <c r="AF11" s="463">
        <v>61</v>
      </c>
      <c r="AG11" s="463">
        <v>19</v>
      </c>
      <c r="AH11" s="463"/>
      <c r="AK11" s="1168" t="s">
        <v>5288</v>
      </c>
      <c r="AL11" s="864" t="s">
        <v>1627</v>
      </c>
      <c r="AM11" s="1228">
        <v>168.2</v>
      </c>
      <c r="AN11" s="1229">
        <v>79.365079365079367</v>
      </c>
      <c r="AO11" s="1171">
        <v>304.18250950570342</v>
      </c>
      <c r="AP11" s="1171">
        <v>34.036759700476516</v>
      </c>
      <c r="AQ11" s="1171">
        <v>32.711808963035658</v>
      </c>
      <c r="AR11" s="1200"/>
      <c r="AS11" s="1200"/>
      <c r="AU11" s="1124"/>
      <c r="AV11" s="1087"/>
      <c r="AW11" s="1087"/>
      <c r="AX11" s="1087"/>
      <c r="AY11" s="1087"/>
      <c r="AZ11" s="1087"/>
      <c r="BA11" s="1087"/>
      <c r="BB11" s="1087"/>
      <c r="BC11" s="1087"/>
      <c r="BD11" s="1173">
        <v>19</v>
      </c>
      <c r="BE11" s="1174">
        <v>58</v>
      </c>
      <c r="BF11" s="1174">
        <v>73</v>
      </c>
      <c r="BG11" s="1174">
        <v>52</v>
      </c>
      <c r="BH11" s="1174">
        <v>61</v>
      </c>
      <c r="BI11" s="1174">
        <v>124</v>
      </c>
      <c r="BJ11" s="1174"/>
      <c r="BK11" s="1175"/>
      <c r="BL11" s="1176" t="s">
        <v>1709</v>
      </c>
      <c r="BM11" s="1177">
        <v>19</v>
      </c>
      <c r="BN11" s="1177">
        <v>34</v>
      </c>
      <c r="BO11" s="1177">
        <v>2</v>
      </c>
      <c r="BP11" s="1177">
        <v>3</v>
      </c>
      <c r="BQ11" s="1177">
        <v>3</v>
      </c>
      <c r="BR11" s="1178"/>
      <c r="BS11" s="1124"/>
      <c r="BT11" s="1090">
        <v>7</v>
      </c>
      <c r="BU11" s="585" t="s">
        <v>5289</v>
      </c>
      <c r="BV11" s="585">
        <v>37</v>
      </c>
      <c r="BW11" s="886">
        <v>3.1759656652360517</v>
      </c>
      <c r="BX11" s="771"/>
      <c r="BY11" s="771"/>
      <c r="BZ11" s="799"/>
      <c r="CB11" s="1211" t="s">
        <v>5290</v>
      </c>
      <c r="CC11" s="1179">
        <v>0</v>
      </c>
      <c r="CD11" s="1180">
        <v>0</v>
      </c>
      <c r="CE11" s="1180">
        <v>0</v>
      </c>
      <c r="CF11" s="1180">
        <v>0</v>
      </c>
      <c r="CG11" s="1180">
        <v>0</v>
      </c>
      <c r="CH11" s="1180"/>
      <c r="CJ11" s="382" t="s">
        <v>5291</v>
      </c>
      <c r="CK11" s="393"/>
      <c r="CL11" s="1181"/>
      <c r="CM11" s="1181"/>
      <c r="CN11" s="1181"/>
      <c r="CO11" s="1181"/>
      <c r="CP11" s="1181"/>
      <c r="CQ11" s="1181"/>
      <c r="CR11" s="1181"/>
      <c r="CS11" s="1181"/>
      <c r="CU11" s="382" t="s">
        <v>5291</v>
      </c>
      <c r="CV11" s="393">
        <f t="shared" si="2"/>
        <v>3</v>
      </c>
      <c r="CW11" s="1181">
        <v>0</v>
      </c>
      <c r="CX11" s="1181">
        <v>0</v>
      </c>
      <c r="CY11" s="1181">
        <v>0</v>
      </c>
      <c r="CZ11" s="1181">
        <v>0</v>
      </c>
      <c r="DA11" s="1181">
        <v>0</v>
      </c>
      <c r="DB11" s="1181">
        <v>2</v>
      </c>
      <c r="DC11" s="1181">
        <v>1</v>
      </c>
      <c r="DD11" s="1181">
        <v>0</v>
      </c>
      <c r="DG11" s="382" t="s">
        <v>5291</v>
      </c>
      <c r="DH11" s="393">
        <f t="shared" si="1"/>
        <v>0</v>
      </c>
      <c r="DI11" s="1181">
        <v>0</v>
      </c>
      <c r="DJ11" s="1181">
        <v>0</v>
      </c>
      <c r="DK11" s="1181">
        <v>0</v>
      </c>
      <c r="DL11" s="1181">
        <v>0</v>
      </c>
      <c r="DM11" s="1181">
        <v>0</v>
      </c>
      <c r="DN11" s="1181">
        <v>0</v>
      </c>
      <c r="DO11" s="1181">
        <v>0</v>
      </c>
      <c r="DP11" s="1181">
        <v>0</v>
      </c>
      <c r="DQ11" s="409"/>
      <c r="DS11" s="382" t="s">
        <v>5253</v>
      </c>
      <c r="DT11" s="1179">
        <v>0</v>
      </c>
      <c r="DU11" s="1180">
        <v>0</v>
      </c>
      <c r="DV11" s="1180">
        <v>0</v>
      </c>
      <c r="DW11" s="1180">
        <v>0</v>
      </c>
      <c r="DX11" s="1180">
        <v>0</v>
      </c>
      <c r="DY11" s="1180">
        <v>0</v>
      </c>
      <c r="DZ11" s="1180">
        <v>0</v>
      </c>
      <c r="EA11" s="1180">
        <v>0</v>
      </c>
      <c r="EB11" s="393"/>
      <c r="EE11" s="1212" t="s">
        <v>5292</v>
      </c>
      <c r="EF11" s="1183">
        <v>1.7</v>
      </c>
      <c r="EG11" s="1185" t="s">
        <v>5293</v>
      </c>
      <c r="EH11" s="1185">
        <v>4.2</v>
      </c>
      <c r="EI11" s="1185" t="s">
        <v>5294</v>
      </c>
      <c r="EJ11" s="1183">
        <v>4.0999999999999996</v>
      </c>
      <c r="EK11" s="1185" t="s">
        <v>5295</v>
      </c>
      <c r="EL11" s="1183">
        <v>1</v>
      </c>
      <c r="EM11" s="1185" t="s">
        <v>5296</v>
      </c>
      <c r="EN11" s="1185">
        <v>2.6</v>
      </c>
      <c r="EO11" s="1185" t="s">
        <v>5297</v>
      </c>
      <c r="EP11" s="1205"/>
      <c r="ER11" s="1213" t="s">
        <v>5292</v>
      </c>
      <c r="ES11" s="1115">
        <v>6.9</v>
      </c>
      <c r="ET11" s="1101" t="s">
        <v>5298</v>
      </c>
      <c r="EU11" s="1115">
        <v>6.4</v>
      </c>
      <c r="EV11" s="1101" t="s">
        <v>5299</v>
      </c>
      <c r="EW11" s="1188">
        <v>13.6</v>
      </c>
      <c r="EX11" s="1188" t="s">
        <v>5300</v>
      </c>
      <c r="EY11" s="1188">
        <v>7.4</v>
      </c>
      <c r="EZ11" s="1188" t="s">
        <v>5301</v>
      </c>
      <c r="FA11" s="1188">
        <v>12.4</v>
      </c>
      <c r="FB11" s="1188" t="s">
        <v>5302</v>
      </c>
      <c r="FC11" s="1115"/>
      <c r="FD11" s="1115"/>
      <c r="FE11" s="1115"/>
      <c r="FF11" s="1115"/>
      <c r="FG11" s="1212" t="s">
        <v>5292</v>
      </c>
      <c r="FH11" s="1183">
        <v>9</v>
      </c>
      <c r="FI11" s="1185" t="s">
        <v>5303</v>
      </c>
      <c r="FJ11" s="1183">
        <v>14.5</v>
      </c>
      <c r="FK11" s="1185" t="s">
        <v>5304</v>
      </c>
      <c r="FL11" s="1183">
        <v>11.8</v>
      </c>
      <c r="FM11" s="1185" t="s">
        <v>5305</v>
      </c>
      <c r="FN11" s="1183">
        <v>11</v>
      </c>
      <c r="FO11" s="1185" t="s">
        <v>5306</v>
      </c>
      <c r="FP11" s="1185">
        <v>11.8</v>
      </c>
      <c r="FQ11" s="1185" t="s">
        <v>5307</v>
      </c>
      <c r="FR11" s="1205"/>
      <c r="FS11" s="1205"/>
      <c r="FV11" s="1220" t="s">
        <v>3626</v>
      </c>
      <c r="FW11" s="1115">
        <v>23</v>
      </c>
      <c r="FX11" s="1115" t="s">
        <v>5308</v>
      </c>
      <c r="FY11" s="1115">
        <v>0.4</v>
      </c>
      <c r="FZ11" s="1115" t="s">
        <v>5309</v>
      </c>
      <c r="GA11" s="1115">
        <v>28.5</v>
      </c>
      <c r="GB11" s="1115" t="s">
        <v>5310</v>
      </c>
      <c r="GC11" s="1115">
        <v>0.7</v>
      </c>
      <c r="GD11" s="1115" t="s">
        <v>5184</v>
      </c>
      <c r="GE11" s="402">
        <v>26.1</v>
      </c>
      <c r="GF11" s="402" t="s">
        <v>5311</v>
      </c>
      <c r="GG11" s="402">
        <v>1.3</v>
      </c>
      <c r="GH11" s="402" t="s">
        <v>5312</v>
      </c>
      <c r="GI11" s="1115"/>
      <c r="GJ11" s="1115"/>
      <c r="GL11" s="1215" t="s">
        <v>5292</v>
      </c>
      <c r="GM11" s="1117">
        <v>11.9</v>
      </c>
      <c r="GN11" s="1117" t="s">
        <v>5313</v>
      </c>
      <c r="GO11" s="1193">
        <v>18.399999999999999</v>
      </c>
      <c r="GP11" s="1117" t="s">
        <v>5314</v>
      </c>
      <c r="GQ11" s="1117">
        <v>11.7</v>
      </c>
      <c r="GR11" s="1117" t="s">
        <v>5315</v>
      </c>
      <c r="GS11" s="1208"/>
      <c r="GT11" s="1208"/>
      <c r="GU11" s="1209"/>
      <c r="GV11" s="1215" t="s">
        <v>3626</v>
      </c>
      <c r="GW11" s="1209">
        <v>39.1</v>
      </c>
      <c r="GX11" s="1117" t="s">
        <v>5316</v>
      </c>
      <c r="GY11" s="1221">
        <v>31.1</v>
      </c>
      <c r="GZ11" s="1117" t="s">
        <v>5317</v>
      </c>
      <c r="HA11" s="1117">
        <v>40.299999999999997</v>
      </c>
      <c r="HB11" s="1117" t="s">
        <v>5318</v>
      </c>
      <c r="HC11" s="1221">
        <v>27.6</v>
      </c>
      <c r="HD11" s="1192" t="s">
        <v>5319</v>
      </c>
      <c r="HE11" s="1222"/>
      <c r="HF11" s="1223"/>
      <c r="HH11" s="1212" t="s">
        <v>5292</v>
      </c>
      <c r="HI11" s="1185">
        <v>3.8</v>
      </c>
      <c r="HJ11" s="1185" t="s">
        <v>5320</v>
      </c>
      <c r="HK11" s="1185">
        <v>9.1</v>
      </c>
      <c r="HL11" s="1185" t="s">
        <v>5321</v>
      </c>
      <c r="HM11" s="1185">
        <v>11.1</v>
      </c>
      <c r="HN11" s="1185" t="s">
        <v>5322</v>
      </c>
      <c r="HO11" s="1199"/>
      <c r="HP11" s="1199"/>
    </row>
    <row r="12" spans="1:224" ht="15.6" customHeight="1">
      <c r="J12" s="386"/>
      <c r="K12" s="398" t="s">
        <v>5323</v>
      </c>
      <c r="T12" s="398" t="s">
        <v>5324</v>
      </c>
      <c r="U12" s="382">
        <v>1497</v>
      </c>
      <c r="V12" s="382">
        <v>260</v>
      </c>
      <c r="W12" s="382">
        <v>312</v>
      </c>
      <c r="X12" s="382">
        <v>255</v>
      </c>
      <c r="Y12" s="382">
        <v>227</v>
      </c>
      <c r="Z12" s="382"/>
      <c r="AA12" s="382"/>
      <c r="AB12" s="386" t="s">
        <v>5325</v>
      </c>
      <c r="AC12" s="463">
        <v>13</v>
      </c>
      <c r="AD12" s="463">
        <v>96</v>
      </c>
      <c r="AE12" s="463">
        <v>732</v>
      </c>
      <c r="AF12" s="463">
        <v>350</v>
      </c>
      <c r="AG12" s="463">
        <v>477</v>
      </c>
      <c r="AH12" s="463"/>
      <c r="AK12" s="1120" t="s">
        <v>5326</v>
      </c>
      <c r="AL12" s="864" t="s">
        <v>1627</v>
      </c>
      <c r="AM12" s="1225">
        <v>35</v>
      </c>
      <c r="AN12" s="1225">
        <v>34</v>
      </c>
      <c r="AO12" s="1218">
        <v>32</v>
      </c>
      <c r="AP12" s="1218">
        <v>44</v>
      </c>
      <c r="AQ12" s="1218">
        <v>43</v>
      </c>
      <c r="AR12" s="1169"/>
      <c r="AS12" s="1169"/>
      <c r="AU12" s="1172"/>
      <c r="AV12" s="1087"/>
      <c r="AW12" s="1125"/>
      <c r="AX12" s="1125"/>
      <c r="AY12" s="1125"/>
      <c r="AZ12" s="1125"/>
      <c r="BA12" s="1125"/>
      <c r="BB12" s="1125"/>
      <c r="BC12" s="1125"/>
      <c r="BD12" s="1230" t="s">
        <v>2574</v>
      </c>
      <c r="BE12" s="1231">
        <v>0</v>
      </c>
      <c r="BF12" s="1231">
        <v>0</v>
      </c>
      <c r="BG12" s="1231">
        <v>0</v>
      </c>
      <c r="BH12" s="1231">
        <v>0</v>
      </c>
      <c r="BI12" s="1231">
        <v>3</v>
      </c>
      <c r="BJ12" s="1174"/>
      <c r="BK12" s="1232"/>
      <c r="BL12" s="1233" t="s">
        <v>2574</v>
      </c>
      <c r="BM12" s="1234">
        <v>2</v>
      </c>
      <c r="BN12" s="1234">
        <v>1</v>
      </c>
      <c r="BO12" s="1234">
        <v>3</v>
      </c>
      <c r="BP12" s="1234">
        <v>3</v>
      </c>
      <c r="BQ12" s="1234">
        <v>7</v>
      </c>
      <c r="BR12" s="1232"/>
      <c r="BS12" s="1172"/>
      <c r="BT12" s="1090">
        <v>8</v>
      </c>
      <c r="BU12" s="585" t="s">
        <v>5327</v>
      </c>
      <c r="BV12" s="585">
        <v>26</v>
      </c>
      <c r="BW12" s="886">
        <v>2.2317596566523603</v>
      </c>
      <c r="BX12" s="771"/>
      <c r="BY12" s="771"/>
      <c r="BZ12" s="799"/>
      <c r="CB12" s="1211" t="s">
        <v>5328</v>
      </c>
      <c r="CC12" s="1179">
        <v>0</v>
      </c>
      <c r="CD12" s="1180">
        <v>0</v>
      </c>
      <c r="CE12" s="1180">
        <v>0</v>
      </c>
      <c r="CF12" s="1180">
        <v>0</v>
      </c>
      <c r="CG12" s="1180">
        <v>0</v>
      </c>
      <c r="CH12" s="1180"/>
      <c r="CI12" s="385"/>
      <c r="CJ12" s="382" t="s">
        <v>5329</v>
      </c>
      <c r="CK12" s="393"/>
      <c r="CL12" s="1181"/>
      <c r="CM12" s="1181"/>
      <c r="CN12" s="1181"/>
      <c r="CO12" s="1181"/>
      <c r="CP12" s="1181"/>
      <c r="CQ12" s="1181"/>
      <c r="CR12" s="1181"/>
      <c r="CS12" s="1181"/>
      <c r="CT12" s="385"/>
      <c r="CU12" s="382" t="s">
        <v>5329</v>
      </c>
      <c r="CV12" s="393">
        <f t="shared" si="2"/>
        <v>1</v>
      </c>
      <c r="CW12" s="1181">
        <v>1</v>
      </c>
      <c r="CX12" s="1181">
        <v>0</v>
      </c>
      <c r="CY12" s="1181">
        <v>0</v>
      </c>
      <c r="CZ12" s="1181">
        <v>0</v>
      </c>
      <c r="DA12" s="1181">
        <v>0</v>
      </c>
      <c r="DB12" s="1181">
        <v>0</v>
      </c>
      <c r="DC12" s="1181">
        <v>0</v>
      </c>
      <c r="DD12" s="1181">
        <v>0</v>
      </c>
      <c r="DE12" s="385"/>
      <c r="DF12" s="385"/>
      <c r="DG12" s="382" t="s">
        <v>5329</v>
      </c>
      <c r="DH12" s="393">
        <f t="shared" si="1"/>
        <v>0</v>
      </c>
      <c r="DI12" s="1181">
        <v>0</v>
      </c>
      <c r="DJ12" s="1181">
        <v>0</v>
      </c>
      <c r="DK12" s="1181">
        <v>0</v>
      </c>
      <c r="DL12" s="1181">
        <v>0</v>
      </c>
      <c r="DM12" s="1181">
        <v>0</v>
      </c>
      <c r="DN12" s="1181">
        <v>0</v>
      </c>
      <c r="DO12" s="1181">
        <v>0</v>
      </c>
      <c r="DP12" s="1181">
        <v>0</v>
      </c>
      <c r="DQ12" s="409"/>
      <c r="DS12" s="382" t="s">
        <v>5290</v>
      </c>
      <c r="DT12" s="1179">
        <v>0</v>
      </c>
      <c r="DU12" s="1180">
        <v>0</v>
      </c>
      <c r="DV12" s="1180">
        <v>0</v>
      </c>
      <c r="DW12" s="1180">
        <v>0</v>
      </c>
      <c r="DX12" s="1180">
        <v>0</v>
      </c>
      <c r="DY12" s="1180">
        <v>0</v>
      </c>
      <c r="DZ12" s="1180">
        <v>0</v>
      </c>
      <c r="EA12" s="1180">
        <v>0</v>
      </c>
      <c r="EB12" s="393"/>
      <c r="EE12" s="1235" t="s">
        <v>3465</v>
      </c>
      <c r="EF12" s="1183"/>
      <c r="EG12" s="1185"/>
      <c r="EH12" s="1185"/>
      <c r="EI12" s="1185"/>
      <c r="EJ12" s="1185"/>
      <c r="EK12" s="1185"/>
      <c r="EL12" s="1185"/>
      <c r="EM12" s="1185"/>
      <c r="EN12" s="1236"/>
      <c r="EO12" s="1185"/>
      <c r="EP12" s="1205"/>
      <c r="ER12" s="1237" t="s">
        <v>3465</v>
      </c>
      <c r="ES12" s="1115"/>
      <c r="ET12" s="1101"/>
      <c r="EU12" s="1115"/>
      <c r="EV12" s="1101"/>
      <c r="EW12" s="1237"/>
      <c r="EX12" s="1237"/>
      <c r="EY12" s="1237"/>
      <c r="EZ12" s="1237"/>
      <c r="FA12" s="1237"/>
      <c r="FB12" s="1237"/>
      <c r="FC12" s="1115"/>
      <c r="FD12" s="1115"/>
      <c r="FE12" s="1115"/>
      <c r="FF12" s="1115"/>
      <c r="FG12" s="1235" t="s">
        <v>3465</v>
      </c>
      <c r="FH12" s="1183"/>
      <c r="FI12" s="1185"/>
      <c r="FJ12" s="1183"/>
      <c r="FK12" s="1185"/>
      <c r="FL12" s="1183"/>
      <c r="FM12" s="1185"/>
      <c r="FN12" s="1183"/>
      <c r="FO12" s="1185"/>
      <c r="FP12" s="1185"/>
      <c r="FQ12" s="1185"/>
      <c r="FR12" s="1205"/>
      <c r="FS12" s="1205"/>
      <c r="FV12" s="1220" t="s">
        <v>5292</v>
      </c>
      <c r="FW12" s="1115">
        <v>31.1</v>
      </c>
      <c r="FX12" s="1115" t="s">
        <v>5330</v>
      </c>
      <c r="FY12" s="1115">
        <v>0.1</v>
      </c>
      <c r="FZ12" s="1115" t="s">
        <v>5331</v>
      </c>
      <c r="GA12" s="1115">
        <v>32.799999999999997</v>
      </c>
      <c r="GB12" s="1115" t="s">
        <v>5332</v>
      </c>
      <c r="GC12" s="1115">
        <v>0.9</v>
      </c>
      <c r="GD12" s="1115" t="s">
        <v>5273</v>
      </c>
      <c r="GE12" s="402">
        <v>37.1</v>
      </c>
      <c r="GF12" s="402" t="s">
        <v>5333</v>
      </c>
      <c r="GG12" s="402">
        <v>0.2</v>
      </c>
      <c r="GH12" s="402" t="s">
        <v>5155</v>
      </c>
      <c r="GI12" s="1115"/>
      <c r="GJ12" s="1115"/>
      <c r="GL12" s="1238" t="s">
        <v>3465</v>
      </c>
      <c r="GM12" s="1117"/>
      <c r="GN12" s="1117"/>
      <c r="GO12" s="1193"/>
      <c r="GP12" s="1117"/>
      <c r="GQ12" s="1117"/>
      <c r="GR12" s="1117"/>
      <c r="GS12" s="1208"/>
      <c r="GT12" s="1208"/>
      <c r="GU12" s="1209"/>
      <c r="GV12" s="1215" t="s">
        <v>5292</v>
      </c>
      <c r="GW12" s="1209">
        <v>26.7</v>
      </c>
      <c r="GX12" s="1117" t="s">
        <v>5334</v>
      </c>
      <c r="GY12" s="1221">
        <v>23.4</v>
      </c>
      <c r="GZ12" s="1117" t="s">
        <v>5335</v>
      </c>
      <c r="HA12" s="1117">
        <v>32.9</v>
      </c>
      <c r="HB12" s="1117" t="s">
        <v>5336</v>
      </c>
      <c r="HC12" s="1221">
        <v>20.6</v>
      </c>
      <c r="HD12" s="1192" t="s">
        <v>5337</v>
      </c>
      <c r="HE12" s="1222"/>
      <c r="HF12" s="1223"/>
      <c r="HH12" s="1235" t="s">
        <v>3465</v>
      </c>
      <c r="HI12" s="1185"/>
      <c r="HJ12" s="1185"/>
      <c r="HK12" s="1185"/>
      <c r="HL12" s="1185"/>
      <c r="HM12" s="1185"/>
      <c r="HN12" s="1185"/>
      <c r="HO12" s="1199"/>
      <c r="HP12" s="1199"/>
    </row>
    <row r="13" spans="1:224" ht="15.6" customHeight="1">
      <c r="J13" s="385"/>
      <c r="K13" s="398" t="s">
        <v>5338</v>
      </c>
      <c r="T13" s="398" t="s">
        <v>5339</v>
      </c>
      <c r="U13" s="382">
        <v>184</v>
      </c>
      <c r="V13" s="382">
        <v>56</v>
      </c>
      <c r="W13" s="382">
        <v>37</v>
      </c>
      <c r="X13" s="382">
        <v>21</v>
      </c>
      <c r="Y13" s="382">
        <v>21</v>
      </c>
      <c r="Z13" s="382"/>
      <c r="AA13" s="382"/>
      <c r="AB13" s="386" t="s">
        <v>5340</v>
      </c>
      <c r="AC13" s="463">
        <v>81</v>
      </c>
      <c r="AD13" s="463">
        <v>187</v>
      </c>
      <c r="AE13" s="463">
        <v>284</v>
      </c>
      <c r="AF13" s="463">
        <v>567</v>
      </c>
      <c r="AG13" s="463">
        <v>502</v>
      </c>
      <c r="AH13" s="463"/>
      <c r="AK13" s="1168" t="s">
        <v>5341</v>
      </c>
      <c r="AL13" s="864" t="s">
        <v>1627</v>
      </c>
      <c r="AM13" s="1228">
        <v>14.5</v>
      </c>
      <c r="AN13" s="1229">
        <v>13.31245105716523</v>
      </c>
      <c r="AO13" s="1171">
        <v>12.021036814425244</v>
      </c>
      <c r="AP13" s="1171">
        <v>14.755197853789403</v>
      </c>
      <c r="AQ13" s="1171">
        <v>13.870967741935484</v>
      </c>
      <c r="AR13" s="1200"/>
      <c r="AS13" s="1200"/>
      <c r="AU13" s="1124"/>
      <c r="AV13" s="811"/>
      <c r="AW13" s="1125"/>
      <c r="AX13" s="1125"/>
      <c r="AY13" s="585"/>
      <c r="AZ13" s="1125"/>
      <c r="BA13" s="1125"/>
      <c r="BB13" s="1125"/>
      <c r="BC13" s="1125"/>
      <c r="BD13" s="1239" t="s">
        <v>5342</v>
      </c>
      <c r="BE13" s="1240"/>
      <c r="BF13" s="1241"/>
      <c r="BG13" s="1242"/>
      <c r="BH13" s="1242"/>
      <c r="BI13" s="1242"/>
      <c r="BJ13" s="1242"/>
      <c r="BK13" s="1243"/>
      <c r="BL13" s="1239" t="s">
        <v>5342</v>
      </c>
      <c r="BM13" s="1240"/>
      <c r="BN13" s="1241"/>
      <c r="BO13" s="1242"/>
      <c r="BP13" s="1242"/>
      <c r="BQ13" s="1242"/>
      <c r="BR13" s="1243"/>
      <c r="BS13" s="1124"/>
      <c r="BT13" s="1090">
        <v>9</v>
      </c>
      <c r="BU13" s="585" t="s">
        <v>5343</v>
      </c>
      <c r="BV13" s="585">
        <v>25</v>
      </c>
      <c r="BW13" s="886">
        <v>2.1459227467811157</v>
      </c>
      <c r="BX13" s="771"/>
      <c r="BY13" s="771"/>
      <c r="BZ13" s="799"/>
      <c r="CB13" s="1211" t="s">
        <v>5291</v>
      </c>
      <c r="CC13" s="1179">
        <v>0</v>
      </c>
      <c r="CD13" s="1180">
        <v>2</v>
      </c>
      <c r="CE13" s="1180">
        <v>2</v>
      </c>
      <c r="CF13" s="1180">
        <v>1</v>
      </c>
      <c r="CG13" s="1180">
        <v>2</v>
      </c>
      <c r="CH13" s="1180"/>
      <c r="CJ13" s="382" t="s">
        <v>5344</v>
      </c>
      <c r="CK13" s="2207" t="s">
        <v>5345</v>
      </c>
      <c r="CL13" s="2207"/>
      <c r="CM13" s="2207"/>
      <c r="CN13" s="2207"/>
      <c r="CO13" s="2207"/>
      <c r="CP13" s="2207"/>
      <c r="CQ13" s="2207"/>
      <c r="CR13" s="2207"/>
      <c r="CS13" s="1181"/>
      <c r="CU13" s="382" t="s">
        <v>5344</v>
      </c>
      <c r="CV13" s="393">
        <f t="shared" si="2"/>
        <v>0</v>
      </c>
      <c r="CW13" s="1181">
        <v>0</v>
      </c>
      <c r="CX13" s="1181">
        <v>0</v>
      </c>
      <c r="CY13" s="1181">
        <v>0</v>
      </c>
      <c r="CZ13" s="1181">
        <v>0</v>
      </c>
      <c r="DA13" s="1181">
        <v>0</v>
      </c>
      <c r="DB13" s="1181">
        <v>0</v>
      </c>
      <c r="DC13" s="1181">
        <v>0</v>
      </c>
      <c r="DD13" s="1181">
        <v>0</v>
      </c>
      <c r="DG13" s="382" t="s">
        <v>5344</v>
      </c>
      <c r="DH13" s="393">
        <f t="shared" si="1"/>
        <v>2</v>
      </c>
      <c r="DI13" s="1181">
        <v>0</v>
      </c>
      <c r="DJ13" s="1181">
        <v>0</v>
      </c>
      <c r="DK13" s="1181">
        <v>0</v>
      </c>
      <c r="DL13" s="1181">
        <v>0</v>
      </c>
      <c r="DM13" s="1181">
        <v>0</v>
      </c>
      <c r="DN13" s="1181">
        <v>0</v>
      </c>
      <c r="DO13" s="1181">
        <v>2</v>
      </c>
      <c r="DP13" s="1181">
        <v>0</v>
      </c>
      <c r="DQ13" s="409"/>
      <c r="DS13" s="382" t="s">
        <v>5328</v>
      </c>
      <c r="DT13" s="1179">
        <v>0</v>
      </c>
      <c r="DU13" s="1179">
        <v>0</v>
      </c>
      <c r="DV13" s="1179">
        <v>0</v>
      </c>
      <c r="DW13" s="1179">
        <v>0</v>
      </c>
      <c r="DX13" s="1180">
        <v>0</v>
      </c>
      <c r="DY13" s="1179">
        <v>0</v>
      </c>
      <c r="DZ13" s="1179">
        <v>0</v>
      </c>
      <c r="EA13" s="1179">
        <v>0</v>
      </c>
      <c r="EB13" s="393"/>
      <c r="EE13" s="1212" t="s">
        <v>1711</v>
      </c>
      <c r="EF13" s="1183">
        <v>12</v>
      </c>
      <c r="EG13" s="1185" t="s">
        <v>5346</v>
      </c>
      <c r="EH13" s="1183">
        <v>11</v>
      </c>
      <c r="EI13" s="1185" t="s">
        <v>5347</v>
      </c>
      <c r="EJ13" s="1185">
        <v>9.6999999999999993</v>
      </c>
      <c r="EK13" s="1185" t="s">
        <v>5348</v>
      </c>
      <c r="EL13" s="1185">
        <v>12.7</v>
      </c>
      <c r="EM13" s="1185" t="s">
        <v>5349</v>
      </c>
      <c r="EN13" s="1183">
        <v>11</v>
      </c>
      <c r="EO13" s="1185" t="s">
        <v>5350</v>
      </c>
      <c r="EP13" s="1205"/>
      <c r="ER13" s="1213" t="s">
        <v>1711</v>
      </c>
      <c r="ES13" s="1115">
        <v>2.8</v>
      </c>
      <c r="ET13" s="1101" t="s">
        <v>5351</v>
      </c>
      <c r="EU13" s="1115">
        <v>4.3</v>
      </c>
      <c r="EV13" s="1101" t="s">
        <v>5352</v>
      </c>
      <c r="EW13" s="1188">
        <v>3.7</v>
      </c>
      <c r="EX13" s="1188" t="s">
        <v>5353</v>
      </c>
      <c r="EY13" s="1188">
        <v>1.4</v>
      </c>
      <c r="EZ13" s="1188" t="s">
        <v>5354</v>
      </c>
      <c r="FA13" s="1188">
        <v>3</v>
      </c>
      <c r="FB13" s="1188" t="s">
        <v>5355</v>
      </c>
      <c r="FC13" s="1115"/>
      <c r="FD13" s="1115"/>
      <c r="FE13" s="1115"/>
      <c r="FF13" s="1115"/>
      <c r="FG13" s="1212" t="s">
        <v>1711</v>
      </c>
      <c r="FH13" s="1183">
        <v>3.7</v>
      </c>
      <c r="FI13" s="1185" t="s">
        <v>5356</v>
      </c>
      <c r="FJ13" s="1183">
        <v>5.0999999999999996</v>
      </c>
      <c r="FK13" s="1185" t="s">
        <v>5357</v>
      </c>
      <c r="FL13" s="1183">
        <v>5.6</v>
      </c>
      <c r="FM13" s="1185" t="s">
        <v>5358</v>
      </c>
      <c r="FN13" s="1183">
        <v>4</v>
      </c>
      <c r="FO13" s="1185" t="s">
        <v>5359</v>
      </c>
      <c r="FP13" s="1185">
        <v>5.5</v>
      </c>
      <c r="FQ13" s="1185" t="s">
        <v>5360</v>
      </c>
      <c r="FR13" s="1205"/>
      <c r="FS13" s="1205"/>
      <c r="FV13" s="1244" t="s">
        <v>3465</v>
      </c>
      <c r="FW13" s="1115"/>
      <c r="FX13" s="1115"/>
      <c r="FY13" s="1115"/>
      <c r="FZ13" s="1115"/>
      <c r="GA13" s="1115"/>
      <c r="GB13" s="1115"/>
      <c r="GC13" s="1115"/>
      <c r="GD13" s="1115"/>
      <c r="GE13" s="402"/>
      <c r="GF13" s="402"/>
      <c r="GG13" s="402"/>
      <c r="GH13" s="402"/>
      <c r="GI13" s="1115"/>
      <c r="GJ13" s="1115"/>
      <c r="GL13" s="1215" t="s">
        <v>1711</v>
      </c>
      <c r="GM13" s="1117">
        <v>27.2</v>
      </c>
      <c r="GN13" s="1117" t="s">
        <v>5361</v>
      </c>
      <c r="GO13" s="1193">
        <v>28.3</v>
      </c>
      <c r="GP13" s="1117" t="s">
        <v>5362</v>
      </c>
      <c r="GQ13" s="1117">
        <v>30</v>
      </c>
      <c r="GR13" s="1117" t="s">
        <v>5363</v>
      </c>
      <c r="GS13" s="1208"/>
      <c r="GT13" s="1208"/>
      <c r="GU13" s="1209"/>
      <c r="GV13" s="1238" t="s">
        <v>3465</v>
      </c>
      <c r="GW13" s="1117"/>
      <c r="GX13" s="1117"/>
      <c r="GY13" s="1245"/>
      <c r="GZ13" s="1117"/>
      <c r="HA13" s="1117"/>
      <c r="HB13" s="1117"/>
      <c r="HC13" s="1245"/>
      <c r="HD13" s="1192"/>
      <c r="HE13" s="1216"/>
      <c r="HF13" s="1199"/>
      <c r="HH13" s="1212" t="s">
        <v>1711</v>
      </c>
      <c r="HI13" s="1183">
        <v>24</v>
      </c>
      <c r="HJ13" s="1185" t="s">
        <v>5364</v>
      </c>
      <c r="HK13" s="1185">
        <v>27.5</v>
      </c>
      <c r="HL13" s="1185" t="s">
        <v>5365</v>
      </c>
      <c r="HM13" s="1185">
        <v>29.4</v>
      </c>
      <c r="HN13" s="1185" t="s">
        <v>5366</v>
      </c>
      <c r="HO13" s="1199"/>
      <c r="HP13" s="1199"/>
    </row>
    <row r="14" spans="1:224" ht="15.6" customHeight="1">
      <c r="K14" s="398" t="s">
        <v>5367</v>
      </c>
      <c r="T14" s="398" t="s">
        <v>5368</v>
      </c>
      <c r="U14" s="382">
        <v>379</v>
      </c>
      <c r="V14" s="382">
        <v>109</v>
      </c>
      <c r="W14" s="382">
        <v>64</v>
      </c>
      <c r="X14" s="382">
        <v>44</v>
      </c>
      <c r="Y14" s="382">
        <v>48</v>
      </c>
      <c r="Z14" s="382"/>
      <c r="AA14" s="382"/>
      <c r="AB14" s="398"/>
      <c r="AK14" s="1168" t="s">
        <v>5369</v>
      </c>
      <c r="AL14" s="864" t="s">
        <v>1627</v>
      </c>
      <c r="AM14" s="1218">
        <v>15</v>
      </c>
      <c r="AN14" s="1225">
        <v>7</v>
      </c>
      <c r="AO14" s="1218">
        <v>22</v>
      </c>
      <c r="AP14" s="1218">
        <v>12</v>
      </c>
      <c r="AQ14" s="1218">
        <v>17</v>
      </c>
      <c r="AR14" s="1169"/>
      <c r="AS14" s="1169"/>
      <c r="AU14" s="1124"/>
      <c r="AV14" s="1246"/>
      <c r="AW14" s="1247"/>
      <c r="AX14" s="1248"/>
      <c r="AY14" s="585"/>
      <c r="AZ14" s="1204"/>
      <c r="BA14" s="1204"/>
      <c r="BB14" s="1204"/>
      <c r="BC14" s="1204"/>
      <c r="BD14" s="1204"/>
      <c r="BE14" s="1204"/>
      <c r="BF14" s="1204"/>
      <c r="BG14" s="1204"/>
      <c r="BH14" s="1249"/>
      <c r="BI14" s="1249"/>
      <c r="BJ14" s="1249"/>
      <c r="BK14" s="1249"/>
      <c r="BL14" s="1249"/>
      <c r="BM14" s="1249"/>
      <c r="BN14" s="1249"/>
      <c r="BO14" s="1249"/>
      <c r="BP14" s="1249"/>
      <c r="BQ14" s="1249"/>
      <c r="BR14" s="1249"/>
      <c r="BS14" s="1124"/>
      <c r="BT14" s="1090">
        <v>10</v>
      </c>
      <c r="BU14" s="585" t="s">
        <v>5370</v>
      </c>
      <c r="BV14" s="585">
        <v>22</v>
      </c>
      <c r="BW14" s="886">
        <v>1.8884120171673819</v>
      </c>
      <c r="BX14" s="771"/>
      <c r="BY14" s="771"/>
      <c r="BZ14" s="799"/>
      <c r="CB14" s="1211" t="s">
        <v>5371</v>
      </c>
      <c r="CC14" s="1179">
        <v>0</v>
      </c>
      <c r="CD14" s="1180">
        <v>0</v>
      </c>
      <c r="CE14" s="1180">
        <v>0</v>
      </c>
      <c r="CF14" s="1180">
        <v>0</v>
      </c>
      <c r="CG14" s="1180">
        <v>0</v>
      </c>
      <c r="CH14" s="1180"/>
      <c r="CJ14" s="382" t="s">
        <v>5372</v>
      </c>
      <c r="CK14" s="393"/>
      <c r="CL14" s="1181"/>
      <c r="CM14" s="1181"/>
      <c r="CN14" s="1181"/>
      <c r="CO14" s="1181"/>
      <c r="CP14" s="1181"/>
      <c r="CQ14" s="1181"/>
      <c r="CR14" s="1181"/>
      <c r="CS14" s="1181"/>
      <c r="CU14" s="382" t="s">
        <v>5372</v>
      </c>
      <c r="CV14" s="393">
        <f t="shared" si="2"/>
        <v>0</v>
      </c>
      <c r="CW14" s="1181">
        <v>0</v>
      </c>
      <c r="CX14" s="1181">
        <v>0</v>
      </c>
      <c r="CY14" s="1181">
        <v>0</v>
      </c>
      <c r="CZ14" s="1181">
        <v>0</v>
      </c>
      <c r="DA14" s="1181">
        <v>0</v>
      </c>
      <c r="DB14" s="1181">
        <v>0</v>
      </c>
      <c r="DC14" s="1181">
        <v>0</v>
      </c>
      <c r="DD14" s="1181">
        <v>0</v>
      </c>
      <c r="DG14" s="382" t="s">
        <v>5372</v>
      </c>
      <c r="DH14" s="393">
        <f t="shared" si="1"/>
        <v>1</v>
      </c>
      <c r="DI14" s="1181">
        <v>1</v>
      </c>
      <c r="DJ14" s="1181">
        <v>0</v>
      </c>
      <c r="DK14" s="1181">
        <v>0</v>
      </c>
      <c r="DL14" s="1181">
        <v>0</v>
      </c>
      <c r="DM14" s="1181">
        <v>0</v>
      </c>
      <c r="DN14" s="1181">
        <v>0</v>
      </c>
      <c r="DO14" s="1181">
        <v>0</v>
      </c>
      <c r="DP14" s="1181">
        <v>0</v>
      </c>
      <c r="DQ14" s="409"/>
      <c r="DS14" s="382" t="s">
        <v>5291</v>
      </c>
      <c r="DT14" s="1179">
        <v>0</v>
      </c>
      <c r="DU14" s="1179">
        <v>0</v>
      </c>
      <c r="DV14" s="1179">
        <v>0</v>
      </c>
      <c r="DW14" s="1179">
        <v>0</v>
      </c>
      <c r="DX14" s="1180">
        <v>2</v>
      </c>
      <c r="DY14" s="1179">
        <v>1</v>
      </c>
      <c r="DZ14" s="1179">
        <v>1</v>
      </c>
      <c r="EA14" s="1179">
        <v>0</v>
      </c>
      <c r="EB14" s="393"/>
      <c r="EE14" s="1212" t="s">
        <v>1712</v>
      </c>
      <c r="EF14" s="1183">
        <v>6</v>
      </c>
      <c r="EG14" s="1185" t="s">
        <v>5373</v>
      </c>
      <c r="EH14" s="1185">
        <v>3.8</v>
      </c>
      <c r="EI14" s="1185" t="s">
        <v>5374</v>
      </c>
      <c r="EJ14" s="1185">
        <v>5.9</v>
      </c>
      <c r="EK14" s="1185" t="s">
        <v>5375</v>
      </c>
      <c r="EL14" s="1185">
        <v>3.7</v>
      </c>
      <c r="EM14" s="1185" t="s">
        <v>5376</v>
      </c>
      <c r="EN14" s="1183">
        <v>5.2</v>
      </c>
      <c r="EO14" s="1185" t="s">
        <v>5377</v>
      </c>
      <c r="EP14" s="1205"/>
      <c r="ER14" s="1213" t="s">
        <v>1712</v>
      </c>
      <c r="ES14" s="1115">
        <v>1.9</v>
      </c>
      <c r="ET14" s="1101" t="s">
        <v>5378</v>
      </c>
      <c r="EU14" s="1115">
        <v>2.4</v>
      </c>
      <c r="EV14" s="1101" t="s">
        <v>5379</v>
      </c>
      <c r="EW14" s="1188">
        <v>3.6</v>
      </c>
      <c r="EX14" s="1188" t="s">
        <v>5380</v>
      </c>
      <c r="EY14" s="1188">
        <v>3.5</v>
      </c>
      <c r="EZ14" s="1188" t="s">
        <v>5381</v>
      </c>
      <c r="FA14" s="1188">
        <v>2.7</v>
      </c>
      <c r="FB14" s="1188" t="s">
        <v>5382</v>
      </c>
      <c r="FC14" s="1115"/>
      <c r="FD14" s="1115"/>
      <c r="FE14" s="1115"/>
      <c r="FF14" s="1115"/>
      <c r="FG14" s="1212" t="s">
        <v>1712</v>
      </c>
      <c r="FH14" s="1183">
        <v>2.7</v>
      </c>
      <c r="FI14" s="1185" t="s">
        <v>5383</v>
      </c>
      <c r="FJ14" s="1183">
        <v>4</v>
      </c>
      <c r="FK14" s="1185" t="s">
        <v>5384</v>
      </c>
      <c r="FL14" s="1185">
        <v>4.2</v>
      </c>
      <c r="FM14" s="1185" t="s">
        <v>5385</v>
      </c>
      <c r="FN14" s="1185">
        <v>2.4</v>
      </c>
      <c r="FO14" s="1185" t="s">
        <v>5386</v>
      </c>
      <c r="FP14" s="1185">
        <v>2.6</v>
      </c>
      <c r="FQ14" s="1185" t="s">
        <v>5387</v>
      </c>
      <c r="FR14" s="1205"/>
      <c r="FS14" s="1205"/>
      <c r="FV14" s="1220" t="s">
        <v>1711</v>
      </c>
      <c r="FW14" s="1115">
        <v>13.2</v>
      </c>
      <c r="FX14" s="1115" t="s">
        <v>5388</v>
      </c>
      <c r="FY14" s="1115" t="s">
        <v>5131</v>
      </c>
      <c r="FZ14" s="1115" t="s">
        <v>5131</v>
      </c>
      <c r="GA14" s="1115">
        <v>15</v>
      </c>
      <c r="GB14" s="1115" t="s">
        <v>5389</v>
      </c>
      <c r="GC14" s="1115" t="s">
        <v>5131</v>
      </c>
      <c r="GD14" s="1115" t="s">
        <v>5131</v>
      </c>
      <c r="GE14" s="402">
        <v>13.4</v>
      </c>
      <c r="GF14" s="402" t="s">
        <v>5390</v>
      </c>
      <c r="GG14" s="402" t="s">
        <v>5131</v>
      </c>
      <c r="GH14" s="402" t="s">
        <v>5131</v>
      </c>
      <c r="GI14" s="1115"/>
      <c r="GJ14" s="1115"/>
      <c r="GL14" s="1215" t="s">
        <v>1712</v>
      </c>
      <c r="GM14" s="1117">
        <v>19.399999999999999</v>
      </c>
      <c r="GN14" s="1117" t="s">
        <v>5391</v>
      </c>
      <c r="GO14" s="1193">
        <v>15.2</v>
      </c>
      <c r="GP14" s="1117" t="s">
        <v>5392</v>
      </c>
      <c r="GQ14" s="1209">
        <v>22.5</v>
      </c>
      <c r="GR14" s="1117" t="s">
        <v>5393</v>
      </c>
      <c r="GS14" s="1208"/>
      <c r="GT14" s="1208"/>
      <c r="GU14" s="1209"/>
      <c r="GV14" s="1215" t="s">
        <v>1711</v>
      </c>
      <c r="GW14" s="1117">
        <v>37.1</v>
      </c>
      <c r="GX14" s="1117" t="s">
        <v>5394</v>
      </c>
      <c r="GY14" s="1221">
        <v>35.299999999999997</v>
      </c>
      <c r="GZ14" s="1117" t="s">
        <v>5395</v>
      </c>
      <c r="HA14" s="1117">
        <v>35.9</v>
      </c>
      <c r="HB14" s="1117" t="s">
        <v>5396</v>
      </c>
      <c r="HC14" s="1221">
        <v>29</v>
      </c>
      <c r="HD14" s="1192" t="s">
        <v>5397</v>
      </c>
      <c r="HE14" s="1222"/>
      <c r="HF14" s="1223"/>
      <c r="HH14" s="1212" t="s">
        <v>1712</v>
      </c>
      <c r="HI14" s="1183">
        <v>11.9</v>
      </c>
      <c r="HJ14" s="1185" t="s">
        <v>5398</v>
      </c>
      <c r="HK14" s="1185">
        <v>8.4</v>
      </c>
      <c r="HL14" s="1185" t="s">
        <v>5399</v>
      </c>
      <c r="HM14" s="1185">
        <v>15.8</v>
      </c>
      <c r="HN14" s="1185" t="s">
        <v>5400</v>
      </c>
      <c r="HO14" s="1199"/>
      <c r="HP14" s="1199"/>
    </row>
    <row r="15" spans="1:224" ht="15.6" customHeight="1">
      <c r="J15" s="385"/>
      <c r="K15" s="398" t="s">
        <v>5401</v>
      </c>
      <c r="T15" s="398" t="s">
        <v>5402</v>
      </c>
      <c r="U15" s="463">
        <v>10284</v>
      </c>
      <c r="V15" s="463">
        <v>2662</v>
      </c>
      <c r="W15" s="463">
        <v>2263</v>
      </c>
      <c r="X15" s="463">
        <v>2232</v>
      </c>
      <c r="Y15" s="463">
        <v>2411</v>
      </c>
      <c r="Z15" s="463"/>
      <c r="AA15" s="463"/>
      <c r="AB15" s="398" t="s">
        <v>5403</v>
      </c>
      <c r="AC15" s="1250">
        <f>SUM(AC16:AC22)</f>
        <v>17177</v>
      </c>
      <c r="AD15" s="1250">
        <f>SUM(AD16:AD21)</f>
        <v>34533</v>
      </c>
      <c r="AE15" s="1250">
        <v>47478</v>
      </c>
      <c r="AF15" s="1250">
        <v>35505</v>
      </c>
      <c r="AG15" s="1250">
        <v>32989</v>
      </c>
      <c r="AH15" s="1251"/>
      <c r="AK15" s="1224" t="s">
        <v>5404</v>
      </c>
      <c r="AL15" s="864" t="s">
        <v>1627</v>
      </c>
      <c r="AM15" s="1228">
        <v>20.7</v>
      </c>
      <c r="AN15" s="1229">
        <v>16.05324980422866</v>
      </c>
      <c r="AO15" s="1171">
        <v>20.285499624342599</v>
      </c>
      <c r="AP15" s="1171">
        <v>18.779342723004696</v>
      </c>
      <c r="AQ15" s="1171">
        <v>19.35483870967742</v>
      </c>
      <c r="AR15" s="1121"/>
      <c r="AS15" s="1121"/>
      <c r="AU15" s="1124"/>
      <c r="AV15" s="1246"/>
      <c r="AW15" s="1252"/>
      <c r="AX15" s="1087"/>
      <c r="AY15" s="585"/>
      <c r="AZ15" s="1087"/>
      <c r="BA15" s="1087"/>
      <c r="BB15" s="1087"/>
      <c r="BC15" s="1087"/>
      <c r="BD15" s="1087"/>
      <c r="BE15" s="1087"/>
      <c r="BF15" s="1087"/>
      <c r="BG15" s="1087"/>
      <c r="BH15" s="1249" t="s">
        <v>3663</v>
      </c>
      <c r="BI15" s="1249"/>
      <c r="BJ15" s="1249"/>
      <c r="BK15" s="1249"/>
      <c r="BL15" s="1249"/>
      <c r="BM15" s="1249"/>
      <c r="BN15" s="1249"/>
      <c r="BO15" s="1249"/>
      <c r="BP15" s="1249"/>
      <c r="BQ15" s="1249"/>
      <c r="BR15" s="1249"/>
      <c r="BS15" s="1124"/>
      <c r="BT15" s="1090"/>
      <c r="BU15" s="1253"/>
      <c r="BV15" s="382"/>
      <c r="BW15" s="886"/>
      <c r="BX15" s="771"/>
      <c r="BY15" s="771"/>
      <c r="BZ15" s="799"/>
      <c r="CB15" s="398" t="s">
        <v>5405</v>
      </c>
      <c r="CC15" s="1179">
        <v>0</v>
      </c>
      <c r="CD15" s="1180">
        <v>0</v>
      </c>
      <c r="CE15" s="1180">
        <v>0</v>
      </c>
      <c r="CF15" s="1180">
        <v>0</v>
      </c>
      <c r="CG15" s="1180">
        <v>0</v>
      </c>
      <c r="CH15" s="1180"/>
      <c r="CJ15" s="382" t="s">
        <v>5406</v>
      </c>
      <c r="CK15" s="393"/>
      <c r="CL15" s="1181"/>
      <c r="CM15" s="1181"/>
      <c r="CN15" s="1181"/>
      <c r="CO15" s="1181"/>
      <c r="CP15" s="1181"/>
      <c r="CQ15" s="1181"/>
      <c r="CR15" s="1181"/>
      <c r="CS15" s="1181"/>
      <c r="CU15" s="382" t="s">
        <v>5406</v>
      </c>
      <c r="CV15" s="393">
        <f t="shared" si="2"/>
        <v>134</v>
      </c>
      <c r="CW15" s="1181">
        <v>14</v>
      </c>
      <c r="CX15" s="1181">
        <v>10</v>
      </c>
      <c r="CY15" s="1181">
        <v>12</v>
      </c>
      <c r="CZ15" s="1181">
        <v>12</v>
      </c>
      <c r="DA15" s="1181">
        <v>14</v>
      </c>
      <c r="DB15" s="1181">
        <v>2</v>
      </c>
      <c r="DC15" s="1181">
        <v>1</v>
      </c>
      <c r="DD15" s="1181">
        <v>69</v>
      </c>
      <c r="DG15" s="382" t="s">
        <v>5406</v>
      </c>
      <c r="DH15" s="393">
        <f t="shared" si="1"/>
        <v>154</v>
      </c>
      <c r="DI15" s="1181">
        <v>26</v>
      </c>
      <c r="DJ15" s="1181">
        <v>11</v>
      </c>
      <c r="DK15" s="1181">
        <v>5</v>
      </c>
      <c r="DL15" s="1181">
        <v>42</v>
      </c>
      <c r="DM15" s="1181">
        <v>21</v>
      </c>
      <c r="DN15" s="1181">
        <v>1</v>
      </c>
      <c r="DO15" s="1181">
        <v>8</v>
      </c>
      <c r="DP15" s="1181">
        <v>40</v>
      </c>
      <c r="DQ15" s="409"/>
      <c r="DS15" s="382" t="s">
        <v>5371</v>
      </c>
      <c r="DT15" s="1179">
        <v>0</v>
      </c>
      <c r="DU15" s="1179">
        <v>0</v>
      </c>
      <c r="DV15" s="1179">
        <v>0</v>
      </c>
      <c r="DW15" s="1179">
        <v>0</v>
      </c>
      <c r="DX15" s="1180">
        <v>0</v>
      </c>
      <c r="DY15" s="1179">
        <v>0</v>
      </c>
      <c r="DZ15" s="1179">
        <v>0</v>
      </c>
      <c r="EA15" s="1179">
        <v>0</v>
      </c>
      <c r="EB15" s="393"/>
      <c r="EE15" s="1182" t="s">
        <v>3184</v>
      </c>
      <c r="EF15" s="1183"/>
      <c r="EG15" s="1185"/>
      <c r="EH15" s="1185"/>
      <c r="EI15" s="1185"/>
      <c r="EJ15" s="1185"/>
      <c r="EK15" s="1185"/>
      <c r="EL15" s="1185"/>
      <c r="EM15" s="1185"/>
      <c r="EN15" s="1184"/>
      <c r="EO15" s="1185"/>
      <c r="EP15" s="1205"/>
      <c r="ER15" s="1187" t="s">
        <v>3184</v>
      </c>
      <c r="ES15" s="1115"/>
      <c r="ET15" s="1101"/>
      <c r="EU15" s="1115"/>
      <c r="EV15" s="1101"/>
      <c r="EW15" s="1187"/>
      <c r="EX15" s="1187"/>
      <c r="EY15" s="1187"/>
      <c r="EZ15" s="1187"/>
      <c r="FA15" s="1187"/>
      <c r="FB15" s="1187"/>
      <c r="FC15" s="1115"/>
      <c r="FD15" s="1115"/>
      <c r="FE15" s="1115"/>
      <c r="FF15" s="1115"/>
      <c r="FG15" s="1182" t="s">
        <v>3184</v>
      </c>
      <c r="FH15" s="1183"/>
      <c r="FI15" s="1185"/>
      <c r="FJ15" s="1183"/>
      <c r="FK15" s="1185"/>
      <c r="FL15" s="1185"/>
      <c r="FM15" s="1185"/>
      <c r="FN15" s="1185"/>
      <c r="FO15" s="1185"/>
      <c r="FP15" s="1185"/>
      <c r="FQ15" s="1185"/>
      <c r="FR15" s="1205"/>
      <c r="FS15" s="1205"/>
      <c r="FV15" s="1220" t="s">
        <v>1712</v>
      </c>
      <c r="FW15" s="1115">
        <v>10.1</v>
      </c>
      <c r="FX15" s="1115" t="s">
        <v>5407</v>
      </c>
      <c r="FY15" s="1115">
        <v>2.2000000000000002</v>
      </c>
      <c r="FZ15" s="1115" t="s">
        <v>5408</v>
      </c>
      <c r="GA15" s="1115">
        <v>12.4</v>
      </c>
      <c r="GB15" s="1115" t="s">
        <v>5409</v>
      </c>
      <c r="GC15" s="1115">
        <v>3.7</v>
      </c>
      <c r="GD15" s="1115" t="s">
        <v>5353</v>
      </c>
      <c r="GE15" s="402">
        <v>14.5</v>
      </c>
      <c r="GF15" s="402" t="s">
        <v>5410</v>
      </c>
      <c r="GG15" s="402">
        <v>3.3</v>
      </c>
      <c r="GH15" s="402" t="s">
        <v>5411</v>
      </c>
      <c r="GI15" s="1115"/>
      <c r="GJ15" s="1115"/>
      <c r="GL15" s="1192" t="s">
        <v>3184</v>
      </c>
      <c r="GM15" s="1117"/>
      <c r="GN15" s="1117"/>
      <c r="GO15" s="1193"/>
      <c r="GP15" s="1117"/>
      <c r="GQ15" s="1117"/>
      <c r="GR15" s="1117"/>
      <c r="GS15" s="1208"/>
      <c r="GT15" s="1208"/>
      <c r="GU15" s="1209"/>
      <c r="GV15" s="1215" t="s">
        <v>1712</v>
      </c>
      <c r="GW15" s="1117">
        <v>30.6</v>
      </c>
      <c r="GX15" s="1117" t="s">
        <v>5412</v>
      </c>
      <c r="GY15" s="1221">
        <v>31.7</v>
      </c>
      <c r="GZ15" s="1117" t="s">
        <v>5413</v>
      </c>
      <c r="HA15" s="1117">
        <v>28.6</v>
      </c>
      <c r="HB15" s="1117" t="s">
        <v>5414</v>
      </c>
      <c r="HC15" s="1221">
        <v>30.7</v>
      </c>
      <c r="HD15" s="1192" t="s">
        <v>5415</v>
      </c>
      <c r="HE15" s="1222"/>
      <c r="HF15" s="1223"/>
      <c r="HH15" s="1182" t="s">
        <v>3184</v>
      </c>
      <c r="HI15" s="1183"/>
      <c r="HJ15" s="1185"/>
      <c r="HK15" s="1185"/>
      <c r="HL15" s="1185"/>
      <c r="HM15" s="1185"/>
      <c r="HN15" s="1185"/>
      <c r="HO15" s="1199"/>
      <c r="HP15" s="1199"/>
    </row>
    <row r="16" spans="1:224" ht="15.6" customHeight="1">
      <c r="K16" s="1254"/>
      <c r="L16" s="1255"/>
      <c r="M16" s="1255"/>
      <c r="N16" s="1255"/>
      <c r="O16" s="1255"/>
      <c r="P16" s="1255"/>
      <c r="Q16" s="1255"/>
      <c r="T16" s="398" t="s">
        <v>5416</v>
      </c>
      <c r="U16" s="382">
        <v>247</v>
      </c>
      <c r="V16" s="382"/>
      <c r="W16" s="382"/>
      <c r="X16" s="382"/>
      <c r="Y16" s="382"/>
      <c r="Z16" s="382"/>
      <c r="AA16" s="382"/>
      <c r="AB16" s="398" t="s">
        <v>5417</v>
      </c>
      <c r="AC16" s="463">
        <v>119</v>
      </c>
      <c r="AD16" s="463">
        <v>512</v>
      </c>
      <c r="AE16" s="463">
        <v>7969</v>
      </c>
      <c r="AF16" s="463">
        <v>18848</v>
      </c>
      <c r="AG16" s="463">
        <v>11090</v>
      </c>
      <c r="AH16" s="463"/>
      <c r="AK16" s="1120" t="s">
        <v>5418</v>
      </c>
      <c r="AL16" s="864">
        <v>1014</v>
      </c>
      <c r="AM16" s="864">
        <v>910</v>
      </c>
      <c r="AN16" s="1256">
        <v>1017</v>
      </c>
      <c r="AO16" s="1123">
        <v>1009</v>
      </c>
      <c r="AP16" s="1218">
        <v>801</v>
      </c>
      <c r="AQ16" s="1123">
        <v>1056</v>
      </c>
      <c r="AR16" s="1169"/>
      <c r="AS16" s="1169"/>
      <c r="AU16" s="1124"/>
      <c r="AV16" s="1087"/>
      <c r="AW16" s="1252"/>
      <c r="AX16" s="1087"/>
      <c r="AY16" s="1087"/>
      <c r="AZ16" s="1087"/>
      <c r="BA16" s="1087"/>
      <c r="BB16" s="1087"/>
      <c r="BC16" s="1087"/>
      <c r="BD16" s="811"/>
      <c r="BE16" s="1125"/>
      <c r="BF16" s="1089"/>
      <c r="BG16" s="1089"/>
      <c r="BH16" s="1089"/>
      <c r="BI16" s="1089"/>
      <c r="BJ16" s="1089"/>
      <c r="BK16" s="1249"/>
      <c r="BL16" s="811"/>
      <c r="BM16" s="1125"/>
      <c r="BN16" s="1249"/>
      <c r="BO16" s="1249"/>
      <c r="BP16" s="1249"/>
      <c r="BQ16" s="1249"/>
      <c r="BR16" s="1249"/>
      <c r="BS16" s="1124"/>
      <c r="BT16" s="1257"/>
      <c r="BU16" s="1253" t="s">
        <v>5419</v>
      </c>
      <c r="BV16" s="382">
        <v>258</v>
      </c>
      <c r="BW16" s="886">
        <v>22.15</v>
      </c>
      <c r="BX16" s="382"/>
      <c r="BY16" s="771"/>
      <c r="BZ16" s="799"/>
      <c r="CB16" s="398" t="s">
        <v>5420</v>
      </c>
      <c r="CC16" s="1179">
        <v>0</v>
      </c>
      <c r="CD16" s="1180">
        <v>0</v>
      </c>
      <c r="CE16" s="1180">
        <v>0</v>
      </c>
      <c r="CF16" s="1180">
        <v>0</v>
      </c>
      <c r="CG16" s="1180">
        <v>0</v>
      </c>
      <c r="CH16" s="1180"/>
      <c r="CJ16" s="1133" t="s">
        <v>5421</v>
      </c>
      <c r="CK16" s="393"/>
      <c r="CL16" s="1181"/>
      <c r="CM16" s="1181"/>
      <c r="CN16" s="1181"/>
      <c r="CO16" s="1181"/>
      <c r="CP16" s="1181"/>
      <c r="CQ16" s="1181"/>
      <c r="CR16" s="1181"/>
      <c r="CS16" s="1181"/>
      <c r="CU16" s="1133" t="s">
        <v>5421</v>
      </c>
      <c r="CV16" s="393">
        <f t="shared" si="2"/>
        <v>0</v>
      </c>
      <c r="CW16" s="1181">
        <v>0</v>
      </c>
      <c r="CX16" s="1181">
        <v>0</v>
      </c>
      <c r="CY16" s="1181">
        <v>0</v>
      </c>
      <c r="CZ16" s="1181">
        <v>0</v>
      </c>
      <c r="DA16" s="1181">
        <v>0</v>
      </c>
      <c r="DB16" s="1181">
        <v>0</v>
      </c>
      <c r="DC16" s="1181">
        <v>0</v>
      </c>
      <c r="DD16" s="1181">
        <v>0</v>
      </c>
      <c r="DG16" s="1133" t="s">
        <v>5421</v>
      </c>
      <c r="DH16" s="393">
        <f t="shared" si="1"/>
        <v>0</v>
      </c>
      <c r="DI16" s="1181">
        <v>0</v>
      </c>
      <c r="DJ16" s="1181">
        <v>0</v>
      </c>
      <c r="DK16" s="1181">
        <v>0</v>
      </c>
      <c r="DL16" s="1181">
        <v>0</v>
      </c>
      <c r="DM16" s="1181">
        <v>0</v>
      </c>
      <c r="DN16" s="1181">
        <v>0</v>
      </c>
      <c r="DO16" s="1181">
        <v>0</v>
      </c>
      <c r="DP16" s="1181">
        <v>0</v>
      </c>
      <c r="DQ16" s="409"/>
      <c r="DS16" s="382" t="s">
        <v>5405</v>
      </c>
      <c r="DT16" s="1179">
        <v>0</v>
      </c>
      <c r="DU16" s="1179">
        <v>0</v>
      </c>
      <c r="DV16" s="1179">
        <v>0</v>
      </c>
      <c r="DW16" s="1179">
        <v>0</v>
      </c>
      <c r="DX16" s="1180">
        <v>0</v>
      </c>
      <c r="DY16" s="1179">
        <v>0</v>
      </c>
      <c r="DZ16" s="1179">
        <v>0</v>
      </c>
      <c r="EA16" s="1179">
        <v>0</v>
      </c>
      <c r="EB16" s="393"/>
      <c r="EE16" s="1212" t="s">
        <v>5422</v>
      </c>
      <c r="EF16" s="1183">
        <v>11.5</v>
      </c>
      <c r="EG16" s="1185" t="s">
        <v>5423</v>
      </c>
      <c r="EH16" s="1185">
        <v>12.6</v>
      </c>
      <c r="EI16" s="1185" t="s">
        <v>5424</v>
      </c>
      <c r="EJ16" s="1183">
        <v>10</v>
      </c>
      <c r="EK16" s="1185" t="s">
        <v>5425</v>
      </c>
      <c r="EL16" s="1183">
        <v>13</v>
      </c>
      <c r="EM16" s="1185" t="s">
        <v>5426</v>
      </c>
      <c r="EN16" s="1185">
        <v>6.2</v>
      </c>
      <c r="EO16" s="1185" t="s">
        <v>5427</v>
      </c>
      <c r="EP16" s="1205"/>
      <c r="ER16" s="1213" t="s">
        <v>5422</v>
      </c>
      <c r="ES16" s="1115">
        <v>2.2999999999999998</v>
      </c>
      <c r="ET16" s="1101" t="s">
        <v>5428</v>
      </c>
      <c r="EU16" s="1115">
        <v>8.6</v>
      </c>
      <c r="EV16" s="1101" t="s">
        <v>5429</v>
      </c>
      <c r="EW16" s="1188">
        <v>8.8000000000000007</v>
      </c>
      <c r="EX16" s="1188" t="s">
        <v>5430</v>
      </c>
      <c r="EY16" s="1188">
        <v>2.5</v>
      </c>
      <c r="EZ16" s="1188" t="s">
        <v>5431</v>
      </c>
      <c r="FA16" s="1188">
        <v>3.8</v>
      </c>
      <c r="FB16" s="1188" t="s">
        <v>5432</v>
      </c>
      <c r="FC16" s="1115"/>
      <c r="FD16" s="1115"/>
      <c r="FE16" s="1115"/>
      <c r="FF16" s="1115"/>
      <c r="FG16" s="1212" t="s">
        <v>5422</v>
      </c>
      <c r="FH16" s="1183">
        <v>3.5</v>
      </c>
      <c r="FI16" s="1185" t="s">
        <v>5225</v>
      </c>
      <c r="FJ16" s="1183">
        <v>9</v>
      </c>
      <c r="FK16" s="1185" t="s">
        <v>5433</v>
      </c>
      <c r="FL16" s="1185">
        <v>11.4</v>
      </c>
      <c r="FM16" s="1185" t="s">
        <v>5434</v>
      </c>
      <c r="FN16" s="1185">
        <v>3.5</v>
      </c>
      <c r="FO16" s="1185" t="s">
        <v>5435</v>
      </c>
      <c r="FP16" s="1185">
        <v>6.4</v>
      </c>
      <c r="FQ16" s="1185" t="s">
        <v>5436</v>
      </c>
      <c r="FR16" s="1205"/>
      <c r="FS16" s="1205"/>
      <c r="FV16" s="1206" t="s">
        <v>3184</v>
      </c>
      <c r="FW16" s="1115"/>
      <c r="FX16" s="1115"/>
      <c r="FY16" s="1115"/>
      <c r="FZ16" s="1115"/>
      <c r="GA16" s="1115"/>
      <c r="GB16" s="1115"/>
      <c r="GC16" s="1115"/>
      <c r="GD16" s="1115"/>
      <c r="GE16" s="402"/>
      <c r="GF16" s="402"/>
      <c r="GG16" s="402"/>
      <c r="GH16" s="402"/>
      <c r="GI16" s="1115"/>
      <c r="GJ16" s="1115"/>
      <c r="GL16" s="1215" t="s">
        <v>5422</v>
      </c>
      <c r="GM16" s="1117">
        <v>35</v>
      </c>
      <c r="GN16" s="1117" t="s">
        <v>5437</v>
      </c>
      <c r="GO16" s="1193">
        <v>37.299999999999997</v>
      </c>
      <c r="GP16" s="1117" t="s">
        <v>5438</v>
      </c>
      <c r="GQ16" s="1117">
        <v>40.299999999999997</v>
      </c>
      <c r="GR16" s="1117" t="s">
        <v>5439</v>
      </c>
      <c r="GS16" s="1208"/>
      <c r="GT16" s="1208"/>
      <c r="GU16" s="1209"/>
      <c r="GV16" s="1192" t="s">
        <v>3184</v>
      </c>
      <c r="GW16" s="1117"/>
      <c r="GX16" s="1117"/>
      <c r="GY16" s="1192"/>
      <c r="GZ16" s="1117"/>
      <c r="HA16" s="1117"/>
      <c r="HB16" s="1117"/>
      <c r="HC16" s="1192"/>
      <c r="HD16" s="1192"/>
      <c r="HE16" s="1216"/>
      <c r="HF16" s="1199"/>
      <c r="HH16" s="1212" t="s">
        <v>5422</v>
      </c>
      <c r="HI16" s="1183">
        <v>13.4</v>
      </c>
      <c r="HJ16" s="1185" t="s">
        <v>5440</v>
      </c>
      <c r="HK16" s="1185">
        <v>22.7</v>
      </c>
      <c r="HL16" s="1185" t="s">
        <v>5441</v>
      </c>
      <c r="HM16" s="1185">
        <v>23</v>
      </c>
      <c r="HN16" s="1185" t="s">
        <v>5442</v>
      </c>
      <c r="HO16" s="1199"/>
      <c r="HP16" s="1199"/>
    </row>
    <row r="17" spans="11:224" ht="15.6" customHeight="1">
      <c r="T17" s="398" t="s">
        <v>5443</v>
      </c>
      <c r="U17" s="382"/>
      <c r="V17" s="382">
        <v>13</v>
      </c>
      <c r="W17" s="382">
        <v>12</v>
      </c>
      <c r="X17" s="382">
        <v>15</v>
      </c>
      <c r="Y17" s="382">
        <v>4</v>
      </c>
      <c r="Z17" s="382"/>
      <c r="AA17" s="382"/>
      <c r="AB17" s="398" t="s">
        <v>5444</v>
      </c>
      <c r="AC17" s="463">
        <v>670</v>
      </c>
      <c r="AD17" s="463">
        <v>1849</v>
      </c>
      <c r="AE17" s="463">
        <v>1615</v>
      </c>
      <c r="AF17" s="463">
        <v>1369</v>
      </c>
      <c r="AG17" s="463">
        <v>1469</v>
      </c>
      <c r="AH17" s="463"/>
      <c r="AK17" s="1168" t="s">
        <v>5445</v>
      </c>
      <c r="AL17" s="864" t="s">
        <v>1627</v>
      </c>
      <c r="AM17" s="1228">
        <v>5.4</v>
      </c>
      <c r="AN17" s="1229">
        <f t="shared" ref="AN17" si="3">AN16/AN20*1000</f>
        <v>6.014690749086264</v>
      </c>
      <c r="AO17" s="1171">
        <v>6</v>
      </c>
      <c r="AP17" s="1171">
        <f t="shared" ref="AP17:AQ17" si="4">AP16/AP20*1000</f>
        <v>5.2068436516810115</v>
      </c>
      <c r="AQ17" s="1171">
        <f t="shared" si="4"/>
        <v>6.3363294891334352</v>
      </c>
      <c r="AR17" s="1200"/>
      <c r="AS17" s="1200"/>
      <c r="AU17" s="1172"/>
      <c r="AV17" s="1087"/>
      <c r="AW17" s="1252"/>
      <c r="AX17" s="1172"/>
      <c r="AY17" s="1172"/>
      <c r="AZ17" s="1172"/>
      <c r="BA17" s="1172"/>
      <c r="BB17" s="1172"/>
      <c r="BC17" s="1172"/>
      <c r="BD17" s="1258"/>
      <c r="BE17" s="1258"/>
      <c r="BF17" s="1258"/>
      <c r="BG17" s="1258"/>
      <c r="BH17" s="1258"/>
      <c r="BI17" s="1258"/>
      <c r="BJ17" s="1258"/>
      <c r="BK17" s="1172"/>
      <c r="BL17" s="1127"/>
      <c r="BM17" s="1124"/>
      <c r="BN17" s="1124"/>
      <c r="BO17" s="1172"/>
      <c r="BP17" s="1172"/>
      <c r="BQ17" s="1172"/>
      <c r="BR17" s="1172"/>
      <c r="BS17" s="1172"/>
      <c r="BT17" s="1259" t="s">
        <v>5446</v>
      </c>
      <c r="BU17" s="1260"/>
      <c r="BV17" s="415"/>
      <c r="BW17" s="1261"/>
      <c r="BX17" s="382"/>
      <c r="BY17" s="771"/>
      <c r="BZ17" s="799"/>
      <c r="CB17" s="1211" t="s">
        <v>5447</v>
      </c>
      <c r="CC17" s="1179">
        <v>0</v>
      </c>
      <c r="CD17" s="1180">
        <v>0</v>
      </c>
      <c r="CE17" s="1180">
        <v>0</v>
      </c>
      <c r="CF17" s="1180">
        <v>0</v>
      </c>
      <c r="CG17" s="1180">
        <v>0</v>
      </c>
      <c r="CH17" s="1180"/>
      <c r="CJ17" s="382" t="s">
        <v>5448</v>
      </c>
      <c r="CK17" s="393"/>
      <c r="CL17" s="1181"/>
      <c r="CM17" s="1181"/>
      <c r="CN17" s="1181"/>
      <c r="CO17" s="1181"/>
      <c r="CP17" s="1181"/>
      <c r="CQ17" s="1181"/>
      <c r="CR17" s="1181"/>
      <c r="CS17" s="1181"/>
      <c r="CU17" s="382" t="s">
        <v>5448</v>
      </c>
      <c r="CV17" s="393">
        <f t="shared" si="2"/>
        <v>0</v>
      </c>
      <c r="CW17" s="1181">
        <v>0</v>
      </c>
      <c r="CX17" s="1181">
        <v>0</v>
      </c>
      <c r="CY17" s="1181">
        <v>0</v>
      </c>
      <c r="CZ17" s="1181">
        <v>0</v>
      </c>
      <c r="DA17" s="1181">
        <v>0</v>
      </c>
      <c r="DB17" s="1181">
        <v>0</v>
      </c>
      <c r="DC17" s="1181">
        <v>0</v>
      </c>
      <c r="DD17" s="1181">
        <v>0</v>
      </c>
      <c r="DG17" s="382" t="s">
        <v>5448</v>
      </c>
      <c r="DH17" s="393">
        <f t="shared" si="1"/>
        <v>18</v>
      </c>
      <c r="DI17" s="1181">
        <v>1</v>
      </c>
      <c r="DJ17" s="1181">
        <v>0</v>
      </c>
      <c r="DK17" s="1181">
        <v>2</v>
      </c>
      <c r="DL17" s="1181">
        <v>0</v>
      </c>
      <c r="DM17" s="1181">
        <v>0</v>
      </c>
      <c r="DN17" s="1181">
        <v>0</v>
      </c>
      <c r="DO17" s="1181">
        <v>10</v>
      </c>
      <c r="DP17" s="1181">
        <v>5</v>
      </c>
      <c r="DQ17" s="409"/>
      <c r="DS17" s="382" t="s">
        <v>5420</v>
      </c>
      <c r="DT17" s="1179">
        <v>0</v>
      </c>
      <c r="DU17" s="1179">
        <v>0</v>
      </c>
      <c r="DV17" s="1179">
        <v>0</v>
      </c>
      <c r="DW17" s="1179">
        <v>0</v>
      </c>
      <c r="DX17" s="1180">
        <v>0</v>
      </c>
      <c r="DY17" s="1179">
        <v>0</v>
      </c>
      <c r="DZ17" s="1179">
        <v>0</v>
      </c>
      <c r="EA17" s="1179">
        <v>0</v>
      </c>
      <c r="EB17" s="393"/>
      <c r="EE17" s="1212" t="s">
        <v>5449</v>
      </c>
      <c r="EF17" s="1183">
        <v>9.1999999999999993</v>
      </c>
      <c r="EG17" s="1185" t="s">
        <v>5450</v>
      </c>
      <c r="EH17" s="1185">
        <v>7.1</v>
      </c>
      <c r="EI17" s="1185" t="s">
        <v>5451</v>
      </c>
      <c r="EJ17" s="1185">
        <v>7.3</v>
      </c>
      <c r="EK17" s="1185" t="s">
        <v>5452</v>
      </c>
      <c r="EL17" s="1185">
        <v>8.1999999999999993</v>
      </c>
      <c r="EM17" s="1185" t="s">
        <v>5453</v>
      </c>
      <c r="EN17" s="1185">
        <v>9.3000000000000007</v>
      </c>
      <c r="EO17" s="1185" t="s">
        <v>5454</v>
      </c>
      <c r="EP17" s="1205"/>
      <c r="ER17" s="1213" t="s">
        <v>5449</v>
      </c>
      <c r="ES17" s="1115">
        <v>2.1</v>
      </c>
      <c r="ET17" s="1101" t="s">
        <v>5455</v>
      </c>
      <c r="EU17" s="1115">
        <v>2.1</v>
      </c>
      <c r="EV17" s="1101" t="s">
        <v>5456</v>
      </c>
      <c r="EW17" s="1188">
        <v>1.9</v>
      </c>
      <c r="EX17" s="1188" t="s">
        <v>5457</v>
      </c>
      <c r="EY17" s="1188">
        <v>3.1</v>
      </c>
      <c r="EZ17" s="1188" t="s">
        <v>5458</v>
      </c>
      <c r="FA17" s="1188">
        <v>3</v>
      </c>
      <c r="FB17" s="1188" t="s">
        <v>5459</v>
      </c>
      <c r="FC17" s="1115"/>
      <c r="FD17" s="1115"/>
      <c r="FE17" s="1115"/>
      <c r="FF17" s="1115"/>
      <c r="FG17" s="1212" t="s">
        <v>5449</v>
      </c>
      <c r="FH17" s="1183">
        <v>3.7</v>
      </c>
      <c r="FI17" s="1185" t="s">
        <v>5376</v>
      </c>
      <c r="FJ17" s="1183">
        <v>2.2999999999999998</v>
      </c>
      <c r="FK17" s="1185" t="s">
        <v>5460</v>
      </c>
      <c r="FL17" s="1185">
        <v>3.8</v>
      </c>
      <c r="FM17" s="1185" t="s">
        <v>5374</v>
      </c>
      <c r="FN17" s="1185">
        <v>3.8</v>
      </c>
      <c r="FO17" s="1185" t="s">
        <v>5320</v>
      </c>
      <c r="FP17" s="1185">
        <v>3.9</v>
      </c>
      <c r="FQ17" s="1185" t="s">
        <v>5461</v>
      </c>
      <c r="FR17" s="1205"/>
      <c r="FS17" s="1205"/>
      <c r="FV17" s="1220" t="s">
        <v>5422</v>
      </c>
      <c r="FW17" s="1115">
        <v>13.1</v>
      </c>
      <c r="FX17" s="1115" t="s">
        <v>5462</v>
      </c>
      <c r="FY17" s="1115">
        <v>0.3</v>
      </c>
      <c r="FZ17" s="1115" t="s">
        <v>5126</v>
      </c>
      <c r="GA17" s="1115">
        <v>20.3</v>
      </c>
      <c r="GB17" s="1115" t="s">
        <v>5463</v>
      </c>
      <c r="GC17" s="1115">
        <v>1.5</v>
      </c>
      <c r="GD17" s="1115" t="s">
        <v>5186</v>
      </c>
      <c r="GE17" s="402">
        <v>23.4</v>
      </c>
      <c r="GF17" s="402" t="s">
        <v>5464</v>
      </c>
      <c r="GG17" s="402">
        <v>2.6</v>
      </c>
      <c r="GH17" s="402" t="s">
        <v>5465</v>
      </c>
      <c r="GI17" s="1115"/>
      <c r="GJ17" s="1115"/>
      <c r="GL17" s="1215" t="s">
        <v>5449</v>
      </c>
      <c r="GM17" s="1117">
        <v>26</v>
      </c>
      <c r="GN17" s="1117" t="s">
        <v>5466</v>
      </c>
      <c r="GO17" s="1193">
        <v>21.2</v>
      </c>
      <c r="GP17" s="1117" t="s">
        <v>5467</v>
      </c>
      <c r="GQ17" s="1209">
        <v>31.2</v>
      </c>
      <c r="GR17" s="1117" t="s">
        <v>5468</v>
      </c>
      <c r="GS17" s="1208"/>
      <c r="GT17" s="1208"/>
      <c r="GU17" s="1209"/>
      <c r="GV17" s="1215" t="s">
        <v>5422</v>
      </c>
      <c r="GW17" s="1209">
        <v>19</v>
      </c>
      <c r="GX17" s="1117" t="s">
        <v>5469</v>
      </c>
      <c r="GY17" s="1215">
        <v>42.4</v>
      </c>
      <c r="GZ17" s="1117" t="s">
        <v>5470</v>
      </c>
      <c r="HA17" s="1117">
        <v>22.3</v>
      </c>
      <c r="HB17" s="1117" t="s">
        <v>5471</v>
      </c>
      <c r="HC17" s="1215">
        <v>30.8</v>
      </c>
      <c r="HD17" s="1192" t="s">
        <v>5472</v>
      </c>
      <c r="HE17" s="1222"/>
      <c r="HF17" s="1262"/>
      <c r="HH17" s="1212" t="s">
        <v>5449</v>
      </c>
      <c r="HI17" s="1183">
        <v>19.600000000000001</v>
      </c>
      <c r="HJ17" s="1185" t="s">
        <v>5473</v>
      </c>
      <c r="HK17" s="1185">
        <v>19.100000000000001</v>
      </c>
      <c r="HL17" s="1185" t="s">
        <v>5474</v>
      </c>
      <c r="HM17" s="1185">
        <v>25.6</v>
      </c>
      <c r="HN17" s="1185" t="s">
        <v>5475</v>
      </c>
      <c r="HO17" s="1199"/>
      <c r="HP17" s="1199"/>
    </row>
    <row r="18" spans="11:224" ht="15.6" customHeight="1">
      <c r="T18" s="398" t="s">
        <v>5476</v>
      </c>
      <c r="U18" s="382">
        <v>1111</v>
      </c>
      <c r="V18" s="382">
        <v>5</v>
      </c>
      <c r="W18" s="382">
        <v>3</v>
      </c>
      <c r="X18" s="382">
        <v>1</v>
      </c>
      <c r="Y18" s="382">
        <v>1</v>
      </c>
      <c r="Z18" s="382"/>
      <c r="AA18" s="382"/>
      <c r="AB18" s="398" t="s">
        <v>5477</v>
      </c>
      <c r="AC18" s="463">
        <v>883</v>
      </c>
      <c r="AD18" s="463">
        <v>3501</v>
      </c>
      <c r="AE18" s="463">
        <v>4404</v>
      </c>
      <c r="AF18" s="463">
        <v>3648</v>
      </c>
      <c r="AG18" s="463">
        <v>4428</v>
      </c>
      <c r="AH18" s="463"/>
      <c r="AK18" s="1120" t="s">
        <v>5478</v>
      </c>
      <c r="AL18" s="864" t="s">
        <v>1627</v>
      </c>
      <c r="AM18" s="1200">
        <v>437</v>
      </c>
      <c r="AN18" s="1225">
        <v>459</v>
      </c>
      <c r="AO18" s="1218">
        <v>534</v>
      </c>
      <c r="AP18" s="1218">
        <v>458</v>
      </c>
      <c r="AQ18" s="1218">
        <v>720</v>
      </c>
      <c r="AR18" s="1228"/>
      <c r="AS18" s="1228"/>
      <c r="AU18" s="1124"/>
      <c r="AV18" s="1087"/>
      <c r="AW18" s="1252"/>
      <c r="AX18" s="1124"/>
      <c r="AY18" s="1124"/>
      <c r="AZ18" s="1124"/>
      <c r="BA18" s="1124"/>
      <c r="BB18" s="1124"/>
      <c r="BC18" s="1124"/>
      <c r="BD18" s="1126"/>
      <c r="BE18" s="1127"/>
      <c r="BF18" s="1127"/>
      <c r="BG18" s="1127"/>
      <c r="BH18" s="1127"/>
      <c r="BM18" s="1124"/>
      <c r="BN18" s="1124"/>
      <c r="BO18" s="1124"/>
      <c r="BP18" s="1124"/>
      <c r="BQ18" s="1124"/>
      <c r="BR18" s="1124"/>
      <c r="BS18" s="1124"/>
      <c r="BT18" s="398" t="s">
        <v>5479</v>
      </c>
      <c r="BZ18" s="382"/>
      <c r="CB18" s="1211" t="s">
        <v>5480</v>
      </c>
      <c r="CC18" s="1179">
        <v>0</v>
      </c>
      <c r="CD18" s="1180">
        <v>0</v>
      </c>
      <c r="CE18" s="1180">
        <v>0</v>
      </c>
      <c r="CF18" s="1180">
        <v>0</v>
      </c>
      <c r="CG18" s="1180">
        <v>0</v>
      </c>
      <c r="CH18" s="1180"/>
      <c r="CJ18" s="382" t="s">
        <v>5481</v>
      </c>
      <c r="CK18" s="393"/>
      <c r="CL18" s="1181"/>
      <c r="CM18" s="1181"/>
      <c r="CN18" s="1181"/>
      <c r="CO18" s="1181"/>
      <c r="CP18" s="1181"/>
      <c r="CQ18" s="1181"/>
      <c r="CR18" s="1181"/>
      <c r="CS18" s="1181"/>
      <c r="CU18" s="382" t="s">
        <v>5481</v>
      </c>
      <c r="CV18" s="393">
        <f t="shared" si="2"/>
        <v>0</v>
      </c>
      <c r="CW18" s="1181">
        <v>0</v>
      </c>
      <c r="CX18" s="1181">
        <v>0</v>
      </c>
      <c r="CY18" s="1181">
        <v>0</v>
      </c>
      <c r="CZ18" s="1181">
        <v>0</v>
      </c>
      <c r="DA18" s="1181">
        <v>0</v>
      </c>
      <c r="DB18" s="1181">
        <v>0</v>
      </c>
      <c r="DC18" s="1181">
        <v>0</v>
      </c>
      <c r="DD18" s="1181">
        <v>0</v>
      </c>
      <c r="DG18" s="382" t="s">
        <v>5481</v>
      </c>
      <c r="DH18" s="393">
        <f t="shared" si="1"/>
        <v>7</v>
      </c>
      <c r="DI18" s="1181">
        <v>1</v>
      </c>
      <c r="DJ18" s="1181">
        <v>0</v>
      </c>
      <c r="DK18" s="1181">
        <v>0</v>
      </c>
      <c r="DL18" s="1181">
        <v>6</v>
      </c>
      <c r="DM18" s="1181">
        <v>0</v>
      </c>
      <c r="DN18" s="1181">
        <v>0</v>
      </c>
      <c r="DO18" s="1181">
        <v>0</v>
      </c>
      <c r="DP18" s="1181">
        <v>0</v>
      </c>
      <c r="DQ18" s="409"/>
      <c r="DS18" s="382" t="s">
        <v>5447</v>
      </c>
      <c r="DT18" s="1179">
        <v>0</v>
      </c>
      <c r="DU18" s="1179">
        <v>0</v>
      </c>
      <c r="DV18" s="1179">
        <v>0</v>
      </c>
      <c r="DW18" s="1179">
        <v>0</v>
      </c>
      <c r="DX18" s="1180">
        <v>0</v>
      </c>
      <c r="DY18" s="1179">
        <v>0</v>
      </c>
      <c r="DZ18" s="1179">
        <v>0</v>
      </c>
      <c r="EA18" s="1179">
        <v>0</v>
      </c>
      <c r="EB18" s="393"/>
      <c r="EE18" s="1212" t="s">
        <v>5482</v>
      </c>
      <c r="EF18" s="1183">
        <v>8.3000000000000007</v>
      </c>
      <c r="EG18" s="1185" t="s">
        <v>5483</v>
      </c>
      <c r="EH18" s="1185">
        <v>6.2</v>
      </c>
      <c r="EI18" s="1185" t="s">
        <v>5484</v>
      </c>
      <c r="EJ18" s="1183">
        <v>8</v>
      </c>
      <c r="EK18" s="1185" t="s">
        <v>5485</v>
      </c>
      <c r="EL18" s="1185">
        <v>8.1999999999999993</v>
      </c>
      <c r="EM18" s="1185" t="s">
        <v>5486</v>
      </c>
      <c r="EN18" s="1185">
        <v>11.3</v>
      </c>
      <c r="EO18" s="1185" t="s">
        <v>5487</v>
      </c>
      <c r="EP18" s="1205"/>
      <c r="ER18" s="1213" t="s">
        <v>5482</v>
      </c>
      <c r="ES18" s="1115">
        <v>3.5</v>
      </c>
      <c r="ET18" s="1101" t="s">
        <v>5381</v>
      </c>
      <c r="EU18" s="1115">
        <v>1.7</v>
      </c>
      <c r="EV18" s="1101" t="s">
        <v>5488</v>
      </c>
      <c r="EW18" s="1188">
        <v>3.7</v>
      </c>
      <c r="EX18" s="1188" t="s">
        <v>5489</v>
      </c>
      <c r="EY18" s="1188">
        <v>3.3</v>
      </c>
      <c r="EZ18" s="1188" t="s">
        <v>5490</v>
      </c>
      <c r="FA18" s="1188">
        <v>4.4000000000000004</v>
      </c>
      <c r="FB18" s="1188" t="s">
        <v>5491</v>
      </c>
      <c r="FC18" s="1115"/>
      <c r="FD18" s="1115"/>
      <c r="FE18" s="1115"/>
      <c r="FF18" s="1115"/>
      <c r="FG18" s="1212" t="s">
        <v>5482</v>
      </c>
      <c r="FH18" s="1183">
        <v>2.5</v>
      </c>
      <c r="FI18" s="1185" t="s">
        <v>5221</v>
      </c>
      <c r="FJ18" s="1183">
        <v>5.2</v>
      </c>
      <c r="FK18" s="1185" t="s">
        <v>5377</v>
      </c>
      <c r="FL18" s="1183">
        <v>2.9</v>
      </c>
      <c r="FM18" s="1185" t="s">
        <v>5193</v>
      </c>
      <c r="FN18" s="1183">
        <v>3</v>
      </c>
      <c r="FO18" s="1185" t="s">
        <v>5459</v>
      </c>
      <c r="FP18" s="1185">
        <v>4.8</v>
      </c>
      <c r="FQ18" s="1185" t="s">
        <v>5492</v>
      </c>
      <c r="FR18" s="1205"/>
      <c r="FS18" s="1205"/>
      <c r="FV18" s="1220" t="s">
        <v>5449</v>
      </c>
      <c r="FW18" s="1115">
        <v>12.4</v>
      </c>
      <c r="FX18" s="1115" t="s">
        <v>5493</v>
      </c>
      <c r="FY18" s="1115">
        <v>0.8</v>
      </c>
      <c r="FZ18" s="1115" t="s">
        <v>5271</v>
      </c>
      <c r="GA18" s="1115">
        <v>12</v>
      </c>
      <c r="GB18" s="1115" t="s">
        <v>5494</v>
      </c>
      <c r="GC18" s="1115">
        <v>2.2999999999999998</v>
      </c>
      <c r="GD18" s="1115" t="s">
        <v>5495</v>
      </c>
      <c r="GE18" s="402">
        <v>12.8</v>
      </c>
      <c r="GF18" s="402" t="s">
        <v>5496</v>
      </c>
      <c r="GG18" s="402">
        <v>1.4</v>
      </c>
      <c r="GH18" s="402" t="s">
        <v>5497</v>
      </c>
      <c r="GI18" s="1115"/>
      <c r="GJ18" s="1115"/>
      <c r="GL18" s="1215" t="s">
        <v>5482</v>
      </c>
      <c r="GM18" s="1117">
        <v>19.5</v>
      </c>
      <c r="GN18" s="1117" t="s">
        <v>5498</v>
      </c>
      <c r="GO18" s="1193">
        <v>19.8</v>
      </c>
      <c r="GP18" s="1117" t="s">
        <v>5499</v>
      </c>
      <c r="GQ18" s="1117">
        <v>21.8</v>
      </c>
      <c r="GR18" s="1117" t="s">
        <v>5500</v>
      </c>
      <c r="GS18" s="1208"/>
      <c r="GT18" s="1208"/>
      <c r="GU18" s="1209"/>
      <c r="GV18" s="1215" t="s">
        <v>5449</v>
      </c>
      <c r="GW18" s="1209">
        <v>34.4</v>
      </c>
      <c r="GX18" s="1117" t="s">
        <v>5501</v>
      </c>
      <c r="GY18" s="1215">
        <v>34.299999999999997</v>
      </c>
      <c r="GZ18" s="1117" t="s">
        <v>5502</v>
      </c>
      <c r="HA18" s="1117">
        <v>34.6</v>
      </c>
      <c r="HB18" s="1117" t="s">
        <v>5503</v>
      </c>
      <c r="HC18" s="1215">
        <v>33.5</v>
      </c>
      <c r="HD18" s="1192" t="s">
        <v>5504</v>
      </c>
      <c r="HE18" s="1222"/>
      <c r="HF18" s="1262"/>
      <c r="HH18" s="1212" t="s">
        <v>5482</v>
      </c>
      <c r="HI18" s="1183">
        <v>19.600000000000001</v>
      </c>
      <c r="HJ18" s="1185" t="s">
        <v>5473</v>
      </c>
      <c r="HK18" s="1185">
        <v>14.8</v>
      </c>
      <c r="HL18" s="1185" t="s">
        <v>5505</v>
      </c>
      <c r="HM18" s="1185">
        <v>20.2</v>
      </c>
      <c r="HN18" s="1185" t="s">
        <v>5506</v>
      </c>
      <c r="HO18" s="1199"/>
      <c r="HP18" s="1199"/>
    </row>
    <row r="19" spans="11:224" ht="15.6" customHeight="1">
      <c r="K19" s="1263"/>
      <c r="S19" s="515"/>
      <c r="T19" s="398" t="s">
        <v>5507</v>
      </c>
      <c r="U19" s="382">
        <v>288</v>
      </c>
      <c r="V19" s="382"/>
      <c r="W19" s="382"/>
      <c r="X19" s="382"/>
      <c r="Y19" s="382"/>
      <c r="Z19" s="382"/>
      <c r="AA19" s="382"/>
      <c r="AB19" s="398" t="s">
        <v>5508</v>
      </c>
      <c r="AC19" s="463">
        <v>6200</v>
      </c>
      <c r="AD19" s="463">
        <v>12895</v>
      </c>
      <c r="AE19" s="463">
        <v>12380</v>
      </c>
      <c r="AF19" s="463">
        <v>5457</v>
      </c>
      <c r="AG19" s="463">
        <v>11504</v>
      </c>
      <c r="AH19" s="463"/>
      <c r="AK19" s="1168" t="s">
        <v>5509</v>
      </c>
      <c r="AL19" s="864" t="s">
        <v>1627</v>
      </c>
      <c r="AM19" s="1228">
        <v>2.6</v>
      </c>
      <c r="AN19" s="1229">
        <f t="shared" ref="AN19" si="5">AN18/AN20*1000</f>
        <v>2.7145949398530922</v>
      </c>
      <c r="AO19" s="1264">
        <v>3.2</v>
      </c>
      <c r="AP19" s="1171">
        <f t="shared" ref="AP19:AQ19" si="6">AP18/AP20*1000</f>
        <v>2.977196494968668</v>
      </c>
      <c r="AQ19" s="1171">
        <f t="shared" si="6"/>
        <v>4.3202246516818876</v>
      </c>
      <c r="AR19" s="769"/>
      <c r="AS19" s="769"/>
      <c r="AU19" s="1172"/>
      <c r="AV19" s="1087"/>
      <c r="AW19" s="1252"/>
      <c r="AX19" s="1172"/>
      <c r="AY19" s="1172"/>
      <c r="AZ19" s="1172"/>
      <c r="BA19" s="1172"/>
      <c r="BB19" s="1172"/>
      <c r="BC19" s="1172"/>
      <c r="BD19" s="1173"/>
      <c r="BE19" s="1174"/>
      <c r="BF19" s="1174"/>
      <c r="BG19" s="1174"/>
      <c r="BH19" s="1174"/>
      <c r="BI19" s="1174"/>
      <c r="BJ19" s="1174"/>
      <c r="BK19" s="1172"/>
      <c r="BL19" s="1089"/>
      <c r="BM19" s="1089"/>
      <c r="BN19" s="1089"/>
      <c r="BO19" s="1089"/>
      <c r="BP19" s="1089"/>
      <c r="BQ19" s="1172"/>
      <c r="BR19" s="1172"/>
      <c r="BS19" s="1172"/>
      <c r="BT19" s="1257"/>
      <c r="BV19" s="1258"/>
      <c r="BW19" s="1258"/>
      <c r="BX19" s="1258"/>
      <c r="BZ19" s="382"/>
      <c r="CB19" s="1211" t="s">
        <v>5510</v>
      </c>
      <c r="CC19" s="1179">
        <v>0</v>
      </c>
      <c r="CD19" s="1180">
        <v>0</v>
      </c>
      <c r="CE19" s="1180">
        <v>0</v>
      </c>
      <c r="CF19" s="1180">
        <v>0</v>
      </c>
      <c r="CG19" s="1180">
        <v>0</v>
      </c>
      <c r="CH19" s="1180"/>
      <c r="CJ19" s="382" t="s">
        <v>5511</v>
      </c>
      <c r="CK19" s="393"/>
      <c r="CL19" s="1181"/>
      <c r="CM19" s="1181"/>
      <c r="CN19" s="1181"/>
      <c r="CO19" s="1181"/>
      <c r="CP19" s="1181"/>
      <c r="CQ19" s="1181"/>
      <c r="CR19" s="1181"/>
      <c r="CS19" s="1181"/>
      <c r="CU19" s="382" t="s">
        <v>5511</v>
      </c>
      <c r="CV19" s="393">
        <f t="shared" si="2"/>
        <v>2</v>
      </c>
      <c r="CW19" s="1181">
        <v>0</v>
      </c>
      <c r="CX19" s="1181">
        <v>0</v>
      </c>
      <c r="CY19" s="1181">
        <v>0</v>
      </c>
      <c r="CZ19" s="1181">
        <v>0</v>
      </c>
      <c r="DA19" s="1181">
        <v>0</v>
      </c>
      <c r="DB19" s="1181">
        <v>0</v>
      </c>
      <c r="DC19" s="1181">
        <v>0</v>
      </c>
      <c r="DD19" s="1181">
        <v>2</v>
      </c>
      <c r="DG19" s="382" t="s">
        <v>5511</v>
      </c>
      <c r="DH19" s="393">
        <f t="shared" si="1"/>
        <v>48</v>
      </c>
      <c r="DI19" s="1181">
        <v>1</v>
      </c>
      <c r="DJ19" s="1181">
        <v>2</v>
      </c>
      <c r="DK19" s="1181">
        <v>2</v>
      </c>
      <c r="DL19" s="1181">
        <v>0</v>
      </c>
      <c r="DM19" s="1181">
        <v>0</v>
      </c>
      <c r="DN19" s="1181">
        <v>0</v>
      </c>
      <c r="DO19" s="1181">
        <v>3</v>
      </c>
      <c r="DP19" s="1181">
        <v>40</v>
      </c>
      <c r="DQ19" s="409"/>
      <c r="DS19" s="382" t="s">
        <v>5480</v>
      </c>
      <c r="DT19" s="1179">
        <v>0</v>
      </c>
      <c r="DU19" s="1179">
        <v>0</v>
      </c>
      <c r="DV19" s="1179">
        <v>0</v>
      </c>
      <c r="DW19" s="1179">
        <v>0</v>
      </c>
      <c r="DX19" s="1180">
        <v>0</v>
      </c>
      <c r="DY19" s="1179">
        <v>0</v>
      </c>
      <c r="DZ19" s="1179">
        <v>0</v>
      </c>
      <c r="EA19" s="1179">
        <v>0</v>
      </c>
      <c r="EB19" s="393"/>
      <c r="EE19" s="1212" t="s">
        <v>5512</v>
      </c>
      <c r="EF19" s="1183">
        <v>7.2</v>
      </c>
      <c r="EG19" s="1185" t="s">
        <v>5513</v>
      </c>
      <c r="EH19" s="1185">
        <v>4.2</v>
      </c>
      <c r="EI19" s="1185" t="s">
        <v>5385</v>
      </c>
      <c r="EJ19" s="1185">
        <v>6.5</v>
      </c>
      <c r="EK19" s="1185" t="s">
        <v>5514</v>
      </c>
      <c r="EL19" s="1185">
        <v>4.0999999999999996</v>
      </c>
      <c r="EM19" s="1185" t="s">
        <v>5515</v>
      </c>
      <c r="EN19" s="1185">
        <v>5.0999999999999996</v>
      </c>
      <c r="EO19" s="1185" t="s">
        <v>5516</v>
      </c>
      <c r="EP19" s="1205"/>
      <c r="ER19" s="1213" t="s">
        <v>5517</v>
      </c>
      <c r="ES19" s="1115">
        <v>1.9</v>
      </c>
      <c r="ET19" s="1101" t="s">
        <v>5518</v>
      </c>
      <c r="EU19" s="1115">
        <v>1.7</v>
      </c>
      <c r="EV19" s="1101" t="s">
        <v>5293</v>
      </c>
      <c r="EW19" s="1188">
        <v>1.4</v>
      </c>
      <c r="EX19" s="1188" t="s">
        <v>5354</v>
      </c>
      <c r="EY19" s="1188">
        <v>0.6</v>
      </c>
      <c r="EZ19" s="1188" t="s">
        <v>5519</v>
      </c>
      <c r="FA19" s="1188">
        <v>0.5</v>
      </c>
      <c r="FB19" s="1188" t="s">
        <v>5520</v>
      </c>
      <c r="FC19" s="1115"/>
      <c r="FD19" s="1115"/>
      <c r="FE19" s="1115"/>
      <c r="FF19" s="1115"/>
      <c r="FG19" s="1212" t="s">
        <v>5517</v>
      </c>
      <c r="FH19" s="1183">
        <v>2.7</v>
      </c>
      <c r="FI19" s="1185" t="s">
        <v>5521</v>
      </c>
      <c r="FJ19" s="1183">
        <v>3.1</v>
      </c>
      <c r="FK19" s="1185" t="s">
        <v>5522</v>
      </c>
      <c r="FL19" s="1185">
        <v>2.5</v>
      </c>
      <c r="FM19" s="1185" t="s">
        <v>5523</v>
      </c>
      <c r="FN19" s="1185">
        <v>2.2000000000000002</v>
      </c>
      <c r="FO19" s="1185" t="s">
        <v>5524</v>
      </c>
      <c r="FP19" s="1185">
        <v>1.5</v>
      </c>
      <c r="FQ19" s="1185" t="s">
        <v>5525</v>
      </c>
      <c r="FR19" s="1205"/>
      <c r="FS19" s="1205"/>
      <c r="FV19" s="1220" t="s">
        <v>5482</v>
      </c>
      <c r="FW19" s="1115">
        <v>11.8</v>
      </c>
      <c r="FX19" s="1115" t="s">
        <v>5526</v>
      </c>
      <c r="FY19" s="1115">
        <v>2</v>
      </c>
      <c r="FZ19" s="1115" t="s">
        <v>5527</v>
      </c>
      <c r="GA19" s="1115">
        <v>13.5</v>
      </c>
      <c r="GB19" s="1115" t="s">
        <v>5528</v>
      </c>
      <c r="GC19" s="1115">
        <v>2.2000000000000002</v>
      </c>
      <c r="GD19" s="1115" t="s">
        <v>5529</v>
      </c>
      <c r="GE19" s="402">
        <v>11</v>
      </c>
      <c r="GF19" s="402" t="s">
        <v>5350</v>
      </c>
      <c r="GG19" s="402">
        <v>1.3</v>
      </c>
      <c r="GH19" s="402" t="s">
        <v>5530</v>
      </c>
      <c r="GI19" s="1115"/>
      <c r="GJ19" s="1115"/>
      <c r="GL19" s="1215" t="s">
        <v>5512</v>
      </c>
      <c r="GM19" s="1117">
        <v>12.3</v>
      </c>
      <c r="GN19" s="1117" t="s">
        <v>5531</v>
      </c>
      <c r="GO19" s="1193">
        <v>10.7</v>
      </c>
      <c r="GP19" s="1117" t="s">
        <v>5532</v>
      </c>
      <c r="GQ19" s="1117">
        <v>10.5</v>
      </c>
      <c r="GR19" s="1117" t="s">
        <v>5533</v>
      </c>
      <c r="GS19" s="1208"/>
      <c r="GT19" s="1208"/>
      <c r="GU19" s="1209"/>
      <c r="GV19" s="1215" t="s">
        <v>5482</v>
      </c>
      <c r="GW19" s="1209">
        <v>41.2</v>
      </c>
      <c r="GX19" s="1117" t="s">
        <v>5534</v>
      </c>
      <c r="GY19" s="1215">
        <v>31.3</v>
      </c>
      <c r="GZ19" s="1117" t="s">
        <v>5535</v>
      </c>
      <c r="HA19" s="1117">
        <v>35.4</v>
      </c>
      <c r="HB19" s="1117" t="s">
        <v>5240</v>
      </c>
      <c r="HC19" s="1215">
        <v>30.5</v>
      </c>
      <c r="HD19" s="1192" t="s">
        <v>5536</v>
      </c>
      <c r="HE19" s="1222"/>
      <c r="HF19" s="1262"/>
      <c r="HH19" s="1212" t="s">
        <v>5517</v>
      </c>
      <c r="HI19" s="1183">
        <v>18.3</v>
      </c>
      <c r="HJ19" s="1185" t="s">
        <v>5537</v>
      </c>
      <c r="HK19" s="1185">
        <v>14.8</v>
      </c>
      <c r="HL19" s="1185" t="s">
        <v>5538</v>
      </c>
      <c r="HM19" s="1185">
        <v>20.399999999999999</v>
      </c>
      <c r="HN19" s="1185" t="s">
        <v>5539</v>
      </c>
      <c r="HO19" s="1199"/>
      <c r="HP19" s="1199"/>
    </row>
    <row r="20" spans="11:224" ht="15.6" customHeight="1">
      <c r="L20" s="385"/>
      <c r="T20" s="398" t="s">
        <v>5540</v>
      </c>
      <c r="U20" s="585"/>
      <c r="V20" s="585">
        <v>24</v>
      </c>
      <c r="W20" s="382">
        <v>23</v>
      </c>
      <c r="X20" s="585">
        <v>29</v>
      </c>
      <c r="Y20" s="585">
        <v>17</v>
      </c>
      <c r="Z20" s="585"/>
      <c r="AA20" s="382"/>
      <c r="AB20" s="398" t="s">
        <v>5541</v>
      </c>
      <c r="AC20" s="463">
        <v>2459</v>
      </c>
      <c r="AD20" s="463">
        <v>15158</v>
      </c>
      <c r="AE20" s="463">
        <v>20459</v>
      </c>
      <c r="AF20" s="463">
        <v>5773</v>
      </c>
      <c r="AG20" s="463">
        <v>4262</v>
      </c>
      <c r="AH20" s="463"/>
      <c r="AK20" s="1265" t="s">
        <v>5542</v>
      </c>
      <c r="AL20" s="1266"/>
      <c r="AM20" s="1266">
        <v>169330</v>
      </c>
      <c r="AN20" s="1266">
        <v>169086</v>
      </c>
      <c r="AO20" s="864">
        <v>168801</v>
      </c>
      <c r="AP20" s="1267">
        <v>153836</v>
      </c>
      <c r="AQ20" s="1267">
        <v>166658</v>
      </c>
      <c r="AR20" s="1268"/>
      <c r="AS20" s="1268"/>
      <c r="AU20" s="1124"/>
      <c r="AV20" s="1172"/>
      <c r="AW20" s="1269"/>
      <c r="AX20" s="1124"/>
      <c r="AY20" s="1124"/>
      <c r="AZ20" s="1124"/>
      <c r="BA20" s="1124"/>
      <c r="BB20" s="1124"/>
      <c r="BC20" s="1124"/>
      <c r="BD20" s="1173"/>
      <c r="BE20" s="1174"/>
      <c r="BF20" s="1174"/>
      <c r="BG20" s="1174"/>
      <c r="BH20" s="1174"/>
      <c r="BI20" s="1174"/>
      <c r="BJ20" s="1174"/>
      <c r="BK20" s="1124"/>
      <c r="BL20" s="1258"/>
      <c r="BM20" s="1174"/>
      <c r="BN20" s="1174"/>
      <c r="BO20" s="1174"/>
      <c r="BP20" s="1174"/>
      <c r="BQ20" s="1124"/>
      <c r="BR20" s="1124"/>
      <c r="BS20" s="1124"/>
      <c r="BT20" s="1270"/>
      <c r="BU20" s="1258"/>
      <c r="BV20" s="1258"/>
      <c r="BW20" s="1258"/>
      <c r="BX20" s="1258"/>
      <c r="BZ20" s="382"/>
      <c r="CB20" s="382" t="s">
        <v>5543</v>
      </c>
      <c r="CC20" s="1179">
        <v>0</v>
      </c>
      <c r="CD20" s="1180">
        <v>0</v>
      </c>
      <c r="CE20" s="1180">
        <v>0</v>
      </c>
      <c r="CF20" s="1180">
        <v>0</v>
      </c>
      <c r="CG20" s="1180">
        <v>0</v>
      </c>
      <c r="CH20" s="1180"/>
      <c r="CJ20" s="382" t="s">
        <v>5544</v>
      </c>
      <c r="CK20" s="393"/>
      <c r="CL20" s="1181"/>
      <c r="CM20" s="1181"/>
      <c r="CN20" s="1181"/>
      <c r="CO20" s="1181"/>
      <c r="CP20" s="1181"/>
      <c r="CQ20" s="1181"/>
      <c r="CR20" s="1181"/>
      <c r="CS20" s="1181"/>
      <c r="CU20" s="382" t="s">
        <v>5544</v>
      </c>
      <c r="CV20" s="393">
        <f t="shared" si="2"/>
        <v>136</v>
      </c>
      <c r="CW20" s="1181">
        <v>1</v>
      </c>
      <c r="CX20" s="1181">
        <v>1</v>
      </c>
      <c r="CY20" s="1181">
        <v>0</v>
      </c>
      <c r="CZ20" s="1181">
        <v>9</v>
      </c>
      <c r="DA20" s="1181">
        <v>3</v>
      </c>
      <c r="DB20" s="1181">
        <v>1</v>
      </c>
      <c r="DC20" s="1181">
        <v>0</v>
      </c>
      <c r="DD20" s="1181">
        <v>121</v>
      </c>
      <c r="DG20" s="382" t="s">
        <v>5544</v>
      </c>
      <c r="DH20" s="393">
        <f t="shared" si="1"/>
        <v>113</v>
      </c>
      <c r="DI20" s="1181">
        <v>2</v>
      </c>
      <c r="DJ20" s="1181">
        <v>3</v>
      </c>
      <c r="DK20" s="1181">
        <v>1</v>
      </c>
      <c r="DL20" s="1181">
        <v>15</v>
      </c>
      <c r="DM20" s="1181">
        <v>0</v>
      </c>
      <c r="DN20" s="1181">
        <v>0</v>
      </c>
      <c r="DO20" s="1181">
        <v>7</v>
      </c>
      <c r="DP20" s="1181">
        <v>85</v>
      </c>
      <c r="DQ20" s="409"/>
      <c r="DS20" s="382" t="s">
        <v>5510</v>
      </c>
      <c r="DT20" s="1179">
        <v>0</v>
      </c>
      <c r="DU20" s="1179">
        <v>0</v>
      </c>
      <c r="DV20" s="1179">
        <v>0</v>
      </c>
      <c r="DW20" s="1179">
        <v>0</v>
      </c>
      <c r="DX20" s="1180">
        <v>0</v>
      </c>
      <c r="DY20" s="1179">
        <v>0</v>
      </c>
      <c r="DZ20" s="1179">
        <v>0</v>
      </c>
      <c r="EA20" s="1179">
        <v>0</v>
      </c>
      <c r="EB20" s="393"/>
      <c r="EE20" s="1182" t="s">
        <v>3342</v>
      </c>
      <c r="EF20" s="1183"/>
      <c r="EG20" s="1185"/>
      <c r="EH20" s="1185"/>
      <c r="EI20" s="1185"/>
      <c r="EJ20" s="1185"/>
      <c r="EK20" s="1185"/>
      <c r="EL20" s="1185"/>
      <c r="EM20" s="1185"/>
      <c r="EN20" s="1184"/>
      <c r="EO20" s="1185"/>
      <c r="EP20" s="1205"/>
      <c r="ER20" s="1187" t="s">
        <v>3342</v>
      </c>
      <c r="ES20" s="1115"/>
      <c r="ET20" s="1101"/>
      <c r="EU20" s="1115"/>
      <c r="EV20" s="1101"/>
      <c r="EW20" s="1187"/>
      <c r="EX20" s="1187"/>
      <c r="EY20" s="1187"/>
      <c r="EZ20" s="1187"/>
      <c r="FA20" s="1187"/>
      <c r="FB20" s="1187"/>
      <c r="FC20" s="1115"/>
      <c r="FD20" s="1115"/>
      <c r="FE20" s="1115"/>
      <c r="FF20" s="1115"/>
      <c r="FG20" s="1182" t="s">
        <v>3342</v>
      </c>
      <c r="FH20" s="1183"/>
      <c r="FI20" s="1185"/>
      <c r="FJ20" s="1183"/>
      <c r="FK20" s="1185"/>
      <c r="FL20" s="1185"/>
      <c r="FM20" s="1185"/>
      <c r="FN20" s="1185"/>
      <c r="FO20" s="1185"/>
      <c r="FP20" s="1185"/>
      <c r="FQ20" s="1185"/>
      <c r="FR20" s="1205"/>
      <c r="FS20" s="1205"/>
      <c r="FV20" s="1220" t="s">
        <v>5517</v>
      </c>
      <c r="FW20" s="1115">
        <v>9.1999999999999993</v>
      </c>
      <c r="FX20" s="1115" t="s">
        <v>5545</v>
      </c>
      <c r="FY20" s="1115">
        <v>1.4</v>
      </c>
      <c r="FZ20" s="1115" t="s">
        <v>5354</v>
      </c>
      <c r="GA20" s="1115">
        <v>10.199999999999999</v>
      </c>
      <c r="GB20" s="1115" t="s">
        <v>5546</v>
      </c>
      <c r="GC20" s="1115">
        <v>0.9</v>
      </c>
      <c r="GD20" s="1115" t="s">
        <v>5273</v>
      </c>
      <c r="GE20" s="402">
        <v>9.6999999999999993</v>
      </c>
      <c r="GF20" s="402" t="s">
        <v>5547</v>
      </c>
      <c r="GG20" s="402">
        <v>1.4</v>
      </c>
      <c r="GH20" s="402" t="s">
        <v>5187</v>
      </c>
      <c r="GI20" s="1115"/>
      <c r="GJ20" s="1115"/>
      <c r="GL20" s="1192" t="s">
        <v>3342</v>
      </c>
      <c r="GM20" s="1117"/>
      <c r="GN20" s="1117"/>
      <c r="GO20" s="1193"/>
      <c r="GP20" s="1117"/>
      <c r="GQ20" s="1117"/>
      <c r="GR20" s="1117"/>
      <c r="GS20" s="1208"/>
      <c r="GT20" s="1208"/>
      <c r="GU20" s="1209"/>
      <c r="GV20" s="1215" t="s">
        <v>5512</v>
      </c>
      <c r="GW20" s="1209">
        <v>39.799999999999997</v>
      </c>
      <c r="GX20" s="1117" t="s">
        <v>5548</v>
      </c>
      <c r="GY20" s="1215">
        <v>27.2</v>
      </c>
      <c r="GZ20" s="1117" t="s">
        <v>5549</v>
      </c>
      <c r="HA20" s="1117">
        <v>35.200000000000003</v>
      </c>
      <c r="HB20" s="1117" t="s">
        <v>5550</v>
      </c>
      <c r="HC20" s="1215">
        <v>22.7</v>
      </c>
      <c r="HD20" s="1192" t="s">
        <v>5551</v>
      </c>
      <c r="HE20" s="1222"/>
      <c r="HF20" s="1262"/>
      <c r="HH20" s="1182" t="s">
        <v>3342</v>
      </c>
      <c r="HI20" s="1183"/>
      <c r="HJ20" s="1185"/>
      <c r="HK20" s="1185"/>
      <c r="HL20" s="1185"/>
      <c r="HM20" s="1185"/>
      <c r="HN20" s="1185"/>
      <c r="HO20" s="1199"/>
      <c r="HP20" s="1199"/>
    </row>
    <row r="21" spans="11:224" ht="15.6" customHeight="1">
      <c r="L21" s="515"/>
      <c r="M21" s="515"/>
      <c r="N21" s="515"/>
      <c r="O21" s="515"/>
      <c r="P21" s="515"/>
      <c r="Q21" s="515"/>
      <c r="R21" s="1271"/>
      <c r="T21" s="398" t="s">
        <v>5552</v>
      </c>
      <c r="U21" s="585">
        <v>30</v>
      </c>
      <c r="V21" s="585">
        <v>2</v>
      </c>
      <c r="W21" s="382">
        <v>0</v>
      </c>
      <c r="X21" s="585">
        <v>0</v>
      </c>
      <c r="Y21" s="585">
        <v>0</v>
      </c>
      <c r="Z21" s="585"/>
      <c r="AA21" s="382"/>
      <c r="AB21" s="398" t="s">
        <v>5553</v>
      </c>
      <c r="AC21" s="439">
        <v>382</v>
      </c>
      <c r="AD21" s="439">
        <v>618</v>
      </c>
      <c r="AE21" s="439">
        <v>651</v>
      </c>
      <c r="AF21" s="439">
        <v>410</v>
      </c>
      <c r="AG21" s="439">
        <v>236</v>
      </c>
      <c r="AH21" s="439"/>
      <c r="AK21" s="1168" t="s">
        <v>5554</v>
      </c>
      <c r="AL21" s="864" t="s">
        <v>1627</v>
      </c>
      <c r="AM21" s="864" t="s">
        <v>1627</v>
      </c>
      <c r="AN21" s="864" t="s">
        <v>1627</v>
      </c>
      <c r="AO21" s="1268">
        <v>77</v>
      </c>
      <c r="AP21" s="1268">
        <v>77</v>
      </c>
      <c r="AQ21" s="1268">
        <v>77</v>
      </c>
      <c r="AR21" s="1268"/>
      <c r="AS21" s="1268"/>
      <c r="AU21" s="1124"/>
      <c r="AV21" s="1124"/>
      <c r="AW21" s="1269"/>
      <c r="AX21" s="1124"/>
      <c r="AY21" s="1124"/>
      <c r="AZ21" s="1124"/>
      <c r="BA21" s="1124"/>
      <c r="BB21" s="1124"/>
      <c r="BC21" s="1124"/>
      <c r="BD21" s="1173"/>
      <c r="BE21" s="1174"/>
      <c r="BF21" s="1174"/>
      <c r="BG21" s="1174"/>
      <c r="BH21" s="1174"/>
      <c r="BI21" s="1174"/>
      <c r="BJ21" s="1174"/>
      <c r="BK21" s="1124"/>
      <c r="BL21" s="1126"/>
      <c r="BM21" s="1127"/>
      <c r="BN21" s="1127"/>
      <c r="BO21" s="1127"/>
      <c r="BP21" s="1127"/>
      <c r="BQ21" s="1124"/>
      <c r="BR21" s="1124"/>
      <c r="BS21" s="1124"/>
      <c r="BY21" s="515"/>
      <c r="BZ21" s="382"/>
      <c r="CB21" s="382" t="s">
        <v>5555</v>
      </c>
      <c r="CC21" s="1179">
        <v>5</v>
      </c>
      <c r="CD21" s="1180">
        <v>0</v>
      </c>
      <c r="CE21" s="1180">
        <v>0</v>
      </c>
      <c r="CF21" s="1180">
        <v>0</v>
      </c>
      <c r="CG21" s="1180">
        <v>2</v>
      </c>
      <c r="CH21" s="1180"/>
      <c r="CJ21" s="382" t="s">
        <v>5556</v>
      </c>
      <c r="CK21" s="393"/>
      <c r="CL21" s="1181"/>
      <c r="CM21" s="1181"/>
      <c r="CN21" s="1181"/>
      <c r="CO21" s="1181"/>
      <c r="CP21" s="1181"/>
      <c r="CQ21" s="1181"/>
      <c r="CR21" s="1181"/>
      <c r="CS21" s="1181"/>
      <c r="CU21" s="382" t="s">
        <v>5556</v>
      </c>
      <c r="CV21" s="393">
        <f t="shared" si="2"/>
        <v>49</v>
      </c>
      <c r="CW21" s="1181">
        <v>13</v>
      </c>
      <c r="CX21" s="1181">
        <v>1</v>
      </c>
      <c r="CY21" s="1181">
        <v>0</v>
      </c>
      <c r="CZ21" s="1181">
        <v>0</v>
      </c>
      <c r="DA21" s="1181">
        <v>0</v>
      </c>
      <c r="DB21" s="1181">
        <v>0</v>
      </c>
      <c r="DC21" s="1181">
        <v>0</v>
      </c>
      <c r="DD21" s="1181">
        <v>35</v>
      </c>
      <c r="DG21" s="382" t="s">
        <v>5556</v>
      </c>
      <c r="DH21" s="393">
        <f t="shared" si="1"/>
        <v>138</v>
      </c>
      <c r="DI21" s="1181">
        <v>23</v>
      </c>
      <c r="DJ21" s="1181">
        <v>0</v>
      </c>
      <c r="DK21" s="1181">
        <v>3</v>
      </c>
      <c r="DL21" s="1181">
        <v>7</v>
      </c>
      <c r="DM21" s="1181">
        <v>1</v>
      </c>
      <c r="DN21" s="1181">
        <v>0</v>
      </c>
      <c r="DO21" s="1181">
        <v>6</v>
      </c>
      <c r="DP21" s="1181">
        <v>98</v>
      </c>
      <c r="DQ21" s="409"/>
      <c r="DS21" s="382" t="s">
        <v>5543</v>
      </c>
      <c r="DT21" s="1179">
        <v>0</v>
      </c>
      <c r="DU21" s="1179">
        <v>0</v>
      </c>
      <c r="DV21" s="1179">
        <v>0</v>
      </c>
      <c r="DW21" s="1179">
        <v>0</v>
      </c>
      <c r="DX21" s="1180">
        <v>0</v>
      </c>
      <c r="DY21" s="1179">
        <v>0</v>
      </c>
      <c r="DZ21" s="1179">
        <v>0</v>
      </c>
      <c r="EA21" s="1179">
        <v>0</v>
      </c>
      <c r="EB21" s="393"/>
      <c r="EE21" s="1212" t="s">
        <v>5557</v>
      </c>
      <c r="EF21" s="1183">
        <v>7</v>
      </c>
      <c r="EG21" s="1185" t="s">
        <v>5558</v>
      </c>
      <c r="EH21" s="1185">
        <v>9.5</v>
      </c>
      <c r="EI21" s="1185" t="s">
        <v>5559</v>
      </c>
      <c r="EJ21" s="1185">
        <v>10.5</v>
      </c>
      <c r="EK21" s="1185" t="s">
        <v>5560</v>
      </c>
      <c r="EL21" s="1185">
        <v>7.5</v>
      </c>
      <c r="EM21" s="1185" t="s">
        <v>5561</v>
      </c>
      <c r="EN21" s="1185">
        <v>7.1</v>
      </c>
      <c r="EO21" s="1185" t="s">
        <v>5562</v>
      </c>
      <c r="EP21" s="1205"/>
      <c r="ER21" s="1213" t="s">
        <v>5557</v>
      </c>
      <c r="ES21" s="1115">
        <v>4.5</v>
      </c>
      <c r="ET21" s="1101" t="s">
        <v>5563</v>
      </c>
      <c r="EU21" s="1115">
        <v>7.7</v>
      </c>
      <c r="EV21" s="1101" t="s">
        <v>5564</v>
      </c>
      <c r="EW21" s="1188">
        <v>7.2</v>
      </c>
      <c r="EX21" s="1188" t="s">
        <v>5565</v>
      </c>
      <c r="EY21" s="1188">
        <v>2.1</v>
      </c>
      <c r="EZ21" s="1188" t="s">
        <v>5182</v>
      </c>
      <c r="FA21" s="1188">
        <v>3.1</v>
      </c>
      <c r="FB21" s="1188" t="s">
        <v>5198</v>
      </c>
      <c r="FC21" s="1115"/>
      <c r="FD21" s="1115"/>
      <c r="FE21" s="1115"/>
      <c r="FF21" s="1115"/>
      <c r="FG21" s="1212" t="s">
        <v>5557</v>
      </c>
      <c r="FH21" s="1183">
        <v>5.6</v>
      </c>
      <c r="FI21" s="1185" t="s">
        <v>5566</v>
      </c>
      <c r="FJ21" s="1183">
        <v>9.1999999999999993</v>
      </c>
      <c r="FK21" s="1185" t="s">
        <v>5567</v>
      </c>
      <c r="FL21" s="1185">
        <v>8.6999999999999993</v>
      </c>
      <c r="FM21" s="1185" t="s">
        <v>5568</v>
      </c>
      <c r="FN21" s="1185">
        <v>4.2</v>
      </c>
      <c r="FO21" s="1185" t="s">
        <v>5569</v>
      </c>
      <c r="FP21" s="1183">
        <v>2.8</v>
      </c>
      <c r="FQ21" s="1185" t="s">
        <v>5570</v>
      </c>
      <c r="FR21" s="1205"/>
      <c r="FS21" s="1205"/>
      <c r="FV21" s="1206" t="s">
        <v>3342</v>
      </c>
      <c r="FW21" s="1115"/>
      <c r="FX21" s="1115"/>
      <c r="FY21" s="1115"/>
      <c r="FZ21" s="1115"/>
      <c r="GA21" s="1115"/>
      <c r="GB21" s="1115"/>
      <c r="GC21" s="1115"/>
      <c r="GD21" s="1115"/>
      <c r="GE21" s="402"/>
      <c r="GF21" s="402"/>
      <c r="GG21" s="402"/>
      <c r="GH21" s="402"/>
      <c r="GI21" s="1115"/>
      <c r="GJ21" s="1115"/>
      <c r="GL21" s="1215" t="s">
        <v>5557</v>
      </c>
      <c r="GM21" s="1117">
        <v>37.6</v>
      </c>
      <c r="GN21" s="1117" t="s">
        <v>5571</v>
      </c>
      <c r="GO21" s="1193">
        <v>36.5</v>
      </c>
      <c r="GP21" s="1117" t="s">
        <v>5572</v>
      </c>
      <c r="GQ21" s="1117">
        <v>39.200000000000003</v>
      </c>
      <c r="GR21" s="1117" t="s">
        <v>5573</v>
      </c>
      <c r="GS21" s="1208"/>
      <c r="GT21" s="1208"/>
      <c r="GU21" s="1209"/>
      <c r="GV21" s="1192" t="s">
        <v>3342</v>
      </c>
      <c r="GW21" s="1209"/>
      <c r="GX21" s="1117"/>
      <c r="GY21" s="1192"/>
      <c r="GZ21" s="1117"/>
      <c r="HA21" s="1117"/>
      <c r="HB21" s="1117"/>
      <c r="HC21" s="1192"/>
      <c r="HD21" s="1192"/>
      <c r="HE21" s="1216"/>
      <c r="HF21" s="1199"/>
      <c r="HH21" s="1212" t="s">
        <v>5557</v>
      </c>
      <c r="HI21" s="1183">
        <v>11.7</v>
      </c>
      <c r="HJ21" s="1185" t="s">
        <v>5574</v>
      </c>
      <c r="HK21" s="1185">
        <v>22.5</v>
      </c>
      <c r="HL21" s="1185" t="s">
        <v>5575</v>
      </c>
      <c r="HM21" s="1185">
        <v>24</v>
      </c>
      <c r="HN21" s="1185" t="s">
        <v>5576</v>
      </c>
      <c r="HO21" s="1199"/>
      <c r="HP21" s="1199"/>
    </row>
    <row r="22" spans="11:224" ht="15.6" customHeight="1">
      <c r="K22" s="811"/>
      <c r="L22" s="1272"/>
      <c r="M22" s="811"/>
      <c r="R22" s="515"/>
      <c r="T22" s="398" t="s">
        <v>5577</v>
      </c>
      <c r="U22" s="585">
        <v>144</v>
      </c>
      <c r="V22" s="585">
        <v>5</v>
      </c>
      <c r="W22" s="382">
        <v>0</v>
      </c>
      <c r="X22" s="585">
        <v>0</v>
      </c>
      <c r="Y22" s="585">
        <v>0</v>
      </c>
      <c r="Z22" s="585"/>
      <c r="AA22" s="382"/>
      <c r="AB22" s="1273" t="s">
        <v>5578</v>
      </c>
      <c r="AC22" s="497">
        <v>6464</v>
      </c>
      <c r="AD22" s="497">
        <v>27551</v>
      </c>
      <c r="AE22" s="497">
        <v>27096</v>
      </c>
      <c r="AF22" s="497">
        <v>39666</v>
      </c>
      <c r="AG22" s="497">
        <v>35082</v>
      </c>
      <c r="AH22" s="463"/>
      <c r="AJ22" s="402"/>
      <c r="AK22" s="1224" t="s">
        <v>1711</v>
      </c>
      <c r="AL22" s="864" t="s">
        <v>1627</v>
      </c>
      <c r="AM22" s="864" t="s">
        <v>1627</v>
      </c>
      <c r="AN22" s="864" t="s">
        <v>1627</v>
      </c>
      <c r="AO22" s="1268">
        <v>74.8</v>
      </c>
      <c r="AP22" s="1268">
        <v>74.599999999999994</v>
      </c>
      <c r="AQ22" s="1268">
        <v>74.3</v>
      </c>
      <c r="AR22" s="1268"/>
      <c r="AS22" s="1268"/>
      <c r="AU22" s="1124"/>
      <c r="AV22" s="1172"/>
      <c r="AW22" s="1269"/>
      <c r="AX22" s="1124"/>
      <c r="AY22" s="1124"/>
      <c r="AZ22" s="1124"/>
      <c r="BA22" s="1124"/>
      <c r="BB22" s="1124"/>
      <c r="BC22" s="1124"/>
      <c r="BD22" s="1173"/>
      <c r="BE22" s="1174"/>
      <c r="BF22" s="1174"/>
      <c r="BG22" s="1174"/>
      <c r="BH22" s="1174"/>
      <c r="BI22" s="1174"/>
      <c r="BJ22" s="1174"/>
      <c r="BK22" s="1124"/>
      <c r="BL22" s="1176"/>
      <c r="BM22" s="1177"/>
      <c r="BN22" s="1177"/>
      <c r="BO22" s="1177"/>
      <c r="BP22" s="1177"/>
      <c r="BQ22" s="1124"/>
      <c r="BR22" s="1124"/>
      <c r="BS22" s="1124"/>
      <c r="BT22" s="2179" t="s">
        <v>5579</v>
      </c>
      <c r="BU22" s="2179"/>
      <c r="BV22" s="2179"/>
      <c r="BW22" s="2179"/>
      <c r="BX22" s="2181"/>
      <c r="BZ22" s="1133"/>
      <c r="CB22" s="382" t="s">
        <v>5580</v>
      </c>
      <c r="CC22" s="1179">
        <v>0</v>
      </c>
      <c r="CD22" s="1180">
        <v>0</v>
      </c>
      <c r="CE22" s="1180">
        <v>0</v>
      </c>
      <c r="CF22" s="1180">
        <v>0</v>
      </c>
      <c r="CG22" s="1180">
        <v>0</v>
      </c>
      <c r="CH22" s="1180"/>
      <c r="CJ22" s="382" t="s">
        <v>5581</v>
      </c>
      <c r="CK22" s="393"/>
      <c r="CL22" s="1181"/>
      <c r="CM22" s="1181"/>
      <c r="CN22" s="1181"/>
      <c r="CO22" s="1181"/>
      <c r="CP22" s="1181"/>
      <c r="CQ22" s="1181"/>
      <c r="CR22" s="1181"/>
      <c r="CS22" s="1181"/>
      <c r="CU22" s="382" t="s">
        <v>5581</v>
      </c>
      <c r="CV22" s="393">
        <f t="shared" si="2"/>
        <v>31</v>
      </c>
      <c r="CW22" s="1181">
        <v>1</v>
      </c>
      <c r="CX22" s="1181">
        <v>0</v>
      </c>
      <c r="CY22" s="1181">
        <v>8</v>
      </c>
      <c r="CZ22" s="1181">
        <v>0</v>
      </c>
      <c r="DA22" s="1181">
        <v>9</v>
      </c>
      <c r="DB22" s="1181">
        <v>1</v>
      </c>
      <c r="DC22" s="1181">
        <v>0</v>
      </c>
      <c r="DD22" s="1181">
        <v>12</v>
      </c>
      <c r="DG22" s="382" t="s">
        <v>5581</v>
      </c>
      <c r="DH22" s="393">
        <f t="shared" si="1"/>
        <v>36</v>
      </c>
      <c r="DI22" s="1181">
        <v>1</v>
      </c>
      <c r="DJ22" s="1181">
        <v>0</v>
      </c>
      <c r="DK22" s="1181">
        <v>7</v>
      </c>
      <c r="DL22" s="1181">
        <v>0</v>
      </c>
      <c r="DM22" s="1181">
        <v>4</v>
      </c>
      <c r="DN22" s="1181">
        <v>1</v>
      </c>
      <c r="DO22" s="1181">
        <v>5</v>
      </c>
      <c r="DP22" s="1181">
        <v>18</v>
      </c>
      <c r="DQ22" s="409"/>
      <c r="DS22" s="382" t="s">
        <v>5555</v>
      </c>
      <c r="DT22" s="1179">
        <v>5</v>
      </c>
      <c r="DU22" s="1180">
        <v>1</v>
      </c>
      <c r="DV22" s="1180">
        <v>4</v>
      </c>
      <c r="DW22" s="1180">
        <v>0</v>
      </c>
      <c r="DX22" s="1180">
        <v>0</v>
      </c>
      <c r="DY22" s="1180">
        <v>0</v>
      </c>
      <c r="DZ22" s="1180">
        <v>0</v>
      </c>
      <c r="EA22" s="1180">
        <v>0</v>
      </c>
      <c r="EB22" s="393"/>
      <c r="EE22" s="1212" t="s">
        <v>5582</v>
      </c>
      <c r="EF22" s="1183">
        <v>9</v>
      </c>
      <c r="EG22" s="1185" t="s">
        <v>5583</v>
      </c>
      <c r="EH22" s="1185">
        <v>7.7</v>
      </c>
      <c r="EI22" s="1185" t="s">
        <v>5584</v>
      </c>
      <c r="EJ22" s="1185">
        <v>8.8000000000000007</v>
      </c>
      <c r="EK22" s="1185" t="s">
        <v>5585</v>
      </c>
      <c r="EL22" s="1185">
        <v>15.5</v>
      </c>
      <c r="EM22" s="1185" t="s">
        <v>5586</v>
      </c>
      <c r="EN22" s="1185">
        <v>7.6</v>
      </c>
      <c r="EO22" s="1185" t="s">
        <v>5587</v>
      </c>
      <c r="EP22" s="1205"/>
      <c r="ER22" s="1213" t="s">
        <v>5582</v>
      </c>
      <c r="ES22" s="1115">
        <v>2.5</v>
      </c>
      <c r="ET22" s="1101" t="s">
        <v>5221</v>
      </c>
      <c r="EU22" s="1115">
        <v>2.8</v>
      </c>
      <c r="EV22" s="1101" t="s">
        <v>5224</v>
      </c>
      <c r="EW22" s="1188">
        <v>2.7</v>
      </c>
      <c r="EX22" s="1188" t="s">
        <v>5588</v>
      </c>
      <c r="EY22" s="1188">
        <v>3.9</v>
      </c>
      <c r="EZ22" s="1188" t="s">
        <v>5589</v>
      </c>
      <c r="FA22" s="1188">
        <v>3.4</v>
      </c>
      <c r="FB22" s="1188" t="s">
        <v>5590</v>
      </c>
      <c r="FC22" s="1115"/>
      <c r="FD22" s="1115"/>
      <c r="FE22" s="1115"/>
      <c r="FF22" s="1115"/>
      <c r="FG22" s="1212" t="s">
        <v>5582</v>
      </c>
      <c r="FH22" s="1183">
        <v>3</v>
      </c>
      <c r="FI22" s="1185" t="s">
        <v>5591</v>
      </c>
      <c r="FJ22" s="1183">
        <v>4.8</v>
      </c>
      <c r="FK22" s="1185" t="s">
        <v>5592</v>
      </c>
      <c r="FL22" s="1185">
        <v>4.8</v>
      </c>
      <c r="FM22" s="1185" t="s">
        <v>5260</v>
      </c>
      <c r="FN22" s="1185">
        <v>5.0999999999999996</v>
      </c>
      <c r="FO22" s="1185" t="s">
        <v>5593</v>
      </c>
      <c r="FP22" s="1183">
        <v>7.2</v>
      </c>
      <c r="FQ22" s="1185" t="s">
        <v>5594</v>
      </c>
      <c r="FR22" s="1205"/>
      <c r="FS22" s="1205"/>
      <c r="FV22" s="1220" t="s">
        <v>5557</v>
      </c>
      <c r="FW22" s="1115">
        <v>20.3</v>
      </c>
      <c r="FX22" s="1115" t="s">
        <v>5595</v>
      </c>
      <c r="FY22" s="1115">
        <v>0.8</v>
      </c>
      <c r="FZ22" s="1115" t="s">
        <v>5296</v>
      </c>
      <c r="GA22" s="1115">
        <v>24.5</v>
      </c>
      <c r="GB22" s="1115" t="s">
        <v>5596</v>
      </c>
      <c r="GC22" s="1115">
        <v>1</v>
      </c>
      <c r="GD22" s="1115" t="s">
        <v>5597</v>
      </c>
      <c r="GE22" s="402">
        <v>18.3</v>
      </c>
      <c r="GF22" s="402" t="s">
        <v>5598</v>
      </c>
      <c r="GG22" s="402">
        <v>1.6</v>
      </c>
      <c r="GH22" s="402" t="s">
        <v>5599</v>
      </c>
      <c r="GI22" s="1115"/>
      <c r="GJ22" s="1115"/>
      <c r="GL22" s="1215" t="s">
        <v>5582</v>
      </c>
      <c r="GM22" s="1117">
        <v>27.9</v>
      </c>
      <c r="GN22" s="1117" t="s">
        <v>5600</v>
      </c>
      <c r="GO22" s="1193">
        <v>18</v>
      </c>
      <c r="GP22" s="1117" t="s">
        <v>5601</v>
      </c>
      <c r="GQ22" s="1117">
        <v>31.7</v>
      </c>
      <c r="GR22" s="1117" t="s">
        <v>5602</v>
      </c>
      <c r="GS22" s="1208"/>
      <c r="GT22" s="1208"/>
      <c r="GU22" s="1209"/>
      <c r="GV22" s="1215" t="s">
        <v>5557</v>
      </c>
      <c r="GW22" s="1209">
        <v>26.9</v>
      </c>
      <c r="GX22" s="1117" t="s">
        <v>5603</v>
      </c>
      <c r="GY22" s="1221">
        <v>35.799999999999997</v>
      </c>
      <c r="GZ22" s="1117" t="s">
        <v>5604</v>
      </c>
      <c r="HA22" s="1117">
        <v>22.9</v>
      </c>
      <c r="HB22" s="1117" t="s">
        <v>5605</v>
      </c>
      <c r="HC22" s="1215">
        <v>30.3</v>
      </c>
      <c r="HD22" s="1192" t="s">
        <v>5606</v>
      </c>
      <c r="HE22" s="1222"/>
      <c r="HF22" s="1262"/>
      <c r="HH22" s="1212" t="s">
        <v>5582</v>
      </c>
      <c r="HI22" s="1183">
        <v>15.9</v>
      </c>
      <c r="HJ22" s="1185" t="s">
        <v>5607</v>
      </c>
      <c r="HK22" s="1185">
        <v>19.100000000000001</v>
      </c>
      <c r="HL22" s="1185" t="s">
        <v>5608</v>
      </c>
      <c r="HM22" s="1185">
        <v>27.4</v>
      </c>
      <c r="HN22" s="1185" t="s">
        <v>5609</v>
      </c>
      <c r="HO22" s="1199"/>
      <c r="HP22" s="1199"/>
    </row>
    <row r="23" spans="11:224" ht="15.6" customHeight="1">
      <c r="L23" s="515"/>
      <c r="R23" s="515"/>
      <c r="T23" s="398" t="s">
        <v>5610</v>
      </c>
      <c r="U23" s="585">
        <v>47</v>
      </c>
      <c r="V23" s="585">
        <v>17</v>
      </c>
      <c r="W23" s="382">
        <v>7</v>
      </c>
      <c r="X23" s="585">
        <v>1</v>
      </c>
      <c r="Y23" s="585">
        <v>0</v>
      </c>
      <c r="Z23" s="585"/>
      <c r="AA23" s="382"/>
      <c r="AB23" s="386" t="s">
        <v>5611</v>
      </c>
      <c r="AC23" s="398"/>
      <c r="AD23" s="398"/>
      <c r="AE23" s="398"/>
      <c r="AF23" s="398"/>
      <c r="AG23" s="398"/>
      <c r="AH23" s="398"/>
      <c r="AJ23" s="385"/>
      <c r="AK23" s="1274" t="s">
        <v>1712</v>
      </c>
      <c r="AL23" s="864" t="s">
        <v>1627</v>
      </c>
      <c r="AM23" s="864" t="s">
        <v>1627</v>
      </c>
      <c r="AN23" s="1201" t="s">
        <v>1627</v>
      </c>
      <c r="AO23" s="1275">
        <v>79.900000000000006</v>
      </c>
      <c r="AP23" s="1275">
        <v>79.599999999999994</v>
      </c>
      <c r="AQ23" s="1275">
        <v>79.3</v>
      </c>
      <c r="AR23" s="1276"/>
      <c r="AS23" s="1276"/>
      <c r="AU23" s="1124"/>
      <c r="AV23" s="1124"/>
      <c r="AW23" s="1124"/>
      <c r="AX23" s="1124"/>
      <c r="AY23" s="1124"/>
      <c r="AZ23" s="1124"/>
      <c r="BA23" s="1124"/>
      <c r="BB23" s="1124"/>
      <c r="BC23" s="1124"/>
      <c r="BD23" s="1173"/>
      <c r="BE23" s="1174"/>
      <c r="BF23" s="1174"/>
      <c r="BG23" s="1174"/>
      <c r="BH23" s="1174"/>
      <c r="BI23" s="1174"/>
      <c r="BJ23" s="1174"/>
      <c r="BK23" s="1124"/>
      <c r="BL23" s="1176"/>
      <c r="BM23" s="1177"/>
      <c r="BN23" s="1177"/>
      <c r="BO23" s="1177"/>
      <c r="BP23" s="1177"/>
      <c r="BQ23" s="1124"/>
      <c r="BR23" s="1124"/>
      <c r="BS23" s="1124"/>
      <c r="BT23" s="414"/>
      <c r="BU23" s="417"/>
      <c r="BV23" s="439" t="s">
        <v>4350</v>
      </c>
      <c r="BW23" s="465" t="s">
        <v>841</v>
      </c>
      <c r="BX23" s="1104"/>
      <c r="BZ23" s="382"/>
      <c r="CB23" s="382" t="s">
        <v>5612</v>
      </c>
      <c r="CC23" s="1179">
        <v>0</v>
      </c>
      <c r="CD23" s="1180">
        <v>0</v>
      </c>
      <c r="CE23" s="1180">
        <v>0</v>
      </c>
      <c r="CF23" s="1180">
        <v>0</v>
      </c>
      <c r="CG23" s="1180">
        <v>0</v>
      </c>
      <c r="CH23" s="1180"/>
      <c r="CJ23" s="382" t="s">
        <v>5613</v>
      </c>
      <c r="CK23" s="393"/>
      <c r="CL23" s="1181"/>
      <c r="CM23" s="1181"/>
      <c r="CN23" s="1181"/>
      <c r="CO23" s="1181"/>
      <c r="CP23" s="1181"/>
      <c r="CQ23" s="1181"/>
      <c r="CR23" s="1181"/>
      <c r="CS23" s="1181"/>
      <c r="CU23" s="382" t="s">
        <v>5613</v>
      </c>
      <c r="CV23" s="393">
        <f t="shared" si="2"/>
        <v>0</v>
      </c>
      <c r="CW23" s="1181">
        <v>0</v>
      </c>
      <c r="CX23" s="1181">
        <v>0</v>
      </c>
      <c r="CY23" s="1181">
        <v>0</v>
      </c>
      <c r="CZ23" s="1181">
        <v>0</v>
      </c>
      <c r="DA23" s="1181">
        <v>0</v>
      </c>
      <c r="DB23" s="1181">
        <v>0</v>
      </c>
      <c r="DC23" s="1181">
        <v>0</v>
      </c>
      <c r="DD23" s="1181">
        <v>0</v>
      </c>
      <c r="DG23" s="382" t="s">
        <v>5613</v>
      </c>
      <c r="DH23" s="393">
        <f t="shared" si="1"/>
        <v>2</v>
      </c>
      <c r="DI23" s="1181">
        <v>2</v>
      </c>
      <c r="DJ23" s="1181">
        <v>0</v>
      </c>
      <c r="DK23" s="1181">
        <v>0</v>
      </c>
      <c r="DL23" s="1181">
        <v>0</v>
      </c>
      <c r="DM23" s="1181">
        <v>0</v>
      </c>
      <c r="DN23" s="1181">
        <v>0</v>
      </c>
      <c r="DO23" s="1181">
        <v>0</v>
      </c>
      <c r="DP23" s="1181">
        <v>0</v>
      </c>
      <c r="DQ23" s="409"/>
      <c r="DS23" s="382" t="s">
        <v>5580</v>
      </c>
      <c r="DT23" s="1179">
        <v>0</v>
      </c>
      <c r="DU23" s="1179">
        <v>0</v>
      </c>
      <c r="DV23" s="1179">
        <v>0</v>
      </c>
      <c r="DW23" s="1179">
        <v>0</v>
      </c>
      <c r="DX23" s="1180">
        <v>0</v>
      </c>
      <c r="DY23" s="1180">
        <v>0</v>
      </c>
      <c r="DZ23" s="1180">
        <v>0</v>
      </c>
      <c r="EA23" s="1180">
        <v>0</v>
      </c>
      <c r="EB23" s="393"/>
      <c r="EE23" s="1212" t="s">
        <v>5614</v>
      </c>
      <c r="EF23" s="1183">
        <v>7.8</v>
      </c>
      <c r="EG23" s="1185" t="s">
        <v>5615</v>
      </c>
      <c r="EH23" s="1185">
        <v>5.7</v>
      </c>
      <c r="EI23" s="1185" t="s">
        <v>5616</v>
      </c>
      <c r="EJ23" s="1185">
        <v>9.4</v>
      </c>
      <c r="EK23" s="1185" t="s">
        <v>5617</v>
      </c>
      <c r="EL23" s="1185">
        <v>5.9</v>
      </c>
      <c r="EM23" s="1185" t="s">
        <v>5618</v>
      </c>
      <c r="EN23" s="1185">
        <v>4.5</v>
      </c>
      <c r="EO23" s="1185" t="s">
        <v>5619</v>
      </c>
      <c r="EP23" s="1205"/>
      <c r="ER23" s="1213" t="s">
        <v>5614</v>
      </c>
      <c r="ES23" s="1115">
        <v>0.9</v>
      </c>
      <c r="ET23" s="1101" t="s">
        <v>5273</v>
      </c>
      <c r="EU23" s="1115">
        <v>6.3</v>
      </c>
      <c r="EV23" s="1101" t="s">
        <v>5620</v>
      </c>
      <c r="EW23" s="1188">
        <v>4.7</v>
      </c>
      <c r="EX23" s="1188" t="s">
        <v>5621</v>
      </c>
      <c r="EY23" s="1188">
        <v>2.7</v>
      </c>
      <c r="EZ23" s="1188" t="s">
        <v>5622</v>
      </c>
      <c r="FA23" s="1188">
        <v>5.3</v>
      </c>
      <c r="FB23" s="1188" t="s">
        <v>5623</v>
      </c>
      <c r="FC23" s="1115"/>
      <c r="FD23" s="1115"/>
      <c r="FE23" s="1115"/>
      <c r="FF23" s="1115"/>
      <c r="FG23" s="1212" t="s">
        <v>5614</v>
      </c>
      <c r="FH23" s="1183">
        <v>2</v>
      </c>
      <c r="FI23" s="1185" t="s">
        <v>5599</v>
      </c>
      <c r="FJ23" s="1183">
        <v>3</v>
      </c>
      <c r="FK23" s="1185" t="s">
        <v>5624</v>
      </c>
      <c r="FL23" s="1185">
        <v>3.1</v>
      </c>
      <c r="FM23" s="1185" t="s">
        <v>5625</v>
      </c>
      <c r="FN23" s="1185">
        <v>3.3</v>
      </c>
      <c r="FO23" s="1185" t="s">
        <v>5626</v>
      </c>
      <c r="FP23" s="1183">
        <v>6.6</v>
      </c>
      <c r="FQ23" s="1185" t="s">
        <v>5627</v>
      </c>
      <c r="FR23" s="1205"/>
      <c r="FS23" s="1205"/>
      <c r="FV23" s="1220" t="s">
        <v>5582</v>
      </c>
      <c r="FW23" s="1115">
        <v>12</v>
      </c>
      <c r="FX23" s="1115" t="s">
        <v>5628</v>
      </c>
      <c r="FY23" s="1115">
        <v>1.4</v>
      </c>
      <c r="FZ23" s="1115" t="s">
        <v>5187</v>
      </c>
      <c r="GA23" s="1115">
        <v>12.9</v>
      </c>
      <c r="GB23" s="1115" t="s">
        <v>5629</v>
      </c>
      <c r="GC23" s="1115">
        <v>3.6</v>
      </c>
      <c r="GD23" s="1115" t="s">
        <v>5630</v>
      </c>
      <c r="GE23" s="402">
        <v>13.7</v>
      </c>
      <c r="GF23" s="402" t="s">
        <v>5631</v>
      </c>
      <c r="GG23" s="402">
        <v>3.1</v>
      </c>
      <c r="GH23" s="402" t="s">
        <v>5198</v>
      </c>
      <c r="GI23" s="1115"/>
      <c r="GJ23" s="1115"/>
      <c r="GL23" s="1215" t="s">
        <v>5614</v>
      </c>
      <c r="GM23" s="1117">
        <v>25.9</v>
      </c>
      <c r="GN23" s="1117" t="s">
        <v>5632</v>
      </c>
      <c r="GO23" s="1193">
        <v>26.8</v>
      </c>
      <c r="GP23" s="1117" t="s">
        <v>5633</v>
      </c>
      <c r="GQ23" s="1117">
        <v>32.5</v>
      </c>
      <c r="GR23" s="1117" t="s">
        <v>5634</v>
      </c>
      <c r="GS23" s="1208"/>
      <c r="GT23" s="1208"/>
      <c r="GU23" s="1209"/>
      <c r="GV23" s="1215" t="s">
        <v>5582</v>
      </c>
      <c r="GW23" s="1209">
        <v>36.200000000000003</v>
      </c>
      <c r="GX23" s="1117" t="s">
        <v>5635</v>
      </c>
      <c r="GY23" s="1221">
        <v>34</v>
      </c>
      <c r="GZ23" s="1117" t="s">
        <v>5636</v>
      </c>
      <c r="HA23" s="1117">
        <v>30.3</v>
      </c>
      <c r="HB23" s="1117" t="s">
        <v>5637</v>
      </c>
      <c r="HC23" s="1215">
        <v>31.5</v>
      </c>
      <c r="HD23" s="1192" t="s">
        <v>5638</v>
      </c>
      <c r="HE23" s="1222"/>
      <c r="HF23" s="1262"/>
      <c r="HH23" s="1212" t="s">
        <v>5614</v>
      </c>
      <c r="HI23" s="1183">
        <v>15.7</v>
      </c>
      <c r="HJ23" s="1185" t="s">
        <v>5639</v>
      </c>
      <c r="HK23" s="1185">
        <v>13.7</v>
      </c>
      <c r="HL23" s="1185" t="s">
        <v>5640</v>
      </c>
      <c r="HM23" s="1185">
        <v>21.3</v>
      </c>
      <c r="HN23" s="1185" t="s">
        <v>5641</v>
      </c>
      <c r="HO23" s="1199"/>
      <c r="HP23" s="1199"/>
    </row>
    <row r="24" spans="11:224" ht="15.6" customHeight="1">
      <c r="L24" s="754"/>
      <c r="R24" s="515"/>
      <c r="T24" s="398" t="s">
        <v>2598</v>
      </c>
      <c r="U24" s="585">
        <v>168</v>
      </c>
      <c r="V24" s="585">
        <v>0</v>
      </c>
      <c r="W24" s="382">
        <v>0</v>
      </c>
      <c r="X24" s="585">
        <v>0</v>
      </c>
      <c r="Y24" s="585">
        <v>0</v>
      </c>
      <c r="Z24" s="585"/>
      <c r="AA24" s="382"/>
      <c r="AB24" s="398" t="s">
        <v>5642</v>
      </c>
      <c r="AC24" s="398"/>
      <c r="AD24" s="398"/>
      <c r="AE24" s="398"/>
      <c r="AF24" s="398"/>
      <c r="AG24" s="398"/>
      <c r="AH24" s="398"/>
      <c r="AJ24" s="515"/>
      <c r="AK24" s="1276" t="s">
        <v>5643</v>
      </c>
      <c r="AL24" s="1277"/>
      <c r="AM24" s="1277"/>
      <c r="AN24" s="1276"/>
      <c r="AO24" s="1276"/>
      <c r="AP24" s="1276"/>
      <c r="AQ24" s="1276"/>
      <c r="AR24" s="1276"/>
      <c r="AS24" s="1278"/>
      <c r="AU24" s="1124"/>
      <c r="AV24" s="1124"/>
      <c r="AW24" s="1124"/>
      <c r="AX24" s="1124"/>
      <c r="AY24" s="1124"/>
      <c r="AZ24" s="1124"/>
      <c r="BA24" s="1124"/>
      <c r="BB24" s="1124"/>
      <c r="BC24" s="1124"/>
      <c r="BD24" s="1173"/>
      <c r="BE24" s="1174"/>
      <c r="BF24" s="1174"/>
      <c r="BG24" s="1174"/>
      <c r="BH24" s="1174"/>
      <c r="BI24" s="1174"/>
      <c r="BJ24" s="1174"/>
      <c r="BK24" s="1124"/>
      <c r="BL24" s="1176"/>
      <c r="BM24" s="1177"/>
      <c r="BN24" s="1177"/>
      <c r="BO24" s="1177"/>
      <c r="BP24" s="1177"/>
      <c r="BQ24" s="1124"/>
      <c r="BR24" s="1124"/>
      <c r="BS24" s="1124"/>
      <c r="BT24" s="1129" t="s">
        <v>5047</v>
      </c>
      <c r="BU24" s="1130" t="s">
        <v>5048</v>
      </c>
      <c r="BV24" s="1131" t="s">
        <v>5049</v>
      </c>
      <c r="BW24" s="1132" t="s">
        <v>5050</v>
      </c>
      <c r="BX24" s="1104"/>
      <c r="BY24" s="402"/>
      <c r="BZ24" s="382"/>
      <c r="CB24" s="382" t="s">
        <v>5644</v>
      </c>
      <c r="CC24" s="1179">
        <v>0</v>
      </c>
      <c r="CD24" s="1180">
        <v>0</v>
      </c>
      <c r="CE24" s="1180">
        <v>0</v>
      </c>
      <c r="CF24" s="1180">
        <v>0</v>
      </c>
      <c r="CG24" s="1180">
        <v>0</v>
      </c>
      <c r="CH24" s="1180"/>
      <c r="CJ24" s="382" t="s">
        <v>5645</v>
      </c>
      <c r="CK24" s="393"/>
      <c r="CL24" s="1181"/>
      <c r="CM24" s="1181"/>
      <c r="CN24" s="1181"/>
      <c r="CO24" s="1181"/>
      <c r="CP24" s="1181"/>
      <c r="CQ24" s="1181"/>
      <c r="CR24" s="1181"/>
      <c r="CS24" s="1181"/>
      <c r="CU24" s="382" t="s">
        <v>5645</v>
      </c>
      <c r="CV24" s="393">
        <f t="shared" si="2"/>
        <v>3</v>
      </c>
      <c r="CW24" s="1181">
        <v>1</v>
      </c>
      <c r="CX24" s="1181">
        <v>0</v>
      </c>
      <c r="CY24" s="1181">
        <v>0</v>
      </c>
      <c r="CZ24" s="1181">
        <v>2</v>
      </c>
      <c r="DA24" s="1181">
        <v>0</v>
      </c>
      <c r="DB24" s="1181">
        <v>0</v>
      </c>
      <c r="DC24" s="1181">
        <v>0</v>
      </c>
      <c r="DD24" s="1181">
        <v>0</v>
      </c>
      <c r="DG24" s="382" t="s">
        <v>5645</v>
      </c>
      <c r="DH24" s="393">
        <f t="shared" si="1"/>
        <v>11</v>
      </c>
      <c r="DI24" s="1181">
        <v>1</v>
      </c>
      <c r="DJ24" s="1181">
        <v>3</v>
      </c>
      <c r="DK24" s="1181">
        <v>2</v>
      </c>
      <c r="DL24" s="1181">
        <v>2</v>
      </c>
      <c r="DM24" s="1181">
        <v>0</v>
      </c>
      <c r="DN24" s="1181">
        <v>1</v>
      </c>
      <c r="DO24" s="1181">
        <v>0</v>
      </c>
      <c r="DP24" s="1181">
        <v>2</v>
      </c>
      <c r="DQ24" s="409"/>
      <c r="DS24" s="382" t="s">
        <v>5612</v>
      </c>
      <c r="DT24" s="1179">
        <v>0</v>
      </c>
      <c r="DU24" s="1179">
        <v>0</v>
      </c>
      <c r="DV24" s="1179">
        <v>0</v>
      </c>
      <c r="DW24" s="1179">
        <v>0</v>
      </c>
      <c r="DX24" s="1180">
        <v>0</v>
      </c>
      <c r="DY24" s="1180">
        <v>0</v>
      </c>
      <c r="DZ24" s="1180">
        <v>0</v>
      </c>
      <c r="EA24" s="1180">
        <v>0</v>
      </c>
      <c r="EB24" s="393"/>
      <c r="EE24" s="1212" t="s">
        <v>5646</v>
      </c>
      <c r="EF24" s="1183">
        <v>8.5</v>
      </c>
      <c r="EG24" s="1185" t="s">
        <v>5647</v>
      </c>
      <c r="EH24" s="1185">
        <v>3.9</v>
      </c>
      <c r="EI24" s="1185" t="s">
        <v>5648</v>
      </c>
      <c r="EJ24" s="1185">
        <v>7.3</v>
      </c>
      <c r="EK24" s="1185" t="s">
        <v>5649</v>
      </c>
      <c r="EL24" s="1185">
        <v>5.3</v>
      </c>
      <c r="EM24" s="1185" t="s">
        <v>5650</v>
      </c>
      <c r="EN24" s="1185">
        <v>9.3000000000000007</v>
      </c>
      <c r="EO24" s="1185" t="s">
        <v>5651</v>
      </c>
      <c r="EP24" s="1205"/>
      <c r="ER24" s="1213" t="s">
        <v>5646</v>
      </c>
      <c r="ES24" s="1115">
        <v>3.4</v>
      </c>
      <c r="ET24" s="1101" t="s">
        <v>5652</v>
      </c>
      <c r="EU24" s="1115">
        <v>2.9</v>
      </c>
      <c r="EV24" s="1101" t="s">
        <v>5653</v>
      </c>
      <c r="EW24" s="1188">
        <v>4.9000000000000004</v>
      </c>
      <c r="EX24" s="1188" t="s">
        <v>5654</v>
      </c>
      <c r="EY24" s="1188">
        <v>2.6</v>
      </c>
      <c r="EZ24" s="1188" t="s">
        <v>5655</v>
      </c>
      <c r="FA24" s="1188">
        <v>3.6</v>
      </c>
      <c r="FB24" s="1188" t="s">
        <v>5656</v>
      </c>
      <c r="FC24" s="1115"/>
      <c r="FD24" s="1115"/>
      <c r="FE24" s="1115"/>
      <c r="FF24" s="1115"/>
      <c r="FG24" s="1212" t="s">
        <v>5646</v>
      </c>
      <c r="FH24" s="1183">
        <v>4</v>
      </c>
      <c r="FI24" s="1185" t="s">
        <v>5657</v>
      </c>
      <c r="FJ24" s="1183">
        <v>5.5</v>
      </c>
      <c r="FK24" s="1185" t="s">
        <v>5658</v>
      </c>
      <c r="FL24" s="1185">
        <v>7.5</v>
      </c>
      <c r="FM24" s="1185" t="s">
        <v>5659</v>
      </c>
      <c r="FN24" s="1185">
        <v>3.8</v>
      </c>
      <c r="FO24" s="1185" t="s">
        <v>5660</v>
      </c>
      <c r="FP24" s="1183">
        <v>2.6</v>
      </c>
      <c r="FQ24" s="1185" t="s">
        <v>5661</v>
      </c>
      <c r="FR24" s="1205"/>
      <c r="FS24" s="1205"/>
      <c r="FV24" s="1220" t="s">
        <v>5614</v>
      </c>
      <c r="FW24" s="1115">
        <v>10.6</v>
      </c>
      <c r="FX24" s="1115" t="s">
        <v>5662</v>
      </c>
      <c r="FY24" s="1115">
        <v>1.1000000000000001</v>
      </c>
      <c r="FZ24" s="1115" t="s">
        <v>5663</v>
      </c>
      <c r="GA24" s="1115">
        <v>12.8</v>
      </c>
      <c r="GB24" s="1115" t="s">
        <v>5664</v>
      </c>
      <c r="GC24" s="1115">
        <v>3.6</v>
      </c>
      <c r="GD24" s="1115" t="s">
        <v>5665</v>
      </c>
      <c r="GE24" s="402">
        <v>16.5</v>
      </c>
      <c r="GF24" s="402" t="s">
        <v>5666</v>
      </c>
      <c r="GG24" s="402">
        <v>1.1000000000000001</v>
      </c>
      <c r="GH24" s="402" t="s">
        <v>5530</v>
      </c>
      <c r="GI24" s="1115"/>
      <c r="GJ24" s="1115"/>
      <c r="GL24" s="1215" t="s">
        <v>5646</v>
      </c>
      <c r="GM24" s="1117">
        <v>23.2</v>
      </c>
      <c r="GN24" s="1117" t="s">
        <v>5667</v>
      </c>
      <c r="GO24" s="1193">
        <v>23.3</v>
      </c>
      <c r="GP24" s="1117" t="s">
        <v>5668</v>
      </c>
      <c r="GQ24" s="1117">
        <v>22.2</v>
      </c>
      <c r="GR24" s="1117" t="s">
        <v>5669</v>
      </c>
      <c r="GS24" s="1208"/>
      <c r="GT24" s="1208"/>
      <c r="GU24" s="1209"/>
      <c r="GV24" s="1215" t="s">
        <v>5614</v>
      </c>
      <c r="GW24" s="1209">
        <v>30.8</v>
      </c>
      <c r="GX24" s="1117" t="s">
        <v>5670</v>
      </c>
      <c r="GY24" s="1221">
        <v>32.6</v>
      </c>
      <c r="GZ24" s="1117" t="s">
        <v>5671</v>
      </c>
      <c r="HA24" s="1117">
        <v>41.7</v>
      </c>
      <c r="HB24" s="1117" t="s">
        <v>5672</v>
      </c>
      <c r="HC24" s="1215">
        <v>23.5</v>
      </c>
      <c r="HD24" s="1192" t="s">
        <v>5673</v>
      </c>
      <c r="HE24" s="1222"/>
      <c r="HF24" s="1262"/>
      <c r="HH24" s="1212" t="s">
        <v>5646</v>
      </c>
      <c r="HI24" s="1183">
        <v>20.2</v>
      </c>
      <c r="HJ24" s="1185" t="s">
        <v>5674</v>
      </c>
      <c r="HK24" s="1185">
        <v>15.9</v>
      </c>
      <c r="HL24" s="1185" t="s">
        <v>5675</v>
      </c>
      <c r="HM24" s="1185">
        <v>22.3</v>
      </c>
      <c r="HN24" s="1185" t="s">
        <v>5676</v>
      </c>
      <c r="HO24" s="1199"/>
      <c r="HP24" s="1199"/>
    </row>
    <row r="25" spans="11:224" ht="15.6" customHeight="1">
      <c r="L25" s="515"/>
      <c r="T25" s="387" t="s">
        <v>5677</v>
      </c>
      <c r="U25" s="497">
        <v>11059</v>
      </c>
      <c r="V25" s="497">
        <v>4355</v>
      </c>
      <c r="W25" s="497">
        <v>4910</v>
      </c>
      <c r="X25" s="497">
        <v>4749</v>
      </c>
      <c r="Y25" s="497">
        <v>5116</v>
      </c>
      <c r="Z25" s="463"/>
      <c r="AA25" s="463"/>
      <c r="AB25" s="398" t="s">
        <v>5678</v>
      </c>
      <c r="AC25" s="398"/>
      <c r="AD25" s="398"/>
      <c r="AE25" s="398"/>
      <c r="AF25" s="398"/>
      <c r="AG25" s="398"/>
      <c r="AH25" s="398"/>
      <c r="AJ25" s="757"/>
      <c r="AK25" s="1276" t="s">
        <v>5679</v>
      </c>
      <c r="AL25" s="1276"/>
      <c r="AM25" s="1276"/>
      <c r="AN25" s="1276"/>
      <c r="AO25" s="1276"/>
      <c r="AP25" s="1276"/>
      <c r="AQ25" s="1276"/>
      <c r="AR25" s="1278"/>
      <c r="AS25" s="1276"/>
      <c r="AU25" s="1124"/>
      <c r="AV25" s="1124"/>
      <c r="AW25" s="1252"/>
      <c r="AX25" s="1124"/>
      <c r="AY25" s="1252"/>
      <c r="AZ25" s="1124"/>
      <c r="BA25" s="1124"/>
      <c r="BB25" s="1124"/>
      <c r="BC25" s="1124"/>
      <c r="BD25" s="1173"/>
      <c r="BE25" s="1174"/>
      <c r="BF25" s="1174"/>
      <c r="BG25" s="1174"/>
      <c r="BH25" s="1174"/>
      <c r="BI25" s="1174"/>
      <c r="BJ25" s="1174"/>
      <c r="BK25" s="1124"/>
      <c r="BL25" s="1176"/>
      <c r="BM25" s="1177"/>
      <c r="BN25" s="1177"/>
      <c r="BO25" s="1177"/>
      <c r="BP25" s="1177"/>
      <c r="BQ25" s="1124"/>
      <c r="BR25" s="1124"/>
      <c r="BS25" s="1124"/>
      <c r="BT25" s="382"/>
      <c r="BU25" s="382" t="s">
        <v>5067</v>
      </c>
      <c r="BV25" s="1251">
        <v>1193</v>
      </c>
      <c r="BW25" s="1279">
        <f>SUM(BW26:BW37)</f>
        <v>99.999999999999986</v>
      </c>
      <c r="CB25" s="1280" t="s">
        <v>5680</v>
      </c>
      <c r="CC25" s="1179">
        <v>1908</v>
      </c>
      <c r="CD25" s="1180">
        <v>3117</v>
      </c>
      <c r="CE25" s="1180">
        <v>40501</v>
      </c>
      <c r="CF25" s="1180">
        <v>12335</v>
      </c>
      <c r="CG25" s="1180">
        <v>7333</v>
      </c>
      <c r="CH25" s="1180"/>
      <c r="CJ25" s="382" t="s">
        <v>5681</v>
      </c>
      <c r="CK25" s="393"/>
      <c r="CL25" s="1181"/>
      <c r="CM25" s="1181"/>
      <c r="CN25" s="1181"/>
      <c r="CO25" s="1181"/>
      <c r="CP25" s="1181"/>
      <c r="CQ25" s="1181"/>
      <c r="CR25" s="1181"/>
      <c r="CS25" s="1181"/>
      <c r="CU25" s="382" t="s">
        <v>5681</v>
      </c>
      <c r="CV25" s="393">
        <f t="shared" si="2"/>
        <v>37</v>
      </c>
      <c r="CW25" s="1181">
        <v>1</v>
      </c>
      <c r="CX25" s="1181">
        <v>0</v>
      </c>
      <c r="CY25" s="1181">
        <v>8</v>
      </c>
      <c r="CZ25" s="1181">
        <v>5</v>
      </c>
      <c r="DA25" s="1181">
        <v>2</v>
      </c>
      <c r="DB25" s="1181">
        <v>0</v>
      </c>
      <c r="DC25" s="1181">
        <v>0</v>
      </c>
      <c r="DD25" s="1181">
        <v>21</v>
      </c>
      <c r="DG25" s="382" t="s">
        <v>5681</v>
      </c>
      <c r="DH25" s="393">
        <f t="shared" si="1"/>
        <v>0</v>
      </c>
      <c r="DI25" s="1181">
        <v>0</v>
      </c>
      <c r="DJ25" s="1181">
        <v>0</v>
      </c>
      <c r="DK25" s="1181">
        <v>0</v>
      </c>
      <c r="DL25" s="1181">
        <v>0</v>
      </c>
      <c r="DM25" s="1181">
        <v>0</v>
      </c>
      <c r="DN25" s="1181">
        <v>0</v>
      </c>
      <c r="DO25" s="1181">
        <v>0</v>
      </c>
      <c r="DP25" s="1181">
        <v>0</v>
      </c>
      <c r="DQ25" s="409"/>
      <c r="DS25" s="382" t="s">
        <v>5644</v>
      </c>
      <c r="DT25" s="1179">
        <v>0</v>
      </c>
      <c r="DU25" s="1179">
        <v>0</v>
      </c>
      <c r="DV25" s="1179">
        <v>0</v>
      </c>
      <c r="DW25" s="1179">
        <v>0</v>
      </c>
      <c r="DX25" s="1180">
        <v>0</v>
      </c>
      <c r="DY25" s="1180">
        <v>0</v>
      </c>
      <c r="DZ25" s="1180">
        <v>0</v>
      </c>
      <c r="EA25" s="1180">
        <v>0</v>
      </c>
      <c r="EB25" s="393"/>
      <c r="EE25" s="1212" t="s">
        <v>5682</v>
      </c>
      <c r="EF25" s="1183">
        <v>12.3</v>
      </c>
      <c r="EG25" s="1185" t="s">
        <v>5683</v>
      </c>
      <c r="EH25" s="1185">
        <v>8.5</v>
      </c>
      <c r="EI25" s="1185" t="s">
        <v>5684</v>
      </c>
      <c r="EJ25" s="1185">
        <v>6.1</v>
      </c>
      <c r="EK25" s="1185" t="s">
        <v>5685</v>
      </c>
      <c r="EL25" s="1185">
        <v>9.8000000000000007</v>
      </c>
      <c r="EM25" s="1185" t="s">
        <v>5686</v>
      </c>
      <c r="EN25" s="1281">
        <v>11.8</v>
      </c>
      <c r="EO25" s="1282" t="s">
        <v>5687</v>
      </c>
      <c r="EP25" s="1205"/>
      <c r="ER25" s="1213" t="s">
        <v>5682</v>
      </c>
      <c r="ES25" s="1115">
        <v>2.8</v>
      </c>
      <c r="ET25" s="1101" t="s">
        <v>5688</v>
      </c>
      <c r="EU25" s="1115">
        <v>1.3</v>
      </c>
      <c r="EV25" s="1101" t="s">
        <v>5530</v>
      </c>
      <c r="EW25" s="1188">
        <v>1.7</v>
      </c>
      <c r="EX25" s="1188" t="s">
        <v>5186</v>
      </c>
      <c r="EY25" s="1188">
        <v>0.5</v>
      </c>
      <c r="EZ25" s="1188" t="s">
        <v>5520</v>
      </c>
      <c r="FA25" s="1188">
        <v>0.5</v>
      </c>
      <c r="FB25" s="1188" t="s">
        <v>5689</v>
      </c>
      <c r="FC25" s="1115"/>
      <c r="FD25" s="1115"/>
      <c r="FE25" s="1115"/>
      <c r="FF25" s="1115"/>
      <c r="FG25" s="1212" t="s">
        <v>5682</v>
      </c>
      <c r="FH25" s="1183">
        <v>3.7</v>
      </c>
      <c r="FI25" s="1185" t="s">
        <v>5489</v>
      </c>
      <c r="FJ25" s="1183">
        <v>2.4</v>
      </c>
      <c r="FK25" s="1185" t="s">
        <v>5379</v>
      </c>
      <c r="FL25" s="1185">
        <v>2.1</v>
      </c>
      <c r="FM25" s="1185" t="s">
        <v>5182</v>
      </c>
      <c r="FN25" s="1185">
        <v>1.7</v>
      </c>
      <c r="FO25" s="1185" t="s">
        <v>5690</v>
      </c>
      <c r="FP25" s="1183">
        <v>2.5</v>
      </c>
      <c r="FQ25" s="1185" t="s">
        <v>5691</v>
      </c>
      <c r="FR25" s="1205"/>
      <c r="FS25" s="1205"/>
      <c r="FV25" s="1220" t="s">
        <v>5646</v>
      </c>
      <c r="FW25" s="1115">
        <v>9.9</v>
      </c>
      <c r="FX25" s="1115" t="s">
        <v>5692</v>
      </c>
      <c r="FY25" s="1115">
        <v>1.7</v>
      </c>
      <c r="FZ25" s="1115" t="s">
        <v>5693</v>
      </c>
      <c r="GA25" s="1115">
        <v>14.7</v>
      </c>
      <c r="GB25" s="1115" t="s">
        <v>5694</v>
      </c>
      <c r="GC25" s="1115">
        <v>0.9</v>
      </c>
      <c r="GD25" s="1115" t="s">
        <v>5695</v>
      </c>
      <c r="GE25" s="402">
        <v>13.7</v>
      </c>
      <c r="GF25" s="402" t="s">
        <v>5696</v>
      </c>
      <c r="GG25" s="402">
        <v>1.9</v>
      </c>
      <c r="GH25" s="402" t="s">
        <v>5697</v>
      </c>
      <c r="GI25" s="1115"/>
      <c r="GJ25" s="1115"/>
      <c r="GL25" s="1215" t="s">
        <v>5698</v>
      </c>
      <c r="GM25" s="1117">
        <v>16.3</v>
      </c>
      <c r="GN25" s="1117" t="s">
        <v>5699</v>
      </c>
      <c r="GO25" s="1193">
        <v>22.6</v>
      </c>
      <c r="GP25" s="1117" t="s">
        <v>5700</v>
      </c>
      <c r="GQ25" s="1117">
        <v>17.899999999999999</v>
      </c>
      <c r="GR25" s="1117" t="s">
        <v>5701</v>
      </c>
      <c r="GS25" s="1283"/>
      <c r="GT25" s="1283"/>
      <c r="GU25" s="1209"/>
      <c r="GV25" s="1215" t="s">
        <v>5646</v>
      </c>
      <c r="GW25" s="1209">
        <v>37.700000000000003</v>
      </c>
      <c r="GX25" s="1117" t="s">
        <v>5702</v>
      </c>
      <c r="GY25" s="1221">
        <v>36.9</v>
      </c>
      <c r="GZ25" s="1117" t="s">
        <v>5703</v>
      </c>
      <c r="HA25" s="1117">
        <v>32.9</v>
      </c>
      <c r="HB25" s="1117" t="s">
        <v>5704</v>
      </c>
      <c r="HC25" s="1215">
        <v>34.200000000000003</v>
      </c>
      <c r="HD25" s="1192" t="s">
        <v>5705</v>
      </c>
      <c r="HE25" s="1222"/>
      <c r="HF25" s="1262"/>
      <c r="HH25" s="1212" t="s">
        <v>5682</v>
      </c>
      <c r="HI25" s="1183">
        <v>22.9</v>
      </c>
      <c r="HJ25" s="1185" t="s">
        <v>5706</v>
      </c>
      <c r="HK25" s="1185">
        <v>23.1</v>
      </c>
      <c r="HL25" s="1185" t="s">
        <v>5707</v>
      </c>
      <c r="HM25" s="1185">
        <v>20.2</v>
      </c>
      <c r="HN25" s="1185" t="s">
        <v>5708</v>
      </c>
      <c r="HO25" s="1199"/>
      <c r="HP25" s="1199"/>
    </row>
    <row r="26" spans="11:224" ht="15.6" customHeight="1">
      <c r="R26" s="515"/>
      <c r="T26" s="386" t="s">
        <v>5709</v>
      </c>
      <c r="U26" s="386"/>
      <c r="AB26" s="398" t="s">
        <v>5710</v>
      </c>
      <c r="AC26" s="398"/>
      <c r="AD26" s="398"/>
      <c r="AE26" s="398"/>
      <c r="AF26" s="398"/>
      <c r="AG26" s="398"/>
      <c r="AH26" s="398"/>
      <c r="AJ26" s="757"/>
      <c r="AK26" s="1276" t="s">
        <v>5711</v>
      </c>
      <c r="AL26" s="1276"/>
      <c r="AM26" s="1276"/>
      <c r="AN26" s="1276"/>
      <c r="AO26" s="1278"/>
      <c r="AP26" s="1278"/>
      <c r="AQ26" s="1278"/>
      <c r="AR26" s="1276"/>
      <c r="AS26" s="1276"/>
      <c r="AU26" s="1124"/>
      <c r="AV26" s="1124"/>
      <c r="AW26" s="1252"/>
      <c r="AX26" s="1124"/>
      <c r="AY26" s="1252"/>
      <c r="AZ26" s="1124"/>
      <c r="BA26" s="1124"/>
      <c r="BB26" s="1124"/>
      <c r="BC26" s="1124"/>
      <c r="BD26" s="1173"/>
      <c r="BE26" s="1174"/>
      <c r="BF26" s="1174"/>
      <c r="BG26" s="1174"/>
      <c r="BH26" s="1174"/>
      <c r="BI26" s="1174"/>
      <c r="BJ26" s="1174"/>
      <c r="BK26" s="1124"/>
      <c r="BL26" s="1176"/>
      <c r="BM26" s="1177"/>
      <c r="BN26" s="1177"/>
      <c r="BO26" s="1177"/>
      <c r="BP26" s="1177"/>
      <c r="BQ26" s="1124"/>
      <c r="BR26" s="1124"/>
      <c r="BS26" s="1124"/>
      <c r="BT26" s="1090">
        <v>1</v>
      </c>
      <c r="BU26" s="585" t="s">
        <v>5098</v>
      </c>
      <c r="BV26" s="1284">
        <v>292</v>
      </c>
      <c r="BW26" s="1279">
        <f>BV26/$BV$25*100</f>
        <v>24.476110645431685</v>
      </c>
      <c r="CB26" s="1280" t="s">
        <v>5712</v>
      </c>
      <c r="CC26" s="1179">
        <v>0</v>
      </c>
      <c r="CD26" s="1180">
        <v>0</v>
      </c>
      <c r="CE26" s="1180">
        <v>0</v>
      </c>
      <c r="CF26" s="1180">
        <v>0</v>
      </c>
      <c r="CG26" s="1180">
        <v>0</v>
      </c>
      <c r="CH26" s="1180"/>
      <c r="CJ26" s="382" t="s">
        <v>5713</v>
      </c>
      <c r="CK26" s="393"/>
      <c r="CL26" s="1181"/>
      <c r="CM26" s="1181"/>
      <c r="CN26" s="1181"/>
      <c r="CO26" s="1181"/>
      <c r="CP26" s="1181"/>
      <c r="CQ26" s="1181"/>
      <c r="CR26" s="1181"/>
      <c r="CS26" s="1181"/>
      <c r="CU26" s="382" t="s">
        <v>5713</v>
      </c>
      <c r="CV26" s="393">
        <f t="shared" si="2"/>
        <v>0</v>
      </c>
      <c r="CW26" s="1181">
        <v>0</v>
      </c>
      <c r="CX26" s="1181">
        <v>0</v>
      </c>
      <c r="CY26" s="1181">
        <v>0</v>
      </c>
      <c r="CZ26" s="1181">
        <v>0</v>
      </c>
      <c r="DA26" s="1181">
        <v>0</v>
      </c>
      <c r="DB26" s="1181">
        <v>0</v>
      </c>
      <c r="DC26" s="1181">
        <v>0</v>
      </c>
      <c r="DD26" s="1181">
        <v>0</v>
      </c>
      <c r="DG26" s="382" t="s">
        <v>5713</v>
      </c>
      <c r="DH26" s="393">
        <f t="shared" si="1"/>
        <v>0</v>
      </c>
      <c r="DI26" s="1181">
        <v>0</v>
      </c>
      <c r="DJ26" s="1181">
        <v>0</v>
      </c>
      <c r="DK26" s="1181">
        <v>0</v>
      </c>
      <c r="DL26" s="1181">
        <v>0</v>
      </c>
      <c r="DM26" s="1181">
        <v>0</v>
      </c>
      <c r="DN26" s="1181">
        <v>0</v>
      </c>
      <c r="DO26" s="1181">
        <v>0</v>
      </c>
      <c r="DP26" s="1181">
        <v>0</v>
      </c>
      <c r="DQ26" s="409"/>
      <c r="DS26" s="382" t="s">
        <v>5680</v>
      </c>
      <c r="DT26" s="1179">
        <v>1908</v>
      </c>
      <c r="DU26" s="1179">
        <v>823</v>
      </c>
      <c r="DV26" s="1179">
        <v>1085</v>
      </c>
      <c r="DW26" s="1179">
        <v>0</v>
      </c>
      <c r="DX26" s="1180">
        <v>3117</v>
      </c>
      <c r="DY26" s="1179">
        <v>1434</v>
      </c>
      <c r="DZ26" s="1179">
        <v>1683</v>
      </c>
      <c r="EA26" s="1179">
        <v>0</v>
      </c>
      <c r="EB26" s="393"/>
      <c r="EE26" s="1212" t="s">
        <v>5714</v>
      </c>
      <c r="EF26" s="1183">
        <v>8.3000000000000007</v>
      </c>
      <c r="EG26" s="1185" t="s">
        <v>5715</v>
      </c>
      <c r="EH26" s="1185">
        <v>10.4</v>
      </c>
      <c r="EI26" s="1185" t="s">
        <v>5716</v>
      </c>
      <c r="EJ26" s="1185">
        <v>7.7</v>
      </c>
      <c r="EK26" s="1185" t="s">
        <v>5717</v>
      </c>
      <c r="EL26" s="1185">
        <v>5.8</v>
      </c>
      <c r="EM26" s="1185" t="s">
        <v>5268</v>
      </c>
      <c r="EN26" s="1281">
        <v>10.5</v>
      </c>
      <c r="EO26" s="1282" t="s">
        <v>5718</v>
      </c>
      <c r="EP26" s="1285"/>
      <c r="ER26" s="1213" t="s">
        <v>5714</v>
      </c>
      <c r="ES26" s="1115">
        <v>1.4</v>
      </c>
      <c r="ET26" s="1101" t="s">
        <v>5354</v>
      </c>
      <c r="EU26" s="1115">
        <v>1.2</v>
      </c>
      <c r="EV26" s="1101" t="s">
        <v>5597</v>
      </c>
      <c r="EW26" s="1188">
        <v>1.6</v>
      </c>
      <c r="EX26" s="1188" t="s">
        <v>5719</v>
      </c>
      <c r="EY26" s="1188">
        <v>1.4</v>
      </c>
      <c r="EZ26" s="1188" t="s">
        <v>5720</v>
      </c>
      <c r="FA26" s="1286">
        <v>1.2</v>
      </c>
      <c r="FB26" s="1286" t="s">
        <v>5721</v>
      </c>
      <c r="FC26" s="1115"/>
      <c r="FD26" s="1115"/>
      <c r="FE26" s="1287"/>
      <c r="FF26" s="1287"/>
      <c r="FG26" s="1212" t="s">
        <v>5714</v>
      </c>
      <c r="FH26" s="1183">
        <v>1.7</v>
      </c>
      <c r="FI26" s="1185" t="s">
        <v>5722</v>
      </c>
      <c r="FJ26" s="1183">
        <v>3.9</v>
      </c>
      <c r="FK26" s="1185" t="s">
        <v>5723</v>
      </c>
      <c r="FL26" s="1185">
        <v>2.4</v>
      </c>
      <c r="FM26" s="1185" t="s">
        <v>5724</v>
      </c>
      <c r="FN26" s="1185">
        <v>2.4</v>
      </c>
      <c r="FO26" s="1185" t="s">
        <v>5725</v>
      </c>
      <c r="FP26" s="1288">
        <v>2.5</v>
      </c>
      <c r="FQ26" s="1289" t="s">
        <v>5726</v>
      </c>
      <c r="FR26" s="1205"/>
      <c r="FS26" s="1205"/>
      <c r="FV26" s="1220" t="s">
        <v>5682</v>
      </c>
      <c r="FW26" s="1115">
        <v>12.8</v>
      </c>
      <c r="FX26" s="1115" t="s">
        <v>5727</v>
      </c>
      <c r="FY26" s="1115">
        <v>0.5</v>
      </c>
      <c r="FZ26" s="1115" t="s">
        <v>5689</v>
      </c>
      <c r="GA26" s="1115">
        <v>12.4</v>
      </c>
      <c r="GB26" s="1115" t="s">
        <v>5728</v>
      </c>
      <c r="GC26" s="1115">
        <v>1.1000000000000001</v>
      </c>
      <c r="GD26" s="1115" t="s">
        <v>5530</v>
      </c>
      <c r="GE26" s="402">
        <v>14</v>
      </c>
      <c r="GF26" s="402" t="s">
        <v>5729</v>
      </c>
      <c r="GG26" s="402" t="s">
        <v>5131</v>
      </c>
      <c r="GH26" s="402" t="s">
        <v>5131</v>
      </c>
      <c r="GI26" s="1199"/>
      <c r="GJ26" s="1199"/>
      <c r="GL26" s="1215" t="s">
        <v>5714</v>
      </c>
      <c r="GM26" s="1290">
        <v>14.2</v>
      </c>
      <c r="GN26" s="1290" t="s">
        <v>5730</v>
      </c>
      <c r="GO26" s="1193">
        <v>10.9</v>
      </c>
      <c r="GP26" s="1117" t="s">
        <v>5731</v>
      </c>
      <c r="GQ26" s="1117">
        <v>15.5</v>
      </c>
      <c r="GR26" s="1117" t="s">
        <v>5732</v>
      </c>
      <c r="GS26" s="1283"/>
      <c r="GT26" s="1283"/>
      <c r="GU26" s="1192"/>
      <c r="GV26" s="1215" t="s">
        <v>5682</v>
      </c>
      <c r="GW26" s="1209">
        <v>39.700000000000003</v>
      </c>
      <c r="GX26" s="1117" t="s">
        <v>5733</v>
      </c>
      <c r="GY26" s="1221">
        <v>30.6</v>
      </c>
      <c r="GZ26" s="1117" t="s">
        <v>5734</v>
      </c>
      <c r="HA26" s="1117">
        <v>33.799999999999997</v>
      </c>
      <c r="HB26" s="1117" t="s">
        <v>5735</v>
      </c>
      <c r="HC26" s="1215">
        <v>31.7</v>
      </c>
      <c r="HD26" s="1192" t="s">
        <v>5736</v>
      </c>
      <c r="HE26" s="1222"/>
      <c r="HF26" s="1262"/>
      <c r="HH26" s="1291" t="s">
        <v>5714</v>
      </c>
      <c r="HI26" s="1288">
        <v>21.8</v>
      </c>
      <c r="HJ26" s="1289" t="s">
        <v>5737</v>
      </c>
      <c r="HK26" s="1289">
        <v>18.3</v>
      </c>
      <c r="HL26" s="1289" t="s">
        <v>5738</v>
      </c>
      <c r="HM26" s="1289">
        <v>18.7</v>
      </c>
      <c r="HN26" s="1289" t="s">
        <v>5739</v>
      </c>
      <c r="HO26" s="1199"/>
      <c r="HP26" s="1199"/>
    </row>
    <row r="27" spans="11:224" ht="15.6" customHeight="1">
      <c r="T27" s="1254"/>
      <c r="U27" s="1255"/>
      <c r="V27" s="1292"/>
      <c r="W27" s="1255"/>
      <c r="X27" s="1255"/>
      <c r="Y27" s="1255"/>
      <c r="Z27" s="1255"/>
      <c r="AA27" s="1255"/>
      <c r="AB27" s="398" t="s">
        <v>5740</v>
      </c>
      <c r="AC27" s="386"/>
      <c r="AD27" s="398"/>
      <c r="AE27" s="398"/>
      <c r="AF27" s="398"/>
      <c r="AG27" s="398"/>
      <c r="AH27" s="398"/>
      <c r="AJ27" s="757"/>
      <c r="AK27" s="398" t="s">
        <v>537</v>
      </c>
      <c r="AO27" s="1276"/>
      <c r="AP27" s="1276"/>
      <c r="AQ27" s="1276"/>
      <c r="AR27" s="1276"/>
      <c r="AS27" s="1276"/>
      <c r="AU27" s="1124"/>
      <c r="AV27" s="1124"/>
      <c r="AW27" s="1252"/>
      <c r="AX27" s="1124"/>
      <c r="AY27" s="1252"/>
      <c r="AZ27" s="1124"/>
      <c r="BA27" s="1124"/>
      <c r="BB27" s="1124"/>
      <c r="BC27" s="1124"/>
      <c r="BD27" s="1173"/>
      <c r="BE27" s="1174"/>
      <c r="BF27" s="1174"/>
      <c r="BG27" s="1174"/>
      <c r="BH27" s="1174"/>
      <c r="BI27" s="1174"/>
      <c r="BJ27" s="1174"/>
      <c r="BK27" s="1124"/>
      <c r="BL27" s="1176"/>
      <c r="BM27" s="1177"/>
      <c r="BN27" s="1177"/>
      <c r="BO27" s="1177"/>
      <c r="BP27" s="1177"/>
      <c r="BQ27" s="1124"/>
      <c r="BR27" s="1124"/>
      <c r="BS27" s="1124"/>
      <c r="BT27" s="1090">
        <v>2</v>
      </c>
      <c r="BU27" s="585" t="s">
        <v>5118</v>
      </c>
      <c r="BV27" s="1284">
        <v>181</v>
      </c>
      <c r="BW27" s="1279">
        <f t="shared" ref="BW27:BW35" si="7">BV27/$BV$25*100</f>
        <v>15.171835708298406</v>
      </c>
      <c r="CB27" s="1211" t="s">
        <v>5741</v>
      </c>
      <c r="CC27" s="1179">
        <v>0</v>
      </c>
      <c r="CD27" s="1180">
        <v>0</v>
      </c>
      <c r="CE27" s="1180">
        <v>0</v>
      </c>
      <c r="CF27" s="1180">
        <v>0</v>
      </c>
      <c r="CG27" s="1180">
        <v>0</v>
      </c>
      <c r="CH27" s="1180"/>
      <c r="CJ27" s="382" t="s">
        <v>5742</v>
      </c>
      <c r="CK27" s="393"/>
      <c r="CL27" s="1181"/>
      <c r="CM27" s="1181"/>
      <c r="CN27" s="1181"/>
      <c r="CO27" s="1181"/>
      <c r="CP27" s="1181"/>
      <c r="CQ27" s="1181"/>
      <c r="CR27" s="1181"/>
      <c r="CS27" s="1181"/>
      <c r="CU27" s="382" t="s">
        <v>5742</v>
      </c>
      <c r="CV27" s="393">
        <f t="shared" si="2"/>
        <v>1</v>
      </c>
      <c r="CW27" s="1181">
        <v>0</v>
      </c>
      <c r="CX27" s="1181">
        <v>0</v>
      </c>
      <c r="CY27" s="1181">
        <v>0</v>
      </c>
      <c r="CZ27" s="1181">
        <v>0</v>
      </c>
      <c r="DA27" s="1181">
        <v>0</v>
      </c>
      <c r="DB27" s="1181">
        <v>1</v>
      </c>
      <c r="DC27" s="1181">
        <v>0</v>
      </c>
      <c r="DD27" s="1181">
        <v>0</v>
      </c>
      <c r="DG27" s="382" t="s">
        <v>5742</v>
      </c>
      <c r="DH27" s="393">
        <f t="shared" si="1"/>
        <v>0</v>
      </c>
      <c r="DI27" s="1181">
        <v>0</v>
      </c>
      <c r="DJ27" s="1181">
        <v>0</v>
      </c>
      <c r="DK27" s="1181">
        <v>0</v>
      </c>
      <c r="DL27" s="1181">
        <v>0</v>
      </c>
      <c r="DM27" s="1181">
        <v>0</v>
      </c>
      <c r="DN27" s="1181">
        <v>0</v>
      </c>
      <c r="DO27" s="1181">
        <v>0</v>
      </c>
      <c r="DP27" s="1181">
        <v>0</v>
      </c>
      <c r="DQ27" s="409"/>
      <c r="DS27" s="382" t="s">
        <v>5712</v>
      </c>
      <c r="DT27" s="1179">
        <v>0</v>
      </c>
      <c r="DU27" s="1179">
        <v>0</v>
      </c>
      <c r="DV27" s="1179">
        <v>0</v>
      </c>
      <c r="DW27" s="1179">
        <v>0</v>
      </c>
      <c r="DX27" s="1180">
        <v>0</v>
      </c>
      <c r="DY27" s="1179">
        <v>0</v>
      </c>
      <c r="DZ27" s="1179">
        <v>0</v>
      </c>
      <c r="EA27" s="1179">
        <v>0</v>
      </c>
      <c r="EB27" s="393"/>
      <c r="EE27" s="1293" t="s">
        <v>5743</v>
      </c>
      <c r="EF27" s="1293"/>
      <c r="EG27" s="1293"/>
      <c r="EH27" s="1293"/>
      <c r="EI27" s="1293"/>
      <c r="EJ27" s="1293"/>
      <c r="EK27" s="1293"/>
      <c r="EL27" s="1293"/>
      <c r="EM27" s="1293"/>
      <c r="EN27" s="709"/>
      <c r="EO27" s="709"/>
      <c r="EP27" s="1294"/>
      <c r="ER27" s="1293" t="s">
        <v>5743</v>
      </c>
      <c r="ES27" s="1293"/>
      <c r="ET27" s="1293"/>
      <c r="EU27" s="1293"/>
      <c r="EV27" s="1293"/>
      <c r="EW27" s="709"/>
      <c r="EX27" s="709"/>
      <c r="EY27" s="709"/>
      <c r="EZ27" s="709"/>
      <c r="FA27" s="1287"/>
      <c r="FB27" s="1287"/>
      <c r="FC27" s="1287"/>
      <c r="FD27" s="1287"/>
      <c r="FE27" s="1243"/>
      <c r="FF27" s="1115"/>
      <c r="FG27" s="1293" t="s">
        <v>5743</v>
      </c>
      <c r="FH27" s="1293"/>
      <c r="FI27" s="1293"/>
      <c r="FJ27" s="1293"/>
      <c r="FK27" s="1293"/>
      <c r="FL27" s="1295"/>
      <c r="FM27" s="1295"/>
      <c r="FN27" s="1295"/>
      <c r="FO27" s="1295"/>
      <c r="FP27" s="1182"/>
      <c r="FQ27" s="1182"/>
      <c r="FR27" s="1182"/>
      <c r="FS27" s="1107"/>
      <c r="FV27" s="1220" t="s">
        <v>5714</v>
      </c>
      <c r="FW27" s="1115">
        <v>10.8</v>
      </c>
      <c r="FX27" s="1115" t="s">
        <v>5744</v>
      </c>
      <c r="FY27" s="1115">
        <v>1.2</v>
      </c>
      <c r="FZ27" s="1115" t="s">
        <v>5745</v>
      </c>
      <c r="GA27" s="1115">
        <v>9.5</v>
      </c>
      <c r="GB27" s="1115" t="s">
        <v>5746</v>
      </c>
      <c r="GC27" s="1115">
        <v>0.9</v>
      </c>
      <c r="GD27" s="1115" t="s">
        <v>5273</v>
      </c>
      <c r="GE27" s="402">
        <v>8.9</v>
      </c>
      <c r="GF27" s="402" t="s">
        <v>5747</v>
      </c>
      <c r="GG27" s="402">
        <v>1.4</v>
      </c>
      <c r="GH27" s="402" t="s">
        <v>5185</v>
      </c>
      <c r="GI27" s="1199"/>
      <c r="GJ27" s="1199"/>
      <c r="GL27" s="1293" t="s">
        <v>5743</v>
      </c>
      <c r="GM27" s="1293"/>
      <c r="GN27" s="1293"/>
      <c r="GO27" s="1293"/>
      <c r="GP27" s="1293"/>
      <c r="GQ27" s="709"/>
      <c r="GR27" s="709"/>
      <c r="GS27" s="1296"/>
      <c r="GT27" s="1208"/>
      <c r="GU27" s="1297"/>
      <c r="GV27" s="1298" t="s">
        <v>5748</v>
      </c>
      <c r="GW27" s="1299">
        <v>40.5</v>
      </c>
      <c r="GX27" s="1290" t="s">
        <v>5749</v>
      </c>
      <c r="GY27" s="1300">
        <v>33.1</v>
      </c>
      <c r="GZ27" s="1290" t="s">
        <v>5750</v>
      </c>
      <c r="HA27" s="1290">
        <v>35.700000000000003</v>
      </c>
      <c r="HB27" s="1290" t="s">
        <v>5751</v>
      </c>
      <c r="HC27" s="1298">
        <v>36.200000000000003</v>
      </c>
      <c r="HD27" s="1301" t="s">
        <v>5752</v>
      </c>
      <c r="HE27" s="1222"/>
      <c r="HF27" s="1262"/>
      <c r="HH27" s="1249" t="s">
        <v>5743</v>
      </c>
      <c r="HI27" s="1249"/>
      <c r="HJ27" s="1249"/>
      <c r="HK27" s="1249"/>
      <c r="HL27" s="1249"/>
      <c r="HM27" s="1249"/>
      <c r="HN27" s="1249"/>
    </row>
    <row r="28" spans="11:224" ht="15.6" customHeight="1">
      <c r="T28" s="1254"/>
      <c r="U28" s="1255"/>
      <c r="V28" s="1292"/>
      <c r="W28" s="1255"/>
      <c r="X28" s="1255"/>
      <c r="Y28" s="1255"/>
      <c r="Z28" s="1255"/>
      <c r="AA28" s="1255"/>
      <c r="AB28" s="398" t="s">
        <v>5753</v>
      </c>
      <c r="AC28" s="398"/>
      <c r="AD28" s="398"/>
      <c r="AE28" s="398"/>
      <c r="AF28" s="402"/>
      <c r="AG28" s="402"/>
      <c r="AH28" s="398"/>
      <c r="AJ28" s="757"/>
      <c r="AK28" s="398" t="s">
        <v>5754</v>
      </c>
      <c r="AO28" s="1276"/>
      <c r="AP28" s="1276"/>
      <c r="AQ28" s="1276"/>
      <c r="AR28" s="1276"/>
      <c r="AS28" s="1276"/>
      <c r="AU28" s="1302"/>
      <c r="AV28" s="1124"/>
      <c r="AW28" s="1252"/>
      <c r="AX28" s="1302"/>
      <c r="AY28" s="1302"/>
      <c r="AZ28" s="1302"/>
      <c r="BA28" s="1302"/>
      <c r="BB28" s="1302"/>
      <c r="BC28" s="1302"/>
      <c r="BD28" s="1239"/>
      <c r="BE28" s="1240"/>
      <c r="BF28" s="1241"/>
      <c r="BG28" s="1242"/>
      <c r="BH28" s="1242"/>
      <c r="BI28" s="1242"/>
      <c r="BJ28" s="1242"/>
      <c r="BK28" s="1302"/>
      <c r="BL28" s="1176"/>
      <c r="BM28" s="1177"/>
      <c r="BN28" s="1177"/>
      <c r="BO28" s="1177"/>
      <c r="BP28" s="1177"/>
      <c r="BQ28" s="1302"/>
      <c r="BR28" s="1302"/>
      <c r="BS28" s="1302"/>
      <c r="BT28" s="1090">
        <v>3</v>
      </c>
      <c r="BU28" s="585" t="s">
        <v>5174</v>
      </c>
      <c r="BV28" s="1284">
        <v>94</v>
      </c>
      <c r="BW28" s="1279">
        <f t="shared" si="7"/>
        <v>7.8792958927074608</v>
      </c>
      <c r="CB28" s="1211" t="s">
        <v>5755</v>
      </c>
      <c r="CC28" s="1179">
        <v>0</v>
      </c>
      <c r="CD28" s="1180">
        <v>0</v>
      </c>
      <c r="CE28" s="1180">
        <v>0</v>
      </c>
      <c r="CF28" s="1180">
        <v>0</v>
      </c>
      <c r="CG28" s="1180">
        <v>0</v>
      </c>
      <c r="CH28" s="1180"/>
      <c r="CJ28" s="1133" t="s">
        <v>5756</v>
      </c>
      <c r="CK28" s="393"/>
      <c r="CL28" s="1181"/>
      <c r="CM28" s="1181"/>
      <c r="CN28" s="1181"/>
      <c r="CO28" s="1181"/>
      <c r="CP28" s="1181"/>
      <c r="CQ28" s="1181"/>
      <c r="CR28" s="1181"/>
      <c r="CS28" s="1181"/>
      <c r="CU28" s="1133" t="s">
        <v>5756</v>
      </c>
      <c r="CV28" s="393">
        <f t="shared" si="2"/>
        <v>49</v>
      </c>
      <c r="CW28" s="1181">
        <v>26</v>
      </c>
      <c r="CX28" s="1181">
        <v>1</v>
      </c>
      <c r="CY28" s="1181">
        <v>1</v>
      </c>
      <c r="CZ28" s="1181">
        <v>13</v>
      </c>
      <c r="DA28" s="1181">
        <v>6</v>
      </c>
      <c r="DB28" s="1181">
        <v>1</v>
      </c>
      <c r="DC28" s="1181">
        <v>1</v>
      </c>
      <c r="DD28" s="1181">
        <v>0</v>
      </c>
      <c r="DG28" s="1133" t="s">
        <v>5756</v>
      </c>
      <c r="DH28" s="393">
        <f t="shared" si="1"/>
        <v>0</v>
      </c>
      <c r="DI28" s="1181">
        <v>0</v>
      </c>
      <c r="DJ28" s="1181">
        <v>0</v>
      </c>
      <c r="DK28" s="1181">
        <v>0</v>
      </c>
      <c r="DL28" s="1181">
        <v>0</v>
      </c>
      <c r="DM28" s="1181">
        <v>0</v>
      </c>
      <c r="DN28" s="1181">
        <v>0</v>
      </c>
      <c r="DO28" s="1181">
        <v>0</v>
      </c>
      <c r="DP28" s="1181">
        <v>0</v>
      </c>
      <c r="DQ28" s="409"/>
      <c r="DS28" s="382" t="s">
        <v>5741</v>
      </c>
      <c r="DT28" s="1179">
        <v>0</v>
      </c>
      <c r="DU28" s="1179">
        <v>0</v>
      </c>
      <c r="DV28" s="1179">
        <v>0</v>
      </c>
      <c r="DW28" s="1179">
        <v>0</v>
      </c>
      <c r="DX28" s="1180">
        <v>0</v>
      </c>
      <c r="DY28" s="1179">
        <v>0</v>
      </c>
      <c r="DZ28" s="1179">
        <v>0</v>
      </c>
      <c r="EA28" s="1179">
        <v>0</v>
      </c>
      <c r="EB28" s="393"/>
      <c r="EP28" s="1205"/>
      <c r="ER28" s="1303"/>
      <c r="ES28" s="1304"/>
      <c r="ET28" s="1304"/>
      <c r="EU28" s="1304"/>
      <c r="FA28" s="1243"/>
      <c r="FB28" s="1115"/>
      <c r="FC28" s="1243"/>
      <c r="FD28" s="1115"/>
      <c r="FE28" s="1243"/>
      <c r="FF28" s="1115"/>
      <c r="FG28" s="1305" t="s">
        <v>5757</v>
      </c>
      <c r="FH28" s="1305"/>
      <c r="FI28" s="1305"/>
      <c r="FJ28" s="1305"/>
      <c r="FK28" s="1305"/>
      <c r="FL28" s="1305"/>
      <c r="FM28" s="1305"/>
      <c r="FN28" s="1305"/>
      <c r="FO28" s="1305"/>
      <c r="FP28" s="1294"/>
      <c r="FQ28" s="1166"/>
      <c r="FR28" s="1294"/>
      <c r="FS28" s="1166"/>
      <c r="FV28" s="1293" t="s">
        <v>5743</v>
      </c>
      <c r="FW28" s="1293"/>
      <c r="FX28" s="1293"/>
      <c r="FY28" s="1293"/>
      <c r="FZ28" s="1293"/>
      <c r="GA28" s="1293"/>
      <c r="GB28" s="1293"/>
      <c r="GC28" s="1293"/>
      <c r="GD28" s="1293"/>
      <c r="GE28" s="709"/>
      <c r="GF28" s="709"/>
      <c r="GG28" s="709"/>
      <c r="GH28" s="709"/>
      <c r="GI28" s="1115"/>
      <c r="GJ28" s="1115"/>
      <c r="GL28" s="1303"/>
      <c r="GM28" s="1304"/>
      <c r="GN28" s="1304"/>
      <c r="GO28" s="1304"/>
      <c r="GS28" s="1208"/>
      <c r="GT28" s="1208"/>
      <c r="GU28" s="1297"/>
      <c r="GV28" s="1249" t="s">
        <v>5743</v>
      </c>
      <c r="GW28" s="1249"/>
      <c r="GX28" s="1249"/>
      <c r="GY28" s="1249"/>
      <c r="GZ28" s="1249"/>
      <c r="HA28" s="1249"/>
      <c r="HB28" s="1249"/>
      <c r="HC28" s="1249"/>
      <c r="HD28" s="1249"/>
      <c r="HE28" s="1249"/>
      <c r="HH28" s="398" t="s">
        <v>5758</v>
      </c>
    </row>
    <row r="29" spans="11:224" ht="15.6" customHeight="1">
      <c r="T29" s="1263"/>
      <c r="U29" s="1255"/>
      <c r="V29" s="1255"/>
      <c r="W29" s="1255"/>
      <c r="X29" s="1255"/>
      <c r="Y29" s="1255"/>
      <c r="Z29" s="1255"/>
      <c r="AA29" s="1255"/>
      <c r="AB29" s="398" t="s">
        <v>5759</v>
      </c>
      <c r="AC29" s="398"/>
      <c r="AD29" s="398"/>
      <c r="AE29" s="398"/>
      <c r="AF29" s="398"/>
      <c r="AG29" s="398"/>
      <c r="AH29" s="398"/>
      <c r="AJ29" s="757"/>
      <c r="AK29" s="1306" t="s">
        <v>5760</v>
      </c>
      <c r="AL29" s="1306"/>
      <c r="AM29" s="1306"/>
      <c r="AN29" s="1306"/>
      <c r="AO29" s="1276"/>
      <c r="AP29" s="1276"/>
      <c r="AQ29" s="1276"/>
      <c r="AU29" s="1302"/>
      <c r="AV29" s="1124"/>
      <c r="AW29" s="1269"/>
      <c r="AX29" s="1302"/>
      <c r="AY29" s="1302"/>
      <c r="AZ29" s="1302"/>
      <c r="BA29" s="1302"/>
      <c r="BB29" s="1302"/>
      <c r="BC29" s="1302"/>
      <c r="BD29" s="1302"/>
      <c r="BE29" s="1302"/>
      <c r="BF29" s="1302"/>
      <c r="BG29" s="1302"/>
      <c r="BH29" s="1302"/>
      <c r="BI29" s="1302"/>
      <c r="BJ29" s="1302"/>
      <c r="BK29" s="1302"/>
      <c r="BL29" s="1176"/>
      <c r="BM29" s="1177"/>
      <c r="BN29" s="1177"/>
      <c r="BO29" s="1177"/>
      <c r="BP29" s="1177"/>
      <c r="BQ29" s="1302"/>
      <c r="BR29" s="1302"/>
      <c r="BS29" s="1302"/>
      <c r="BT29" s="1090">
        <v>4</v>
      </c>
      <c r="BU29" s="585" t="s">
        <v>5145</v>
      </c>
      <c r="BV29" s="1284">
        <v>74</v>
      </c>
      <c r="BW29" s="1279">
        <f t="shared" si="7"/>
        <v>6.2028499580888514</v>
      </c>
      <c r="CB29" s="1211" t="s">
        <v>5761</v>
      </c>
      <c r="CC29" s="1179">
        <v>0</v>
      </c>
      <c r="CD29" s="1180">
        <v>0</v>
      </c>
      <c r="CE29" s="1180">
        <v>0</v>
      </c>
      <c r="CF29" s="1180">
        <v>0</v>
      </c>
      <c r="CG29" s="1180">
        <v>0</v>
      </c>
      <c r="CH29" s="1180"/>
      <c r="CJ29" s="382" t="s">
        <v>5762</v>
      </c>
      <c r="CK29" s="393"/>
      <c r="CL29" s="1181"/>
      <c r="CM29" s="1181"/>
      <c r="CN29" s="1181"/>
      <c r="CO29" s="1181"/>
      <c r="CP29" s="1181"/>
      <c r="CQ29" s="1181"/>
      <c r="CR29" s="1181"/>
      <c r="CS29" s="1181"/>
      <c r="CU29" s="382" t="s">
        <v>5762</v>
      </c>
      <c r="CV29" s="393">
        <f t="shared" si="2"/>
        <v>268</v>
      </c>
      <c r="CW29" s="1181">
        <v>0</v>
      </c>
      <c r="CX29" s="1181">
        <v>0</v>
      </c>
      <c r="CY29" s="1181">
        <v>1</v>
      </c>
      <c r="CZ29" s="1181">
        <v>0</v>
      </c>
      <c r="DA29" s="1181">
        <v>0</v>
      </c>
      <c r="DB29" s="1181">
        <v>19</v>
      </c>
      <c r="DC29" s="1181">
        <v>46</v>
      </c>
      <c r="DD29" s="1181">
        <v>202</v>
      </c>
      <c r="DG29" s="382" t="s">
        <v>5762</v>
      </c>
      <c r="DH29" s="393">
        <f>SUM(DI29:DP29)</f>
        <v>92</v>
      </c>
      <c r="DI29" s="1181">
        <v>9</v>
      </c>
      <c r="DJ29" s="1181">
        <v>2</v>
      </c>
      <c r="DK29" s="1181">
        <v>2</v>
      </c>
      <c r="DL29" s="1181">
        <v>6</v>
      </c>
      <c r="DM29" s="1181">
        <v>1</v>
      </c>
      <c r="DN29" s="1181">
        <v>2</v>
      </c>
      <c r="DO29" s="1181">
        <v>5</v>
      </c>
      <c r="DP29" s="1181">
        <v>65</v>
      </c>
      <c r="DQ29" s="409"/>
      <c r="DS29" s="382" t="s">
        <v>5755</v>
      </c>
      <c r="DT29" s="1179">
        <v>0</v>
      </c>
      <c r="DU29" s="1179">
        <v>0</v>
      </c>
      <c r="DV29" s="1179">
        <v>0</v>
      </c>
      <c r="DW29" s="1179">
        <v>0</v>
      </c>
      <c r="DX29" s="1180">
        <v>0</v>
      </c>
      <c r="DY29" s="1179">
        <v>0</v>
      </c>
      <c r="DZ29" s="1179">
        <v>0</v>
      </c>
      <c r="EA29" s="1179">
        <v>0</v>
      </c>
      <c r="EB29" s="393"/>
      <c r="EE29" s="811"/>
      <c r="EP29" s="1294"/>
      <c r="FA29" s="1243"/>
      <c r="FB29" s="1115"/>
      <c r="FC29" s="1243"/>
      <c r="FD29" s="1115"/>
      <c r="FE29" s="1243"/>
      <c r="FF29" s="1243"/>
      <c r="FG29" s="2208" t="s">
        <v>5763</v>
      </c>
      <c r="FH29" s="2208"/>
      <c r="FI29" s="2208"/>
      <c r="FJ29" s="2208"/>
      <c r="FK29" s="2208"/>
      <c r="FL29" s="2208"/>
      <c r="FM29" s="2208"/>
      <c r="FN29" s="2208"/>
      <c r="FO29" s="1307"/>
      <c r="FP29" s="1294"/>
      <c r="FQ29" s="1294"/>
      <c r="FR29" s="1294"/>
      <c r="FS29" s="1166"/>
      <c r="FV29" s="1303"/>
      <c r="FW29" s="1304"/>
      <c r="FX29" s="1304"/>
      <c r="FY29" s="1304"/>
      <c r="GA29" s="1308"/>
      <c r="GB29" s="1308"/>
      <c r="GC29" s="1308"/>
      <c r="GD29" s="1308"/>
      <c r="GI29" s="1115"/>
      <c r="GJ29" s="1115"/>
      <c r="GS29" s="1208"/>
      <c r="GT29" s="1208"/>
      <c r="GU29" s="1297"/>
      <c r="GV29" s="1309"/>
      <c r="GW29" s="1309"/>
      <c r="GX29" s="1309"/>
      <c r="GY29" s="1309"/>
      <c r="GZ29" s="1309"/>
      <c r="HA29" s="1309"/>
      <c r="HB29" s="1309"/>
      <c r="HC29" s="1309"/>
      <c r="HD29" s="1309"/>
      <c r="HE29" s="1309"/>
      <c r="HH29" s="398" t="s">
        <v>5764</v>
      </c>
    </row>
    <row r="30" spans="11:224" ht="15.6" customHeight="1">
      <c r="T30" s="1254"/>
      <c r="U30" s="1255"/>
      <c r="V30" s="1255"/>
      <c r="W30" s="1255"/>
      <c r="X30" s="1255"/>
      <c r="Y30" s="1255"/>
      <c r="Z30" s="1255"/>
      <c r="AA30" s="1255"/>
      <c r="AB30" s="398"/>
      <c r="AC30" s="398"/>
      <c r="AD30" s="398"/>
      <c r="AE30" s="398"/>
      <c r="AF30" s="398"/>
      <c r="AG30" s="398"/>
      <c r="AH30" s="398"/>
      <c r="AJ30" s="757"/>
      <c r="AK30" s="1306" t="s">
        <v>5765</v>
      </c>
      <c r="AL30" s="1306"/>
      <c r="AM30" s="1306"/>
      <c r="AN30" s="1306"/>
      <c r="AU30" s="1302"/>
      <c r="AV30" s="1124"/>
      <c r="AW30" s="1124"/>
      <c r="AX30" s="1302"/>
      <c r="AY30" s="1302"/>
      <c r="AZ30" s="1302"/>
      <c r="BA30" s="1302"/>
      <c r="BB30" s="1302"/>
      <c r="BC30" s="1302"/>
      <c r="BD30" s="1302"/>
      <c r="BE30" s="1302"/>
      <c r="BF30" s="1302"/>
      <c r="BG30" s="1302"/>
      <c r="BH30" s="1302"/>
      <c r="BI30" s="1302"/>
      <c r="BJ30" s="1302"/>
      <c r="BK30" s="1302"/>
      <c r="BL30" s="1176"/>
      <c r="BM30" s="1177"/>
      <c r="BN30" s="1177"/>
      <c r="BO30" s="1177"/>
      <c r="BP30" s="1177"/>
      <c r="BQ30" s="1302"/>
      <c r="BR30" s="1302"/>
      <c r="BS30" s="1302"/>
      <c r="BT30" s="1090">
        <v>5</v>
      </c>
      <c r="BU30" s="585" t="s">
        <v>5289</v>
      </c>
      <c r="BV30" s="1284">
        <v>42</v>
      </c>
      <c r="BW30" s="1279">
        <f t="shared" si="7"/>
        <v>3.5205364626990781</v>
      </c>
      <c r="CB30" s="398" t="s">
        <v>5766</v>
      </c>
      <c r="CC30" s="1179">
        <v>0</v>
      </c>
      <c r="CD30" s="1180">
        <v>0</v>
      </c>
      <c r="CE30" s="1180">
        <v>0</v>
      </c>
      <c r="CF30" s="1180">
        <v>0</v>
      </c>
      <c r="CG30" s="1180">
        <v>0</v>
      </c>
      <c r="CH30" s="1180"/>
      <c r="CJ30" s="382" t="s">
        <v>5767</v>
      </c>
      <c r="CK30" s="393"/>
      <c r="CL30" s="1181"/>
      <c r="CM30" s="1181"/>
      <c r="CN30" s="1181"/>
      <c r="CO30" s="1181"/>
      <c r="CP30" s="1181"/>
      <c r="CQ30" s="1181"/>
      <c r="CR30" s="1181"/>
      <c r="CS30" s="1181"/>
      <c r="CU30" s="382" t="s">
        <v>5767</v>
      </c>
      <c r="CV30" s="393">
        <f t="shared" si="2"/>
        <v>4</v>
      </c>
      <c r="CW30" s="1181">
        <v>1</v>
      </c>
      <c r="CX30" s="1181">
        <v>0</v>
      </c>
      <c r="CY30" s="1181">
        <v>0</v>
      </c>
      <c r="CZ30" s="1181">
        <v>0</v>
      </c>
      <c r="DA30" s="1181">
        <v>0</v>
      </c>
      <c r="DB30" s="1181">
        <v>0</v>
      </c>
      <c r="DC30" s="1181">
        <v>0</v>
      </c>
      <c r="DD30" s="1181">
        <v>3</v>
      </c>
      <c r="DG30" s="382" t="s">
        <v>5767</v>
      </c>
      <c r="DH30" s="393">
        <f t="shared" ref="DH30:DH53" si="8">SUM(DI30:DP30)</f>
        <v>11</v>
      </c>
      <c r="DI30" s="1181">
        <v>0</v>
      </c>
      <c r="DJ30" s="1181">
        <v>0</v>
      </c>
      <c r="DK30" s="1181">
        <v>1</v>
      </c>
      <c r="DL30" s="1181">
        <v>0</v>
      </c>
      <c r="DM30" s="1181">
        <v>0</v>
      </c>
      <c r="DN30" s="1181">
        <v>0</v>
      </c>
      <c r="DO30" s="1181">
        <v>4</v>
      </c>
      <c r="DP30" s="1181">
        <v>6</v>
      </c>
      <c r="DQ30" s="409"/>
      <c r="DS30" s="382" t="s">
        <v>5761</v>
      </c>
      <c r="DT30" s="1179">
        <v>0</v>
      </c>
      <c r="DU30" s="1179">
        <v>0</v>
      </c>
      <c r="DV30" s="1179">
        <v>0</v>
      </c>
      <c r="DW30" s="1179">
        <v>0</v>
      </c>
      <c r="DX30" s="1180">
        <v>0</v>
      </c>
      <c r="DY30" s="1179">
        <v>0</v>
      </c>
      <c r="DZ30" s="1179">
        <v>0</v>
      </c>
      <c r="EA30" s="1179">
        <v>0</v>
      </c>
      <c r="EB30" s="393"/>
      <c r="EE30" s="830"/>
      <c r="EF30" s="1093"/>
      <c r="EG30" s="1093"/>
      <c r="EH30" s="1093"/>
      <c r="EI30" s="1093"/>
      <c r="EJ30" s="1093"/>
      <c r="EK30" s="1093"/>
      <c r="EL30" s="1093"/>
      <c r="EM30" s="1093"/>
      <c r="EP30" s="1205"/>
      <c r="FA30" s="1243"/>
      <c r="FB30" s="1243"/>
      <c r="FC30" s="1243"/>
      <c r="FD30" s="1243"/>
      <c r="FE30" s="1243"/>
      <c r="FF30" s="1243"/>
      <c r="FG30" s="1303"/>
      <c r="FH30" s="1304"/>
      <c r="FI30" s="1304"/>
      <c r="FJ30" s="1304"/>
      <c r="FL30" s="1305"/>
      <c r="FM30" s="1305"/>
      <c r="FN30" s="1305"/>
      <c r="FO30" s="1305"/>
      <c r="FP30" s="1294"/>
      <c r="FQ30" s="1294"/>
      <c r="FR30" s="1294"/>
      <c r="FS30" s="1294"/>
      <c r="GI30" s="1115"/>
      <c r="GJ30" s="1115"/>
      <c r="GS30" s="1208"/>
      <c r="GT30" s="1208"/>
      <c r="GU30" s="1297"/>
      <c r="GV30" s="1309"/>
      <c r="GW30" s="1309"/>
      <c r="GX30" s="1309"/>
      <c r="GY30" s="1309"/>
      <c r="GZ30" s="1309"/>
      <c r="HA30" s="1309"/>
      <c r="HB30" s="1309"/>
      <c r="HC30" s="1309"/>
      <c r="HD30" s="1309"/>
      <c r="HE30" s="1309"/>
    </row>
    <row r="31" spans="11:224" ht="15.6" customHeight="1">
      <c r="U31" s="515"/>
      <c r="AB31" s="398"/>
      <c r="AC31" s="398"/>
      <c r="AD31" s="398"/>
      <c r="AE31" s="398"/>
      <c r="AF31" s="398"/>
      <c r="AG31" s="398"/>
      <c r="AH31" s="398"/>
      <c r="AJ31" s="757"/>
      <c r="AK31" s="1306" t="s">
        <v>5768</v>
      </c>
      <c r="AL31" s="1306"/>
      <c r="AM31" s="1306"/>
      <c r="AN31" s="1306"/>
      <c r="AT31" s="1276"/>
      <c r="AU31" s="1276"/>
      <c r="AV31" s="1302"/>
      <c r="AW31" s="1302"/>
      <c r="AX31" s="1276"/>
      <c r="AY31" s="1276"/>
      <c r="AZ31" s="1276"/>
      <c r="BA31" s="1276"/>
      <c r="BB31" s="1276"/>
      <c r="BC31" s="1276"/>
      <c r="BD31" s="1276"/>
      <c r="BE31" s="1276"/>
      <c r="BF31" s="1276"/>
      <c r="BG31" s="1276"/>
      <c r="BH31" s="1276"/>
      <c r="BI31" s="1276"/>
      <c r="BJ31" s="1276"/>
      <c r="BK31" s="1276"/>
      <c r="BL31" s="1239"/>
      <c r="BM31" s="1240"/>
      <c r="BN31" s="1241"/>
      <c r="BO31" s="1242"/>
      <c r="BP31" s="1242"/>
      <c r="BQ31" s="1276"/>
      <c r="BR31" s="1276"/>
      <c r="BS31" s="1276"/>
      <c r="BT31" s="1090">
        <v>6</v>
      </c>
      <c r="BU31" s="382" t="s">
        <v>5769</v>
      </c>
      <c r="BV31" s="1284">
        <v>39</v>
      </c>
      <c r="BW31" s="1279">
        <f t="shared" si="7"/>
        <v>3.2690695725062868</v>
      </c>
      <c r="CB31" s="398" t="s">
        <v>5770</v>
      </c>
      <c r="CC31" s="1179">
        <v>0</v>
      </c>
      <c r="CD31" s="1180">
        <v>0</v>
      </c>
      <c r="CE31" s="1180">
        <v>0</v>
      </c>
      <c r="CF31" s="1180">
        <v>0</v>
      </c>
      <c r="CG31" s="1180">
        <v>0</v>
      </c>
      <c r="CH31" s="1180"/>
      <c r="CJ31" s="382" t="s">
        <v>5771</v>
      </c>
      <c r="CK31" s="393"/>
      <c r="CL31" s="1181"/>
      <c r="CM31" s="1181"/>
      <c r="CN31" s="1181"/>
      <c r="CO31" s="1181"/>
      <c r="CP31" s="1181"/>
      <c r="CQ31" s="1181"/>
      <c r="CR31" s="1181"/>
      <c r="CS31" s="1181"/>
      <c r="CU31" s="382" t="s">
        <v>5771</v>
      </c>
      <c r="CV31" s="393">
        <f t="shared" si="2"/>
        <v>0</v>
      </c>
      <c r="CW31" s="1181">
        <v>0</v>
      </c>
      <c r="CX31" s="1181">
        <v>0</v>
      </c>
      <c r="CY31" s="1181">
        <v>0</v>
      </c>
      <c r="CZ31" s="1181">
        <v>0</v>
      </c>
      <c r="DA31" s="1181">
        <v>0</v>
      </c>
      <c r="DB31" s="1181">
        <v>0</v>
      </c>
      <c r="DC31" s="1181">
        <v>0</v>
      </c>
      <c r="DD31" s="1181">
        <v>0</v>
      </c>
      <c r="DG31" s="382" t="s">
        <v>5771</v>
      </c>
      <c r="DH31" s="393">
        <f t="shared" si="8"/>
        <v>1</v>
      </c>
      <c r="DI31" s="1181">
        <v>0</v>
      </c>
      <c r="DJ31" s="1181">
        <v>0</v>
      </c>
      <c r="DK31" s="1181">
        <v>0</v>
      </c>
      <c r="DL31" s="1181">
        <v>0</v>
      </c>
      <c r="DM31" s="1181">
        <v>0</v>
      </c>
      <c r="DN31" s="1181">
        <v>0</v>
      </c>
      <c r="DO31" s="1181">
        <v>0</v>
      </c>
      <c r="DP31" s="1181">
        <v>1</v>
      </c>
      <c r="DQ31" s="409"/>
      <c r="DS31" s="382" t="s">
        <v>5766</v>
      </c>
      <c r="DT31" s="1179">
        <v>0</v>
      </c>
      <c r="DU31" s="1179">
        <v>0</v>
      </c>
      <c r="DV31" s="1179">
        <v>0</v>
      </c>
      <c r="DW31" s="1179">
        <v>0</v>
      </c>
      <c r="DX31" s="1180">
        <v>0</v>
      </c>
      <c r="DY31" s="1179">
        <v>0</v>
      </c>
      <c r="DZ31" s="1179">
        <v>0</v>
      </c>
      <c r="EA31" s="1179">
        <v>0</v>
      </c>
      <c r="EB31" s="393"/>
      <c r="EE31" s="1310"/>
      <c r="EF31" s="1311"/>
      <c r="EG31" s="1311"/>
      <c r="EH31" s="1312"/>
      <c r="EI31" s="1312"/>
      <c r="EJ31" s="1312"/>
      <c r="EK31" s="1312"/>
      <c r="EL31" s="2211"/>
      <c r="EM31" s="2211"/>
      <c r="EP31" s="1205"/>
      <c r="FA31" s="1243"/>
      <c r="FB31" s="1243"/>
      <c r="FC31" s="1243"/>
      <c r="FD31" s="1243"/>
      <c r="FE31" s="1243"/>
      <c r="FF31" s="1243"/>
      <c r="FP31" s="1294"/>
      <c r="FQ31" s="1294"/>
      <c r="FR31" s="1294"/>
      <c r="FS31" s="1294"/>
      <c r="GI31" s="1115"/>
      <c r="GJ31" s="1115"/>
      <c r="GL31" s="1092" t="s">
        <v>5772</v>
      </c>
      <c r="GM31" s="1092"/>
      <c r="GN31" s="1092"/>
      <c r="GO31" s="1092"/>
      <c r="GP31" s="1092"/>
      <c r="GQ31" s="1093"/>
      <c r="GR31" s="1093"/>
      <c r="GS31" s="1208"/>
      <c r="GT31" s="1208"/>
      <c r="GU31" s="1297"/>
      <c r="GV31" s="1309"/>
      <c r="GW31" s="1309"/>
      <c r="GX31" s="1309"/>
      <c r="GY31" s="1309"/>
      <c r="GZ31" s="1309"/>
      <c r="HA31" s="1309"/>
      <c r="HB31" s="1309"/>
      <c r="HC31" s="1309"/>
      <c r="HD31" s="1309"/>
      <c r="HE31" s="1309"/>
    </row>
    <row r="32" spans="11:224" ht="15.6" customHeight="1">
      <c r="T32" s="848"/>
      <c r="U32" s="385"/>
      <c r="V32" s="385"/>
      <c r="W32" s="1271"/>
      <c r="X32" s="385"/>
      <c r="Y32" s="385"/>
      <c r="Z32" s="385"/>
      <c r="AA32" s="385"/>
      <c r="AB32" s="1263"/>
      <c r="AC32" s="398"/>
      <c r="AD32" s="398"/>
      <c r="AE32" s="398"/>
      <c r="AF32" s="398"/>
      <c r="AG32" s="398"/>
      <c r="AH32" s="398"/>
      <c r="AJ32" s="757"/>
      <c r="AK32" s="1306" t="s">
        <v>5773</v>
      </c>
      <c r="AL32" s="1306"/>
      <c r="AM32" s="1306"/>
      <c r="AN32" s="1306"/>
      <c r="AT32" s="1278"/>
      <c r="AU32" s="1278"/>
      <c r="AV32" s="1302"/>
      <c r="AW32" s="1302"/>
      <c r="AX32" s="1278"/>
      <c r="AY32" s="1278"/>
      <c r="AZ32" s="1278"/>
      <c r="BA32" s="1278"/>
      <c r="BB32" s="1278"/>
      <c r="BC32" s="1278"/>
      <c r="BD32" s="1278"/>
      <c r="BE32" s="1278"/>
      <c r="BF32" s="1278"/>
      <c r="BG32" s="1278"/>
      <c r="BH32" s="1278"/>
      <c r="BI32" s="1278"/>
      <c r="BJ32" s="1278"/>
      <c r="BK32" s="1278"/>
      <c r="BL32" s="1278"/>
      <c r="BM32" s="1278"/>
      <c r="BN32" s="1278"/>
      <c r="BO32" s="1278"/>
      <c r="BP32" s="1278"/>
      <c r="BQ32" s="1278"/>
      <c r="BR32" s="1278"/>
      <c r="BS32" s="1278"/>
      <c r="BT32" s="1090">
        <v>7</v>
      </c>
      <c r="BU32" s="585" t="s">
        <v>5774</v>
      </c>
      <c r="BV32" s="1284">
        <v>31</v>
      </c>
      <c r="BW32" s="1279">
        <f t="shared" si="7"/>
        <v>2.5984911986588433</v>
      </c>
      <c r="CB32" s="1211" t="s">
        <v>5775</v>
      </c>
      <c r="CC32" s="1179">
        <v>0</v>
      </c>
      <c r="CD32" s="1180">
        <v>0</v>
      </c>
      <c r="CE32" s="1180">
        <v>0</v>
      </c>
      <c r="CF32" s="1180">
        <v>0</v>
      </c>
      <c r="CG32" s="1180">
        <v>0</v>
      </c>
      <c r="CH32" s="1180"/>
      <c r="CJ32" s="382" t="s">
        <v>5776</v>
      </c>
      <c r="CK32" s="393"/>
      <c r="CL32" s="1181"/>
      <c r="CM32" s="1181"/>
      <c r="CN32" s="1181"/>
      <c r="CO32" s="1181"/>
      <c r="CP32" s="1181"/>
      <c r="CQ32" s="1181"/>
      <c r="CR32" s="1181"/>
      <c r="CS32" s="1181"/>
      <c r="CU32" s="382" t="s">
        <v>5776</v>
      </c>
      <c r="CV32" s="393">
        <f t="shared" si="2"/>
        <v>0</v>
      </c>
      <c r="CW32" s="1181">
        <v>0</v>
      </c>
      <c r="CX32" s="1181">
        <v>0</v>
      </c>
      <c r="CY32" s="1181">
        <v>0</v>
      </c>
      <c r="CZ32" s="1181">
        <v>0</v>
      </c>
      <c r="DA32" s="1181">
        <v>0</v>
      </c>
      <c r="DB32" s="1181">
        <v>0</v>
      </c>
      <c r="DC32" s="1181">
        <v>0</v>
      </c>
      <c r="DD32" s="1181">
        <v>0</v>
      </c>
      <c r="DG32" s="382" t="s">
        <v>5776</v>
      </c>
      <c r="DH32" s="393">
        <f t="shared" si="8"/>
        <v>3</v>
      </c>
      <c r="DI32" s="1181">
        <v>0</v>
      </c>
      <c r="DJ32" s="1181">
        <v>0</v>
      </c>
      <c r="DK32" s="1181">
        <v>0</v>
      </c>
      <c r="DL32" s="1181">
        <v>0</v>
      </c>
      <c r="DM32" s="1181">
        <v>0</v>
      </c>
      <c r="DN32" s="1181">
        <v>0</v>
      </c>
      <c r="DO32" s="1181">
        <v>2</v>
      </c>
      <c r="DP32" s="1181">
        <v>1</v>
      </c>
      <c r="DQ32" s="409"/>
      <c r="DS32" s="382" t="s">
        <v>5770</v>
      </c>
      <c r="DT32" s="1179">
        <v>0</v>
      </c>
      <c r="DU32" s="1179">
        <v>0</v>
      </c>
      <c r="DV32" s="1179">
        <v>0</v>
      </c>
      <c r="DW32" s="1179">
        <v>0</v>
      </c>
      <c r="DX32" s="1180">
        <v>0</v>
      </c>
      <c r="DY32" s="1179">
        <v>0</v>
      </c>
      <c r="DZ32" s="1179">
        <v>0</v>
      </c>
      <c r="EA32" s="1179">
        <v>0</v>
      </c>
      <c r="EB32" s="393"/>
      <c r="EE32" s="1313"/>
      <c r="EF32" s="1314"/>
      <c r="EG32" s="1315"/>
      <c r="EH32" s="1314"/>
      <c r="EI32" s="1315"/>
      <c r="EJ32" s="1314"/>
      <c r="EK32" s="1315"/>
      <c r="EL32" s="1141"/>
      <c r="EM32" s="1152"/>
      <c r="EP32" s="1316"/>
      <c r="ER32" s="1093"/>
      <c r="ES32" s="1093"/>
      <c r="ET32" s="1093"/>
      <c r="EU32" s="1093"/>
      <c r="EV32" s="1093"/>
      <c r="EW32" s="1093"/>
      <c r="EX32" s="1093"/>
      <c r="EY32" s="1093"/>
      <c r="EZ32" s="1093"/>
      <c r="FA32" s="1243"/>
      <c r="FB32" s="1243"/>
      <c r="FC32" s="1243"/>
      <c r="FD32" s="1243"/>
      <c r="FP32" s="1294"/>
      <c r="FQ32" s="1294"/>
      <c r="FR32" s="1294"/>
      <c r="FS32" s="1294"/>
      <c r="FV32" s="1092" t="s">
        <v>5777</v>
      </c>
      <c r="FW32" s="1092"/>
      <c r="FX32" s="1092"/>
      <c r="FY32" s="1092"/>
      <c r="FZ32" s="1092"/>
      <c r="GA32" s="1092"/>
      <c r="GB32" s="1092"/>
      <c r="GC32" s="1092"/>
      <c r="GD32" s="1092"/>
      <c r="GI32" s="1115"/>
      <c r="GJ32" s="1115"/>
      <c r="GL32" s="1117"/>
      <c r="GM32" s="2184">
        <v>2016</v>
      </c>
      <c r="GN32" s="2185"/>
      <c r="GO32" s="2184">
        <v>2015</v>
      </c>
      <c r="GP32" s="2185"/>
      <c r="GQ32" s="2184">
        <v>2014</v>
      </c>
      <c r="GR32" s="2185"/>
      <c r="GS32" s="1208"/>
      <c r="GT32" s="1208"/>
      <c r="GV32" s="1092" t="s">
        <v>5787</v>
      </c>
      <c r="GW32" s="1092"/>
      <c r="GX32" s="1092"/>
      <c r="GY32" s="1092"/>
      <c r="GZ32" s="1092"/>
      <c r="HA32" s="1092"/>
      <c r="HB32" s="1092"/>
      <c r="HC32" s="1092"/>
      <c r="HD32" s="1092"/>
      <c r="HE32" s="1309"/>
    </row>
    <row r="33" spans="21:224" ht="15.6" customHeight="1">
      <c r="U33" s="515"/>
      <c r="V33" s="515"/>
      <c r="W33" s="515"/>
      <c r="X33" s="515"/>
      <c r="Y33" s="515"/>
      <c r="Z33" s="515"/>
      <c r="AA33" s="515"/>
      <c r="AB33" s="848"/>
      <c r="AC33" s="385"/>
      <c r="AD33" s="385"/>
      <c r="AE33" s="1271"/>
      <c r="AF33" s="385"/>
      <c r="AG33" s="385"/>
      <c r="AH33" s="385"/>
      <c r="AJ33" s="757"/>
      <c r="AK33" s="398" t="s">
        <v>5779</v>
      </c>
      <c r="AT33" s="1276"/>
      <c r="AU33" s="1276"/>
      <c r="AV33" s="1302"/>
      <c r="AW33" s="1302"/>
      <c r="AX33" s="1276"/>
      <c r="AY33" s="1276"/>
      <c r="AZ33" s="1276"/>
      <c r="BA33" s="1276"/>
      <c r="BB33" s="1276"/>
      <c r="BC33" s="1276"/>
      <c r="BD33" s="1276"/>
      <c r="BE33" s="1276"/>
      <c r="BF33" s="1276"/>
      <c r="BG33" s="1276"/>
      <c r="BH33" s="1276"/>
      <c r="BI33" s="1276"/>
      <c r="BJ33" s="1276"/>
      <c r="BK33" s="1276"/>
      <c r="BL33" s="1276"/>
      <c r="BM33" s="1276"/>
      <c r="BN33" s="1276"/>
      <c r="BO33" s="1276"/>
      <c r="BP33" s="1276"/>
      <c r="BQ33" s="1276"/>
      <c r="BR33" s="1276"/>
      <c r="BS33" s="1276"/>
      <c r="BT33" s="1090">
        <v>8</v>
      </c>
      <c r="BU33" s="585" t="s">
        <v>5327</v>
      </c>
      <c r="BV33" s="1284">
        <v>30</v>
      </c>
      <c r="BW33" s="1279">
        <f t="shared" si="7"/>
        <v>2.5146689019279127</v>
      </c>
      <c r="CB33" s="1211"/>
      <c r="CC33" s="1179"/>
      <c r="CD33" s="1180"/>
      <c r="CE33" s="1180"/>
      <c r="CF33" s="1180"/>
      <c r="CG33" s="1180"/>
      <c r="CH33" s="1180"/>
      <c r="CI33" s="385"/>
      <c r="CJ33" s="382" t="s">
        <v>5780</v>
      </c>
      <c r="CK33" s="393"/>
      <c r="CL33" s="1181"/>
      <c r="CM33" s="1181"/>
      <c r="CN33" s="1181"/>
      <c r="CO33" s="1181"/>
      <c r="CP33" s="1181"/>
      <c r="CQ33" s="1181"/>
      <c r="CR33" s="1181"/>
      <c r="CS33" s="1181"/>
      <c r="CT33" s="385"/>
      <c r="CU33" s="382" t="s">
        <v>5780</v>
      </c>
      <c r="CV33" s="393">
        <f t="shared" si="2"/>
        <v>2</v>
      </c>
      <c r="CW33" s="1181">
        <v>0</v>
      </c>
      <c r="CX33" s="1181">
        <v>0</v>
      </c>
      <c r="CY33" s="1181">
        <v>0</v>
      </c>
      <c r="CZ33" s="1181">
        <v>2</v>
      </c>
      <c r="DA33" s="1181">
        <v>0</v>
      </c>
      <c r="DB33" s="1181">
        <v>0</v>
      </c>
      <c r="DC33" s="1181">
        <v>0</v>
      </c>
      <c r="DD33" s="1181">
        <v>0</v>
      </c>
      <c r="DE33" s="385"/>
      <c r="DG33" s="382" t="s">
        <v>5780</v>
      </c>
      <c r="DH33" s="393">
        <f t="shared" si="8"/>
        <v>0</v>
      </c>
      <c r="DI33" s="1181">
        <v>0</v>
      </c>
      <c r="DJ33" s="1181">
        <v>0</v>
      </c>
      <c r="DK33" s="1181">
        <v>0</v>
      </c>
      <c r="DL33" s="1181">
        <v>0</v>
      </c>
      <c r="DM33" s="1181">
        <v>0</v>
      </c>
      <c r="DN33" s="1181">
        <v>0</v>
      </c>
      <c r="DO33" s="1181">
        <v>0</v>
      </c>
      <c r="DP33" s="1181">
        <v>0</v>
      </c>
      <c r="DQ33" s="409"/>
      <c r="DS33" s="382" t="s">
        <v>5775</v>
      </c>
      <c r="DT33" s="1179">
        <v>0</v>
      </c>
      <c r="DU33" s="1179">
        <v>0</v>
      </c>
      <c r="DV33" s="1179">
        <v>0</v>
      </c>
      <c r="DW33" s="1179">
        <v>0</v>
      </c>
      <c r="DX33" s="1180">
        <v>0</v>
      </c>
      <c r="DY33" s="1179">
        <v>0</v>
      </c>
      <c r="DZ33" s="1179">
        <v>0</v>
      </c>
      <c r="EA33" s="1179">
        <v>0</v>
      </c>
      <c r="EB33" s="393"/>
      <c r="EE33" s="1114"/>
      <c r="EF33" s="1317"/>
      <c r="EG33" s="1317"/>
      <c r="EH33" s="1317"/>
      <c r="EI33" s="1317"/>
      <c r="EJ33" s="1317"/>
      <c r="EK33" s="1317"/>
      <c r="EL33" s="1186"/>
      <c r="EM33" s="1186"/>
      <c r="ER33" s="1112"/>
      <c r="ES33" s="2182"/>
      <c r="ET33" s="2182"/>
      <c r="EU33" s="2182"/>
      <c r="EV33" s="2182"/>
      <c r="EW33" s="1318"/>
      <c r="EX33" s="1318"/>
      <c r="EY33" s="1318"/>
      <c r="EZ33" s="1318"/>
      <c r="FG33" s="1093"/>
      <c r="FH33" s="1093"/>
      <c r="FI33" s="1093"/>
      <c r="FJ33" s="1093"/>
      <c r="FK33" s="1093"/>
      <c r="FP33" s="1305"/>
      <c r="FQ33" s="1305"/>
      <c r="FR33" s="1305"/>
      <c r="FS33" s="1305"/>
      <c r="FV33" s="1115"/>
      <c r="FW33" s="2204">
        <v>2016</v>
      </c>
      <c r="FX33" s="2205"/>
      <c r="FY33" s="2205"/>
      <c r="FZ33" s="2206"/>
      <c r="GA33" s="2204">
        <v>2015</v>
      </c>
      <c r="GB33" s="2205"/>
      <c r="GC33" s="2205"/>
      <c r="GD33" s="2206"/>
      <c r="GE33" s="2204">
        <v>2014</v>
      </c>
      <c r="GF33" s="2205"/>
      <c r="GG33" s="2205"/>
      <c r="GH33" s="2205"/>
      <c r="GI33" s="1319"/>
      <c r="GJ33" s="1319"/>
      <c r="GL33" s="1158" t="s">
        <v>5053</v>
      </c>
      <c r="GM33" s="1159" t="s">
        <v>5054</v>
      </c>
      <c r="GN33" s="1160" t="s">
        <v>5055</v>
      </c>
      <c r="GO33" s="1159" t="s">
        <v>5054</v>
      </c>
      <c r="GP33" s="1160" t="s">
        <v>5055</v>
      </c>
      <c r="GQ33" s="1159" t="s">
        <v>5054</v>
      </c>
      <c r="GR33" s="1160" t="s">
        <v>5055</v>
      </c>
      <c r="GV33" s="1117"/>
      <c r="GW33" s="2184">
        <v>2017</v>
      </c>
      <c r="GX33" s="2185"/>
      <c r="GY33" s="2186"/>
      <c r="GZ33" s="2186"/>
      <c r="HA33" s="2184">
        <v>2016</v>
      </c>
      <c r="HB33" s="2185"/>
      <c r="HC33" s="2186"/>
      <c r="HD33" s="2186"/>
      <c r="HE33" s="1309"/>
      <c r="HH33" s="1093" t="s">
        <v>5778</v>
      </c>
      <c r="HI33" s="1092"/>
      <c r="HJ33" s="1092"/>
      <c r="HK33" s="1092"/>
      <c r="HL33" s="1092"/>
      <c r="HO33" s="2197"/>
      <c r="HP33" s="2197"/>
    </row>
    <row r="34" spans="21:224" ht="15.6" customHeight="1">
      <c r="U34" s="515"/>
      <c r="V34" s="515"/>
      <c r="W34" s="515"/>
      <c r="X34" s="515"/>
      <c r="Y34" s="515"/>
      <c r="Z34" s="515"/>
      <c r="AA34" s="515"/>
      <c r="AB34" s="398"/>
      <c r="AC34" s="515"/>
      <c r="AD34" s="515"/>
      <c r="AE34" s="515"/>
      <c r="AF34" s="515"/>
      <c r="AG34" s="515"/>
      <c r="AH34" s="515"/>
      <c r="AJ34" s="757"/>
      <c r="AK34" s="1306" t="s">
        <v>5781</v>
      </c>
      <c r="AL34" s="1306"/>
      <c r="AM34" s="1306"/>
      <c r="AN34" s="1306"/>
      <c r="AT34" s="1276"/>
      <c r="AU34" s="1276"/>
      <c r="AV34" s="1276"/>
      <c r="AW34" s="1276"/>
      <c r="AX34" s="1276"/>
      <c r="AY34" s="1276"/>
      <c r="AZ34" s="1276"/>
      <c r="BA34" s="1276"/>
      <c r="BB34" s="1276"/>
      <c r="BC34" s="1276"/>
      <c r="BD34" s="1276"/>
      <c r="BE34" s="1276"/>
      <c r="BF34" s="1276"/>
      <c r="BG34" s="1276"/>
      <c r="BH34" s="1276"/>
      <c r="BI34" s="1276"/>
      <c r="BJ34" s="1276"/>
      <c r="BK34" s="1276"/>
      <c r="BL34" s="1276"/>
      <c r="BM34" s="1276"/>
      <c r="BN34" s="1276"/>
      <c r="BO34" s="1276"/>
      <c r="BP34" s="1276"/>
      <c r="BQ34" s="1276"/>
      <c r="BR34" s="1276"/>
      <c r="BS34" s="1276"/>
      <c r="BT34" s="1090">
        <v>9</v>
      </c>
      <c r="BU34" s="585" t="s">
        <v>5343</v>
      </c>
      <c r="BV34" s="1284">
        <v>28</v>
      </c>
      <c r="BW34" s="1279">
        <f t="shared" si="7"/>
        <v>2.347024308466052</v>
      </c>
      <c r="CB34" s="1211" t="s">
        <v>5782</v>
      </c>
      <c r="CC34" s="1179"/>
      <c r="CD34" s="1180"/>
      <c r="CE34" s="1180"/>
      <c r="CF34" s="1180"/>
      <c r="CG34" s="1180"/>
      <c r="CH34" s="1180"/>
      <c r="CJ34" s="382" t="s">
        <v>5783</v>
      </c>
      <c r="CK34" s="393"/>
      <c r="CL34" s="1181"/>
      <c r="CM34" s="1181"/>
      <c r="CN34" s="1181"/>
      <c r="CO34" s="1181"/>
      <c r="CP34" s="1181"/>
      <c r="CQ34" s="1181"/>
      <c r="CR34" s="1181"/>
      <c r="CS34" s="1181"/>
      <c r="CU34" s="382" t="s">
        <v>5783</v>
      </c>
      <c r="CV34" s="393">
        <f t="shared" si="2"/>
        <v>440</v>
      </c>
      <c r="CW34" s="1181">
        <v>131</v>
      </c>
      <c r="CX34" s="1181">
        <v>7</v>
      </c>
      <c r="CY34" s="1181">
        <v>9</v>
      </c>
      <c r="CZ34" s="1181">
        <v>38</v>
      </c>
      <c r="DA34" s="1181">
        <v>1</v>
      </c>
      <c r="DB34" s="1181">
        <v>37</v>
      </c>
      <c r="DC34" s="1181">
        <v>27</v>
      </c>
      <c r="DD34" s="1181">
        <v>190</v>
      </c>
      <c r="DG34" s="382" t="s">
        <v>5783</v>
      </c>
      <c r="DH34" s="393">
        <f t="shared" si="8"/>
        <v>548</v>
      </c>
      <c r="DI34" s="1181">
        <v>222</v>
      </c>
      <c r="DJ34" s="1181">
        <v>12</v>
      </c>
      <c r="DK34" s="1181">
        <v>19</v>
      </c>
      <c r="DL34" s="1181">
        <v>80</v>
      </c>
      <c r="DM34" s="1181">
        <v>3</v>
      </c>
      <c r="DN34" s="1181">
        <v>6</v>
      </c>
      <c r="DO34" s="1181">
        <v>37</v>
      </c>
      <c r="DP34" s="1181">
        <v>169</v>
      </c>
      <c r="DQ34" s="409"/>
      <c r="DS34" s="382"/>
      <c r="DT34" s="1179"/>
      <c r="DU34" s="1179"/>
      <c r="DV34" s="1179"/>
      <c r="DW34" s="1179"/>
      <c r="DX34" s="1180"/>
      <c r="DY34" s="1179"/>
      <c r="DZ34" s="1179"/>
      <c r="EA34" s="1179"/>
      <c r="EB34" s="393"/>
      <c r="EE34" s="1114"/>
      <c r="EF34" s="1322"/>
      <c r="EG34" s="1183"/>
      <c r="EH34" s="1322"/>
      <c r="EI34" s="1183"/>
      <c r="EJ34" s="1322"/>
      <c r="EK34" s="1183"/>
      <c r="EL34" s="1205"/>
      <c r="EM34" s="1205"/>
      <c r="ER34" s="1323"/>
      <c r="ES34" s="1145"/>
      <c r="ET34" s="1146"/>
      <c r="EU34" s="1145"/>
      <c r="EV34" s="1146"/>
      <c r="EW34" s="1145"/>
      <c r="EX34" s="1146"/>
      <c r="EY34" s="1145"/>
      <c r="EZ34" s="1146"/>
      <c r="FG34" s="1324"/>
      <c r="FH34" s="2198"/>
      <c r="FI34" s="2198"/>
      <c r="FJ34" s="2198"/>
      <c r="FK34" s="2198"/>
      <c r="FL34" s="2198"/>
      <c r="FM34" s="2198"/>
      <c r="FN34" s="1114"/>
      <c r="FO34" s="1114"/>
      <c r="FP34" s="1305"/>
      <c r="FQ34" s="1305"/>
      <c r="FR34" s="1305"/>
      <c r="FS34" s="1305"/>
      <c r="FT34" s="1308"/>
      <c r="FU34" s="1308"/>
      <c r="FV34" s="1115"/>
      <c r="FW34" s="2199" t="s">
        <v>5056</v>
      </c>
      <c r="FX34" s="2200"/>
      <c r="FY34" s="2201" t="s">
        <v>5057</v>
      </c>
      <c r="FZ34" s="2202"/>
      <c r="GA34" s="1191" t="s">
        <v>5056</v>
      </c>
      <c r="GB34" s="1325"/>
      <c r="GC34" s="2199" t="s">
        <v>5057</v>
      </c>
      <c r="GD34" s="2203"/>
      <c r="GE34" s="1191" t="s">
        <v>5056</v>
      </c>
      <c r="GF34" s="1325"/>
      <c r="GG34" s="2199" t="s">
        <v>5057</v>
      </c>
      <c r="GH34" s="2203"/>
      <c r="GL34" s="1192" t="s">
        <v>129</v>
      </c>
      <c r="GM34" s="1117">
        <v>25.1</v>
      </c>
      <c r="GN34" s="1117" t="s">
        <v>5784</v>
      </c>
      <c r="GO34" s="1117">
        <v>27.4</v>
      </c>
      <c r="GP34" s="1117" t="s">
        <v>5785</v>
      </c>
      <c r="GQ34" s="1326">
        <v>29.2</v>
      </c>
      <c r="GR34" s="1326" t="s">
        <v>5786</v>
      </c>
      <c r="GV34" s="1164"/>
      <c r="GW34" s="2187" t="s">
        <v>5058</v>
      </c>
      <c r="GX34" s="2188"/>
      <c r="GY34" s="2189" t="s">
        <v>5059</v>
      </c>
      <c r="GZ34" s="2190"/>
      <c r="HA34" s="2191" t="s">
        <v>5058</v>
      </c>
      <c r="HB34" s="2192"/>
      <c r="HC34" s="2189" t="s">
        <v>5059</v>
      </c>
      <c r="HD34" s="2190"/>
      <c r="HE34" s="1093"/>
      <c r="HH34" s="1113"/>
      <c r="HI34" s="2195">
        <v>2016</v>
      </c>
      <c r="HJ34" s="2196"/>
      <c r="HK34" s="2195">
        <v>2015</v>
      </c>
      <c r="HL34" s="2196"/>
      <c r="HM34" s="1320">
        <v>2014</v>
      </c>
      <c r="HN34" s="1321"/>
      <c r="HO34" s="1166"/>
      <c r="HP34" s="1167"/>
    </row>
    <row r="35" spans="21:224" ht="15.6" customHeight="1">
      <c r="U35" s="515"/>
      <c r="V35" s="515"/>
      <c r="W35" s="515"/>
      <c r="X35" s="515"/>
      <c r="Y35" s="515"/>
      <c r="Z35" s="515"/>
      <c r="AA35" s="515"/>
      <c r="AB35" s="386"/>
      <c r="AC35" s="754"/>
      <c r="AD35" s="515"/>
      <c r="AE35" s="515"/>
      <c r="AF35" s="515"/>
      <c r="AG35" s="515"/>
      <c r="AH35" s="515"/>
      <c r="AJ35" s="757"/>
      <c r="AR35" s="402"/>
      <c r="AS35" s="402"/>
      <c r="AT35" s="1276"/>
      <c r="AU35" s="1276"/>
      <c r="AV35" s="1278"/>
      <c r="AW35" s="1278"/>
      <c r="AX35" s="1276"/>
      <c r="AY35" s="1276"/>
      <c r="AZ35" s="1276"/>
      <c r="BA35" s="1276"/>
      <c r="BB35" s="1276"/>
      <c r="BC35" s="1276"/>
      <c r="BD35" s="1276"/>
      <c r="BE35" s="1276"/>
      <c r="BF35" s="1276"/>
      <c r="BG35" s="1276"/>
      <c r="BH35" s="1276"/>
      <c r="BI35" s="1276"/>
      <c r="BJ35" s="1276"/>
      <c r="BK35" s="1276"/>
      <c r="BL35" s="1276"/>
      <c r="BM35" s="1276"/>
      <c r="BN35" s="1276"/>
      <c r="BO35" s="1276"/>
      <c r="BP35" s="1276"/>
      <c r="BQ35" s="1276"/>
      <c r="BR35" s="1276"/>
      <c r="BS35" s="1276"/>
      <c r="BT35" s="1090">
        <v>10</v>
      </c>
      <c r="BU35" s="585" t="s">
        <v>5370</v>
      </c>
      <c r="BV35" s="1284">
        <v>24</v>
      </c>
      <c r="BW35" s="1279">
        <f t="shared" si="7"/>
        <v>2.0117351215423303</v>
      </c>
      <c r="CB35" s="1280" t="s">
        <v>5069</v>
      </c>
      <c r="CC35" s="1179">
        <v>0</v>
      </c>
      <c r="CD35" s="1180">
        <v>0</v>
      </c>
      <c r="CE35" s="1180">
        <v>0</v>
      </c>
      <c r="CF35" s="1180">
        <v>0</v>
      </c>
      <c r="CG35" s="1180">
        <v>0</v>
      </c>
      <c r="CH35" s="1180"/>
      <c r="CJ35" s="382" t="s">
        <v>5788</v>
      </c>
      <c r="CK35" s="393"/>
      <c r="CL35" s="1181"/>
      <c r="CM35" s="1181"/>
      <c r="CN35" s="1181"/>
      <c r="CO35" s="1181"/>
      <c r="CP35" s="1181"/>
      <c r="CQ35" s="1181"/>
      <c r="CR35" s="1181"/>
      <c r="CS35" s="1181"/>
      <c r="CU35" s="382" t="s">
        <v>5788</v>
      </c>
      <c r="CV35" s="393">
        <f t="shared" si="2"/>
        <v>0</v>
      </c>
      <c r="CW35" s="1181">
        <v>0</v>
      </c>
      <c r="CX35" s="1181">
        <v>0</v>
      </c>
      <c r="CY35" s="1181">
        <v>0</v>
      </c>
      <c r="CZ35" s="1181">
        <v>0</v>
      </c>
      <c r="DA35" s="1181">
        <v>0</v>
      </c>
      <c r="DB35" s="1181">
        <v>0</v>
      </c>
      <c r="DC35" s="1181">
        <v>0</v>
      </c>
      <c r="DD35" s="1181">
        <v>0</v>
      </c>
      <c r="DG35" s="382" t="s">
        <v>5788</v>
      </c>
      <c r="DH35" s="393">
        <f t="shared" si="8"/>
        <v>5</v>
      </c>
      <c r="DI35" s="1181">
        <v>1</v>
      </c>
      <c r="DJ35" s="1181">
        <v>0</v>
      </c>
      <c r="DK35" s="1181">
        <v>0</v>
      </c>
      <c r="DL35" s="1181">
        <v>1</v>
      </c>
      <c r="DM35" s="1181">
        <v>0</v>
      </c>
      <c r="DN35" s="1181">
        <v>0</v>
      </c>
      <c r="DO35" s="1181">
        <v>0</v>
      </c>
      <c r="DP35" s="1181">
        <v>3</v>
      </c>
      <c r="DQ35" s="409"/>
      <c r="DS35" s="382" t="s">
        <v>5782</v>
      </c>
      <c r="DT35" s="1179"/>
      <c r="DU35" s="1179"/>
      <c r="DV35" s="1179"/>
      <c r="DW35" s="1179"/>
      <c r="DX35" s="1180"/>
      <c r="DY35" s="1179"/>
      <c r="DZ35" s="1179"/>
      <c r="EA35" s="1179"/>
      <c r="EB35" s="393"/>
      <c r="EE35" s="1212"/>
      <c r="EF35" s="1183"/>
      <c r="EG35" s="1183"/>
      <c r="EH35" s="1183"/>
      <c r="EI35" s="1183"/>
      <c r="EJ35" s="1183"/>
      <c r="EK35" s="1183"/>
      <c r="EL35" s="1205"/>
      <c r="EM35" s="1205"/>
      <c r="ER35" s="1318"/>
      <c r="ES35" s="1328"/>
      <c r="ET35" s="1328"/>
      <c r="EU35" s="1328"/>
      <c r="EV35" s="1328"/>
      <c r="EW35" s="1318"/>
      <c r="EX35" s="1318"/>
      <c r="EY35" s="1189"/>
      <c r="EZ35" s="1189"/>
      <c r="FG35" s="1329"/>
      <c r="FH35" s="1314"/>
      <c r="FI35" s="1330"/>
      <c r="FJ35" s="1314"/>
      <c r="FK35" s="1330"/>
      <c r="FL35" s="1314"/>
      <c r="FM35" s="1330"/>
      <c r="FN35" s="1141"/>
      <c r="FO35" s="1331"/>
      <c r="FP35" s="1307"/>
      <c r="FQ35" s="1307"/>
      <c r="FR35" s="1307"/>
      <c r="FS35" s="1307"/>
      <c r="FV35" s="1190" t="s">
        <v>5085</v>
      </c>
      <c r="FW35" s="1191" t="s">
        <v>5054</v>
      </c>
      <c r="FX35" s="1332" t="s">
        <v>5055</v>
      </c>
      <c r="FY35" s="1191" t="s">
        <v>5054</v>
      </c>
      <c r="FZ35" s="1332" t="s">
        <v>5055</v>
      </c>
      <c r="GA35" s="1191" t="s">
        <v>5054</v>
      </c>
      <c r="GB35" s="1156" t="s">
        <v>5055</v>
      </c>
      <c r="GC35" s="1191" t="s">
        <v>5054</v>
      </c>
      <c r="GD35" s="1156" t="s">
        <v>5055</v>
      </c>
      <c r="GE35" s="1191" t="s">
        <v>5054</v>
      </c>
      <c r="GF35" s="1156" t="s">
        <v>5055</v>
      </c>
      <c r="GG35" s="1191" t="s">
        <v>5054</v>
      </c>
      <c r="GH35" s="1156" t="s">
        <v>5055</v>
      </c>
      <c r="GL35" s="1192" t="s">
        <v>2449</v>
      </c>
      <c r="GM35" s="1117"/>
      <c r="GN35" s="1117"/>
      <c r="GO35" s="1117"/>
      <c r="GP35" s="1117"/>
      <c r="GQ35" s="1192"/>
      <c r="GR35" s="1192"/>
      <c r="GV35" s="1195" t="s">
        <v>5085</v>
      </c>
      <c r="GW35" s="1196" t="s">
        <v>5054</v>
      </c>
      <c r="GX35" s="1197" t="s">
        <v>5055</v>
      </c>
      <c r="GY35" s="1196" t="s">
        <v>5054</v>
      </c>
      <c r="GZ35" s="1197" t="s">
        <v>5055</v>
      </c>
      <c r="HA35" s="1196" t="s">
        <v>5054</v>
      </c>
      <c r="HB35" s="1197" t="s">
        <v>5055</v>
      </c>
      <c r="HC35" s="1196" t="s">
        <v>5054</v>
      </c>
      <c r="HD35" s="1197" t="s">
        <v>5055</v>
      </c>
      <c r="HE35" s="1119"/>
      <c r="HH35" s="1147" t="s">
        <v>5053</v>
      </c>
      <c r="HI35" s="1148" t="s">
        <v>5054</v>
      </c>
      <c r="HJ35" s="1151" t="s">
        <v>5055</v>
      </c>
      <c r="HK35" s="1139" t="s">
        <v>5054</v>
      </c>
      <c r="HL35" s="1151" t="s">
        <v>5055</v>
      </c>
      <c r="HM35" s="1139" t="s">
        <v>5054</v>
      </c>
      <c r="HN35" s="1327" t="s">
        <v>5055</v>
      </c>
      <c r="HO35" s="1199"/>
      <c r="HP35" s="1199"/>
    </row>
    <row r="36" spans="21:224" ht="15.6" customHeight="1">
      <c r="U36" s="515"/>
      <c r="V36" s="515"/>
      <c r="W36" s="515"/>
      <c r="X36" s="515"/>
      <c r="Y36" s="515"/>
      <c r="Z36" s="515"/>
      <c r="AA36" s="515"/>
      <c r="AB36" s="386"/>
      <c r="AC36" s="754"/>
      <c r="AD36" s="757"/>
      <c r="AE36" s="757"/>
      <c r="AF36" s="398"/>
      <c r="AG36" s="398"/>
      <c r="AH36" s="398"/>
      <c r="AJ36" s="757"/>
      <c r="AP36" s="402"/>
      <c r="AQ36" s="402"/>
      <c r="AR36" s="385"/>
      <c r="AS36" s="385"/>
      <c r="AT36" s="1276"/>
      <c r="AU36" s="1276"/>
      <c r="AV36" s="1276"/>
      <c r="AW36" s="1276"/>
      <c r="AX36" s="1276"/>
      <c r="AY36" s="1276"/>
      <c r="AZ36" s="1276"/>
      <c r="BA36" s="1276"/>
      <c r="BB36" s="1276"/>
      <c r="BC36" s="1276"/>
      <c r="BD36" s="1276"/>
      <c r="BE36" s="1276"/>
      <c r="BF36" s="1276"/>
      <c r="BG36" s="1276"/>
      <c r="BH36" s="1276"/>
      <c r="BI36" s="1276"/>
      <c r="BJ36" s="1276"/>
      <c r="BK36" s="1276"/>
      <c r="BL36" s="1276"/>
      <c r="BM36" s="1276"/>
      <c r="BN36" s="1276"/>
      <c r="BO36" s="1276"/>
      <c r="BP36" s="1276"/>
      <c r="BQ36" s="1276"/>
      <c r="BR36" s="1276"/>
      <c r="BS36" s="1276"/>
      <c r="BT36" s="1090"/>
      <c r="BU36" s="1253"/>
      <c r="BV36" s="771"/>
      <c r="BW36" s="1279"/>
      <c r="CB36" s="1280" t="s">
        <v>5792</v>
      </c>
      <c r="CC36" s="1179">
        <v>0</v>
      </c>
      <c r="CD36" s="1180">
        <v>2</v>
      </c>
      <c r="CE36" s="1180">
        <v>0</v>
      </c>
      <c r="CF36" s="1180">
        <v>0</v>
      </c>
      <c r="CG36" s="1180">
        <v>0</v>
      </c>
      <c r="CH36" s="1180"/>
      <c r="CJ36" s="382" t="s">
        <v>5555</v>
      </c>
      <c r="CK36" s="393"/>
      <c r="CL36" s="1181"/>
      <c r="CM36" s="1181"/>
      <c r="CN36" s="1181"/>
      <c r="CO36" s="1181"/>
      <c r="CP36" s="1181"/>
      <c r="CQ36" s="1181"/>
      <c r="CR36" s="1181"/>
      <c r="CS36" s="1181"/>
      <c r="CU36" s="382" t="s">
        <v>5555</v>
      </c>
      <c r="CV36" s="393">
        <f t="shared" si="2"/>
        <v>0</v>
      </c>
      <c r="CW36" s="1181">
        <v>0</v>
      </c>
      <c r="CX36" s="1181">
        <v>0</v>
      </c>
      <c r="CY36" s="1181">
        <v>0</v>
      </c>
      <c r="CZ36" s="1181">
        <v>0</v>
      </c>
      <c r="DA36" s="1181">
        <v>0</v>
      </c>
      <c r="DB36" s="1181">
        <v>0</v>
      </c>
      <c r="DC36" s="1181">
        <v>0</v>
      </c>
      <c r="DD36" s="1181">
        <v>0</v>
      </c>
      <c r="DG36" s="382" t="s">
        <v>5555</v>
      </c>
      <c r="DH36" s="393">
        <f t="shared" si="8"/>
        <v>16</v>
      </c>
      <c r="DI36" s="1181">
        <v>13</v>
      </c>
      <c r="DJ36" s="1181">
        <v>0</v>
      </c>
      <c r="DK36" s="1181">
        <v>0</v>
      </c>
      <c r="DL36" s="1181">
        <v>3</v>
      </c>
      <c r="DM36" s="1181">
        <v>0</v>
      </c>
      <c r="DN36" s="1181">
        <v>0</v>
      </c>
      <c r="DO36" s="1181">
        <v>0</v>
      </c>
      <c r="DP36" s="1181">
        <v>0</v>
      </c>
      <c r="DQ36" s="409"/>
      <c r="DS36" s="382" t="s">
        <v>5069</v>
      </c>
      <c r="DT36" s="1179">
        <v>0</v>
      </c>
      <c r="DU36" s="1180">
        <v>0</v>
      </c>
      <c r="DV36" s="1180">
        <v>0</v>
      </c>
      <c r="DW36" s="1180">
        <v>0</v>
      </c>
      <c r="DX36" s="1180">
        <v>0</v>
      </c>
      <c r="DY36" s="1180">
        <v>0</v>
      </c>
      <c r="DZ36" s="1180">
        <v>0</v>
      </c>
      <c r="EA36" s="1180">
        <v>0</v>
      </c>
      <c r="EB36" s="393"/>
      <c r="EE36" s="1212"/>
      <c r="EF36" s="1183"/>
      <c r="EG36" s="1183"/>
      <c r="EH36" s="1183"/>
      <c r="EI36" s="1183"/>
      <c r="EJ36" s="1183"/>
      <c r="EK36" s="1183"/>
      <c r="EL36" s="1205"/>
      <c r="EM36" s="1205"/>
      <c r="ER36" s="1318"/>
      <c r="ES36" s="1318"/>
      <c r="ET36" s="1318"/>
      <c r="EU36" s="1318"/>
      <c r="EV36" s="1318"/>
      <c r="EW36" s="1318"/>
      <c r="EX36" s="1318"/>
      <c r="EY36" s="1206"/>
      <c r="EZ36" s="1115"/>
      <c r="FG36" s="1114"/>
      <c r="FH36" s="1334"/>
      <c r="FI36" s="1334"/>
      <c r="FJ36" s="1328"/>
      <c r="FK36" s="1328"/>
      <c r="FL36" s="1317"/>
      <c r="FM36" s="1317"/>
      <c r="FN36" s="1186"/>
      <c r="FO36" s="1186"/>
      <c r="FP36" s="1305"/>
      <c r="FQ36" s="1305"/>
      <c r="FR36" s="1305"/>
      <c r="FS36" s="1305"/>
      <c r="FV36" s="1206" t="s">
        <v>129</v>
      </c>
      <c r="FW36" s="1335">
        <v>10</v>
      </c>
      <c r="FX36" s="1335" t="s">
        <v>5793</v>
      </c>
      <c r="FY36" s="1115">
        <v>0.8</v>
      </c>
      <c r="FZ36" s="1115" t="s">
        <v>5794</v>
      </c>
      <c r="GA36" s="1115">
        <v>12</v>
      </c>
      <c r="GB36" s="1115" t="s">
        <v>5795</v>
      </c>
      <c r="GC36" s="1115">
        <v>1.2</v>
      </c>
      <c r="GD36" s="1115" t="s">
        <v>5796</v>
      </c>
      <c r="GE36" s="1336">
        <v>10.8</v>
      </c>
      <c r="GF36" s="1336" t="s">
        <v>5797</v>
      </c>
      <c r="GG36" s="1336">
        <v>1.3</v>
      </c>
      <c r="GH36" s="1336" t="s">
        <v>5798</v>
      </c>
      <c r="GL36" s="1215" t="s">
        <v>3581</v>
      </c>
      <c r="GM36" s="1209">
        <v>17</v>
      </c>
      <c r="GN36" s="1117" t="s">
        <v>5799</v>
      </c>
      <c r="GO36" s="1117">
        <v>21.8</v>
      </c>
      <c r="GP36" s="1117" t="s">
        <v>5800</v>
      </c>
      <c r="GQ36" s="1326">
        <v>23.5</v>
      </c>
      <c r="GR36" s="1337" t="s">
        <v>5801</v>
      </c>
      <c r="GV36" s="1192" t="s">
        <v>129</v>
      </c>
      <c r="GW36" s="1333">
        <v>32.700000000000003</v>
      </c>
      <c r="GX36" s="1210" t="s">
        <v>5816</v>
      </c>
      <c r="GY36" s="1342">
        <v>34.299999999999997</v>
      </c>
      <c r="GZ36" s="1210" t="s">
        <v>5817</v>
      </c>
      <c r="HA36" s="1333">
        <v>36.200000000000003</v>
      </c>
      <c r="HB36" s="1210" t="s">
        <v>5818</v>
      </c>
      <c r="HC36" s="1342">
        <v>28.3</v>
      </c>
      <c r="HD36" s="1210" t="s">
        <v>5818</v>
      </c>
      <c r="HE36" s="1165"/>
      <c r="HH36" s="1182" t="s">
        <v>129</v>
      </c>
      <c r="HI36" s="1185">
        <v>20.7</v>
      </c>
      <c r="HJ36" s="1185" t="s">
        <v>5789</v>
      </c>
      <c r="HK36" s="1185">
        <v>21.2</v>
      </c>
      <c r="HL36" s="1185" t="s">
        <v>5790</v>
      </c>
      <c r="HM36" s="1333">
        <v>23</v>
      </c>
      <c r="HN36" s="1333" t="s">
        <v>5791</v>
      </c>
      <c r="HO36" s="1199"/>
      <c r="HP36" s="1199"/>
    </row>
    <row r="37" spans="21:224" ht="15.6" customHeight="1">
      <c r="U37" s="515"/>
      <c r="V37" s="515"/>
      <c r="W37" s="515"/>
      <c r="X37" s="515"/>
      <c r="Y37" s="515"/>
      <c r="Z37" s="515"/>
      <c r="AA37" s="515"/>
      <c r="AB37" s="386"/>
      <c r="AC37" s="754"/>
      <c r="AD37" s="515"/>
      <c r="AE37" s="515"/>
      <c r="AF37" s="515"/>
      <c r="AG37" s="515"/>
      <c r="AH37" s="515"/>
      <c r="AJ37" s="757"/>
      <c r="AP37" s="385"/>
      <c r="AQ37" s="385"/>
      <c r="AR37" s="1338"/>
      <c r="AS37" s="1338"/>
      <c r="AV37" s="1276"/>
      <c r="AW37" s="1276"/>
      <c r="BT37" s="1257"/>
      <c r="BU37" s="1253" t="s">
        <v>5419</v>
      </c>
      <c r="BV37" s="382">
        <v>358</v>
      </c>
      <c r="BW37" s="1279">
        <f>BV37/BV25*100</f>
        <v>30.008382229673092</v>
      </c>
      <c r="BZ37" s="382"/>
      <c r="CB37" s="1280" t="s">
        <v>5802</v>
      </c>
      <c r="CC37" s="1179">
        <v>0</v>
      </c>
      <c r="CD37" s="1180">
        <v>1</v>
      </c>
      <c r="CE37" s="1180">
        <v>1</v>
      </c>
      <c r="CF37" s="1180">
        <v>3</v>
      </c>
      <c r="CG37" s="1180">
        <v>0</v>
      </c>
      <c r="CH37" s="1180"/>
      <c r="CJ37" s="382" t="s">
        <v>5803</v>
      </c>
      <c r="CK37" s="393"/>
      <c r="CL37" s="1181"/>
      <c r="CM37" s="1181"/>
      <c r="CN37" s="1181"/>
      <c r="CO37" s="1181"/>
      <c r="CP37" s="1181"/>
      <c r="CQ37" s="1181"/>
      <c r="CR37" s="1181"/>
      <c r="CS37" s="1181"/>
      <c r="CU37" s="382" t="s">
        <v>5803</v>
      </c>
      <c r="CV37" s="393">
        <f t="shared" si="2"/>
        <v>40</v>
      </c>
      <c r="CW37" s="1181">
        <v>12</v>
      </c>
      <c r="CX37" s="1181">
        <v>0</v>
      </c>
      <c r="CY37" s="1181">
        <v>0</v>
      </c>
      <c r="CZ37" s="1181">
        <v>11</v>
      </c>
      <c r="DA37" s="1181">
        <v>0</v>
      </c>
      <c r="DB37" s="1181">
        <v>0</v>
      </c>
      <c r="DC37" s="1181">
        <v>2</v>
      </c>
      <c r="DD37" s="1181">
        <v>15</v>
      </c>
      <c r="DG37" s="382" t="s">
        <v>5803</v>
      </c>
      <c r="DH37" s="393">
        <f t="shared" si="8"/>
        <v>36</v>
      </c>
      <c r="DI37" s="1181">
        <v>19</v>
      </c>
      <c r="DJ37" s="1181">
        <v>3</v>
      </c>
      <c r="DK37" s="1181">
        <v>1</v>
      </c>
      <c r="DL37" s="1181">
        <v>11</v>
      </c>
      <c r="DM37" s="1181">
        <v>0</v>
      </c>
      <c r="DN37" s="1181">
        <v>0</v>
      </c>
      <c r="DO37" s="1181">
        <v>2</v>
      </c>
      <c r="DP37" s="1181">
        <v>0</v>
      </c>
      <c r="DQ37" s="409"/>
      <c r="DS37" s="382" t="s">
        <v>5792</v>
      </c>
      <c r="DT37" s="1179">
        <v>0</v>
      </c>
      <c r="DU37" s="1180">
        <v>0</v>
      </c>
      <c r="DV37" s="1180">
        <v>0</v>
      </c>
      <c r="DW37" s="1180">
        <v>0</v>
      </c>
      <c r="DX37" s="1180">
        <v>2</v>
      </c>
      <c r="DY37" s="1180">
        <v>2</v>
      </c>
      <c r="DZ37" s="1180">
        <v>0</v>
      </c>
      <c r="EA37" s="1180">
        <v>0</v>
      </c>
      <c r="EB37" s="393"/>
      <c r="EE37" s="1212"/>
      <c r="EF37" s="1183"/>
      <c r="EG37" s="1183"/>
      <c r="EH37" s="1183"/>
      <c r="EI37" s="1183"/>
      <c r="EJ37" s="1183"/>
      <c r="EK37" s="1183"/>
      <c r="EL37" s="1205"/>
      <c r="EM37" s="1205"/>
      <c r="ER37" s="1213"/>
      <c r="ES37" s="1188"/>
      <c r="ET37" s="1188"/>
      <c r="EU37" s="1188"/>
      <c r="EV37" s="1188"/>
      <c r="EW37" s="1188"/>
      <c r="EX37" s="1188"/>
      <c r="EY37" s="1115"/>
      <c r="EZ37" s="1115"/>
      <c r="FG37" s="1114"/>
      <c r="FH37" s="1339"/>
      <c r="FI37" s="1339"/>
      <c r="FJ37" s="1339"/>
      <c r="FK37" s="1339"/>
      <c r="FL37" s="1322"/>
      <c r="FM37" s="1183"/>
      <c r="FN37" s="1205"/>
      <c r="FO37" s="1205"/>
      <c r="FV37" s="1206" t="s">
        <v>2449</v>
      </c>
      <c r="FW37" s="1115"/>
      <c r="FX37" s="1115"/>
      <c r="FY37" s="1115"/>
      <c r="FZ37" s="1115"/>
      <c r="GA37" s="1115"/>
      <c r="GB37" s="1115"/>
      <c r="GC37" s="1115"/>
      <c r="GD37" s="1115"/>
      <c r="GE37" s="878"/>
      <c r="GF37" s="878"/>
      <c r="GG37" s="878"/>
      <c r="GH37" s="878"/>
      <c r="GL37" s="1215" t="s">
        <v>3592</v>
      </c>
      <c r="GM37" s="1117">
        <v>25.6</v>
      </c>
      <c r="GN37" s="1117" t="s">
        <v>5804</v>
      </c>
      <c r="GO37" s="1117">
        <v>26.3</v>
      </c>
      <c r="GP37" s="1117" t="s">
        <v>5805</v>
      </c>
      <c r="GQ37" s="1326">
        <v>37.299999999999997</v>
      </c>
      <c r="GR37" s="1337" t="s">
        <v>5806</v>
      </c>
      <c r="GS37" s="1093"/>
      <c r="GT37" s="1093"/>
      <c r="GV37" s="1192" t="s">
        <v>2449</v>
      </c>
      <c r="GW37" s="1216"/>
      <c r="GX37" s="1216"/>
      <c r="GY37" s="1216"/>
      <c r="GZ37" s="1216"/>
      <c r="HA37" s="1216"/>
      <c r="HB37" s="1216"/>
      <c r="HC37" s="1216"/>
      <c r="HD37" s="1216"/>
      <c r="HE37" s="1198"/>
      <c r="HH37" s="1182" t="s">
        <v>2449</v>
      </c>
      <c r="HI37" s="1185"/>
      <c r="HJ37" s="1185"/>
      <c r="HK37" s="1185"/>
      <c r="HL37" s="1185"/>
      <c r="HM37" s="1216"/>
      <c r="HN37" s="1216"/>
      <c r="HO37" s="1199"/>
      <c r="HP37" s="1199"/>
    </row>
    <row r="38" spans="21:224" ht="15.6" customHeight="1">
      <c r="U38" s="515"/>
      <c r="V38" s="515"/>
      <c r="W38" s="515"/>
      <c r="X38" s="515"/>
      <c r="Y38" s="515"/>
      <c r="Z38" s="515"/>
      <c r="AA38" s="515"/>
      <c r="AB38" s="386"/>
      <c r="AC38" s="754"/>
      <c r="AD38" s="515"/>
      <c r="AE38" s="515"/>
      <c r="AF38" s="515"/>
      <c r="AG38" s="515"/>
      <c r="AH38" s="515"/>
      <c r="AJ38" s="757"/>
      <c r="AP38" s="1338"/>
      <c r="AQ38" s="1338"/>
      <c r="AR38" s="1340"/>
      <c r="AS38" s="1340"/>
      <c r="AV38" s="1276"/>
      <c r="AW38" s="1276"/>
      <c r="BT38" s="1259" t="s">
        <v>5446</v>
      </c>
      <c r="BU38" s="1260"/>
      <c r="BV38" s="415"/>
      <c r="BW38" s="1261"/>
      <c r="BX38" s="382"/>
      <c r="BY38" s="771"/>
      <c r="BZ38" s="382"/>
      <c r="CB38" s="1211" t="s">
        <v>5100</v>
      </c>
      <c r="CC38" s="1179">
        <v>18</v>
      </c>
      <c r="CD38" s="1180">
        <v>14</v>
      </c>
      <c r="CE38" s="1180">
        <v>4</v>
      </c>
      <c r="CF38" s="1180">
        <v>10</v>
      </c>
      <c r="CG38" s="1180">
        <v>7</v>
      </c>
      <c r="CH38" s="1180"/>
      <c r="CJ38" s="382" t="s">
        <v>5810</v>
      </c>
      <c r="CK38" s="393"/>
      <c r="CL38" s="1181"/>
      <c r="CM38" s="1181"/>
      <c r="CN38" s="1181"/>
      <c r="CO38" s="1181"/>
      <c r="CP38" s="1181"/>
      <c r="CQ38" s="1181"/>
      <c r="CR38" s="1181"/>
      <c r="CS38" s="1181"/>
      <c r="CU38" s="382" t="s">
        <v>5810</v>
      </c>
      <c r="CV38" s="393">
        <f t="shared" si="2"/>
        <v>0</v>
      </c>
      <c r="CW38" s="1181">
        <v>0</v>
      </c>
      <c r="CX38" s="1181">
        <v>0</v>
      </c>
      <c r="CY38" s="1181">
        <v>0</v>
      </c>
      <c r="CZ38" s="1181">
        <v>0</v>
      </c>
      <c r="DA38" s="1181">
        <v>0</v>
      </c>
      <c r="DB38" s="1181">
        <v>0</v>
      </c>
      <c r="DC38" s="1181">
        <v>0</v>
      </c>
      <c r="DD38" s="1181">
        <v>0</v>
      </c>
      <c r="DG38" s="382" t="s">
        <v>5810</v>
      </c>
      <c r="DH38" s="393">
        <f t="shared" si="8"/>
        <v>2</v>
      </c>
      <c r="DI38" s="1181">
        <v>1</v>
      </c>
      <c r="DJ38" s="1181">
        <v>0</v>
      </c>
      <c r="DK38" s="1181">
        <v>0</v>
      </c>
      <c r="DL38" s="1181">
        <v>0</v>
      </c>
      <c r="DM38" s="1181">
        <v>0</v>
      </c>
      <c r="DN38" s="1181">
        <v>0</v>
      </c>
      <c r="DO38" s="1181">
        <v>0</v>
      </c>
      <c r="DP38" s="1181">
        <v>1</v>
      </c>
      <c r="DQ38" s="409"/>
      <c r="DS38" s="382" t="s">
        <v>5802</v>
      </c>
      <c r="DT38" s="1179">
        <v>0</v>
      </c>
      <c r="DU38" s="1180">
        <v>0</v>
      </c>
      <c r="DV38" s="1180">
        <v>0</v>
      </c>
      <c r="DW38" s="1180">
        <v>0</v>
      </c>
      <c r="DX38" s="1180">
        <v>1</v>
      </c>
      <c r="DY38" s="1180">
        <v>1</v>
      </c>
      <c r="DZ38" s="1180">
        <v>0</v>
      </c>
      <c r="EA38" s="1180">
        <v>0</v>
      </c>
      <c r="EB38" s="393"/>
      <c r="EE38" s="1212"/>
      <c r="EF38" s="1183"/>
      <c r="EG38" s="1183"/>
      <c r="EH38" s="1183"/>
      <c r="EI38" s="1183"/>
      <c r="EJ38" s="1183"/>
      <c r="EK38" s="1183"/>
      <c r="EL38" s="1205"/>
      <c r="EM38" s="1205"/>
      <c r="ER38" s="1213"/>
      <c r="ES38" s="1188"/>
      <c r="ET38" s="1188"/>
      <c r="EU38" s="1188"/>
      <c r="EV38" s="1188"/>
      <c r="EW38" s="1188"/>
      <c r="EX38" s="1188"/>
      <c r="EY38" s="1115"/>
      <c r="EZ38" s="1115"/>
      <c r="FG38" s="1212"/>
      <c r="FH38" s="1333"/>
      <c r="FI38" s="1210"/>
      <c r="FJ38" s="1333"/>
      <c r="FK38" s="1333"/>
      <c r="FL38" s="1183"/>
      <c r="FM38" s="1183"/>
      <c r="FN38" s="1205"/>
      <c r="FO38" s="1205"/>
      <c r="FV38" s="1220" t="s">
        <v>3581</v>
      </c>
      <c r="FW38" s="1115">
        <v>1.6</v>
      </c>
      <c r="FX38" s="1115" t="s">
        <v>5129</v>
      </c>
      <c r="FY38" s="1115">
        <v>1</v>
      </c>
      <c r="FZ38" s="1115" t="s">
        <v>5721</v>
      </c>
      <c r="GA38" s="1115">
        <v>2</v>
      </c>
      <c r="GB38" s="1115" t="s">
        <v>5811</v>
      </c>
      <c r="GC38" s="1115" t="s">
        <v>5131</v>
      </c>
      <c r="GD38" s="1115" t="s">
        <v>5131</v>
      </c>
      <c r="GE38" s="878" t="s">
        <v>5191</v>
      </c>
      <c r="GF38" s="878" t="s">
        <v>5812</v>
      </c>
      <c r="GG38" s="878">
        <v>0.8</v>
      </c>
      <c r="GH38" s="878" t="s">
        <v>5721</v>
      </c>
      <c r="GL38" s="1215" t="s">
        <v>3604</v>
      </c>
      <c r="GM38" s="1117">
        <v>35.6</v>
      </c>
      <c r="GN38" s="1117" t="s">
        <v>5813</v>
      </c>
      <c r="GO38" s="1117">
        <v>35.6</v>
      </c>
      <c r="GP38" s="1117" t="s">
        <v>5814</v>
      </c>
      <c r="GQ38" s="1341">
        <v>36</v>
      </c>
      <c r="GR38" s="1326" t="s">
        <v>5815</v>
      </c>
      <c r="GS38" s="2193"/>
      <c r="GT38" s="2193"/>
      <c r="GV38" s="1215" t="s">
        <v>3581</v>
      </c>
      <c r="GW38" s="1333">
        <v>30.6</v>
      </c>
      <c r="GX38" s="1210" t="s">
        <v>5843</v>
      </c>
      <c r="GY38" s="1333">
        <v>14.5</v>
      </c>
      <c r="GZ38" s="1210" t="s">
        <v>5844</v>
      </c>
      <c r="HA38" s="1333">
        <v>21.7</v>
      </c>
      <c r="HB38" s="1210" t="s">
        <v>5845</v>
      </c>
      <c r="HC38" s="1333">
        <v>18.2</v>
      </c>
      <c r="HD38" s="1210" t="s">
        <v>5845</v>
      </c>
      <c r="HE38" s="1333"/>
      <c r="HH38" s="1212" t="s">
        <v>3581</v>
      </c>
      <c r="HI38" s="1185">
        <v>12.2</v>
      </c>
      <c r="HJ38" s="1185" t="s">
        <v>5807</v>
      </c>
      <c r="HK38" s="1185">
        <v>22.8</v>
      </c>
      <c r="HL38" s="1185" t="s">
        <v>5808</v>
      </c>
      <c r="HM38" s="1333">
        <v>26.1</v>
      </c>
      <c r="HN38" s="1210" t="s">
        <v>5809</v>
      </c>
      <c r="HO38" s="1199"/>
      <c r="HP38" s="1199"/>
    </row>
    <row r="39" spans="21:224" ht="15.6" customHeight="1">
      <c r="U39" s="515"/>
      <c r="V39" s="515"/>
      <c r="W39" s="515"/>
      <c r="X39" s="515"/>
      <c r="Y39" s="515"/>
      <c r="Z39" s="515"/>
      <c r="AA39" s="515"/>
      <c r="AB39" s="386"/>
      <c r="AC39" s="754"/>
      <c r="AD39" s="515"/>
      <c r="AE39" s="515"/>
      <c r="AF39" s="515"/>
      <c r="AG39" s="515"/>
      <c r="AH39" s="515"/>
      <c r="AK39" s="684"/>
      <c r="AL39" s="684"/>
      <c r="AM39" s="684"/>
      <c r="AN39" s="684"/>
      <c r="AO39" s="684"/>
      <c r="AP39" s="1340"/>
      <c r="AQ39" s="1340"/>
      <c r="AR39" s="1338"/>
      <c r="AS39" s="1338"/>
      <c r="AV39" s="1276"/>
      <c r="AW39" s="1276"/>
      <c r="BT39" s="398" t="s">
        <v>5479</v>
      </c>
      <c r="BZ39" s="382"/>
      <c r="CB39" s="1211" t="s">
        <v>5822</v>
      </c>
      <c r="CC39" s="1179">
        <v>0</v>
      </c>
      <c r="CD39" s="1180">
        <v>0</v>
      </c>
      <c r="CE39" s="1180">
        <v>0</v>
      </c>
      <c r="CF39" s="1180">
        <v>0</v>
      </c>
      <c r="CG39" s="1180">
        <v>0</v>
      </c>
      <c r="CH39" s="1180"/>
      <c r="CJ39" s="382" t="s">
        <v>5823</v>
      </c>
      <c r="CK39" s="393"/>
      <c r="CL39" s="1181"/>
      <c r="CM39" s="1181"/>
      <c r="CN39" s="1181"/>
      <c r="CO39" s="1181"/>
      <c r="CP39" s="1181"/>
      <c r="CQ39" s="1181"/>
      <c r="CR39" s="1181"/>
      <c r="CS39" s="1181"/>
      <c r="CU39" s="382" t="s">
        <v>5823</v>
      </c>
      <c r="CV39" s="393">
        <f t="shared" si="2"/>
        <v>21</v>
      </c>
      <c r="CW39" s="1181">
        <v>7</v>
      </c>
      <c r="CX39" s="1181">
        <v>1</v>
      </c>
      <c r="CY39" s="1181">
        <v>1</v>
      </c>
      <c r="CZ39" s="1181">
        <v>2</v>
      </c>
      <c r="DA39" s="1181">
        <v>0</v>
      </c>
      <c r="DB39" s="1181">
        <v>3</v>
      </c>
      <c r="DC39" s="1181">
        <v>2</v>
      </c>
      <c r="DD39" s="1181">
        <v>5</v>
      </c>
      <c r="DG39" s="382" t="s">
        <v>5823</v>
      </c>
      <c r="DH39" s="393">
        <f t="shared" si="8"/>
        <v>18</v>
      </c>
      <c r="DI39" s="1181">
        <v>3</v>
      </c>
      <c r="DJ39" s="1181">
        <v>4</v>
      </c>
      <c r="DK39" s="1181">
        <v>2</v>
      </c>
      <c r="DL39" s="1181">
        <v>5</v>
      </c>
      <c r="DM39" s="1181">
        <v>0</v>
      </c>
      <c r="DN39" s="1181">
        <v>0</v>
      </c>
      <c r="DO39" s="1181">
        <v>2</v>
      </c>
      <c r="DP39" s="1181">
        <v>2</v>
      </c>
      <c r="DQ39" s="409"/>
      <c r="DS39" s="382" t="s">
        <v>5100</v>
      </c>
      <c r="DT39" s="1179">
        <v>18</v>
      </c>
      <c r="DU39" s="1179">
        <v>10</v>
      </c>
      <c r="DV39" s="1179">
        <v>8</v>
      </c>
      <c r="DW39" s="1179">
        <v>0</v>
      </c>
      <c r="DX39" s="1180">
        <v>14</v>
      </c>
      <c r="DY39" s="1180">
        <v>9</v>
      </c>
      <c r="DZ39" s="1180">
        <v>5</v>
      </c>
      <c r="EA39" s="1180">
        <v>0</v>
      </c>
      <c r="EB39" s="393"/>
      <c r="EE39" s="1212"/>
      <c r="EF39" s="1183"/>
      <c r="EG39" s="1183"/>
      <c r="EH39" s="1183"/>
      <c r="EI39" s="1183"/>
      <c r="EJ39" s="1183"/>
      <c r="EK39" s="1183"/>
      <c r="EL39" s="1205"/>
      <c r="EM39" s="1205"/>
      <c r="ER39" s="1213"/>
      <c r="ES39" s="1188"/>
      <c r="ET39" s="1188"/>
      <c r="EU39" s="1188"/>
      <c r="EV39" s="1188"/>
      <c r="EW39" s="1188"/>
      <c r="EX39" s="1188"/>
      <c r="EY39" s="1115"/>
      <c r="EZ39" s="1115"/>
      <c r="FG39" s="1212"/>
      <c r="FH39" s="1333"/>
      <c r="FI39" s="1210"/>
      <c r="FJ39" s="1333"/>
      <c r="FK39" s="1210"/>
      <c r="FL39" s="1183"/>
      <c r="FM39" s="1183"/>
      <c r="FN39" s="1205"/>
      <c r="FO39" s="1205"/>
      <c r="FV39" s="1220" t="s">
        <v>3592</v>
      </c>
      <c r="FW39" s="1115">
        <v>1.4</v>
      </c>
      <c r="FX39" s="1115" t="s">
        <v>5185</v>
      </c>
      <c r="FY39" s="1115">
        <v>1</v>
      </c>
      <c r="FZ39" s="1115" t="s">
        <v>5190</v>
      </c>
      <c r="GA39" s="1115">
        <v>4</v>
      </c>
      <c r="GB39" s="1115" t="s">
        <v>5824</v>
      </c>
      <c r="GC39" s="1115">
        <v>1.4</v>
      </c>
      <c r="GD39" s="1115" t="s">
        <v>5825</v>
      </c>
      <c r="GE39" s="878">
        <v>2.2000000000000002</v>
      </c>
      <c r="GF39" s="878" t="s">
        <v>5826</v>
      </c>
      <c r="GG39" s="878">
        <v>2.4</v>
      </c>
      <c r="GH39" s="878" t="s">
        <v>5812</v>
      </c>
      <c r="GL39" s="1215" t="s">
        <v>3617</v>
      </c>
      <c r="GM39" s="1117">
        <v>26.3</v>
      </c>
      <c r="GN39" s="1117" t="s">
        <v>5827</v>
      </c>
      <c r="GO39" s="1117">
        <v>30.2</v>
      </c>
      <c r="GP39" s="1117" t="s">
        <v>5828</v>
      </c>
      <c r="GQ39" s="1341">
        <v>32.700000000000003</v>
      </c>
      <c r="GR39" s="1337" t="s">
        <v>5829</v>
      </c>
      <c r="GS39" s="1161"/>
      <c r="GT39" s="1162"/>
      <c r="GV39" s="1215" t="s">
        <v>3592</v>
      </c>
      <c r="GW39" s="1342">
        <v>30.7</v>
      </c>
      <c r="GX39" s="1210" t="s">
        <v>5858</v>
      </c>
      <c r="GY39" s="1333">
        <v>42.8</v>
      </c>
      <c r="GZ39" s="1210" t="s">
        <v>5859</v>
      </c>
      <c r="HA39" s="1342">
        <v>41.9</v>
      </c>
      <c r="HB39" s="1210" t="s">
        <v>5860</v>
      </c>
      <c r="HC39" s="1333">
        <v>30.6</v>
      </c>
      <c r="HD39" s="1210" t="s">
        <v>5860</v>
      </c>
      <c r="HE39" s="1216"/>
      <c r="HH39" s="1212" t="s">
        <v>3592</v>
      </c>
      <c r="HI39" s="1185">
        <v>26.9</v>
      </c>
      <c r="HJ39" s="1185" t="s">
        <v>5819</v>
      </c>
      <c r="HK39" s="1185">
        <v>26.2</v>
      </c>
      <c r="HL39" s="1185" t="s">
        <v>5820</v>
      </c>
      <c r="HM39" s="1342">
        <v>29.3</v>
      </c>
      <c r="HN39" s="1210" t="s">
        <v>5821</v>
      </c>
      <c r="HO39" s="1199"/>
      <c r="HP39" s="1199"/>
    </row>
    <row r="40" spans="21:224" ht="15.6" customHeight="1">
      <c r="U40" s="515"/>
      <c r="V40" s="515"/>
      <c r="W40" s="515"/>
      <c r="X40" s="515"/>
      <c r="Y40" s="515"/>
      <c r="Z40" s="515"/>
      <c r="AA40" s="515"/>
      <c r="AB40" s="386"/>
      <c r="AC40" s="754"/>
      <c r="AD40" s="515"/>
      <c r="AE40" s="515"/>
      <c r="AF40" s="515"/>
      <c r="AG40" s="515"/>
      <c r="AH40" s="515"/>
      <c r="AO40" s="402"/>
      <c r="AP40" s="1338"/>
      <c r="AQ40" s="1338"/>
      <c r="AR40" s="1338"/>
      <c r="AS40" s="1338"/>
      <c r="BZ40" s="382"/>
      <c r="CB40" s="1211" t="s">
        <v>5833</v>
      </c>
      <c r="CC40" s="1179">
        <v>29</v>
      </c>
      <c r="CD40" s="1180">
        <v>17</v>
      </c>
      <c r="CE40" s="1180">
        <v>11</v>
      </c>
      <c r="CF40" s="1180">
        <v>1</v>
      </c>
      <c r="CG40" s="1180">
        <v>2</v>
      </c>
      <c r="CH40" s="1180"/>
      <c r="CJ40" s="382" t="s">
        <v>5834</v>
      </c>
      <c r="CK40" s="393"/>
      <c r="CL40" s="1181"/>
      <c r="CM40" s="1181"/>
      <c r="CN40" s="1181"/>
      <c r="CO40" s="1181"/>
      <c r="CP40" s="1181"/>
      <c r="CQ40" s="1181"/>
      <c r="CR40" s="1181"/>
      <c r="CS40" s="1181"/>
      <c r="CU40" s="382" t="s">
        <v>5834</v>
      </c>
      <c r="CV40" s="393">
        <f t="shared" si="2"/>
        <v>163</v>
      </c>
      <c r="CW40" s="1181">
        <v>50</v>
      </c>
      <c r="CX40" s="1181">
        <v>2</v>
      </c>
      <c r="CY40" s="1181">
        <v>0</v>
      </c>
      <c r="CZ40" s="1181">
        <v>105</v>
      </c>
      <c r="DA40" s="1181">
        <v>0</v>
      </c>
      <c r="DB40" s="1181">
        <v>0</v>
      </c>
      <c r="DC40" s="1181">
        <v>2</v>
      </c>
      <c r="DD40" s="1181">
        <v>4</v>
      </c>
      <c r="DG40" s="382" t="s">
        <v>5834</v>
      </c>
      <c r="DH40" s="393">
        <f t="shared" si="8"/>
        <v>300</v>
      </c>
      <c r="DI40" s="1181">
        <v>74</v>
      </c>
      <c r="DJ40" s="1181">
        <v>3</v>
      </c>
      <c r="DK40" s="1181">
        <v>0</v>
      </c>
      <c r="DL40" s="1181">
        <v>187</v>
      </c>
      <c r="DM40" s="1181">
        <v>0</v>
      </c>
      <c r="DN40" s="1181">
        <v>0</v>
      </c>
      <c r="DO40" s="1181">
        <v>3</v>
      </c>
      <c r="DP40" s="1181">
        <v>33</v>
      </c>
      <c r="DQ40" s="409"/>
      <c r="DS40" s="382" t="s">
        <v>5822</v>
      </c>
      <c r="DT40" s="1179">
        <v>0</v>
      </c>
      <c r="DU40" s="1179">
        <v>0</v>
      </c>
      <c r="DV40" s="1179">
        <v>0</v>
      </c>
      <c r="DW40" s="1179">
        <v>0</v>
      </c>
      <c r="DX40" s="1180">
        <v>0</v>
      </c>
      <c r="DY40" s="1179">
        <v>0</v>
      </c>
      <c r="DZ40" s="1179">
        <v>0</v>
      </c>
      <c r="EA40" s="1179">
        <v>0</v>
      </c>
      <c r="EB40" s="393"/>
      <c r="EE40" s="1212"/>
      <c r="EF40" s="1183"/>
      <c r="EG40" s="1183"/>
      <c r="EH40" s="1183"/>
      <c r="EI40" s="1183"/>
      <c r="EJ40" s="1183"/>
      <c r="EK40" s="1183"/>
      <c r="EL40" s="1205"/>
      <c r="EM40" s="1205"/>
      <c r="ER40" s="1213"/>
      <c r="ES40" s="1188"/>
      <c r="ET40" s="1188"/>
      <c r="EU40" s="1188"/>
      <c r="EV40" s="1188"/>
      <c r="EW40" s="1188"/>
      <c r="EX40" s="1188"/>
      <c r="EY40" s="1115"/>
      <c r="EZ40" s="1115"/>
      <c r="FG40" s="1212"/>
      <c r="FH40" s="1333"/>
      <c r="FI40" s="1210"/>
      <c r="FJ40" s="1342"/>
      <c r="FK40" s="1210"/>
      <c r="FL40" s="1183"/>
      <c r="FM40" s="1183"/>
      <c r="FN40" s="1205"/>
      <c r="FO40" s="1205"/>
      <c r="FP40" s="1114"/>
      <c r="FQ40" s="1114"/>
      <c r="FR40" s="1114"/>
      <c r="FS40" s="1114"/>
      <c r="FV40" s="1220" t="s">
        <v>3604</v>
      </c>
      <c r="FW40" s="1115">
        <v>8.6999999999999993</v>
      </c>
      <c r="FX40" s="1115" t="s">
        <v>5835</v>
      </c>
      <c r="FY40" s="1115">
        <v>1.4</v>
      </c>
      <c r="FZ40" s="1115" t="s">
        <v>5187</v>
      </c>
      <c r="GA40" s="1115">
        <v>4.7</v>
      </c>
      <c r="GB40" s="1115" t="s">
        <v>5836</v>
      </c>
      <c r="GC40" s="1115">
        <v>2.1</v>
      </c>
      <c r="GD40" s="1115" t="s">
        <v>5837</v>
      </c>
      <c r="GE40" s="878">
        <v>7.4</v>
      </c>
      <c r="GF40" s="878" t="s">
        <v>5838</v>
      </c>
      <c r="GG40" s="878">
        <v>2.2999999999999998</v>
      </c>
      <c r="GH40" s="878" t="s">
        <v>5839</v>
      </c>
      <c r="GL40" s="1215" t="s">
        <v>3626</v>
      </c>
      <c r="GM40" s="1117">
        <v>28.9</v>
      </c>
      <c r="GN40" s="1117" t="s">
        <v>5840</v>
      </c>
      <c r="GO40" s="1117">
        <v>32.299999999999997</v>
      </c>
      <c r="GP40" s="1117" t="s">
        <v>5841</v>
      </c>
      <c r="GQ40" s="1326">
        <v>22.9</v>
      </c>
      <c r="GR40" s="1337" t="s">
        <v>5842</v>
      </c>
      <c r="GS40" s="1161"/>
      <c r="GT40" s="1161"/>
      <c r="GV40" s="1215" t="s">
        <v>3604</v>
      </c>
      <c r="GW40" s="1333">
        <v>33.799999999999997</v>
      </c>
      <c r="GX40" s="1210" t="s">
        <v>5871</v>
      </c>
      <c r="GY40" s="1342">
        <v>41.5</v>
      </c>
      <c r="GZ40" s="1210" t="s">
        <v>5872</v>
      </c>
      <c r="HA40" s="1333">
        <v>39.700000000000003</v>
      </c>
      <c r="HB40" s="1210" t="s">
        <v>5873</v>
      </c>
      <c r="HC40" s="1342">
        <v>33.4</v>
      </c>
      <c r="HD40" s="1210" t="s">
        <v>5873</v>
      </c>
      <c r="HE40" s="1210"/>
      <c r="HH40" s="1212" t="s">
        <v>3604</v>
      </c>
      <c r="HI40" s="1183">
        <v>32</v>
      </c>
      <c r="HJ40" s="1185" t="s">
        <v>5830</v>
      </c>
      <c r="HK40" s="1185">
        <v>19.8</v>
      </c>
      <c r="HL40" s="1185" t="s">
        <v>5831</v>
      </c>
      <c r="HM40" s="1333">
        <v>23.8</v>
      </c>
      <c r="HN40" s="1210" t="s">
        <v>5832</v>
      </c>
      <c r="HO40" s="1199"/>
      <c r="HP40" s="1199"/>
    </row>
    <row r="41" spans="21:224" ht="15.6" customHeight="1">
      <c r="U41" s="515"/>
      <c r="V41" s="515"/>
      <c r="W41" s="515"/>
      <c r="X41" s="515"/>
      <c r="Y41" s="515"/>
      <c r="Z41" s="515"/>
      <c r="AA41" s="515"/>
      <c r="AB41" s="386"/>
      <c r="AC41" s="754"/>
      <c r="AD41" s="515"/>
      <c r="AE41" s="515"/>
      <c r="AF41" s="515"/>
      <c r="AG41" s="515"/>
      <c r="AH41" s="515"/>
      <c r="AK41" s="811"/>
      <c r="AO41" s="385"/>
      <c r="AP41" s="1338"/>
      <c r="AQ41" s="1338"/>
      <c r="AR41" s="1338"/>
      <c r="AS41" s="1338"/>
      <c r="BZ41" s="382"/>
      <c r="CB41" s="1211" t="s">
        <v>5849</v>
      </c>
      <c r="CC41" s="1179">
        <v>693</v>
      </c>
      <c r="CD41" s="1180">
        <v>793</v>
      </c>
      <c r="CE41" s="1180">
        <v>750</v>
      </c>
      <c r="CF41" s="1180">
        <v>721</v>
      </c>
      <c r="CG41" s="1180">
        <v>786</v>
      </c>
      <c r="CH41" s="1180"/>
      <c r="CJ41" s="382" t="s">
        <v>5850</v>
      </c>
      <c r="CK41" s="393"/>
      <c r="CL41" s="1181"/>
      <c r="CM41" s="1181"/>
      <c r="CN41" s="1181"/>
      <c r="CO41" s="1181"/>
      <c r="CP41" s="1181"/>
      <c r="CQ41" s="1181"/>
      <c r="CR41" s="1181"/>
      <c r="CS41" s="1181"/>
      <c r="CU41" s="382" t="s">
        <v>5850</v>
      </c>
      <c r="CV41" s="393">
        <f t="shared" si="2"/>
        <v>6</v>
      </c>
      <c r="CW41" s="1181">
        <v>0</v>
      </c>
      <c r="CX41" s="1181">
        <v>3</v>
      </c>
      <c r="CY41" s="1181">
        <v>0</v>
      </c>
      <c r="CZ41" s="1181">
        <v>2</v>
      </c>
      <c r="DA41" s="1181">
        <v>0</v>
      </c>
      <c r="DB41" s="1181">
        <v>0</v>
      </c>
      <c r="DC41" s="1181">
        <v>1</v>
      </c>
      <c r="DD41" s="1181">
        <v>0</v>
      </c>
      <c r="DG41" s="382" t="s">
        <v>5850</v>
      </c>
      <c r="DH41" s="393">
        <f t="shared" si="8"/>
        <v>8</v>
      </c>
      <c r="DI41" s="1181">
        <v>2</v>
      </c>
      <c r="DJ41" s="1181">
        <v>0</v>
      </c>
      <c r="DK41" s="1181">
        <v>0</v>
      </c>
      <c r="DL41" s="1181">
        <v>0</v>
      </c>
      <c r="DM41" s="1181">
        <v>0</v>
      </c>
      <c r="DN41" s="1181">
        <v>2</v>
      </c>
      <c r="DO41" s="1181">
        <v>1</v>
      </c>
      <c r="DP41" s="1181">
        <v>3</v>
      </c>
      <c r="DQ41" s="409"/>
      <c r="DS41" s="382" t="s">
        <v>5833</v>
      </c>
      <c r="DT41" s="1179">
        <v>29</v>
      </c>
      <c r="DU41" s="1179">
        <v>15</v>
      </c>
      <c r="DV41" s="1179">
        <v>14</v>
      </c>
      <c r="DW41" s="1179">
        <v>0</v>
      </c>
      <c r="DX41" s="1180">
        <v>17</v>
      </c>
      <c r="DY41" s="1179">
        <v>13</v>
      </c>
      <c r="DZ41" s="1179">
        <v>4</v>
      </c>
      <c r="EA41" s="1179">
        <v>0</v>
      </c>
      <c r="EB41" s="393"/>
      <c r="EE41" s="1343"/>
      <c r="EF41" s="1183"/>
      <c r="EG41" s="1183"/>
      <c r="EH41" s="1183"/>
      <c r="EI41" s="1183"/>
      <c r="EJ41" s="1183"/>
      <c r="EK41" s="1183"/>
      <c r="EL41" s="1205"/>
      <c r="EM41" s="1205"/>
      <c r="ER41" s="1213"/>
      <c r="ES41" s="1188"/>
      <c r="ET41" s="1188"/>
      <c r="EU41" s="1188"/>
      <c r="EV41" s="1188"/>
      <c r="EW41" s="1188"/>
      <c r="EX41" s="1188"/>
      <c r="EY41" s="1115"/>
      <c r="EZ41" s="1115"/>
      <c r="FG41" s="1212"/>
      <c r="FH41" s="1333"/>
      <c r="FI41" s="1210"/>
      <c r="FJ41" s="1333"/>
      <c r="FK41" s="1210"/>
      <c r="FL41" s="1183"/>
      <c r="FM41" s="1183"/>
      <c r="FN41" s="1205"/>
      <c r="FO41" s="1205"/>
      <c r="FP41" s="1141"/>
      <c r="FQ41" s="1152"/>
      <c r="FR41" s="1141"/>
      <c r="FS41" s="1152"/>
      <c r="FV41" s="1220" t="s">
        <v>3617</v>
      </c>
      <c r="FW41" s="1115">
        <v>11.7</v>
      </c>
      <c r="FX41" s="1115" t="s">
        <v>5851</v>
      </c>
      <c r="FY41" s="1115">
        <v>0.8</v>
      </c>
      <c r="FZ41" s="1115" t="s">
        <v>5271</v>
      </c>
      <c r="GA41" s="1115">
        <v>15.6</v>
      </c>
      <c r="GB41" s="1115" t="s">
        <v>5852</v>
      </c>
      <c r="GC41" s="1115">
        <v>1.3</v>
      </c>
      <c r="GD41" s="1115" t="s">
        <v>5853</v>
      </c>
      <c r="GE41" s="878">
        <v>15.3</v>
      </c>
      <c r="GF41" s="878" t="s">
        <v>5854</v>
      </c>
      <c r="GG41" s="878">
        <v>0.7</v>
      </c>
      <c r="GH41" s="878" t="s">
        <v>5855</v>
      </c>
      <c r="GL41" s="1215" t="s">
        <v>5292</v>
      </c>
      <c r="GM41" s="1117">
        <v>12.8</v>
      </c>
      <c r="GN41" s="1117" t="s">
        <v>5664</v>
      </c>
      <c r="GO41" s="1117">
        <v>9.1999999999999993</v>
      </c>
      <c r="GP41" s="1117" t="s">
        <v>5856</v>
      </c>
      <c r="GQ41" s="1326">
        <v>10.4</v>
      </c>
      <c r="GR41" s="1337" t="s">
        <v>5857</v>
      </c>
      <c r="GS41" s="1208"/>
      <c r="GT41" s="1208"/>
      <c r="GV41" s="1215" t="s">
        <v>3617</v>
      </c>
      <c r="GW41" s="1342">
        <v>37.6</v>
      </c>
      <c r="GX41" s="1210" t="s">
        <v>5886</v>
      </c>
      <c r="GY41" s="1333">
        <v>39.4</v>
      </c>
      <c r="GZ41" s="1210" t="s">
        <v>5887</v>
      </c>
      <c r="HA41" s="1342">
        <v>42.2</v>
      </c>
      <c r="HB41" s="1210" t="s">
        <v>5888</v>
      </c>
      <c r="HC41" s="1333">
        <v>32.299999999999997</v>
      </c>
      <c r="HD41" s="1210" t="s">
        <v>5888</v>
      </c>
      <c r="HE41" s="1210"/>
      <c r="HH41" s="1212" t="s">
        <v>3617</v>
      </c>
      <c r="HI41" s="1185">
        <v>19.399999999999999</v>
      </c>
      <c r="HJ41" s="1185" t="s">
        <v>5846</v>
      </c>
      <c r="HK41" s="1185">
        <v>25.2</v>
      </c>
      <c r="HL41" s="1185" t="s">
        <v>5847</v>
      </c>
      <c r="HM41" s="1333">
        <v>21.6</v>
      </c>
      <c r="HN41" s="1210" t="s">
        <v>5848</v>
      </c>
      <c r="HO41" s="1199"/>
      <c r="HP41" s="1199"/>
    </row>
    <row r="42" spans="21:224" ht="15.6" customHeight="1">
      <c r="U42" s="515"/>
      <c r="V42" s="515"/>
      <c r="W42" s="515"/>
      <c r="X42" s="515"/>
      <c r="Y42" s="515"/>
      <c r="Z42" s="515"/>
      <c r="AA42" s="515"/>
      <c r="AB42" s="386"/>
      <c r="AC42" s="754"/>
      <c r="AD42" s="515"/>
      <c r="AE42" s="515"/>
      <c r="AF42" s="515"/>
      <c r="AG42" s="515"/>
      <c r="AH42" s="515"/>
      <c r="AK42" s="1168"/>
      <c r="AL42" s="1168"/>
      <c r="AM42" s="1168"/>
      <c r="AN42" s="1168"/>
      <c r="AO42" s="1344"/>
      <c r="AP42" s="1338"/>
      <c r="AQ42" s="1338"/>
      <c r="AR42" s="1338"/>
      <c r="AS42" s="1338"/>
      <c r="BT42" s="2179" t="s">
        <v>5864</v>
      </c>
      <c r="BU42" s="2179"/>
      <c r="BV42" s="2179"/>
      <c r="BW42" s="2179"/>
      <c r="BX42" s="2181"/>
      <c r="BY42" s="771"/>
      <c r="BZ42" s="382"/>
      <c r="CB42" s="1211" t="s">
        <v>5865</v>
      </c>
      <c r="CC42" s="1179">
        <v>0</v>
      </c>
      <c r="CD42" s="1180">
        <v>1</v>
      </c>
      <c r="CE42" s="1180">
        <v>0</v>
      </c>
      <c r="CF42" s="1180">
        <v>0</v>
      </c>
      <c r="CG42" s="1180">
        <v>1</v>
      </c>
      <c r="CH42" s="1180"/>
      <c r="CJ42" s="382" t="s">
        <v>5866</v>
      </c>
      <c r="CK42" s="393"/>
      <c r="CL42" s="1181"/>
      <c r="CM42" s="1181"/>
      <c r="CN42" s="1181"/>
      <c r="CO42" s="1181"/>
      <c r="CP42" s="1181"/>
      <c r="CQ42" s="1181"/>
      <c r="CR42" s="1181"/>
      <c r="CS42" s="1181"/>
      <c r="CU42" s="382" t="s">
        <v>5866</v>
      </c>
      <c r="CV42" s="393">
        <f t="shared" si="2"/>
        <v>14</v>
      </c>
      <c r="CW42" s="1181">
        <v>2</v>
      </c>
      <c r="CX42" s="1181">
        <v>0</v>
      </c>
      <c r="CY42" s="1181">
        <v>0</v>
      </c>
      <c r="CZ42" s="1181">
        <v>8</v>
      </c>
      <c r="DA42" s="1181">
        <v>0</v>
      </c>
      <c r="DB42" s="1181">
        <v>0</v>
      </c>
      <c r="DC42" s="1181">
        <v>2</v>
      </c>
      <c r="DD42" s="1181">
        <v>2</v>
      </c>
      <c r="DG42" s="382" t="s">
        <v>5866</v>
      </c>
      <c r="DH42" s="393">
        <f t="shared" si="8"/>
        <v>14</v>
      </c>
      <c r="DI42" s="1181">
        <v>1</v>
      </c>
      <c r="DJ42" s="1181">
        <v>0</v>
      </c>
      <c r="DK42" s="1181">
        <v>0</v>
      </c>
      <c r="DL42" s="1181">
        <v>9</v>
      </c>
      <c r="DM42" s="1181">
        <v>0</v>
      </c>
      <c r="DN42" s="1181">
        <v>0</v>
      </c>
      <c r="DO42" s="1181">
        <v>1</v>
      </c>
      <c r="DP42" s="1181">
        <v>3</v>
      </c>
      <c r="DQ42" s="409"/>
      <c r="DS42" s="382" t="s">
        <v>5849</v>
      </c>
      <c r="DT42" s="1179">
        <v>693</v>
      </c>
      <c r="DU42" s="1179">
        <v>181</v>
      </c>
      <c r="DV42" s="1179">
        <v>512</v>
      </c>
      <c r="DW42" s="1179">
        <v>0</v>
      </c>
      <c r="DX42" s="1180">
        <v>793</v>
      </c>
      <c r="DY42" s="1179">
        <v>241</v>
      </c>
      <c r="DZ42" s="1179">
        <v>551</v>
      </c>
      <c r="EA42" s="1179">
        <v>1</v>
      </c>
      <c r="EB42" s="393"/>
      <c r="EE42" s="1212"/>
      <c r="EF42" s="1183"/>
      <c r="EG42" s="1183"/>
      <c r="EH42" s="1183"/>
      <c r="EI42" s="1183"/>
      <c r="EJ42" s="1183"/>
      <c r="EK42" s="1183"/>
      <c r="EL42" s="1205"/>
      <c r="EM42" s="1205"/>
      <c r="ER42" s="1213"/>
      <c r="ES42" s="1188"/>
      <c r="ET42" s="1188"/>
      <c r="EU42" s="1188"/>
      <c r="EV42" s="1188"/>
      <c r="EW42" s="1188"/>
      <c r="EX42" s="1188"/>
      <c r="EY42" s="1115"/>
      <c r="EZ42" s="1115"/>
      <c r="FG42" s="1212"/>
      <c r="FH42" s="1333"/>
      <c r="FI42" s="1210"/>
      <c r="FJ42" s="1333"/>
      <c r="FK42" s="1210"/>
      <c r="FL42" s="1183"/>
      <c r="FM42" s="1183"/>
      <c r="FN42" s="1205"/>
      <c r="FO42" s="1205"/>
      <c r="FP42" s="1186"/>
      <c r="FQ42" s="1186"/>
      <c r="FR42" s="1186"/>
      <c r="FS42" s="1186"/>
      <c r="FV42" s="1220" t="s">
        <v>3626</v>
      </c>
      <c r="FW42" s="1115">
        <v>19.7</v>
      </c>
      <c r="FX42" s="1115" t="s">
        <v>5867</v>
      </c>
      <c r="FY42" s="1115">
        <v>0.2</v>
      </c>
      <c r="FZ42" s="1115" t="s">
        <v>5155</v>
      </c>
      <c r="GA42" s="1115">
        <v>25.5</v>
      </c>
      <c r="GB42" s="1115" t="s">
        <v>5868</v>
      </c>
      <c r="GC42" s="1115">
        <v>1.9</v>
      </c>
      <c r="GD42" s="1115" t="s">
        <v>5869</v>
      </c>
      <c r="GE42" s="878">
        <v>22.1</v>
      </c>
      <c r="GF42" s="878" t="s">
        <v>5870</v>
      </c>
      <c r="GG42" s="878">
        <v>0.6</v>
      </c>
      <c r="GH42" s="878" t="s">
        <v>5519</v>
      </c>
      <c r="GL42" s="1238" t="s">
        <v>3465</v>
      </c>
      <c r="GM42" s="1117"/>
      <c r="GN42" s="1117"/>
      <c r="GO42" s="1117"/>
      <c r="GP42" s="1117"/>
      <c r="GQ42" s="1238"/>
      <c r="GR42" s="1238"/>
      <c r="GS42" s="1208"/>
      <c r="GT42" s="1208"/>
      <c r="GV42" s="1215" t="s">
        <v>3626</v>
      </c>
      <c r="GW42" s="1342">
        <v>27.9</v>
      </c>
      <c r="GX42" s="1210" t="s">
        <v>5894</v>
      </c>
      <c r="GY42" s="1342">
        <v>38.1</v>
      </c>
      <c r="GZ42" s="1210" t="s">
        <v>5895</v>
      </c>
      <c r="HA42" s="1342">
        <v>33.200000000000003</v>
      </c>
      <c r="HB42" s="1210" t="s">
        <v>5896</v>
      </c>
      <c r="HC42" s="1342">
        <v>26.9</v>
      </c>
      <c r="HD42" s="1210" t="s">
        <v>5896</v>
      </c>
      <c r="HE42" s="1210"/>
      <c r="HH42" s="1212" t="s">
        <v>3626</v>
      </c>
      <c r="HI42" s="1185">
        <v>17.8</v>
      </c>
      <c r="HJ42" s="1185" t="s">
        <v>5861</v>
      </c>
      <c r="HK42" s="1185">
        <v>21.8</v>
      </c>
      <c r="HL42" s="1185" t="s">
        <v>5862</v>
      </c>
      <c r="HM42" s="1342">
        <v>17.100000000000001</v>
      </c>
      <c r="HN42" s="1210" t="s">
        <v>5863</v>
      </c>
      <c r="HO42" s="1199"/>
      <c r="HP42" s="1199"/>
    </row>
    <row r="43" spans="21:224" ht="15.6" customHeight="1">
      <c r="U43" s="515"/>
      <c r="V43" s="515"/>
      <c r="W43" s="515"/>
      <c r="X43" s="515"/>
      <c r="Y43" s="515"/>
      <c r="Z43" s="515"/>
      <c r="AA43" s="515"/>
      <c r="AB43" s="386"/>
      <c r="AC43" s="754"/>
      <c r="AD43" s="515"/>
      <c r="AE43" s="515"/>
      <c r="AF43" s="515"/>
      <c r="AG43" s="515"/>
      <c r="AH43" s="515"/>
      <c r="AK43" s="1120"/>
      <c r="AL43" s="1120"/>
      <c r="AM43" s="1120"/>
      <c r="AN43" s="1120"/>
      <c r="AO43" s="1338"/>
      <c r="AP43" s="1338"/>
      <c r="AQ43" s="1338"/>
      <c r="AR43" s="1340"/>
      <c r="AS43" s="1340"/>
      <c r="AT43" s="402"/>
      <c r="AU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c r="BT43" s="414"/>
      <c r="BU43" s="417"/>
      <c r="BV43" s="439" t="s">
        <v>4350</v>
      </c>
      <c r="BW43" s="465" t="s">
        <v>841</v>
      </c>
      <c r="BX43" s="1104"/>
      <c r="BZ43" s="382"/>
      <c r="CB43" s="382" t="s">
        <v>5877</v>
      </c>
      <c r="CC43" s="1179">
        <v>50</v>
      </c>
      <c r="CD43" s="1180">
        <v>53</v>
      </c>
      <c r="CE43" s="1180">
        <v>51</v>
      </c>
      <c r="CF43" s="1180">
        <v>35</v>
      </c>
      <c r="CG43" s="1180">
        <v>25</v>
      </c>
      <c r="CH43" s="1180"/>
      <c r="CJ43" s="382" t="s">
        <v>5878</v>
      </c>
      <c r="CK43" s="393"/>
      <c r="CL43" s="1181"/>
      <c r="CM43" s="1181"/>
      <c r="CN43" s="1181"/>
      <c r="CO43" s="1181"/>
      <c r="CP43" s="1181"/>
      <c r="CQ43" s="1181"/>
      <c r="CR43" s="1181"/>
      <c r="CS43" s="1181"/>
      <c r="CU43" s="382" t="s">
        <v>5878</v>
      </c>
      <c r="CV43" s="393">
        <f t="shared" si="2"/>
        <v>494</v>
      </c>
      <c r="CW43" s="1181">
        <v>100</v>
      </c>
      <c r="CX43" s="1181">
        <v>56</v>
      </c>
      <c r="CY43" s="1181">
        <v>23</v>
      </c>
      <c r="CZ43" s="1181">
        <v>4</v>
      </c>
      <c r="DA43" s="1181">
        <v>4</v>
      </c>
      <c r="DB43" s="1181">
        <v>9</v>
      </c>
      <c r="DC43" s="1181">
        <v>21</v>
      </c>
      <c r="DD43" s="1181">
        <v>277</v>
      </c>
      <c r="DG43" s="382" t="s">
        <v>5878</v>
      </c>
      <c r="DH43" s="393">
        <f t="shared" si="8"/>
        <v>451</v>
      </c>
      <c r="DI43" s="1181">
        <v>80</v>
      </c>
      <c r="DJ43" s="1181">
        <v>7</v>
      </c>
      <c r="DK43" s="1181">
        <v>17</v>
      </c>
      <c r="DL43" s="1181">
        <v>24</v>
      </c>
      <c r="DM43" s="1181">
        <v>3</v>
      </c>
      <c r="DN43" s="1181">
        <v>1</v>
      </c>
      <c r="DO43" s="1181">
        <v>25</v>
      </c>
      <c r="DP43" s="1181">
        <v>294</v>
      </c>
      <c r="DQ43" s="409"/>
      <c r="DS43" s="1211" t="s">
        <v>5865</v>
      </c>
      <c r="DT43" s="1179">
        <v>0</v>
      </c>
      <c r="DU43" s="1179">
        <v>0</v>
      </c>
      <c r="DV43" s="1179">
        <v>0</v>
      </c>
      <c r="DW43" s="1179">
        <v>0</v>
      </c>
      <c r="DX43" s="1180">
        <v>1</v>
      </c>
      <c r="DY43" s="1179">
        <v>1</v>
      </c>
      <c r="DZ43" s="1179">
        <v>0</v>
      </c>
      <c r="EA43" s="1179">
        <v>0</v>
      </c>
      <c r="EB43" s="393"/>
      <c r="EE43" s="1212"/>
      <c r="EF43" s="1183"/>
      <c r="EG43" s="1183"/>
      <c r="EH43" s="1183"/>
      <c r="EI43" s="1183"/>
      <c r="EJ43" s="1183"/>
      <c r="EK43" s="1183"/>
      <c r="EL43" s="1205"/>
      <c r="EM43" s="1205"/>
      <c r="ER43" s="1346"/>
      <c r="ES43" s="1346"/>
      <c r="ET43" s="1346"/>
      <c r="EU43" s="1346"/>
      <c r="EV43" s="1346"/>
      <c r="EW43" s="1346"/>
      <c r="EX43" s="1346"/>
      <c r="EY43" s="1115"/>
      <c r="EZ43" s="1115"/>
      <c r="FG43" s="1212"/>
      <c r="FH43" s="1333"/>
      <c r="FI43" s="1210"/>
      <c r="FJ43" s="1333"/>
      <c r="FK43" s="1210"/>
      <c r="FL43" s="1183"/>
      <c r="FM43" s="1183"/>
      <c r="FN43" s="1205"/>
      <c r="FO43" s="1205"/>
      <c r="FP43" s="1205"/>
      <c r="FQ43" s="1205"/>
      <c r="FR43" s="1205"/>
      <c r="FS43" s="1205"/>
      <c r="FV43" s="1220" t="s">
        <v>5292</v>
      </c>
      <c r="FW43" s="1115">
        <v>29.2</v>
      </c>
      <c r="FX43" s="1115" t="s">
        <v>5879</v>
      </c>
      <c r="FY43" s="1115"/>
      <c r="FZ43" s="1115"/>
      <c r="GA43" s="1115">
        <v>35.799999999999997</v>
      </c>
      <c r="GB43" s="1115" t="s">
        <v>5880</v>
      </c>
      <c r="GC43" s="1115">
        <v>0.3</v>
      </c>
      <c r="GD43" s="1115" t="s">
        <v>5881</v>
      </c>
      <c r="GE43" s="878">
        <v>25.2</v>
      </c>
      <c r="GF43" s="878" t="s">
        <v>5882</v>
      </c>
      <c r="GG43" s="878">
        <v>0.4</v>
      </c>
      <c r="GH43" s="878" t="s">
        <v>5154</v>
      </c>
      <c r="GL43" s="1215" t="s">
        <v>1711</v>
      </c>
      <c r="GM43" s="1117">
        <v>33.1</v>
      </c>
      <c r="GN43" s="1117" t="s">
        <v>5883</v>
      </c>
      <c r="GO43" s="1117">
        <v>32.5</v>
      </c>
      <c r="GP43" s="1117" t="s">
        <v>5884</v>
      </c>
      <c r="GQ43" s="1326">
        <v>34.4</v>
      </c>
      <c r="GR43" s="1337" t="s">
        <v>5885</v>
      </c>
      <c r="GS43" s="1208"/>
      <c r="GT43" s="1208"/>
      <c r="GV43" s="1215" t="s">
        <v>5292</v>
      </c>
      <c r="GW43" s="1333">
        <v>35</v>
      </c>
      <c r="GX43" s="1210" t="s">
        <v>5906</v>
      </c>
      <c r="GY43" s="1333">
        <v>20.399999999999999</v>
      </c>
      <c r="GZ43" s="1210" t="s">
        <v>5907</v>
      </c>
      <c r="HA43" s="1333">
        <v>34.5</v>
      </c>
      <c r="HB43" s="1210" t="s">
        <v>5908</v>
      </c>
      <c r="HC43" s="1333">
        <v>24.3</v>
      </c>
      <c r="HD43" s="1210" t="s">
        <v>5908</v>
      </c>
      <c r="HE43" s="1210"/>
      <c r="HH43" s="1212" t="s">
        <v>5292</v>
      </c>
      <c r="HI43" s="1185">
        <v>8.5</v>
      </c>
      <c r="HJ43" s="1185" t="s">
        <v>5684</v>
      </c>
      <c r="HK43" s="1185">
        <v>4.0999999999999996</v>
      </c>
      <c r="HL43" s="1185" t="s">
        <v>5874</v>
      </c>
      <c r="HM43" s="1345" t="s">
        <v>5875</v>
      </c>
      <c r="HN43" s="1210" t="s">
        <v>5876</v>
      </c>
      <c r="HO43" s="1199"/>
      <c r="HP43" s="1199"/>
    </row>
    <row r="44" spans="21:224" ht="15.6" customHeight="1">
      <c r="U44" s="515"/>
      <c r="V44" s="515"/>
      <c r="W44" s="515"/>
      <c r="X44" s="515"/>
      <c r="Y44" s="515"/>
      <c r="Z44" s="515"/>
      <c r="AA44" s="515"/>
      <c r="AB44" s="386"/>
      <c r="AC44" s="754"/>
      <c r="AD44" s="515"/>
      <c r="AE44" s="515"/>
      <c r="AF44" s="515"/>
      <c r="AG44" s="515"/>
      <c r="AH44" s="515"/>
      <c r="AK44" s="1168"/>
      <c r="AL44" s="1168"/>
      <c r="AM44" s="1168"/>
      <c r="AN44" s="1168"/>
      <c r="AO44" s="1340"/>
      <c r="AP44" s="1340"/>
      <c r="AQ44" s="1340"/>
      <c r="AR44" s="1338"/>
      <c r="AS44" s="1338"/>
      <c r="AT44" s="385"/>
      <c r="AU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1129" t="s">
        <v>5047</v>
      </c>
      <c r="BU44" s="1130" t="s">
        <v>5048</v>
      </c>
      <c r="BV44" s="1131" t="s">
        <v>5049</v>
      </c>
      <c r="BW44" s="1132" t="s">
        <v>5050</v>
      </c>
      <c r="BX44" s="1104"/>
      <c r="BZ44" s="382"/>
      <c r="CB44" s="1211" t="s">
        <v>5889</v>
      </c>
      <c r="CC44" s="1179">
        <v>1</v>
      </c>
      <c r="CD44" s="1180">
        <v>0</v>
      </c>
      <c r="CE44" s="1180">
        <v>0</v>
      </c>
      <c r="CF44" s="1180">
        <v>1</v>
      </c>
      <c r="CG44" s="1180">
        <v>0</v>
      </c>
      <c r="CH44" s="1180"/>
      <c r="CJ44" s="382" t="s">
        <v>5890</v>
      </c>
      <c r="CK44" s="393"/>
      <c r="CL44" s="1181"/>
      <c r="CM44" s="1181"/>
      <c r="CN44" s="1181"/>
      <c r="CO44" s="1181"/>
      <c r="CP44" s="1181"/>
      <c r="CQ44" s="1181"/>
      <c r="CR44" s="1181"/>
      <c r="CS44" s="1181"/>
      <c r="CU44" s="382" t="s">
        <v>5890</v>
      </c>
      <c r="CV44" s="393">
        <f t="shared" si="2"/>
        <v>0</v>
      </c>
      <c r="CW44" s="1181">
        <v>0</v>
      </c>
      <c r="CX44" s="1181">
        <v>0</v>
      </c>
      <c r="CY44" s="1181">
        <v>0</v>
      </c>
      <c r="CZ44" s="1181">
        <v>0</v>
      </c>
      <c r="DA44" s="1181">
        <v>0</v>
      </c>
      <c r="DB44" s="1181">
        <v>0</v>
      </c>
      <c r="DC44" s="1181">
        <v>0</v>
      </c>
      <c r="DD44" s="1181">
        <v>0</v>
      </c>
      <c r="DG44" s="382" t="s">
        <v>5890</v>
      </c>
      <c r="DH44" s="393">
        <f t="shared" si="8"/>
        <v>2</v>
      </c>
      <c r="DI44" s="1181">
        <v>1</v>
      </c>
      <c r="DJ44" s="1181">
        <v>0</v>
      </c>
      <c r="DK44" s="1181">
        <v>1</v>
      </c>
      <c r="DL44" s="1181">
        <v>0</v>
      </c>
      <c r="DM44" s="1181">
        <v>0</v>
      </c>
      <c r="DN44" s="1181">
        <v>0</v>
      </c>
      <c r="DO44" s="1181">
        <v>0</v>
      </c>
      <c r="DP44" s="1181">
        <v>0</v>
      </c>
      <c r="DQ44" s="409"/>
      <c r="DS44" s="382" t="s">
        <v>5877</v>
      </c>
      <c r="DT44" s="1179">
        <v>50</v>
      </c>
      <c r="DU44" s="1180">
        <v>20</v>
      </c>
      <c r="DV44" s="1180">
        <v>30</v>
      </c>
      <c r="DW44" s="1180">
        <v>0</v>
      </c>
      <c r="DX44" s="1180">
        <v>53</v>
      </c>
      <c r="DY44" s="1180">
        <v>29</v>
      </c>
      <c r="DZ44" s="1180">
        <v>24</v>
      </c>
      <c r="EA44" s="1180">
        <v>0</v>
      </c>
      <c r="EB44" s="393"/>
      <c r="EE44" s="1114"/>
      <c r="EF44" s="1183"/>
      <c r="EG44" s="1183"/>
      <c r="EH44" s="1183"/>
      <c r="EI44" s="1183"/>
      <c r="EJ44" s="1183"/>
      <c r="EK44" s="1183"/>
      <c r="EL44" s="1205"/>
      <c r="EM44" s="1205"/>
      <c r="ER44" s="1213"/>
      <c r="ES44" s="1188"/>
      <c r="ET44" s="1188"/>
      <c r="EU44" s="1188"/>
      <c r="EV44" s="1188"/>
      <c r="EW44" s="1188"/>
      <c r="EX44" s="1188"/>
      <c r="EY44" s="1115"/>
      <c r="EZ44" s="1115"/>
      <c r="FG44" s="1343"/>
      <c r="FH44" s="1347"/>
      <c r="FI44" s="1347"/>
      <c r="FJ44" s="1347"/>
      <c r="FK44" s="1347"/>
      <c r="FL44" s="1183"/>
      <c r="FM44" s="1183"/>
      <c r="FN44" s="1205"/>
      <c r="FO44" s="1205"/>
      <c r="FP44" s="1205"/>
      <c r="FQ44" s="1205"/>
      <c r="FR44" s="1205"/>
      <c r="FS44" s="1205"/>
      <c r="FV44" s="1244" t="s">
        <v>3465</v>
      </c>
      <c r="FW44" s="1115"/>
      <c r="FX44" s="1115"/>
      <c r="FY44" s="1115"/>
      <c r="FZ44" s="1115"/>
      <c r="GA44" s="1115"/>
      <c r="GB44" s="1115"/>
      <c r="GC44" s="1115"/>
      <c r="GD44" s="1115"/>
      <c r="GE44" s="878"/>
      <c r="GF44" s="878"/>
      <c r="GG44" s="878"/>
      <c r="GH44" s="878"/>
      <c r="GL44" s="1215" t="s">
        <v>1712</v>
      </c>
      <c r="GM44" s="1209">
        <v>17</v>
      </c>
      <c r="GN44" s="1117" t="s">
        <v>5891</v>
      </c>
      <c r="GO44" s="1117">
        <v>22.3</v>
      </c>
      <c r="GP44" s="1117" t="s">
        <v>5892</v>
      </c>
      <c r="GQ44" s="1326">
        <v>24.1</v>
      </c>
      <c r="GR44" s="1337" t="s">
        <v>5893</v>
      </c>
      <c r="GS44" s="1208"/>
      <c r="GT44" s="1208"/>
      <c r="GV44" s="1238" t="s">
        <v>3465</v>
      </c>
      <c r="GW44" s="1216"/>
      <c r="GX44" s="1216"/>
      <c r="GY44" s="1216"/>
      <c r="GZ44" s="1216"/>
      <c r="HA44" s="1216"/>
      <c r="HB44" s="1216"/>
      <c r="HC44" s="1216"/>
      <c r="HD44" s="1216"/>
      <c r="HE44" s="1210"/>
      <c r="HH44" s="1235" t="s">
        <v>3465</v>
      </c>
      <c r="HI44" s="1185"/>
      <c r="HJ44" s="1185"/>
      <c r="HK44" s="1185"/>
      <c r="HL44" s="1185"/>
      <c r="HM44" s="1216"/>
      <c r="HN44" s="1216"/>
      <c r="HO44" s="1199"/>
      <c r="HP44" s="1199"/>
    </row>
    <row r="45" spans="21:224" ht="15.6" customHeight="1">
      <c r="U45" s="515"/>
      <c r="V45" s="515"/>
      <c r="W45" s="515"/>
      <c r="X45" s="515"/>
      <c r="Y45" s="515"/>
      <c r="Z45" s="515"/>
      <c r="AA45" s="515"/>
      <c r="AB45" s="398"/>
      <c r="AC45" s="398"/>
      <c r="AD45" s="398"/>
      <c r="AE45" s="398"/>
      <c r="AF45" s="398"/>
      <c r="AG45" s="398"/>
      <c r="AH45" s="398"/>
      <c r="AK45" s="1168"/>
      <c r="AL45" s="1168"/>
      <c r="AM45" s="1168"/>
      <c r="AN45" s="1168"/>
      <c r="AO45" s="1338"/>
      <c r="AP45" s="1344"/>
      <c r="AQ45" s="1338"/>
      <c r="AR45" s="1338"/>
      <c r="AS45" s="1338"/>
      <c r="AT45" s="1338"/>
      <c r="AU45" s="1338"/>
      <c r="AX45" s="1338"/>
      <c r="AY45" s="1338"/>
      <c r="AZ45" s="1338"/>
      <c r="BA45" s="1338"/>
      <c r="BB45" s="1338"/>
      <c r="BC45" s="1338"/>
      <c r="BD45" s="1338"/>
      <c r="BE45" s="1338"/>
      <c r="BF45" s="1338"/>
      <c r="BG45" s="1338"/>
      <c r="BH45" s="1338"/>
      <c r="BI45" s="1338"/>
      <c r="BJ45" s="1338"/>
      <c r="BK45" s="1338"/>
      <c r="BL45" s="1338"/>
      <c r="BM45" s="1338"/>
      <c r="BN45" s="1338"/>
      <c r="BO45" s="1338"/>
      <c r="BP45" s="1338"/>
      <c r="BQ45" s="1338"/>
      <c r="BR45" s="1338"/>
      <c r="BS45" s="1338"/>
      <c r="BT45" s="382"/>
      <c r="BU45" s="382" t="s">
        <v>5067</v>
      </c>
      <c r="BV45" s="463">
        <f>SUM(BV46:BV57)</f>
        <v>1248</v>
      </c>
      <c r="BW45" s="799">
        <v>100</v>
      </c>
      <c r="BX45" s="771"/>
      <c r="BY45" s="1279"/>
      <c r="BZ45" s="382"/>
      <c r="CB45" s="1211" t="s">
        <v>5900</v>
      </c>
      <c r="CC45" s="1179">
        <v>0</v>
      </c>
      <c r="CD45" s="1180">
        <v>0</v>
      </c>
      <c r="CE45" s="1180">
        <v>0</v>
      </c>
      <c r="CF45" s="1180">
        <v>0</v>
      </c>
      <c r="CG45" s="1180">
        <v>0</v>
      </c>
      <c r="CH45" s="1180"/>
      <c r="CJ45" s="382" t="s">
        <v>5901</v>
      </c>
      <c r="CK45" s="393"/>
      <c r="CL45" s="1181"/>
      <c r="CM45" s="1181"/>
      <c r="CN45" s="1181"/>
      <c r="CO45" s="1181"/>
      <c r="CP45" s="1181"/>
      <c r="CQ45" s="1181"/>
      <c r="CR45" s="1181"/>
      <c r="CS45" s="1181"/>
      <c r="CU45" s="382" t="s">
        <v>5901</v>
      </c>
      <c r="CV45" s="393">
        <f t="shared" si="2"/>
        <v>180</v>
      </c>
      <c r="CW45" s="1181">
        <v>56</v>
      </c>
      <c r="CX45" s="1181">
        <v>1</v>
      </c>
      <c r="CY45" s="1181">
        <v>1</v>
      </c>
      <c r="CZ45" s="1181">
        <v>38</v>
      </c>
      <c r="DA45" s="1181">
        <v>0</v>
      </c>
      <c r="DB45" s="1181">
        <v>8</v>
      </c>
      <c r="DC45" s="1181">
        <v>13</v>
      </c>
      <c r="DD45" s="1181">
        <v>63</v>
      </c>
      <c r="DG45" s="382" t="s">
        <v>5901</v>
      </c>
      <c r="DH45" s="393">
        <f t="shared" si="8"/>
        <v>38</v>
      </c>
      <c r="DI45" s="1181">
        <v>20</v>
      </c>
      <c r="DJ45" s="1181">
        <v>0</v>
      </c>
      <c r="DK45" s="1181">
        <v>0</v>
      </c>
      <c r="DL45" s="1181">
        <v>17</v>
      </c>
      <c r="DM45" s="1181">
        <v>0</v>
      </c>
      <c r="DN45" s="1181">
        <v>0</v>
      </c>
      <c r="DO45" s="1181">
        <v>1</v>
      </c>
      <c r="DP45" s="1181">
        <v>0</v>
      </c>
      <c r="DQ45" s="409"/>
      <c r="DS45" s="382" t="s">
        <v>5889</v>
      </c>
      <c r="DT45" s="1179">
        <v>1</v>
      </c>
      <c r="DU45" s="1179">
        <v>1</v>
      </c>
      <c r="DV45" s="1179">
        <v>0</v>
      </c>
      <c r="DW45" s="1179">
        <v>0</v>
      </c>
      <c r="DX45" s="1180">
        <v>0</v>
      </c>
      <c r="DY45" s="1179">
        <v>0</v>
      </c>
      <c r="DZ45" s="1179">
        <v>0</v>
      </c>
      <c r="EA45" s="1179">
        <v>0</v>
      </c>
      <c r="EB45" s="393"/>
      <c r="EE45" s="1212"/>
      <c r="EF45" s="1183"/>
      <c r="EG45" s="1183"/>
      <c r="EH45" s="1183"/>
      <c r="EI45" s="1183"/>
      <c r="EJ45" s="1183"/>
      <c r="EK45" s="1183"/>
      <c r="EL45" s="1205"/>
      <c r="EM45" s="1205"/>
      <c r="ER45" s="1213"/>
      <c r="ES45" s="1188"/>
      <c r="ET45" s="1188"/>
      <c r="EU45" s="1188"/>
      <c r="EV45" s="1188"/>
      <c r="EW45" s="1188"/>
      <c r="EX45" s="1188"/>
      <c r="EY45" s="1115"/>
      <c r="EZ45" s="1115"/>
      <c r="FG45" s="1212"/>
      <c r="FH45" s="1333"/>
      <c r="FI45" s="1210"/>
      <c r="FJ45" s="1333"/>
      <c r="FK45" s="1210"/>
      <c r="FL45" s="1183"/>
      <c r="FM45" s="1183"/>
      <c r="FN45" s="1205"/>
      <c r="FO45" s="1205"/>
      <c r="FP45" s="1205"/>
      <c r="FQ45" s="1205"/>
      <c r="FR45" s="1205"/>
      <c r="FS45" s="1205"/>
      <c r="FV45" s="1220" t="s">
        <v>1711</v>
      </c>
      <c r="FW45" s="1115">
        <v>9.1</v>
      </c>
      <c r="FX45" s="1115" t="s">
        <v>5902</v>
      </c>
      <c r="FY45" s="1115" t="s">
        <v>5131</v>
      </c>
      <c r="FZ45" s="1115" t="s">
        <v>5131</v>
      </c>
      <c r="GA45" s="1115">
        <v>12.2</v>
      </c>
      <c r="GB45" s="1115" t="s">
        <v>5903</v>
      </c>
      <c r="GC45" s="1115" t="s">
        <v>5904</v>
      </c>
      <c r="GD45" s="1115"/>
      <c r="GE45" s="878">
        <v>9.6999999999999993</v>
      </c>
      <c r="GF45" s="878" t="s">
        <v>5905</v>
      </c>
      <c r="GG45" s="878" t="s">
        <v>5131</v>
      </c>
      <c r="GH45" s="878" t="s">
        <v>5131</v>
      </c>
      <c r="GL45" s="1192" t="s">
        <v>3184</v>
      </c>
      <c r="GM45" s="1117"/>
      <c r="GN45" s="1117"/>
      <c r="GO45" s="1117"/>
      <c r="GP45" s="1117"/>
      <c r="GQ45" s="1192"/>
      <c r="GR45" s="1192"/>
      <c r="GS45" s="1208"/>
      <c r="GT45" s="1208"/>
      <c r="GV45" s="1215" t="s">
        <v>1711</v>
      </c>
      <c r="GW45" s="1342">
        <v>33.9</v>
      </c>
      <c r="GX45" s="1210" t="s">
        <v>5929</v>
      </c>
      <c r="GY45" s="1342">
        <v>36.9</v>
      </c>
      <c r="GZ45" s="1210" t="s">
        <v>5930</v>
      </c>
      <c r="HA45" s="1342">
        <v>39</v>
      </c>
      <c r="HB45" s="1210" t="s">
        <v>5931</v>
      </c>
      <c r="HC45" s="1342">
        <v>39</v>
      </c>
      <c r="HD45" s="1210" t="s">
        <v>5931</v>
      </c>
      <c r="HE45" s="1210"/>
      <c r="HH45" s="1212" t="s">
        <v>1711</v>
      </c>
      <c r="HI45" s="1185">
        <v>29.8</v>
      </c>
      <c r="HJ45" s="1185" t="s">
        <v>5897</v>
      </c>
      <c r="HK45" s="1185">
        <v>30.8</v>
      </c>
      <c r="HL45" s="1185" t="s">
        <v>5898</v>
      </c>
      <c r="HM45" s="1333">
        <v>33.799999999999997</v>
      </c>
      <c r="HN45" s="1333" t="s">
        <v>5899</v>
      </c>
      <c r="HO45" s="1199"/>
      <c r="HP45" s="1199"/>
    </row>
    <row r="46" spans="21:224" ht="15.6" customHeight="1">
      <c r="U46" s="515"/>
      <c r="V46" s="515"/>
      <c r="W46" s="515"/>
      <c r="X46" s="515"/>
      <c r="Y46" s="515"/>
      <c r="Z46" s="515"/>
      <c r="AA46" s="515"/>
      <c r="AB46" s="398"/>
      <c r="AC46" s="515"/>
      <c r="AD46" s="515"/>
      <c r="AE46" s="515"/>
      <c r="AF46" s="515"/>
      <c r="AG46" s="515"/>
      <c r="AH46" s="515"/>
      <c r="AJ46" s="515"/>
      <c r="AK46" s="1224"/>
      <c r="AL46" s="1224"/>
      <c r="AM46" s="1224"/>
      <c r="AN46" s="1224"/>
      <c r="AO46" s="1344"/>
      <c r="AP46" s="1344"/>
      <c r="AQ46" s="1338"/>
      <c r="AR46" s="1340"/>
      <c r="AS46" s="1340"/>
      <c r="AT46" s="1340"/>
      <c r="AU46" s="1340"/>
      <c r="AV46" s="402"/>
      <c r="AW46" s="402"/>
      <c r="AX46" s="1340"/>
      <c r="AY46" s="1340"/>
      <c r="AZ46" s="1340"/>
      <c r="BA46" s="1340"/>
      <c r="BB46" s="1340"/>
      <c r="BC46" s="1340"/>
      <c r="BD46" s="1340"/>
      <c r="BE46" s="1340"/>
      <c r="BF46" s="1340"/>
      <c r="BG46" s="1340"/>
      <c r="BH46" s="1340"/>
      <c r="BI46" s="1340"/>
      <c r="BJ46" s="1340"/>
      <c r="BK46" s="1340"/>
      <c r="BL46" s="1340"/>
      <c r="BM46" s="1340"/>
      <c r="BN46" s="1340"/>
      <c r="BO46" s="1340"/>
      <c r="BP46" s="1340"/>
      <c r="BQ46" s="1340"/>
      <c r="BR46" s="1340"/>
      <c r="BS46" s="1340"/>
      <c r="BT46" s="1090">
        <v>1</v>
      </c>
      <c r="BU46" s="1253" t="s">
        <v>5912</v>
      </c>
      <c r="BV46" s="382">
        <v>401</v>
      </c>
      <c r="BW46" s="799">
        <v>32</v>
      </c>
      <c r="BX46" s="771"/>
      <c r="BZ46" s="382"/>
      <c r="CB46" s="1211" t="s">
        <v>5913</v>
      </c>
      <c r="CC46" s="1179">
        <v>0</v>
      </c>
      <c r="CD46" s="1180">
        <v>0</v>
      </c>
      <c r="CE46" s="1180">
        <v>0</v>
      </c>
      <c r="CF46" s="1180">
        <v>0</v>
      </c>
      <c r="CG46" s="1180">
        <v>0</v>
      </c>
      <c r="CH46" s="1180"/>
      <c r="CJ46" s="382" t="s">
        <v>5914</v>
      </c>
      <c r="CK46" s="393"/>
      <c r="CL46" s="1181"/>
      <c r="CM46" s="1181"/>
      <c r="CN46" s="1181"/>
      <c r="CO46" s="1181"/>
      <c r="CP46" s="1181"/>
      <c r="CQ46" s="1181"/>
      <c r="CR46" s="1181"/>
      <c r="CS46" s="1181"/>
      <c r="CU46" s="382" t="s">
        <v>5914</v>
      </c>
      <c r="CV46" s="393">
        <f t="shared" si="2"/>
        <v>4</v>
      </c>
      <c r="CW46" s="1181">
        <v>0</v>
      </c>
      <c r="CX46" s="1181">
        <v>1</v>
      </c>
      <c r="CY46" s="1181">
        <v>1</v>
      </c>
      <c r="CZ46" s="1181">
        <v>0</v>
      </c>
      <c r="DA46" s="1181">
        <v>1</v>
      </c>
      <c r="DB46" s="1181">
        <v>0</v>
      </c>
      <c r="DC46" s="1181">
        <v>0</v>
      </c>
      <c r="DD46" s="1181">
        <v>1</v>
      </c>
      <c r="DG46" s="382" t="s">
        <v>5914</v>
      </c>
      <c r="DH46" s="393">
        <f t="shared" si="8"/>
        <v>1</v>
      </c>
      <c r="DI46" s="1181">
        <v>0</v>
      </c>
      <c r="DJ46" s="1181">
        <v>0</v>
      </c>
      <c r="DK46" s="1181">
        <v>1</v>
      </c>
      <c r="DL46" s="1181">
        <v>0</v>
      </c>
      <c r="DM46" s="1181">
        <v>0</v>
      </c>
      <c r="DN46" s="1181">
        <v>0</v>
      </c>
      <c r="DO46" s="1181">
        <v>0</v>
      </c>
      <c r="DP46" s="1181">
        <v>0</v>
      </c>
      <c r="DQ46" s="409"/>
      <c r="DS46" s="382" t="s">
        <v>5900</v>
      </c>
      <c r="DT46" s="1179">
        <v>0</v>
      </c>
      <c r="DU46" s="1179">
        <v>0</v>
      </c>
      <c r="DV46" s="1179">
        <v>0</v>
      </c>
      <c r="DW46" s="1179">
        <v>0</v>
      </c>
      <c r="DX46" s="1180">
        <v>0</v>
      </c>
      <c r="DY46" s="1179">
        <v>0</v>
      </c>
      <c r="DZ46" s="1179">
        <v>0</v>
      </c>
      <c r="EA46" s="1179">
        <v>0</v>
      </c>
      <c r="EB46" s="393"/>
      <c r="EE46" s="1212"/>
      <c r="EF46" s="1183"/>
      <c r="EG46" s="1183"/>
      <c r="EH46" s="1183"/>
      <c r="EI46" s="1183"/>
      <c r="EJ46" s="1183"/>
      <c r="EK46" s="1183"/>
      <c r="EL46" s="1205"/>
      <c r="EM46" s="1205"/>
      <c r="ER46" s="1318"/>
      <c r="ES46" s="1318"/>
      <c r="ET46" s="1318"/>
      <c r="EU46" s="1318"/>
      <c r="EV46" s="1318"/>
      <c r="EW46" s="1318"/>
      <c r="EX46" s="1318"/>
      <c r="EY46" s="1115"/>
      <c r="EZ46" s="1115"/>
      <c r="FG46" s="1212"/>
      <c r="FH46" s="1333"/>
      <c r="FI46" s="1210"/>
      <c r="FJ46" s="1333"/>
      <c r="FK46" s="1210"/>
      <c r="FL46" s="1183"/>
      <c r="FM46" s="1183"/>
      <c r="FN46" s="1205"/>
      <c r="FO46" s="1205"/>
      <c r="FP46" s="1205"/>
      <c r="FQ46" s="1205"/>
      <c r="FR46" s="1205"/>
      <c r="FS46" s="1205"/>
      <c r="FV46" s="1220" t="s">
        <v>1712</v>
      </c>
      <c r="FW46" s="1115">
        <v>11</v>
      </c>
      <c r="FX46" s="1115" t="s">
        <v>5915</v>
      </c>
      <c r="FY46" s="1115">
        <v>1.7</v>
      </c>
      <c r="FZ46" s="1115" t="s">
        <v>5916</v>
      </c>
      <c r="GA46" s="1115">
        <v>11.8</v>
      </c>
      <c r="GB46" s="1115" t="s">
        <v>5917</v>
      </c>
      <c r="GC46" s="1115">
        <v>2.5</v>
      </c>
      <c r="GD46" s="1115" t="s">
        <v>5918</v>
      </c>
      <c r="GE46" s="878">
        <v>12</v>
      </c>
      <c r="GF46" s="878" t="s">
        <v>5919</v>
      </c>
      <c r="GG46" s="878">
        <v>2.8</v>
      </c>
      <c r="GH46" s="878" t="s">
        <v>5920</v>
      </c>
      <c r="GL46" s="1215" t="s">
        <v>5422</v>
      </c>
      <c r="GM46" s="1117">
        <v>40.1</v>
      </c>
      <c r="GN46" s="1117" t="s">
        <v>5921</v>
      </c>
      <c r="GO46" s="1117">
        <v>43.5</v>
      </c>
      <c r="GP46" s="1117" t="s">
        <v>5922</v>
      </c>
      <c r="GQ46" s="1326">
        <v>46.3</v>
      </c>
      <c r="GR46" s="1337" t="s">
        <v>5923</v>
      </c>
      <c r="GS46" s="1208"/>
      <c r="GT46" s="1208"/>
      <c r="GV46" s="1215" t="s">
        <v>1712</v>
      </c>
      <c r="GW46" s="1333">
        <v>31.5</v>
      </c>
      <c r="GX46" s="1210" t="s">
        <v>5945</v>
      </c>
      <c r="GY46" s="1342">
        <v>31.5</v>
      </c>
      <c r="GZ46" s="1210" t="s">
        <v>5946</v>
      </c>
      <c r="HA46" s="1333">
        <v>33.1</v>
      </c>
      <c r="HB46" s="1210" t="s">
        <v>5750</v>
      </c>
      <c r="HC46" s="1342">
        <v>33.1</v>
      </c>
      <c r="HD46" s="1210" t="s">
        <v>5750</v>
      </c>
      <c r="HE46" s="1216"/>
      <c r="HH46" s="1212" t="s">
        <v>1712</v>
      </c>
      <c r="HI46" s="1185">
        <v>11.2</v>
      </c>
      <c r="HJ46" s="1185" t="s">
        <v>5909</v>
      </c>
      <c r="HK46" s="1185">
        <v>11.4</v>
      </c>
      <c r="HL46" s="1185" t="s">
        <v>5910</v>
      </c>
      <c r="HM46" s="1333">
        <v>12.2</v>
      </c>
      <c r="HN46" s="1210" t="s">
        <v>5911</v>
      </c>
      <c r="HO46" s="1199"/>
      <c r="HP46" s="1199"/>
    </row>
    <row r="47" spans="21:224" ht="15.6" customHeight="1">
      <c r="U47" s="515"/>
      <c r="V47" s="515"/>
      <c r="W47" s="515"/>
      <c r="X47" s="515"/>
      <c r="Y47" s="515"/>
      <c r="Z47" s="515"/>
      <c r="AA47" s="515"/>
      <c r="AB47" s="398"/>
      <c r="AC47" s="757"/>
      <c r="AD47" s="515"/>
      <c r="AE47" s="515"/>
      <c r="AF47" s="757"/>
      <c r="AG47" s="757"/>
      <c r="AH47" s="757"/>
      <c r="AK47" s="1227"/>
      <c r="AL47" s="1227"/>
      <c r="AM47" s="1227"/>
      <c r="AN47" s="1227"/>
      <c r="AO47" s="1340"/>
      <c r="AP47" s="1340"/>
      <c r="AQ47" s="1340"/>
      <c r="AR47" s="1338"/>
      <c r="AS47" s="1338"/>
      <c r="AT47" s="1338"/>
      <c r="AU47" s="1338"/>
      <c r="AV47" s="385"/>
      <c r="AW47" s="385"/>
      <c r="AX47" s="1338"/>
      <c r="AY47" s="1338"/>
      <c r="AZ47" s="1338"/>
      <c r="BA47" s="1338"/>
      <c r="BB47" s="1338"/>
      <c r="BC47" s="1338"/>
      <c r="BD47" s="1338"/>
      <c r="BE47" s="1338"/>
      <c r="BF47" s="1338"/>
      <c r="BG47" s="1338"/>
      <c r="BH47" s="1338"/>
      <c r="BI47" s="1338"/>
      <c r="BJ47" s="1338"/>
      <c r="BK47" s="1338"/>
      <c r="BL47" s="1338"/>
      <c r="BM47" s="1338"/>
      <c r="BN47" s="1338"/>
      <c r="BO47" s="1338"/>
      <c r="BP47" s="1338"/>
      <c r="BQ47" s="1338"/>
      <c r="BR47" s="1338"/>
      <c r="BS47" s="1338"/>
      <c r="BT47" s="1090">
        <v>2</v>
      </c>
      <c r="BU47" s="1253" t="s">
        <v>5118</v>
      </c>
      <c r="BV47" s="382">
        <v>204</v>
      </c>
      <c r="BW47" s="799">
        <v>16.399999999999999</v>
      </c>
      <c r="BX47" s="771"/>
      <c r="BY47" s="771"/>
      <c r="BZ47" s="382"/>
      <c r="CB47" s="1211" t="s">
        <v>5924</v>
      </c>
      <c r="CC47" s="1179">
        <v>249</v>
      </c>
      <c r="CD47" s="1180">
        <v>273</v>
      </c>
      <c r="CE47" s="1180">
        <v>209</v>
      </c>
      <c r="CF47" s="1180">
        <v>145</v>
      </c>
      <c r="CG47" s="1180">
        <v>98</v>
      </c>
      <c r="CH47" s="1180"/>
      <c r="CJ47" s="382" t="s">
        <v>5925</v>
      </c>
      <c r="CK47" s="393"/>
      <c r="CL47" s="1181"/>
      <c r="CM47" s="1181"/>
      <c r="CN47" s="1181"/>
      <c r="CO47" s="1181"/>
      <c r="CP47" s="1181"/>
      <c r="CQ47" s="1181"/>
      <c r="CR47" s="1181"/>
      <c r="CS47" s="1181"/>
      <c r="CU47" s="382" t="s">
        <v>5925</v>
      </c>
      <c r="CV47" s="393">
        <f t="shared" si="2"/>
        <v>12</v>
      </c>
      <c r="CW47" s="1181">
        <v>3</v>
      </c>
      <c r="CX47" s="1181">
        <v>0</v>
      </c>
      <c r="CY47" s="1181">
        <v>2</v>
      </c>
      <c r="CZ47" s="1181">
        <v>4</v>
      </c>
      <c r="DA47" s="1181">
        <v>0</v>
      </c>
      <c r="DB47" s="1181">
        <v>1</v>
      </c>
      <c r="DC47" s="1181">
        <v>0</v>
      </c>
      <c r="DD47" s="1181">
        <v>2</v>
      </c>
      <c r="DG47" s="382" t="s">
        <v>5925</v>
      </c>
      <c r="DH47" s="393">
        <f t="shared" si="8"/>
        <v>5</v>
      </c>
      <c r="DI47" s="1181">
        <v>0</v>
      </c>
      <c r="DJ47" s="1181">
        <v>2</v>
      </c>
      <c r="DK47" s="1181">
        <v>0</v>
      </c>
      <c r="DL47" s="1181">
        <v>3</v>
      </c>
      <c r="DM47" s="1181">
        <v>0</v>
      </c>
      <c r="DN47" s="1181">
        <v>0</v>
      </c>
      <c r="DO47" s="1181">
        <v>0</v>
      </c>
      <c r="DP47" s="1181">
        <v>0</v>
      </c>
      <c r="DQ47" s="409"/>
      <c r="DS47" s="382" t="s">
        <v>5913</v>
      </c>
      <c r="DT47" s="1179">
        <v>0</v>
      </c>
      <c r="DU47" s="1179">
        <v>0</v>
      </c>
      <c r="DV47" s="1179">
        <v>0</v>
      </c>
      <c r="DW47" s="1179">
        <v>0</v>
      </c>
      <c r="DX47" s="1180">
        <v>0</v>
      </c>
      <c r="DY47" s="1179">
        <v>0</v>
      </c>
      <c r="DZ47" s="1179">
        <v>0</v>
      </c>
      <c r="EA47" s="1179">
        <v>0</v>
      </c>
      <c r="EB47" s="393"/>
      <c r="EE47" s="1212"/>
      <c r="EF47" s="1183"/>
      <c r="EG47" s="1183"/>
      <c r="EH47" s="1183"/>
      <c r="EI47" s="1183"/>
      <c r="EJ47" s="1183"/>
      <c r="EK47" s="1183"/>
      <c r="EL47" s="1205"/>
      <c r="EM47" s="1205"/>
      <c r="ER47" s="1213"/>
      <c r="ES47" s="1188"/>
      <c r="ET47" s="1188"/>
      <c r="EU47" s="1188"/>
      <c r="EV47" s="1188"/>
      <c r="EW47" s="1188"/>
      <c r="EX47" s="1188"/>
      <c r="EY47" s="1115"/>
      <c r="EZ47" s="1115"/>
      <c r="FG47" s="1114"/>
      <c r="FH47" s="1339"/>
      <c r="FI47" s="1339"/>
      <c r="FJ47" s="1339"/>
      <c r="FK47" s="1339"/>
      <c r="FL47" s="1183"/>
      <c r="FM47" s="1183"/>
      <c r="FN47" s="1205"/>
      <c r="FO47" s="1205"/>
      <c r="FP47" s="1205"/>
      <c r="FQ47" s="1205"/>
      <c r="FR47" s="1205"/>
      <c r="FS47" s="1205"/>
      <c r="FV47" s="1206" t="s">
        <v>3184</v>
      </c>
      <c r="FW47" s="1115"/>
      <c r="FX47" s="1115"/>
      <c r="FY47" s="1115"/>
      <c r="FZ47" s="1115"/>
      <c r="GA47" s="1115"/>
      <c r="GB47" s="1115"/>
      <c r="GC47" s="1115"/>
      <c r="GD47" s="1115"/>
      <c r="GE47" s="878"/>
      <c r="GF47" s="878"/>
      <c r="GG47" s="878"/>
      <c r="GH47" s="878"/>
      <c r="GL47" s="1215" t="s">
        <v>5449</v>
      </c>
      <c r="GM47" s="1209">
        <v>24</v>
      </c>
      <c r="GN47" s="1117" t="s">
        <v>5926</v>
      </c>
      <c r="GO47" s="1117">
        <v>30.2</v>
      </c>
      <c r="GP47" s="1117" t="s">
        <v>5927</v>
      </c>
      <c r="GQ47" s="1326">
        <v>30.4</v>
      </c>
      <c r="GR47" s="1337" t="s">
        <v>5928</v>
      </c>
      <c r="GS47" s="1208"/>
      <c r="GT47" s="1208"/>
      <c r="GV47" s="1192" t="s">
        <v>3184</v>
      </c>
      <c r="GW47" s="1216"/>
      <c r="GX47" s="1216"/>
      <c r="GY47" s="1216"/>
      <c r="GZ47" s="1333"/>
      <c r="HA47" s="1216"/>
      <c r="HB47" s="1216"/>
      <c r="HC47" s="1216"/>
      <c r="HD47" s="1333"/>
      <c r="HE47" s="1210"/>
      <c r="HH47" s="1182" t="s">
        <v>3184</v>
      </c>
      <c r="HI47" s="1185"/>
      <c r="HJ47" s="1185"/>
      <c r="HK47" s="1185"/>
      <c r="HL47" s="1185"/>
      <c r="HM47" s="1216"/>
      <c r="HN47" s="1216"/>
      <c r="HO47" s="1199"/>
      <c r="HP47" s="1199"/>
    </row>
    <row r="48" spans="21:224" ht="15.6" customHeight="1">
      <c r="U48" s="515"/>
      <c r="V48" s="515"/>
      <c r="W48" s="515"/>
      <c r="AB48" s="398"/>
      <c r="AC48" s="754"/>
      <c r="AD48" s="515"/>
      <c r="AE48" s="515"/>
      <c r="AF48" s="515"/>
      <c r="AG48" s="515"/>
      <c r="AH48" s="515"/>
      <c r="AK48" s="1168"/>
      <c r="AL48" s="1168"/>
      <c r="AM48" s="1168"/>
      <c r="AN48" s="1168"/>
      <c r="AO48" s="1344"/>
      <c r="AP48" s="1344"/>
      <c r="AQ48" s="1338"/>
      <c r="AR48" s="1338"/>
      <c r="AS48" s="1338"/>
      <c r="AT48" s="1338"/>
      <c r="AU48" s="1338"/>
      <c r="AV48" s="1338"/>
      <c r="AW48" s="1338"/>
      <c r="AX48" s="1338"/>
      <c r="AY48" s="1338"/>
      <c r="AZ48" s="1338"/>
      <c r="BA48" s="1338"/>
      <c r="BB48" s="1338"/>
      <c r="BC48" s="1338"/>
      <c r="BD48" s="1338"/>
      <c r="BE48" s="1338"/>
      <c r="BF48" s="1338"/>
      <c r="BG48" s="1338"/>
      <c r="BH48" s="1338"/>
      <c r="BI48" s="1338"/>
      <c r="BJ48" s="1338"/>
      <c r="BK48" s="1338"/>
      <c r="BL48" s="1338"/>
      <c r="BM48" s="1338"/>
      <c r="BN48" s="1338"/>
      <c r="BO48" s="1338"/>
      <c r="BP48" s="1338"/>
      <c r="BQ48" s="1338"/>
      <c r="BR48" s="1338"/>
      <c r="BS48" s="1338"/>
      <c r="BT48" s="1090">
        <v>3</v>
      </c>
      <c r="BU48" s="1253" t="s">
        <v>5145</v>
      </c>
      <c r="BV48" s="382">
        <v>95</v>
      </c>
      <c r="BW48" s="799">
        <v>7.7</v>
      </c>
      <c r="BX48" s="771"/>
      <c r="BZ48" s="382"/>
      <c r="CB48" s="1211" t="s">
        <v>5935</v>
      </c>
      <c r="CC48" s="1179">
        <v>72</v>
      </c>
      <c r="CD48" s="1180">
        <v>76</v>
      </c>
      <c r="CE48" s="1180">
        <v>74</v>
      </c>
      <c r="CF48" s="1180">
        <v>75</v>
      </c>
      <c r="CG48" s="1180">
        <v>25</v>
      </c>
      <c r="CH48" s="1180"/>
      <c r="CJ48" s="382" t="s">
        <v>5936</v>
      </c>
      <c r="CK48" s="393"/>
      <c r="CL48" s="1181"/>
      <c r="CM48" s="1181"/>
      <c r="CN48" s="1181"/>
      <c r="CO48" s="1181"/>
      <c r="CP48" s="1181"/>
      <c r="CQ48" s="1181"/>
      <c r="CR48" s="1181"/>
      <c r="CS48" s="1181"/>
      <c r="CU48" s="382" t="s">
        <v>5936</v>
      </c>
      <c r="CV48" s="393">
        <f t="shared" si="2"/>
        <v>1</v>
      </c>
      <c r="CW48" s="1181">
        <v>0</v>
      </c>
      <c r="CX48" s="1181">
        <v>0</v>
      </c>
      <c r="CY48" s="1181">
        <v>0</v>
      </c>
      <c r="CZ48" s="1181">
        <v>1</v>
      </c>
      <c r="DA48" s="1181">
        <v>0</v>
      </c>
      <c r="DB48" s="1181">
        <v>0</v>
      </c>
      <c r="DC48" s="1181">
        <v>0</v>
      </c>
      <c r="DD48" s="1181">
        <v>0</v>
      </c>
      <c r="DF48" s="385"/>
      <c r="DG48" s="382" t="s">
        <v>5936</v>
      </c>
      <c r="DH48" s="393">
        <f t="shared" si="8"/>
        <v>0</v>
      </c>
      <c r="DI48" s="1181">
        <v>0</v>
      </c>
      <c r="DJ48" s="1181">
        <v>0</v>
      </c>
      <c r="DK48" s="1181">
        <v>0</v>
      </c>
      <c r="DL48" s="1181">
        <v>0</v>
      </c>
      <c r="DM48" s="1181">
        <v>0</v>
      </c>
      <c r="DN48" s="1181">
        <v>0</v>
      </c>
      <c r="DO48" s="1181">
        <v>0</v>
      </c>
      <c r="DP48" s="1181">
        <v>0</v>
      </c>
      <c r="DQ48" s="409"/>
      <c r="DS48" s="1133" t="s">
        <v>5924</v>
      </c>
      <c r="DT48" s="1179">
        <v>249</v>
      </c>
      <c r="DU48" s="1179">
        <v>109</v>
      </c>
      <c r="DV48" s="1179">
        <v>140</v>
      </c>
      <c r="DW48" s="1179">
        <v>0</v>
      </c>
      <c r="DX48" s="1180">
        <v>273</v>
      </c>
      <c r="DY48" s="1179">
        <v>102</v>
      </c>
      <c r="DZ48" s="1179">
        <v>171</v>
      </c>
      <c r="EA48" s="1179">
        <v>0</v>
      </c>
      <c r="EB48" s="393"/>
      <c r="EE48" s="1212"/>
      <c r="EF48" s="1183"/>
      <c r="EG48" s="1183"/>
      <c r="EH48" s="1183"/>
      <c r="EI48" s="1183"/>
      <c r="EJ48" s="1183"/>
      <c r="EK48" s="1183"/>
      <c r="EL48" s="1205"/>
      <c r="EM48" s="1205"/>
      <c r="ER48" s="1213"/>
      <c r="ES48" s="1188"/>
      <c r="ET48" s="1188"/>
      <c r="EU48" s="1188"/>
      <c r="EV48" s="1188"/>
      <c r="EW48" s="1188"/>
      <c r="EX48" s="1188"/>
      <c r="EY48" s="1115"/>
      <c r="EZ48" s="1115"/>
      <c r="FG48" s="1212"/>
      <c r="FH48" s="1333"/>
      <c r="FI48" s="1210"/>
      <c r="FJ48" s="1333"/>
      <c r="FK48" s="1210"/>
      <c r="FL48" s="1183"/>
      <c r="FM48" s="1183"/>
      <c r="FN48" s="1205"/>
      <c r="FO48" s="1205"/>
      <c r="FP48" s="1205"/>
      <c r="FQ48" s="1205"/>
      <c r="FR48" s="1205"/>
      <c r="FS48" s="1205"/>
      <c r="FV48" s="1220" t="s">
        <v>5422</v>
      </c>
      <c r="FW48" s="1115">
        <v>11.9</v>
      </c>
      <c r="FX48" s="1115" t="s">
        <v>5937</v>
      </c>
      <c r="FY48" s="1115">
        <v>0.5</v>
      </c>
      <c r="FZ48" s="1115" t="s">
        <v>5184</v>
      </c>
      <c r="GA48" s="1115">
        <v>22.1</v>
      </c>
      <c r="GB48" s="1115" t="s">
        <v>5938</v>
      </c>
      <c r="GC48" s="1115">
        <v>1</v>
      </c>
      <c r="GD48" s="1115" t="s">
        <v>5939</v>
      </c>
      <c r="GE48" s="878">
        <v>9.6</v>
      </c>
      <c r="GF48" s="878" t="s">
        <v>5940</v>
      </c>
      <c r="GG48" s="878" t="s">
        <v>5191</v>
      </c>
      <c r="GH48" s="878" t="s">
        <v>5941</v>
      </c>
      <c r="GL48" s="1215" t="s">
        <v>5482</v>
      </c>
      <c r="GM48" s="1117">
        <v>23.2</v>
      </c>
      <c r="GN48" s="1117" t="s">
        <v>5942</v>
      </c>
      <c r="GO48" s="1117">
        <v>23.1</v>
      </c>
      <c r="GP48" s="1117" t="s">
        <v>5943</v>
      </c>
      <c r="GQ48" s="1341">
        <v>24.4</v>
      </c>
      <c r="GR48" s="1337" t="s">
        <v>5944</v>
      </c>
      <c r="GS48" s="1208"/>
      <c r="GT48" s="1208"/>
      <c r="GV48" s="1215" t="s">
        <v>5422</v>
      </c>
      <c r="GW48" s="1342">
        <v>25.8</v>
      </c>
      <c r="GX48" s="1210" t="s">
        <v>5972</v>
      </c>
      <c r="GY48" s="1342">
        <v>40.5</v>
      </c>
      <c r="GZ48" s="1210" t="s">
        <v>5973</v>
      </c>
      <c r="HA48" s="1342">
        <v>43</v>
      </c>
      <c r="HB48" s="1210" t="s">
        <v>5974</v>
      </c>
      <c r="HC48" s="1342">
        <v>43</v>
      </c>
      <c r="HD48" s="1210" t="s">
        <v>5974</v>
      </c>
      <c r="HE48" s="1210"/>
      <c r="HH48" s="1212" t="s">
        <v>5422</v>
      </c>
      <c r="HI48" s="1185">
        <v>28.1</v>
      </c>
      <c r="HJ48" s="1185" t="s">
        <v>5932</v>
      </c>
      <c r="HK48" s="1183">
        <v>17</v>
      </c>
      <c r="HL48" s="1185" t="s">
        <v>5933</v>
      </c>
      <c r="HM48" s="1333">
        <v>21.1</v>
      </c>
      <c r="HN48" s="1210" t="s">
        <v>5934</v>
      </c>
      <c r="HO48" s="1199"/>
      <c r="HP48" s="1199"/>
    </row>
    <row r="49" spans="20:224" ht="15.6" customHeight="1">
      <c r="U49" s="515"/>
      <c r="V49" s="515"/>
      <c r="W49" s="515"/>
      <c r="AB49" s="398"/>
      <c r="AC49" s="439"/>
      <c r="AD49" s="757"/>
      <c r="AE49" s="757"/>
      <c r="AF49" s="757"/>
      <c r="AG49" s="515"/>
      <c r="AH49" s="515"/>
      <c r="AK49" s="1168"/>
      <c r="AL49" s="1168"/>
      <c r="AM49" s="1168"/>
      <c r="AN49" s="1168"/>
      <c r="AO49" s="1344"/>
      <c r="AP49" s="1344"/>
      <c r="AQ49" s="1338"/>
      <c r="AR49" s="1338"/>
      <c r="AS49" s="1338"/>
      <c r="AT49" s="1338"/>
      <c r="AU49" s="1338"/>
      <c r="AV49" s="1340"/>
      <c r="AW49" s="1340"/>
      <c r="AX49" s="1338"/>
      <c r="AY49" s="1338"/>
      <c r="AZ49" s="1338"/>
      <c r="BA49" s="1338"/>
      <c r="BB49" s="1338"/>
      <c r="BC49" s="1338"/>
      <c r="BD49" s="1338"/>
      <c r="BE49" s="1338"/>
      <c r="BF49" s="1338"/>
      <c r="BG49" s="1338"/>
      <c r="BH49" s="1338"/>
      <c r="BI49" s="1338"/>
      <c r="BJ49" s="1338"/>
      <c r="BK49" s="1338"/>
      <c r="BL49" s="1338"/>
      <c r="BM49" s="1338"/>
      <c r="BN49" s="1338"/>
      <c r="BO49" s="1338"/>
      <c r="BP49" s="1338"/>
      <c r="BQ49" s="1338"/>
      <c r="BR49" s="1338"/>
      <c r="BS49" s="1338"/>
      <c r="BT49" s="1090">
        <v>4</v>
      </c>
      <c r="BU49" s="1253" t="s">
        <v>5950</v>
      </c>
      <c r="BV49" s="382">
        <v>88</v>
      </c>
      <c r="BW49" s="799">
        <v>7.1</v>
      </c>
      <c r="BX49" s="771"/>
      <c r="BY49" s="1279"/>
      <c r="BZ49" s="382"/>
      <c r="CB49" s="1211" t="s">
        <v>5951</v>
      </c>
      <c r="CC49" s="1179">
        <v>0</v>
      </c>
      <c r="CD49" s="1180">
        <v>0</v>
      </c>
      <c r="CE49" s="1180">
        <v>0</v>
      </c>
      <c r="CF49" s="1180">
        <v>0</v>
      </c>
      <c r="CG49" s="1180">
        <v>0</v>
      </c>
      <c r="CH49" s="1180"/>
      <c r="CJ49" s="382" t="s">
        <v>5952</v>
      </c>
      <c r="CK49" s="393"/>
      <c r="CL49" s="1181"/>
      <c r="CM49" s="1181"/>
      <c r="CN49" s="1181"/>
      <c r="CO49" s="1181"/>
      <c r="CP49" s="1181"/>
      <c r="CQ49" s="1181"/>
      <c r="CR49" s="1181"/>
      <c r="CS49" s="1181"/>
      <c r="CU49" s="382" t="s">
        <v>5952</v>
      </c>
      <c r="CV49" s="393">
        <f t="shared" si="2"/>
        <v>0</v>
      </c>
      <c r="CW49" s="1181">
        <v>0</v>
      </c>
      <c r="CX49" s="1181">
        <v>0</v>
      </c>
      <c r="CY49" s="1181">
        <v>0</v>
      </c>
      <c r="CZ49" s="1181">
        <v>0</v>
      </c>
      <c r="DA49" s="1181">
        <v>0</v>
      </c>
      <c r="DB49" s="1181">
        <v>0</v>
      </c>
      <c r="DC49" s="1181">
        <v>0</v>
      </c>
      <c r="DD49" s="1181">
        <v>0</v>
      </c>
      <c r="DG49" s="382" t="s">
        <v>5952</v>
      </c>
      <c r="DH49" s="393">
        <f t="shared" si="8"/>
        <v>15</v>
      </c>
      <c r="DI49" s="1181">
        <v>0</v>
      </c>
      <c r="DJ49" s="1181">
        <v>0</v>
      </c>
      <c r="DK49" s="1181">
        <v>0</v>
      </c>
      <c r="DL49" s="1181">
        <v>11</v>
      </c>
      <c r="DM49" s="1181">
        <v>0</v>
      </c>
      <c r="DN49" s="1181">
        <v>0</v>
      </c>
      <c r="DO49" s="1181">
        <v>2</v>
      </c>
      <c r="DP49" s="1181">
        <v>2</v>
      </c>
      <c r="DQ49" s="409"/>
      <c r="DS49" s="382" t="s">
        <v>5935</v>
      </c>
      <c r="DT49" s="1179">
        <v>72</v>
      </c>
      <c r="DU49" s="1179">
        <v>36</v>
      </c>
      <c r="DV49" s="1179">
        <v>36</v>
      </c>
      <c r="DW49" s="1179">
        <v>0</v>
      </c>
      <c r="DX49" s="1180">
        <v>76</v>
      </c>
      <c r="DY49" s="1179">
        <v>39</v>
      </c>
      <c r="DZ49" s="1179">
        <v>37</v>
      </c>
      <c r="EA49" s="1179">
        <v>0</v>
      </c>
      <c r="EB49" s="393"/>
      <c r="EE49" s="1114"/>
      <c r="EF49" s="1183"/>
      <c r="EG49" s="1183"/>
      <c r="EH49" s="1183"/>
      <c r="EI49" s="1183"/>
      <c r="EJ49" s="1183"/>
      <c r="EK49" s="1183"/>
      <c r="EL49" s="1205"/>
      <c r="EM49" s="1205"/>
      <c r="ER49" s="1213"/>
      <c r="ES49" s="1188"/>
      <c r="ET49" s="1188"/>
      <c r="EU49" s="1188"/>
      <c r="EV49" s="1188"/>
      <c r="EW49" s="1188"/>
      <c r="EX49" s="1188"/>
      <c r="EY49" s="1115"/>
      <c r="EZ49" s="1115"/>
      <c r="FG49" s="1212"/>
      <c r="FH49" s="1345"/>
      <c r="FI49" s="1210"/>
      <c r="FJ49" s="1333"/>
      <c r="FK49" s="1210"/>
      <c r="FL49" s="1183"/>
      <c r="FM49" s="1183"/>
      <c r="FN49" s="1205"/>
      <c r="FO49" s="1205"/>
      <c r="FP49" s="1205"/>
      <c r="FQ49" s="1205"/>
      <c r="FR49" s="1205"/>
      <c r="FS49" s="1205"/>
      <c r="FV49" s="1220" t="s">
        <v>5449</v>
      </c>
      <c r="FW49" s="1115">
        <v>9.8000000000000007</v>
      </c>
      <c r="FX49" s="1115" t="s">
        <v>5953</v>
      </c>
      <c r="FY49" s="1115">
        <v>1.3</v>
      </c>
      <c r="FZ49" s="1115" t="s">
        <v>5954</v>
      </c>
      <c r="GA49" s="1115">
        <v>9.4</v>
      </c>
      <c r="GB49" s="1115" t="s">
        <v>5955</v>
      </c>
      <c r="GC49" s="1115">
        <v>0.8</v>
      </c>
      <c r="GD49" s="1115" t="s">
        <v>5956</v>
      </c>
      <c r="GE49" s="878">
        <v>11.7</v>
      </c>
      <c r="GF49" s="878" t="s">
        <v>5957</v>
      </c>
      <c r="GG49" s="878">
        <v>1.1000000000000001</v>
      </c>
      <c r="GH49" s="878" t="s">
        <v>5958</v>
      </c>
      <c r="GL49" s="1215" t="s">
        <v>5512</v>
      </c>
      <c r="GM49" s="1117">
        <v>14.3</v>
      </c>
      <c r="GN49" s="1117" t="s">
        <v>5959</v>
      </c>
      <c r="GO49" s="1117">
        <v>11.7</v>
      </c>
      <c r="GP49" s="1117" t="s">
        <v>5960</v>
      </c>
      <c r="GQ49" s="1326">
        <v>16.600000000000001</v>
      </c>
      <c r="GR49" s="1337" t="s">
        <v>5961</v>
      </c>
      <c r="GS49" s="1208"/>
      <c r="GT49" s="1208"/>
      <c r="GV49" s="1215" t="s">
        <v>5449</v>
      </c>
      <c r="GW49" s="1333">
        <v>31.8</v>
      </c>
      <c r="GX49" s="1210" t="s">
        <v>5988</v>
      </c>
      <c r="GY49" s="1333">
        <v>35.4</v>
      </c>
      <c r="GZ49" s="1210" t="s">
        <v>5989</v>
      </c>
      <c r="HA49" s="1333">
        <v>29.8</v>
      </c>
      <c r="HB49" s="1210" t="s">
        <v>5897</v>
      </c>
      <c r="HC49" s="1333">
        <v>29.8</v>
      </c>
      <c r="HD49" s="1210" t="s">
        <v>5897</v>
      </c>
      <c r="HE49" s="1216"/>
      <c r="HH49" s="1212" t="s">
        <v>5449</v>
      </c>
      <c r="HI49" s="1185">
        <v>19.100000000000001</v>
      </c>
      <c r="HJ49" s="1185" t="s">
        <v>5947</v>
      </c>
      <c r="HK49" s="1185">
        <v>22.1</v>
      </c>
      <c r="HL49" s="1185" t="s">
        <v>5948</v>
      </c>
      <c r="HM49" s="1333">
        <v>26.6</v>
      </c>
      <c r="HN49" s="1210" t="s">
        <v>5949</v>
      </c>
      <c r="HO49" s="1199"/>
      <c r="HP49" s="1199"/>
    </row>
    <row r="50" spans="20:224" ht="15.6" customHeight="1">
      <c r="U50" s="515"/>
      <c r="V50" s="515"/>
      <c r="W50" s="515"/>
      <c r="AB50" s="398"/>
      <c r="AC50" s="754"/>
      <c r="AD50" s="515"/>
      <c r="AE50" s="515"/>
      <c r="AF50" s="515"/>
      <c r="AG50" s="515"/>
      <c r="AH50" s="515"/>
      <c r="AK50" s="1168"/>
      <c r="AL50" s="1168"/>
      <c r="AM50" s="1168"/>
      <c r="AN50" s="1168"/>
      <c r="AO50" s="1344"/>
      <c r="AP50" s="1344"/>
      <c r="AQ50" s="1338"/>
      <c r="AR50" s="1338"/>
      <c r="AS50" s="1338"/>
      <c r="AT50" s="1338"/>
      <c r="AU50" s="1338"/>
      <c r="AV50" s="1338"/>
      <c r="AW50" s="1338"/>
      <c r="AX50" s="1338"/>
      <c r="AY50" s="1338"/>
      <c r="AZ50" s="1338"/>
      <c r="BA50" s="1338"/>
      <c r="BB50" s="1338"/>
      <c r="BC50" s="1338"/>
      <c r="BD50" s="1338"/>
      <c r="BE50" s="1338"/>
      <c r="BF50" s="1338"/>
      <c r="BG50" s="1338"/>
      <c r="BH50" s="1338"/>
      <c r="BI50" s="1338"/>
      <c r="BJ50" s="1338"/>
      <c r="BK50" s="1338"/>
      <c r="BL50" s="1338"/>
      <c r="BM50" s="1338"/>
      <c r="BN50" s="1338"/>
      <c r="BO50" s="1338"/>
      <c r="BP50" s="1338"/>
      <c r="BQ50" s="1338"/>
      <c r="BR50" s="1338"/>
      <c r="BS50" s="1338"/>
      <c r="BT50" s="1090">
        <v>5</v>
      </c>
      <c r="BU50" s="1253" t="s">
        <v>5965</v>
      </c>
      <c r="BV50" s="382"/>
      <c r="BW50" s="799"/>
      <c r="BX50" s="771"/>
      <c r="BZ50" s="382"/>
      <c r="CB50" s="1211" t="s">
        <v>5966</v>
      </c>
      <c r="CC50" s="1179">
        <v>6</v>
      </c>
      <c r="CD50" s="1180">
        <v>0</v>
      </c>
      <c r="CE50" s="1180">
        <v>0</v>
      </c>
      <c r="CF50" s="1180">
        <v>0</v>
      </c>
      <c r="CG50" s="1180">
        <v>0</v>
      </c>
      <c r="CH50" s="1180"/>
      <c r="CI50" s="519"/>
      <c r="CJ50" s="382" t="s">
        <v>5967</v>
      </c>
      <c r="CK50" s="393"/>
      <c r="CL50" s="1181"/>
      <c r="CM50" s="1181"/>
      <c r="CN50" s="1181"/>
      <c r="CO50" s="1181"/>
      <c r="CP50" s="1181"/>
      <c r="CQ50" s="1181"/>
      <c r="CR50" s="1181"/>
      <c r="CS50" s="1181"/>
      <c r="CT50" s="519"/>
      <c r="CU50" s="382" t="s">
        <v>5967</v>
      </c>
      <c r="CV50" s="393">
        <f t="shared" si="2"/>
        <v>0</v>
      </c>
      <c r="CW50" s="1181">
        <v>0</v>
      </c>
      <c r="CX50" s="1181">
        <v>0</v>
      </c>
      <c r="CY50" s="1181">
        <v>0</v>
      </c>
      <c r="CZ50" s="1181">
        <v>0</v>
      </c>
      <c r="DA50" s="1181">
        <v>0</v>
      </c>
      <c r="DB50" s="1181">
        <v>0</v>
      </c>
      <c r="DC50" s="1181">
        <v>0</v>
      </c>
      <c r="DD50" s="1181">
        <v>0</v>
      </c>
      <c r="DE50" s="519"/>
      <c r="DG50" s="382" t="s">
        <v>5967</v>
      </c>
      <c r="DH50" s="393">
        <f t="shared" si="8"/>
        <v>0</v>
      </c>
      <c r="DI50" s="1181">
        <v>0</v>
      </c>
      <c r="DJ50" s="1181">
        <v>0</v>
      </c>
      <c r="DK50" s="1181">
        <v>0</v>
      </c>
      <c r="DL50" s="1181">
        <v>0</v>
      </c>
      <c r="DM50" s="1181">
        <v>0</v>
      </c>
      <c r="DN50" s="1181">
        <v>0</v>
      </c>
      <c r="DO50" s="1181">
        <v>0</v>
      </c>
      <c r="DP50" s="1181">
        <v>0</v>
      </c>
      <c r="DQ50" s="409"/>
      <c r="DS50" s="382" t="s">
        <v>5951</v>
      </c>
      <c r="DT50" s="1179">
        <v>0</v>
      </c>
      <c r="DU50" s="1179">
        <v>0</v>
      </c>
      <c r="DV50" s="1179">
        <v>0</v>
      </c>
      <c r="DW50" s="1179">
        <v>0</v>
      </c>
      <c r="DX50" s="1180">
        <v>0</v>
      </c>
      <c r="DY50" s="1179">
        <v>0</v>
      </c>
      <c r="DZ50" s="1179">
        <v>0</v>
      </c>
      <c r="EA50" s="1179">
        <v>0</v>
      </c>
      <c r="EB50" s="393"/>
      <c r="EE50" s="1212"/>
      <c r="EF50" s="1183"/>
      <c r="EG50" s="1183"/>
      <c r="EH50" s="1183"/>
      <c r="EI50" s="1183"/>
      <c r="EJ50" s="1183"/>
      <c r="EK50" s="1183"/>
      <c r="EL50" s="1205"/>
      <c r="EM50" s="1205"/>
      <c r="ER50" s="1213"/>
      <c r="ES50" s="1188"/>
      <c r="ET50" s="1188"/>
      <c r="EU50" s="1188"/>
      <c r="EV50" s="1188"/>
      <c r="EW50" s="1188"/>
      <c r="EX50" s="1188"/>
      <c r="EY50" s="1115"/>
      <c r="EZ50" s="1115"/>
      <c r="FG50" s="1212"/>
      <c r="FH50" s="1333"/>
      <c r="FI50" s="1210"/>
      <c r="FJ50" s="1333"/>
      <c r="FK50" s="1210"/>
      <c r="FL50" s="1183"/>
      <c r="FM50" s="1183"/>
      <c r="FN50" s="1205"/>
      <c r="FO50" s="1205"/>
      <c r="FP50" s="1205"/>
      <c r="FQ50" s="1205"/>
      <c r="FR50" s="1205"/>
      <c r="FS50" s="1205"/>
      <c r="FV50" s="1220" t="s">
        <v>5482</v>
      </c>
      <c r="FW50" s="1115">
        <v>10.8</v>
      </c>
      <c r="FX50" s="1115" t="s">
        <v>5968</v>
      </c>
      <c r="FY50" s="1115">
        <v>0.6</v>
      </c>
      <c r="FZ50" s="1115" t="s">
        <v>5519</v>
      </c>
      <c r="GA50" s="1115">
        <v>10</v>
      </c>
      <c r="GB50" s="1115" t="s">
        <v>5969</v>
      </c>
      <c r="GC50" s="1115">
        <v>1.6</v>
      </c>
      <c r="GD50" s="1115" t="s">
        <v>5970</v>
      </c>
      <c r="GE50" s="878">
        <v>11.9</v>
      </c>
      <c r="GF50" s="878" t="s">
        <v>5971</v>
      </c>
      <c r="GG50" s="878">
        <v>1.3</v>
      </c>
      <c r="GH50" s="878" t="s">
        <v>5954</v>
      </c>
      <c r="GL50" s="1192" t="s">
        <v>3342</v>
      </c>
      <c r="GM50" s="1117"/>
      <c r="GN50" s="1117"/>
      <c r="GO50" s="1117"/>
      <c r="GP50" s="1117"/>
      <c r="GQ50" s="1192"/>
      <c r="GR50" s="1192"/>
      <c r="GS50" s="1208"/>
      <c r="GT50" s="1208"/>
      <c r="GV50" s="1215" t="s">
        <v>5482</v>
      </c>
      <c r="GW50" s="1342">
        <v>36.799999999999997</v>
      </c>
      <c r="GX50" s="1210" t="s">
        <v>5994</v>
      </c>
      <c r="GY50" s="1333">
        <v>36.1</v>
      </c>
      <c r="GZ50" s="1210" t="s">
        <v>5995</v>
      </c>
      <c r="HA50" s="1342">
        <v>34.9</v>
      </c>
      <c r="HB50" s="1210" t="s">
        <v>5996</v>
      </c>
      <c r="HC50" s="1333">
        <v>34.9</v>
      </c>
      <c r="HD50" s="1210" t="s">
        <v>5996</v>
      </c>
      <c r="HE50" s="1210"/>
      <c r="HH50" s="1212" t="s">
        <v>5482</v>
      </c>
      <c r="HI50" s="1185">
        <v>24.2</v>
      </c>
      <c r="HJ50" s="1185" t="s">
        <v>5962</v>
      </c>
      <c r="HK50" s="1183">
        <v>29</v>
      </c>
      <c r="HL50" s="1185" t="s">
        <v>5963</v>
      </c>
      <c r="HM50" s="1333">
        <v>26.1</v>
      </c>
      <c r="HN50" s="1210" t="s">
        <v>5964</v>
      </c>
      <c r="HO50" s="1199"/>
      <c r="HP50" s="1199"/>
    </row>
    <row r="51" spans="20:224" ht="15.6" customHeight="1">
      <c r="U51" s="515"/>
      <c r="V51" s="515"/>
      <c r="W51" s="515"/>
      <c r="AB51" s="398"/>
      <c r="AC51" s="754"/>
      <c r="AD51" s="515"/>
      <c r="AE51" s="515"/>
      <c r="AF51" s="515"/>
      <c r="AG51" s="515"/>
      <c r="AH51" s="515"/>
      <c r="AJ51" s="402"/>
      <c r="AK51" s="1120"/>
      <c r="AL51" s="1120"/>
      <c r="AM51" s="1120"/>
      <c r="AN51" s="1120"/>
      <c r="AO51" s="1344"/>
      <c r="AP51" s="1344"/>
      <c r="AQ51" s="1338"/>
      <c r="AR51" s="1340"/>
      <c r="AS51" s="1340"/>
      <c r="AT51" s="1340"/>
      <c r="AU51" s="1340"/>
      <c r="AV51" s="1338"/>
      <c r="AW51" s="1338"/>
      <c r="AX51" s="1340"/>
      <c r="AY51" s="1340"/>
      <c r="AZ51" s="1340"/>
      <c r="BA51" s="1340"/>
      <c r="BB51" s="1340"/>
      <c r="BC51" s="1340"/>
      <c r="BD51" s="1340"/>
      <c r="BE51" s="1340"/>
      <c r="BF51" s="1340"/>
      <c r="BG51" s="1340"/>
      <c r="BH51" s="1340"/>
      <c r="BI51" s="1340"/>
      <c r="BJ51" s="1340"/>
      <c r="BK51" s="1340"/>
      <c r="BL51" s="1340"/>
      <c r="BM51" s="1340"/>
      <c r="BN51" s="1340"/>
      <c r="BO51" s="1340"/>
      <c r="BP51" s="1340"/>
      <c r="BQ51" s="1340"/>
      <c r="BR51" s="1340"/>
      <c r="BS51" s="1340"/>
      <c r="BT51" s="1090"/>
      <c r="BU51" s="1253" t="s">
        <v>5978</v>
      </c>
      <c r="BV51" s="382">
        <v>55</v>
      </c>
      <c r="BW51" s="398">
        <v>4.4000000000000004</v>
      </c>
      <c r="BX51" s="771"/>
      <c r="BY51" s="515"/>
      <c r="BZ51" s="382"/>
      <c r="CB51" s="1211" t="s">
        <v>5979</v>
      </c>
      <c r="CC51" s="1179">
        <v>0</v>
      </c>
      <c r="CD51" s="1180">
        <v>2</v>
      </c>
      <c r="CE51" s="1180">
        <v>0</v>
      </c>
      <c r="CF51" s="1180">
        <v>0</v>
      </c>
      <c r="CG51" s="1180">
        <v>0</v>
      </c>
      <c r="CH51" s="1180"/>
      <c r="CJ51" s="382" t="s">
        <v>5980</v>
      </c>
      <c r="CK51" s="393"/>
      <c r="CL51" s="1181"/>
      <c r="CM51" s="1181"/>
      <c r="CN51" s="1181"/>
      <c r="CO51" s="1181"/>
      <c r="CP51" s="1181"/>
      <c r="CQ51" s="1181"/>
      <c r="CR51" s="1181"/>
      <c r="CS51" s="1181"/>
      <c r="CU51" s="382" t="s">
        <v>5980</v>
      </c>
      <c r="CV51" s="393">
        <f t="shared" si="2"/>
        <v>74</v>
      </c>
      <c r="CW51" s="1181">
        <v>0</v>
      </c>
      <c r="CX51" s="1181">
        <v>0</v>
      </c>
      <c r="CY51" s="1181">
        <v>0</v>
      </c>
      <c r="CZ51" s="1181">
        <v>1</v>
      </c>
      <c r="DA51" s="1181">
        <v>0</v>
      </c>
      <c r="DB51" s="1181">
        <v>23</v>
      </c>
      <c r="DC51" s="1181">
        <v>49</v>
      </c>
      <c r="DD51" s="1181">
        <v>1</v>
      </c>
      <c r="DG51" s="382" t="s">
        <v>5980</v>
      </c>
      <c r="DH51" s="393">
        <f t="shared" si="8"/>
        <v>80</v>
      </c>
      <c r="DI51" s="1181">
        <v>15</v>
      </c>
      <c r="DJ51" s="1181">
        <v>25</v>
      </c>
      <c r="DK51" s="1181">
        <v>0</v>
      </c>
      <c r="DL51" s="1181">
        <v>27</v>
      </c>
      <c r="DM51" s="1181">
        <v>1</v>
      </c>
      <c r="DN51" s="1181">
        <v>2</v>
      </c>
      <c r="DO51" s="1181">
        <v>1</v>
      </c>
      <c r="DP51" s="1181">
        <v>9</v>
      </c>
      <c r="DQ51" s="409"/>
      <c r="DS51" s="382" t="s">
        <v>5966</v>
      </c>
      <c r="DT51" s="1179">
        <v>6</v>
      </c>
      <c r="DU51" s="1179">
        <v>1</v>
      </c>
      <c r="DV51" s="1179">
        <v>5</v>
      </c>
      <c r="DW51" s="1179">
        <v>0</v>
      </c>
      <c r="DX51" s="1180">
        <v>0</v>
      </c>
      <c r="DY51" s="1179">
        <v>0</v>
      </c>
      <c r="DZ51" s="1179">
        <v>0</v>
      </c>
      <c r="EA51" s="1179">
        <v>0</v>
      </c>
      <c r="EB51" s="393"/>
      <c r="EE51" s="1212"/>
      <c r="EF51" s="1183"/>
      <c r="EG51" s="1183"/>
      <c r="EH51" s="1183"/>
      <c r="EI51" s="1183"/>
      <c r="EJ51" s="1183"/>
      <c r="EK51" s="1183"/>
      <c r="EL51" s="1205"/>
      <c r="EM51" s="1205"/>
      <c r="ER51" s="1318"/>
      <c r="ES51" s="1318"/>
      <c r="ET51" s="1318"/>
      <c r="EU51" s="1318"/>
      <c r="EV51" s="1318"/>
      <c r="EW51" s="1318"/>
      <c r="EX51" s="1318"/>
      <c r="EY51" s="1115"/>
      <c r="EZ51" s="1115"/>
      <c r="FG51" s="1212"/>
      <c r="FH51" s="1333"/>
      <c r="FI51" s="1210"/>
      <c r="FJ51" s="1333"/>
      <c r="FK51" s="1210"/>
      <c r="FL51" s="1183"/>
      <c r="FM51" s="1183"/>
      <c r="FN51" s="1205"/>
      <c r="FO51" s="1205"/>
      <c r="FP51" s="1205"/>
      <c r="FQ51" s="1205"/>
      <c r="FR51" s="1205"/>
      <c r="FS51" s="1205"/>
      <c r="FV51" s="1220" t="s">
        <v>5517</v>
      </c>
      <c r="FW51" s="1115">
        <v>7.9</v>
      </c>
      <c r="FX51" s="1115" t="s">
        <v>5981</v>
      </c>
      <c r="FY51" s="1115">
        <v>0.6</v>
      </c>
      <c r="FZ51" s="1115" t="s">
        <v>5519</v>
      </c>
      <c r="GA51" s="1115">
        <v>8.5</v>
      </c>
      <c r="GB51" s="1115" t="s">
        <v>5982</v>
      </c>
      <c r="GC51" s="1115">
        <v>1.8</v>
      </c>
      <c r="GD51" s="1115" t="s">
        <v>5983</v>
      </c>
      <c r="GE51" s="878">
        <v>9.6999999999999993</v>
      </c>
      <c r="GF51" s="878" t="s">
        <v>5905</v>
      </c>
      <c r="GG51" s="878">
        <v>1.1000000000000001</v>
      </c>
      <c r="GH51" s="878" t="s">
        <v>5984</v>
      </c>
      <c r="GL51" s="1215" t="s">
        <v>5557</v>
      </c>
      <c r="GM51" s="1117">
        <v>32.5</v>
      </c>
      <c r="GN51" s="1117" t="s">
        <v>5985</v>
      </c>
      <c r="GO51" s="1117">
        <v>32.1</v>
      </c>
      <c r="GP51" s="1117" t="s">
        <v>5986</v>
      </c>
      <c r="GQ51" s="1326">
        <v>42.7</v>
      </c>
      <c r="GR51" s="1337" t="s">
        <v>5987</v>
      </c>
      <c r="GS51" s="1208"/>
      <c r="GT51" s="1208"/>
      <c r="GV51" s="1215" t="s">
        <v>5512</v>
      </c>
      <c r="GW51" s="1342">
        <v>36.6</v>
      </c>
      <c r="GX51" s="1210" t="s">
        <v>6009</v>
      </c>
      <c r="GY51" s="1333">
        <v>26</v>
      </c>
      <c r="GZ51" s="1210" t="s">
        <v>6010</v>
      </c>
      <c r="HA51" s="1342">
        <v>40.799999999999997</v>
      </c>
      <c r="HB51" s="1210" t="s">
        <v>6011</v>
      </c>
      <c r="HC51" s="1333">
        <v>40.799999999999997</v>
      </c>
      <c r="HD51" s="1210" t="s">
        <v>6011</v>
      </c>
      <c r="HE51" s="1210"/>
      <c r="HH51" s="1212" t="s">
        <v>5517</v>
      </c>
      <c r="HI51" s="1185">
        <v>13.1</v>
      </c>
      <c r="HJ51" s="1185" t="s">
        <v>5975</v>
      </c>
      <c r="HK51" s="1185">
        <v>16.399999999999999</v>
      </c>
      <c r="HL51" s="1185" t="s">
        <v>5976</v>
      </c>
      <c r="HM51" s="1333">
        <v>16.399999999999999</v>
      </c>
      <c r="HN51" s="1210" t="s">
        <v>5977</v>
      </c>
      <c r="HO51" s="1199"/>
      <c r="HP51" s="1199"/>
    </row>
    <row r="52" spans="20:224" ht="15.6" customHeight="1">
      <c r="U52" s="515"/>
      <c r="V52" s="515"/>
      <c r="W52" s="515"/>
      <c r="AB52" s="398"/>
      <c r="AC52" s="754"/>
      <c r="AD52" s="515"/>
      <c r="AE52" s="515"/>
      <c r="AF52" s="515"/>
      <c r="AG52" s="757"/>
      <c r="AH52" s="757"/>
      <c r="AK52" s="1168"/>
      <c r="AL52" s="1168"/>
      <c r="AM52" s="1168"/>
      <c r="AN52" s="1168"/>
      <c r="AO52" s="1340"/>
      <c r="AP52" s="1340"/>
      <c r="AQ52" s="1340"/>
      <c r="AR52" s="1338"/>
      <c r="AS52" s="1338"/>
      <c r="AT52" s="1338"/>
      <c r="AU52" s="1338"/>
      <c r="AV52" s="1338"/>
      <c r="AW52" s="1338"/>
      <c r="AX52" s="1338"/>
      <c r="AY52" s="1338"/>
      <c r="AZ52" s="1338"/>
      <c r="BA52" s="1338"/>
      <c r="BB52" s="1338"/>
      <c r="BC52" s="1338"/>
      <c r="BD52" s="1338"/>
      <c r="BE52" s="1338"/>
      <c r="BF52" s="1338"/>
      <c r="BG52" s="1338"/>
      <c r="BH52" s="1338"/>
      <c r="BI52" s="1338"/>
      <c r="BJ52" s="1338"/>
      <c r="BK52" s="1338"/>
      <c r="BL52" s="1338"/>
      <c r="BM52" s="1338"/>
      <c r="BN52" s="1338"/>
      <c r="BO52" s="1338"/>
      <c r="BP52" s="1338"/>
      <c r="BQ52" s="1338"/>
      <c r="BR52" s="1338"/>
      <c r="BS52" s="1338"/>
      <c r="BT52" s="1090">
        <v>6</v>
      </c>
      <c r="BU52" s="398" t="s">
        <v>5289</v>
      </c>
      <c r="BV52" s="382">
        <v>53</v>
      </c>
      <c r="BW52" s="799">
        <v>4.3</v>
      </c>
      <c r="BX52" s="771"/>
      <c r="BY52" s="771"/>
      <c r="BZ52" s="382"/>
      <c r="CB52" s="1211" t="s">
        <v>5372</v>
      </c>
      <c r="CC52" s="1179">
        <v>1</v>
      </c>
      <c r="CD52" s="1180">
        <v>0</v>
      </c>
      <c r="CE52" s="1180">
        <v>0</v>
      </c>
      <c r="CF52" s="1180">
        <v>0</v>
      </c>
      <c r="CG52" s="1180">
        <v>0</v>
      </c>
      <c r="CH52" s="1180"/>
      <c r="CJ52" s="382" t="s">
        <v>5990</v>
      </c>
      <c r="CK52" s="393"/>
      <c r="CL52" s="1181"/>
      <c r="CM52" s="1181"/>
      <c r="CN52" s="1181"/>
      <c r="CO52" s="1181"/>
      <c r="CP52" s="1181"/>
      <c r="CQ52" s="1181"/>
      <c r="CR52" s="1181"/>
      <c r="CS52" s="1181"/>
      <c r="CU52" s="382" t="s">
        <v>5990</v>
      </c>
      <c r="CV52" s="393">
        <f t="shared" si="2"/>
        <v>11</v>
      </c>
      <c r="CW52" s="1181">
        <v>6</v>
      </c>
      <c r="CX52" s="1181">
        <v>0</v>
      </c>
      <c r="CY52" s="1181">
        <v>0</v>
      </c>
      <c r="CZ52" s="1181">
        <v>3</v>
      </c>
      <c r="DA52" s="1181">
        <v>0</v>
      </c>
      <c r="DB52" s="1181">
        <v>0</v>
      </c>
      <c r="DC52" s="1181">
        <v>1</v>
      </c>
      <c r="DD52" s="1181">
        <v>1</v>
      </c>
      <c r="DF52" s="1348"/>
      <c r="DG52" s="382" t="s">
        <v>5990</v>
      </c>
      <c r="DH52" s="393">
        <f t="shared" si="8"/>
        <v>35</v>
      </c>
      <c r="DI52" s="1181">
        <v>22</v>
      </c>
      <c r="DJ52" s="1181">
        <v>2</v>
      </c>
      <c r="DK52" s="1181">
        <v>1</v>
      </c>
      <c r="DL52" s="1181">
        <v>8</v>
      </c>
      <c r="DM52" s="1181">
        <v>0</v>
      </c>
      <c r="DN52" s="1181">
        <v>0</v>
      </c>
      <c r="DO52" s="1181">
        <v>2</v>
      </c>
      <c r="DP52" s="1181">
        <v>0</v>
      </c>
      <c r="DQ52" s="409"/>
      <c r="DS52" s="382" t="s">
        <v>5979</v>
      </c>
      <c r="DT52" s="1179">
        <v>0</v>
      </c>
      <c r="DU52" s="1179">
        <v>0</v>
      </c>
      <c r="DV52" s="1179">
        <v>0</v>
      </c>
      <c r="DW52" s="1179">
        <v>0</v>
      </c>
      <c r="DX52" s="1180">
        <v>2</v>
      </c>
      <c r="DY52" s="1179">
        <v>1</v>
      </c>
      <c r="DZ52" s="1179">
        <v>1</v>
      </c>
      <c r="EA52" s="1179">
        <v>0</v>
      </c>
      <c r="EE52" s="1212"/>
      <c r="EF52" s="1183"/>
      <c r="EG52" s="1183"/>
      <c r="EH52" s="1183"/>
      <c r="EI52" s="1183"/>
      <c r="EJ52" s="1183"/>
      <c r="EK52" s="1183"/>
      <c r="EL52" s="1205"/>
      <c r="EM52" s="1205"/>
      <c r="ER52" s="1213"/>
      <c r="ES52" s="1188"/>
      <c r="ET52" s="1188"/>
      <c r="EU52" s="1188"/>
      <c r="EV52" s="1188"/>
      <c r="EW52" s="1188"/>
      <c r="EX52" s="1188"/>
      <c r="EY52" s="1115"/>
      <c r="EZ52" s="1115"/>
      <c r="FG52" s="1114"/>
      <c r="FH52" s="1339"/>
      <c r="FI52" s="1339"/>
      <c r="FJ52" s="1339"/>
      <c r="FK52" s="1339"/>
      <c r="FL52" s="1183"/>
      <c r="FM52" s="1183"/>
      <c r="FN52" s="1349"/>
      <c r="FO52" s="1205"/>
      <c r="FP52" s="1205"/>
      <c r="FQ52" s="1205"/>
      <c r="FR52" s="1205"/>
      <c r="FS52" s="1205"/>
      <c r="FV52" s="1206" t="s">
        <v>3342</v>
      </c>
      <c r="FW52" s="1115"/>
      <c r="FX52" s="1115"/>
      <c r="FY52" s="1115"/>
      <c r="FZ52" s="1115"/>
      <c r="GA52" s="1115"/>
      <c r="GB52" s="1115"/>
      <c r="GC52" s="1115"/>
      <c r="GD52" s="1115"/>
      <c r="GE52" s="878"/>
      <c r="GF52" s="878"/>
      <c r="GG52" s="878"/>
      <c r="GH52" s="878"/>
      <c r="GL52" s="1215" t="s">
        <v>5582</v>
      </c>
      <c r="GM52" s="1117">
        <v>30.5</v>
      </c>
      <c r="GN52" s="1117" t="s">
        <v>5991</v>
      </c>
      <c r="GO52" s="1117">
        <v>38.4</v>
      </c>
      <c r="GP52" s="1117" t="s">
        <v>5992</v>
      </c>
      <c r="GQ52" s="1326">
        <v>25.9</v>
      </c>
      <c r="GR52" s="1337" t="s">
        <v>5993</v>
      </c>
      <c r="GS52" s="1208"/>
      <c r="GT52" s="1208"/>
      <c r="GV52" s="1192" t="s">
        <v>3342</v>
      </c>
      <c r="GW52" s="1216"/>
      <c r="GX52" s="1216"/>
      <c r="GY52" s="1216"/>
      <c r="GZ52" s="1216"/>
      <c r="HA52" s="1216"/>
      <c r="HB52" s="1216"/>
      <c r="HC52" s="1216"/>
      <c r="HD52" s="1216"/>
      <c r="HE52" s="1210"/>
      <c r="HH52" s="1182" t="s">
        <v>3342</v>
      </c>
      <c r="HI52" s="1185"/>
      <c r="HJ52" s="1185"/>
      <c r="HK52" s="1185"/>
      <c r="HL52" s="1185"/>
      <c r="HM52" s="1216"/>
      <c r="HN52" s="1216"/>
      <c r="HO52" s="1199"/>
      <c r="HP52" s="1199"/>
    </row>
    <row r="53" spans="20:224" ht="15.6" customHeight="1">
      <c r="U53" s="515"/>
      <c r="V53" s="515"/>
      <c r="W53" s="515"/>
      <c r="AB53" s="398"/>
      <c r="AC53" s="757"/>
      <c r="AD53" s="515"/>
      <c r="AE53" s="515"/>
      <c r="AF53" s="757"/>
      <c r="AG53" s="757"/>
      <c r="AH53" s="757"/>
      <c r="AJ53" s="515"/>
      <c r="AK53" s="1168"/>
      <c r="AL53" s="1168"/>
      <c r="AM53" s="1168"/>
      <c r="AN53" s="1168"/>
      <c r="AO53" s="1344"/>
      <c r="AP53" s="1338"/>
      <c r="AQ53" s="1338"/>
      <c r="AR53" s="1340"/>
      <c r="AS53" s="1340"/>
      <c r="AT53" s="1338"/>
      <c r="AU53" s="1338"/>
      <c r="AV53" s="1338"/>
      <c r="AW53" s="1338"/>
      <c r="AX53" s="1338"/>
      <c r="AY53" s="1338"/>
      <c r="AZ53" s="1338"/>
      <c r="BA53" s="1338"/>
      <c r="BB53" s="1338"/>
      <c r="BC53" s="1338"/>
      <c r="BD53" s="1338"/>
      <c r="BE53" s="1338"/>
      <c r="BF53" s="1338"/>
      <c r="BG53" s="1338"/>
      <c r="BH53" s="1338"/>
      <c r="BI53" s="1338"/>
      <c r="BJ53" s="1338"/>
      <c r="BK53" s="1338"/>
      <c r="BL53" s="1338"/>
      <c r="BM53" s="1338"/>
      <c r="BN53" s="1338"/>
      <c r="BO53" s="1338"/>
      <c r="BP53" s="1338"/>
      <c r="BQ53" s="1338"/>
      <c r="BR53" s="1338"/>
      <c r="BS53" s="1338"/>
      <c r="BT53" s="1090">
        <v>7</v>
      </c>
      <c r="BU53" s="1258" t="s">
        <v>6000</v>
      </c>
      <c r="BV53" s="382">
        <v>42</v>
      </c>
      <c r="BW53" s="799">
        <v>3.4</v>
      </c>
      <c r="BX53" s="771"/>
      <c r="BZ53" s="382"/>
      <c r="CB53" s="1280" t="s">
        <v>5406</v>
      </c>
      <c r="CC53" s="1179">
        <v>207</v>
      </c>
      <c r="CD53" s="1180">
        <v>190</v>
      </c>
      <c r="CE53" s="1180">
        <v>278</v>
      </c>
      <c r="CF53" s="1180">
        <v>199</v>
      </c>
      <c r="CG53" s="1180">
        <v>209</v>
      </c>
      <c r="CH53" s="1180"/>
      <c r="CJ53" s="1350" t="s">
        <v>6001</v>
      </c>
      <c r="CK53" s="569"/>
      <c r="CL53" s="1351"/>
      <c r="CM53" s="1351"/>
      <c r="CN53" s="1351"/>
      <c r="CO53" s="1351"/>
      <c r="CP53" s="1351"/>
      <c r="CQ53" s="1351"/>
      <c r="CR53" s="1351"/>
      <c r="CS53" s="1351"/>
      <c r="CU53" s="1350" t="s">
        <v>6001</v>
      </c>
      <c r="CV53" s="569">
        <f t="shared" si="2"/>
        <v>0</v>
      </c>
      <c r="CW53" s="1351">
        <v>0</v>
      </c>
      <c r="CX53" s="1351">
        <v>0</v>
      </c>
      <c r="CY53" s="1351">
        <v>0</v>
      </c>
      <c r="CZ53" s="1351">
        <v>0</v>
      </c>
      <c r="DA53" s="1351">
        <v>0</v>
      </c>
      <c r="DB53" s="1351">
        <v>0</v>
      </c>
      <c r="DC53" s="1351">
        <v>0</v>
      </c>
      <c r="DD53" s="1351">
        <v>0</v>
      </c>
      <c r="DF53" s="1348"/>
      <c r="DG53" s="1350" t="s">
        <v>6001</v>
      </c>
      <c r="DH53" s="569">
        <f t="shared" si="8"/>
        <v>0</v>
      </c>
      <c r="DI53" s="1351">
        <v>0</v>
      </c>
      <c r="DJ53" s="1351">
        <v>0</v>
      </c>
      <c r="DK53" s="1351">
        <v>0</v>
      </c>
      <c r="DL53" s="1351">
        <v>0</v>
      </c>
      <c r="DM53" s="1351">
        <v>0</v>
      </c>
      <c r="DN53" s="1351">
        <v>0</v>
      </c>
      <c r="DO53" s="1351">
        <v>0</v>
      </c>
      <c r="DP53" s="1351">
        <v>0</v>
      </c>
      <c r="DQ53" s="409"/>
      <c r="DS53" s="382" t="s">
        <v>5372</v>
      </c>
      <c r="DT53" s="1179">
        <v>1</v>
      </c>
      <c r="DU53" s="1179">
        <v>1</v>
      </c>
      <c r="DV53" s="1179">
        <v>0</v>
      </c>
      <c r="DW53" s="1179">
        <v>0</v>
      </c>
      <c r="DX53" s="1180">
        <v>0</v>
      </c>
      <c r="DY53" s="1179">
        <v>0</v>
      </c>
      <c r="DZ53" s="1179">
        <v>0</v>
      </c>
      <c r="EA53" s="1179">
        <v>0</v>
      </c>
      <c r="EE53" s="1212"/>
      <c r="EF53" s="1183"/>
      <c r="EG53" s="1183"/>
      <c r="EH53" s="1183"/>
      <c r="EI53" s="1183"/>
      <c r="EJ53" s="1183"/>
      <c r="EK53" s="1183"/>
      <c r="EL53" s="1205"/>
      <c r="EM53" s="1205"/>
      <c r="ER53" s="1213"/>
      <c r="ES53" s="1188"/>
      <c r="ET53" s="1188"/>
      <c r="EU53" s="1188"/>
      <c r="EV53" s="1188"/>
      <c r="EW53" s="1188"/>
      <c r="EX53" s="1188"/>
      <c r="EY53" s="1115"/>
      <c r="EZ53" s="1115"/>
      <c r="FG53" s="1212"/>
      <c r="FH53" s="1333"/>
      <c r="FI53" s="1210"/>
      <c r="FJ53" s="1333"/>
      <c r="FK53" s="1210"/>
      <c r="FL53" s="1183"/>
      <c r="FM53" s="1183"/>
      <c r="FN53" s="1205"/>
      <c r="FO53" s="1205"/>
      <c r="FP53" s="1205"/>
      <c r="FQ53" s="1205"/>
      <c r="FR53" s="1205"/>
      <c r="FS53" s="1205"/>
      <c r="FV53" s="1220" t="s">
        <v>5557</v>
      </c>
      <c r="FW53" s="1115">
        <v>15.7</v>
      </c>
      <c r="FX53" s="1115" t="s">
        <v>6002</v>
      </c>
      <c r="FY53" s="1115">
        <v>1.6</v>
      </c>
      <c r="FZ53" s="1115" t="s">
        <v>5129</v>
      </c>
      <c r="GA53" s="1115">
        <v>14.5</v>
      </c>
      <c r="GB53" s="1115" t="s">
        <v>6003</v>
      </c>
      <c r="GC53" s="1115">
        <v>1.1000000000000001</v>
      </c>
      <c r="GD53" s="1115" t="s">
        <v>6004</v>
      </c>
      <c r="GE53" s="878">
        <v>11.9</v>
      </c>
      <c r="GF53" s="878" t="s">
        <v>6005</v>
      </c>
      <c r="GG53" s="878">
        <v>2.2000000000000002</v>
      </c>
      <c r="GH53" s="878" t="s">
        <v>5812</v>
      </c>
      <c r="GL53" s="1215" t="s">
        <v>5614</v>
      </c>
      <c r="GM53" s="1117">
        <v>19.5</v>
      </c>
      <c r="GN53" s="1117" t="s">
        <v>6006</v>
      </c>
      <c r="GO53" s="1117">
        <v>26.6</v>
      </c>
      <c r="GP53" s="1117" t="s">
        <v>6007</v>
      </c>
      <c r="GQ53" s="1326">
        <v>35.299999999999997</v>
      </c>
      <c r="GR53" s="1337" t="s">
        <v>6008</v>
      </c>
      <c r="GS53" s="1208"/>
      <c r="GT53" s="1208"/>
      <c r="GV53" s="1215" t="s">
        <v>5557</v>
      </c>
      <c r="GW53" s="1333">
        <v>28</v>
      </c>
      <c r="GX53" s="1210" t="s">
        <v>6034</v>
      </c>
      <c r="GY53" s="1333">
        <v>38.9</v>
      </c>
      <c r="GZ53" s="1210" t="s">
        <v>6035</v>
      </c>
      <c r="HA53" s="1333">
        <v>36.9</v>
      </c>
      <c r="HB53" s="1210" t="s">
        <v>6036</v>
      </c>
      <c r="HC53" s="1333">
        <v>36.9</v>
      </c>
      <c r="HD53" s="1210" t="s">
        <v>6036</v>
      </c>
      <c r="HE53" s="1210"/>
      <c r="HH53" s="1212" t="s">
        <v>5557</v>
      </c>
      <c r="HI53" s="1185">
        <v>20.8</v>
      </c>
      <c r="HJ53" s="1185" t="s">
        <v>5997</v>
      </c>
      <c r="HK53" s="1185">
        <v>12.6</v>
      </c>
      <c r="HL53" s="1185" t="s">
        <v>5998</v>
      </c>
      <c r="HM53" s="1333">
        <v>15.9</v>
      </c>
      <c r="HN53" s="1333" t="s">
        <v>5999</v>
      </c>
      <c r="HO53" s="1199"/>
      <c r="HP53" s="1199"/>
    </row>
    <row r="54" spans="20:224" ht="15.6" customHeight="1">
      <c r="U54" s="515"/>
      <c r="V54" s="515"/>
      <c r="W54" s="515"/>
      <c r="AB54" s="398"/>
      <c r="AC54" s="754"/>
      <c r="AD54" s="515"/>
      <c r="AE54" s="515"/>
      <c r="AF54" s="515"/>
      <c r="AG54" s="515"/>
      <c r="AH54" s="515"/>
      <c r="AJ54" s="515"/>
      <c r="AK54" s="1224"/>
      <c r="AL54" s="1224"/>
      <c r="AM54" s="1224"/>
      <c r="AN54" s="1224"/>
      <c r="AO54" s="1344"/>
      <c r="AP54" s="1340"/>
      <c r="AQ54" s="1340"/>
      <c r="AR54" s="1338"/>
      <c r="AS54" s="1338"/>
      <c r="AT54" s="1340"/>
      <c r="AU54" s="1340"/>
      <c r="AV54" s="1340"/>
      <c r="AW54" s="1340"/>
      <c r="AX54" s="1340"/>
      <c r="AY54" s="1340"/>
      <c r="AZ54" s="1340"/>
      <c r="BA54" s="1340"/>
      <c r="BB54" s="1340"/>
      <c r="BC54" s="1340"/>
      <c r="BD54" s="1340"/>
      <c r="BE54" s="1340"/>
      <c r="BF54" s="1340"/>
      <c r="BG54" s="1340"/>
      <c r="BH54" s="1340"/>
      <c r="BI54" s="1340"/>
      <c r="BJ54" s="1340"/>
      <c r="BK54" s="1340"/>
      <c r="BL54" s="1340"/>
      <c r="BM54" s="1340"/>
      <c r="BN54" s="1340"/>
      <c r="BO54" s="1340"/>
      <c r="BP54" s="1340"/>
      <c r="BQ54" s="1340"/>
      <c r="BR54" s="1340"/>
      <c r="BS54" s="1340"/>
      <c r="BT54" s="1090">
        <v>8</v>
      </c>
      <c r="BU54" s="1258" t="s">
        <v>6015</v>
      </c>
      <c r="BV54" s="382">
        <v>28</v>
      </c>
      <c r="BW54" s="799">
        <v>2.2999999999999998</v>
      </c>
      <c r="BX54" s="771"/>
      <c r="BZ54" s="382"/>
      <c r="CB54" s="1280" t="s">
        <v>6016</v>
      </c>
      <c r="CC54" s="1179">
        <v>0</v>
      </c>
      <c r="CD54" s="1180">
        <v>0</v>
      </c>
      <c r="CE54" s="1180">
        <v>0</v>
      </c>
      <c r="CF54" s="1180">
        <v>0</v>
      </c>
      <c r="CG54" s="1180">
        <v>0</v>
      </c>
      <c r="CH54" s="1180"/>
      <c r="CJ54" s="398" t="s">
        <v>6017</v>
      </c>
      <c r="CK54" s="409"/>
      <c r="CL54" s="1352"/>
      <c r="CM54" s="1352"/>
      <c r="CN54" s="1352"/>
      <c r="CO54" s="1352"/>
      <c r="CP54" s="1352"/>
      <c r="CQ54" s="1352"/>
      <c r="CR54" s="1352"/>
      <c r="CS54" s="1352"/>
      <c r="CU54" s="398" t="s">
        <v>6018</v>
      </c>
      <c r="CV54" s="409"/>
      <c r="CW54" s="1352"/>
      <c r="CX54" s="1352"/>
      <c r="CY54" s="1352"/>
      <c r="CZ54" s="1352"/>
      <c r="DA54" s="1352"/>
      <c r="DB54" s="1352"/>
      <c r="DC54" s="1352"/>
      <c r="DD54" s="1352"/>
      <c r="DF54" s="1211"/>
      <c r="DG54" s="398" t="s">
        <v>6019</v>
      </c>
      <c r="DH54" s="409"/>
      <c r="DI54" s="1352"/>
      <c r="DJ54" s="1352"/>
      <c r="DK54" s="1352"/>
      <c r="DL54" s="1352"/>
      <c r="DM54" s="1352"/>
      <c r="DN54" s="1352"/>
      <c r="DO54" s="1352"/>
      <c r="DP54" s="1352"/>
      <c r="DQ54" s="409"/>
      <c r="DS54" s="382" t="s">
        <v>5406</v>
      </c>
      <c r="DT54" s="1179">
        <v>207</v>
      </c>
      <c r="DU54" s="1179">
        <v>92</v>
      </c>
      <c r="DV54" s="1179">
        <v>115</v>
      </c>
      <c r="DW54" s="1179">
        <v>0</v>
      </c>
      <c r="DX54" s="1180">
        <v>190</v>
      </c>
      <c r="DY54" s="1179">
        <v>110</v>
      </c>
      <c r="DZ54" s="1179">
        <v>80</v>
      </c>
      <c r="EA54" s="1179">
        <v>0</v>
      </c>
      <c r="EE54" s="1212"/>
      <c r="EF54" s="1183"/>
      <c r="EG54" s="1183"/>
      <c r="EH54" s="1183"/>
      <c r="EI54" s="1183"/>
      <c r="EJ54" s="1183"/>
      <c r="EK54" s="1183"/>
      <c r="EL54" s="1205"/>
      <c r="EM54" s="1205"/>
      <c r="ER54" s="1213"/>
      <c r="ES54" s="1188"/>
      <c r="ET54" s="1188"/>
      <c r="EU54" s="1188"/>
      <c r="EV54" s="1188"/>
      <c r="EW54" s="1188"/>
      <c r="EX54" s="1188"/>
      <c r="EY54" s="1115"/>
      <c r="EZ54" s="1115"/>
      <c r="FG54" s="1212"/>
      <c r="FH54" s="1333"/>
      <c r="FI54" s="1210"/>
      <c r="FJ54" s="1333"/>
      <c r="FK54" s="1210"/>
      <c r="FL54" s="1183"/>
      <c r="FM54" s="1183"/>
      <c r="FN54" s="1205"/>
      <c r="FO54" s="1205"/>
      <c r="FP54" s="1205"/>
      <c r="FQ54" s="1205"/>
      <c r="FR54" s="1205"/>
      <c r="FS54" s="1205"/>
      <c r="FV54" s="1220" t="s">
        <v>5582</v>
      </c>
      <c r="FW54" s="1115">
        <v>9.1999999999999993</v>
      </c>
      <c r="FX54" s="1115" t="s">
        <v>6020</v>
      </c>
      <c r="FY54" s="1115">
        <v>0.6</v>
      </c>
      <c r="FZ54" s="1115" t="s">
        <v>5158</v>
      </c>
      <c r="GA54" s="1115">
        <v>14.2</v>
      </c>
      <c r="GB54" s="1115" t="s">
        <v>6021</v>
      </c>
      <c r="GC54" s="1115">
        <v>2.6</v>
      </c>
      <c r="GD54" s="1115" t="s">
        <v>5661</v>
      </c>
      <c r="GE54" s="878">
        <v>13.2</v>
      </c>
      <c r="GF54" s="878" t="s">
        <v>5957</v>
      </c>
      <c r="GG54" s="878">
        <v>1.1000000000000001</v>
      </c>
      <c r="GH54" s="878" t="s">
        <v>5695</v>
      </c>
      <c r="GL54" s="1215" t="s">
        <v>5646</v>
      </c>
      <c r="GM54" s="1117">
        <v>20.2</v>
      </c>
      <c r="GN54" s="1117" t="s">
        <v>5708</v>
      </c>
      <c r="GO54" s="1117">
        <v>19.2</v>
      </c>
      <c r="GP54" s="1117" t="s">
        <v>6022</v>
      </c>
      <c r="GQ54" s="1341">
        <v>27.1</v>
      </c>
      <c r="GR54" s="1337" t="s">
        <v>6023</v>
      </c>
      <c r="GS54" s="1208"/>
      <c r="GT54" s="1208"/>
      <c r="GV54" s="1215" t="s">
        <v>5582</v>
      </c>
      <c r="GW54" s="1333">
        <v>31.3</v>
      </c>
      <c r="GX54" s="1210" t="s">
        <v>6048</v>
      </c>
      <c r="GY54" s="1333">
        <v>34.200000000000003</v>
      </c>
      <c r="GZ54" s="1210" t="s">
        <v>6049</v>
      </c>
      <c r="HA54" s="1333">
        <v>32.799999999999997</v>
      </c>
      <c r="HB54" s="1210" t="s">
        <v>6050</v>
      </c>
      <c r="HC54" s="1333">
        <v>32.799999999999997</v>
      </c>
      <c r="HD54" s="1210" t="s">
        <v>6050</v>
      </c>
      <c r="HE54" s="1216"/>
      <c r="HH54" s="1212" t="s">
        <v>5582</v>
      </c>
      <c r="HI54" s="1185">
        <v>27.7</v>
      </c>
      <c r="HJ54" s="1185" t="s">
        <v>6012</v>
      </c>
      <c r="HK54" s="1185">
        <v>27.7</v>
      </c>
      <c r="HL54" s="1185" t="s">
        <v>6013</v>
      </c>
      <c r="HM54" s="1342">
        <v>26.3</v>
      </c>
      <c r="HN54" s="1210" t="s">
        <v>6014</v>
      </c>
      <c r="HO54" s="1199"/>
      <c r="HP54" s="1199"/>
    </row>
    <row r="55" spans="20:224" ht="15.6" customHeight="1">
      <c r="U55" s="515"/>
      <c r="V55" s="515"/>
      <c r="W55" s="515"/>
      <c r="X55" s="515"/>
      <c r="Y55" s="515"/>
      <c r="Z55" s="515"/>
      <c r="AA55" s="515"/>
      <c r="AB55" s="386"/>
      <c r="AC55" s="398"/>
      <c r="AD55" s="398"/>
      <c r="AE55" s="398"/>
      <c r="AF55" s="398"/>
      <c r="AG55" s="398"/>
      <c r="AH55" s="398"/>
      <c r="AK55" s="1120"/>
      <c r="AL55" s="1120"/>
      <c r="AM55" s="1120"/>
      <c r="AN55" s="1120"/>
      <c r="AO55" s="1344"/>
      <c r="AP55" s="1338"/>
      <c r="AQ55" s="1338"/>
      <c r="AR55" s="1340"/>
      <c r="AS55" s="1340"/>
      <c r="AT55" s="1338"/>
      <c r="AU55" s="1338"/>
      <c r="AV55" s="1338"/>
      <c r="AW55" s="1338"/>
      <c r="AX55" s="1338"/>
      <c r="AY55" s="1338"/>
      <c r="AZ55" s="1338"/>
      <c r="BA55" s="1338"/>
      <c r="BB55" s="1338"/>
      <c r="BC55" s="1338"/>
      <c r="BD55" s="1338"/>
      <c r="BE55" s="1338"/>
      <c r="BF55" s="1338"/>
      <c r="BG55" s="1338"/>
      <c r="BH55" s="1338"/>
      <c r="BI55" s="1338"/>
      <c r="BJ55" s="1338"/>
      <c r="BK55" s="1338"/>
      <c r="BL55" s="1338"/>
      <c r="BM55" s="1338"/>
      <c r="BN55" s="1338"/>
      <c r="BO55" s="1338"/>
      <c r="BP55" s="1338"/>
      <c r="BQ55" s="1338"/>
      <c r="BR55" s="1338"/>
      <c r="BS55" s="1338"/>
      <c r="BT55" s="1090">
        <v>9</v>
      </c>
      <c r="BU55" s="398" t="s">
        <v>6027</v>
      </c>
      <c r="BV55" s="382">
        <v>25</v>
      </c>
      <c r="BW55" s="799">
        <v>2</v>
      </c>
      <c r="BX55" s="771"/>
      <c r="BY55" s="771"/>
      <c r="BZ55" s="382"/>
      <c r="CB55" s="1211" t="s">
        <v>6028</v>
      </c>
      <c r="CC55" s="1179">
        <v>5</v>
      </c>
      <c r="CD55" s="1180">
        <v>4</v>
      </c>
      <c r="CE55" s="1180">
        <v>0</v>
      </c>
      <c r="CF55" s="1180">
        <v>5</v>
      </c>
      <c r="CG55" s="1180">
        <v>1</v>
      </c>
      <c r="CH55" s="1180"/>
      <c r="DF55" s="1211"/>
      <c r="DQ55" s="409"/>
      <c r="DS55" s="382" t="s">
        <v>6016</v>
      </c>
      <c r="DT55" s="1179">
        <v>0</v>
      </c>
      <c r="DU55" s="1180">
        <v>0</v>
      </c>
      <c r="DV55" s="1180">
        <v>0</v>
      </c>
      <c r="DW55" s="1180">
        <v>0</v>
      </c>
      <c r="DX55" s="1180">
        <v>0</v>
      </c>
      <c r="DY55" s="1180">
        <v>0</v>
      </c>
      <c r="DZ55" s="1180">
        <v>0</v>
      </c>
      <c r="EA55" s="1180">
        <v>0</v>
      </c>
      <c r="EE55" s="1212"/>
      <c r="EF55" s="1183"/>
      <c r="EG55" s="1183"/>
      <c r="EH55" s="1183"/>
      <c r="EI55" s="1183"/>
      <c r="EJ55" s="1183"/>
      <c r="EK55" s="1183"/>
      <c r="EL55" s="1205"/>
      <c r="EM55" s="1205"/>
      <c r="ER55" s="1213"/>
      <c r="ES55" s="1188"/>
      <c r="ET55" s="1188"/>
      <c r="EU55" s="1188"/>
      <c r="EV55" s="1188"/>
      <c r="EW55" s="1188"/>
      <c r="EX55" s="1188"/>
      <c r="EY55" s="1115"/>
      <c r="EZ55" s="1115"/>
      <c r="FG55" s="1212"/>
      <c r="FH55" s="1333"/>
      <c r="FI55" s="1210"/>
      <c r="FJ55" s="1333"/>
      <c r="FK55" s="1210"/>
      <c r="FL55" s="1183"/>
      <c r="FM55" s="1183"/>
      <c r="FN55" s="1205"/>
      <c r="FO55" s="1205"/>
      <c r="FP55" s="1205"/>
      <c r="FQ55" s="1205"/>
      <c r="FR55" s="1205"/>
      <c r="FS55" s="1205"/>
      <c r="FV55" s="1220" t="s">
        <v>5614</v>
      </c>
      <c r="FW55" s="1115">
        <v>10</v>
      </c>
      <c r="FX55" s="1115" t="s">
        <v>5425</v>
      </c>
      <c r="FY55" s="1115">
        <v>1</v>
      </c>
      <c r="FZ55" s="1115" t="s">
        <v>5597</v>
      </c>
      <c r="GA55" s="1115">
        <v>12.9</v>
      </c>
      <c r="GB55" s="1115" t="s">
        <v>6029</v>
      </c>
      <c r="GC55" s="1115">
        <v>0.8</v>
      </c>
      <c r="GD55" s="1115" t="s">
        <v>5939</v>
      </c>
      <c r="GE55" s="878">
        <v>7.8</v>
      </c>
      <c r="GF55" s="878" t="s">
        <v>6030</v>
      </c>
      <c r="GG55" s="878">
        <v>1.3</v>
      </c>
      <c r="GH55" s="878" t="s">
        <v>5954</v>
      </c>
      <c r="GL55" s="1215" t="s">
        <v>5698</v>
      </c>
      <c r="GM55" s="1117">
        <v>22.2</v>
      </c>
      <c r="GN55" s="1117" t="s">
        <v>6031</v>
      </c>
      <c r="GO55" s="1117">
        <v>31.9</v>
      </c>
      <c r="GP55" s="1117" t="s">
        <v>6032</v>
      </c>
      <c r="GQ55" s="1326">
        <v>22.1</v>
      </c>
      <c r="GR55" s="1337" t="s">
        <v>6033</v>
      </c>
      <c r="GS55" s="1208"/>
      <c r="GT55" s="1208"/>
      <c r="GV55" s="1215" t="s">
        <v>5614</v>
      </c>
      <c r="GW55" s="1333">
        <v>35.799999999999997</v>
      </c>
      <c r="GX55" s="1210" t="s">
        <v>6060</v>
      </c>
      <c r="GY55" s="1333">
        <v>27.2</v>
      </c>
      <c r="GZ55" s="1210" t="s">
        <v>6061</v>
      </c>
      <c r="HA55" s="1333">
        <v>28.6</v>
      </c>
      <c r="HB55" s="1210" t="s">
        <v>6062</v>
      </c>
      <c r="HC55" s="1333">
        <v>28.6</v>
      </c>
      <c r="HD55" s="1210" t="s">
        <v>6062</v>
      </c>
      <c r="HE55" s="1210"/>
      <c r="HH55" s="1212" t="s">
        <v>5614</v>
      </c>
      <c r="HI55" s="1185">
        <v>16.8</v>
      </c>
      <c r="HJ55" s="1185" t="s">
        <v>6024</v>
      </c>
      <c r="HK55" s="1185">
        <v>20.5</v>
      </c>
      <c r="HL55" s="1185" t="s">
        <v>6025</v>
      </c>
      <c r="HM55" s="1333">
        <v>27.4</v>
      </c>
      <c r="HN55" s="1210" t="s">
        <v>6026</v>
      </c>
      <c r="HO55" s="1199"/>
      <c r="HP55" s="1199"/>
    </row>
    <row r="56" spans="20:224" ht="15.6" customHeight="1">
      <c r="T56" s="2180"/>
      <c r="U56" s="2180"/>
      <c r="V56" s="2180"/>
      <c r="AB56" s="398"/>
      <c r="AC56" s="398"/>
      <c r="AD56" s="398"/>
      <c r="AE56" s="398"/>
      <c r="AF56" s="398"/>
      <c r="AG56" s="398"/>
      <c r="AH56" s="398"/>
      <c r="AJ56" s="515"/>
      <c r="AK56" s="1168"/>
      <c r="AL56" s="1168"/>
      <c r="AM56" s="1168"/>
      <c r="AN56" s="1168"/>
      <c r="AO56" s="1340"/>
      <c r="AP56" s="1340"/>
      <c r="AQ56" s="1340"/>
      <c r="AR56" s="1338"/>
      <c r="AS56" s="1338"/>
      <c r="AT56" s="1338"/>
      <c r="AU56" s="1338"/>
      <c r="AV56" s="1338"/>
      <c r="AW56" s="1338"/>
      <c r="AX56" s="1338"/>
      <c r="AY56" s="1338"/>
      <c r="AZ56" s="1338"/>
      <c r="BA56" s="1338"/>
      <c r="BB56" s="1338"/>
      <c r="BC56" s="1338"/>
      <c r="BD56" s="1338"/>
      <c r="BE56" s="1338"/>
      <c r="BF56" s="1338"/>
      <c r="BG56" s="1338"/>
      <c r="BH56" s="1338"/>
      <c r="BI56" s="1338"/>
      <c r="BJ56" s="1338"/>
      <c r="BK56" s="1338"/>
      <c r="BL56" s="1338"/>
      <c r="BM56" s="1338"/>
      <c r="BN56" s="1338"/>
      <c r="BO56" s="1338"/>
      <c r="BP56" s="1338"/>
      <c r="BQ56" s="1338"/>
      <c r="BR56" s="1338"/>
      <c r="BS56" s="1338"/>
      <c r="BT56" s="1090">
        <v>10</v>
      </c>
      <c r="BU56" s="1253" t="s">
        <v>6040</v>
      </c>
      <c r="BV56" s="382">
        <v>21</v>
      </c>
      <c r="BW56" s="799">
        <v>1.7</v>
      </c>
      <c r="BX56" s="771"/>
      <c r="BY56" s="515"/>
      <c r="BZ56" s="382"/>
      <c r="CB56" s="1211" t="s">
        <v>6041</v>
      </c>
      <c r="CC56" s="1179">
        <v>8</v>
      </c>
      <c r="CD56" s="1180">
        <v>6</v>
      </c>
      <c r="CE56" s="1180">
        <v>3</v>
      </c>
      <c r="CF56" s="1180">
        <v>11</v>
      </c>
      <c r="CG56" s="1180">
        <v>6</v>
      </c>
      <c r="CH56" s="1180"/>
      <c r="DF56" s="1211"/>
      <c r="DQ56" s="409"/>
      <c r="DS56" s="382" t="s">
        <v>6028</v>
      </c>
      <c r="DT56" s="1179">
        <v>5</v>
      </c>
      <c r="DU56" s="1179">
        <v>1</v>
      </c>
      <c r="DV56" s="1179">
        <v>4</v>
      </c>
      <c r="DW56" s="1179">
        <v>0</v>
      </c>
      <c r="DX56" s="1180">
        <v>4</v>
      </c>
      <c r="DY56" s="1179">
        <v>3</v>
      </c>
      <c r="DZ56" s="1179">
        <v>1</v>
      </c>
      <c r="EA56" s="1179">
        <v>0</v>
      </c>
      <c r="EE56" s="1114"/>
      <c r="EF56" s="1185"/>
      <c r="EG56" s="1185"/>
      <c r="EH56" s="1185"/>
      <c r="EI56" s="1185"/>
      <c r="EJ56" s="1185"/>
      <c r="EK56" s="1185"/>
      <c r="EL56" s="1182"/>
      <c r="EM56" s="1182"/>
      <c r="ER56" s="1213"/>
      <c r="ES56" s="1188"/>
      <c r="ET56" s="1188"/>
      <c r="EU56" s="1188"/>
      <c r="EV56" s="1188"/>
      <c r="EW56" s="1188"/>
      <c r="EX56" s="1188"/>
      <c r="EY56" s="1319"/>
      <c r="EZ56" s="1319"/>
      <c r="FG56" s="1212"/>
      <c r="FH56" s="1333"/>
      <c r="FI56" s="1210"/>
      <c r="FJ56" s="1333"/>
      <c r="FK56" s="1210"/>
      <c r="FL56" s="1183"/>
      <c r="FM56" s="1183"/>
      <c r="FN56" s="1205"/>
      <c r="FO56" s="1205"/>
      <c r="FP56" s="1205"/>
      <c r="FQ56" s="1205"/>
      <c r="FR56" s="1205"/>
      <c r="FS56" s="1205"/>
      <c r="FV56" s="1220" t="s">
        <v>5646</v>
      </c>
      <c r="FW56" s="1115">
        <v>9.6</v>
      </c>
      <c r="FX56" s="1115" t="s">
        <v>6042</v>
      </c>
      <c r="FY56" s="1115">
        <v>0.6</v>
      </c>
      <c r="FZ56" s="1115" t="s">
        <v>5519</v>
      </c>
      <c r="GA56" s="1115">
        <v>11.2</v>
      </c>
      <c r="GB56" s="1115" t="s">
        <v>6043</v>
      </c>
      <c r="GC56" s="1115">
        <v>0.2</v>
      </c>
      <c r="GD56" s="1115" t="s">
        <v>5157</v>
      </c>
      <c r="GE56" s="878">
        <v>11.2</v>
      </c>
      <c r="GF56" s="878" t="s">
        <v>6044</v>
      </c>
      <c r="GG56" s="878">
        <v>0.3</v>
      </c>
      <c r="GH56" s="878" t="s">
        <v>5153</v>
      </c>
      <c r="GL56" s="1215" t="s">
        <v>5714</v>
      </c>
      <c r="GM56" s="1117">
        <v>16.8</v>
      </c>
      <c r="GN56" s="1117" t="s">
        <v>6045</v>
      </c>
      <c r="GO56" s="1209">
        <v>17</v>
      </c>
      <c r="GP56" s="1117" t="s">
        <v>6046</v>
      </c>
      <c r="GQ56" s="1326">
        <v>17.2</v>
      </c>
      <c r="GR56" s="1337" t="s">
        <v>6047</v>
      </c>
      <c r="GS56" s="1208"/>
      <c r="GT56" s="1208"/>
      <c r="GV56" s="1215" t="s">
        <v>5646</v>
      </c>
      <c r="GW56" s="1333">
        <v>33.1</v>
      </c>
      <c r="GX56" s="1210" t="s">
        <v>6069</v>
      </c>
      <c r="GY56" s="1333">
        <v>35.6</v>
      </c>
      <c r="GZ56" s="1210" t="s">
        <v>6070</v>
      </c>
      <c r="HA56" s="1333">
        <v>36.9</v>
      </c>
      <c r="HB56" s="1210" t="s">
        <v>6071</v>
      </c>
      <c r="HC56" s="1333">
        <v>36.9</v>
      </c>
      <c r="HD56" s="1210" t="s">
        <v>6071</v>
      </c>
      <c r="HE56" s="1210"/>
      <c r="HH56" s="1212" t="s">
        <v>5646</v>
      </c>
      <c r="HI56" s="1185">
        <v>25.8</v>
      </c>
      <c r="HJ56" s="1185" t="s">
        <v>6037</v>
      </c>
      <c r="HK56" s="1185">
        <v>27.8</v>
      </c>
      <c r="HL56" s="1185" t="s">
        <v>6038</v>
      </c>
      <c r="HM56" s="1333">
        <v>23.7</v>
      </c>
      <c r="HN56" s="1210" t="s">
        <v>6039</v>
      </c>
      <c r="HO56" s="1199"/>
      <c r="HP56" s="1199"/>
    </row>
    <row r="57" spans="20:224" ht="15.6" customHeight="1">
      <c r="AB57" s="398"/>
      <c r="AC57" s="398"/>
      <c r="AD57" s="398"/>
      <c r="AE57" s="398"/>
      <c r="AF57" s="398"/>
      <c r="AG57" s="398"/>
      <c r="AH57" s="398"/>
      <c r="AJ57" s="515"/>
      <c r="AK57" s="1120"/>
      <c r="AL57" s="1120"/>
      <c r="AM57" s="1120"/>
      <c r="AN57" s="1120"/>
      <c r="AO57" s="1344"/>
      <c r="AP57" s="1338"/>
      <c r="AQ57" s="1338"/>
      <c r="AR57" s="1338"/>
      <c r="AS57" s="1338"/>
      <c r="AT57" s="1338"/>
      <c r="AU57" s="1338"/>
      <c r="AV57" s="1340"/>
      <c r="AW57" s="1340"/>
      <c r="AX57" s="1338"/>
      <c r="AY57" s="1338"/>
      <c r="AZ57" s="1338"/>
      <c r="BA57" s="1338"/>
      <c r="BB57" s="1338"/>
      <c r="BC57" s="1338"/>
      <c r="BD57" s="1338"/>
      <c r="BE57" s="1338"/>
      <c r="BF57" s="1338"/>
      <c r="BG57" s="1338"/>
      <c r="BH57" s="1338"/>
      <c r="BI57" s="1338"/>
      <c r="BJ57" s="1338"/>
      <c r="BK57" s="1338"/>
      <c r="BL57" s="1338"/>
      <c r="BM57" s="1338"/>
      <c r="BN57" s="1338"/>
      <c r="BO57" s="1338"/>
      <c r="BP57" s="1338"/>
      <c r="BQ57" s="1338"/>
      <c r="BR57" s="1338"/>
      <c r="BS57" s="1338"/>
      <c r="BT57" s="1257"/>
      <c r="BU57" s="1253" t="s">
        <v>5419</v>
      </c>
      <c r="BV57" s="382">
        <v>236</v>
      </c>
      <c r="BW57" s="799">
        <v>18.899999999999999</v>
      </c>
      <c r="BX57" s="382"/>
      <c r="BZ57" s="382"/>
      <c r="CB57" s="1353" t="s">
        <v>6055</v>
      </c>
      <c r="CC57" s="1354">
        <v>0</v>
      </c>
      <c r="CD57" s="1355">
        <v>0</v>
      </c>
      <c r="CE57" s="1355">
        <v>0</v>
      </c>
      <c r="CF57" s="1355">
        <v>0</v>
      </c>
      <c r="CG57" s="1355">
        <v>0</v>
      </c>
      <c r="CH57" s="1180"/>
      <c r="CJ57" s="519"/>
      <c r="CK57" s="519"/>
      <c r="CL57" s="519"/>
      <c r="CM57" s="519"/>
      <c r="CN57" s="519"/>
      <c r="CO57" s="519"/>
      <c r="CP57" s="519"/>
      <c r="CQ57" s="519"/>
      <c r="CR57" s="519"/>
      <c r="CS57" s="519"/>
      <c r="DQ57" s="409"/>
      <c r="DS57" s="382" t="s">
        <v>6041</v>
      </c>
      <c r="DT57" s="1179">
        <v>8</v>
      </c>
      <c r="DU57" s="1180">
        <v>4</v>
      </c>
      <c r="DV57" s="1180">
        <v>4</v>
      </c>
      <c r="DW57" s="1180">
        <v>0</v>
      </c>
      <c r="DX57" s="1180">
        <v>6</v>
      </c>
      <c r="DY57" s="1180">
        <v>4</v>
      </c>
      <c r="DZ57" s="1180">
        <v>2</v>
      </c>
      <c r="EA57" s="1180">
        <v>0</v>
      </c>
      <c r="EE57" s="1356"/>
      <c r="EF57" s="1357"/>
      <c r="EG57" s="1358"/>
      <c r="EH57" s="1357"/>
      <c r="EI57" s="1358"/>
      <c r="EJ57" s="1357"/>
      <c r="EK57" s="1358"/>
      <c r="EL57" s="1294"/>
      <c r="EM57" s="1205"/>
      <c r="ER57" s="1213"/>
      <c r="ES57" s="1188"/>
      <c r="ET57" s="1188"/>
      <c r="EU57" s="1188"/>
      <c r="EV57" s="1188"/>
      <c r="EW57" s="1188"/>
      <c r="EX57" s="1188"/>
      <c r="EY57" s="1319"/>
      <c r="EZ57" s="1319"/>
      <c r="FG57" s="1212"/>
      <c r="FH57" s="1333"/>
      <c r="FI57" s="1210"/>
      <c r="FJ57" s="1342"/>
      <c r="FK57" s="1210"/>
      <c r="FL57" s="1183"/>
      <c r="FM57" s="1183"/>
      <c r="FN57" s="1199"/>
      <c r="FO57" s="1199"/>
      <c r="FP57" s="1205"/>
      <c r="FQ57" s="1205"/>
      <c r="FR57" s="1205"/>
      <c r="FS57" s="1205"/>
      <c r="FV57" s="1220" t="s">
        <v>5682</v>
      </c>
      <c r="FW57" s="1199">
        <v>10.4</v>
      </c>
      <c r="FX57" s="1199" t="s">
        <v>6056</v>
      </c>
      <c r="FY57" s="1199">
        <v>0.9</v>
      </c>
      <c r="FZ57" s="1199" t="s">
        <v>5663</v>
      </c>
      <c r="GA57" s="1115">
        <v>13.3</v>
      </c>
      <c r="GB57" s="1115" t="s">
        <v>6057</v>
      </c>
      <c r="GC57" s="1115">
        <v>1</v>
      </c>
      <c r="GD57" s="1115" t="s">
        <v>6058</v>
      </c>
      <c r="GE57" s="878">
        <v>10.1</v>
      </c>
      <c r="GF57" s="878" t="s">
        <v>6059</v>
      </c>
      <c r="GG57" s="878">
        <v>1.2</v>
      </c>
      <c r="GH57" s="878" t="s">
        <v>5597</v>
      </c>
      <c r="GL57" s="1293" t="s">
        <v>5743</v>
      </c>
      <c r="GM57" s="1293"/>
      <c r="GN57" s="1293"/>
      <c r="GO57" s="1293"/>
      <c r="GP57" s="1293"/>
      <c r="GQ57" s="709"/>
      <c r="GR57" s="709"/>
      <c r="GS57" s="1208"/>
      <c r="GT57" s="1208"/>
      <c r="GV57" s="1215" t="s">
        <v>5682</v>
      </c>
      <c r="GW57" s="1333">
        <v>45.5</v>
      </c>
      <c r="GX57" s="1210" t="s">
        <v>6074</v>
      </c>
      <c r="GY57" s="1333">
        <v>34.700000000000003</v>
      </c>
      <c r="GZ57" s="1210" t="s">
        <v>6075</v>
      </c>
      <c r="HA57" s="1333">
        <v>51.8</v>
      </c>
      <c r="HB57" s="1210" t="s">
        <v>6076</v>
      </c>
      <c r="HC57" s="1333">
        <v>51.8</v>
      </c>
      <c r="HD57" s="1210" t="s">
        <v>6076</v>
      </c>
      <c r="HE57" s="1210"/>
      <c r="HH57" s="1212" t="s">
        <v>5682</v>
      </c>
      <c r="HI57" s="1185">
        <v>20.8</v>
      </c>
      <c r="HJ57" s="1185" t="s">
        <v>6051</v>
      </c>
      <c r="HK57" s="1185">
        <v>21.9</v>
      </c>
      <c r="HL57" s="1185" t="s">
        <v>6052</v>
      </c>
      <c r="HM57" s="1345" t="s">
        <v>6053</v>
      </c>
      <c r="HN57" s="1210" t="s">
        <v>6054</v>
      </c>
      <c r="HO57" s="1199"/>
      <c r="HP57" s="1199"/>
    </row>
    <row r="58" spans="20:224" ht="15.6" customHeight="1">
      <c r="AB58" s="398"/>
      <c r="AC58" s="398"/>
      <c r="AD58" s="398"/>
      <c r="AE58" s="398"/>
      <c r="AF58" s="398"/>
      <c r="AG58" s="398"/>
      <c r="AH58" s="398"/>
      <c r="AJ58" s="515"/>
      <c r="AK58" s="1168"/>
      <c r="AL58" s="1168"/>
      <c r="AM58" s="1168"/>
      <c r="AN58" s="1168"/>
      <c r="AO58" s="1344"/>
      <c r="AP58" s="1344"/>
      <c r="AQ58" s="1338"/>
      <c r="AR58" s="1340"/>
      <c r="AS58" s="1340"/>
      <c r="AT58" s="1338"/>
      <c r="AU58" s="1338"/>
      <c r="AV58" s="1338"/>
      <c r="AW58" s="1338"/>
      <c r="AX58" s="1338"/>
      <c r="AY58" s="1338"/>
      <c r="AZ58" s="1338"/>
      <c r="BA58" s="1338"/>
      <c r="BB58" s="1338"/>
      <c r="BC58" s="1338"/>
      <c r="BD58" s="1338"/>
      <c r="BE58" s="1338"/>
      <c r="BF58" s="1338"/>
      <c r="BG58" s="1338"/>
      <c r="BH58" s="1338"/>
      <c r="BI58" s="1338"/>
      <c r="BJ58" s="1338"/>
      <c r="BK58" s="1338"/>
      <c r="BL58" s="1338"/>
      <c r="BM58" s="1338"/>
      <c r="BN58" s="1338"/>
      <c r="BO58" s="1338"/>
      <c r="BP58" s="1338"/>
      <c r="BQ58" s="1338"/>
      <c r="BR58" s="1338"/>
      <c r="BS58" s="1338"/>
      <c r="BT58" s="1259" t="s">
        <v>5446</v>
      </c>
      <c r="BU58" s="1260"/>
      <c r="BV58" s="415"/>
      <c r="BW58" s="1261"/>
      <c r="BX58" s="382"/>
      <c r="BZ58" s="382"/>
      <c r="CB58" s="1361" t="s">
        <v>6066</v>
      </c>
      <c r="CC58" s="1362"/>
      <c r="CD58" s="1362"/>
      <c r="CE58" s="1362"/>
      <c r="CF58" s="1362"/>
      <c r="CG58" s="1362"/>
      <c r="CH58" s="1362"/>
      <c r="DQ58" s="409"/>
      <c r="DS58" s="381" t="s">
        <v>6055</v>
      </c>
      <c r="DT58" s="1354">
        <v>0</v>
      </c>
      <c r="DU58" s="1355">
        <v>0</v>
      </c>
      <c r="DV58" s="1355">
        <v>0</v>
      </c>
      <c r="DW58" s="1355">
        <v>0</v>
      </c>
      <c r="DX58" s="1355">
        <v>0</v>
      </c>
      <c r="DY58" s="1355">
        <v>0</v>
      </c>
      <c r="DZ58" s="1355">
        <v>0</v>
      </c>
      <c r="EA58" s="1355">
        <v>0</v>
      </c>
      <c r="EB58" s="824"/>
      <c r="EC58" s="387"/>
      <c r="EE58" s="1356"/>
      <c r="EF58" s="1358"/>
      <c r="EG58" s="1358"/>
      <c r="EH58" s="1358"/>
      <c r="EI58" s="1358"/>
      <c r="EJ58" s="1358"/>
      <c r="EK58" s="1358"/>
      <c r="EL58" s="1294"/>
      <c r="EM58" s="1205"/>
      <c r="ER58" s="1249"/>
      <c r="ES58" s="1249"/>
      <c r="ET58" s="1249"/>
      <c r="EU58" s="1249"/>
      <c r="EV58" s="1249"/>
      <c r="FG58" s="1212"/>
      <c r="FH58" s="1333"/>
      <c r="FI58" s="1210"/>
      <c r="FJ58" s="1342"/>
      <c r="FK58" s="1210"/>
      <c r="FL58" s="1199"/>
      <c r="FM58" s="1199"/>
      <c r="FN58" s="1199"/>
      <c r="FO58" s="1199"/>
      <c r="FP58" s="1205"/>
      <c r="FQ58" s="1205"/>
      <c r="FR58" s="1205"/>
      <c r="FS58" s="1205"/>
      <c r="FV58" s="1220" t="s">
        <v>5714</v>
      </c>
      <c r="FW58" s="1199">
        <v>11.3</v>
      </c>
      <c r="FX58" s="1199" t="s">
        <v>6067</v>
      </c>
      <c r="FY58" s="1199">
        <v>0.3</v>
      </c>
      <c r="FZ58" s="1199" t="s">
        <v>5153</v>
      </c>
      <c r="GA58" s="1115">
        <v>7.5</v>
      </c>
      <c r="GB58" s="1115" t="s">
        <v>6068</v>
      </c>
      <c r="GC58" s="1115">
        <v>1.2</v>
      </c>
      <c r="GD58" s="1115" t="s">
        <v>5939</v>
      </c>
      <c r="GE58" s="878">
        <v>10.199999999999999</v>
      </c>
      <c r="GF58" s="878" t="s">
        <v>5546</v>
      </c>
      <c r="GG58" s="878">
        <v>0.5</v>
      </c>
      <c r="GH58" s="878" t="s">
        <v>5520</v>
      </c>
      <c r="GL58" s="1303"/>
      <c r="GM58" s="1304"/>
      <c r="GN58" s="1304"/>
      <c r="GO58" s="1304"/>
      <c r="GS58" s="1208"/>
      <c r="GT58" s="1208"/>
      <c r="GV58" s="1298" t="s">
        <v>5748</v>
      </c>
      <c r="GW58" s="1365">
        <v>35</v>
      </c>
      <c r="GX58" s="1360" t="s">
        <v>5278</v>
      </c>
      <c r="GY58" s="1365">
        <v>33.799999999999997</v>
      </c>
      <c r="GZ58" s="1360" t="s">
        <v>6078</v>
      </c>
      <c r="HA58" s="1365">
        <v>37.1</v>
      </c>
      <c r="HB58" s="1360" t="s">
        <v>6079</v>
      </c>
      <c r="HC58" s="1365">
        <v>37.1</v>
      </c>
      <c r="HD58" s="1360" t="s">
        <v>6079</v>
      </c>
      <c r="HE58" s="1210"/>
      <c r="HH58" s="1291" t="s">
        <v>5714</v>
      </c>
      <c r="HI58" s="1289">
        <v>16.2</v>
      </c>
      <c r="HJ58" s="1289" t="s">
        <v>6063</v>
      </c>
      <c r="HK58" s="1289">
        <v>19.600000000000001</v>
      </c>
      <c r="HL58" s="1289" t="s">
        <v>6064</v>
      </c>
      <c r="HM58" s="1359" t="s">
        <v>6065</v>
      </c>
      <c r="HN58" s="1360" t="s">
        <v>5308</v>
      </c>
    </row>
    <row r="59" spans="20:224" ht="15.6" customHeight="1">
      <c r="AB59" s="398"/>
      <c r="AC59" s="398"/>
      <c r="AD59" s="398"/>
      <c r="AE59" s="398"/>
      <c r="AF59" s="398"/>
      <c r="AG59" s="398"/>
      <c r="AH59" s="398"/>
      <c r="AJ59" s="515"/>
      <c r="AK59" s="1224"/>
      <c r="AL59" s="1224"/>
      <c r="AM59" s="1224"/>
      <c r="AN59" s="1224"/>
      <c r="AO59" s="1344"/>
      <c r="AP59" s="1340"/>
      <c r="AQ59" s="1340"/>
      <c r="AR59" s="1338"/>
      <c r="AS59" s="1338"/>
      <c r="AT59" s="1340"/>
      <c r="AU59" s="1340"/>
      <c r="AV59" s="1338"/>
      <c r="AW59" s="1338"/>
      <c r="AX59" s="1340"/>
      <c r="AY59" s="1340"/>
      <c r="AZ59" s="1340"/>
      <c r="BA59" s="1340"/>
      <c r="BB59" s="1340"/>
      <c r="BC59" s="1340"/>
      <c r="BD59" s="1340"/>
      <c r="BE59" s="1340"/>
      <c r="BF59" s="1340"/>
      <c r="BG59" s="1340"/>
      <c r="BH59" s="1340"/>
      <c r="BI59" s="1340"/>
      <c r="BJ59" s="1340"/>
      <c r="BK59" s="1340"/>
      <c r="BL59" s="1340"/>
      <c r="BM59" s="1340"/>
      <c r="BN59" s="1340"/>
      <c r="BO59" s="1340"/>
      <c r="BP59" s="1340"/>
      <c r="BQ59" s="1340"/>
      <c r="BR59" s="1340"/>
      <c r="BS59" s="1340"/>
      <c r="BT59" s="398" t="s">
        <v>5479</v>
      </c>
      <c r="BZ59" s="382"/>
      <c r="CB59" s="1363" t="s">
        <v>6072</v>
      </c>
      <c r="CC59" s="1362"/>
      <c r="CD59" s="1362"/>
      <c r="CE59" s="1362"/>
      <c r="CF59" s="1362"/>
      <c r="CG59" s="1362"/>
      <c r="CH59" s="1362"/>
      <c r="DQ59" s="409"/>
      <c r="DS59" s="1361" t="s">
        <v>6073</v>
      </c>
      <c r="DT59" s="409"/>
      <c r="EE59" s="1356"/>
      <c r="EF59" s="1358"/>
      <c r="EG59" s="1358"/>
      <c r="EH59" s="1358"/>
      <c r="EI59" s="1358"/>
      <c r="EJ59" s="1358"/>
      <c r="EK59" s="1358"/>
      <c r="EL59" s="1294"/>
      <c r="EM59" s="1205"/>
      <c r="FG59" s="1249"/>
      <c r="FH59" s="1249"/>
      <c r="FI59" s="1249"/>
      <c r="FJ59" s="1249"/>
      <c r="FK59" s="1249"/>
      <c r="FL59" s="1305"/>
      <c r="FM59" s="1305"/>
      <c r="FN59" s="1324"/>
      <c r="FO59" s="1166"/>
      <c r="FP59" s="1205"/>
      <c r="FQ59" s="1205"/>
      <c r="FR59" s="1205"/>
      <c r="FS59" s="1205"/>
      <c r="FV59" s="1293" t="s">
        <v>5743</v>
      </c>
      <c r="FW59" s="1293"/>
      <c r="FX59" s="1293"/>
      <c r="FY59" s="1293"/>
      <c r="FZ59" s="1293"/>
      <c r="GA59" s="1293"/>
      <c r="GB59" s="1293"/>
      <c r="GC59" s="1293"/>
      <c r="GD59" s="1293"/>
      <c r="GE59" s="709"/>
      <c r="GF59" s="709"/>
      <c r="GG59" s="709"/>
      <c r="GH59" s="709"/>
      <c r="GS59" s="1208"/>
      <c r="GT59" s="1208"/>
      <c r="GV59" s="1249" t="s">
        <v>5743</v>
      </c>
      <c r="GW59" s="1249"/>
      <c r="GX59" s="1249"/>
      <c r="GY59" s="1249"/>
      <c r="GZ59" s="1249"/>
      <c r="HA59" s="1249"/>
      <c r="HB59" s="1249"/>
      <c r="HC59" s="1249"/>
      <c r="HD59" s="1249"/>
      <c r="HE59" s="1210"/>
      <c r="HH59" s="1249" t="s">
        <v>5743</v>
      </c>
      <c r="HI59" s="1249"/>
      <c r="HJ59" s="1249"/>
      <c r="HK59" s="1249"/>
      <c r="HL59" s="1249"/>
      <c r="HM59" s="1249"/>
      <c r="HN59" s="1249"/>
    </row>
    <row r="60" spans="20:224" ht="15.6" customHeight="1">
      <c r="AB60" s="398"/>
      <c r="AC60" s="398"/>
      <c r="AD60" s="398"/>
      <c r="AE60" s="398"/>
      <c r="AF60" s="398"/>
      <c r="AG60" s="398"/>
      <c r="AH60" s="398"/>
      <c r="AJ60" s="515"/>
      <c r="AK60" s="1168"/>
      <c r="AL60" s="1168"/>
      <c r="AM60" s="1168"/>
      <c r="AN60" s="1168"/>
      <c r="AO60" s="1344"/>
      <c r="AP60" s="1344"/>
      <c r="AQ60" s="1338"/>
      <c r="AR60" s="1338"/>
      <c r="AS60" s="1338"/>
      <c r="AT60" s="1338"/>
      <c r="AU60" s="1338"/>
      <c r="AV60" s="1338"/>
      <c r="AW60" s="1338"/>
      <c r="AX60" s="1338"/>
      <c r="AY60" s="1338"/>
      <c r="AZ60" s="1338"/>
      <c r="BA60" s="1338"/>
      <c r="BB60" s="1338"/>
      <c r="BC60" s="1338"/>
      <c r="BD60" s="1338"/>
      <c r="BE60" s="1338"/>
      <c r="BF60" s="1338"/>
      <c r="BG60" s="1338"/>
      <c r="BH60" s="1338"/>
      <c r="BI60" s="1338"/>
      <c r="BJ60" s="1338"/>
      <c r="BK60" s="1338"/>
      <c r="BL60" s="1338"/>
      <c r="BM60" s="1338"/>
      <c r="BN60" s="1338"/>
      <c r="BO60" s="1338"/>
      <c r="BP60" s="1338"/>
      <c r="BQ60" s="1338"/>
      <c r="BR60" s="1338"/>
      <c r="BS60" s="1338"/>
      <c r="BT60" s="2181"/>
      <c r="BU60" s="2181"/>
      <c r="BV60" s="2181"/>
      <c r="BW60" s="2181"/>
      <c r="BX60" s="2181"/>
      <c r="BZ60" s="382"/>
      <c r="CB60" s="1133" t="s">
        <v>6077</v>
      </c>
      <c r="CC60" s="1362"/>
      <c r="CD60" s="1362"/>
      <c r="CE60" s="1362"/>
      <c r="CF60" s="1362"/>
      <c r="CG60" s="1362"/>
      <c r="CH60" s="1362"/>
      <c r="DQ60" s="409"/>
      <c r="DS60" s="1133" t="s">
        <v>6077</v>
      </c>
      <c r="DT60" s="515"/>
      <c r="DU60" s="394"/>
      <c r="DV60" s="394"/>
      <c r="DW60" s="394"/>
      <c r="EE60" s="1356"/>
      <c r="EF60" s="1358"/>
      <c r="EG60" s="1358"/>
      <c r="EH60" s="1358"/>
      <c r="EI60" s="1358"/>
      <c r="EJ60" s="1358"/>
      <c r="EK60" s="1358"/>
      <c r="EL60" s="1205"/>
      <c r="EM60" s="1205"/>
      <c r="FG60" s="1305"/>
      <c r="FH60" s="1305"/>
      <c r="FI60" s="1305"/>
      <c r="FJ60" s="1305"/>
      <c r="FK60" s="1305"/>
      <c r="FL60" s="1305"/>
      <c r="FM60" s="1305"/>
      <c r="FN60" s="1294"/>
      <c r="FO60" s="1364"/>
      <c r="FP60" s="1205"/>
      <c r="FQ60" s="1205"/>
      <c r="FR60" s="1205"/>
      <c r="FS60" s="1205"/>
      <c r="FV60" s="1303"/>
      <c r="FW60" s="1304"/>
      <c r="FX60" s="1304"/>
      <c r="FY60" s="1304"/>
      <c r="GA60" s="1308"/>
      <c r="GB60" s="1308"/>
      <c r="GC60" s="1308"/>
      <c r="GD60" s="1308"/>
      <c r="GS60" s="1208"/>
      <c r="GT60" s="1208"/>
      <c r="HE60" s="1210"/>
      <c r="HH60" s="398" t="s">
        <v>5758</v>
      </c>
    </row>
    <row r="61" spans="20:224" ht="15.6" customHeight="1">
      <c r="AB61" s="398"/>
      <c r="AC61" s="398"/>
      <c r="AD61" s="398"/>
      <c r="AE61" s="398"/>
      <c r="AF61" s="398"/>
      <c r="AG61" s="398"/>
      <c r="AH61" s="398"/>
      <c r="AJ61" s="515"/>
      <c r="AK61" s="1168"/>
      <c r="AL61" s="1168"/>
      <c r="AM61" s="1168"/>
      <c r="AN61" s="1168"/>
      <c r="AO61" s="1344"/>
      <c r="AP61" s="1344"/>
      <c r="AQ61" s="1338"/>
      <c r="AR61" s="1338"/>
      <c r="AS61" s="1338"/>
      <c r="AT61" s="1340"/>
      <c r="AU61" s="1340"/>
      <c r="AV61" s="1338"/>
      <c r="AW61" s="1338"/>
      <c r="AX61" s="1340"/>
      <c r="AY61" s="1340"/>
      <c r="AZ61" s="1340"/>
      <c r="BA61" s="1340"/>
      <c r="BB61" s="1340"/>
      <c r="BC61" s="1340"/>
      <c r="BD61" s="1340"/>
      <c r="BE61" s="1340"/>
      <c r="BF61" s="1340"/>
      <c r="BG61" s="1340"/>
      <c r="BH61" s="1340"/>
      <c r="BI61" s="1340"/>
      <c r="BJ61" s="1340"/>
      <c r="BK61" s="1340"/>
      <c r="BL61" s="1340"/>
      <c r="BM61" s="1340"/>
      <c r="BN61" s="1340"/>
      <c r="BO61" s="1340"/>
      <c r="BP61" s="1340"/>
      <c r="BQ61" s="1340"/>
      <c r="BR61" s="1340"/>
      <c r="BS61" s="1340"/>
      <c r="BT61" s="2181"/>
      <c r="BU61" s="2181"/>
      <c r="BV61" s="2181"/>
      <c r="BW61" s="2181"/>
      <c r="BX61" s="2181"/>
      <c r="BZ61" s="382"/>
      <c r="CB61" s="1363" t="s">
        <v>6081</v>
      </c>
      <c r="CC61" s="1362"/>
      <c r="CD61" s="1362"/>
      <c r="CE61" s="1362"/>
      <c r="CF61" s="1362"/>
      <c r="CG61" s="1362"/>
      <c r="CH61" s="1362"/>
      <c r="DQ61" s="409"/>
      <c r="DS61" s="1363" t="s">
        <v>6082</v>
      </c>
      <c r="EE61" s="1356"/>
      <c r="EF61" s="1358"/>
      <c r="EG61" s="1358"/>
      <c r="EH61" s="1358"/>
      <c r="EI61" s="1358"/>
      <c r="EJ61" s="1358"/>
      <c r="EK61" s="1358"/>
      <c r="EL61" s="1205"/>
      <c r="EM61" s="1205"/>
      <c r="FG61" s="1307"/>
      <c r="FH61" s="1307"/>
      <c r="FI61" s="1307"/>
      <c r="FJ61" s="1307"/>
      <c r="FK61" s="1307"/>
      <c r="FL61" s="1307"/>
      <c r="FM61" s="1307"/>
      <c r="FN61" s="1294"/>
      <c r="FO61" s="1364"/>
      <c r="FP61" s="1205"/>
      <c r="FQ61" s="1205"/>
      <c r="FR61" s="1205"/>
      <c r="FS61" s="1205"/>
      <c r="GS61" s="1283"/>
      <c r="GT61" s="1283"/>
      <c r="HE61" s="1249"/>
      <c r="HH61" s="398" t="s">
        <v>6080</v>
      </c>
    </row>
    <row r="62" spans="20:224" ht="15.6" customHeight="1">
      <c r="AB62" s="398"/>
      <c r="AC62" s="398"/>
      <c r="AD62" s="398"/>
      <c r="AE62" s="398"/>
      <c r="AF62" s="398"/>
      <c r="AG62" s="398"/>
      <c r="AH62" s="398"/>
      <c r="AJ62" s="515"/>
      <c r="AK62" s="1120"/>
      <c r="AL62" s="1120"/>
      <c r="AM62" s="1120"/>
      <c r="AN62" s="1120"/>
      <c r="AO62" s="1338"/>
      <c r="AP62" s="1338"/>
      <c r="AQ62" s="1338"/>
      <c r="AR62" s="1366"/>
      <c r="AS62" s="1367"/>
      <c r="AT62" s="1338"/>
      <c r="AU62" s="1338"/>
      <c r="AV62" s="1340"/>
      <c r="AW62" s="1340"/>
      <c r="AX62" s="1338"/>
      <c r="AY62" s="1338"/>
      <c r="AZ62" s="1338"/>
      <c r="BA62" s="1338"/>
      <c r="BB62" s="1338"/>
      <c r="BC62" s="1338"/>
      <c r="BD62" s="1338"/>
      <c r="BE62" s="1338"/>
      <c r="BF62" s="1338"/>
      <c r="BG62" s="1338"/>
      <c r="BH62" s="1338"/>
      <c r="BI62" s="1338"/>
      <c r="BJ62" s="1338"/>
      <c r="BK62" s="1338"/>
      <c r="BL62" s="1338"/>
      <c r="BM62" s="1338"/>
      <c r="BN62" s="1338"/>
      <c r="BO62" s="1338"/>
      <c r="BP62" s="1338"/>
      <c r="BQ62" s="1338"/>
      <c r="BR62" s="1338"/>
      <c r="BS62" s="1338"/>
      <c r="BZ62" s="382"/>
      <c r="CB62" s="1363" t="s">
        <v>6083</v>
      </c>
      <c r="CC62" s="1362"/>
      <c r="CD62" s="1362"/>
      <c r="CE62" s="1362"/>
      <c r="CF62" s="1362"/>
      <c r="CG62" s="1362"/>
      <c r="CH62" s="1362"/>
      <c r="DG62" s="409"/>
      <c r="DH62" s="409"/>
      <c r="DI62" s="409"/>
      <c r="DJ62" s="409"/>
      <c r="DK62" s="409"/>
      <c r="DL62" s="409"/>
      <c r="DM62" s="409"/>
      <c r="DN62" s="409"/>
      <c r="DO62" s="409"/>
      <c r="DP62" s="409"/>
      <c r="DQ62" s="409"/>
      <c r="DS62" s="1363" t="s">
        <v>6084</v>
      </c>
      <c r="DT62" s="679"/>
      <c r="EE62" s="1249"/>
      <c r="EF62" s="1249"/>
      <c r="EG62" s="1249"/>
      <c r="EH62" s="1249"/>
      <c r="EI62" s="1249"/>
      <c r="EJ62" s="1249"/>
      <c r="EK62" s="1249"/>
      <c r="EL62" s="1249"/>
      <c r="EM62" s="1249"/>
      <c r="FG62" s="1303"/>
      <c r="FH62" s="1304"/>
      <c r="FI62" s="1304"/>
      <c r="FJ62" s="1304"/>
      <c r="FL62" s="1305"/>
      <c r="FM62" s="1305"/>
      <c r="FN62" s="1294"/>
      <c r="FO62" s="1364"/>
      <c r="FP62" s="1205"/>
      <c r="FQ62" s="1205"/>
      <c r="FR62" s="1205"/>
      <c r="FS62" s="1205"/>
      <c r="GS62" s="1283"/>
      <c r="GT62" s="1283"/>
    </row>
    <row r="63" spans="20:224" ht="15.6" customHeight="1">
      <c r="AJ63" s="515"/>
      <c r="AK63" s="1168"/>
      <c r="AL63" s="1168"/>
      <c r="AM63" s="1168"/>
      <c r="AN63" s="1168"/>
      <c r="AO63" s="1366"/>
      <c r="AP63" s="1366"/>
      <c r="AQ63" s="1366"/>
      <c r="AR63" s="1366"/>
      <c r="AS63" s="1367"/>
      <c r="AT63" s="1340"/>
      <c r="AU63" s="1340"/>
      <c r="AV63" s="1338"/>
      <c r="AW63" s="1338"/>
      <c r="AX63" s="1340"/>
      <c r="AY63" s="1340"/>
      <c r="AZ63" s="1340"/>
      <c r="BA63" s="1340"/>
      <c r="BB63" s="1340"/>
      <c r="BC63" s="1340"/>
      <c r="BD63" s="1340"/>
      <c r="BE63" s="1340"/>
      <c r="BF63" s="1340"/>
      <c r="BG63" s="1340"/>
      <c r="BH63" s="1340"/>
      <c r="BI63" s="1340"/>
      <c r="BJ63" s="1340"/>
      <c r="BK63" s="1340"/>
      <c r="BL63" s="1340"/>
      <c r="BM63" s="1340"/>
      <c r="BN63" s="1340"/>
      <c r="BO63" s="1340"/>
      <c r="BP63" s="1340"/>
      <c r="BQ63" s="1340"/>
      <c r="BR63" s="1340"/>
      <c r="BS63" s="1340"/>
      <c r="BZ63" s="382"/>
      <c r="CB63" s="1363" t="s">
        <v>6084</v>
      </c>
      <c r="CC63" s="1362"/>
      <c r="CD63" s="1362"/>
      <c r="CE63" s="1362"/>
      <c r="CF63" s="1362"/>
      <c r="CG63" s="1362"/>
      <c r="CH63" s="1362"/>
      <c r="DG63" s="409"/>
      <c r="DH63" s="409"/>
      <c r="DI63" s="409"/>
      <c r="DJ63" s="409"/>
      <c r="DK63" s="409"/>
      <c r="DL63" s="409"/>
      <c r="DM63" s="409"/>
      <c r="DN63" s="409"/>
      <c r="DO63" s="409"/>
      <c r="DP63" s="409"/>
      <c r="DQ63" s="409"/>
      <c r="DS63" s="1363" t="s">
        <v>6085</v>
      </c>
      <c r="FN63" s="1294"/>
      <c r="FO63" s="1364"/>
      <c r="FP63" s="1205"/>
      <c r="FQ63" s="1205"/>
      <c r="FR63" s="1205"/>
      <c r="FS63" s="1205"/>
      <c r="GS63" s="1208"/>
      <c r="GT63" s="1208"/>
    </row>
    <row r="64" spans="20:224" ht="15.6" customHeight="1">
      <c r="AJ64" s="515"/>
      <c r="AK64" s="1224"/>
      <c r="AL64" s="1224"/>
      <c r="AM64" s="1224"/>
      <c r="AN64" s="1224"/>
      <c r="AO64" s="1366"/>
      <c r="AP64" s="1366"/>
      <c r="AQ64" s="1366"/>
      <c r="AR64" s="1366"/>
      <c r="AS64" s="1367"/>
      <c r="AT64" s="1338"/>
      <c r="AU64" s="1338"/>
      <c r="AV64" s="1340"/>
      <c r="AW64" s="1340"/>
      <c r="AX64" s="1338"/>
      <c r="AY64" s="1338"/>
      <c r="AZ64" s="1338"/>
      <c r="BA64" s="1338"/>
      <c r="BB64" s="1338"/>
      <c r="BC64" s="1338"/>
      <c r="BD64" s="1338"/>
      <c r="BE64" s="1338"/>
      <c r="BF64" s="1338"/>
      <c r="BG64" s="1338"/>
      <c r="BH64" s="1338"/>
      <c r="BI64" s="1338"/>
      <c r="BJ64" s="1338"/>
      <c r="BK64" s="1338"/>
      <c r="BL64" s="1338"/>
      <c r="BM64" s="1338"/>
      <c r="BN64" s="1338"/>
      <c r="BO64" s="1338"/>
      <c r="BP64" s="1338"/>
      <c r="BQ64" s="1338"/>
      <c r="BR64" s="1338"/>
      <c r="BS64" s="1338"/>
      <c r="BT64" s="2181" t="s">
        <v>6086</v>
      </c>
      <c r="BU64" s="2181"/>
      <c r="BV64" s="2181"/>
      <c r="BW64" s="2181"/>
      <c r="BX64" s="2181"/>
      <c r="BZ64" s="382"/>
      <c r="CB64" s="1363" t="s">
        <v>6087</v>
      </c>
      <c r="CC64" s="1362"/>
      <c r="CD64" s="1362"/>
      <c r="CE64" s="1362"/>
      <c r="CF64" s="1362"/>
      <c r="CG64" s="1362"/>
      <c r="CH64" s="1362"/>
      <c r="DF64" s="409"/>
      <c r="DG64" s="409"/>
      <c r="DH64" s="409"/>
      <c r="DI64" s="409"/>
      <c r="DJ64" s="409"/>
      <c r="DK64" s="409"/>
      <c r="DL64" s="409"/>
      <c r="DM64" s="409"/>
      <c r="DN64" s="409"/>
      <c r="DO64" s="409"/>
      <c r="DP64" s="409"/>
      <c r="DQ64" s="409"/>
      <c r="DS64" s="1363" t="s">
        <v>6088</v>
      </c>
      <c r="FN64" s="1294"/>
      <c r="FO64" s="1364"/>
      <c r="FP64" s="1205"/>
      <c r="FQ64" s="1205"/>
      <c r="FR64" s="1205"/>
      <c r="FS64" s="1205"/>
      <c r="GS64" s="1208"/>
      <c r="GT64" s="1208"/>
    </row>
    <row r="65" spans="19:202" ht="15.6" customHeight="1">
      <c r="AJ65" s="515"/>
      <c r="AK65" s="1224"/>
      <c r="AL65" s="1224"/>
      <c r="AM65" s="1224"/>
      <c r="AN65" s="1224"/>
      <c r="AO65" s="1366"/>
      <c r="AP65" s="1366"/>
      <c r="AQ65" s="1366"/>
      <c r="AT65" s="1338"/>
      <c r="AU65" s="1338"/>
      <c r="AV65" s="1338"/>
      <c r="AW65" s="1338"/>
      <c r="AX65" s="1338"/>
      <c r="AY65" s="1338"/>
      <c r="AZ65" s="1338"/>
      <c r="BA65" s="1338"/>
      <c r="BB65" s="1338"/>
      <c r="BC65" s="1338"/>
      <c r="BD65" s="1338"/>
      <c r="BE65" s="1338"/>
      <c r="BF65" s="1338"/>
      <c r="BG65" s="1338"/>
      <c r="BH65" s="1338"/>
      <c r="BI65" s="1338"/>
      <c r="BJ65" s="1338"/>
      <c r="BK65" s="1338"/>
      <c r="BL65" s="1338"/>
      <c r="BM65" s="1338"/>
      <c r="BN65" s="1338"/>
      <c r="BO65" s="1338"/>
      <c r="BP65" s="1338"/>
      <c r="BQ65" s="1338"/>
      <c r="BR65" s="1338"/>
      <c r="BS65" s="1338"/>
      <c r="BT65" s="395"/>
      <c r="BU65" s="401"/>
      <c r="BV65" s="942" t="s">
        <v>4350</v>
      </c>
      <c r="BW65" s="405" t="s">
        <v>841</v>
      </c>
      <c r="BX65" s="1104"/>
      <c r="BZ65" s="382"/>
      <c r="CB65" s="1363" t="s">
        <v>6089</v>
      </c>
      <c r="CC65" s="1362"/>
      <c r="CD65" s="1362"/>
      <c r="CE65" s="1362"/>
      <c r="CF65" s="1362"/>
      <c r="CG65" s="1362"/>
      <c r="CH65" s="1362"/>
      <c r="DF65" s="409"/>
      <c r="DG65" s="409"/>
      <c r="DH65" s="409"/>
      <c r="DI65" s="409"/>
      <c r="DJ65" s="409"/>
      <c r="DK65" s="409"/>
      <c r="DL65" s="409"/>
      <c r="DM65" s="409"/>
      <c r="DN65" s="409"/>
      <c r="DO65" s="409"/>
      <c r="DP65" s="409"/>
      <c r="DQ65" s="409"/>
      <c r="DS65" s="1363" t="s">
        <v>6090</v>
      </c>
      <c r="FN65" s="1305"/>
      <c r="FO65" s="1305"/>
      <c r="FP65" s="1182"/>
      <c r="FQ65" s="1182"/>
      <c r="FR65" s="1182"/>
      <c r="FS65" s="1107"/>
      <c r="GS65" s="1208"/>
      <c r="GT65" s="1208"/>
    </row>
    <row r="66" spans="19:202" ht="15.6" customHeight="1">
      <c r="AJ66" s="515"/>
      <c r="AK66" s="1276"/>
      <c r="AL66" s="1276"/>
      <c r="AM66" s="1276"/>
      <c r="AN66" s="1276"/>
      <c r="AT66" s="1340"/>
      <c r="AU66" s="1340"/>
      <c r="AV66" s="1340"/>
      <c r="AW66" s="1340"/>
      <c r="AX66" s="1340"/>
      <c r="AY66" s="1340"/>
      <c r="AZ66" s="1340"/>
      <c r="BA66" s="1340"/>
      <c r="BB66" s="1340"/>
      <c r="BC66" s="1340"/>
      <c r="BD66" s="1340"/>
      <c r="BE66" s="1340"/>
      <c r="BF66" s="1340"/>
      <c r="BG66" s="1340"/>
      <c r="BH66" s="1340"/>
      <c r="BI66" s="1340"/>
      <c r="BJ66" s="1340"/>
      <c r="BK66" s="1340"/>
      <c r="BL66" s="1340"/>
      <c r="BM66" s="1340"/>
      <c r="BN66" s="1340"/>
      <c r="BO66" s="1340"/>
      <c r="BP66" s="1340"/>
      <c r="BQ66" s="1340"/>
      <c r="BR66" s="1340"/>
      <c r="BS66" s="1340"/>
      <c r="BT66" s="1129" t="s">
        <v>5047</v>
      </c>
      <c r="BU66" s="1130" t="s">
        <v>5048</v>
      </c>
      <c r="BV66" s="1131" t="s">
        <v>5049</v>
      </c>
      <c r="BW66" s="1132" t="s">
        <v>5050</v>
      </c>
      <c r="BX66" s="1104"/>
      <c r="BZ66" s="1133"/>
      <c r="CB66" s="1363" t="s">
        <v>6091</v>
      </c>
      <c r="CC66" s="1362"/>
      <c r="CD66" s="1362"/>
      <c r="CE66" s="1362"/>
      <c r="CF66" s="1362"/>
      <c r="CG66" s="1362"/>
      <c r="CH66" s="1362"/>
      <c r="DF66" s="409"/>
      <c r="DG66" s="409"/>
      <c r="DH66" s="409"/>
      <c r="DI66" s="409"/>
      <c r="DJ66" s="409"/>
      <c r="DK66" s="409"/>
      <c r="DL66" s="409"/>
      <c r="DM66" s="409"/>
      <c r="DN66" s="409"/>
      <c r="DO66" s="409"/>
      <c r="DP66" s="409"/>
      <c r="DQ66" s="409"/>
      <c r="DS66" s="1363" t="s">
        <v>6092</v>
      </c>
      <c r="DT66" s="385"/>
      <c r="DU66" s="385"/>
      <c r="DV66" s="385"/>
      <c r="DW66" s="385"/>
      <c r="DX66" s="385"/>
      <c r="DY66" s="385"/>
      <c r="DZ66" s="385"/>
      <c r="EA66" s="385"/>
      <c r="FN66" s="1305"/>
      <c r="FO66" s="1305"/>
      <c r="FP66" s="1294"/>
      <c r="FQ66" s="1166"/>
      <c r="FR66" s="1294"/>
      <c r="FS66" s="1166"/>
      <c r="GS66" s="1208"/>
      <c r="GT66" s="1208"/>
    </row>
    <row r="67" spans="19:202" ht="15.6" customHeight="1">
      <c r="AJ67" s="515"/>
      <c r="AR67" s="515"/>
      <c r="AS67" s="515"/>
      <c r="AT67" s="1338"/>
      <c r="AU67" s="1338"/>
      <c r="AV67" s="1338"/>
      <c r="AW67" s="1338"/>
      <c r="AX67" s="1338"/>
      <c r="AY67" s="1338"/>
      <c r="AZ67" s="1338"/>
      <c r="BA67" s="1338"/>
      <c r="BB67" s="1338"/>
      <c r="BC67" s="1338"/>
      <c r="BD67" s="1338"/>
      <c r="BE67" s="1338"/>
      <c r="BF67" s="1338"/>
      <c r="BG67" s="1338"/>
      <c r="BH67" s="1338"/>
      <c r="BI67" s="1338"/>
      <c r="BJ67" s="1338"/>
      <c r="BK67" s="1338"/>
      <c r="BL67" s="1338"/>
      <c r="BM67" s="1338"/>
      <c r="BN67" s="1338"/>
      <c r="BO67" s="1338"/>
      <c r="BP67" s="1338"/>
      <c r="BQ67" s="1338"/>
      <c r="BR67" s="1338"/>
      <c r="BS67" s="1338"/>
      <c r="BT67" s="382"/>
      <c r="BU67" s="382" t="s">
        <v>5067</v>
      </c>
      <c r="BV67" s="463">
        <f>SUM(BV68:BV80)</f>
        <v>1280</v>
      </c>
      <c r="BW67" s="799">
        <v>100</v>
      </c>
      <c r="BX67" s="771"/>
      <c r="CB67" s="1363" t="s">
        <v>6093</v>
      </c>
      <c r="CC67" s="1362"/>
      <c r="CD67" s="1362"/>
      <c r="CE67" s="1362"/>
      <c r="CF67" s="1362"/>
      <c r="CG67" s="1362"/>
      <c r="CH67" s="1362"/>
      <c r="DF67" s="409"/>
      <c r="DQ67" s="409"/>
      <c r="DS67" s="1133"/>
      <c r="DT67" s="1179"/>
      <c r="DU67" s="1179"/>
      <c r="DV67" s="1179"/>
      <c r="DW67" s="1179"/>
      <c r="DX67" s="1179"/>
      <c r="DY67" s="1179"/>
      <c r="DZ67" s="1179"/>
      <c r="EA67" s="1179"/>
      <c r="FN67" s="1307"/>
      <c r="FO67" s="1368"/>
      <c r="FP67" s="1294"/>
      <c r="FQ67" s="1294"/>
      <c r="FR67" s="1294"/>
      <c r="FS67" s="1166"/>
      <c r="GS67" s="1208"/>
      <c r="GT67" s="1208"/>
    </row>
    <row r="68" spans="19:202" ht="15.6" customHeight="1">
      <c r="S68" s="515"/>
      <c r="AJ68" s="515"/>
      <c r="AK68" s="1276"/>
      <c r="AL68" s="1276"/>
      <c r="AM68" s="1276"/>
      <c r="AN68" s="1276"/>
      <c r="AO68" s="515"/>
      <c r="AP68" s="515"/>
      <c r="AQ68" s="515"/>
      <c r="AR68" s="771"/>
      <c r="AS68" s="771"/>
      <c r="AT68" s="1338"/>
      <c r="AU68" s="1338"/>
      <c r="AV68" s="1338"/>
      <c r="AW68" s="1338"/>
      <c r="AX68" s="1338"/>
      <c r="AY68" s="1338"/>
      <c r="AZ68" s="1338"/>
      <c r="BA68" s="1338"/>
      <c r="BB68" s="1338"/>
      <c r="BC68" s="1338"/>
      <c r="BD68" s="1338"/>
      <c r="BE68" s="1338"/>
      <c r="BF68" s="1338"/>
      <c r="BG68" s="1338"/>
      <c r="BH68" s="1338"/>
      <c r="BI68" s="1338"/>
      <c r="BJ68" s="1338"/>
      <c r="BK68" s="1338"/>
      <c r="BL68" s="1338"/>
      <c r="BM68" s="1338"/>
      <c r="BN68" s="1338"/>
      <c r="BO68" s="1338"/>
      <c r="BP68" s="1338"/>
      <c r="BQ68" s="1338"/>
      <c r="BR68" s="1338"/>
      <c r="BS68" s="1338"/>
      <c r="BT68" s="1090">
        <v>1</v>
      </c>
      <c r="BU68" s="1253" t="s">
        <v>5912</v>
      </c>
      <c r="BV68" s="382">
        <v>395</v>
      </c>
      <c r="BW68" s="799">
        <v>30.9</v>
      </c>
      <c r="BX68" s="771"/>
      <c r="CB68" s="1363" t="s">
        <v>6094</v>
      </c>
      <c r="CC68" s="1362"/>
      <c r="CD68" s="1362"/>
      <c r="CE68" s="1362"/>
      <c r="CF68" s="1362"/>
      <c r="CG68" s="1362"/>
      <c r="CH68" s="1362"/>
      <c r="CI68" s="1369"/>
      <c r="CT68" s="1369"/>
      <c r="CU68" s="1369"/>
      <c r="CV68" s="1369"/>
      <c r="CW68" s="1369"/>
      <c r="CX68" s="1369"/>
      <c r="CY68" s="1369"/>
      <c r="CZ68" s="1369"/>
      <c r="DA68" s="1369"/>
      <c r="DB68" s="1369"/>
      <c r="DC68" s="1369"/>
      <c r="DD68" s="1369"/>
      <c r="DE68" s="1369"/>
      <c r="DF68" s="409"/>
      <c r="DG68" s="394"/>
      <c r="DH68" s="394"/>
      <c r="DI68" s="394"/>
      <c r="DJ68" s="394"/>
      <c r="DK68" s="394"/>
      <c r="DL68" s="394"/>
      <c r="DM68" s="394"/>
      <c r="DN68" s="394"/>
      <c r="DO68" s="394"/>
      <c r="DP68" s="394"/>
      <c r="DQ68" s="409"/>
      <c r="DS68" s="1133"/>
      <c r="DT68" s="1179"/>
      <c r="DU68" s="1179"/>
      <c r="DV68" s="1179"/>
      <c r="DW68" s="1179"/>
      <c r="DX68" s="1179"/>
      <c r="DY68" s="1179"/>
      <c r="DZ68" s="1179"/>
      <c r="EA68" s="1179"/>
      <c r="FN68" s="1305"/>
      <c r="FO68" s="1305"/>
      <c r="FP68" s="1294"/>
      <c r="FQ68" s="1294"/>
      <c r="FR68" s="1294"/>
      <c r="FS68" s="1294"/>
      <c r="GS68" s="1208"/>
      <c r="GT68" s="1208"/>
    </row>
    <row r="69" spans="19:202" ht="15.6" customHeight="1">
      <c r="S69" s="515"/>
      <c r="AJ69" s="515"/>
      <c r="AO69" s="771"/>
      <c r="AP69" s="771"/>
      <c r="AQ69" s="771"/>
      <c r="AT69" s="1338"/>
      <c r="AU69" s="1338"/>
      <c r="AV69" s="1340"/>
      <c r="AW69" s="1340"/>
      <c r="AX69" s="1338"/>
      <c r="AY69" s="1338"/>
      <c r="AZ69" s="1338"/>
      <c r="BA69" s="1338"/>
      <c r="BB69" s="1338"/>
      <c r="BC69" s="1338"/>
      <c r="BD69" s="1338"/>
      <c r="BE69" s="1338"/>
      <c r="BF69" s="1338"/>
      <c r="BG69" s="1338"/>
      <c r="BH69" s="1338"/>
      <c r="BI69" s="1338"/>
      <c r="BJ69" s="1338"/>
      <c r="BK69" s="1338"/>
      <c r="BL69" s="1338"/>
      <c r="BM69" s="1338"/>
      <c r="BN69" s="1338"/>
      <c r="BO69" s="1338"/>
      <c r="BP69" s="1338"/>
      <c r="BQ69" s="1338"/>
      <c r="BR69" s="1338"/>
      <c r="BS69" s="1338"/>
      <c r="BT69" s="1090">
        <v>2</v>
      </c>
      <c r="BU69" s="1253" t="s">
        <v>5118</v>
      </c>
      <c r="BV69" s="382">
        <v>212</v>
      </c>
      <c r="BW69" s="799">
        <v>15.6</v>
      </c>
      <c r="BX69" s="771"/>
      <c r="CB69" s="1363" t="s">
        <v>6095</v>
      </c>
      <c r="CC69" s="1362"/>
      <c r="CD69" s="1362"/>
      <c r="CE69" s="1362"/>
      <c r="CF69" s="1362"/>
      <c r="CG69" s="1362"/>
      <c r="CH69" s="1362"/>
      <c r="CI69" s="1348"/>
      <c r="CT69" s="1348"/>
      <c r="CU69" s="1348"/>
      <c r="CV69" s="1348"/>
      <c r="CW69" s="1348"/>
      <c r="CX69" s="1348"/>
      <c r="CY69" s="1348"/>
      <c r="CZ69" s="1348"/>
      <c r="DA69" s="1348"/>
      <c r="DB69" s="1348"/>
      <c r="DC69" s="1348"/>
      <c r="DD69" s="1348"/>
      <c r="DE69" s="1348"/>
      <c r="DS69" s="382"/>
      <c r="DT69" s="1179"/>
      <c r="DU69" s="1179"/>
      <c r="DV69" s="1179"/>
      <c r="DW69" s="1179"/>
      <c r="DX69" s="1179"/>
      <c r="DY69" s="1179"/>
      <c r="DZ69" s="1179"/>
      <c r="EA69" s="1179"/>
      <c r="FP69" s="1294"/>
      <c r="FQ69" s="1294"/>
      <c r="FR69" s="1294"/>
      <c r="FS69" s="1294"/>
    </row>
    <row r="70" spans="19:202" ht="15.6" customHeight="1">
      <c r="AJ70" s="757"/>
      <c r="AK70" s="1306"/>
      <c r="AL70" s="1306"/>
      <c r="AM70" s="1306"/>
      <c r="AN70" s="1306"/>
      <c r="AT70" s="1367"/>
      <c r="AU70" s="1367"/>
      <c r="AV70" s="1338"/>
      <c r="AW70" s="1338"/>
      <c r="AX70" s="1367"/>
      <c r="AY70" s="1367"/>
      <c r="AZ70" s="1367"/>
      <c r="BA70" s="1367"/>
      <c r="BB70" s="1367"/>
      <c r="BC70" s="1367"/>
      <c r="BD70" s="1367"/>
      <c r="BE70" s="1367"/>
      <c r="BF70" s="1367"/>
      <c r="BG70" s="1367"/>
      <c r="BH70" s="1367"/>
      <c r="BI70" s="1367"/>
      <c r="BJ70" s="1367"/>
      <c r="BK70" s="1367"/>
      <c r="BL70" s="1367"/>
      <c r="BM70" s="1367"/>
      <c r="BN70" s="1367"/>
      <c r="BO70" s="1367"/>
      <c r="BP70" s="1367"/>
      <c r="BQ70" s="1367"/>
      <c r="BR70" s="1367"/>
      <c r="BS70" s="1367"/>
      <c r="BT70" s="1090">
        <v>3</v>
      </c>
      <c r="BU70" s="1253" t="s">
        <v>5950</v>
      </c>
      <c r="BV70" s="382">
        <v>119</v>
      </c>
      <c r="BW70" s="799">
        <v>9.3000000000000007</v>
      </c>
      <c r="BX70" s="771"/>
      <c r="CB70" s="1363" t="s">
        <v>6096</v>
      </c>
      <c r="CC70" s="1362"/>
      <c r="CD70" s="1362"/>
      <c r="CE70" s="1362"/>
      <c r="CF70" s="1362"/>
      <c r="CG70" s="1362"/>
      <c r="CH70" s="1362"/>
      <c r="CI70" s="1348"/>
      <c r="CT70" s="1348"/>
      <c r="CU70" s="1348"/>
      <c r="CV70" s="1348"/>
      <c r="CW70" s="1348"/>
      <c r="CX70" s="1348"/>
      <c r="CY70" s="1348"/>
      <c r="CZ70" s="1348"/>
      <c r="DA70" s="1348"/>
      <c r="DB70" s="1348"/>
      <c r="DC70" s="1348"/>
      <c r="DD70" s="1348"/>
      <c r="DE70" s="1348"/>
      <c r="DF70" s="394"/>
      <c r="DQ70" s="394"/>
      <c r="DS70" s="1093" t="s">
        <v>6097</v>
      </c>
      <c r="DT70" s="910"/>
      <c r="DU70" s="681"/>
      <c r="FP70" s="1294"/>
      <c r="FQ70" s="1294"/>
      <c r="FR70" s="1294"/>
      <c r="FS70" s="1294"/>
    </row>
    <row r="71" spans="19:202" ht="15.6" customHeight="1">
      <c r="AJ71" s="757"/>
      <c r="AK71" s="1306"/>
      <c r="AL71" s="1306"/>
      <c r="AM71" s="1306"/>
      <c r="AN71" s="1306"/>
      <c r="AO71" s="772"/>
      <c r="AP71" s="515"/>
      <c r="AR71" s="771"/>
      <c r="AS71" s="771"/>
      <c r="AT71" s="1367"/>
      <c r="AU71" s="1367"/>
      <c r="AV71" s="1338"/>
      <c r="AW71" s="1338"/>
      <c r="AX71" s="1367"/>
      <c r="AY71" s="1367"/>
      <c r="AZ71" s="1367"/>
      <c r="BA71" s="1367"/>
      <c r="BB71" s="1367"/>
      <c r="BC71" s="1367"/>
      <c r="BD71" s="1367"/>
      <c r="BE71" s="1367"/>
      <c r="BF71" s="1367"/>
      <c r="BG71" s="1367"/>
      <c r="BH71" s="1367"/>
      <c r="BI71" s="1367"/>
      <c r="BJ71" s="1367"/>
      <c r="BK71" s="1367"/>
      <c r="BL71" s="1367"/>
      <c r="BM71" s="1367"/>
      <c r="BN71" s="1367"/>
      <c r="BO71" s="1367"/>
      <c r="BP71" s="1367"/>
      <c r="BQ71" s="1367"/>
      <c r="BR71" s="1367"/>
      <c r="BS71" s="1367"/>
      <c r="BT71" s="1090">
        <v>4</v>
      </c>
      <c r="BU71" s="1253" t="s">
        <v>5145</v>
      </c>
      <c r="BV71" s="382">
        <v>75</v>
      </c>
      <c r="BW71" s="799">
        <v>5.7</v>
      </c>
      <c r="BX71" s="771"/>
      <c r="CB71" s="1211"/>
      <c r="CC71" s="1179"/>
      <c r="CD71" s="1180"/>
      <c r="CE71" s="1180"/>
      <c r="CF71" s="1180"/>
      <c r="CG71" s="1180"/>
      <c r="CH71" s="1180"/>
      <c r="CI71" s="1348"/>
      <c r="CT71" s="1348"/>
      <c r="CU71" s="1348"/>
      <c r="CV71" s="1348"/>
      <c r="CW71" s="1348"/>
      <c r="CX71" s="1348"/>
      <c r="CY71" s="1348"/>
      <c r="CZ71" s="1348"/>
      <c r="DA71" s="1348"/>
      <c r="DB71" s="1348"/>
      <c r="DC71" s="1348"/>
      <c r="DD71" s="1348"/>
      <c r="DE71" s="1348"/>
      <c r="DS71" s="1106"/>
      <c r="DT71" s="2127">
        <v>2024</v>
      </c>
      <c r="DU71" s="2128"/>
      <c r="DV71" s="2128"/>
      <c r="DW71" s="2128"/>
      <c r="DX71" s="2127">
        <v>2023</v>
      </c>
      <c r="DY71" s="2128"/>
      <c r="DZ71" s="2128"/>
      <c r="EA71" s="2128"/>
      <c r="FP71" s="1305"/>
      <c r="FQ71" s="1305"/>
      <c r="FR71" s="1305"/>
      <c r="FS71" s="1305"/>
    </row>
    <row r="72" spans="19:202" ht="15.6" customHeight="1">
      <c r="AJ72" s="515"/>
      <c r="AK72" s="1306"/>
      <c r="AL72" s="1306"/>
      <c r="AM72" s="1306"/>
      <c r="AN72" s="1306"/>
      <c r="AO72" s="772"/>
      <c r="AP72" s="771"/>
      <c r="AQ72" s="771"/>
      <c r="AT72" s="1367"/>
      <c r="AU72" s="1367"/>
      <c r="AV72" s="1338"/>
      <c r="AW72" s="1338"/>
      <c r="AX72" s="1367"/>
      <c r="AY72" s="1367"/>
      <c r="AZ72" s="1367"/>
      <c r="BA72" s="1367"/>
      <c r="BB72" s="1367"/>
      <c r="BC72" s="1367"/>
      <c r="BD72" s="1367"/>
      <c r="BE72" s="1367"/>
      <c r="BF72" s="1367"/>
      <c r="BG72" s="1367"/>
      <c r="BH72" s="1367"/>
      <c r="BI72" s="1367"/>
      <c r="BJ72" s="1367"/>
      <c r="BK72" s="1367"/>
      <c r="BL72" s="1367"/>
      <c r="BM72" s="1367"/>
      <c r="BN72" s="1367"/>
      <c r="BO72" s="1367"/>
      <c r="BP72" s="1367"/>
      <c r="BQ72" s="1367"/>
      <c r="BR72" s="1367"/>
      <c r="BS72" s="1367"/>
      <c r="BT72" s="1090">
        <v>5</v>
      </c>
      <c r="BU72" s="1253" t="s">
        <v>5965</v>
      </c>
      <c r="BV72" s="382">
        <v>48</v>
      </c>
      <c r="BW72" s="799">
        <v>3.8</v>
      </c>
      <c r="BX72" s="771"/>
      <c r="CB72" s="1211"/>
      <c r="CC72" s="1179"/>
      <c r="CD72" s="1180"/>
      <c r="CE72" s="1180"/>
      <c r="CF72" s="1180"/>
      <c r="CG72" s="1180"/>
      <c r="CH72" s="1180"/>
      <c r="CI72" s="1348"/>
      <c r="CT72" s="1348"/>
      <c r="CU72" s="1348"/>
      <c r="CV72" s="1348"/>
      <c r="CW72" s="1348"/>
      <c r="CX72" s="1348"/>
      <c r="CY72" s="1348"/>
      <c r="CZ72" s="1348"/>
      <c r="DA72" s="1348"/>
      <c r="DB72" s="1348"/>
      <c r="DC72" s="1348"/>
      <c r="DD72" s="1348"/>
      <c r="DE72" s="1348"/>
      <c r="DS72" s="727" t="s">
        <v>5040</v>
      </c>
      <c r="DT72" s="1137" t="s">
        <v>129</v>
      </c>
      <c r="DU72" s="1137" t="s">
        <v>1711</v>
      </c>
      <c r="DV72" s="1137" t="s">
        <v>1712</v>
      </c>
      <c r="DW72" s="1137" t="s">
        <v>2597</v>
      </c>
      <c r="DX72" s="1137" t="s">
        <v>129</v>
      </c>
      <c r="DY72" s="1137" t="s">
        <v>1711</v>
      </c>
      <c r="DZ72" s="719" t="s">
        <v>1712</v>
      </c>
      <c r="EA72" s="719" t="s">
        <v>2597</v>
      </c>
      <c r="FP72" s="1305"/>
      <c r="FQ72" s="1305"/>
      <c r="FR72" s="1305"/>
      <c r="FS72" s="1305"/>
    </row>
    <row r="73" spans="19:202" ht="15.6" customHeight="1">
      <c r="AO73" s="772"/>
      <c r="AR73" s="515"/>
      <c r="AS73" s="515"/>
      <c r="AV73" s="1367"/>
      <c r="AW73" s="1367"/>
      <c r="BT73" s="1090"/>
      <c r="BU73" s="1253" t="s">
        <v>5978</v>
      </c>
      <c r="BV73" s="382"/>
      <c r="BX73" s="771"/>
      <c r="CB73" s="1211"/>
      <c r="CC73" s="1179"/>
      <c r="CD73" s="1180"/>
      <c r="CE73" s="1180"/>
      <c r="CF73" s="1180"/>
      <c r="CG73" s="1180"/>
      <c r="CH73" s="1180"/>
      <c r="CI73" s="1348"/>
      <c r="CT73" s="1348"/>
      <c r="CU73" s="1348"/>
      <c r="CV73" s="1348"/>
      <c r="CW73" s="1348"/>
      <c r="CX73" s="1348"/>
      <c r="CY73" s="1348"/>
      <c r="CZ73" s="1348"/>
      <c r="DA73" s="1348"/>
      <c r="DB73" s="1348"/>
      <c r="DC73" s="1348"/>
      <c r="DD73" s="1348"/>
      <c r="DE73" s="1348"/>
      <c r="DS73" s="382" t="s">
        <v>6098</v>
      </c>
      <c r="DT73" s="1179">
        <v>1</v>
      </c>
      <c r="DU73" s="1179">
        <v>1</v>
      </c>
      <c r="DV73" s="1179">
        <v>0</v>
      </c>
      <c r="DW73" s="1179">
        <v>0</v>
      </c>
      <c r="DX73" s="1180">
        <v>1</v>
      </c>
      <c r="DY73" s="1179">
        <v>1</v>
      </c>
      <c r="DZ73" s="1179">
        <v>0</v>
      </c>
      <c r="EA73" s="1179">
        <v>0</v>
      </c>
      <c r="FP73" s="1368"/>
      <c r="FQ73" s="1368"/>
      <c r="FR73" s="1368"/>
      <c r="FS73" s="1368"/>
    </row>
    <row r="74" spans="19:202" ht="15.6" customHeight="1">
      <c r="AK74" s="1306"/>
      <c r="AL74" s="1306"/>
      <c r="AM74" s="1306"/>
      <c r="AN74" s="1306"/>
      <c r="AO74" s="515"/>
      <c r="AP74" s="515"/>
      <c r="AQ74" s="515"/>
      <c r="AT74" s="515"/>
      <c r="AU74" s="515"/>
      <c r="AV74" s="1367"/>
      <c r="AW74" s="1367"/>
      <c r="AX74" s="515"/>
      <c r="AY74" s="515"/>
      <c r="AZ74" s="515"/>
      <c r="BA74" s="515"/>
      <c r="BB74" s="515"/>
      <c r="BC74" s="515"/>
      <c r="BD74" s="515"/>
      <c r="BE74" s="515"/>
      <c r="BF74" s="515"/>
      <c r="BG74" s="515"/>
      <c r="BH74" s="515"/>
      <c r="BI74" s="515"/>
      <c r="BJ74" s="515"/>
      <c r="BK74" s="515"/>
      <c r="BL74" s="515"/>
      <c r="BM74" s="515"/>
      <c r="BN74" s="515"/>
      <c r="BO74" s="515"/>
      <c r="BP74" s="515"/>
      <c r="BQ74" s="515"/>
      <c r="BR74" s="515"/>
      <c r="BS74" s="515"/>
      <c r="BT74" s="1090">
        <v>6</v>
      </c>
      <c r="BU74" s="398" t="s">
        <v>5289</v>
      </c>
      <c r="BV74" s="382">
        <v>45</v>
      </c>
      <c r="BW74" s="799">
        <v>3.5</v>
      </c>
      <c r="BX74" s="771"/>
      <c r="CB74" s="386" t="s">
        <v>6099</v>
      </c>
      <c r="CC74" s="386"/>
      <c r="CD74" s="386"/>
      <c r="CE74" s="679"/>
      <c r="CF74" s="679"/>
      <c r="CG74" s="679"/>
      <c r="CH74" s="679"/>
      <c r="CI74" s="1348"/>
      <c r="CT74" s="1348"/>
      <c r="CU74" s="1348"/>
      <c r="CV74" s="1348"/>
      <c r="CW74" s="1348"/>
      <c r="CX74" s="1348"/>
      <c r="CY74" s="1348"/>
      <c r="CZ74" s="1348"/>
      <c r="DA74" s="1348"/>
      <c r="DB74" s="1348"/>
      <c r="DC74" s="1348"/>
      <c r="DD74" s="1348"/>
      <c r="DE74" s="1348"/>
      <c r="DS74" s="382" t="s">
        <v>6100</v>
      </c>
      <c r="DT74" s="1179">
        <v>110</v>
      </c>
      <c r="DU74" s="1179">
        <v>58</v>
      </c>
      <c r="DV74" s="1179">
        <v>52</v>
      </c>
      <c r="DW74" s="1179">
        <v>0</v>
      </c>
      <c r="DX74" s="1180">
        <v>102</v>
      </c>
      <c r="DY74" s="1179">
        <v>63</v>
      </c>
      <c r="DZ74" s="1179">
        <v>39</v>
      </c>
      <c r="EA74" s="1179">
        <v>0</v>
      </c>
      <c r="FP74" s="1305"/>
      <c r="FQ74" s="1305"/>
      <c r="FR74" s="1305"/>
      <c r="FS74" s="1305"/>
    </row>
    <row r="75" spans="19:202" ht="15.6" customHeight="1">
      <c r="AT75" s="771"/>
      <c r="AU75" s="771"/>
      <c r="AV75" s="1367"/>
      <c r="AW75" s="1367"/>
      <c r="AX75" s="771"/>
      <c r="AY75" s="771"/>
      <c r="AZ75" s="771"/>
      <c r="BA75" s="771"/>
      <c r="BB75" s="771"/>
      <c r="BC75" s="771"/>
      <c r="BD75" s="771"/>
      <c r="BE75" s="771"/>
      <c r="BF75" s="771"/>
      <c r="BG75" s="771"/>
      <c r="BH75" s="771"/>
      <c r="BI75" s="771"/>
      <c r="BJ75" s="771"/>
      <c r="BK75" s="771"/>
      <c r="BL75" s="771"/>
      <c r="BM75" s="771"/>
      <c r="BN75" s="771"/>
      <c r="BO75" s="771"/>
      <c r="BP75" s="771"/>
      <c r="BQ75" s="771"/>
      <c r="BR75" s="771"/>
      <c r="BS75" s="771"/>
      <c r="BT75" s="1090">
        <v>7</v>
      </c>
      <c r="BU75" s="1258" t="s">
        <v>6000</v>
      </c>
      <c r="BV75" s="382">
        <v>44</v>
      </c>
      <c r="BW75" s="799">
        <v>3.4</v>
      </c>
      <c r="BX75" s="771"/>
      <c r="BZ75" s="515"/>
      <c r="CB75" s="937" t="s">
        <v>5040</v>
      </c>
      <c r="CC75" s="905">
        <v>2024</v>
      </c>
      <c r="CD75" s="905">
        <v>2023</v>
      </c>
      <c r="CE75" s="905">
        <v>2022</v>
      </c>
      <c r="CF75" s="905">
        <v>2021</v>
      </c>
      <c r="CG75" s="906">
        <v>2020</v>
      </c>
      <c r="CI75" s="1348"/>
      <c r="CJ75" s="1369"/>
      <c r="CK75" s="1369"/>
      <c r="CL75" s="1369"/>
      <c r="CM75" s="1369"/>
      <c r="CN75" s="1369"/>
      <c r="CO75" s="1369"/>
      <c r="CP75" s="1369"/>
      <c r="CQ75" s="1369"/>
      <c r="CR75" s="1369"/>
      <c r="CS75" s="1369"/>
      <c r="CT75" s="1348"/>
      <c r="CU75" s="1348"/>
      <c r="CV75" s="1348"/>
      <c r="CW75" s="1348"/>
      <c r="CX75" s="1348"/>
      <c r="CY75" s="1348"/>
      <c r="CZ75" s="1348"/>
      <c r="DA75" s="1348"/>
      <c r="DB75" s="1348"/>
      <c r="DC75" s="1348"/>
      <c r="DD75" s="1348"/>
      <c r="DE75" s="1348"/>
      <c r="DS75" s="382" t="s">
        <v>6101</v>
      </c>
      <c r="DT75" s="1179">
        <v>1</v>
      </c>
      <c r="DU75" s="1179">
        <v>0</v>
      </c>
      <c r="DV75" s="1179">
        <v>1</v>
      </c>
      <c r="DW75" s="1179">
        <v>0</v>
      </c>
      <c r="DX75" s="1180">
        <v>1</v>
      </c>
      <c r="DY75" s="1179">
        <v>0</v>
      </c>
      <c r="DZ75" s="1179">
        <v>1</v>
      </c>
      <c r="EA75" s="1179">
        <v>0</v>
      </c>
    </row>
    <row r="76" spans="19:202" ht="15.6" customHeight="1">
      <c r="BT76" s="1090">
        <v>8</v>
      </c>
      <c r="BU76" s="1258" t="s">
        <v>6015</v>
      </c>
      <c r="BV76" s="382">
        <v>24</v>
      </c>
      <c r="BW76" s="799">
        <v>1.9</v>
      </c>
      <c r="BX76" s="771"/>
      <c r="BZ76" s="515"/>
      <c r="CB76" s="1211" t="s">
        <v>6098</v>
      </c>
      <c r="CC76" s="1179">
        <v>1</v>
      </c>
      <c r="CD76" s="1180">
        <v>1</v>
      </c>
      <c r="CE76" s="1180">
        <v>4</v>
      </c>
      <c r="CF76" s="1180">
        <v>4</v>
      </c>
      <c r="CG76" s="1180">
        <v>14</v>
      </c>
      <c r="CH76" s="1180"/>
      <c r="CI76" s="1348"/>
      <c r="CJ76" s="1348"/>
      <c r="CK76" s="1348"/>
      <c r="CL76" s="1348"/>
      <c r="CM76" s="1348"/>
      <c r="CN76" s="1348"/>
      <c r="CO76" s="1348"/>
      <c r="CP76" s="1348"/>
      <c r="CQ76" s="1348"/>
      <c r="CR76" s="1348"/>
      <c r="CS76" s="1348"/>
      <c r="CT76" s="1348"/>
      <c r="CU76" s="1348"/>
      <c r="CV76" s="1348"/>
      <c r="CW76" s="1348"/>
      <c r="CX76" s="1348"/>
      <c r="CY76" s="1348"/>
      <c r="CZ76" s="1348"/>
      <c r="DA76" s="1348"/>
      <c r="DB76" s="1348"/>
      <c r="DC76" s="1348"/>
      <c r="DD76" s="1348"/>
      <c r="DE76" s="1348"/>
      <c r="DS76" s="382" t="s">
        <v>6102</v>
      </c>
      <c r="DT76" s="1179">
        <v>0</v>
      </c>
      <c r="DU76" s="1179">
        <v>0</v>
      </c>
      <c r="DV76" s="1179">
        <v>0</v>
      </c>
      <c r="DW76" s="1179">
        <v>0</v>
      </c>
      <c r="DX76" s="1180">
        <v>0</v>
      </c>
      <c r="DY76" s="1179">
        <v>0</v>
      </c>
      <c r="DZ76" s="1179">
        <v>0</v>
      </c>
      <c r="EA76" s="1179">
        <v>0</v>
      </c>
    </row>
    <row r="77" spans="19:202" ht="15.6" customHeight="1">
      <c r="AV77" s="515"/>
      <c r="AW77" s="515"/>
      <c r="BT77" s="1090">
        <v>8</v>
      </c>
      <c r="BU77" s="398" t="s">
        <v>6103</v>
      </c>
      <c r="BV77" s="382">
        <v>24</v>
      </c>
      <c r="BW77" s="799">
        <v>1.9</v>
      </c>
      <c r="BX77" s="771"/>
      <c r="BZ77" s="515"/>
      <c r="CB77" s="382" t="s">
        <v>6100</v>
      </c>
      <c r="CC77" s="1179">
        <v>110</v>
      </c>
      <c r="CD77" s="1180">
        <v>102</v>
      </c>
      <c r="CE77" s="1180">
        <v>28</v>
      </c>
      <c r="CF77" s="1180">
        <v>100</v>
      </c>
      <c r="CG77" s="1180">
        <v>55</v>
      </c>
      <c r="CH77" s="1180"/>
      <c r="CI77" s="1348"/>
      <c r="CJ77" s="1348"/>
      <c r="CK77" s="1348"/>
      <c r="CL77" s="1348"/>
      <c r="CM77" s="1348"/>
      <c r="CN77" s="1348"/>
      <c r="CO77" s="1348"/>
      <c r="CP77" s="1348"/>
      <c r="CQ77" s="1348"/>
      <c r="CR77" s="1348"/>
      <c r="CS77" s="1348"/>
      <c r="CT77" s="1348"/>
      <c r="CU77" s="1348"/>
      <c r="CV77" s="1348"/>
      <c r="CW77" s="1348"/>
      <c r="CX77" s="1348"/>
      <c r="CY77" s="1348"/>
      <c r="CZ77" s="1348"/>
      <c r="DA77" s="1348"/>
      <c r="DB77" s="1348"/>
      <c r="DC77" s="1348"/>
      <c r="DD77" s="1348"/>
      <c r="DE77" s="1348"/>
      <c r="DS77" s="382" t="s">
        <v>6104</v>
      </c>
      <c r="DT77" s="1179">
        <v>0</v>
      </c>
      <c r="DU77" s="1179">
        <v>0</v>
      </c>
      <c r="DV77" s="1179">
        <v>0</v>
      </c>
      <c r="DW77" s="1179">
        <v>0</v>
      </c>
      <c r="DX77" s="1180">
        <v>0</v>
      </c>
      <c r="DY77" s="1179">
        <v>0</v>
      </c>
      <c r="DZ77" s="1179">
        <v>0</v>
      </c>
      <c r="EA77" s="1179">
        <v>0</v>
      </c>
    </row>
    <row r="78" spans="19:202" ht="15.6" customHeight="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1090">
        <v>8</v>
      </c>
      <c r="BU78" s="1253" t="s">
        <v>6040</v>
      </c>
      <c r="BV78" s="382">
        <v>24</v>
      </c>
      <c r="BW78" s="799">
        <v>1.9</v>
      </c>
      <c r="BX78" s="771"/>
      <c r="BZ78" s="515"/>
      <c r="CB78" s="382" t="s">
        <v>6101</v>
      </c>
      <c r="CC78" s="1179">
        <v>1</v>
      </c>
      <c r="CD78" s="1180">
        <v>1</v>
      </c>
      <c r="CE78" s="1180">
        <v>2</v>
      </c>
      <c r="CF78" s="1180">
        <v>28</v>
      </c>
      <c r="CG78" s="1180">
        <v>5</v>
      </c>
      <c r="CH78" s="1180"/>
      <c r="CI78" s="1348"/>
      <c r="CJ78" s="1348"/>
      <c r="CK78" s="1348"/>
      <c r="CL78" s="1348"/>
      <c r="CM78" s="1348"/>
      <c r="CN78" s="1348"/>
      <c r="CO78" s="1348"/>
      <c r="CP78" s="1348"/>
      <c r="CQ78" s="1348"/>
      <c r="CR78" s="1348"/>
      <c r="CS78" s="1348"/>
      <c r="CT78" s="1348"/>
      <c r="CU78" s="1348"/>
      <c r="CV78" s="1348"/>
      <c r="CW78" s="1348"/>
      <c r="CX78" s="1348"/>
      <c r="CY78" s="1348"/>
      <c r="CZ78" s="1348"/>
      <c r="DA78" s="1348"/>
      <c r="DB78" s="1348"/>
      <c r="DC78" s="1348"/>
      <c r="DD78" s="1348"/>
      <c r="DE78" s="1348"/>
      <c r="DS78" s="382" t="s">
        <v>6105</v>
      </c>
      <c r="DT78" s="1179">
        <v>65</v>
      </c>
      <c r="DU78" s="1179">
        <v>45</v>
      </c>
      <c r="DV78" s="1179">
        <v>20</v>
      </c>
      <c r="DW78" s="1179">
        <v>0</v>
      </c>
      <c r="DX78" s="1180">
        <v>58</v>
      </c>
      <c r="DY78" s="1179">
        <v>35</v>
      </c>
      <c r="DZ78" s="1179">
        <v>23</v>
      </c>
      <c r="EA78" s="1179">
        <v>0</v>
      </c>
    </row>
    <row r="79" spans="19:202" ht="15.6" customHeight="1">
      <c r="BT79" s="1257"/>
      <c r="BU79" s="1253" t="s">
        <v>5419</v>
      </c>
      <c r="BV79" s="382">
        <v>253</v>
      </c>
      <c r="BW79" s="1370">
        <v>19.8</v>
      </c>
      <c r="BX79" s="382"/>
      <c r="BZ79" s="757"/>
      <c r="CB79" s="1211" t="s">
        <v>6102</v>
      </c>
      <c r="CC79" s="1179">
        <v>0</v>
      </c>
      <c r="CD79" s="1180">
        <v>0</v>
      </c>
      <c r="CE79" s="1180">
        <v>0</v>
      </c>
      <c r="CF79" s="1180">
        <v>0</v>
      </c>
      <c r="CG79" s="1180">
        <v>0</v>
      </c>
      <c r="CH79" s="1180"/>
      <c r="CI79" s="1348"/>
      <c r="CJ79" s="1348"/>
      <c r="CK79" s="1348"/>
      <c r="CL79" s="1348"/>
      <c r="CM79" s="1348"/>
      <c r="CN79" s="1348"/>
      <c r="CO79" s="1348"/>
      <c r="CP79" s="1348"/>
      <c r="CQ79" s="1348"/>
      <c r="CR79" s="1348"/>
      <c r="CS79" s="1348"/>
      <c r="CT79" s="1348"/>
      <c r="CU79" s="1348"/>
      <c r="CV79" s="1348"/>
      <c r="CW79" s="1348"/>
      <c r="CX79" s="1348"/>
      <c r="CY79" s="1348"/>
      <c r="CZ79" s="1348"/>
      <c r="DA79" s="1348"/>
      <c r="DB79" s="1348"/>
      <c r="DC79" s="1348"/>
      <c r="DD79" s="1348"/>
      <c r="DE79" s="1348"/>
      <c r="DS79" s="382" t="s">
        <v>6106</v>
      </c>
      <c r="DT79" s="1179">
        <v>0</v>
      </c>
      <c r="DU79" s="1179">
        <v>0</v>
      </c>
      <c r="DV79" s="1179">
        <v>0</v>
      </c>
      <c r="DW79" s="1179">
        <v>0</v>
      </c>
      <c r="DX79" s="1180">
        <v>4</v>
      </c>
      <c r="DY79" s="1179">
        <v>1</v>
      </c>
      <c r="DZ79" s="1179">
        <v>3</v>
      </c>
      <c r="EA79" s="1179">
        <v>0</v>
      </c>
    </row>
    <row r="80" spans="19:202" ht="15.6" customHeight="1">
      <c r="AT80" s="515"/>
      <c r="AU80" s="515"/>
      <c r="AX80" s="515"/>
      <c r="AY80" s="515"/>
      <c r="AZ80" s="515"/>
      <c r="BA80" s="515"/>
      <c r="BB80" s="515"/>
      <c r="BC80" s="515"/>
      <c r="BD80" s="515"/>
      <c r="BE80" s="515"/>
      <c r="BF80" s="515"/>
      <c r="BG80" s="515"/>
      <c r="BH80" s="515"/>
      <c r="BI80" s="515"/>
      <c r="BJ80" s="515"/>
      <c r="BK80" s="515"/>
      <c r="BL80" s="515"/>
      <c r="BM80" s="515"/>
      <c r="BN80" s="515"/>
      <c r="BO80" s="515"/>
      <c r="BP80" s="515"/>
      <c r="BQ80" s="515"/>
      <c r="BR80" s="515"/>
      <c r="BS80" s="515"/>
      <c r="BT80" s="1257"/>
      <c r="BU80" s="1253" t="s">
        <v>6107</v>
      </c>
      <c r="BV80" s="382">
        <v>17</v>
      </c>
      <c r="BW80" s="1370">
        <v>1.3</v>
      </c>
      <c r="BX80" s="382"/>
      <c r="BZ80" s="757"/>
      <c r="CB80" s="1211" t="s">
        <v>6104</v>
      </c>
      <c r="CC80" s="1179">
        <v>0</v>
      </c>
      <c r="CD80" s="1180">
        <v>0</v>
      </c>
      <c r="CE80" s="1180">
        <v>1</v>
      </c>
      <c r="CF80" s="1180">
        <v>48</v>
      </c>
      <c r="CG80" s="1180">
        <v>0</v>
      </c>
      <c r="CH80" s="1180"/>
      <c r="CI80" s="1348"/>
      <c r="CJ80" s="1348"/>
      <c r="CK80" s="1348"/>
      <c r="CL80" s="1348"/>
      <c r="CM80" s="1348"/>
      <c r="CN80" s="1348"/>
      <c r="CO80" s="1348"/>
      <c r="CP80" s="1348"/>
      <c r="CQ80" s="1348"/>
      <c r="CR80" s="1348"/>
      <c r="CS80" s="1348"/>
      <c r="CT80" s="1348"/>
      <c r="CU80" s="1348"/>
      <c r="CV80" s="1348"/>
      <c r="CW80" s="1348"/>
      <c r="CX80" s="1348"/>
      <c r="CY80" s="1348"/>
      <c r="CZ80" s="1348"/>
      <c r="DA80" s="1348"/>
      <c r="DB80" s="1348"/>
      <c r="DC80" s="1348"/>
      <c r="DD80" s="1348"/>
      <c r="DE80" s="1348"/>
      <c r="DS80" s="382" t="s">
        <v>5645</v>
      </c>
      <c r="DT80" s="1179">
        <v>13</v>
      </c>
      <c r="DU80" s="1179">
        <v>12</v>
      </c>
      <c r="DV80" s="1179">
        <v>1</v>
      </c>
      <c r="DW80" s="1179">
        <v>0</v>
      </c>
      <c r="DX80" s="1180">
        <v>14</v>
      </c>
      <c r="DY80" s="1179">
        <v>12</v>
      </c>
      <c r="DZ80" s="1179">
        <v>2</v>
      </c>
      <c r="EA80" s="1179">
        <v>0</v>
      </c>
    </row>
    <row r="81" spans="48:131" ht="15.6" customHeight="1">
      <c r="AV81" s="771"/>
      <c r="AW81" s="771"/>
      <c r="BT81" s="1259" t="s">
        <v>6108</v>
      </c>
      <c r="BU81" s="1260"/>
      <c r="BV81" s="415"/>
      <c r="BW81" s="1261"/>
      <c r="BX81" s="382"/>
      <c r="BZ81" s="515"/>
      <c r="CB81" s="1211" t="s">
        <v>6105</v>
      </c>
      <c r="CC81" s="1179">
        <v>65</v>
      </c>
      <c r="CD81" s="1180">
        <v>58</v>
      </c>
      <c r="CE81" s="1180">
        <v>18</v>
      </c>
      <c r="CF81" s="1180">
        <v>64</v>
      </c>
      <c r="CG81" s="1180">
        <v>14</v>
      </c>
      <c r="CH81" s="1180"/>
      <c r="CI81" s="1348"/>
      <c r="CJ81" s="1348"/>
      <c r="CK81" s="1348"/>
      <c r="CL81" s="1348"/>
      <c r="CM81" s="1348"/>
      <c r="CN81" s="1348"/>
      <c r="CO81" s="1348"/>
      <c r="CP81" s="1348"/>
      <c r="CQ81" s="1348"/>
      <c r="CR81" s="1348"/>
      <c r="CS81" s="1348"/>
      <c r="CT81" s="1348"/>
      <c r="CU81" s="1348"/>
      <c r="CV81" s="1348"/>
      <c r="CW81" s="1348"/>
      <c r="CX81" s="1348"/>
      <c r="CY81" s="1348"/>
      <c r="CZ81" s="1348"/>
      <c r="DA81" s="1348"/>
      <c r="DB81" s="1348"/>
      <c r="DC81" s="1348"/>
      <c r="DD81" s="1348"/>
      <c r="DE81" s="1348"/>
      <c r="DS81" s="382" t="s">
        <v>6109</v>
      </c>
      <c r="DT81" s="1179">
        <v>6</v>
      </c>
      <c r="DU81" s="1179">
        <v>0</v>
      </c>
      <c r="DV81" s="1179">
        <v>6</v>
      </c>
      <c r="DW81" s="1179">
        <v>0</v>
      </c>
      <c r="DX81" s="1180">
        <v>2</v>
      </c>
      <c r="DY81" s="1179">
        <v>0</v>
      </c>
      <c r="DZ81" s="1179">
        <v>2</v>
      </c>
      <c r="EA81" s="1179">
        <v>0</v>
      </c>
    </row>
    <row r="82" spans="48:131" ht="15.6" customHeight="1">
      <c r="BT82" s="2181"/>
      <c r="BU82" s="2181"/>
      <c r="BV82" s="2181"/>
      <c r="BW82" s="2181"/>
      <c r="BX82" s="2181"/>
      <c r="CB82" s="1211" t="s">
        <v>6106</v>
      </c>
      <c r="CC82" s="1179">
        <v>0</v>
      </c>
      <c r="CD82" s="1180">
        <v>4</v>
      </c>
      <c r="CE82" s="1180">
        <v>0</v>
      </c>
      <c r="CF82" s="1180">
        <v>0</v>
      </c>
      <c r="CG82" s="1180">
        <v>12</v>
      </c>
      <c r="CH82" s="1180"/>
      <c r="CI82" s="1348"/>
      <c r="CJ82" s="1348"/>
      <c r="CK82" s="1348"/>
      <c r="CL82" s="1348"/>
      <c r="CM82" s="1348"/>
      <c r="CN82" s="1348"/>
      <c r="CO82" s="1348"/>
      <c r="CP82" s="1348"/>
      <c r="CQ82" s="1348"/>
      <c r="CR82" s="1348"/>
      <c r="CS82" s="1348"/>
      <c r="CT82" s="1348"/>
      <c r="CU82" s="1348"/>
      <c r="CV82" s="1348"/>
      <c r="CW82" s="1348"/>
      <c r="CX82" s="1348"/>
      <c r="CY82" s="1348"/>
      <c r="CZ82" s="1348"/>
      <c r="DA82" s="1348"/>
      <c r="DB82" s="1348"/>
      <c r="DC82" s="1348"/>
      <c r="DD82" s="1348"/>
      <c r="DE82" s="1348"/>
      <c r="DS82" s="1211" t="s">
        <v>6110</v>
      </c>
      <c r="DT82" s="1179">
        <v>1285</v>
      </c>
      <c r="DU82" s="1180">
        <v>569</v>
      </c>
      <c r="DV82" s="1180">
        <v>716</v>
      </c>
      <c r="DW82" s="1180">
        <v>0</v>
      </c>
      <c r="DX82" s="1180">
        <v>1673</v>
      </c>
      <c r="DY82" s="1180">
        <v>784</v>
      </c>
      <c r="DZ82" s="1180">
        <v>889</v>
      </c>
      <c r="EA82" s="1180">
        <v>0</v>
      </c>
    </row>
    <row r="83" spans="48:131" ht="15.6" customHeight="1">
      <c r="AV83" s="515"/>
      <c r="AW83" s="515"/>
      <c r="BT83" s="414"/>
      <c r="BU83" s="382"/>
      <c r="BV83" s="439"/>
      <c r="BW83" s="439"/>
      <c r="BX83" s="1104"/>
      <c r="CB83" s="1211" t="s">
        <v>5645</v>
      </c>
      <c r="CC83" s="1179">
        <v>13</v>
      </c>
      <c r="CD83" s="1180">
        <v>14</v>
      </c>
      <c r="CE83" s="1180">
        <v>10</v>
      </c>
      <c r="CF83" s="1180">
        <v>8</v>
      </c>
      <c r="CG83" s="1180">
        <v>5</v>
      </c>
      <c r="CH83" s="1180"/>
      <c r="CI83" s="1348"/>
      <c r="CJ83" s="1348"/>
      <c r="CK83" s="1348"/>
      <c r="CL83" s="1348"/>
      <c r="CM83" s="1348"/>
      <c r="CN83" s="1348"/>
      <c r="CO83" s="1348"/>
      <c r="CP83" s="1348"/>
      <c r="CQ83" s="1348"/>
      <c r="CR83" s="1348"/>
      <c r="CS83" s="1348"/>
      <c r="CT83" s="1348"/>
      <c r="CU83" s="1348"/>
      <c r="CV83" s="1348"/>
      <c r="CW83" s="1348"/>
      <c r="CX83" s="1348"/>
      <c r="CY83" s="1348"/>
      <c r="CZ83" s="1348"/>
      <c r="DA83" s="1348"/>
      <c r="DB83" s="1348"/>
      <c r="DC83" s="1348"/>
      <c r="DD83" s="1348"/>
      <c r="DE83" s="1348"/>
      <c r="DS83" s="1133" t="s">
        <v>6111</v>
      </c>
      <c r="DT83" s="1179">
        <v>1018</v>
      </c>
      <c r="DU83" s="1179">
        <v>440</v>
      </c>
      <c r="DV83" s="1179">
        <v>578</v>
      </c>
      <c r="DW83" s="1179">
        <v>0</v>
      </c>
      <c r="DX83" s="1180">
        <v>1339</v>
      </c>
      <c r="DY83" s="1179">
        <v>625</v>
      </c>
      <c r="DZ83" s="1179">
        <v>714</v>
      </c>
      <c r="EA83" s="1179">
        <v>0</v>
      </c>
    </row>
    <row r="84" spans="48:131" ht="15.6" customHeight="1">
      <c r="CB84" s="1211" t="s">
        <v>6109</v>
      </c>
      <c r="CC84" s="1179">
        <v>6</v>
      </c>
      <c r="CD84" s="1180">
        <v>2</v>
      </c>
      <c r="CE84" s="1180">
        <v>6</v>
      </c>
      <c r="CF84" s="1180">
        <v>0</v>
      </c>
      <c r="CG84" s="1180">
        <v>36</v>
      </c>
      <c r="CH84" s="1180"/>
      <c r="CI84" s="1348"/>
      <c r="CJ84" s="1348"/>
      <c r="CK84" s="1348"/>
      <c r="CL84" s="1348"/>
      <c r="CM84" s="1348"/>
      <c r="CN84" s="1348"/>
      <c r="CO84" s="1348"/>
      <c r="CP84" s="1348"/>
      <c r="CQ84" s="1348"/>
      <c r="CR84" s="1348"/>
      <c r="CS84" s="1348"/>
      <c r="CT84" s="1348"/>
      <c r="CU84" s="1348"/>
      <c r="CV84" s="1348"/>
      <c r="CW84" s="1348"/>
      <c r="CX84" s="1348"/>
      <c r="CY84" s="1348"/>
      <c r="CZ84" s="1348"/>
      <c r="DA84" s="1348"/>
      <c r="DB84" s="1348"/>
      <c r="DC84" s="1348"/>
      <c r="DD84" s="1348"/>
      <c r="DE84" s="1348"/>
      <c r="DS84" s="1133" t="s">
        <v>6113</v>
      </c>
      <c r="DT84" s="1179">
        <v>249</v>
      </c>
      <c r="DU84" s="1179">
        <v>120</v>
      </c>
      <c r="DV84" s="1179">
        <v>129</v>
      </c>
      <c r="DW84" s="1179">
        <v>0</v>
      </c>
      <c r="DX84" s="1180">
        <v>303</v>
      </c>
      <c r="DY84" s="1179">
        <v>144</v>
      </c>
      <c r="DZ84" s="1179">
        <v>159</v>
      </c>
      <c r="EA84" s="1179">
        <v>0</v>
      </c>
    </row>
    <row r="85" spans="48:131" ht="15.6" customHeight="1">
      <c r="BT85" s="2179" t="s">
        <v>6112</v>
      </c>
      <c r="BU85" s="2179"/>
      <c r="BV85" s="2179"/>
      <c r="BW85" s="2179"/>
      <c r="BX85" s="2179"/>
      <c r="CB85" s="1211" t="s">
        <v>6110</v>
      </c>
      <c r="CC85" s="1179">
        <v>1285</v>
      </c>
      <c r="CD85" s="1180">
        <v>1673</v>
      </c>
      <c r="CE85" s="1180">
        <v>433</v>
      </c>
      <c r="CF85" s="1180">
        <v>54</v>
      </c>
      <c r="CG85" s="1180">
        <v>128</v>
      </c>
      <c r="CH85" s="1180"/>
      <c r="CI85" s="1348"/>
      <c r="CJ85" s="1348"/>
      <c r="CK85" s="1348"/>
      <c r="CL85" s="1348"/>
      <c r="CM85" s="1348"/>
      <c r="CN85" s="1348"/>
      <c r="CO85" s="1348"/>
      <c r="CP85" s="1348"/>
      <c r="CQ85" s="1348"/>
      <c r="CR85" s="1348"/>
      <c r="CS85" s="1348"/>
      <c r="CT85" s="1348"/>
      <c r="CU85" s="1348"/>
      <c r="CV85" s="1348"/>
      <c r="CW85" s="1348"/>
      <c r="CX85" s="1348"/>
      <c r="CY85" s="1348"/>
      <c r="CZ85" s="1348"/>
      <c r="DA85" s="1348"/>
      <c r="DB85" s="1348"/>
      <c r="DC85" s="1348"/>
      <c r="DD85" s="1348"/>
      <c r="DE85" s="1348"/>
      <c r="DS85" s="1133" t="s">
        <v>6115</v>
      </c>
      <c r="DT85" s="1179">
        <v>8</v>
      </c>
      <c r="DU85" s="1179">
        <v>4</v>
      </c>
      <c r="DV85" s="1179">
        <v>4</v>
      </c>
      <c r="DW85" s="1179">
        <v>0</v>
      </c>
      <c r="DX85" s="1180">
        <v>7</v>
      </c>
      <c r="DY85" s="1179">
        <v>3</v>
      </c>
      <c r="DZ85" s="1179">
        <v>4</v>
      </c>
      <c r="EA85" s="1179">
        <v>0</v>
      </c>
    </row>
    <row r="86" spans="48:131" ht="15.6" customHeight="1">
      <c r="BT86" s="414"/>
      <c r="BU86" s="417"/>
      <c r="BV86" s="439" t="s">
        <v>4350</v>
      </c>
      <c r="BW86" s="667" t="s">
        <v>841</v>
      </c>
      <c r="BX86" s="1371" t="s">
        <v>6114</v>
      </c>
      <c r="CB86" s="1133" t="s">
        <v>6111</v>
      </c>
      <c r="CC86" s="1179">
        <v>1018</v>
      </c>
      <c r="CD86" s="1180">
        <v>1339</v>
      </c>
      <c r="CE86" s="1180">
        <v>380</v>
      </c>
      <c r="CF86" s="1180">
        <v>35</v>
      </c>
      <c r="CG86" s="1180">
        <v>88</v>
      </c>
      <c r="CH86" s="1180"/>
      <c r="CI86" s="1348"/>
      <c r="CJ86" s="1348"/>
      <c r="CK86" s="1348"/>
      <c r="CL86" s="1348"/>
      <c r="CM86" s="1348"/>
      <c r="CN86" s="1348"/>
      <c r="CO86" s="1348"/>
      <c r="CP86" s="1348"/>
      <c r="CQ86" s="1348"/>
      <c r="CR86" s="1348"/>
      <c r="CS86" s="1348"/>
      <c r="CT86" s="1348"/>
      <c r="CU86" s="1348"/>
      <c r="CV86" s="1348"/>
      <c r="CW86" s="1348"/>
      <c r="CX86" s="1348"/>
      <c r="CY86" s="1348"/>
      <c r="CZ86" s="1348"/>
      <c r="DA86" s="1348"/>
      <c r="DB86" s="1348"/>
      <c r="DC86" s="1348"/>
      <c r="DD86" s="1348"/>
      <c r="DE86" s="1348"/>
      <c r="DS86" s="1133" t="s">
        <v>6116</v>
      </c>
      <c r="DT86" s="1179">
        <v>10</v>
      </c>
      <c r="DU86" s="1179">
        <v>5</v>
      </c>
      <c r="DV86" s="1179">
        <v>5</v>
      </c>
      <c r="DW86" s="1179">
        <v>0</v>
      </c>
      <c r="DX86" s="1180">
        <v>24</v>
      </c>
      <c r="DY86" s="1179">
        <v>12</v>
      </c>
      <c r="DZ86" s="1179">
        <v>12</v>
      </c>
      <c r="EA86" s="1179">
        <v>0</v>
      </c>
    </row>
    <row r="87" spans="48:131" ht="15.6" customHeight="1">
      <c r="BT87" s="1129" t="s">
        <v>5047</v>
      </c>
      <c r="BU87" s="1130" t="s">
        <v>5048</v>
      </c>
      <c r="BV87" s="1131" t="s">
        <v>5049</v>
      </c>
      <c r="BW87" s="1372" t="s">
        <v>5050</v>
      </c>
      <c r="BX87" s="1373" t="s">
        <v>3525</v>
      </c>
      <c r="CB87" s="1133" t="s">
        <v>6113</v>
      </c>
      <c r="CC87" s="1179">
        <v>249</v>
      </c>
      <c r="CD87" s="1180">
        <v>303</v>
      </c>
      <c r="CE87" s="1180">
        <v>6</v>
      </c>
      <c r="CF87" s="1180">
        <v>16</v>
      </c>
      <c r="CG87" s="1180">
        <v>27</v>
      </c>
      <c r="CH87" s="1180"/>
      <c r="CI87" s="1348"/>
      <c r="CJ87" s="1348"/>
      <c r="CK87" s="1348"/>
      <c r="CL87" s="1348"/>
      <c r="CM87" s="1348"/>
      <c r="CN87" s="1348"/>
      <c r="CO87" s="1348"/>
      <c r="CP87" s="1348"/>
      <c r="CQ87" s="1348"/>
      <c r="CR87" s="1348"/>
      <c r="CS87" s="1348"/>
      <c r="CT87" s="1348"/>
      <c r="CU87" s="1348"/>
      <c r="CV87" s="1348"/>
      <c r="CW87" s="1348"/>
      <c r="CX87" s="1348"/>
      <c r="CY87" s="1348"/>
      <c r="CZ87" s="1348"/>
      <c r="DA87" s="1348"/>
      <c r="DB87" s="1348"/>
      <c r="DC87" s="1348"/>
      <c r="DD87" s="1348"/>
      <c r="DE87" s="1348"/>
      <c r="DS87" s="382" t="s">
        <v>5742</v>
      </c>
      <c r="DT87" s="1179">
        <v>0</v>
      </c>
      <c r="DU87" s="1179">
        <v>0</v>
      </c>
      <c r="DV87" s="1179">
        <v>0</v>
      </c>
      <c r="DW87" s="1179">
        <v>0</v>
      </c>
      <c r="DX87" s="1180">
        <v>0</v>
      </c>
      <c r="DY87" s="1179">
        <v>0</v>
      </c>
      <c r="DZ87" s="1179">
        <v>0</v>
      </c>
      <c r="EA87" s="1179">
        <v>0</v>
      </c>
    </row>
    <row r="88" spans="48:131" ht="15.6" customHeight="1">
      <c r="BT88" s="382"/>
      <c r="BU88" s="382" t="s">
        <v>5067</v>
      </c>
      <c r="BV88" s="463">
        <v>1192</v>
      </c>
      <c r="BW88" s="799">
        <v>100</v>
      </c>
      <c r="BX88" s="1374">
        <v>707.46458225759545</v>
      </c>
      <c r="CB88" s="1133" t="s">
        <v>6115</v>
      </c>
      <c r="CC88" s="1179">
        <v>8</v>
      </c>
      <c r="CD88" s="1180">
        <v>7</v>
      </c>
      <c r="CE88" s="1180">
        <v>0</v>
      </c>
      <c r="CF88" s="1180">
        <v>3</v>
      </c>
      <c r="CG88" s="1180">
        <v>3</v>
      </c>
      <c r="CH88" s="1180"/>
      <c r="CI88" s="1348"/>
      <c r="CJ88" s="1348"/>
      <c r="CK88" s="1348"/>
      <c r="CL88" s="1348"/>
      <c r="CM88" s="1348"/>
      <c r="CN88" s="1348"/>
      <c r="CO88" s="1348"/>
      <c r="CP88" s="1348"/>
      <c r="CQ88" s="1348"/>
      <c r="CR88" s="1348"/>
      <c r="CS88" s="1348"/>
      <c r="CT88" s="1348"/>
      <c r="CU88" s="1348"/>
      <c r="CV88" s="1348"/>
      <c r="CW88" s="1348"/>
      <c r="CX88" s="1348"/>
      <c r="CY88" s="1348"/>
      <c r="CZ88" s="1348"/>
      <c r="DA88" s="1348"/>
      <c r="DB88" s="1348"/>
      <c r="DC88" s="1348"/>
      <c r="DD88" s="1348"/>
      <c r="DE88" s="1348"/>
      <c r="DS88" s="382" t="s">
        <v>6117</v>
      </c>
      <c r="DT88" s="1179">
        <v>0</v>
      </c>
      <c r="DU88" s="1179">
        <v>0</v>
      </c>
      <c r="DV88" s="1179">
        <v>0</v>
      </c>
      <c r="DW88" s="1179">
        <v>0</v>
      </c>
      <c r="DX88" s="1180">
        <v>0</v>
      </c>
      <c r="DY88" s="1179">
        <v>0</v>
      </c>
      <c r="DZ88" s="1179">
        <v>0</v>
      </c>
      <c r="EA88" s="1179">
        <v>0</v>
      </c>
    </row>
    <row r="89" spans="48:131" ht="15.6" customHeight="1">
      <c r="BT89" s="1090">
        <v>1</v>
      </c>
      <c r="BU89" s="1253" t="s">
        <v>5912</v>
      </c>
      <c r="BV89" s="382">
        <v>342</v>
      </c>
      <c r="BW89" s="799">
        <v>28.7</v>
      </c>
      <c r="BX89" s="771">
        <v>202.98061001014904</v>
      </c>
      <c r="CB89" s="1133" t="s">
        <v>6116</v>
      </c>
      <c r="CC89" s="1179">
        <v>10</v>
      </c>
      <c r="CD89" s="1180">
        <v>24</v>
      </c>
      <c r="CE89" s="1180">
        <v>47</v>
      </c>
      <c r="CF89" s="1180">
        <v>0</v>
      </c>
      <c r="CG89" s="1180">
        <v>10</v>
      </c>
      <c r="CH89" s="1180"/>
      <c r="CI89" s="1348"/>
      <c r="CJ89" s="1348"/>
      <c r="CK89" s="1348"/>
      <c r="CL89" s="1348"/>
      <c r="CM89" s="1348"/>
      <c r="CN89" s="1348"/>
      <c r="CO89" s="1348"/>
      <c r="CP89" s="1348"/>
      <c r="CQ89" s="1348"/>
      <c r="CR89" s="1348"/>
      <c r="CS89" s="1348"/>
      <c r="CT89" s="1348"/>
      <c r="CU89" s="1348"/>
      <c r="CV89" s="1348"/>
      <c r="CW89" s="1348"/>
      <c r="CX89" s="1348"/>
      <c r="CY89" s="1348"/>
      <c r="CZ89" s="1348"/>
      <c r="DA89" s="1348"/>
      <c r="DB89" s="1348"/>
      <c r="DC89" s="1348"/>
      <c r="DD89" s="1348"/>
      <c r="DE89" s="1348"/>
      <c r="DS89" s="382" t="s">
        <v>5767</v>
      </c>
      <c r="DT89" s="1179">
        <v>3</v>
      </c>
      <c r="DU89" s="1179">
        <v>2</v>
      </c>
      <c r="DV89" s="1179">
        <v>1</v>
      </c>
      <c r="DW89" s="1179">
        <v>0</v>
      </c>
      <c r="DX89" s="1180">
        <v>10</v>
      </c>
      <c r="DY89" s="1179">
        <v>7</v>
      </c>
      <c r="DZ89" s="1179">
        <v>3</v>
      </c>
      <c r="EA89" s="1179">
        <v>0</v>
      </c>
    </row>
    <row r="90" spans="48:131" ht="15.6" customHeight="1">
      <c r="BT90" s="1090">
        <v>2</v>
      </c>
      <c r="BU90" s="1253" t="s">
        <v>5118</v>
      </c>
      <c r="BV90" s="382">
        <v>199</v>
      </c>
      <c r="BW90" s="799">
        <v>16.7</v>
      </c>
      <c r="BX90" s="771">
        <v>118.10860056146099</v>
      </c>
      <c r="CB90" s="1211" t="s">
        <v>5742</v>
      </c>
      <c r="CC90" s="1179">
        <v>0</v>
      </c>
      <c r="CD90" s="1180">
        <v>0</v>
      </c>
      <c r="CE90" s="1180">
        <v>0</v>
      </c>
      <c r="CF90" s="1180">
        <v>0</v>
      </c>
      <c r="CG90" s="1180">
        <v>0</v>
      </c>
      <c r="CH90" s="1180"/>
      <c r="CI90" s="1348"/>
      <c r="CJ90" s="1348"/>
      <c r="CK90" s="1348"/>
      <c r="CL90" s="1348"/>
      <c r="CM90" s="1348"/>
      <c r="CN90" s="1348"/>
      <c r="CO90" s="1348"/>
      <c r="CP90" s="1348"/>
      <c r="CQ90" s="1348"/>
      <c r="CR90" s="1348"/>
      <c r="CS90" s="1348"/>
      <c r="CT90" s="1348"/>
      <c r="CU90" s="1348"/>
      <c r="CV90" s="1348"/>
      <c r="CW90" s="1348"/>
      <c r="CX90" s="1348"/>
      <c r="CY90" s="1348"/>
      <c r="CZ90" s="1348"/>
      <c r="DA90" s="1348"/>
      <c r="DB90" s="1348"/>
      <c r="DC90" s="1348"/>
      <c r="DD90" s="1348"/>
      <c r="DE90" s="1348"/>
      <c r="DS90" s="382" t="s">
        <v>6118</v>
      </c>
      <c r="DT90" s="1179">
        <v>0</v>
      </c>
      <c r="DU90" s="1179">
        <v>0</v>
      </c>
      <c r="DV90" s="1179">
        <v>0</v>
      </c>
      <c r="DW90" s="1179">
        <v>0</v>
      </c>
      <c r="DX90" s="1180">
        <v>1</v>
      </c>
      <c r="DY90" s="1179">
        <v>0</v>
      </c>
      <c r="DZ90" s="1179">
        <v>1</v>
      </c>
      <c r="EA90" s="1179">
        <v>0</v>
      </c>
    </row>
    <row r="91" spans="48:131" ht="15.6" customHeight="1">
      <c r="BT91" s="1090">
        <v>3</v>
      </c>
      <c r="BU91" s="1253" t="s">
        <v>5950</v>
      </c>
      <c r="BV91" s="382">
        <v>113</v>
      </c>
      <c r="BW91" s="799">
        <v>9.4</v>
      </c>
      <c r="BX91" s="771">
        <v>67.066692781131124</v>
      </c>
      <c r="CB91" s="1211" t="s">
        <v>6117</v>
      </c>
      <c r="CC91" s="1179">
        <v>0</v>
      </c>
      <c r="CD91" s="1180">
        <v>0</v>
      </c>
      <c r="CE91" s="1180">
        <v>0</v>
      </c>
      <c r="CF91" s="1180">
        <v>2</v>
      </c>
      <c r="CG91" s="1180">
        <v>0</v>
      </c>
      <c r="CH91" s="1180"/>
      <c r="CI91" s="1348"/>
      <c r="CJ91" s="1348"/>
      <c r="CK91" s="1348"/>
      <c r="CL91" s="1348"/>
      <c r="CM91" s="1348"/>
      <c r="CN91" s="1348"/>
      <c r="CO91" s="1348"/>
      <c r="CP91" s="1348"/>
      <c r="CQ91" s="1348"/>
      <c r="CR91" s="1348"/>
      <c r="CS91" s="1348"/>
      <c r="CT91" s="1348"/>
      <c r="CU91" s="1348"/>
      <c r="CV91" s="1348"/>
      <c r="CW91" s="1348"/>
      <c r="CX91" s="1348"/>
      <c r="CY91" s="1348"/>
      <c r="CZ91" s="1348"/>
      <c r="DA91" s="1348"/>
      <c r="DB91" s="1348"/>
      <c r="DC91" s="1348"/>
      <c r="DD91" s="1348"/>
      <c r="DE91" s="1348"/>
      <c r="DS91" s="382" t="s">
        <v>6119</v>
      </c>
      <c r="DT91" s="1179">
        <v>0</v>
      </c>
      <c r="DU91" s="1179">
        <v>0</v>
      </c>
      <c r="DV91" s="1179">
        <v>0</v>
      </c>
      <c r="DW91" s="1179">
        <v>0</v>
      </c>
      <c r="DX91" s="1180">
        <v>0</v>
      </c>
      <c r="DY91" s="1179">
        <v>0</v>
      </c>
      <c r="DZ91" s="1179">
        <v>0</v>
      </c>
      <c r="EA91" s="1179">
        <v>0</v>
      </c>
    </row>
    <row r="92" spans="48:131" ht="15.6" customHeight="1">
      <c r="BT92" s="1090">
        <v>4</v>
      </c>
      <c r="BU92" s="1253" t="s">
        <v>5145</v>
      </c>
      <c r="BV92" s="382">
        <v>73</v>
      </c>
      <c r="BW92" s="799">
        <v>6.1</v>
      </c>
      <c r="BX92" s="771">
        <v>43.32627055772187</v>
      </c>
      <c r="CB92" s="1211" t="s">
        <v>5767</v>
      </c>
      <c r="CC92" s="1179">
        <v>3</v>
      </c>
      <c r="CD92" s="1180">
        <v>10</v>
      </c>
      <c r="CE92" s="1180">
        <v>2</v>
      </c>
      <c r="CF92" s="1180">
        <v>4</v>
      </c>
      <c r="CG92" s="1180">
        <v>7</v>
      </c>
      <c r="CH92" s="1180"/>
      <c r="CI92" s="1348"/>
      <c r="CJ92" s="1348"/>
      <c r="CK92" s="1348"/>
      <c r="CL92" s="1348"/>
      <c r="CM92" s="1348"/>
      <c r="CN92" s="1348"/>
      <c r="CO92" s="1348"/>
      <c r="CP92" s="1348"/>
      <c r="CQ92" s="1348"/>
      <c r="CR92" s="1348"/>
      <c r="CS92" s="1348"/>
      <c r="CT92" s="1348"/>
      <c r="CU92" s="1348"/>
      <c r="CV92" s="1348"/>
      <c r="CW92" s="1348"/>
      <c r="CX92" s="1348"/>
      <c r="CY92" s="1348"/>
      <c r="CZ92" s="1348"/>
      <c r="DA92" s="1348"/>
      <c r="DB92" s="1348"/>
      <c r="DC92" s="1348"/>
      <c r="DD92" s="1348"/>
      <c r="DE92" s="1348"/>
      <c r="DR92" s="409"/>
      <c r="DS92" s="382" t="s">
        <v>6121</v>
      </c>
      <c r="DT92" s="1179">
        <v>0</v>
      </c>
      <c r="DU92" s="1179">
        <v>0</v>
      </c>
      <c r="DV92" s="1179">
        <v>0</v>
      </c>
      <c r="DW92" s="1179">
        <v>0</v>
      </c>
      <c r="DX92" s="1180">
        <v>0</v>
      </c>
      <c r="DY92" s="1179">
        <v>0</v>
      </c>
      <c r="DZ92" s="1179">
        <v>0</v>
      </c>
      <c r="EA92" s="1179">
        <v>0</v>
      </c>
    </row>
    <row r="93" spans="48:131" ht="15.6" customHeight="1">
      <c r="BT93" s="1090">
        <v>5</v>
      </c>
      <c r="BU93" s="1253" t="s">
        <v>6120</v>
      </c>
      <c r="BV93" s="382">
        <v>45</v>
      </c>
      <c r="BW93" s="799">
        <v>3.8</v>
      </c>
      <c r="BX93" s="771">
        <v>26.707975001335399</v>
      </c>
      <c r="CB93" s="1211" t="s">
        <v>6118</v>
      </c>
      <c r="CC93" s="1179">
        <v>0</v>
      </c>
      <c r="CD93" s="1180">
        <v>1</v>
      </c>
      <c r="CE93" s="1180">
        <v>1</v>
      </c>
      <c r="CF93" s="1180">
        <v>0</v>
      </c>
      <c r="CG93" s="1180">
        <v>0</v>
      </c>
      <c r="CH93" s="1180"/>
      <c r="CI93" s="1348"/>
      <c r="CJ93" s="1348"/>
      <c r="CK93" s="1348"/>
      <c r="CL93" s="1348"/>
      <c r="CM93" s="1348"/>
      <c r="CN93" s="1348"/>
      <c r="CO93" s="1348"/>
      <c r="CP93" s="1348"/>
      <c r="CQ93" s="1348"/>
      <c r="CR93" s="1348"/>
      <c r="CS93" s="1348"/>
      <c r="CT93" s="1348"/>
      <c r="CU93" s="1348"/>
      <c r="CV93" s="1348"/>
      <c r="CW93" s="1348"/>
      <c r="CX93" s="1348"/>
      <c r="CY93" s="1348"/>
      <c r="CZ93" s="1348"/>
      <c r="DA93" s="1348"/>
      <c r="DB93" s="1348"/>
      <c r="DC93" s="1348"/>
      <c r="DD93" s="1348"/>
      <c r="DE93" s="1348"/>
      <c r="DR93" s="409"/>
      <c r="DS93" s="382" t="s">
        <v>5776</v>
      </c>
      <c r="DT93" s="1179">
        <v>0</v>
      </c>
      <c r="DU93" s="1179">
        <v>0</v>
      </c>
      <c r="DV93" s="1179">
        <v>0</v>
      </c>
      <c r="DW93" s="1179">
        <v>0</v>
      </c>
      <c r="DX93" s="1180">
        <v>1</v>
      </c>
      <c r="DY93" s="1179">
        <v>0</v>
      </c>
      <c r="DZ93" s="1179">
        <v>1</v>
      </c>
      <c r="EA93" s="1179">
        <v>0</v>
      </c>
    </row>
    <row r="94" spans="48:131" ht="15.6" customHeight="1">
      <c r="BT94" s="1090">
        <v>6</v>
      </c>
      <c r="BU94" s="1253" t="s">
        <v>5965</v>
      </c>
      <c r="BV94" s="382"/>
      <c r="BW94" s="799"/>
      <c r="BX94" s="771"/>
      <c r="CB94" s="382" t="s">
        <v>6119</v>
      </c>
      <c r="CC94" s="1179">
        <v>0</v>
      </c>
      <c r="CD94" s="1180">
        <v>0</v>
      </c>
      <c r="CE94" s="1180">
        <v>0</v>
      </c>
      <c r="CF94" s="1180">
        <v>0</v>
      </c>
      <c r="CG94" s="1180">
        <v>0</v>
      </c>
      <c r="CH94" s="1180"/>
      <c r="CI94" s="1348"/>
      <c r="CJ94" s="1348"/>
      <c r="CK94" s="1348"/>
      <c r="CL94" s="1348"/>
      <c r="CM94" s="1348"/>
      <c r="CN94" s="1348"/>
      <c r="CO94" s="1348"/>
      <c r="CP94" s="1348"/>
      <c r="CQ94" s="1348"/>
      <c r="CR94" s="1348"/>
      <c r="CS94" s="1348"/>
      <c r="CT94" s="1348"/>
      <c r="CU94" s="1348"/>
      <c r="CV94" s="1348"/>
      <c r="CW94" s="1348"/>
      <c r="CX94" s="1348"/>
      <c r="CY94" s="1348"/>
      <c r="CZ94" s="1348"/>
      <c r="DA94" s="1348"/>
      <c r="DB94" s="1348"/>
      <c r="DC94" s="1348"/>
      <c r="DD94" s="1348"/>
      <c r="DE94" s="1348"/>
      <c r="DR94" s="409"/>
      <c r="DS94" s="382" t="s">
        <v>6122</v>
      </c>
      <c r="DT94" s="1179">
        <v>2</v>
      </c>
      <c r="DU94" s="1179">
        <v>0</v>
      </c>
      <c r="DV94" s="1179">
        <v>2</v>
      </c>
      <c r="DW94" s="1179">
        <v>0</v>
      </c>
      <c r="DX94" s="1180">
        <v>2</v>
      </c>
      <c r="DY94" s="1179">
        <v>2</v>
      </c>
      <c r="DZ94" s="1179">
        <v>0</v>
      </c>
      <c r="EA94" s="1179">
        <v>0</v>
      </c>
    </row>
    <row r="95" spans="48:131" ht="15.6" customHeight="1">
      <c r="BT95" s="1090"/>
      <c r="BU95" s="1253" t="s">
        <v>5978</v>
      </c>
      <c r="BV95" s="382">
        <v>44</v>
      </c>
      <c r="BW95" s="799">
        <v>3.7</v>
      </c>
      <c r="BX95" s="771">
        <v>26.114464445750169</v>
      </c>
      <c r="CB95" s="1280" t="s">
        <v>6121</v>
      </c>
      <c r="CC95" s="1179">
        <v>0</v>
      </c>
      <c r="CD95" s="1180">
        <v>0</v>
      </c>
      <c r="CE95" s="1180">
        <v>0</v>
      </c>
      <c r="CF95" s="1180">
        <v>1</v>
      </c>
      <c r="CG95" s="1180">
        <v>0</v>
      </c>
      <c r="CH95" s="1180"/>
      <c r="CI95" s="1348"/>
      <c r="CJ95" s="1348"/>
      <c r="CK95" s="1348"/>
      <c r="CL95" s="1348"/>
      <c r="CM95" s="1348"/>
      <c r="CN95" s="1348"/>
      <c r="CO95" s="1348"/>
      <c r="CP95" s="1348"/>
      <c r="CQ95" s="1348"/>
      <c r="CR95" s="1348"/>
      <c r="CS95" s="1348"/>
      <c r="CT95" s="1348"/>
      <c r="CU95" s="1348"/>
      <c r="CV95" s="1348"/>
      <c r="CW95" s="1348"/>
      <c r="CX95" s="1348"/>
      <c r="CY95" s="1348"/>
      <c r="CZ95" s="1348"/>
      <c r="DA95" s="1348"/>
      <c r="DB95" s="1348"/>
      <c r="DC95" s="1348"/>
      <c r="DD95" s="1348"/>
      <c r="DE95" s="1348"/>
      <c r="DR95" s="409"/>
      <c r="DS95" s="382" t="s">
        <v>5788</v>
      </c>
      <c r="DT95" s="1179">
        <v>1</v>
      </c>
      <c r="DU95" s="1179">
        <v>0</v>
      </c>
      <c r="DV95" s="1179">
        <v>1</v>
      </c>
      <c r="DW95" s="1179">
        <v>0</v>
      </c>
      <c r="DX95" s="1180">
        <v>0</v>
      </c>
      <c r="DY95" s="1179">
        <v>0</v>
      </c>
      <c r="DZ95" s="1179">
        <v>0</v>
      </c>
      <c r="EA95" s="1179">
        <v>0</v>
      </c>
    </row>
    <row r="96" spans="48:131" ht="15.6" customHeight="1">
      <c r="BT96" s="1090">
        <v>7</v>
      </c>
      <c r="BU96" s="398" t="s">
        <v>5289</v>
      </c>
      <c r="BV96" s="382">
        <v>42</v>
      </c>
      <c r="BW96" s="799">
        <v>3.7</v>
      </c>
      <c r="BX96" s="771">
        <v>24.927443334579703</v>
      </c>
      <c r="CB96" s="1211" t="s">
        <v>5776</v>
      </c>
      <c r="CC96" s="1179">
        <v>0</v>
      </c>
      <c r="CD96" s="1180">
        <v>1</v>
      </c>
      <c r="CE96" s="1180">
        <v>0</v>
      </c>
      <c r="CF96" s="1180">
        <v>0</v>
      </c>
      <c r="CG96" s="1180">
        <v>0</v>
      </c>
      <c r="CH96" s="1180"/>
      <c r="CI96" s="1348"/>
      <c r="CJ96" s="1348"/>
      <c r="CK96" s="1348"/>
      <c r="CL96" s="1348"/>
      <c r="CM96" s="1348"/>
      <c r="CN96" s="1348"/>
      <c r="CO96" s="1348"/>
      <c r="CP96" s="1348"/>
      <c r="CQ96" s="1348"/>
      <c r="CR96" s="1348"/>
      <c r="CS96" s="1348"/>
      <c r="CT96" s="1348"/>
      <c r="CU96" s="1348"/>
      <c r="CV96" s="1348"/>
      <c r="CW96" s="1348"/>
      <c r="CX96" s="1348"/>
      <c r="CY96" s="1348"/>
      <c r="CZ96" s="1348"/>
      <c r="DA96" s="1348"/>
      <c r="DB96" s="1348"/>
      <c r="DC96" s="1348"/>
      <c r="DD96" s="1348"/>
      <c r="DE96" s="1348"/>
      <c r="DR96" s="409"/>
      <c r="DS96" s="382" t="s">
        <v>6123</v>
      </c>
      <c r="DT96" s="1179">
        <v>0</v>
      </c>
      <c r="DU96" s="1179">
        <v>0</v>
      </c>
      <c r="DV96" s="1179">
        <v>0</v>
      </c>
      <c r="DW96" s="1179">
        <v>0</v>
      </c>
      <c r="DX96" s="1180">
        <v>0</v>
      </c>
      <c r="DY96" s="1179">
        <v>0</v>
      </c>
      <c r="DZ96" s="1179">
        <v>0</v>
      </c>
      <c r="EA96" s="1179">
        <v>0</v>
      </c>
    </row>
    <row r="97" spans="19:132" ht="15.6" customHeight="1">
      <c r="BT97" s="1090">
        <v>8</v>
      </c>
      <c r="BU97" s="1258" t="s">
        <v>5774</v>
      </c>
      <c r="BV97" s="382">
        <v>38</v>
      </c>
      <c r="BW97" s="799">
        <v>3.2</v>
      </c>
      <c r="BX97" s="771">
        <v>22.553401112238781</v>
      </c>
      <c r="CB97" s="1280" t="s">
        <v>6122</v>
      </c>
      <c r="CC97" s="1179">
        <v>2</v>
      </c>
      <c r="CD97" s="1180">
        <v>2</v>
      </c>
      <c r="CE97" s="1180">
        <v>0</v>
      </c>
      <c r="CF97" s="1180">
        <v>0</v>
      </c>
      <c r="CG97" s="1180">
        <v>0</v>
      </c>
      <c r="CH97" s="1180"/>
      <c r="CI97" s="1348"/>
      <c r="CJ97" s="1348"/>
      <c r="CK97" s="1348"/>
      <c r="CL97" s="1348"/>
      <c r="CM97" s="1348"/>
      <c r="CN97" s="1348"/>
      <c r="CO97" s="1348"/>
      <c r="CP97" s="1348"/>
      <c r="CQ97" s="1348"/>
      <c r="CR97" s="1348"/>
      <c r="CS97" s="1348"/>
      <c r="CT97" s="1348"/>
      <c r="CU97" s="1348"/>
      <c r="CV97" s="1348"/>
      <c r="CW97" s="1348"/>
      <c r="CX97" s="1348"/>
      <c r="CY97" s="1348"/>
      <c r="CZ97" s="1348"/>
      <c r="DA97" s="1348"/>
      <c r="DB97" s="1348"/>
      <c r="DC97" s="1348"/>
      <c r="DD97" s="1348"/>
      <c r="DE97" s="1348"/>
      <c r="DR97" s="409"/>
      <c r="DS97" s="382" t="s">
        <v>6124</v>
      </c>
      <c r="DT97" s="1179">
        <v>0</v>
      </c>
      <c r="DU97" s="1179">
        <v>0</v>
      </c>
      <c r="DV97" s="1179">
        <v>0</v>
      </c>
      <c r="DW97" s="1179">
        <v>0</v>
      </c>
      <c r="DX97" s="1180">
        <v>0</v>
      </c>
      <c r="DY97" s="1179">
        <v>0</v>
      </c>
      <c r="DZ97" s="1179">
        <v>0</v>
      </c>
      <c r="EA97" s="1179">
        <v>0</v>
      </c>
    </row>
    <row r="98" spans="19:132" ht="15.6" customHeight="1">
      <c r="BT98" s="1090">
        <v>9</v>
      </c>
      <c r="BU98" s="1253" t="s">
        <v>5370</v>
      </c>
      <c r="BV98" s="382">
        <v>27</v>
      </c>
      <c r="BW98" s="799">
        <v>2.2999999999999998</v>
      </c>
      <c r="BX98" s="771">
        <v>16.024785000801238</v>
      </c>
      <c r="CB98" s="1211" t="s">
        <v>5788</v>
      </c>
      <c r="CC98" s="1179">
        <v>1</v>
      </c>
      <c r="CD98" s="1180">
        <v>0</v>
      </c>
      <c r="CE98" s="1180">
        <v>0</v>
      </c>
      <c r="CF98" s="1180">
        <v>0</v>
      </c>
      <c r="CG98" s="1180">
        <v>0</v>
      </c>
      <c r="CH98" s="1180"/>
      <c r="CI98" s="1348"/>
      <c r="CJ98" s="1348"/>
      <c r="CK98" s="1348"/>
      <c r="CL98" s="1348"/>
      <c r="CM98" s="1348"/>
      <c r="CN98" s="1348"/>
      <c r="CO98" s="1348"/>
      <c r="CP98" s="1348"/>
      <c r="CQ98" s="1348"/>
      <c r="CR98" s="1348"/>
      <c r="CS98" s="1348"/>
      <c r="CT98" s="1348"/>
      <c r="CU98" s="1348"/>
      <c r="CV98" s="1348"/>
      <c r="CW98" s="1348"/>
      <c r="CX98" s="1348"/>
      <c r="CY98" s="1348"/>
      <c r="CZ98" s="1348"/>
      <c r="DA98" s="1348"/>
      <c r="DB98" s="1348"/>
      <c r="DC98" s="1348"/>
      <c r="DD98" s="1348"/>
      <c r="DE98" s="1348"/>
      <c r="DR98" s="409"/>
      <c r="DS98" s="382" t="s">
        <v>6126</v>
      </c>
      <c r="DT98" s="1179">
        <v>1</v>
      </c>
      <c r="DU98" s="1179">
        <v>1</v>
      </c>
      <c r="DV98" s="1179">
        <v>0</v>
      </c>
      <c r="DW98" s="1179">
        <v>0</v>
      </c>
      <c r="DX98" s="1180">
        <v>2</v>
      </c>
      <c r="DY98" s="1179">
        <v>0</v>
      </c>
      <c r="DZ98" s="1179">
        <v>2</v>
      </c>
      <c r="EA98" s="1179">
        <v>0</v>
      </c>
    </row>
    <row r="99" spans="19:132" ht="15.6" customHeight="1">
      <c r="BT99" s="1090">
        <v>10</v>
      </c>
      <c r="BU99" s="1253" t="s">
        <v>6125</v>
      </c>
      <c r="BV99" s="382">
        <v>23</v>
      </c>
      <c r="BW99" s="799">
        <v>1.9</v>
      </c>
      <c r="BX99" s="771">
        <v>13.650742778460314</v>
      </c>
      <c r="CB99" s="1280" t="s">
        <v>6123</v>
      </c>
      <c r="CC99" s="1179">
        <v>0</v>
      </c>
      <c r="CD99" s="1180">
        <v>0</v>
      </c>
      <c r="CE99" s="1180">
        <v>0</v>
      </c>
      <c r="CF99" s="1180">
        <v>0</v>
      </c>
      <c r="CG99" s="1180">
        <v>0</v>
      </c>
      <c r="CH99" s="1180"/>
      <c r="CI99" s="1348"/>
      <c r="CJ99" s="1348"/>
      <c r="CK99" s="1348"/>
      <c r="CL99" s="1348"/>
      <c r="CM99" s="1348"/>
      <c r="CN99" s="1348"/>
      <c r="CO99" s="1348"/>
      <c r="CP99" s="1348"/>
      <c r="CQ99" s="1348"/>
      <c r="CR99" s="1348"/>
      <c r="CS99" s="1348"/>
      <c r="CT99" s="1348"/>
      <c r="CU99" s="1348"/>
      <c r="CV99" s="1348"/>
      <c r="CW99" s="1348"/>
      <c r="CX99" s="1348"/>
      <c r="CY99" s="1348"/>
      <c r="CZ99" s="1348"/>
      <c r="DA99" s="1348"/>
      <c r="DB99" s="1348"/>
      <c r="DC99" s="1348"/>
      <c r="DD99" s="1348"/>
      <c r="DE99" s="1348"/>
      <c r="DR99" s="409"/>
      <c r="DS99" s="382" t="s">
        <v>6127</v>
      </c>
      <c r="DT99" s="1179">
        <v>0</v>
      </c>
      <c r="DU99" s="1179">
        <v>0</v>
      </c>
      <c r="DV99" s="1179">
        <v>0</v>
      </c>
      <c r="DW99" s="1179">
        <v>0</v>
      </c>
      <c r="DX99" s="1180">
        <v>0</v>
      </c>
      <c r="DY99" s="1179">
        <v>0</v>
      </c>
      <c r="DZ99" s="1179">
        <v>0</v>
      </c>
      <c r="EA99" s="1179">
        <v>0</v>
      </c>
    </row>
    <row r="100" spans="19:132" ht="15.6" customHeight="1">
      <c r="BT100" s="1090">
        <v>10</v>
      </c>
      <c r="BU100" s="1253" t="s">
        <v>5327</v>
      </c>
      <c r="BV100" s="382">
        <v>23</v>
      </c>
      <c r="BW100" s="799">
        <v>1.9</v>
      </c>
      <c r="BX100" s="771">
        <v>13.650742778460314</v>
      </c>
      <c r="CB100" s="1211" t="s">
        <v>6124</v>
      </c>
      <c r="CC100" s="1179">
        <v>0</v>
      </c>
      <c r="CD100" s="1180">
        <v>0</v>
      </c>
      <c r="CE100" s="1180">
        <v>0</v>
      </c>
      <c r="CF100" s="1180">
        <v>0</v>
      </c>
      <c r="CG100" s="1180">
        <v>0</v>
      </c>
      <c r="CH100" s="1180"/>
      <c r="CI100" s="1348"/>
      <c r="CJ100" s="1348"/>
      <c r="CK100" s="1348"/>
      <c r="CL100" s="1348"/>
      <c r="CM100" s="1348"/>
      <c r="CN100" s="1348"/>
      <c r="CO100" s="1348"/>
      <c r="CP100" s="1348"/>
      <c r="CQ100" s="1348"/>
      <c r="CR100" s="1348"/>
      <c r="CS100" s="1348"/>
      <c r="CT100" s="1348"/>
      <c r="CU100" s="1348"/>
      <c r="CV100" s="1348"/>
      <c r="CW100" s="1348"/>
      <c r="CX100" s="1348"/>
      <c r="CY100" s="1348"/>
      <c r="CZ100" s="1348"/>
      <c r="DA100" s="1348"/>
      <c r="DB100" s="1348"/>
      <c r="DC100" s="1348"/>
      <c r="DD100" s="1348"/>
      <c r="DE100" s="1348"/>
      <c r="DS100" s="382" t="s">
        <v>6128</v>
      </c>
      <c r="DT100" s="1179">
        <v>0</v>
      </c>
      <c r="DU100" s="1179">
        <v>0</v>
      </c>
      <c r="DV100" s="1179">
        <v>0</v>
      </c>
      <c r="DW100" s="1179">
        <v>0</v>
      </c>
      <c r="DX100" s="1180">
        <v>0</v>
      </c>
      <c r="DY100" s="1179">
        <v>0</v>
      </c>
      <c r="DZ100" s="1179">
        <v>0</v>
      </c>
      <c r="EA100" s="1179">
        <v>0</v>
      </c>
      <c r="EB100" s="386"/>
    </row>
    <row r="101" spans="19:132" ht="15.6" customHeight="1">
      <c r="BU101" s="398" t="s">
        <v>5419</v>
      </c>
      <c r="BV101" s="398">
        <v>221</v>
      </c>
      <c r="BW101" s="398">
        <v>18.5</v>
      </c>
      <c r="BX101" s="771">
        <v>131.16583278433609</v>
      </c>
      <c r="CB101" s="1280" t="s">
        <v>6126</v>
      </c>
      <c r="CC101" s="1179">
        <v>1</v>
      </c>
      <c r="CD101" s="1180">
        <v>2</v>
      </c>
      <c r="CE101" s="1180">
        <v>1</v>
      </c>
      <c r="CF101" s="1180">
        <v>0</v>
      </c>
      <c r="CG101" s="1180">
        <v>2</v>
      </c>
      <c r="CH101" s="1180"/>
      <c r="CI101" s="1348"/>
      <c r="CJ101" s="1348"/>
      <c r="CK101" s="1348"/>
      <c r="CL101" s="1348"/>
      <c r="CM101" s="1348"/>
      <c r="CN101" s="1348"/>
      <c r="CO101" s="1348"/>
      <c r="CP101" s="1348"/>
      <c r="CQ101" s="1348"/>
      <c r="CR101" s="1348"/>
      <c r="CS101" s="1348"/>
      <c r="CT101" s="1348"/>
      <c r="CU101" s="1348"/>
      <c r="CV101" s="1348"/>
      <c r="CW101" s="1348"/>
      <c r="CX101" s="1348"/>
      <c r="CY101" s="1348"/>
      <c r="CZ101" s="1348"/>
      <c r="DA101" s="1348"/>
      <c r="DB101" s="1348"/>
      <c r="DC101" s="1348"/>
      <c r="DD101" s="1348"/>
      <c r="DE101" s="1348"/>
      <c r="DR101" s="394"/>
      <c r="DS101" s="382" t="s">
        <v>6129</v>
      </c>
      <c r="DT101" s="1179">
        <v>35</v>
      </c>
      <c r="DU101" s="1179">
        <v>14</v>
      </c>
      <c r="DV101" s="1179">
        <v>21</v>
      </c>
      <c r="DW101" s="1179">
        <v>0</v>
      </c>
      <c r="DX101" s="1180">
        <v>23</v>
      </c>
      <c r="DY101" s="1179">
        <v>11</v>
      </c>
      <c r="DZ101" s="1179">
        <v>12</v>
      </c>
      <c r="EA101" s="1179">
        <v>0</v>
      </c>
      <c r="EB101" s="385"/>
    </row>
    <row r="102" spans="19:132" ht="15.6" customHeight="1">
      <c r="BT102" s="1259" t="s">
        <v>6108</v>
      </c>
      <c r="BU102" s="1260"/>
      <c r="BV102" s="415"/>
      <c r="BW102" s="1261"/>
      <c r="BX102" s="415"/>
      <c r="CB102" s="1211" t="s">
        <v>6127</v>
      </c>
      <c r="CC102" s="1179">
        <v>0</v>
      </c>
      <c r="CD102" s="1180">
        <v>0</v>
      </c>
      <c r="CE102" s="1180">
        <v>0</v>
      </c>
      <c r="CF102" s="1180">
        <v>0</v>
      </c>
      <c r="CG102" s="1180">
        <v>0</v>
      </c>
      <c r="CH102" s="1180"/>
      <c r="CI102" s="1348"/>
      <c r="CJ102" s="1348"/>
      <c r="CK102" s="1348"/>
      <c r="CL102" s="1348"/>
      <c r="CM102" s="1348"/>
      <c r="CN102" s="1348"/>
      <c r="CO102" s="1348"/>
      <c r="CP102" s="1348"/>
      <c r="CQ102" s="1348"/>
      <c r="CR102" s="1348"/>
      <c r="CS102" s="1348"/>
      <c r="CT102" s="1348"/>
      <c r="CU102" s="1348"/>
      <c r="CV102" s="1348"/>
      <c r="CW102" s="1348"/>
      <c r="CX102" s="1348"/>
      <c r="CY102" s="1348"/>
      <c r="CZ102" s="1348"/>
      <c r="DA102" s="1348"/>
      <c r="DB102" s="1348"/>
      <c r="DC102" s="1348"/>
      <c r="DD102" s="1348"/>
      <c r="DE102" s="1348"/>
      <c r="DS102" s="382" t="s">
        <v>5834</v>
      </c>
      <c r="DT102" s="1179">
        <v>22</v>
      </c>
      <c r="DU102" s="1179">
        <v>9</v>
      </c>
      <c r="DV102" s="1179">
        <v>13</v>
      </c>
      <c r="DW102" s="1179">
        <v>0</v>
      </c>
      <c r="DX102" s="1180">
        <v>16</v>
      </c>
      <c r="DY102" s="1179">
        <v>7</v>
      </c>
      <c r="DZ102" s="1179">
        <v>9</v>
      </c>
      <c r="EA102" s="1179">
        <v>0</v>
      </c>
    </row>
    <row r="103" spans="19:132" ht="15.6" customHeight="1">
      <c r="BT103" s="1257" t="s">
        <v>6130</v>
      </c>
      <c r="BU103" s="1258"/>
      <c r="BV103" s="1258"/>
      <c r="BW103" s="1258"/>
      <c r="BX103" s="1258"/>
      <c r="CB103" s="1280" t="s">
        <v>6128</v>
      </c>
      <c r="CC103" s="1179">
        <v>0</v>
      </c>
      <c r="CD103" s="1180">
        <v>0</v>
      </c>
      <c r="CE103" s="1180">
        <v>0</v>
      </c>
      <c r="CF103" s="1180">
        <v>0</v>
      </c>
      <c r="CG103" s="1180">
        <v>0</v>
      </c>
      <c r="CH103" s="1180"/>
      <c r="CI103" s="1348"/>
      <c r="CJ103" s="1348"/>
      <c r="CK103" s="1348"/>
      <c r="CL103" s="1348"/>
      <c r="CM103" s="1348"/>
      <c r="CN103" s="1348"/>
      <c r="CO103" s="1348"/>
      <c r="CP103" s="1348"/>
      <c r="CQ103" s="1348"/>
      <c r="CR103" s="1348"/>
      <c r="CS103" s="1348"/>
      <c r="CT103" s="1348"/>
      <c r="CU103" s="1348"/>
      <c r="CV103" s="1348"/>
      <c r="CW103" s="1348"/>
      <c r="CX103" s="1348"/>
      <c r="CY103" s="1348"/>
      <c r="CZ103" s="1348"/>
      <c r="DA103" s="1348"/>
      <c r="DB103" s="1348"/>
      <c r="DC103" s="1348"/>
      <c r="DD103" s="1348"/>
      <c r="DE103" s="1348"/>
      <c r="DS103" s="382" t="s">
        <v>6131</v>
      </c>
      <c r="DT103" s="1179">
        <v>2</v>
      </c>
      <c r="DU103" s="1179">
        <v>0</v>
      </c>
      <c r="DV103" s="1179">
        <v>2</v>
      </c>
      <c r="DW103" s="1179">
        <v>0</v>
      </c>
      <c r="DX103" s="1180">
        <v>0</v>
      </c>
      <c r="DY103" s="1179">
        <v>0</v>
      </c>
      <c r="DZ103" s="1179">
        <v>0</v>
      </c>
      <c r="EA103" s="1179">
        <v>0</v>
      </c>
    </row>
    <row r="104" spans="19:132" ht="15.6" customHeight="1">
      <c r="BT104" s="1090"/>
      <c r="BU104" s="1253"/>
      <c r="BV104" s="382"/>
      <c r="BW104" s="799"/>
      <c r="BX104" s="771"/>
      <c r="CB104" s="1211" t="s">
        <v>6129</v>
      </c>
      <c r="CC104" s="1179">
        <v>35</v>
      </c>
      <c r="CD104" s="1180">
        <v>23</v>
      </c>
      <c r="CE104" s="1180">
        <v>25</v>
      </c>
      <c r="CF104" s="1180">
        <v>20</v>
      </c>
      <c r="CG104" s="1180">
        <v>16</v>
      </c>
      <c r="CH104" s="1180"/>
      <c r="CI104" s="1348"/>
      <c r="CJ104" s="1348"/>
      <c r="CK104" s="1348"/>
      <c r="CL104" s="1348"/>
      <c r="CM104" s="1348"/>
      <c r="CN104" s="1348"/>
      <c r="CO104" s="1348"/>
      <c r="CP104" s="1348"/>
      <c r="CQ104" s="1348"/>
      <c r="CR104" s="1348"/>
      <c r="CS104" s="1348"/>
      <c r="CT104" s="1348"/>
      <c r="CU104" s="1348"/>
      <c r="CV104" s="1348"/>
      <c r="CW104" s="1348"/>
      <c r="CX104" s="1348"/>
      <c r="CY104" s="1348"/>
      <c r="CZ104" s="1348"/>
      <c r="DA104" s="1348"/>
      <c r="DB104" s="1348"/>
      <c r="DC104" s="1348"/>
      <c r="DD104" s="1348"/>
      <c r="DE104" s="1348"/>
      <c r="DS104" s="382" t="s">
        <v>6132</v>
      </c>
      <c r="DT104" s="1179">
        <v>0</v>
      </c>
      <c r="DU104" s="1179">
        <v>0</v>
      </c>
      <c r="DV104" s="1179">
        <v>0</v>
      </c>
      <c r="DW104" s="1179">
        <v>0</v>
      </c>
      <c r="DX104" s="1180">
        <v>0</v>
      </c>
      <c r="DY104" s="1179">
        <v>0</v>
      </c>
      <c r="DZ104" s="1179">
        <v>0</v>
      </c>
      <c r="EA104" s="1179">
        <v>0</v>
      </c>
    </row>
    <row r="105" spans="19:132" ht="15.6" customHeight="1">
      <c r="S105" s="402"/>
      <c r="BT105" s="1090"/>
      <c r="BU105" s="1253"/>
      <c r="BV105" s="382"/>
      <c r="BW105" s="799"/>
      <c r="BX105" s="771"/>
      <c r="CB105" s="1280" t="s">
        <v>5834</v>
      </c>
      <c r="CC105" s="1179">
        <v>22</v>
      </c>
      <c r="CD105" s="1180">
        <v>16</v>
      </c>
      <c r="CE105" s="1180">
        <v>14</v>
      </c>
      <c r="CF105" s="1180">
        <v>33</v>
      </c>
      <c r="CG105" s="1180">
        <v>13</v>
      </c>
      <c r="CH105" s="1180"/>
      <c r="CI105" s="1348"/>
      <c r="CJ105" s="1348"/>
      <c r="CK105" s="1348"/>
      <c r="CL105" s="1348"/>
      <c r="CM105" s="1348"/>
      <c r="CN105" s="1348"/>
      <c r="CO105" s="1348"/>
      <c r="CP105" s="1348"/>
      <c r="CQ105" s="1348"/>
      <c r="CR105" s="1348"/>
      <c r="CS105" s="1348"/>
      <c r="CT105" s="1348"/>
      <c r="CU105" s="1348"/>
      <c r="CV105" s="1348"/>
      <c r="CW105" s="1348"/>
      <c r="CX105" s="1348"/>
      <c r="CY105" s="1348"/>
      <c r="CZ105" s="1348"/>
      <c r="DA105" s="1348"/>
      <c r="DB105" s="1348"/>
      <c r="DC105" s="1348"/>
      <c r="DD105" s="1348"/>
      <c r="DE105" s="1348"/>
      <c r="DS105" s="382" t="s">
        <v>5866</v>
      </c>
      <c r="DT105" s="1179">
        <v>0</v>
      </c>
      <c r="DU105" s="1179">
        <v>0</v>
      </c>
      <c r="DV105" s="1179">
        <v>0</v>
      </c>
      <c r="DW105" s="1179">
        <v>0</v>
      </c>
      <c r="DX105" s="1180">
        <v>12</v>
      </c>
      <c r="DY105" s="1179">
        <v>8</v>
      </c>
      <c r="DZ105" s="1179">
        <v>4</v>
      </c>
      <c r="EA105" s="1179">
        <v>0</v>
      </c>
    </row>
    <row r="106" spans="19:132" ht="15.6" customHeight="1">
      <c r="BT106" s="1090"/>
      <c r="BU106" s="1253"/>
      <c r="BV106" s="382"/>
      <c r="BW106" s="799"/>
      <c r="BX106" s="771"/>
      <c r="CB106" s="1211" t="s">
        <v>6131</v>
      </c>
      <c r="CC106" s="1179">
        <v>2</v>
      </c>
      <c r="CD106" s="1180">
        <v>0</v>
      </c>
      <c r="CE106" s="1180">
        <v>0</v>
      </c>
      <c r="CF106" s="1180">
        <v>0</v>
      </c>
      <c r="CG106" s="1180">
        <v>0</v>
      </c>
      <c r="CH106" s="1180"/>
      <c r="CI106" s="1348"/>
      <c r="CJ106" s="1348"/>
      <c r="CK106" s="1348"/>
      <c r="CL106" s="1348"/>
      <c r="CM106" s="1348"/>
      <c r="CN106" s="1348"/>
      <c r="CO106" s="1348"/>
      <c r="CP106" s="1348"/>
      <c r="CQ106" s="1348"/>
      <c r="CR106" s="1348"/>
      <c r="CS106" s="1348"/>
      <c r="CT106" s="1348"/>
      <c r="CU106" s="1348"/>
      <c r="CV106" s="1348"/>
      <c r="CW106" s="1348"/>
      <c r="CX106" s="1348"/>
      <c r="CY106" s="1348"/>
      <c r="CZ106" s="1348"/>
      <c r="DA106" s="1348"/>
      <c r="DB106" s="1348"/>
      <c r="DC106" s="1348"/>
      <c r="DD106" s="1348"/>
      <c r="DE106" s="1348"/>
      <c r="DS106" s="382" t="s">
        <v>6133</v>
      </c>
      <c r="DT106" s="1179">
        <v>490</v>
      </c>
      <c r="DU106" s="1179">
        <v>262</v>
      </c>
      <c r="DV106" s="1179">
        <v>228</v>
      </c>
      <c r="DW106" s="1179">
        <v>0</v>
      </c>
      <c r="DX106" s="1180">
        <v>521</v>
      </c>
      <c r="DY106" s="1179">
        <v>300</v>
      </c>
      <c r="DZ106" s="1179">
        <v>221</v>
      </c>
      <c r="EA106" s="1179">
        <v>0</v>
      </c>
    </row>
    <row r="107" spans="19:132" ht="15.6" customHeight="1">
      <c r="BT107" s="1090"/>
      <c r="BU107" s="1253"/>
      <c r="BV107" s="382"/>
      <c r="BW107" s="799"/>
      <c r="BX107" s="771"/>
      <c r="CB107" s="1280" t="s">
        <v>6132</v>
      </c>
      <c r="CC107" s="1179">
        <v>0</v>
      </c>
      <c r="CD107" s="1180">
        <v>0</v>
      </c>
      <c r="CE107" s="1180">
        <v>0</v>
      </c>
      <c r="CF107" s="1180">
        <v>0</v>
      </c>
      <c r="CG107" s="1180">
        <v>0</v>
      </c>
      <c r="CH107" s="1180"/>
      <c r="CI107" s="1375"/>
      <c r="CJ107" s="1348"/>
      <c r="CK107" s="1348"/>
      <c r="CL107" s="1348"/>
      <c r="CM107" s="1348"/>
      <c r="CN107" s="1348"/>
      <c r="CO107" s="1348"/>
      <c r="CP107" s="1348"/>
      <c r="CQ107" s="1348"/>
      <c r="CR107" s="1348"/>
      <c r="CS107" s="1348"/>
      <c r="CT107" s="1375"/>
      <c r="CU107" s="1375"/>
      <c r="CV107" s="1375"/>
      <c r="CW107" s="1375"/>
      <c r="CX107" s="1375"/>
      <c r="CY107" s="1375"/>
      <c r="CZ107" s="1375"/>
      <c r="DA107" s="1375"/>
      <c r="DB107" s="1375"/>
      <c r="DC107" s="1375"/>
      <c r="DD107" s="1375"/>
      <c r="DE107" s="1375"/>
      <c r="DS107" s="382" t="s">
        <v>6134</v>
      </c>
      <c r="DT107" s="1179">
        <v>361</v>
      </c>
      <c r="DU107" s="1179">
        <v>216</v>
      </c>
      <c r="DV107" s="1179">
        <v>145</v>
      </c>
      <c r="DW107" s="1179">
        <v>0</v>
      </c>
      <c r="DX107" s="1180">
        <v>482</v>
      </c>
      <c r="DY107" s="1179">
        <v>279</v>
      </c>
      <c r="DZ107" s="1179">
        <v>203</v>
      </c>
      <c r="EA107" s="1179">
        <v>0</v>
      </c>
    </row>
    <row r="108" spans="19:132" ht="15.6" customHeight="1">
      <c r="BT108" s="1090"/>
      <c r="BU108" s="1253"/>
      <c r="BV108" s="382"/>
      <c r="BW108" s="799"/>
      <c r="BX108" s="771"/>
      <c r="CB108" s="1211" t="s">
        <v>5866</v>
      </c>
      <c r="CC108" s="1179">
        <v>0</v>
      </c>
      <c r="CD108" s="1180">
        <v>12</v>
      </c>
      <c r="CE108" s="1180">
        <v>11</v>
      </c>
      <c r="CF108" s="1180">
        <v>9</v>
      </c>
      <c r="CG108" s="1180">
        <v>8</v>
      </c>
      <c r="CH108" s="1180"/>
      <c r="CI108" s="1348"/>
      <c r="CJ108" s="1348"/>
      <c r="CK108" s="1348"/>
      <c r="CL108" s="1348"/>
      <c r="CM108" s="1348"/>
      <c r="CN108" s="1348"/>
      <c r="CO108" s="1348"/>
      <c r="CP108" s="1348"/>
      <c r="CQ108" s="1348"/>
      <c r="CR108" s="1348"/>
      <c r="CS108" s="1348"/>
      <c r="CT108" s="1348"/>
      <c r="CU108" s="1348"/>
      <c r="CV108" s="1348"/>
      <c r="CW108" s="1348"/>
      <c r="CX108" s="1348"/>
      <c r="CY108" s="1348"/>
      <c r="CZ108" s="1348"/>
      <c r="DA108" s="1348"/>
      <c r="DB108" s="1348"/>
      <c r="DC108" s="1348"/>
      <c r="DD108" s="1348"/>
      <c r="DE108" s="1348"/>
      <c r="DS108" s="382" t="s">
        <v>5878</v>
      </c>
      <c r="DT108" s="1179">
        <v>1280</v>
      </c>
      <c r="DU108" s="1179">
        <v>621</v>
      </c>
      <c r="DV108" s="1179">
        <v>659</v>
      </c>
      <c r="DW108" s="1179">
        <v>0</v>
      </c>
      <c r="DX108" s="1180">
        <v>950</v>
      </c>
      <c r="DY108" s="1179">
        <v>470</v>
      </c>
      <c r="DZ108" s="1179">
        <v>480</v>
      </c>
      <c r="EA108" s="1179">
        <v>0</v>
      </c>
    </row>
    <row r="109" spans="19:132" ht="15.6" customHeight="1">
      <c r="BT109" s="1090"/>
      <c r="BU109" s="1253"/>
      <c r="BV109" s="382"/>
      <c r="BW109" s="799"/>
      <c r="BX109" s="771"/>
      <c r="CB109" s="1280" t="s">
        <v>6133</v>
      </c>
      <c r="CC109" s="1179">
        <v>490</v>
      </c>
      <c r="CD109" s="1180">
        <v>521</v>
      </c>
      <c r="CE109" s="1180">
        <v>429</v>
      </c>
      <c r="CF109" s="1180">
        <v>441</v>
      </c>
      <c r="CG109" s="1180">
        <v>266</v>
      </c>
      <c r="CH109" s="1180"/>
      <c r="CI109" s="1348"/>
      <c r="CJ109" s="1348"/>
      <c r="CK109" s="1348"/>
      <c r="CL109" s="1348"/>
      <c r="CM109" s="1348"/>
      <c r="CN109" s="1348"/>
      <c r="CO109" s="1348"/>
      <c r="CP109" s="1348"/>
      <c r="CQ109" s="1348"/>
      <c r="CR109" s="1348"/>
      <c r="CS109" s="1348"/>
      <c r="CT109" s="1348"/>
      <c r="CU109" s="1348"/>
      <c r="CV109" s="1348"/>
      <c r="CW109" s="1348"/>
      <c r="CX109" s="1348"/>
      <c r="CY109" s="1348"/>
      <c r="CZ109" s="1348"/>
      <c r="DA109" s="1348"/>
      <c r="DB109" s="1348"/>
      <c r="DC109" s="1348"/>
      <c r="DD109" s="1348"/>
      <c r="DE109" s="1348"/>
      <c r="DS109" s="382" t="s">
        <v>6135</v>
      </c>
      <c r="DT109" s="1179">
        <v>0</v>
      </c>
      <c r="DU109" s="1179">
        <v>0</v>
      </c>
      <c r="DV109" s="1179">
        <v>0</v>
      </c>
      <c r="DW109" s="1179">
        <v>0</v>
      </c>
      <c r="DX109" s="1180">
        <v>1</v>
      </c>
      <c r="DY109" s="1179">
        <v>1</v>
      </c>
      <c r="DZ109" s="1179">
        <v>0</v>
      </c>
      <c r="EA109" s="1179">
        <v>0</v>
      </c>
    </row>
    <row r="110" spans="19:132" ht="15.6" customHeight="1">
      <c r="BT110" s="1090"/>
      <c r="BU110" s="1253"/>
      <c r="BV110" s="382"/>
      <c r="BW110" s="799"/>
      <c r="BX110" s="771"/>
      <c r="CB110" s="1211" t="s">
        <v>6134</v>
      </c>
      <c r="CC110" s="1179">
        <v>361</v>
      </c>
      <c r="CD110" s="1180">
        <v>482</v>
      </c>
      <c r="CE110" s="1180">
        <v>250</v>
      </c>
      <c r="CF110" s="1180">
        <v>330</v>
      </c>
      <c r="CG110" s="1180">
        <v>130</v>
      </c>
      <c r="CH110" s="1180"/>
      <c r="CI110" s="1348"/>
      <c r="CJ110" s="1348"/>
      <c r="CK110" s="1348"/>
      <c r="CL110" s="1348"/>
      <c r="CM110" s="1348"/>
      <c r="CN110" s="1348"/>
      <c r="CO110" s="1348"/>
      <c r="CP110" s="1348"/>
      <c r="CQ110" s="1348"/>
      <c r="CR110" s="1348"/>
      <c r="CS110" s="1348"/>
      <c r="CT110" s="1348"/>
      <c r="CU110" s="1348"/>
      <c r="CV110" s="1348"/>
      <c r="CW110" s="1348"/>
      <c r="CX110" s="1348"/>
      <c r="CY110" s="1348"/>
      <c r="CZ110" s="1348"/>
      <c r="DA110" s="1348"/>
      <c r="DB110" s="1348"/>
      <c r="DC110" s="1348"/>
      <c r="DD110" s="1348"/>
      <c r="DE110" s="1348"/>
      <c r="DS110" s="382" t="s">
        <v>6136</v>
      </c>
      <c r="DT110" s="1179">
        <v>2</v>
      </c>
      <c r="DU110" s="1179">
        <v>1</v>
      </c>
      <c r="DV110" s="1179">
        <v>0</v>
      </c>
      <c r="DW110" s="1179">
        <v>1</v>
      </c>
      <c r="DX110" s="1180">
        <v>0</v>
      </c>
      <c r="DY110" s="1179">
        <v>0</v>
      </c>
      <c r="DZ110" s="1179">
        <v>0</v>
      </c>
      <c r="EA110" s="1179">
        <v>0</v>
      </c>
    </row>
    <row r="111" spans="19:132" ht="15.6" customHeight="1">
      <c r="BT111" s="1257"/>
      <c r="BU111" s="1253"/>
      <c r="BV111" s="382"/>
      <c r="BW111" s="1370"/>
      <c r="BX111" s="382"/>
      <c r="CB111" s="1280" t="s">
        <v>5878</v>
      </c>
      <c r="CC111" s="1179">
        <v>1280</v>
      </c>
      <c r="CD111" s="1180">
        <v>950</v>
      </c>
      <c r="CE111" s="1180">
        <v>197</v>
      </c>
      <c r="CF111" s="1180">
        <v>70</v>
      </c>
      <c r="CG111" s="1180">
        <v>52</v>
      </c>
      <c r="CH111" s="1180"/>
      <c r="CI111" s="1348"/>
      <c r="CJ111" s="1348"/>
      <c r="CK111" s="1348"/>
      <c r="CL111" s="1348"/>
      <c r="CM111" s="1348"/>
      <c r="CN111" s="1348"/>
      <c r="CO111" s="1348"/>
      <c r="CP111" s="1348"/>
      <c r="CQ111" s="1348"/>
      <c r="CR111" s="1348"/>
      <c r="CS111" s="1348"/>
      <c r="CT111" s="1348"/>
      <c r="CU111" s="1348"/>
      <c r="CV111" s="1348"/>
      <c r="CW111" s="1348"/>
      <c r="CX111" s="1348"/>
      <c r="CY111" s="1348"/>
      <c r="CZ111" s="1348"/>
      <c r="DA111" s="1348"/>
      <c r="DB111" s="1348"/>
      <c r="DC111" s="1348"/>
      <c r="DD111" s="1348"/>
      <c r="DE111" s="1348"/>
      <c r="DS111" s="382" t="s">
        <v>6137</v>
      </c>
      <c r="DT111" s="1179">
        <v>0</v>
      </c>
      <c r="DU111" s="1179">
        <v>0</v>
      </c>
      <c r="DV111" s="1179">
        <v>0</v>
      </c>
      <c r="DW111" s="1179">
        <v>0</v>
      </c>
      <c r="DX111" s="1180">
        <v>0</v>
      </c>
      <c r="DY111" s="1179">
        <v>0</v>
      </c>
      <c r="DZ111" s="1179">
        <v>0</v>
      </c>
      <c r="EA111" s="1179">
        <v>0</v>
      </c>
    </row>
    <row r="112" spans="19:132" ht="15.6" customHeight="1">
      <c r="BT112" s="1257"/>
      <c r="BU112" s="1258"/>
      <c r="BV112" s="1258"/>
      <c r="BW112" s="1258"/>
      <c r="BX112" s="1258"/>
      <c r="CB112" s="1211" t="s">
        <v>6135</v>
      </c>
      <c r="CC112" s="1179">
        <v>0</v>
      </c>
      <c r="CD112" s="1180">
        <v>1</v>
      </c>
      <c r="CE112" s="1180">
        <v>1</v>
      </c>
      <c r="CF112" s="1180">
        <v>0</v>
      </c>
      <c r="CG112" s="1180">
        <v>0</v>
      </c>
      <c r="CH112" s="1180"/>
      <c r="CI112" s="1348"/>
      <c r="CJ112" s="1348"/>
      <c r="CK112" s="1348"/>
      <c r="CL112" s="1348"/>
      <c r="CM112" s="1348"/>
      <c r="CN112" s="1348"/>
      <c r="CO112" s="1348"/>
      <c r="CP112" s="1348"/>
      <c r="CQ112" s="1348"/>
      <c r="CR112" s="1348"/>
      <c r="CS112" s="1348"/>
      <c r="CT112" s="1348"/>
      <c r="CU112" s="1348"/>
      <c r="CV112" s="1348"/>
      <c r="CW112" s="1348"/>
      <c r="CX112" s="1348"/>
      <c r="CY112" s="1348"/>
      <c r="CZ112" s="1348"/>
      <c r="DA112" s="1348"/>
      <c r="DB112" s="1348"/>
      <c r="DC112" s="1348"/>
      <c r="DD112" s="1348"/>
      <c r="DE112" s="1348"/>
      <c r="DS112" s="382" t="s">
        <v>6138</v>
      </c>
      <c r="DT112" s="1179">
        <v>5</v>
      </c>
      <c r="DU112" s="1180">
        <v>5</v>
      </c>
      <c r="DV112" s="1180">
        <v>0</v>
      </c>
      <c r="DW112" s="1180">
        <v>0</v>
      </c>
      <c r="DX112" s="1180">
        <v>1</v>
      </c>
      <c r="DY112" s="1180">
        <v>0</v>
      </c>
      <c r="DZ112" s="1180">
        <v>1</v>
      </c>
      <c r="EA112" s="1180">
        <v>0</v>
      </c>
    </row>
    <row r="113" spans="72:131" ht="15.6" customHeight="1">
      <c r="BT113" s="2183"/>
      <c r="BU113" s="2183"/>
      <c r="BV113" s="2183"/>
      <c r="BW113" s="2183"/>
      <c r="BX113" s="2183"/>
      <c r="CB113" s="1280" t="s">
        <v>6136</v>
      </c>
      <c r="CC113" s="1179">
        <v>2</v>
      </c>
      <c r="CD113" s="1180">
        <v>0</v>
      </c>
      <c r="CE113" s="1180">
        <v>0</v>
      </c>
      <c r="CF113" s="1180">
        <v>0</v>
      </c>
      <c r="CG113" s="1180">
        <v>0</v>
      </c>
      <c r="CH113" s="1180"/>
      <c r="CI113" s="1348"/>
      <c r="CJ113" s="1348"/>
      <c r="CK113" s="1348"/>
      <c r="CL113" s="1348"/>
      <c r="CM113" s="1348"/>
      <c r="CN113" s="1348"/>
      <c r="CO113" s="1348"/>
      <c r="CP113" s="1348"/>
      <c r="CQ113" s="1348"/>
      <c r="CR113" s="1348"/>
      <c r="CS113" s="1348"/>
      <c r="CT113" s="1348"/>
      <c r="CU113" s="1348"/>
      <c r="CV113" s="1348"/>
      <c r="CW113" s="1348"/>
      <c r="CX113" s="1348"/>
      <c r="CY113" s="1348"/>
      <c r="CZ113" s="1348"/>
      <c r="DA113" s="1348"/>
      <c r="DB113" s="1348"/>
      <c r="DC113" s="1348"/>
      <c r="DD113" s="1348"/>
      <c r="DE113" s="1348"/>
      <c r="DS113" s="382" t="s">
        <v>6139</v>
      </c>
      <c r="DT113" s="1179">
        <v>15</v>
      </c>
      <c r="DU113" s="1179">
        <v>14</v>
      </c>
      <c r="DV113" s="1179">
        <v>1</v>
      </c>
      <c r="DW113" s="1179">
        <v>0</v>
      </c>
      <c r="DX113" s="1180">
        <v>3</v>
      </c>
      <c r="DY113" s="1179">
        <v>3</v>
      </c>
      <c r="DZ113" s="1179">
        <v>0</v>
      </c>
      <c r="EA113" s="1179">
        <v>0</v>
      </c>
    </row>
    <row r="114" spans="72:131" ht="15.6" customHeight="1">
      <c r="BT114" s="2183"/>
      <c r="BU114" s="2183"/>
      <c r="BV114" s="2183"/>
      <c r="BW114" s="2183"/>
      <c r="BX114" s="2183"/>
      <c r="CB114" s="1211" t="s">
        <v>6137</v>
      </c>
      <c r="CC114" s="1179">
        <v>0</v>
      </c>
      <c r="CD114" s="1180">
        <v>0</v>
      </c>
      <c r="CE114" s="1180">
        <v>2</v>
      </c>
      <c r="CF114" s="1180">
        <v>4</v>
      </c>
      <c r="CG114" s="1180">
        <v>2</v>
      </c>
      <c r="CH114" s="1180"/>
      <c r="CI114" s="1348"/>
      <c r="CJ114" s="1375"/>
      <c r="CK114" s="1375"/>
      <c r="CL114" s="1375"/>
      <c r="CM114" s="1375"/>
      <c r="CN114" s="1375"/>
      <c r="CO114" s="1375"/>
      <c r="CP114" s="1375"/>
      <c r="CQ114" s="1375"/>
      <c r="CR114" s="1375"/>
      <c r="CS114" s="1375"/>
      <c r="CT114" s="1348"/>
      <c r="CU114" s="1348"/>
      <c r="CV114" s="1348"/>
      <c r="CW114" s="1348"/>
      <c r="CX114" s="1348"/>
      <c r="CY114" s="1348"/>
      <c r="CZ114" s="1348"/>
      <c r="DA114" s="1348"/>
      <c r="DB114" s="1348"/>
      <c r="DC114" s="1348"/>
      <c r="DD114" s="1348"/>
      <c r="DE114" s="1348"/>
      <c r="DS114" s="382" t="s">
        <v>6140</v>
      </c>
      <c r="DT114" s="1179">
        <v>22</v>
      </c>
      <c r="DU114" s="1179">
        <v>16</v>
      </c>
      <c r="DV114" s="1179">
        <v>6</v>
      </c>
      <c r="DW114" s="1179">
        <v>0</v>
      </c>
      <c r="DX114" s="1180">
        <v>14</v>
      </c>
      <c r="DY114" s="1179">
        <v>7</v>
      </c>
      <c r="DZ114" s="1179">
        <v>7</v>
      </c>
      <c r="EA114" s="1179">
        <v>0</v>
      </c>
    </row>
    <row r="115" spans="72:131" ht="15.6" customHeight="1">
      <c r="BT115" s="2183"/>
      <c r="BU115" s="2183"/>
      <c r="BV115" s="2183"/>
      <c r="BW115" s="2183"/>
      <c r="BX115" s="2183"/>
      <c r="CB115" s="1280" t="s">
        <v>6138</v>
      </c>
      <c r="CC115" s="1179">
        <v>5</v>
      </c>
      <c r="CD115" s="1180">
        <v>1</v>
      </c>
      <c r="CE115" s="1180">
        <v>1</v>
      </c>
      <c r="CF115" s="1180">
        <v>4</v>
      </c>
      <c r="CG115" s="1180">
        <v>5</v>
      </c>
      <c r="CH115" s="1180"/>
      <c r="CJ115" s="1348"/>
      <c r="CK115" s="1348"/>
      <c r="CL115" s="1348"/>
      <c r="CM115" s="1348"/>
      <c r="CN115" s="1348"/>
      <c r="CO115" s="1348"/>
      <c r="CP115" s="1348"/>
      <c r="CQ115" s="1348"/>
      <c r="CR115" s="1348"/>
      <c r="CS115" s="1348"/>
      <c r="DS115" s="382" t="s">
        <v>6141</v>
      </c>
      <c r="DT115" s="1179">
        <v>0</v>
      </c>
      <c r="DU115" s="1179">
        <v>0</v>
      </c>
      <c r="DV115" s="1179">
        <v>0</v>
      </c>
      <c r="DW115" s="1179">
        <v>0</v>
      </c>
      <c r="DX115" s="1180">
        <v>1</v>
      </c>
      <c r="DY115" s="1179">
        <v>1</v>
      </c>
      <c r="DZ115" s="1179">
        <v>0</v>
      </c>
      <c r="EA115" s="1179">
        <v>0</v>
      </c>
    </row>
    <row r="116" spans="72:131" ht="15.6" customHeight="1">
      <c r="BT116" s="2183"/>
      <c r="BU116" s="2183"/>
      <c r="BV116" s="2183"/>
      <c r="BW116" s="2183"/>
      <c r="BX116" s="2183"/>
      <c r="CB116" s="1211" t="s">
        <v>6139</v>
      </c>
      <c r="CC116" s="1179">
        <v>15</v>
      </c>
      <c r="CD116" s="1180">
        <v>3</v>
      </c>
      <c r="CE116" s="1180">
        <v>1</v>
      </c>
      <c r="CF116" s="1180">
        <v>4</v>
      </c>
      <c r="CG116" s="1180">
        <v>7</v>
      </c>
      <c r="CH116" s="1180"/>
      <c r="CJ116" s="1348"/>
      <c r="CK116" s="1348"/>
      <c r="CL116" s="1348"/>
      <c r="CM116" s="1348"/>
      <c r="CN116" s="1348"/>
      <c r="CO116" s="1348"/>
      <c r="CP116" s="1348"/>
      <c r="CQ116" s="1348"/>
      <c r="CR116" s="1348"/>
      <c r="CS116" s="1348"/>
      <c r="DS116" s="1280" t="s">
        <v>6142</v>
      </c>
      <c r="DT116" s="1179">
        <v>57</v>
      </c>
      <c r="DU116" s="1179">
        <v>34</v>
      </c>
      <c r="DV116" s="1179">
        <v>23</v>
      </c>
      <c r="DW116" s="1179">
        <v>0</v>
      </c>
      <c r="DX116" s="1180">
        <v>48</v>
      </c>
      <c r="DY116" s="1179">
        <v>26</v>
      </c>
      <c r="DZ116" s="1179">
        <v>22</v>
      </c>
      <c r="EA116" s="1179">
        <v>0</v>
      </c>
    </row>
    <row r="117" spans="72:131" ht="15.6" customHeight="1">
      <c r="BT117" s="2183"/>
      <c r="BU117" s="2183"/>
      <c r="BV117" s="2183"/>
      <c r="BW117" s="2183"/>
      <c r="BX117" s="2183"/>
      <c r="CB117" s="1280" t="s">
        <v>6140</v>
      </c>
      <c r="CC117" s="1179">
        <v>22</v>
      </c>
      <c r="CD117" s="1180">
        <v>14</v>
      </c>
      <c r="CE117" s="1180">
        <v>15</v>
      </c>
      <c r="CF117" s="1180">
        <v>12</v>
      </c>
      <c r="CG117" s="1180">
        <v>11</v>
      </c>
      <c r="CH117" s="1180"/>
      <c r="CJ117" s="1348"/>
      <c r="CK117" s="1348"/>
      <c r="CL117" s="1348"/>
      <c r="CM117" s="1348"/>
      <c r="CN117" s="1348"/>
      <c r="CO117" s="1348"/>
      <c r="CP117" s="1348"/>
      <c r="CQ117" s="1348"/>
      <c r="CR117" s="1348"/>
      <c r="CS117" s="1348"/>
      <c r="DS117" s="381" t="s">
        <v>6143</v>
      </c>
      <c r="DT117" s="1354">
        <v>1</v>
      </c>
      <c r="DU117" s="1354">
        <v>0</v>
      </c>
      <c r="DV117" s="1354">
        <v>1</v>
      </c>
      <c r="DW117" s="1354">
        <v>0</v>
      </c>
      <c r="DX117" s="1355">
        <v>1</v>
      </c>
      <c r="DY117" s="1354">
        <v>1</v>
      </c>
      <c r="DZ117" s="1354">
        <v>0</v>
      </c>
      <c r="EA117" s="1354">
        <v>0</v>
      </c>
    </row>
    <row r="118" spans="72:131" ht="15.6" customHeight="1">
      <c r="BT118" s="2183"/>
      <c r="BU118" s="2183"/>
      <c r="BV118" s="2183"/>
      <c r="BW118" s="2183"/>
      <c r="BX118" s="2183"/>
      <c r="CB118" s="1211" t="s">
        <v>6141</v>
      </c>
      <c r="CC118" s="1179">
        <v>0</v>
      </c>
      <c r="CD118" s="1180">
        <v>1</v>
      </c>
      <c r="CE118" s="1180">
        <v>0</v>
      </c>
      <c r="CF118" s="1180">
        <v>0</v>
      </c>
      <c r="CG118" s="1180">
        <v>0</v>
      </c>
      <c r="CH118" s="1180"/>
      <c r="CJ118" s="1348"/>
      <c r="CK118" s="1348"/>
      <c r="CL118" s="1348"/>
      <c r="CM118" s="1348"/>
      <c r="CN118" s="1348"/>
      <c r="CO118" s="1348"/>
      <c r="CP118" s="1348"/>
      <c r="CQ118" s="1348"/>
      <c r="CR118" s="1348"/>
      <c r="CS118" s="1348"/>
      <c r="DS118" s="1361" t="s">
        <v>6073</v>
      </c>
      <c r="DT118" s="409"/>
    </row>
    <row r="119" spans="72:131" ht="15.6" customHeight="1">
      <c r="BT119" s="2183"/>
      <c r="BU119" s="2183"/>
      <c r="BV119" s="2183"/>
      <c r="BW119" s="2183"/>
      <c r="BX119" s="2183"/>
      <c r="CB119" s="1280" t="s">
        <v>6142</v>
      </c>
      <c r="CC119" s="1179">
        <v>57</v>
      </c>
      <c r="CD119" s="1180">
        <v>48</v>
      </c>
      <c r="CE119" s="1180">
        <v>60</v>
      </c>
      <c r="CF119" s="1180">
        <v>62</v>
      </c>
      <c r="CG119" s="1180">
        <v>54</v>
      </c>
      <c r="CH119" s="1180"/>
      <c r="CJ119" s="1348"/>
      <c r="CK119" s="1348"/>
      <c r="CL119" s="1348"/>
      <c r="CM119" s="1348"/>
      <c r="CN119" s="1348"/>
      <c r="CO119" s="1348"/>
      <c r="CP119" s="1348"/>
      <c r="CQ119" s="1348"/>
      <c r="CR119" s="1348"/>
      <c r="CS119" s="1348"/>
      <c r="DS119" s="1133" t="s">
        <v>6077</v>
      </c>
      <c r="DT119" s="515"/>
      <c r="DU119" s="394"/>
      <c r="DV119" s="394"/>
      <c r="DW119" s="394"/>
    </row>
    <row r="120" spans="72:131" ht="15.6" customHeight="1">
      <c r="BT120" s="2183"/>
      <c r="BU120" s="2183"/>
      <c r="BV120" s="2183"/>
      <c r="BW120" s="2183"/>
      <c r="BX120" s="2183"/>
      <c r="CB120" s="1353" t="s">
        <v>6143</v>
      </c>
      <c r="CC120" s="1354">
        <v>1</v>
      </c>
      <c r="CD120" s="1355">
        <v>1</v>
      </c>
      <c r="CE120" s="1355">
        <v>4</v>
      </c>
      <c r="CF120" s="1355">
        <v>0</v>
      </c>
      <c r="CG120" s="1355">
        <v>1</v>
      </c>
      <c r="CH120" s="1180"/>
      <c r="CJ120" s="1348"/>
      <c r="CK120" s="1348"/>
      <c r="CL120" s="1348"/>
      <c r="CM120" s="1348"/>
      <c r="CN120" s="1348"/>
      <c r="CO120" s="1348"/>
      <c r="CP120" s="1348"/>
      <c r="CQ120" s="1348"/>
      <c r="CR120" s="1348"/>
      <c r="CS120" s="1348"/>
      <c r="DS120" s="1363" t="s">
        <v>6082</v>
      </c>
    </row>
    <row r="121" spans="72:131" ht="15.6" customHeight="1">
      <c r="BT121" s="2183"/>
      <c r="BU121" s="2183"/>
      <c r="BV121" s="2183"/>
      <c r="BW121" s="2183"/>
      <c r="BX121" s="2183"/>
      <c r="CB121" s="1361" t="s">
        <v>6066</v>
      </c>
      <c r="CC121" s="1362"/>
      <c r="CD121" s="1362"/>
      <c r="CE121" s="1362"/>
      <c r="CF121" s="1362"/>
      <c r="CG121" s="1362"/>
      <c r="CH121" s="1362"/>
      <c r="CJ121" s="1348"/>
      <c r="CK121" s="1348"/>
      <c r="CL121" s="1348"/>
      <c r="CM121" s="1348"/>
      <c r="CN121" s="1348"/>
      <c r="CO121" s="1348"/>
      <c r="CP121" s="1348"/>
      <c r="CQ121" s="1348"/>
      <c r="CR121" s="1348"/>
      <c r="CS121" s="1348"/>
      <c r="DS121" s="1363" t="s">
        <v>6084</v>
      </c>
      <c r="DT121" s="679"/>
    </row>
    <row r="122" spans="72:131" ht="15.6" customHeight="1">
      <c r="BT122" s="2183"/>
      <c r="BU122" s="2183"/>
      <c r="BV122" s="2183"/>
      <c r="BW122" s="2183"/>
      <c r="BX122" s="2183"/>
      <c r="CB122" s="1363" t="s">
        <v>6072</v>
      </c>
      <c r="CC122" s="1362"/>
      <c r="CD122" s="1362"/>
      <c r="CE122" s="1362"/>
      <c r="CF122" s="1362"/>
      <c r="CG122" s="1362"/>
      <c r="CH122" s="1362"/>
      <c r="DS122" s="1363" t="s">
        <v>6085</v>
      </c>
    </row>
    <row r="123" spans="72:131" ht="15.6" customHeight="1">
      <c r="BT123" s="2183"/>
      <c r="BU123" s="2183"/>
      <c r="BV123" s="2183"/>
      <c r="BW123" s="2183"/>
      <c r="BX123" s="2183"/>
      <c r="CB123" s="1133" t="s">
        <v>6077</v>
      </c>
      <c r="CC123" s="1362"/>
      <c r="CD123" s="1362"/>
      <c r="CE123" s="1362"/>
      <c r="CF123" s="1362"/>
      <c r="CG123" s="1362"/>
      <c r="CH123" s="1362"/>
      <c r="DS123" s="1363" t="s">
        <v>6088</v>
      </c>
    </row>
    <row r="124" spans="72:131" ht="15.6" customHeight="1">
      <c r="BT124" s="2183"/>
      <c r="BU124" s="2183"/>
      <c r="BV124" s="2183"/>
      <c r="BW124" s="2183"/>
      <c r="BX124" s="2183"/>
      <c r="CB124" s="1363" t="s">
        <v>6081</v>
      </c>
      <c r="CC124" s="1362"/>
      <c r="CD124" s="1362"/>
      <c r="CE124" s="1362"/>
      <c r="CF124" s="1362"/>
      <c r="CG124" s="1362"/>
      <c r="CH124" s="1362"/>
      <c r="DS124" s="1363" t="s">
        <v>6090</v>
      </c>
    </row>
    <row r="125" spans="72:131" ht="15.6" customHeight="1">
      <c r="BT125" s="2183"/>
      <c r="BU125" s="2183"/>
      <c r="BV125" s="2183"/>
      <c r="BW125" s="2183"/>
      <c r="BX125" s="2183"/>
      <c r="CB125" s="1363" t="s">
        <v>6083</v>
      </c>
      <c r="CC125" s="1362"/>
      <c r="CD125" s="1362"/>
      <c r="CE125" s="1362"/>
      <c r="CF125" s="1362"/>
      <c r="CG125" s="1362"/>
      <c r="CH125" s="1362"/>
      <c r="DS125" s="1363" t="s">
        <v>6092</v>
      </c>
      <c r="DT125" s="385"/>
      <c r="DU125" s="385"/>
      <c r="DV125" s="385"/>
      <c r="DW125" s="385"/>
      <c r="DX125" s="385"/>
      <c r="DY125" s="385"/>
      <c r="DZ125" s="385"/>
      <c r="EA125" s="385"/>
    </row>
    <row r="126" spans="72:131" ht="15.6" customHeight="1">
      <c r="BT126" s="2183"/>
      <c r="BU126" s="2183"/>
      <c r="BV126" s="2183"/>
      <c r="BW126" s="2183"/>
      <c r="BX126" s="2183"/>
      <c r="CB126" s="1363" t="s">
        <v>6084</v>
      </c>
      <c r="CC126" s="1362"/>
      <c r="CD126" s="1362"/>
      <c r="CE126" s="1362"/>
      <c r="CF126" s="1362"/>
      <c r="CG126" s="1362"/>
      <c r="CH126" s="1362"/>
      <c r="DS126" s="1133"/>
      <c r="DT126" s="1179"/>
      <c r="DU126" s="1179"/>
      <c r="DV126" s="1179"/>
      <c r="DW126" s="1179"/>
      <c r="DX126" s="1179"/>
      <c r="DY126" s="1179"/>
      <c r="DZ126" s="1179"/>
      <c r="EA126" s="1179"/>
    </row>
    <row r="127" spans="72:131" ht="15.6" customHeight="1">
      <c r="BT127" s="2183"/>
      <c r="BU127" s="2183"/>
      <c r="BV127" s="2183"/>
      <c r="BW127" s="2183"/>
      <c r="BX127" s="2183"/>
      <c r="CB127" s="1363" t="s">
        <v>6087</v>
      </c>
      <c r="CC127" s="1362"/>
      <c r="CD127" s="1362"/>
      <c r="CE127" s="1362"/>
      <c r="CF127" s="1362"/>
      <c r="CG127" s="1362"/>
      <c r="CH127" s="1362"/>
      <c r="DS127" s="1133"/>
      <c r="DT127" s="1179"/>
      <c r="DU127" s="1179"/>
      <c r="DV127" s="1179"/>
      <c r="DW127" s="1179"/>
      <c r="DX127" s="1179"/>
      <c r="DY127" s="1179"/>
      <c r="DZ127" s="1179"/>
      <c r="EA127" s="1179"/>
    </row>
    <row r="128" spans="72:131" ht="15.6" customHeight="1">
      <c r="BT128" s="2183"/>
      <c r="BU128" s="2183"/>
      <c r="BV128" s="2183"/>
      <c r="BW128" s="2183"/>
      <c r="BX128" s="2183"/>
      <c r="CB128" s="1363" t="s">
        <v>6089</v>
      </c>
      <c r="CC128" s="1362"/>
      <c r="CD128" s="1362"/>
      <c r="CE128" s="1362"/>
      <c r="CF128" s="1362"/>
      <c r="CG128" s="1362"/>
      <c r="CH128" s="1362"/>
      <c r="DS128" s="382"/>
      <c r="DT128" s="1211"/>
      <c r="DU128" s="1179"/>
      <c r="DV128" s="1179"/>
      <c r="DW128" s="1179"/>
      <c r="DX128" s="1211"/>
      <c r="DY128" s="1179"/>
      <c r="DZ128" s="1179"/>
      <c r="EA128" s="1179"/>
    </row>
    <row r="129" spans="19:131" ht="15.6" customHeight="1">
      <c r="S129" s="402"/>
      <c r="BT129" s="2183"/>
      <c r="BU129" s="2183"/>
      <c r="BV129" s="2183"/>
      <c r="BW129" s="2183"/>
      <c r="BX129" s="2183"/>
      <c r="CB129" s="1363" t="s">
        <v>6091</v>
      </c>
      <c r="CC129" s="1362"/>
      <c r="CD129" s="1362"/>
      <c r="CE129" s="1362"/>
      <c r="CF129" s="1362"/>
      <c r="CG129" s="1362"/>
      <c r="CH129" s="1362"/>
      <c r="DS129" s="382"/>
      <c r="DT129" s="1211"/>
      <c r="DU129" s="1179"/>
      <c r="DV129" s="1179"/>
      <c r="DW129" s="1179"/>
      <c r="DX129" s="1211"/>
      <c r="DY129" s="1179"/>
      <c r="DZ129" s="1179"/>
      <c r="EA129" s="1179"/>
    </row>
    <row r="130" spans="19:131" ht="15.6" customHeight="1">
      <c r="T130" s="402"/>
      <c r="U130" s="402"/>
      <c r="V130" s="402"/>
      <c r="W130" s="402"/>
      <c r="X130" s="402"/>
      <c r="BT130" s="2183"/>
      <c r="BU130" s="2183"/>
      <c r="BV130" s="2183"/>
      <c r="BW130" s="2183"/>
      <c r="BX130" s="2183"/>
      <c r="CB130" s="1363" t="s">
        <v>6093</v>
      </c>
      <c r="CC130" s="1362"/>
      <c r="CD130" s="1362"/>
      <c r="CE130" s="1362"/>
      <c r="CF130" s="1362"/>
      <c r="CG130" s="1362"/>
      <c r="CH130" s="1362"/>
      <c r="DS130" s="1093" t="s">
        <v>6144</v>
      </c>
      <c r="DT130" s="910"/>
      <c r="DU130" s="681"/>
    </row>
    <row r="131" spans="19:131" ht="15.6" customHeight="1">
      <c r="BT131" s="2183"/>
      <c r="BU131" s="2183"/>
      <c r="BV131" s="2183"/>
      <c r="BW131" s="2183"/>
      <c r="BX131" s="2183"/>
      <c r="CB131" s="1363" t="s">
        <v>6094</v>
      </c>
      <c r="CC131" s="1362"/>
      <c r="CD131" s="1362"/>
      <c r="CE131" s="1362"/>
      <c r="CF131" s="1362"/>
      <c r="CG131" s="1362"/>
      <c r="CH131" s="1362"/>
      <c r="DS131" s="1106"/>
      <c r="DT131" s="2127">
        <v>2024</v>
      </c>
      <c r="DU131" s="2128"/>
      <c r="DV131" s="2128"/>
      <c r="DW131" s="2128"/>
      <c r="DX131" s="2127">
        <v>2023</v>
      </c>
      <c r="DY131" s="2128"/>
      <c r="DZ131" s="2128"/>
      <c r="EA131" s="2128"/>
    </row>
    <row r="132" spans="19:131" ht="15.6" customHeight="1">
      <c r="BT132" s="2183"/>
      <c r="BU132" s="2183"/>
      <c r="BV132" s="2183"/>
      <c r="BW132" s="2183"/>
      <c r="BX132" s="2183"/>
      <c r="CB132" s="1363" t="s">
        <v>6095</v>
      </c>
      <c r="CC132" s="1362"/>
      <c r="CD132" s="1362"/>
      <c r="CE132" s="1362"/>
      <c r="CF132" s="1362"/>
      <c r="CG132" s="1362"/>
      <c r="CH132" s="1362"/>
      <c r="DS132" s="727" t="s">
        <v>5040</v>
      </c>
      <c r="DT132" s="1137" t="s">
        <v>129</v>
      </c>
      <c r="DU132" s="1137" t="s">
        <v>1711</v>
      </c>
      <c r="DV132" s="1137" t="s">
        <v>1712</v>
      </c>
      <c r="DW132" s="1137" t="s">
        <v>2597</v>
      </c>
      <c r="DX132" s="1137" t="s">
        <v>129</v>
      </c>
      <c r="DY132" s="1137" t="s">
        <v>1711</v>
      </c>
      <c r="DZ132" s="719" t="s">
        <v>1712</v>
      </c>
      <c r="EA132" s="719" t="s">
        <v>2597</v>
      </c>
    </row>
    <row r="133" spans="19:131" ht="15.6" customHeight="1">
      <c r="BT133" s="2183"/>
      <c r="BU133" s="2183"/>
      <c r="BV133" s="2183"/>
      <c r="BW133" s="2183"/>
      <c r="BX133" s="2183"/>
      <c r="CB133" s="1363" t="s">
        <v>6096</v>
      </c>
      <c r="CC133" s="1362"/>
      <c r="CD133" s="1362"/>
      <c r="CE133" s="1362"/>
      <c r="CF133" s="1362"/>
      <c r="CG133" s="1362"/>
      <c r="CH133" s="1362"/>
      <c r="DS133" s="1211" t="s">
        <v>6145</v>
      </c>
      <c r="DT133" s="1179"/>
      <c r="DU133" s="1179"/>
      <c r="DV133" s="1179"/>
      <c r="DW133" s="1179"/>
      <c r="DX133" s="1180"/>
      <c r="DY133" s="1179"/>
      <c r="DZ133" s="1179"/>
      <c r="EA133" s="1179"/>
    </row>
    <row r="134" spans="19:131" ht="15.6" customHeight="1">
      <c r="BT134" s="2183"/>
      <c r="BU134" s="2183"/>
      <c r="BV134" s="2183"/>
      <c r="BW134" s="2183"/>
      <c r="BX134" s="2183"/>
      <c r="CB134" s="1211"/>
      <c r="CC134" s="1179"/>
      <c r="CD134" s="1180"/>
      <c r="CE134" s="1180"/>
      <c r="CF134" s="1180"/>
      <c r="CG134" s="1180"/>
      <c r="CH134" s="1180"/>
      <c r="DS134" s="382" t="s">
        <v>6146</v>
      </c>
      <c r="DT134" s="1179">
        <v>7</v>
      </c>
      <c r="DU134" s="1179">
        <v>2</v>
      </c>
      <c r="DV134" s="1179">
        <v>5</v>
      </c>
      <c r="DW134" s="1179">
        <v>0</v>
      </c>
      <c r="DX134" s="1180">
        <v>5</v>
      </c>
      <c r="DY134" s="1179">
        <v>3</v>
      </c>
      <c r="DZ134" s="1179">
        <v>2</v>
      </c>
      <c r="EA134" s="1179">
        <v>0</v>
      </c>
    </row>
    <row r="135" spans="19:131" ht="15.6" customHeight="1">
      <c r="BT135" s="2183"/>
      <c r="BU135" s="2183"/>
      <c r="BV135" s="2183"/>
      <c r="BW135" s="2183"/>
      <c r="BX135" s="2183"/>
      <c r="CB135" s="1211"/>
      <c r="CC135" s="1179"/>
      <c r="CD135" s="1180"/>
      <c r="CE135" s="1180"/>
      <c r="CF135" s="1180"/>
      <c r="CG135" s="1180"/>
      <c r="CH135" s="1180"/>
      <c r="DS135" s="382" t="s">
        <v>6147</v>
      </c>
      <c r="DT135" s="1179">
        <v>2</v>
      </c>
      <c r="DU135" s="1179">
        <v>2</v>
      </c>
      <c r="DV135" s="1179">
        <v>0</v>
      </c>
      <c r="DW135" s="1179">
        <v>0</v>
      </c>
      <c r="DX135" s="1180">
        <v>1</v>
      </c>
      <c r="DY135" s="1179">
        <v>1</v>
      </c>
      <c r="DZ135" s="1179">
        <v>0</v>
      </c>
      <c r="EA135" s="1179">
        <v>0</v>
      </c>
    </row>
    <row r="136" spans="19:131" ht="15.6" customHeight="1">
      <c r="BT136" s="2183"/>
      <c r="BU136" s="2183"/>
      <c r="BV136" s="2183"/>
      <c r="BW136" s="2183"/>
      <c r="BX136" s="2183"/>
      <c r="DS136" s="382" t="s">
        <v>5215</v>
      </c>
      <c r="DT136" s="1179">
        <v>14</v>
      </c>
      <c r="DU136" s="1179">
        <v>7</v>
      </c>
      <c r="DV136" s="1179">
        <v>7</v>
      </c>
      <c r="DW136" s="1179">
        <v>0</v>
      </c>
      <c r="DX136" s="1180">
        <v>32</v>
      </c>
      <c r="DY136" s="1179">
        <v>16</v>
      </c>
      <c r="DZ136" s="1179">
        <v>16</v>
      </c>
      <c r="EA136" s="1179">
        <v>0</v>
      </c>
    </row>
    <row r="137" spans="19:131" ht="15.6" customHeight="1">
      <c r="BT137" s="2183"/>
      <c r="BU137" s="2183"/>
      <c r="BV137" s="2183"/>
      <c r="BW137" s="2183"/>
      <c r="BX137" s="2183"/>
      <c r="CB137" s="386" t="s">
        <v>6148</v>
      </c>
      <c r="CC137" s="386"/>
      <c r="CD137" s="386"/>
      <c r="CE137" s="679"/>
      <c r="CF137" s="679"/>
      <c r="CG137" s="679"/>
      <c r="CH137" s="679"/>
      <c r="DS137" s="382" t="s">
        <v>6149</v>
      </c>
      <c r="DT137" s="1179">
        <v>15</v>
      </c>
      <c r="DU137" s="1179">
        <v>10</v>
      </c>
      <c r="DV137" s="1179">
        <v>5</v>
      </c>
      <c r="DW137" s="1179">
        <v>0</v>
      </c>
      <c r="DX137" s="1180">
        <v>28</v>
      </c>
      <c r="DY137" s="1179">
        <v>19</v>
      </c>
      <c r="DZ137" s="1179">
        <v>9</v>
      </c>
      <c r="EA137" s="1179">
        <v>0</v>
      </c>
    </row>
    <row r="138" spans="19:131" ht="15.6" customHeight="1">
      <c r="BT138" s="2183"/>
      <c r="BU138" s="2183"/>
      <c r="BV138" s="2183"/>
      <c r="BW138" s="2183"/>
      <c r="BX138" s="2183"/>
      <c r="CB138" s="937" t="s">
        <v>5040</v>
      </c>
      <c r="CC138" s="905">
        <v>2024</v>
      </c>
      <c r="CD138" s="905">
        <v>2023</v>
      </c>
      <c r="CE138" s="905">
        <v>2022</v>
      </c>
      <c r="CF138" s="905">
        <v>2021</v>
      </c>
      <c r="CG138" s="906">
        <v>2020</v>
      </c>
      <c r="DS138" s="382" t="s">
        <v>6150</v>
      </c>
      <c r="DT138" s="1179">
        <v>48</v>
      </c>
      <c r="DU138" s="1179">
        <v>30</v>
      </c>
      <c r="DV138" s="1179">
        <v>18</v>
      </c>
      <c r="DW138" s="1179">
        <v>0</v>
      </c>
      <c r="DX138" s="1180">
        <v>52</v>
      </c>
      <c r="DY138" s="1179">
        <v>28</v>
      </c>
      <c r="DZ138" s="1179">
        <v>24</v>
      </c>
      <c r="EA138" s="1179">
        <v>0</v>
      </c>
    </row>
    <row r="139" spans="19:131" ht="15.6" customHeight="1">
      <c r="BT139" s="2183"/>
      <c r="BU139" s="2183"/>
      <c r="BV139" s="2183"/>
      <c r="BW139" s="2183"/>
      <c r="BX139" s="2183"/>
      <c r="CB139" s="1211" t="s">
        <v>6145</v>
      </c>
      <c r="CC139" s="1179"/>
      <c r="CD139" s="1180"/>
      <c r="CE139" s="1180"/>
      <c r="CF139" s="1180"/>
      <c r="CG139" s="1180"/>
      <c r="CH139" s="1180"/>
      <c r="DS139" s="382" t="s">
        <v>6151</v>
      </c>
      <c r="DT139" s="1179">
        <v>34</v>
      </c>
      <c r="DU139" s="1179">
        <v>19</v>
      </c>
      <c r="DV139" s="1179">
        <v>15</v>
      </c>
      <c r="DW139" s="1179">
        <v>0</v>
      </c>
      <c r="DX139" s="1180">
        <v>73</v>
      </c>
      <c r="DY139" s="1179">
        <v>29</v>
      </c>
      <c r="DZ139" s="1179">
        <v>43</v>
      </c>
      <c r="EA139" s="1179">
        <v>1</v>
      </c>
    </row>
    <row r="140" spans="19:131" ht="15.6" customHeight="1">
      <c r="BT140" s="2183"/>
      <c r="BU140" s="2183"/>
      <c r="BV140" s="2183"/>
      <c r="BW140" s="2183"/>
      <c r="BX140" s="2183"/>
      <c r="CB140" s="1280" t="s">
        <v>6146</v>
      </c>
      <c r="CC140" s="1179">
        <v>7</v>
      </c>
      <c r="CD140" s="1180">
        <v>5</v>
      </c>
      <c r="CE140" s="1180">
        <v>2</v>
      </c>
      <c r="CF140" s="1180">
        <v>18</v>
      </c>
      <c r="CG140" s="1180">
        <v>35</v>
      </c>
      <c r="CH140" s="1180"/>
      <c r="DS140" s="382" t="s">
        <v>6152</v>
      </c>
      <c r="DT140" s="1179">
        <v>21</v>
      </c>
      <c r="DU140" s="1179">
        <v>12</v>
      </c>
      <c r="DV140" s="1179">
        <v>9</v>
      </c>
      <c r="DW140" s="1179">
        <v>0</v>
      </c>
      <c r="DX140" s="1180">
        <v>0</v>
      </c>
      <c r="DY140" s="1179">
        <v>0</v>
      </c>
      <c r="DZ140" s="1179">
        <v>0</v>
      </c>
      <c r="EA140" s="1179">
        <v>0</v>
      </c>
    </row>
    <row r="141" spans="19:131" ht="15.6" customHeight="1">
      <c r="BT141" s="2183"/>
      <c r="BU141" s="2183"/>
      <c r="BV141" s="2183"/>
      <c r="BW141" s="2183"/>
      <c r="BX141" s="2183"/>
      <c r="CB141" s="1211" t="s">
        <v>6147</v>
      </c>
      <c r="CC141" s="1179">
        <v>2</v>
      </c>
      <c r="CD141" s="1180">
        <v>1</v>
      </c>
      <c r="CE141" s="1180">
        <v>0</v>
      </c>
      <c r="CF141" s="1180">
        <v>0</v>
      </c>
      <c r="CG141" s="1180">
        <v>0</v>
      </c>
      <c r="CH141" s="1180"/>
      <c r="DS141" s="382" t="s">
        <v>6153</v>
      </c>
      <c r="DT141" s="1179">
        <v>8</v>
      </c>
      <c r="DU141" s="1179">
        <v>2</v>
      </c>
      <c r="DV141" s="1179">
        <v>6</v>
      </c>
      <c r="DW141" s="1179">
        <v>0</v>
      </c>
      <c r="DX141" s="1180">
        <v>15</v>
      </c>
      <c r="DY141" s="1179">
        <v>5</v>
      </c>
      <c r="DZ141" s="1179">
        <v>10</v>
      </c>
      <c r="EA141" s="1179">
        <v>0</v>
      </c>
    </row>
    <row r="142" spans="19:131" ht="15.6" customHeight="1">
      <c r="BT142" s="2183"/>
      <c r="BU142" s="2183"/>
      <c r="BV142" s="2183"/>
      <c r="BW142" s="2183"/>
      <c r="BX142" s="2183"/>
      <c r="CB142" s="1280" t="s">
        <v>5215</v>
      </c>
      <c r="CC142" s="1179">
        <v>14</v>
      </c>
      <c r="CD142" s="1180">
        <v>32</v>
      </c>
      <c r="CE142" s="1180">
        <v>12</v>
      </c>
      <c r="CF142" s="1180">
        <v>10</v>
      </c>
      <c r="CG142" s="1180">
        <v>10</v>
      </c>
      <c r="CH142" s="1180"/>
      <c r="DS142" s="382" t="s">
        <v>6154</v>
      </c>
      <c r="DT142" s="1179">
        <v>25</v>
      </c>
      <c r="DU142" s="1179">
        <v>23</v>
      </c>
      <c r="DV142" s="1179">
        <v>2</v>
      </c>
      <c r="DW142" s="1179">
        <v>0</v>
      </c>
      <c r="DX142" s="1180">
        <v>22</v>
      </c>
      <c r="DY142" s="1179">
        <v>19</v>
      </c>
      <c r="DZ142" s="1179">
        <v>3</v>
      </c>
      <c r="EA142" s="1179">
        <v>0</v>
      </c>
    </row>
    <row r="143" spans="19:131" ht="15.6" customHeight="1">
      <c r="BT143" s="2183"/>
      <c r="BU143" s="2183"/>
      <c r="BV143" s="2183"/>
      <c r="BW143" s="2183"/>
      <c r="BX143" s="2183"/>
      <c r="CB143" s="1211" t="s">
        <v>6149</v>
      </c>
      <c r="CC143" s="1179">
        <v>15</v>
      </c>
      <c r="CD143" s="1180">
        <v>28</v>
      </c>
      <c r="CE143" s="1180">
        <v>9</v>
      </c>
      <c r="CF143" s="1180">
        <v>0</v>
      </c>
      <c r="CG143" s="1180">
        <v>0</v>
      </c>
      <c r="CH143" s="1180"/>
      <c r="DS143" s="382" t="s">
        <v>6155</v>
      </c>
      <c r="DT143" s="1179">
        <v>135</v>
      </c>
      <c r="DU143" s="1179">
        <v>77</v>
      </c>
      <c r="DV143" s="1179">
        <v>58</v>
      </c>
      <c r="DW143" s="1179">
        <v>0</v>
      </c>
      <c r="DX143" s="1180">
        <v>139</v>
      </c>
      <c r="DY143" s="1179">
        <v>78</v>
      </c>
      <c r="DZ143" s="1179">
        <v>61</v>
      </c>
      <c r="EA143" s="1179">
        <v>0</v>
      </c>
    </row>
    <row r="144" spans="19:131" ht="15.6" customHeight="1">
      <c r="BT144" s="2183"/>
      <c r="BU144" s="2183"/>
      <c r="BV144" s="2183"/>
      <c r="BW144" s="2183"/>
      <c r="BX144" s="2183"/>
      <c r="CB144" s="1280" t="s">
        <v>6150</v>
      </c>
      <c r="CC144" s="1179">
        <v>48</v>
      </c>
      <c r="CD144" s="1180">
        <v>52</v>
      </c>
      <c r="CE144" s="1180">
        <v>40</v>
      </c>
      <c r="CF144" s="1180">
        <v>32</v>
      </c>
      <c r="CG144" s="1180">
        <v>33</v>
      </c>
      <c r="CH144" s="1180"/>
      <c r="DS144" s="382" t="s">
        <v>6156</v>
      </c>
      <c r="DT144" s="1179">
        <v>3</v>
      </c>
      <c r="DU144" s="1179">
        <v>2</v>
      </c>
      <c r="DV144" s="1179">
        <v>1</v>
      </c>
      <c r="DW144" s="1179">
        <v>0</v>
      </c>
      <c r="DX144" s="1180">
        <v>2</v>
      </c>
      <c r="DY144" s="1179">
        <v>1</v>
      </c>
      <c r="DZ144" s="1179">
        <v>1</v>
      </c>
      <c r="EA144" s="1179">
        <v>0</v>
      </c>
    </row>
    <row r="145" spans="72:131" ht="15.6" customHeight="1">
      <c r="BT145" s="2183"/>
      <c r="BU145" s="2183"/>
      <c r="BV145" s="2183"/>
      <c r="BW145" s="2183"/>
      <c r="BX145" s="2183"/>
      <c r="CB145" s="1211" t="s">
        <v>6151</v>
      </c>
      <c r="CC145" s="1179">
        <v>34</v>
      </c>
      <c r="CD145" s="1180">
        <v>73</v>
      </c>
      <c r="CE145" s="1180">
        <v>67</v>
      </c>
      <c r="CF145" s="1180">
        <v>1</v>
      </c>
      <c r="CG145" s="1180">
        <v>0</v>
      </c>
      <c r="CH145" s="1180"/>
      <c r="DS145" s="381" t="s">
        <v>6157</v>
      </c>
      <c r="DT145" s="1354">
        <v>12</v>
      </c>
      <c r="DU145" s="1354">
        <v>3</v>
      </c>
      <c r="DV145" s="1354">
        <v>9</v>
      </c>
      <c r="DW145" s="1354">
        <v>0</v>
      </c>
      <c r="DX145" s="1355">
        <v>9</v>
      </c>
      <c r="DY145" s="1354">
        <v>2</v>
      </c>
      <c r="DZ145" s="1354">
        <v>7</v>
      </c>
      <c r="EA145" s="1354">
        <v>0</v>
      </c>
    </row>
    <row r="146" spans="72:131" ht="15.6" customHeight="1">
      <c r="BT146" s="2183"/>
      <c r="BU146" s="2183"/>
      <c r="BV146" s="2183"/>
      <c r="BW146" s="2183"/>
      <c r="BX146" s="2183"/>
      <c r="CB146" s="1280" t="s">
        <v>6152</v>
      </c>
      <c r="CC146" s="1179">
        <v>21</v>
      </c>
      <c r="CD146" s="1180">
        <v>0</v>
      </c>
      <c r="CE146" s="1180">
        <v>0</v>
      </c>
      <c r="CF146" s="1180">
        <v>0</v>
      </c>
      <c r="CG146" s="1180">
        <v>0</v>
      </c>
      <c r="CH146" s="1180"/>
      <c r="DS146" s="1361" t="s">
        <v>6073</v>
      </c>
      <c r="DT146" s="409"/>
    </row>
    <row r="147" spans="72:131" ht="15.6" customHeight="1">
      <c r="BT147" s="2183"/>
      <c r="BU147" s="2183"/>
      <c r="BV147" s="2183"/>
      <c r="BW147" s="2183"/>
      <c r="BX147" s="2183"/>
      <c r="CB147" s="1211" t="s">
        <v>6153</v>
      </c>
      <c r="CC147" s="1179">
        <v>8</v>
      </c>
      <c r="CD147" s="1180">
        <v>15</v>
      </c>
      <c r="CE147" s="1180">
        <v>8</v>
      </c>
      <c r="CF147" s="1180">
        <v>1</v>
      </c>
      <c r="CG147" s="1180">
        <v>3</v>
      </c>
      <c r="CH147" s="1180"/>
      <c r="DS147" s="1133" t="s">
        <v>6077</v>
      </c>
      <c r="DT147" s="515"/>
      <c r="DU147" s="394"/>
      <c r="DV147" s="394"/>
      <c r="DW147" s="394"/>
    </row>
    <row r="148" spans="72:131" ht="15.6" customHeight="1">
      <c r="BT148" s="2183"/>
      <c r="BU148" s="2183"/>
      <c r="BV148" s="2183"/>
      <c r="BW148" s="2183"/>
      <c r="BX148" s="2183"/>
      <c r="CB148" s="1280" t="s">
        <v>6154</v>
      </c>
      <c r="CC148" s="1179">
        <v>25</v>
      </c>
      <c r="CD148" s="1180">
        <v>22</v>
      </c>
      <c r="CE148" s="1180">
        <v>24</v>
      </c>
      <c r="CF148" s="1180">
        <v>27</v>
      </c>
      <c r="CG148" s="1180">
        <v>13</v>
      </c>
      <c r="CH148" s="1180"/>
      <c r="DS148" s="1363" t="s">
        <v>6082</v>
      </c>
    </row>
    <row r="149" spans="72:131" ht="15.6" customHeight="1">
      <c r="BT149" s="2183"/>
      <c r="BU149" s="2183"/>
      <c r="BV149" s="2183"/>
      <c r="BW149" s="2183"/>
      <c r="BX149" s="2183"/>
      <c r="CB149" s="1211" t="s">
        <v>6155</v>
      </c>
      <c r="CC149" s="1179">
        <v>135</v>
      </c>
      <c r="CD149" s="1180">
        <v>139</v>
      </c>
      <c r="CE149" s="1180">
        <v>138</v>
      </c>
      <c r="CF149" s="1180">
        <v>56</v>
      </c>
      <c r="CG149" s="1180">
        <v>2</v>
      </c>
      <c r="CH149" s="1180"/>
      <c r="DS149" s="1363" t="s">
        <v>6084</v>
      </c>
      <c r="DT149" s="679"/>
    </row>
    <row r="150" spans="72:131" ht="15.6" customHeight="1">
      <c r="BT150" s="2183"/>
      <c r="BU150" s="2183"/>
      <c r="BV150" s="2183"/>
      <c r="BW150" s="2183"/>
      <c r="BX150" s="2183"/>
      <c r="CB150" s="1280" t="s">
        <v>6156</v>
      </c>
      <c r="CC150" s="1179">
        <v>3</v>
      </c>
      <c r="CD150" s="1180">
        <v>2</v>
      </c>
      <c r="CE150" s="1180">
        <v>0</v>
      </c>
      <c r="CF150" s="1180">
        <v>0</v>
      </c>
      <c r="CG150" s="1180">
        <v>0</v>
      </c>
      <c r="CH150" s="1180"/>
      <c r="DS150" s="1363" t="s">
        <v>6085</v>
      </c>
    </row>
    <row r="151" spans="72:131" ht="15.6" customHeight="1">
      <c r="BT151" s="2183"/>
      <c r="BU151" s="2183"/>
      <c r="BV151" s="2183"/>
      <c r="BW151" s="2183"/>
      <c r="BX151" s="2183"/>
      <c r="CB151" s="1211" t="s">
        <v>6157</v>
      </c>
      <c r="CC151" s="1179">
        <v>12</v>
      </c>
      <c r="CD151" s="1180">
        <v>9</v>
      </c>
      <c r="CE151" s="1180">
        <v>0</v>
      </c>
      <c r="CF151" s="1180">
        <v>0</v>
      </c>
      <c r="CG151" s="1180">
        <v>0</v>
      </c>
      <c r="CH151" s="1180"/>
      <c r="DS151" s="1363" t="s">
        <v>6088</v>
      </c>
    </row>
    <row r="152" spans="72:131" ht="15.6" customHeight="1">
      <c r="BT152" s="2183"/>
      <c r="BU152" s="2183"/>
      <c r="BV152" s="2183"/>
      <c r="BW152" s="2183"/>
      <c r="BX152" s="2183"/>
      <c r="CB152" s="1211"/>
      <c r="CC152" s="1376"/>
      <c r="CD152" s="1376"/>
      <c r="CE152" s="1376"/>
      <c r="CF152" s="1376"/>
      <c r="CG152" s="1376"/>
      <c r="CH152" s="1376"/>
      <c r="DS152" s="1363" t="s">
        <v>6090</v>
      </c>
    </row>
    <row r="153" spans="72:131" ht="15.6" customHeight="1">
      <c r="BT153" s="2183"/>
      <c r="BU153" s="2183"/>
      <c r="BV153" s="2183"/>
      <c r="BW153" s="2183"/>
      <c r="BX153" s="2183"/>
      <c r="CB153" s="1211" t="s">
        <v>6158</v>
      </c>
      <c r="CC153" s="1376"/>
      <c r="CD153" s="1376"/>
      <c r="CE153" s="1376"/>
      <c r="CF153" s="1376"/>
      <c r="CG153" s="1376"/>
      <c r="CH153" s="1376"/>
      <c r="DS153" s="1363" t="s">
        <v>6092</v>
      </c>
      <c r="DT153" s="385"/>
      <c r="DU153" s="385"/>
      <c r="DV153" s="385"/>
      <c r="DW153" s="385"/>
      <c r="DX153" s="385"/>
      <c r="DY153" s="385"/>
      <c r="DZ153" s="385"/>
      <c r="EA153" s="385"/>
    </row>
    <row r="154" spans="72:131" ht="15.6" customHeight="1">
      <c r="BT154" s="2183"/>
      <c r="BU154" s="2183"/>
      <c r="BV154" s="2183"/>
      <c r="BW154" s="2183"/>
      <c r="BX154" s="2183"/>
      <c r="CB154" s="1280" t="s">
        <v>6159</v>
      </c>
      <c r="CC154" s="1179">
        <v>261</v>
      </c>
      <c r="CD154" s="1377" t="s">
        <v>1627</v>
      </c>
      <c r="CE154" s="1377" t="s">
        <v>1627</v>
      </c>
      <c r="CF154" s="1377" t="s">
        <v>1627</v>
      </c>
      <c r="CG154" s="1377" t="s">
        <v>1627</v>
      </c>
      <c r="CH154" s="1377"/>
      <c r="DS154" s="1133"/>
      <c r="DT154" s="1179"/>
      <c r="DU154" s="1179"/>
      <c r="DV154" s="1179"/>
      <c r="DW154" s="1179"/>
      <c r="DX154" s="1179"/>
      <c r="DY154" s="1179"/>
      <c r="DZ154" s="1179"/>
      <c r="EA154" s="1179"/>
    </row>
    <row r="155" spans="72:131" ht="15.6" customHeight="1">
      <c r="BT155" s="2183"/>
      <c r="BU155" s="2183"/>
      <c r="BV155" s="2183"/>
      <c r="BW155" s="2183"/>
      <c r="BX155" s="2183"/>
      <c r="CB155" s="1280" t="s">
        <v>6160</v>
      </c>
      <c r="CC155" s="1179">
        <v>1640</v>
      </c>
      <c r="CD155" s="1377" t="s">
        <v>1627</v>
      </c>
      <c r="CE155" s="1377" t="s">
        <v>1627</v>
      </c>
      <c r="CF155" s="1377" t="s">
        <v>1627</v>
      </c>
      <c r="CG155" s="1377" t="s">
        <v>1627</v>
      </c>
      <c r="CH155" s="1377"/>
      <c r="CI155" s="1377"/>
      <c r="DS155" s="1133"/>
      <c r="DT155" s="1179"/>
      <c r="DU155" s="1179"/>
      <c r="DV155" s="1179"/>
      <c r="DW155" s="1179"/>
      <c r="DX155" s="1179"/>
      <c r="DY155" s="1179"/>
      <c r="DZ155" s="1179"/>
      <c r="EA155" s="1179"/>
    </row>
    <row r="156" spans="72:131" ht="15.6" customHeight="1">
      <c r="BT156" s="2183"/>
      <c r="BU156" s="2183"/>
      <c r="BV156" s="2183"/>
      <c r="BW156" s="2183"/>
      <c r="BX156" s="2183"/>
      <c r="CB156" s="1280" t="s">
        <v>6161</v>
      </c>
      <c r="CC156" s="1179">
        <v>1196</v>
      </c>
      <c r="CD156" s="1377" t="s">
        <v>1627</v>
      </c>
      <c r="CE156" s="1377" t="s">
        <v>1627</v>
      </c>
      <c r="CF156" s="1377" t="s">
        <v>1627</v>
      </c>
      <c r="CG156" s="1377" t="s">
        <v>1627</v>
      </c>
      <c r="CH156" s="1377"/>
      <c r="DT156" s="409"/>
    </row>
    <row r="157" spans="72:131" ht="15.6" customHeight="1">
      <c r="BT157" s="2183"/>
      <c r="BU157" s="2183"/>
      <c r="BV157" s="2183"/>
      <c r="BW157" s="2183"/>
      <c r="BX157" s="2183"/>
      <c r="CB157" s="1280" t="s">
        <v>6162</v>
      </c>
      <c r="CC157" s="1179">
        <v>1294</v>
      </c>
      <c r="CD157" s="1377" t="s">
        <v>1627</v>
      </c>
      <c r="CE157" s="1377" t="s">
        <v>1627</v>
      </c>
      <c r="CF157" s="1377" t="s">
        <v>1627</v>
      </c>
      <c r="CG157" s="1377" t="s">
        <v>1627</v>
      </c>
      <c r="CH157" s="1377"/>
      <c r="DT157" s="515"/>
      <c r="DU157" s="394"/>
      <c r="DV157" s="394"/>
      <c r="DW157" s="394"/>
    </row>
    <row r="158" spans="72:131" ht="15.6" customHeight="1">
      <c r="BT158" s="2183"/>
      <c r="BU158" s="2183"/>
      <c r="BV158" s="2183"/>
      <c r="BW158" s="2183"/>
      <c r="BX158" s="2183"/>
      <c r="CB158" s="1280" t="s">
        <v>6163</v>
      </c>
      <c r="CC158" s="1179">
        <v>1950</v>
      </c>
      <c r="CD158" s="1377" t="s">
        <v>1627</v>
      </c>
      <c r="CE158" s="1377" t="s">
        <v>1627</v>
      </c>
      <c r="CF158" s="1377" t="s">
        <v>1627</v>
      </c>
      <c r="CG158" s="1377" t="s">
        <v>1627</v>
      </c>
      <c r="CH158" s="1377"/>
      <c r="DS158" s="382"/>
    </row>
    <row r="159" spans="72:131" ht="15.6" customHeight="1">
      <c r="BT159" s="2183"/>
      <c r="BU159" s="2183"/>
      <c r="BV159" s="2183"/>
      <c r="BW159" s="2183"/>
      <c r="BX159" s="2183"/>
      <c r="CB159" s="1280" t="s">
        <v>6164</v>
      </c>
      <c r="CC159" s="1179">
        <v>62</v>
      </c>
      <c r="CD159" s="1377" t="s">
        <v>1627</v>
      </c>
      <c r="CE159" s="1377" t="s">
        <v>1627</v>
      </c>
      <c r="CF159" s="1377" t="s">
        <v>1627</v>
      </c>
      <c r="CG159" s="1377" t="s">
        <v>1627</v>
      </c>
      <c r="CH159" s="1377"/>
      <c r="DS159" s="1211"/>
      <c r="DT159" s="679"/>
    </row>
    <row r="160" spans="72:131" ht="15.6" customHeight="1">
      <c r="BT160" s="2183"/>
      <c r="BU160" s="2183"/>
      <c r="BV160" s="2183"/>
      <c r="BW160" s="2183"/>
      <c r="BX160" s="2183"/>
      <c r="CB160" s="1280" t="s">
        <v>6165</v>
      </c>
      <c r="CC160" s="1179">
        <v>209</v>
      </c>
      <c r="CD160" s="1377" t="s">
        <v>1627</v>
      </c>
      <c r="CE160" s="1377" t="s">
        <v>1627</v>
      </c>
      <c r="CF160" s="1377" t="s">
        <v>1627</v>
      </c>
      <c r="CG160" s="1377" t="s">
        <v>1627</v>
      </c>
      <c r="CH160" s="1377"/>
      <c r="DS160" s="1211"/>
    </row>
    <row r="161" spans="72:131" ht="15.6" customHeight="1">
      <c r="BT161" s="2183"/>
      <c r="BU161" s="2183"/>
      <c r="BV161" s="2183"/>
      <c r="BW161" s="2183"/>
      <c r="BX161" s="2183"/>
      <c r="CB161" s="1280" t="s">
        <v>6166</v>
      </c>
      <c r="CC161" s="1179">
        <v>672</v>
      </c>
      <c r="CD161" s="1377" t="s">
        <v>1627</v>
      </c>
      <c r="CE161" s="1377" t="s">
        <v>1627</v>
      </c>
      <c r="CF161" s="1377" t="s">
        <v>1627</v>
      </c>
      <c r="CG161" s="1377" t="s">
        <v>1627</v>
      </c>
      <c r="CH161" s="1377"/>
      <c r="DS161" s="1211"/>
    </row>
    <row r="162" spans="72:131" ht="15.6" customHeight="1">
      <c r="BT162" s="2183"/>
      <c r="BU162" s="2183"/>
      <c r="BV162" s="2183"/>
      <c r="BW162" s="2183"/>
      <c r="BX162" s="2183"/>
      <c r="CB162" s="1280" t="s">
        <v>6167</v>
      </c>
      <c r="CC162" s="1179">
        <v>62</v>
      </c>
      <c r="CD162" s="1377" t="s">
        <v>1627</v>
      </c>
      <c r="CE162" s="1377" t="s">
        <v>1627</v>
      </c>
      <c r="CF162" s="1377" t="s">
        <v>1627</v>
      </c>
      <c r="CG162" s="1377" t="s">
        <v>1627</v>
      </c>
      <c r="CH162" s="1377"/>
      <c r="DS162" s="1211"/>
    </row>
    <row r="163" spans="72:131" ht="15.6" customHeight="1">
      <c r="BT163" s="2183"/>
      <c r="BU163" s="2183"/>
      <c r="BV163" s="2183"/>
      <c r="BW163" s="2183"/>
      <c r="BX163" s="2183"/>
      <c r="CB163" s="1280" t="s">
        <v>6168</v>
      </c>
      <c r="CC163" s="1179">
        <v>0</v>
      </c>
      <c r="CD163" s="1377" t="s">
        <v>1627</v>
      </c>
      <c r="CE163" s="1377" t="s">
        <v>1627</v>
      </c>
      <c r="CF163" s="1377" t="s">
        <v>1627</v>
      </c>
      <c r="CG163" s="1377" t="s">
        <v>1627</v>
      </c>
      <c r="CH163" s="1377"/>
      <c r="DT163" s="385"/>
      <c r="DU163" s="385"/>
      <c r="DV163" s="385"/>
      <c r="DW163" s="385"/>
      <c r="DX163" s="385"/>
      <c r="DY163" s="385"/>
      <c r="DZ163" s="385"/>
      <c r="EA163" s="385"/>
    </row>
    <row r="164" spans="72:131" ht="15.6" customHeight="1">
      <c r="BT164" s="2183"/>
      <c r="BU164" s="2183"/>
      <c r="BV164" s="2183"/>
      <c r="BW164" s="2183"/>
      <c r="BX164" s="2183"/>
      <c r="CB164" s="1378" t="s">
        <v>6169</v>
      </c>
      <c r="CC164" s="1354">
        <v>21</v>
      </c>
      <c r="CD164" s="1379" t="s">
        <v>1627</v>
      </c>
      <c r="CE164" s="1379" t="s">
        <v>1627</v>
      </c>
      <c r="CF164" s="1379" t="s">
        <v>1627</v>
      </c>
      <c r="CG164" s="1379" t="s">
        <v>1627</v>
      </c>
      <c r="CH164" s="1377"/>
    </row>
    <row r="165" spans="72:131" ht="15.6" customHeight="1">
      <c r="BT165" s="2183"/>
      <c r="BU165" s="2183"/>
      <c r="BV165" s="2183"/>
      <c r="BW165" s="2183"/>
      <c r="BX165" s="2183"/>
      <c r="CB165" s="1361" t="s">
        <v>6066</v>
      </c>
      <c r="CC165" s="1362"/>
      <c r="CD165" s="1362"/>
      <c r="CE165" s="1362"/>
      <c r="CF165" s="1362"/>
      <c r="CG165" s="1362"/>
      <c r="CH165" s="1362"/>
    </row>
    <row r="166" spans="72:131" ht="15.6" customHeight="1">
      <c r="BT166" s="2183"/>
      <c r="BU166" s="2183"/>
      <c r="BV166" s="2183"/>
      <c r="BW166" s="2183"/>
      <c r="BX166" s="2183"/>
      <c r="CB166" s="1363" t="s">
        <v>6072</v>
      </c>
      <c r="CC166" s="1362"/>
      <c r="CD166" s="1362"/>
      <c r="CE166" s="1362"/>
      <c r="CF166" s="1362"/>
      <c r="CG166" s="1362"/>
      <c r="CH166" s="1362"/>
    </row>
    <row r="167" spans="72:131" ht="15.6" customHeight="1">
      <c r="BT167" s="2183"/>
      <c r="BU167" s="2183"/>
      <c r="BV167" s="2183"/>
      <c r="BW167" s="2183"/>
      <c r="BX167" s="2183"/>
      <c r="CB167" s="1133" t="s">
        <v>6077</v>
      </c>
      <c r="CC167" s="1362"/>
      <c r="CD167" s="1362"/>
      <c r="CE167" s="1362"/>
      <c r="CF167" s="1362"/>
      <c r="CG167" s="1362"/>
      <c r="CH167" s="1362"/>
    </row>
    <row r="168" spans="72:131" ht="15.6" customHeight="1">
      <c r="BT168" s="2183"/>
      <c r="BU168" s="2183"/>
      <c r="BV168" s="2183"/>
      <c r="BW168" s="2183"/>
      <c r="BX168" s="2183"/>
      <c r="CB168" s="1363" t="s">
        <v>6081</v>
      </c>
      <c r="CC168" s="1362"/>
      <c r="CD168" s="1362"/>
      <c r="CE168" s="1362"/>
      <c r="CF168" s="1362"/>
      <c r="CG168" s="1362"/>
      <c r="CH168" s="1362"/>
    </row>
    <row r="169" spans="72:131" ht="15.6" customHeight="1">
      <c r="BT169" s="2183"/>
      <c r="BU169" s="2183"/>
      <c r="BV169" s="2183"/>
      <c r="BW169" s="2183"/>
      <c r="BX169" s="2183"/>
      <c r="CB169" s="1363" t="s">
        <v>6083</v>
      </c>
      <c r="CC169" s="1362"/>
      <c r="CD169" s="1362"/>
      <c r="CE169" s="1362"/>
      <c r="CF169" s="1362"/>
      <c r="CG169" s="1362"/>
      <c r="CH169" s="1362"/>
    </row>
    <row r="170" spans="72:131" ht="15.6" customHeight="1">
      <c r="BT170" s="2183"/>
      <c r="BU170" s="2183"/>
      <c r="BV170" s="2183"/>
      <c r="BW170" s="2183"/>
      <c r="BX170" s="2183"/>
      <c r="CB170" s="1363" t="s">
        <v>6084</v>
      </c>
      <c r="CC170" s="1362"/>
      <c r="CD170" s="1362"/>
      <c r="CE170" s="1362"/>
      <c r="CF170" s="1362"/>
      <c r="CG170" s="1362"/>
      <c r="CH170" s="1362"/>
    </row>
    <row r="171" spans="72:131" ht="15.6" customHeight="1">
      <c r="BT171" s="2183"/>
      <c r="BU171" s="2183"/>
      <c r="BV171" s="2183"/>
      <c r="BW171" s="2183"/>
      <c r="BX171" s="2183"/>
      <c r="CB171" s="1363" t="s">
        <v>6087</v>
      </c>
      <c r="CC171" s="1362"/>
      <c r="CD171" s="1362"/>
      <c r="CE171" s="1362"/>
      <c r="CF171" s="1362"/>
      <c r="CG171" s="1362"/>
      <c r="CH171" s="1362"/>
      <c r="DT171" s="409"/>
      <c r="DU171" s="409"/>
      <c r="DV171" s="409"/>
    </row>
    <row r="172" spans="72:131" ht="15.6" customHeight="1">
      <c r="BT172" s="2183"/>
      <c r="BU172" s="2183"/>
      <c r="BV172" s="2183"/>
      <c r="BW172" s="2183"/>
      <c r="BX172" s="2183"/>
      <c r="CB172" s="1363" t="s">
        <v>6089</v>
      </c>
      <c r="CC172" s="1362"/>
      <c r="CD172" s="1362"/>
      <c r="CE172" s="1362"/>
      <c r="CF172" s="1362"/>
      <c r="CG172" s="1362"/>
      <c r="CH172" s="1362"/>
    </row>
    <row r="173" spans="72:131" ht="15.6" customHeight="1">
      <c r="BT173" s="2183"/>
      <c r="BU173" s="2183"/>
      <c r="BV173" s="2183"/>
      <c r="BW173" s="2183"/>
      <c r="BX173" s="2183"/>
      <c r="CB173" s="1363" t="s">
        <v>6091</v>
      </c>
      <c r="CC173" s="1362"/>
      <c r="CD173" s="1362"/>
      <c r="CE173" s="1362"/>
      <c r="CF173" s="1362"/>
      <c r="CG173" s="1362"/>
      <c r="CH173" s="1362"/>
    </row>
    <row r="174" spans="72:131" ht="15.6" customHeight="1">
      <c r="BT174" s="2183"/>
      <c r="BU174" s="2183"/>
      <c r="BV174" s="2183"/>
      <c r="BW174" s="2183"/>
      <c r="BX174" s="2183"/>
      <c r="CB174" s="1363" t="s">
        <v>6093</v>
      </c>
      <c r="CC174" s="1362"/>
      <c r="CD174" s="1362"/>
      <c r="CE174" s="1362"/>
      <c r="CF174" s="1362"/>
      <c r="CG174" s="1362"/>
      <c r="CH174" s="1362"/>
    </row>
    <row r="175" spans="72:131" ht="15.6" customHeight="1">
      <c r="BT175" s="2183"/>
      <c r="BU175" s="2183"/>
      <c r="BV175" s="2183"/>
      <c r="BW175" s="2183"/>
      <c r="BX175" s="2183"/>
      <c r="CB175" s="1363" t="s">
        <v>6094</v>
      </c>
      <c r="CC175" s="1362"/>
      <c r="CD175" s="1362"/>
      <c r="CE175" s="1362"/>
      <c r="CF175" s="1362"/>
      <c r="CG175" s="1362"/>
      <c r="CH175" s="1362"/>
    </row>
    <row r="176" spans="72:131" ht="15.6" customHeight="1">
      <c r="BT176" s="2183"/>
      <c r="BU176" s="2183"/>
      <c r="BV176" s="2183"/>
      <c r="BW176" s="2183"/>
      <c r="BX176" s="2183"/>
      <c r="CB176" s="1363" t="s">
        <v>6095</v>
      </c>
      <c r="CC176" s="1362"/>
      <c r="CD176" s="1362"/>
      <c r="CE176" s="1362"/>
      <c r="CF176" s="1362"/>
      <c r="CG176" s="1362"/>
      <c r="CH176" s="1362"/>
    </row>
    <row r="177" spans="72:86" ht="15.6" customHeight="1">
      <c r="BT177" s="2183"/>
      <c r="BU177" s="2183"/>
      <c r="BV177" s="2183"/>
      <c r="BW177" s="2183"/>
      <c r="BX177" s="2183"/>
      <c r="CB177" s="1363" t="s">
        <v>6096</v>
      </c>
      <c r="CC177" s="1362"/>
      <c r="CD177" s="1362"/>
      <c r="CE177" s="1362"/>
      <c r="CF177" s="1362"/>
      <c r="CG177" s="1362"/>
      <c r="CH177" s="1362"/>
    </row>
    <row r="178" spans="72:86" ht="15.6" customHeight="1">
      <c r="BT178" s="2183"/>
      <c r="BU178" s="2183"/>
      <c r="BV178" s="2183"/>
      <c r="BW178" s="2183"/>
      <c r="BX178" s="2183"/>
    </row>
    <row r="179" spans="72:86" ht="15.6" customHeight="1">
      <c r="BT179" s="2183"/>
      <c r="BU179" s="2183"/>
      <c r="BV179" s="2183"/>
      <c r="BW179" s="2183"/>
      <c r="BX179" s="2183"/>
    </row>
    <row r="180" spans="72:86" ht="15.6" customHeight="1">
      <c r="BT180" s="2183"/>
      <c r="BU180" s="2183"/>
      <c r="BV180" s="2183"/>
      <c r="BW180" s="2183"/>
      <c r="BX180" s="2183"/>
    </row>
    <row r="181" spans="72:86" ht="15.6" customHeight="1">
      <c r="BT181" s="2183"/>
      <c r="BU181" s="2183"/>
      <c r="BV181" s="2183"/>
      <c r="BW181" s="2183"/>
      <c r="BX181" s="2183"/>
    </row>
    <row r="182" spans="72:86" ht="15.6" customHeight="1">
      <c r="BT182" s="2183"/>
      <c r="BU182" s="2183"/>
      <c r="BV182" s="2183"/>
      <c r="BW182" s="2183"/>
      <c r="BX182" s="2183"/>
    </row>
    <row r="183" spans="72:86" ht="15.6" customHeight="1">
      <c r="BT183" s="2183"/>
      <c r="BU183" s="2183"/>
      <c r="BV183" s="2183"/>
      <c r="BW183" s="2183"/>
      <c r="BX183" s="2183"/>
    </row>
    <row r="184" spans="72:86" ht="15.6" customHeight="1">
      <c r="BT184" s="2183"/>
      <c r="BU184" s="2183"/>
      <c r="BV184" s="2183"/>
      <c r="BW184" s="2183"/>
      <c r="BX184" s="2183"/>
    </row>
    <row r="185" spans="72:86" ht="15.6" customHeight="1">
      <c r="BT185" s="2183"/>
      <c r="BU185" s="2183"/>
      <c r="BV185" s="2183"/>
      <c r="BW185" s="2183"/>
      <c r="BX185" s="2183"/>
    </row>
    <row r="186" spans="72:86" ht="15.6" customHeight="1">
      <c r="BT186" s="2183"/>
      <c r="BU186" s="2183"/>
      <c r="BV186" s="2183"/>
      <c r="BW186" s="2183"/>
      <c r="BX186" s="2183"/>
    </row>
    <row r="187" spans="72:86" ht="15.6" customHeight="1">
      <c r="BT187" s="2183"/>
      <c r="BU187" s="2183"/>
      <c r="BV187" s="2183"/>
      <c r="BW187" s="2183"/>
      <c r="BX187" s="2183"/>
    </row>
    <row r="188" spans="72:86" ht="15.6" customHeight="1">
      <c r="BT188" s="2183"/>
      <c r="BU188" s="2183"/>
      <c r="BV188" s="2183"/>
      <c r="BW188" s="2183"/>
      <c r="BX188" s="2183"/>
    </row>
    <row r="189" spans="72:86" ht="15.6" customHeight="1">
      <c r="BT189" s="2183"/>
      <c r="BU189" s="2183"/>
      <c r="BV189" s="2183"/>
      <c r="BW189" s="2183"/>
      <c r="BX189" s="2183"/>
    </row>
    <row r="190" spans="72:86" ht="15.6" customHeight="1">
      <c r="BT190" s="2183"/>
      <c r="BU190" s="2183"/>
      <c r="BV190" s="2183"/>
      <c r="BW190" s="2183"/>
      <c r="BX190" s="2183"/>
    </row>
    <row r="191" spans="72:86" ht="15.6" customHeight="1">
      <c r="BT191" s="2183"/>
      <c r="BU191" s="2183"/>
      <c r="BV191" s="2183"/>
      <c r="BW191" s="2183"/>
      <c r="BX191" s="2183"/>
    </row>
    <row r="192" spans="72:86" ht="15.6" customHeight="1">
      <c r="BT192" s="2183"/>
      <c r="BU192" s="2183"/>
      <c r="BV192" s="2183"/>
      <c r="BW192" s="2183"/>
      <c r="BX192" s="2183"/>
    </row>
    <row r="193" spans="72:76" ht="15.6" customHeight="1">
      <c r="BT193" s="2183"/>
      <c r="BU193" s="2183"/>
      <c r="BV193" s="2183"/>
      <c r="BW193" s="2183"/>
      <c r="BX193" s="2183"/>
    </row>
    <row r="194" spans="72:76" ht="15.6" customHeight="1">
      <c r="BT194" s="2183"/>
      <c r="BU194" s="2183"/>
      <c r="BV194" s="2183"/>
      <c r="BW194" s="2183"/>
      <c r="BX194" s="2183"/>
    </row>
    <row r="195" spans="72:76" ht="15.6" customHeight="1">
      <c r="BT195" s="2183"/>
      <c r="BU195" s="2183"/>
      <c r="BV195" s="2183"/>
      <c r="BW195" s="2183"/>
      <c r="BX195" s="2183"/>
    </row>
    <row r="196" spans="72:76" ht="15.6" customHeight="1">
      <c r="BT196" s="2183"/>
      <c r="BU196" s="2183"/>
      <c r="BV196" s="2183"/>
      <c r="BW196" s="2183"/>
      <c r="BX196" s="2183"/>
    </row>
    <row r="197" spans="72:76" ht="15.6" customHeight="1">
      <c r="BT197" s="2183"/>
      <c r="BU197" s="2183"/>
      <c r="BV197" s="2183"/>
      <c r="BW197" s="2183"/>
      <c r="BX197" s="2183"/>
    </row>
    <row r="198" spans="72:76" ht="15.6" customHeight="1">
      <c r="BT198" s="2183"/>
      <c r="BU198" s="2183"/>
      <c r="BV198" s="2183"/>
      <c r="BW198" s="2183"/>
      <c r="BX198" s="2183"/>
    </row>
    <row r="199" spans="72:76" ht="15.6" customHeight="1">
      <c r="BT199" s="2183"/>
      <c r="BU199" s="2183"/>
      <c r="BV199" s="2183"/>
      <c r="BW199" s="2183"/>
      <c r="BX199" s="2183"/>
    </row>
    <row r="200" spans="72:76" ht="15.6" customHeight="1">
      <c r="BT200" s="2183"/>
      <c r="BU200" s="2183"/>
      <c r="BV200" s="2183"/>
      <c r="BW200" s="2183"/>
      <c r="BX200" s="2183"/>
    </row>
    <row r="201" spans="72:76" ht="15.6" customHeight="1">
      <c r="BT201" s="2183"/>
      <c r="BU201" s="2183"/>
      <c r="BV201" s="2183"/>
      <c r="BW201" s="2183"/>
      <c r="BX201" s="2183"/>
    </row>
    <row r="202" spans="72:76" ht="15.6" customHeight="1">
      <c r="BT202" s="2183"/>
      <c r="BU202" s="2183"/>
      <c r="BV202" s="2183"/>
      <c r="BW202" s="2183"/>
      <c r="BX202" s="2183"/>
    </row>
    <row r="203" spans="72:76" ht="15.6" customHeight="1">
      <c r="BT203" s="2183"/>
      <c r="BU203" s="2183"/>
      <c r="BV203" s="2183"/>
      <c r="BW203" s="2183"/>
      <c r="BX203" s="2183"/>
    </row>
    <row r="204" spans="72:76" ht="15.6" customHeight="1">
      <c r="BT204" s="2183"/>
      <c r="BU204" s="2183"/>
      <c r="BV204" s="2183"/>
      <c r="BW204" s="2183"/>
      <c r="BX204" s="2183"/>
    </row>
    <row r="205" spans="72:76" ht="15.6" customHeight="1">
      <c r="BT205" s="2183"/>
      <c r="BU205" s="2183"/>
      <c r="BV205" s="2183"/>
      <c r="BW205" s="2183"/>
      <c r="BX205" s="2183"/>
    </row>
    <row r="206" spans="72:76" ht="15.6" customHeight="1">
      <c r="BT206" s="2183"/>
      <c r="BU206" s="2183"/>
      <c r="BV206" s="2183"/>
      <c r="BW206" s="2183"/>
      <c r="BX206" s="2183"/>
    </row>
    <row r="207" spans="72:76" ht="15.6" customHeight="1">
      <c r="BT207" s="2183"/>
      <c r="BU207" s="2183"/>
      <c r="BV207" s="2183"/>
      <c r="BW207" s="2183"/>
      <c r="BX207" s="2183"/>
    </row>
    <row r="208" spans="72:76" ht="15.6" customHeight="1">
      <c r="BT208" s="2183"/>
      <c r="BU208" s="2183"/>
      <c r="BV208" s="2183"/>
      <c r="BW208" s="2183"/>
      <c r="BX208" s="2183"/>
    </row>
    <row r="209" spans="72:76" ht="15.6" customHeight="1">
      <c r="BT209" s="2183"/>
      <c r="BU209" s="2183"/>
      <c r="BV209" s="2183"/>
      <c r="BW209" s="2183"/>
      <c r="BX209" s="2183"/>
    </row>
    <row r="210" spans="72:76" ht="15.6" customHeight="1">
      <c r="BT210" s="2183"/>
      <c r="BU210" s="2183"/>
      <c r="BV210" s="2183"/>
      <c r="BW210" s="2183"/>
      <c r="BX210" s="2183"/>
    </row>
    <row r="211" spans="72:76" ht="15.6" customHeight="1">
      <c r="BT211" s="2183"/>
      <c r="BU211" s="2183"/>
      <c r="BV211" s="2183"/>
      <c r="BW211" s="2183"/>
      <c r="BX211" s="2183"/>
    </row>
    <row r="212" spans="72:76" ht="15.6" customHeight="1">
      <c r="BT212" s="2183"/>
      <c r="BU212" s="2183"/>
      <c r="BV212" s="2183"/>
      <c r="BW212" s="2183"/>
      <c r="BX212" s="2183"/>
    </row>
    <row r="213" spans="72:76" ht="15.6" customHeight="1">
      <c r="BT213" s="2183"/>
      <c r="BU213" s="2183"/>
      <c r="BV213" s="2183"/>
      <c r="BW213" s="2183"/>
      <c r="BX213" s="2183"/>
    </row>
    <row r="214" spans="72:76" ht="15.6" customHeight="1">
      <c r="BT214" s="2183"/>
      <c r="BU214" s="2183"/>
      <c r="BV214" s="2183"/>
      <c r="BW214" s="2183"/>
      <c r="BX214" s="2183"/>
    </row>
    <row r="215" spans="72:76" ht="15.6" customHeight="1">
      <c r="BT215" s="2183"/>
      <c r="BU215" s="2183"/>
      <c r="BV215" s="2183"/>
      <c r="BW215" s="2183"/>
      <c r="BX215" s="2183"/>
    </row>
    <row r="216" spans="72:76" ht="15.6" customHeight="1">
      <c r="BT216" s="2183"/>
      <c r="BU216" s="2183"/>
      <c r="BV216" s="2183"/>
      <c r="BW216" s="2183"/>
      <c r="BX216" s="2183"/>
    </row>
    <row r="217" spans="72:76" ht="15.6" customHeight="1">
      <c r="BT217" s="2183"/>
      <c r="BU217" s="2183"/>
      <c r="BV217" s="2183"/>
      <c r="BW217" s="2183"/>
      <c r="BX217" s="2183"/>
    </row>
    <row r="218" spans="72:76" ht="15.6" customHeight="1">
      <c r="BT218" s="2183"/>
      <c r="BU218" s="2183"/>
      <c r="BV218" s="2183"/>
      <c r="BW218" s="2183"/>
      <c r="BX218" s="2183"/>
    </row>
    <row r="219" spans="72:76" ht="15.6" customHeight="1">
      <c r="BT219" s="2194"/>
      <c r="BU219" s="2194"/>
      <c r="BV219" s="2194"/>
      <c r="BW219" s="2194"/>
      <c r="BX219" s="2194"/>
    </row>
    <row r="221" spans="72:76" ht="15.6" customHeight="1">
      <c r="BT221" s="1253"/>
      <c r="BU221" s="1253"/>
      <c r="BV221" s="1253"/>
      <c r="BW221" s="1253"/>
      <c r="BX221" s="1253"/>
    </row>
    <row r="222" spans="72:76" ht="15.6" customHeight="1">
      <c r="BT222" s="1253"/>
      <c r="BU222" s="1253"/>
      <c r="BV222" s="1253"/>
      <c r="BW222" s="1253"/>
      <c r="BX222" s="1253"/>
    </row>
    <row r="223" spans="72:76" ht="15.6" customHeight="1">
      <c r="BT223" s="1253"/>
      <c r="BU223" s="1253"/>
      <c r="BV223" s="1253"/>
      <c r="BW223" s="1253"/>
      <c r="BX223" s="1253"/>
    </row>
    <row r="224" spans="72:76" ht="15.6" customHeight="1">
      <c r="BT224" s="1253"/>
      <c r="BU224" s="1253"/>
      <c r="BV224" s="1253"/>
      <c r="BW224" s="1253"/>
      <c r="BX224" s="1253"/>
    </row>
    <row r="225" spans="72:86" ht="15.6" customHeight="1">
      <c r="BT225" s="1253"/>
      <c r="BU225" s="1253"/>
      <c r="BV225" s="1253"/>
      <c r="BW225" s="1253"/>
      <c r="BX225" s="1253"/>
    </row>
    <row r="226" spans="72:86" ht="15.6" customHeight="1">
      <c r="BT226" s="1253"/>
      <c r="BU226" s="1253"/>
      <c r="BV226" s="1253"/>
      <c r="BW226" s="1253"/>
      <c r="BX226" s="1253"/>
    </row>
    <row r="227" spans="72:86" ht="15.6" customHeight="1">
      <c r="BT227" s="1253"/>
      <c r="BU227" s="1253"/>
      <c r="BV227" s="1253"/>
      <c r="BW227" s="1253"/>
      <c r="BX227" s="1253"/>
    </row>
    <row r="228" spans="72:86" ht="15.6" customHeight="1">
      <c r="BT228" s="1253"/>
      <c r="BU228" s="1253"/>
      <c r="BV228" s="1253"/>
      <c r="BW228" s="1253"/>
      <c r="BX228" s="1253"/>
    </row>
    <row r="229" spans="72:86" ht="15.6" customHeight="1">
      <c r="BT229" s="1253"/>
      <c r="BU229" s="1253"/>
      <c r="BV229" s="1253"/>
      <c r="BW229" s="1253"/>
      <c r="BX229" s="1253"/>
    </row>
    <row r="230" spans="72:86" ht="15.6" customHeight="1">
      <c r="BT230" s="1253"/>
      <c r="BU230" s="1253"/>
      <c r="BV230" s="1253"/>
      <c r="BW230" s="1253"/>
      <c r="BX230" s="1253"/>
    </row>
    <row r="231" spans="72:86" ht="15.6" customHeight="1">
      <c r="BT231" s="1253"/>
      <c r="BU231" s="1253"/>
      <c r="BV231" s="1253"/>
      <c r="BW231" s="1253"/>
      <c r="BX231" s="1253"/>
    </row>
    <row r="232" spans="72:86" ht="15.6" customHeight="1">
      <c r="BT232" s="1253"/>
      <c r="BU232" s="1253"/>
      <c r="BV232" s="1253"/>
      <c r="BW232" s="1253"/>
      <c r="BX232" s="1253"/>
    </row>
    <row r="233" spans="72:86" ht="15.6" customHeight="1">
      <c r="BT233" s="1253"/>
      <c r="BU233" s="1253"/>
      <c r="BV233" s="1253"/>
      <c r="BW233" s="1253"/>
      <c r="BX233" s="1253"/>
      <c r="CD233" s="515"/>
      <c r="CE233" s="515"/>
      <c r="CF233" s="515"/>
      <c r="CG233" s="515"/>
      <c r="CH233" s="515"/>
    </row>
    <row r="234" spans="72:86" ht="15.6" customHeight="1">
      <c r="BT234" s="1253"/>
      <c r="BU234" s="1253"/>
      <c r="BV234" s="1253"/>
      <c r="BW234" s="1253"/>
      <c r="BX234" s="1253"/>
      <c r="CD234" s="754"/>
      <c r="CE234" s="515"/>
      <c r="CF234" s="515"/>
      <c r="CG234" s="515"/>
      <c r="CH234" s="515"/>
    </row>
    <row r="235" spans="72:86" ht="15.6" customHeight="1">
      <c r="BT235" s="1253"/>
      <c r="BU235" s="1253"/>
      <c r="BV235" s="1253"/>
      <c r="BW235" s="1253"/>
      <c r="BX235" s="1253"/>
      <c r="CD235" s="515"/>
      <c r="CE235" s="515"/>
      <c r="CF235" s="515"/>
      <c r="CG235" s="515"/>
      <c r="CH235" s="515"/>
    </row>
    <row r="236" spans="72:86" ht="15.6" customHeight="1">
      <c r="BT236" s="2183"/>
      <c r="BU236" s="2183"/>
      <c r="BV236" s="2183"/>
      <c r="BW236" s="2183"/>
      <c r="BX236" s="2183"/>
      <c r="CD236" s="515"/>
      <c r="CE236" s="515"/>
      <c r="CF236" s="515"/>
      <c r="CG236" s="515"/>
      <c r="CH236" s="515"/>
    </row>
    <row r="237" spans="72:86" ht="15.6" customHeight="1">
      <c r="BT237" s="2183"/>
      <c r="BU237" s="2183"/>
      <c r="BV237" s="2183"/>
      <c r="BW237" s="2183"/>
      <c r="BX237" s="2183"/>
      <c r="CD237" s="754"/>
      <c r="CE237" s="515"/>
      <c r="CF237" s="515"/>
      <c r="CG237" s="515"/>
      <c r="CH237" s="515"/>
    </row>
    <row r="238" spans="72:86" ht="15.6" customHeight="1">
      <c r="BT238" s="2183"/>
      <c r="BU238" s="2183"/>
      <c r="BV238" s="2183"/>
      <c r="BW238" s="2183"/>
      <c r="BX238" s="2183"/>
      <c r="CD238" s="515"/>
      <c r="CE238" s="515"/>
      <c r="CF238" s="515"/>
      <c r="CG238" s="515"/>
      <c r="CH238" s="515"/>
    </row>
    <row r="239" spans="72:86" ht="15.6" customHeight="1">
      <c r="BT239" s="2183"/>
      <c r="BU239" s="2183"/>
      <c r="BV239" s="2183"/>
      <c r="BW239" s="2183"/>
      <c r="BX239" s="2183"/>
      <c r="CD239" s="515"/>
      <c r="CE239" s="515"/>
      <c r="CF239" s="515"/>
      <c r="CG239" s="515"/>
      <c r="CH239" s="515"/>
    </row>
    <row r="240" spans="72:86" ht="15.6" customHeight="1">
      <c r="BT240" s="2183"/>
      <c r="BU240" s="2183"/>
      <c r="BV240" s="2183"/>
      <c r="BW240" s="2183"/>
      <c r="BX240" s="2183"/>
      <c r="CD240" s="754"/>
      <c r="CE240" s="515"/>
      <c r="CF240" s="515"/>
      <c r="CG240" s="515"/>
      <c r="CH240" s="515"/>
    </row>
    <row r="241" spans="72:86" ht="15.6" customHeight="1">
      <c r="BT241" s="2183"/>
      <c r="BU241" s="2183"/>
      <c r="BV241" s="2183"/>
      <c r="BW241" s="2183"/>
      <c r="BX241" s="2183"/>
      <c r="CD241" s="515"/>
      <c r="CE241" s="515"/>
      <c r="CF241" s="515"/>
      <c r="CG241" s="515"/>
      <c r="CH241" s="515"/>
    </row>
    <row r="242" spans="72:86" ht="15.6" customHeight="1">
      <c r="BT242" s="2183"/>
      <c r="BU242" s="2183"/>
      <c r="BV242" s="2183"/>
      <c r="BW242" s="2183"/>
      <c r="BX242" s="2183"/>
      <c r="CD242" s="515"/>
      <c r="CE242" s="515"/>
      <c r="CF242" s="515"/>
      <c r="CG242" s="515"/>
      <c r="CH242" s="515"/>
    </row>
    <row r="243" spans="72:86" ht="15.6" customHeight="1">
      <c r="BT243" s="2183"/>
      <c r="BU243" s="2183"/>
      <c r="BV243" s="2183"/>
      <c r="BW243" s="2183"/>
      <c r="BX243" s="2183"/>
      <c r="CD243" s="515"/>
      <c r="CE243" s="515"/>
      <c r="CF243" s="515"/>
      <c r="CG243" s="515"/>
      <c r="CH243" s="515"/>
    </row>
    <row r="244" spans="72:86" ht="15.6" customHeight="1">
      <c r="BT244" s="2183"/>
      <c r="BU244" s="2183"/>
      <c r="BV244" s="2183"/>
      <c r="BW244" s="2183"/>
      <c r="BX244" s="2183"/>
      <c r="CD244" s="515"/>
      <c r="CE244" s="515"/>
      <c r="CF244" s="515"/>
      <c r="CG244" s="515"/>
      <c r="CH244" s="515"/>
    </row>
    <row r="245" spans="72:86" ht="15.6" customHeight="1">
      <c r="BT245" s="2183"/>
      <c r="BU245" s="2183"/>
      <c r="BV245" s="2183"/>
      <c r="BW245" s="2183"/>
      <c r="BX245" s="2183"/>
      <c r="CD245" s="515"/>
      <c r="CE245" s="515"/>
      <c r="CF245" s="515"/>
      <c r="CG245" s="515"/>
      <c r="CH245" s="515"/>
    </row>
    <row r="246" spans="72:86" ht="15.6" customHeight="1">
      <c r="BT246" s="2183"/>
      <c r="BU246" s="2183"/>
      <c r="BV246" s="2183"/>
      <c r="BW246" s="2183"/>
      <c r="BX246" s="2183"/>
      <c r="CD246" s="515"/>
      <c r="CE246" s="515"/>
      <c r="CF246" s="515"/>
      <c r="CG246" s="515"/>
      <c r="CH246" s="515"/>
    </row>
    <row r="247" spans="72:86" ht="15.6" customHeight="1">
      <c r="BT247" s="2183"/>
      <c r="BU247" s="2183"/>
      <c r="BV247" s="2183"/>
      <c r="BW247" s="2183"/>
      <c r="BX247" s="2183"/>
      <c r="CD247" s="515"/>
      <c r="CE247" s="515"/>
      <c r="CF247" s="515"/>
      <c r="CG247" s="515"/>
      <c r="CH247" s="515"/>
    </row>
    <row r="248" spans="72:86" ht="15.6" customHeight="1">
      <c r="BT248" s="2183"/>
      <c r="BU248" s="2183"/>
      <c r="BV248" s="2183"/>
      <c r="BW248" s="2183"/>
      <c r="BX248" s="2183"/>
      <c r="CD248" s="515"/>
      <c r="CE248" s="515"/>
      <c r="CF248" s="515"/>
      <c r="CG248" s="515"/>
      <c r="CH248" s="515"/>
    </row>
    <row r="249" spans="72:86" ht="15.6" customHeight="1">
      <c r="BT249" s="2183"/>
      <c r="BU249" s="2183"/>
      <c r="BV249" s="2183"/>
      <c r="BW249" s="2183"/>
      <c r="BX249" s="2183"/>
      <c r="CD249" s="515"/>
      <c r="CE249" s="515"/>
      <c r="CF249" s="515"/>
      <c r="CG249" s="515"/>
      <c r="CH249" s="515"/>
    </row>
    <row r="250" spans="72:86" ht="15.6" customHeight="1">
      <c r="BT250" s="2183"/>
      <c r="BU250" s="2183"/>
      <c r="BV250" s="2183"/>
      <c r="BW250" s="2183"/>
      <c r="BX250" s="2183"/>
      <c r="CD250" s="515"/>
      <c r="CE250" s="515"/>
      <c r="CF250" s="515"/>
      <c r="CG250" s="515"/>
      <c r="CH250" s="515"/>
    </row>
    <row r="251" spans="72:86" ht="15.6" customHeight="1">
      <c r="BT251" s="2183"/>
      <c r="BU251" s="2183"/>
      <c r="BV251" s="2183"/>
      <c r="BW251" s="2183"/>
      <c r="BX251" s="2183"/>
      <c r="CD251" s="515"/>
      <c r="CE251" s="515"/>
      <c r="CF251" s="515"/>
      <c r="CG251" s="515"/>
      <c r="CH251" s="515"/>
    </row>
    <row r="252" spans="72:86" ht="15.6" customHeight="1">
      <c r="BT252" s="2183"/>
      <c r="BU252" s="2183"/>
      <c r="BV252" s="2183"/>
      <c r="BW252" s="2183"/>
      <c r="BX252" s="2183"/>
      <c r="CD252" s="515"/>
      <c r="CE252" s="515"/>
      <c r="CF252" s="515"/>
      <c r="CG252" s="515"/>
      <c r="CH252" s="515"/>
    </row>
    <row r="253" spans="72:86" ht="15.6" customHeight="1">
      <c r="BT253" s="2183"/>
      <c r="BU253" s="2183"/>
      <c r="BV253" s="2183"/>
      <c r="BW253" s="2183"/>
      <c r="BX253" s="2183"/>
      <c r="CD253" s="515"/>
      <c r="CE253" s="515"/>
      <c r="CF253" s="515"/>
      <c r="CG253" s="515"/>
      <c r="CH253" s="515"/>
    </row>
    <row r="254" spans="72:86" ht="15.6" customHeight="1">
      <c r="BT254" s="2183"/>
      <c r="BU254" s="2183"/>
      <c r="BV254" s="2183"/>
      <c r="BW254" s="2183"/>
      <c r="BX254" s="2183"/>
      <c r="CD254" s="515"/>
      <c r="CE254" s="515"/>
      <c r="CF254" s="515"/>
      <c r="CG254" s="515"/>
      <c r="CH254" s="515"/>
    </row>
    <row r="255" spans="72:86" ht="15.6" customHeight="1">
      <c r="BT255" s="2183"/>
      <c r="BU255" s="2183"/>
      <c r="BV255" s="2183"/>
      <c r="BW255" s="2183"/>
      <c r="BX255" s="2183"/>
      <c r="CD255" s="515"/>
      <c r="CE255" s="515"/>
      <c r="CF255" s="409"/>
      <c r="CG255" s="409"/>
      <c r="CH255" s="409"/>
    </row>
    <row r="256" spans="72:86" ht="15.6" customHeight="1">
      <c r="BT256" s="2183"/>
      <c r="BU256" s="2183"/>
      <c r="BV256" s="2183"/>
      <c r="BW256" s="2183"/>
      <c r="BX256" s="2183"/>
      <c r="CD256" s="515"/>
      <c r="CE256" s="515"/>
      <c r="CF256" s="515"/>
      <c r="CG256" s="515"/>
      <c r="CH256" s="515"/>
    </row>
    <row r="257" spans="72:86" ht="15.6" customHeight="1">
      <c r="BT257" s="2183"/>
      <c r="BU257" s="2183"/>
      <c r="BV257" s="2183"/>
      <c r="BW257" s="2183"/>
      <c r="BX257" s="2183"/>
      <c r="CD257" s="515"/>
      <c r="CE257" s="515"/>
      <c r="CF257" s="515"/>
      <c r="CG257" s="515"/>
      <c r="CH257" s="515"/>
    </row>
    <row r="258" spans="72:86" ht="15.6" customHeight="1">
      <c r="CD258" s="515"/>
      <c r="CE258" s="515"/>
      <c r="CF258" s="515"/>
      <c r="CG258" s="515"/>
      <c r="CH258" s="515"/>
    </row>
    <row r="259" spans="72:86" ht="15.6" customHeight="1">
      <c r="CD259" s="515"/>
      <c r="CE259" s="515"/>
      <c r="CF259" s="515"/>
      <c r="CG259" s="515"/>
      <c r="CH259" s="515"/>
    </row>
    <row r="261" spans="72:86" ht="15.6" customHeight="1">
      <c r="CD261" s="515"/>
      <c r="CE261" s="515"/>
      <c r="CF261" s="515"/>
      <c r="CG261" s="515"/>
      <c r="CH261" s="515"/>
    </row>
  </sheetData>
  <mergeCells count="81">
    <mergeCell ref="EN2:EO2"/>
    <mergeCell ref="BT1:BX1"/>
    <mergeCell ref="DT2:DW2"/>
    <mergeCell ref="DX2:EA2"/>
    <mergeCell ref="EJ2:EK2"/>
    <mergeCell ref="EL2:EM2"/>
    <mergeCell ref="FP2:FQ2"/>
    <mergeCell ref="ES2:ET2"/>
    <mergeCell ref="EU2:EV2"/>
    <mergeCell ref="EW2:EX2"/>
    <mergeCell ref="EY2:EZ2"/>
    <mergeCell ref="FA2:FB2"/>
    <mergeCell ref="FC2:FD2"/>
    <mergeCell ref="FE2:FF2"/>
    <mergeCell ref="FH2:FI2"/>
    <mergeCell ref="FJ2:FK2"/>
    <mergeCell ref="FL2:FM2"/>
    <mergeCell ref="FN2:FO2"/>
    <mergeCell ref="HO2:HP2"/>
    <mergeCell ref="FW2:FZ2"/>
    <mergeCell ref="GA2:GD2"/>
    <mergeCell ref="GE2:GH2"/>
    <mergeCell ref="GM2:GN2"/>
    <mergeCell ref="GO2:GP2"/>
    <mergeCell ref="GQ2:GR2"/>
    <mergeCell ref="GS2:GT2"/>
    <mergeCell ref="GW2:GZ2"/>
    <mergeCell ref="HA2:HD2"/>
    <mergeCell ref="HI2:HJ2"/>
    <mergeCell ref="HK2:HL2"/>
    <mergeCell ref="EL31:EM31"/>
    <mergeCell ref="FW3:FX3"/>
    <mergeCell ref="FY3:FZ3"/>
    <mergeCell ref="GA3:GB3"/>
    <mergeCell ref="GC3:GD3"/>
    <mergeCell ref="CK13:CR13"/>
    <mergeCell ref="BT22:BX22"/>
    <mergeCell ref="FG29:FN29"/>
    <mergeCell ref="GW3:GX3"/>
    <mergeCell ref="GY3:GZ3"/>
    <mergeCell ref="GG3:GH3"/>
    <mergeCell ref="GM32:GN32"/>
    <mergeCell ref="GO32:GP32"/>
    <mergeCell ref="GQ32:GR32"/>
    <mergeCell ref="HA3:HB3"/>
    <mergeCell ref="HC3:HD3"/>
    <mergeCell ref="HI34:HJ34"/>
    <mergeCell ref="HK34:HL34"/>
    <mergeCell ref="HO33:HP33"/>
    <mergeCell ref="FH34:FI34"/>
    <mergeCell ref="FJ34:FK34"/>
    <mergeCell ref="FL34:FM34"/>
    <mergeCell ref="FW34:FX34"/>
    <mergeCell ref="FY34:FZ34"/>
    <mergeCell ref="GC34:GD34"/>
    <mergeCell ref="GG34:GH34"/>
    <mergeCell ref="GE33:GH33"/>
    <mergeCell ref="GA33:GD33"/>
    <mergeCell ref="FW33:FZ33"/>
    <mergeCell ref="BT236:BX257"/>
    <mergeCell ref="DT71:DW71"/>
    <mergeCell ref="BT64:BX64"/>
    <mergeCell ref="GW33:GZ33"/>
    <mergeCell ref="HA33:HD33"/>
    <mergeCell ref="GW34:GX34"/>
    <mergeCell ref="GY34:GZ34"/>
    <mergeCell ref="HA34:HB34"/>
    <mergeCell ref="HC34:HD34"/>
    <mergeCell ref="GS38:GT38"/>
    <mergeCell ref="BT42:BX42"/>
    <mergeCell ref="BT113:BX219"/>
    <mergeCell ref="DT131:DW131"/>
    <mergeCell ref="DX131:EA131"/>
    <mergeCell ref="DX71:EA71"/>
    <mergeCell ref="BT82:BX82"/>
    <mergeCell ref="BT85:BX85"/>
    <mergeCell ref="T56:V56"/>
    <mergeCell ref="BT60:BX60"/>
    <mergeCell ref="BT61:BX61"/>
    <mergeCell ref="EU33:EV33"/>
    <mergeCell ref="ES33:ET33"/>
  </mergeCells>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3962-C302-4C43-BD8E-2FD75EA1A1DC}">
  <sheetPr>
    <tabColor theme="7" tint="0.59999389629810485"/>
  </sheetPr>
  <dimension ref="A1:R85"/>
  <sheetViews>
    <sheetView showGridLines="0" topLeftCell="A28" zoomScale="90" zoomScaleNormal="90" workbookViewId="0">
      <selection activeCell="C53" sqref="C51:C53"/>
    </sheetView>
  </sheetViews>
  <sheetFormatPr defaultRowHeight="12.75"/>
  <cols>
    <col min="1" max="1" width="80" style="585" customWidth="1"/>
    <col min="2" max="2" width="10.7109375" style="585" customWidth="1"/>
    <col min="3" max="7" width="9.7109375" style="585" customWidth="1"/>
    <col min="8" max="9" width="9.140625" style="585"/>
    <col min="10" max="10" width="26.5703125" style="585" customWidth="1"/>
    <col min="11" max="16" width="12.7109375" style="585" customWidth="1"/>
    <col min="17" max="16384" width="9.140625" style="585"/>
  </cols>
  <sheetData>
    <row r="1" spans="1:17">
      <c r="A1" s="381" t="s">
        <v>6170</v>
      </c>
      <c r="B1" s="381"/>
      <c r="C1" s="381"/>
      <c r="D1" s="381"/>
      <c r="E1" s="381"/>
      <c r="F1" s="382"/>
      <c r="G1" s="382"/>
      <c r="J1" s="381" t="s">
        <v>6171</v>
      </c>
      <c r="K1" s="381"/>
      <c r="L1" s="586"/>
      <c r="M1" s="586"/>
      <c r="N1" s="586"/>
    </row>
    <row r="2" spans="1:17">
      <c r="A2" s="381" t="s">
        <v>1648</v>
      </c>
      <c r="B2" s="389">
        <v>2024</v>
      </c>
      <c r="C2" s="389">
        <v>2023</v>
      </c>
      <c r="D2" s="389">
        <v>2022</v>
      </c>
      <c r="E2" s="389">
        <v>2021</v>
      </c>
      <c r="F2" s="390">
        <v>2020</v>
      </c>
      <c r="G2" s="382"/>
      <c r="J2" s="588" t="s">
        <v>1936</v>
      </c>
      <c r="K2" s="938">
        <v>2024</v>
      </c>
      <c r="L2" s="938">
        <v>2023</v>
      </c>
      <c r="M2" s="938">
        <v>2022</v>
      </c>
      <c r="N2" s="938">
        <v>2021</v>
      </c>
      <c r="O2" s="939">
        <v>2020</v>
      </c>
    </row>
    <row r="3" spans="1:17" ht="15">
      <c r="A3" s="382" t="s">
        <v>6172</v>
      </c>
      <c r="B3" s="435">
        <v>1414</v>
      </c>
      <c r="C3" s="435">
        <v>1577</v>
      </c>
      <c r="D3" s="463">
        <v>1674</v>
      </c>
      <c r="E3" s="463">
        <v>1090</v>
      </c>
      <c r="F3" s="463">
        <v>1140</v>
      </c>
      <c r="G3" s="463"/>
      <c r="J3" s="585" t="s">
        <v>1711</v>
      </c>
      <c r="K3" s="1380">
        <v>878</v>
      </c>
      <c r="L3" s="1380">
        <v>931</v>
      </c>
      <c r="M3" s="525">
        <v>1064</v>
      </c>
      <c r="N3" s="525">
        <v>732</v>
      </c>
      <c r="O3" s="525">
        <f>SUM(O4:O23)</f>
        <v>702</v>
      </c>
      <c r="P3" s="525"/>
      <c r="Q3" s="525"/>
    </row>
    <row r="4" spans="1:17" ht="15">
      <c r="A4" s="382" t="s">
        <v>6173</v>
      </c>
      <c r="B4" s="435">
        <v>2050</v>
      </c>
      <c r="C4" s="435">
        <v>2213</v>
      </c>
      <c r="D4" s="463">
        <v>2480</v>
      </c>
      <c r="E4" s="463">
        <v>1709</v>
      </c>
      <c r="F4" s="463">
        <v>1634</v>
      </c>
      <c r="G4" s="463"/>
      <c r="I4" s="525"/>
      <c r="J4" s="615" t="s">
        <v>6174</v>
      </c>
      <c r="K4" s="1303">
        <v>66</v>
      </c>
      <c r="L4" s="1303">
        <v>96</v>
      </c>
      <c r="M4" s="585">
        <v>88</v>
      </c>
      <c r="N4" s="585">
        <v>70</v>
      </c>
      <c r="O4" s="585">
        <v>69</v>
      </c>
      <c r="Q4" s="1381"/>
    </row>
    <row r="5" spans="1:17" ht="15">
      <c r="A5" s="382"/>
      <c r="B5" s="439"/>
      <c r="C5" s="439"/>
      <c r="D5" s="463"/>
      <c r="E5" s="463"/>
      <c r="F5" s="463"/>
      <c r="G5" s="463"/>
      <c r="J5" s="615" t="s">
        <v>6175</v>
      </c>
      <c r="K5" s="1303">
        <v>28</v>
      </c>
      <c r="L5" s="1303">
        <v>38</v>
      </c>
      <c r="M5" s="585">
        <v>45</v>
      </c>
      <c r="N5" s="585">
        <v>44</v>
      </c>
      <c r="O5" s="585">
        <v>44</v>
      </c>
      <c r="Q5" s="1381"/>
    </row>
    <row r="6" spans="1:17" ht="15">
      <c r="A6" s="382" t="s">
        <v>6176</v>
      </c>
      <c r="B6" s="435">
        <v>2884</v>
      </c>
      <c r="C6" s="435">
        <v>4536</v>
      </c>
      <c r="D6" s="463">
        <v>3561</v>
      </c>
      <c r="E6" s="463">
        <v>2319</v>
      </c>
      <c r="F6" s="463">
        <v>2801</v>
      </c>
      <c r="G6" s="463"/>
      <c r="J6" s="615" t="s">
        <v>6177</v>
      </c>
      <c r="K6" s="1303">
        <v>32</v>
      </c>
      <c r="L6" s="1303">
        <v>32</v>
      </c>
      <c r="M6" s="585">
        <v>36</v>
      </c>
      <c r="N6" s="585">
        <v>47</v>
      </c>
      <c r="O6" s="585">
        <v>45</v>
      </c>
      <c r="Q6" s="1381"/>
    </row>
    <row r="7" spans="1:17" ht="15">
      <c r="A7" s="1382" t="s">
        <v>6178</v>
      </c>
      <c r="B7" s="439">
        <v>491</v>
      </c>
      <c r="C7" s="439">
        <v>915</v>
      </c>
      <c r="D7" s="463">
        <v>665</v>
      </c>
      <c r="E7" s="463">
        <v>318</v>
      </c>
      <c r="F7" s="463">
        <v>608</v>
      </c>
      <c r="J7" s="615" t="s">
        <v>6179</v>
      </c>
      <c r="K7" s="1303">
        <v>36</v>
      </c>
      <c r="L7" s="1303">
        <v>32</v>
      </c>
      <c r="M7" s="585">
        <v>38</v>
      </c>
      <c r="N7" s="585">
        <v>35</v>
      </c>
      <c r="O7" s="585">
        <v>34</v>
      </c>
      <c r="Q7" s="1381"/>
    </row>
    <row r="8" spans="1:17" ht="15">
      <c r="A8" s="1382" t="s">
        <v>6180</v>
      </c>
      <c r="B8" s="439">
        <v>284</v>
      </c>
      <c r="C8" s="439">
        <v>569</v>
      </c>
      <c r="D8" s="463">
        <v>399</v>
      </c>
      <c r="E8" s="463">
        <v>234</v>
      </c>
      <c r="F8" s="463">
        <v>303</v>
      </c>
      <c r="J8" s="615" t="s">
        <v>6181</v>
      </c>
      <c r="K8" s="1303">
        <v>30</v>
      </c>
      <c r="L8" s="1303">
        <v>37</v>
      </c>
      <c r="M8" s="585">
        <v>50</v>
      </c>
      <c r="N8" s="585">
        <v>34</v>
      </c>
      <c r="O8" s="585">
        <v>33</v>
      </c>
      <c r="Q8" s="1381"/>
    </row>
    <row r="9" spans="1:17" ht="15">
      <c r="A9" s="1382" t="s">
        <v>6182</v>
      </c>
      <c r="B9" s="439">
        <v>438</v>
      </c>
      <c r="C9" s="439">
        <v>811</v>
      </c>
      <c r="D9" s="463">
        <v>714</v>
      </c>
      <c r="E9" s="463">
        <v>423</v>
      </c>
      <c r="F9" s="463">
        <v>491</v>
      </c>
      <c r="J9" s="615" t="s">
        <v>6183</v>
      </c>
      <c r="K9" s="1303">
        <v>54</v>
      </c>
      <c r="L9" s="1303">
        <v>44</v>
      </c>
      <c r="M9" s="585">
        <v>48</v>
      </c>
      <c r="N9" s="585">
        <v>30</v>
      </c>
      <c r="O9" s="585">
        <v>27</v>
      </c>
      <c r="Q9" s="1381"/>
    </row>
    <row r="10" spans="1:17" ht="15">
      <c r="A10" s="1382" t="s">
        <v>6184</v>
      </c>
      <c r="B10" s="435">
        <v>1051</v>
      </c>
      <c r="C10" s="435">
        <v>1548</v>
      </c>
      <c r="D10" s="463">
        <v>1131</v>
      </c>
      <c r="E10" s="463">
        <v>926</v>
      </c>
      <c r="F10" s="463">
        <v>1052</v>
      </c>
      <c r="J10" s="615" t="s">
        <v>6185</v>
      </c>
      <c r="K10" s="1303">
        <v>40</v>
      </c>
      <c r="L10" s="1303">
        <v>58</v>
      </c>
      <c r="M10" s="585">
        <v>68</v>
      </c>
      <c r="N10" s="585">
        <v>27</v>
      </c>
      <c r="O10" s="585">
        <v>26</v>
      </c>
      <c r="Q10" s="1381"/>
    </row>
    <row r="11" spans="1:17" ht="15">
      <c r="A11" s="1382" t="s">
        <v>6186</v>
      </c>
      <c r="B11" s="439">
        <v>0</v>
      </c>
      <c r="C11" s="439">
        <v>0</v>
      </c>
      <c r="D11" s="463">
        <v>0</v>
      </c>
      <c r="E11" s="463">
        <v>0</v>
      </c>
      <c r="F11" s="463">
        <v>0</v>
      </c>
      <c r="J11" s="615" t="s">
        <v>6187</v>
      </c>
      <c r="K11" s="1303">
        <v>76</v>
      </c>
      <c r="L11" s="1303">
        <v>43</v>
      </c>
      <c r="M11" s="585">
        <v>75</v>
      </c>
      <c r="N11" s="585">
        <v>60</v>
      </c>
      <c r="O11" s="585">
        <v>54</v>
      </c>
      <c r="Q11" s="1381"/>
    </row>
    <row r="12" spans="1:17" ht="15">
      <c r="A12" s="1382" t="s">
        <v>6188</v>
      </c>
      <c r="B12" s="439">
        <v>48</v>
      </c>
      <c r="C12" s="439">
        <v>36</v>
      </c>
      <c r="D12" s="463">
        <v>0</v>
      </c>
      <c r="E12" s="463">
        <v>7</v>
      </c>
      <c r="F12" s="463">
        <v>0</v>
      </c>
      <c r="J12" s="615" t="s">
        <v>6189</v>
      </c>
      <c r="K12" s="1303">
        <v>51</v>
      </c>
      <c r="L12" s="1303">
        <v>59</v>
      </c>
      <c r="M12" s="585">
        <v>68</v>
      </c>
      <c r="N12" s="585">
        <v>38</v>
      </c>
      <c r="O12" s="585">
        <v>35</v>
      </c>
      <c r="Q12" s="1381"/>
    </row>
    <row r="13" spans="1:17" ht="15">
      <c r="A13" s="1382" t="s">
        <v>6190</v>
      </c>
      <c r="B13" s="439">
        <v>294</v>
      </c>
      <c r="C13" s="439">
        <v>369</v>
      </c>
      <c r="D13" s="463">
        <v>407</v>
      </c>
      <c r="E13" s="463">
        <v>248</v>
      </c>
      <c r="F13" s="463">
        <v>166</v>
      </c>
      <c r="J13" s="615" t="s">
        <v>6191</v>
      </c>
      <c r="K13" s="1303">
        <v>39</v>
      </c>
      <c r="L13" s="1303">
        <v>71</v>
      </c>
      <c r="M13" s="585">
        <v>57</v>
      </c>
      <c r="N13" s="585">
        <v>39</v>
      </c>
      <c r="O13" s="585">
        <v>36</v>
      </c>
      <c r="Q13" s="1381"/>
    </row>
    <row r="14" spans="1:17" ht="15">
      <c r="A14" s="1382" t="s">
        <v>6192</v>
      </c>
      <c r="B14" s="439">
        <v>278</v>
      </c>
      <c r="C14" s="439">
        <v>288</v>
      </c>
      <c r="D14" s="463">
        <v>245</v>
      </c>
      <c r="E14" s="463">
        <v>163</v>
      </c>
      <c r="F14" s="463">
        <v>181</v>
      </c>
      <c r="I14" s="525"/>
      <c r="J14" s="615" t="s">
        <v>6193</v>
      </c>
      <c r="K14" s="1303">
        <v>50</v>
      </c>
      <c r="L14" s="1303">
        <v>47</v>
      </c>
      <c r="M14" s="585">
        <v>63</v>
      </c>
      <c r="N14" s="585">
        <v>37</v>
      </c>
      <c r="O14" s="585">
        <v>35</v>
      </c>
      <c r="Q14" s="1381"/>
    </row>
    <row r="15" spans="1:17" ht="15">
      <c r="A15" s="1382" t="s">
        <v>6194</v>
      </c>
      <c r="B15" s="439">
        <v>0</v>
      </c>
      <c r="C15" s="439">
        <v>0</v>
      </c>
      <c r="D15" s="463">
        <v>0</v>
      </c>
      <c r="E15" s="463">
        <v>0</v>
      </c>
      <c r="F15" s="463">
        <v>0</v>
      </c>
      <c r="J15" s="615" t="s">
        <v>6195</v>
      </c>
      <c r="K15" s="1303">
        <v>53</v>
      </c>
      <c r="L15" s="1303">
        <v>56</v>
      </c>
      <c r="M15" s="585">
        <v>62</v>
      </c>
      <c r="N15" s="585">
        <v>34</v>
      </c>
      <c r="O15" s="585">
        <v>32</v>
      </c>
      <c r="Q15" s="1381"/>
    </row>
    <row r="16" spans="1:17" ht="15">
      <c r="A16" s="1382" t="s">
        <v>6196</v>
      </c>
      <c r="B16" s="439">
        <v>0</v>
      </c>
      <c r="C16" s="439">
        <v>0</v>
      </c>
      <c r="D16" s="463">
        <v>0</v>
      </c>
      <c r="E16" s="463">
        <v>0</v>
      </c>
      <c r="F16" s="463">
        <v>0</v>
      </c>
      <c r="J16" s="615" t="s">
        <v>6197</v>
      </c>
      <c r="K16" s="1303">
        <v>60</v>
      </c>
      <c r="L16" s="1303">
        <v>46</v>
      </c>
      <c r="M16" s="585">
        <v>48</v>
      </c>
      <c r="N16" s="585">
        <v>39</v>
      </c>
      <c r="O16" s="585">
        <v>39</v>
      </c>
      <c r="Q16" s="1381"/>
    </row>
    <row r="17" spans="1:17" ht="15">
      <c r="A17" s="1382" t="s">
        <v>6198</v>
      </c>
      <c r="B17" s="439">
        <v>866</v>
      </c>
      <c r="C17" s="439">
        <v>433</v>
      </c>
      <c r="D17" s="463">
        <v>676</v>
      </c>
      <c r="E17" s="463">
        <v>504</v>
      </c>
      <c r="F17" s="463">
        <v>552</v>
      </c>
      <c r="J17" s="615" t="s">
        <v>6199</v>
      </c>
      <c r="K17" s="1303">
        <v>41</v>
      </c>
      <c r="L17" s="1303">
        <v>44</v>
      </c>
      <c r="M17" s="585">
        <v>68</v>
      </c>
      <c r="N17" s="585">
        <v>36</v>
      </c>
      <c r="O17" s="585">
        <v>34</v>
      </c>
      <c r="Q17" s="1381"/>
    </row>
    <row r="18" spans="1:17" ht="15">
      <c r="A18" s="1383" t="s">
        <v>6200</v>
      </c>
      <c r="B18" s="439">
        <v>63</v>
      </c>
      <c r="C18" s="439">
        <v>48</v>
      </c>
      <c r="D18" s="463">
        <v>48</v>
      </c>
      <c r="E18" s="463">
        <v>52</v>
      </c>
      <c r="F18" s="463">
        <v>70</v>
      </c>
      <c r="H18" s="463"/>
      <c r="J18" s="615" t="s">
        <v>6201</v>
      </c>
      <c r="K18" s="1303">
        <v>38</v>
      </c>
      <c r="L18" s="1303">
        <v>56</v>
      </c>
      <c r="M18" s="585">
        <v>52</v>
      </c>
      <c r="N18" s="585">
        <v>28</v>
      </c>
      <c r="O18" s="585">
        <v>27</v>
      </c>
      <c r="Q18" s="1381"/>
    </row>
    <row r="19" spans="1:17" ht="15">
      <c r="A19" s="1383" t="s">
        <v>6202</v>
      </c>
      <c r="B19" s="439">
        <v>274</v>
      </c>
      <c r="C19" s="439">
        <v>180</v>
      </c>
      <c r="D19" s="463">
        <v>236</v>
      </c>
      <c r="E19" s="463">
        <v>203</v>
      </c>
      <c r="F19" s="463">
        <v>169</v>
      </c>
      <c r="G19" s="463"/>
      <c r="H19" s="463"/>
      <c r="J19" s="615" t="s">
        <v>6203</v>
      </c>
      <c r="K19" s="1303">
        <v>67</v>
      </c>
      <c r="L19" s="1303">
        <v>35</v>
      </c>
      <c r="M19" s="585">
        <v>42</v>
      </c>
      <c r="N19" s="585">
        <v>31</v>
      </c>
      <c r="O19" s="585">
        <v>30</v>
      </c>
      <c r="Q19" s="1381"/>
    </row>
    <row r="20" spans="1:17" ht="15">
      <c r="A20" s="1383" t="s">
        <v>6204</v>
      </c>
      <c r="B20" s="439">
        <v>301</v>
      </c>
      <c r="C20" s="439">
        <v>130</v>
      </c>
      <c r="D20" s="463">
        <v>245</v>
      </c>
      <c r="E20" s="463">
        <v>145</v>
      </c>
      <c r="F20" s="463">
        <v>178</v>
      </c>
      <c r="G20" s="463"/>
      <c r="H20" s="463"/>
      <c r="J20" s="615" t="s">
        <v>6205</v>
      </c>
      <c r="K20" s="1303">
        <v>40</v>
      </c>
      <c r="L20" s="1303">
        <v>41</v>
      </c>
      <c r="M20" s="585">
        <v>53</v>
      </c>
      <c r="N20" s="585">
        <v>32</v>
      </c>
      <c r="O20" s="585">
        <v>32</v>
      </c>
      <c r="Q20" s="1381"/>
    </row>
    <row r="21" spans="1:17" ht="15">
      <c r="A21" s="1383" t="s">
        <v>6206</v>
      </c>
      <c r="B21" s="439">
        <v>84</v>
      </c>
      <c r="C21" s="439">
        <v>29</v>
      </c>
      <c r="D21" s="463">
        <v>60</v>
      </c>
      <c r="E21" s="463">
        <v>43</v>
      </c>
      <c r="F21" s="463">
        <v>14</v>
      </c>
      <c r="G21" s="463"/>
      <c r="H21" s="463"/>
      <c r="J21" s="615" t="s">
        <v>6207</v>
      </c>
      <c r="K21" s="1303">
        <v>35</v>
      </c>
      <c r="L21" s="1303">
        <v>58</v>
      </c>
      <c r="M21" s="585">
        <v>46</v>
      </c>
      <c r="N21" s="585">
        <v>24</v>
      </c>
      <c r="O21" s="585">
        <v>23</v>
      </c>
      <c r="Q21" s="1381"/>
    </row>
    <row r="22" spans="1:17" ht="15.75" customHeight="1">
      <c r="A22" s="1383" t="s">
        <v>6208</v>
      </c>
      <c r="B22" s="439">
        <v>0</v>
      </c>
      <c r="C22" s="439">
        <v>20</v>
      </c>
      <c r="D22" s="463">
        <v>55</v>
      </c>
      <c r="E22" s="463">
        <v>26</v>
      </c>
      <c r="F22" s="463">
        <v>54</v>
      </c>
      <c r="G22" s="463"/>
      <c r="H22" s="463"/>
      <c r="J22" s="612" t="s">
        <v>6209</v>
      </c>
      <c r="K22" s="382">
        <v>6</v>
      </c>
      <c r="L22" s="382">
        <v>1</v>
      </c>
      <c r="M22" s="585">
        <v>3</v>
      </c>
      <c r="N22" s="585">
        <v>2</v>
      </c>
      <c r="O22" s="585">
        <v>2</v>
      </c>
      <c r="Q22" s="1381"/>
    </row>
    <row r="23" spans="1:17" ht="15">
      <c r="A23" s="1383" t="s">
        <v>6210</v>
      </c>
      <c r="B23" s="439">
        <v>19</v>
      </c>
      <c r="C23" s="439">
        <v>10</v>
      </c>
      <c r="D23" s="463">
        <v>16</v>
      </c>
      <c r="E23" s="463">
        <v>12</v>
      </c>
      <c r="F23" s="463">
        <v>10</v>
      </c>
      <c r="G23" s="463"/>
      <c r="H23" s="463"/>
      <c r="J23" s="615" t="s">
        <v>2597</v>
      </c>
      <c r="K23" s="1303">
        <v>36</v>
      </c>
      <c r="L23" s="1303">
        <v>37</v>
      </c>
      <c r="M23" s="585">
        <v>54</v>
      </c>
      <c r="N23" s="585">
        <v>45</v>
      </c>
      <c r="O23" s="585">
        <v>45</v>
      </c>
      <c r="Q23" s="1381"/>
    </row>
    <row r="24" spans="1:17" ht="12.75" customHeight="1">
      <c r="A24" s="1383" t="s">
        <v>6211</v>
      </c>
      <c r="B24" s="439"/>
      <c r="C24" s="439"/>
      <c r="D24" s="463"/>
      <c r="E24" s="463"/>
      <c r="F24" s="463"/>
      <c r="G24" s="463"/>
      <c r="H24" s="463"/>
      <c r="I24" s="525"/>
      <c r="K24" s="1303"/>
      <c r="L24" s="1303"/>
    </row>
    <row r="25" spans="1:17" ht="12.75" customHeight="1">
      <c r="A25" s="1383" t="s">
        <v>6212</v>
      </c>
      <c r="B25" s="439">
        <v>0</v>
      </c>
      <c r="C25" s="439">
        <v>0</v>
      </c>
      <c r="D25" s="463">
        <v>0</v>
      </c>
      <c r="E25" s="463">
        <v>7</v>
      </c>
      <c r="F25" s="463">
        <v>49</v>
      </c>
      <c r="G25" s="463"/>
      <c r="H25" s="463"/>
      <c r="J25" s="585" t="s">
        <v>1712</v>
      </c>
      <c r="K25" s="1380">
        <v>1082</v>
      </c>
      <c r="L25" s="1380">
        <v>1208</v>
      </c>
      <c r="M25" s="525">
        <v>1322</v>
      </c>
      <c r="N25" s="525">
        <v>913</v>
      </c>
      <c r="O25" s="525">
        <f>SUM(O26:O45)</f>
        <v>870</v>
      </c>
      <c r="P25" s="1384"/>
      <c r="Q25" s="525"/>
    </row>
    <row r="26" spans="1:17" ht="15.75" customHeight="1">
      <c r="A26" s="1385" t="s">
        <v>2597</v>
      </c>
      <c r="B26" s="477">
        <v>125</v>
      </c>
      <c r="C26" s="477">
        <v>16</v>
      </c>
      <c r="D26" s="497">
        <v>16</v>
      </c>
      <c r="E26" s="497">
        <v>16</v>
      </c>
      <c r="F26" s="497">
        <v>8</v>
      </c>
      <c r="G26" s="463"/>
      <c r="H26" s="463"/>
      <c r="J26" s="615" t="s">
        <v>6174</v>
      </c>
      <c r="K26" s="1303">
        <v>61</v>
      </c>
      <c r="L26" s="1303">
        <v>61</v>
      </c>
      <c r="M26" s="585">
        <v>59</v>
      </c>
      <c r="N26" s="585">
        <v>58</v>
      </c>
      <c r="O26" s="585">
        <v>57</v>
      </c>
      <c r="Q26" s="1381"/>
    </row>
    <row r="27" spans="1:17" ht="13.5" customHeight="1">
      <c r="A27" s="2220" t="s">
        <v>6213</v>
      </c>
      <c r="B27" s="2220"/>
      <c r="C27" s="2220"/>
      <c r="D27" s="2220"/>
      <c r="E27" s="2220"/>
      <c r="F27" s="2220"/>
      <c r="G27" s="382"/>
      <c r="H27" s="463"/>
      <c r="J27" s="615" t="s">
        <v>6175</v>
      </c>
      <c r="K27" s="1303">
        <v>36</v>
      </c>
      <c r="L27" s="1303">
        <v>31</v>
      </c>
      <c r="M27" s="585">
        <v>52</v>
      </c>
      <c r="N27" s="585">
        <v>30</v>
      </c>
      <c r="O27" s="585">
        <v>29</v>
      </c>
      <c r="Q27" s="1381"/>
    </row>
    <row r="28" spans="1:17" ht="15">
      <c r="A28" s="941" t="s">
        <v>6214</v>
      </c>
      <c r="B28" s="941"/>
      <c r="C28" s="382"/>
      <c r="D28" s="382"/>
      <c r="E28" s="382"/>
      <c r="F28" s="382"/>
      <c r="G28" s="382"/>
      <c r="H28" s="463"/>
      <c r="J28" s="615" t="s">
        <v>6177</v>
      </c>
      <c r="K28" s="1303">
        <v>23</v>
      </c>
      <c r="L28" s="1303">
        <v>44</v>
      </c>
      <c r="M28" s="585">
        <v>49</v>
      </c>
      <c r="N28" s="585">
        <v>26</v>
      </c>
      <c r="O28" s="585">
        <v>24</v>
      </c>
      <c r="Q28" s="1381"/>
    </row>
    <row r="29" spans="1:17" ht="14.25" customHeight="1">
      <c r="A29" s="2218" t="s">
        <v>6215</v>
      </c>
      <c r="B29" s="2218"/>
      <c r="C29" s="2218"/>
      <c r="D29" s="2218"/>
      <c r="E29" s="2218"/>
      <c r="F29" s="2218"/>
      <c r="G29" s="382"/>
      <c r="H29" s="463"/>
      <c r="J29" s="615" t="s">
        <v>6179</v>
      </c>
      <c r="K29" s="1303">
        <v>35</v>
      </c>
      <c r="L29" s="1303">
        <v>45</v>
      </c>
      <c r="M29" s="585">
        <v>45</v>
      </c>
      <c r="N29" s="585">
        <v>24</v>
      </c>
      <c r="O29" s="585">
        <v>24</v>
      </c>
      <c r="Q29" s="1381"/>
    </row>
    <row r="30" spans="1:17" ht="15" customHeight="1">
      <c r="A30" s="2218" t="s">
        <v>6216</v>
      </c>
      <c r="B30" s="2218"/>
      <c r="C30" s="2218"/>
      <c r="D30" s="2218"/>
      <c r="E30" s="2218"/>
      <c r="F30" s="2218"/>
      <c r="G30" s="382"/>
      <c r="J30" s="615" t="s">
        <v>6181</v>
      </c>
      <c r="K30" s="1303">
        <v>41</v>
      </c>
      <c r="L30" s="1303">
        <v>39</v>
      </c>
      <c r="M30" s="585">
        <v>56</v>
      </c>
      <c r="N30" s="585">
        <v>39</v>
      </c>
      <c r="O30" s="585">
        <v>37</v>
      </c>
      <c r="Q30" s="1381"/>
    </row>
    <row r="31" spans="1:17" ht="14.25" customHeight="1">
      <c r="A31" s="2218" t="s">
        <v>6217</v>
      </c>
      <c r="B31" s="2218"/>
      <c r="C31" s="2218"/>
      <c r="D31" s="2218"/>
      <c r="E31" s="2218"/>
      <c r="F31" s="2218"/>
      <c r="G31" s="382"/>
      <c r="J31" s="615" t="s">
        <v>6183</v>
      </c>
      <c r="K31" s="1303">
        <v>35</v>
      </c>
      <c r="L31" s="1303">
        <v>56</v>
      </c>
      <c r="M31" s="585">
        <v>52</v>
      </c>
      <c r="N31" s="585">
        <v>36</v>
      </c>
      <c r="O31" s="585">
        <v>36</v>
      </c>
      <c r="Q31" s="1381"/>
    </row>
    <row r="32" spans="1:17" ht="14.25" customHeight="1">
      <c r="A32" s="2218" t="s">
        <v>6218</v>
      </c>
      <c r="B32" s="2218"/>
      <c r="C32" s="2218"/>
      <c r="D32" s="2218"/>
      <c r="E32" s="2218"/>
      <c r="F32" s="2218"/>
      <c r="G32" s="382"/>
      <c r="J32" s="615" t="s">
        <v>6185</v>
      </c>
      <c r="K32" s="1303">
        <v>59</v>
      </c>
      <c r="L32" s="1303">
        <v>41</v>
      </c>
      <c r="M32" s="585">
        <v>74</v>
      </c>
      <c r="N32" s="585">
        <v>51</v>
      </c>
      <c r="O32" s="585">
        <v>46</v>
      </c>
      <c r="Q32" s="1381"/>
    </row>
    <row r="33" spans="1:18" ht="15">
      <c r="A33" s="2218" t="s">
        <v>6219</v>
      </c>
      <c r="B33" s="2218"/>
      <c r="C33" s="2218"/>
      <c r="D33" s="2218"/>
      <c r="E33" s="2218"/>
      <c r="F33" s="2218"/>
      <c r="G33" s="382"/>
      <c r="J33" s="615" t="s">
        <v>6187</v>
      </c>
      <c r="K33" s="1303">
        <v>50</v>
      </c>
      <c r="L33" s="1303">
        <v>65</v>
      </c>
      <c r="M33" s="585">
        <v>75</v>
      </c>
      <c r="N33" s="585">
        <v>40</v>
      </c>
      <c r="O33" s="585">
        <v>37</v>
      </c>
      <c r="Q33" s="1381"/>
    </row>
    <row r="34" spans="1:18" ht="14.25" customHeight="1">
      <c r="A34" s="2218" t="s">
        <v>6220</v>
      </c>
      <c r="B34" s="2218"/>
      <c r="C34" s="2218"/>
      <c r="D34" s="2218"/>
      <c r="E34" s="2218"/>
      <c r="F34" s="2218"/>
      <c r="G34" s="382"/>
      <c r="J34" s="615" t="s">
        <v>6189</v>
      </c>
      <c r="K34" s="1303">
        <v>48</v>
      </c>
      <c r="L34" s="1303">
        <v>56</v>
      </c>
      <c r="M34" s="585">
        <v>44</v>
      </c>
      <c r="N34" s="585">
        <v>49</v>
      </c>
      <c r="O34" s="585">
        <v>47</v>
      </c>
      <c r="Q34" s="1381"/>
    </row>
    <row r="35" spans="1:18" ht="15">
      <c r="A35" s="2218" t="s">
        <v>6221</v>
      </c>
      <c r="B35" s="2218"/>
      <c r="C35" s="2218"/>
      <c r="D35" s="2218"/>
      <c r="E35" s="2218"/>
      <c r="F35" s="2218"/>
      <c r="G35" s="382"/>
      <c r="J35" s="615" t="s">
        <v>6191</v>
      </c>
      <c r="K35" s="1303">
        <v>51</v>
      </c>
      <c r="L35" s="1303">
        <v>59</v>
      </c>
      <c r="M35" s="585">
        <v>71</v>
      </c>
      <c r="N35" s="585">
        <v>42</v>
      </c>
      <c r="O35" s="585">
        <v>40</v>
      </c>
      <c r="Q35" s="1381"/>
    </row>
    <row r="36" spans="1:18" ht="15">
      <c r="A36" s="2218" t="s">
        <v>6222</v>
      </c>
      <c r="B36" s="2218"/>
      <c r="C36" s="2218"/>
      <c r="D36" s="2218"/>
      <c r="E36" s="2218"/>
      <c r="F36" s="2218"/>
      <c r="G36" s="382"/>
      <c r="J36" s="615" t="s">
        <v>6193</v>
      </c>
      <c r="K36" s="1303">
        <v>41</v>
      </c>
      <c r="L36" s="1303">
        <v>90</v>
      </c>
      <c r="M36" s="585">
        <v>71</v>
      </c>
      <c r="N36" s="585">
        <v>43</v>
      </c>
      <c r="O36" s="585">
        <v>41</v>
      </c>
      <c r="Q36" s="1381"/>
    </row>
    <row r="37" spans="1:18" ht="15">
      <c r="A37" s="2218" t="s">
        <v>6223</v>
      </c>
      <c r="B37" s="2218"/>
      <c r="C37" s="2218"/>
      <c r="D37" s="2218"/>
      <c r="E37" s="2218"/>
      <c r="F37" s="2218"/>
      <c r="G37" s="382"/>
      <c r="J37" s="615" t="s">
        <v>6195</v>
      </c>
      <c r="K37" s="1303">
        <v>60</v>
      </c>
      <c r="L37" s="1303">
        <v>72</v>
      </c>
      <c r="M37" s="585">
        <v>78</v>
      </c>
      <c r="N37" s="585">
        <v>48</v>
      </c>
      <c r="O37" s="585">
        <v>44</v>
      </c>
      <c r="Q37" s="1381"/>
    </row>
    <row r="38" spans="1:18" ht="15">
      <c r="A38" s="2218" t="s">
        <v>6224</v>
      </c>
      <c r="B38" s="2218"/>
      <c r="C38" s="2218"/>
      <c r="D38" s="2218"/>
      <c r="E38" s="2218"/>
      <c r="F38" s="2218"/>
      <c r="G38" s="382"/>
      <c r="J38" s="615" t="s">
        <v>6197</v>
      </c>
      <c r="K38" s="1303">
        <v>72</v>
      </c>
      <c r="L38" s="1303">
        <v>92</v>
      </c>
      <c r="M38" s="585">
        <v>109</v>
      </c>
      <c r="N38" s="585">
        <v>58</v>
      </c>
      <c r="O38" s="585">
        <v>56</v>
      </c>
      <c r="Q38" s="1381"/>
    </row>
    <row r="39" spans="1:18" ht="15">
      <c r="A39" s="2218" t="s">
        <v>6225</v>
      </c>
      <c r="B39" s="2218"/>
      <c r="C39" s="2218"/>
      <c r="D39" s="2218"/>
      <c r="E39" s="2218"/>
      <c r="F39" s="2218"/>
      <c r="G39" s="382"/>
      <c r="J39" s="615" t="s">
        <v>6199</v>
      </c>
      <c r="K39" s="1303">
        <v>75</v>
      </c>
      <c r="L39" s="1303">
        <v>90</v>
      </c>
      <c r="M39" s="585">
        <v>99</v>
      </c>
      <c r="N39" s="585">
        <v>58</v>
      </c>
      <c r="O39" s="585">
        <v>56</v>
      </c>
      <c r="Q39" s="1381"/>
    </row>
    <row r="40" spans="1:18" ht="15">
      <c r="A40" s="2218" t="s">
        <v>6226</v>
      </c>
      <c r="B40" s="2218"/>
      <c r="C40" s="2218"/>
      <c r="D40" s="2218"/>
      <c r="E40" s="2218"/>
      <c r="F40" s="2218"/>
      <c r="G40" s="382"/>
      <c r="J40" s="615" t="s">
        <v>6201</v>
      </c>
      <c r="K40" s="1303">
        <v>88</v>
      </c>
      <c r="L40" s="1303">
        <v>72</v>
      </c>
      <c r="M40" s="585">
        <v>83</v>
      </c>
      <c r="N40" s="585">
        <v>69</v>
      </c>
      <c r="O40" s="585">
        <v>64</v>
      </c>
      <c r="Q40" s="1381"/>
    </row>
    <row r="41" spans="1:18" ht="15">
      <c r="A41" s="2218" t="s">
        <v>6227</v>
      </c>
      <c r="B41" s="2218"/>
      <c r="C41" s="2218"/>
      <c r="D41" s="2218"/>
      <c r="E41" s="2218"/>
      <c r="F41" s="2218"/>
      <c r="G41" s="382"/>
      <c r="J41" s="615" t="s">
        <v>6203</v>
      </c>
      <c r="K41" s="1303">
        <v>98</v>
      </c>
      <c r="L41" s="1303">
        <v>74</v>
      </c>
      <c r="M41" s="585">
        <v>88</v>
      </c>
      <c r="N41" s="585">
        <v>83</v>
      </c>
      <c r="O41" s="585">
        <v>81</v>
      </c>
      <c r="Q41" s="1381"/>
    </row>
    <row r="42" spans="1:18" ht="15">
      <c r="A42" s="1387"/>
      <c r="B42" s="1387"/>
      <c r="J42" s="615" t="s">
        <v>6205</v>
      </c>
      <c r="K42" s="1303">
        <v>85</v>
      </c>
      <c r="L42" s="1303">
        <v>91</v>
      </c>
      <c r="M42" s="585">
        <v>82</v>
      </c>
      <c r="N42" s="585">
        <v>69</v>
      </c>
      <c r="O42" s="585">
        <v>63</v>
      </c>
      <c r="Q42" s="1381"/>
    </row>
    <row r="43" spans="1:18" ht="15">
      <c r="A43" s="1388"/>
      <c r="B43" s="1387"/>
      <c r="J43" s="615" t="s">
        <v>6207</v>
      </c>
      <c r="K43" s="1303">
        <v>71</v>
      </c>
      <c r="L43" s="1303">
        <v>80</v>
      </c>
      <c r="M43" s="585">
        <v>63</v>
      </c>
      <c r="N43" s="585">
        <v>42</v>
      </c>
      <c r="O43" s="585">
        <v>41</v>
      </c>
      <c r="Q43" s="1381"/>
    </row>
    <row r="44" spans="1:18">
      <c r="A44" s="884"/>
      <c r="J44" s="612" t="s">
        <v>6209</v>
      </c>
      <c r="K44" s="382">
        <v>15</v>
      </c>
      <c r="L44" s="382">
        <v>1</v>
      </c>
      <c r="M44" s="585">
        <v>6</v>
      </c>
      <c r="N44" s="585">
        <v>1</v>
      </c>
      <c r="O44" s="585">
        <v>1</v>
      </c>
      <c r="Q44" s="1381"/>
    </row>
    <row r="45" spans="1:18" ht="12.75" customHeight="1">
      <c r="A45" s="382"/>
      <c r="B45" s="382"/>
      <c r="J45" s="615" t="s">
        <v>2597</v>
      </c>
      <c r="K45" s="1303">
        <v>38</v>
      </c>
      <c r="L45" s="1303">
        <v>49</v>
      </c>
      <c r="M45" s="585">
        <v>66</v>
      </c>
      <c r="N45" s="585">
        <v>47</v>
      </c>
      <c r="O45" s="585">
        <v>46</v>
      </c>
      <c r="Q45" s="1381"/>
    </row>
    <row r="46" spans="1:18">
      <c r="B46" s="439"/>
      <c r="C46" s="439"/>
      <c r="D46" s="599"/>
      <c r="E46" s="599"/>
      <c r="F46" s="599"/>
      <c r="G46" s="599"/>
      <c r="J46" s="615"/>
      <c r="K46" s="615"/>
      <c r="L46" s="615"/>
      <c r="Q46" s="1381"/>
    </row>
    <row r="47" spans="1:18" ht="15">
      <c r="B47" s="463"/>
      <c r="C47" s="463"/>
      <c r="D47" s="525"/>
      <c r="E47" s="525"/>
      <c r="F47" s="525"/>
      <c r="G47" s="525"/>
      <c r="J47" s="585" t="s">
        <v>2597</v>
      </c>
      <c r="K47" s="1303">
        <v>86</v>
      </c>
      <c r="L47" s="1303">
        <v>27</v>
      </c>
      <c r="M47" s="585">
        <v>59</v>
      </c>
      <c r="N47" s="585">
        <v>37</v>
      </c>
      <c r="O47" s="585">
        <v>64</v>
      </c>
      <c r="Q47" s="1381"/>
    </row>
    <row r="48" spans="1:18" ht="12.75" customHeight="1">
      <c r="B48" s="463"/>
      <c r="C48" s="463"/>
      <c r="D48" s="525"/>
      <c r="E48" s="525"/>
      <c r="F48" s="525"/>
      <c r="G48" s="525"/>
      <c r="J48" s="585" t="s">
        <v>6209</v>
      </c>
      <c r="K48" s="1303">
        <v>0</v>
      </c>
      <c r="L48" s="1303">
        <v>0</v>
      </c>
      <c r="M48" s="585">
        <v>0</v>
      </c>
      <c r="N48" s="585">
        <v>3</v>
      </c>
      <c r="O48" s="585">
        <v>0</v>
      </c>
      <c r="Q48" s="1381"/>
      <c r="R48" s="941"/>
    </row>
    <row r="49" spans="1:16">
      <c r="B49" s="463"/>
      <c r="C49" s="463"/>
      <c r="E49" s="525"/>
      <c r="F49" s="525"/>
      <c r="G49" s="525"/>
      <c r="J49" s="2219" t="s">
        <v>6228</v>
      </c>
      <c r="K49" s="2219"/>
      <c r="L49" s="2219"/>
      <c r="M49" s="2219"/>
      <c r="N49" s="2219"/>
      <c r="O49" s="2219"/>
      <c r="P49" s="2220"/>
    </row>
    <row r="50" spans="1:16">
      <c r="B50" s="463"/>
      <c r="C50" s="463"/>
      <c r="D50" s="525"/>
      <c r="E50" s="525"/>
      <c r="F50" s="525"/>
      <c r="G50" s="525"/>
      <c r="J50" s="585" t="s">
        <v>6229</v>
      </c>
    </row>
    <row r="51" spans="1:16">
      <c r="A51" s="1053"/>
      <c r="B51" s="463"/>
      <c r="C51" s="463"/>
      <c r="D51" s="525"/>
      <c r="E51" s="525"/>
      <c r="F51" s="525"/>
      <c r="G51" s="525"/>
    </row>
    <row r="52" spans="1:16">
      <c r="A52" s="1053"/>
      <c r="B52" s="463"/>
      <c r="C52" s="463"/>
      <c r="D52" s="525"/>
      <c r="E52" s="525"/>
      <c r="F52" s="525"/>
      <c r="G52" s="525"/>
    </row>
    <row r="53" spans="1:16">
      <c r="A53" s="1053"/>
      <c r="B53" s="463"/>
      <c r="C53" s="463"/>
      <c r="D53" s="525"/>
      <c r="E53" s="525"/>
      <c r="F53" s="525"/>
      <c r="G53" s="525"/>
      <c r="J53" s="1388"/>
    </row>
    <row r="54" spans="1:16">
      <c r="A54" s="1053"/>
      <c r="B54" s="463"/>
      <c r="C54" s="463"/>
      <c r="D54" s="525"/>
      <c r="E54" s="525"/>
      <c r="F54" s="525"/>
      <c r="G54" s="525"/>
      <c r="J54" s="884"/>
    </row>
    <row r="55" spans="1:16">
      <c r="A55" s="1053"/>
      <c r="B55" s="463"/>
      <c r="C55" s="463"/>
      <c r="D55" s="525"/>
      <c r="E55" s="525"/>
      <c r="F55" s="525"/>
      <c r="G55" s="525"/>
    </row>
    <row r="56" spans="1:16">
      <c r="A56" s="1053"/>
      <c r="B56" s="463"/>
      <c r="C56" s="463"/>
      <c r="D56" s="525"/>
      <c r="E56" s="525"/>
      <c r="F56" s="525"/>
      <c r="G56" s="525"/>
    </row>
    <row r="57" spans="1:16">
      <c r="A57" s="1053"/>
      <c r="B57" s="463"/>
      <c r="C57" s="463"/>
      <c r="D57" s="525"/>
      <c r="E57" s="525"/>
      <c r="F57" s="525"/>
      <c r="G57" s="525"/>
    </row>
    <row r="58" spans="1:16">
      <c r="A58" s="1053"/>
      <c r="B58" s="463"/>
      <c r="C58" s="463"/>
      <c r="D58" s="525"/>
      <c r="E58" s="525"/>
      <c r="F58" s="525"/>
      <c r="G58" s="525"/>
    </row>
    <row r="59" spans="1:16">
      <c r="A59" s="1053"/>
      <c r="B59" s="463"/>
      <c r="C59" s="463"/>
      <c r="D59" s="525"/>
      <c r="E59" s="525"/>
      <c r="F59" s="525"/>
      <c r="G59" s="525"/>
    </row>
    <row r="60" spans="1:16">
      <c r="A60" s="1053"/>
      <c r="B60" s="463"/>
      <c r="C60" s="463"/>
      <c r="D60" s="525"/>
      <c r="E60" s="525"/>
      <c r="F60" s="525"/>
      <c r="G60" s="525"/>
    </row>
    <row r="61" spans="1:16">
      <c r="A61" s="1053"/>
      <c r="B61" s="463"/>
      <c r="C61" s="463"/>
      <c r="D61" s="525"/>
      <c r="E61" s="525"/>
      <c r="F61" s="525"/>
      <c r="G61" s="525"/>
    </row>
    <row r="62" spans="1:16">
      <c r="A62" s="1389"/>
      <c r="B62" s="463"/>
      <c r="C62" s="463"/>
      <c r="D62" s="525"/>
      <c r="E62" s="525"/>
      <c r="F62" s="525"/>
      <c r="G62" s="525"/>
    </row>
    <row r="63" spans="1:16">
      <c r="A63" s="1389"/>
      <c r="B63" s="463"/>
      <c r="C63" s="463"/>
      <c r="D63" s="525"/>
      <c r="E63" s="525"/>
      <c r="F63" s="525"/>
      <c r="G63" s="525"/>
    </row>
    <row r="64" spans="1:16">
      <c r="A64" s="1389"/>
      <c r="B64" s="463"/>
      <c r="C64" s="463"/>
      <c r="D64" s="525"/>
      <c r="E64" s="525"/>
      <c r="F64" s="525"/>
      <c r="G64" s="525"/>
    </row>
    <row r="65" spans="1:7">
      <c r="A65" s="1389"/>
      <c r="B65" s="463"/>
      <c r="C65" s="463"/>
      <c r="D65" s="525"/>
      <c r="E65" s="525"/>
      <c r="F65" s="525"/>
      <c r="G65" s="525"/>
    </row>
    <row r="66" spans="1:7">
      <c r="A66" s="1389"/>
      <c r="B66" s="463"/>
      <c r="C66" s="463"/>
      <c r="D66" s="525"/>
      <c r="E66" s="525"/>
      <c r="F66" s="525"/>
      <c r="G66" s="525"/>
    </row>
    <row r="67" spans="1:7" ht="12.75" customHeight="1">
      <c r="A67" s="1389"/>
      <c r="B67" s="463"/>
      <c r="C67" s="463"/>
      <c r="E67" s="525"/>
      <c r="F67" s="525"/>
      <c r="G67" s="525"/>
    </row>
    <row r="68" spans="1:7" ht="12.75" customHeight="1">
      <c r="A68" s="1383"/>
      <c r="B68" s="463"/>
      <c r="C68" s="463"/>
      <c r="E68" s="525"/>
      <c r="F68" s="525"/>
      <c r="G68" s="525"/>
    </row>
    <row r="69" spans="1:7" ht="14.45" customHeight="1">
      <c r="A69" s="2221"/>
      <c r="B69" s="2221"/>
      <c r="C69" s="2221"/>
      <c r="D69" s="2221"/>
      <c r="E69" s="2221"/>
      <c r="F69" s="2221"/>
      <c r="G69" s="525"/>
    </row>
    <row r="70" spans="1:7" ht="15.6" customHeight="1">
      <c r="A70" s="1390"/>
      <c r="B70" s="1390"/>
      <c r="G70" s="525"/>
    </row>
    <row r="71" spans="1:7">
      <c r="A71" s="2217"/>
      <c r="B71" s="2217"/>
      <c r="C71" s="2217"/>
      <c r="D71" s="2217"/>
      <c r="E71" s="2217"/>
      <c r="F71" s="2217"/>
      <c r="G71" s="525"/>
    </row>
    <row r="72" spans="1:7">
      <c r="A72" s="2217"/>
      <c r="B72" s="2217"/>
      <c r="C72" s="2217"/>
      <c r="D72" s="2217"/>
      <c r="E72" s="2217"/>
      <c r="F72" s="2217"/>
      <c r="G72" s="525"/>
    </row>
    <row r="73" spans="1:7" ht="13.15" customHeight="1">
      <c r="A73" s="2217"/>
      <c r="B73" s="2217"/>
      <c r="C73" s="2217"/>
      <c r="D73" s="2217"/>
      <c r="E73" s="2217"/>
      <c r="F73" s="2217"/>
      <c r="G73" s="525"/>
    </row>
    <row r="74" spans="1:7" ht="13.15" customHeight="1">
      <c r="A74" s="2217"/>
      <c r="B74" s="2217"/>
      <c r="C74" s="2217"/>
      <c r="D74" s="2217"/>
      <c r="E74" s="2217"/>
      <c r="F74" s="2217"/>
      <c r="G74" s="525"/>
    </row>
    <row r="75" spans="1:7" ht="13.15" customHeight="1">
      <c r="A75" s="2217"/>
      <c r="B75" s="2217"/>
      <c r="C75" s="2217"/>
      <c r="D75" s="2217"/>
      <c r="E75" s="2217"/>
      <c r="F75" s="2217"/>
      <c r="G75" s="525"/>
    </row>
    <row r="76" spans="1:7" ht="13.15" customHeight="1">
      <c r="A76" s="2217"/>
      <c r="B76" s="2217"/>
      <c r="C76" s="2217"/>
      <c r="D76" s="2217"/>
      <c r="E76" s="2217"/>
      <c r="F76" s="2217"/>
      <c r="G76" s="525"/>
    </row>
    <row r="77" spans="1:7">
      <c r="A77" s="2217"/>
      <c r="B77" s="2217"/>
      <c r="C77" s="2217"/>
      <c r="D77" s="2217"/>
      <c r="E77" s="2217"/>
      <c r="F77" s="2217"/>
      <c r="G77" s="525"/>
    </row>
    <row r="78" spans="1:7" ht="13.15" customHeight="1">
      <c r="A78" s="2217"/>
      <c r="B78" s="2217"/>
      <c r="C78" s="2217"/>
      <c r="D78" s="2217"/>
      <c r="E78" s="2217"/>
      <c r="F78" s="2217"/>
      <c r="G78" s="525"/>
    </row>
    <row r="79" spans="1:7" ht="13.15" customHeight="1">
      <c r="A79" s="2217"/>
      <c r="B79" s="2217"/>
      <c r="C79" s="2217"/>
      <c r="D79" s="2217"/>
      <c r="E79" s="2217"/>
      <c r="F79" s="2217"/>
      <c r="G79" s="525"/>
    </row>
    <row r="80" spans="1:7">
      <c r="A80" s="2218"/>
      <c r="B80" s="2218"/>
      <c r="C80" s="2218"/>
      <c r="D80" s="2218"/>
      <c r="E80" s="2218"/>
      <c r="F80" s="2218"/>
      <c r="G80" s="525"/>
    </row>
    <row r="81" spans="1:7" ht="13.15" customHeight="1">
      <c r="A81" s="2217"/>
      <c r="B81" s="2217"/>
      <c r="C81" s="2217"/>
      <c r="D81" s="2217"/>
      <c r="E81" s="2217"/>
      <c r="F81" s="2217"/>
      <c r="G81" s="525"/>
    </row>
    <row r="82" spans="1:7" ht="13.15" customHeight="1">
      <c r="A82" s="2217"/>
      <c r="B82" s="2217"/>
      <c r="C82" s="2217"/>
      <c r="D82" s="2217"/>
      <c r="E82" s="2217"/>
      <c r="F82" s="2217"/>
      <c r="G82" s="525"/>
    </row>
    <row r="83" spans="1:7" ht="13.15" customHeight="1">
      <c r="A83" s="2217"/>
      <c r="B83" s="2217"/>
      <c r="C83" s="2217"/>
      <c r="D83" s="2217"/>
      <c r="E83" s="2217"/>
      <c r="F83" s="2217"/>
    </row>
    <row r="84" spans="1:7" ht="14.25" customHeight="1"/>
    <row r="85" spans="1:7" ht="13.15" customHeight="1"/>
  </sheetData>
  <mergeCells count="29">
    <mergeCell ref="A39:F39"/>
    <mergeCell ref="A27:F27"/>
    <mergeCell ref="A29:F29"/>
    <mergeCell ref="A30:F30"/>
    <mergeCell ref="A31:F31"/>
    <mergeCell ref="A32:F32"/>
    <mergeCell ref="A33:F33"/>
    <mergeCell ref="A34:F34"/>
    <mergeCell ref="A35:F35"/>
    <mergeCell ref="A36:F36"/>
    <mergeCell ref="A37:F37"/>
    <mergeCell ref="A38:F38"/>
    <mergeCell ref="A78:F78"/>
    <mergeCell ref="A40:F40"/>
    <mergeCell ref="A41:F41"/>
    <mergeCell ref="J49:P49"/>
    <mergeCell ref="A69:F69"/>
    <mergeCell ref="A71:F71"/>
    <mergeCell ref="A72:F72"/>
    <mergeCell ref="A73:F73"/>
    <mergeCell ref="A74:F74"/>
    <mergeCell ref="A75:F75"/>
    <mergeCell ref="A76:F76"/>
    <mergeCell ref="A77:F77"/>
    <mergeCell ref="A79:F79"/>
    <mergeCell ref="A80:F80"/>
    <mergeCell ref="A81:F81"/>
    <mergeCell ref="A82:F82"/>
    <mergeCell ref="A83:F83"/>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22A5-52F3-4F55-A88A-8418F3BA5326}">
  <sheetPr>
    <tabColor theme="7" tint="0.59999389629810485"/>
  </sheetPr>
  <dimension ref="A1:AV49"/>
  <sheetViews>
    <sheetView showGridLines="0" topLeftCell="Y1" zoomScale="90" zoomScaleNormal="90" workbookViewId="0">
      <selection activeCell="F54" sqref="F54"/>
    </sheetView>
  </sheetViews>
  <sheetFormatPr defaultRowHeight="12.75"/>
  <cols>
    <col min="1" max="1" width="21.28515625" style="585" customWidth="1"/>
    <col min="2" max="13" width="9.7109375" style="585" customWidth="1"/>
    <col min="14" max="14" width="14.7109375" style="585" customWidth="1"/>
    <col min="15" max="26" width="9.7109375" style="585" customWidth="1"/>
    <col min="27" max="27" width="24.85546875" style="585" customWidth="1"/>
    <col min="28" max="38" width="9.7109375" style="585" customWidth="1"/>
    <col min="39" max="40" width="9.140625" style="585"/>
    <col min="41" max="41" width="29.42578125" style="585" customWidth="1"/>
    <col min="42" max="45" width="16.7109375" style="585" customWidth="1"/>
    <col min="46" max="16384" width="9.140625" style="585"/>
  </cols>
  <sheetData>
    <row r="1" spans="1:48">
      <c r="A1" s="381" t="s">
        <v>6230</v>
      </c>
      <c r="B1" s="381"/>
      <c r="C1" s="381"/>
      <c r="D1" s="678"/>
      <c r="E1" s="678"/>
      <c r="F1" s="678"/>
      <c r="G1" s="678"/>
      <c r="H1" s="678"/>
      <c r="I1" s="678"/>
      <c r="J1" s="678"/>
      <c r="K1" s="678"/>
      <c r="L1" s="674"/>
      <c r="M1" s="674"/>
      <c r="N1" s="381" t="s">
        <v>6231</v>
      </c>
      <c r="O1" s="381"/>
      <c r="P1" s="381"/>
      <c r="Q1" s="1391"/>
      <c r="R1" s="678"/>
      <c r="S1" s="678"/>
      <c r="T1" s="678"/>
      <c r="U1" s="678"/>
      <c r="V1" s="678"/>
      <c r="W1" s="678"/>
      <c r="AA1" s="381" t="s">
        <v>6232</v>
      </c>
      <c r="AB1" s="381"/>
      <c r="AC1" s="381"/>
      <c r="AD1" s="586"/>
      <c r="AE1" s="586"/>
      <c r="AF1" s="586"/>
      <c r="AG1" s="586"/>
      <c r="AH1" s="586"/>
      <c r="AI1" s="586"/>
      <c r="AJ1" s="586"/>
      <c r="AK1" s="586"/>
      <c r="AO1" s="382"/>
      <c r="AV1" s="525"/>
    </row>
    <row r="2" spans="1:48">
      <c r="A2" s="381" t="s">
        <v>1648</v>
      </c>
      <c r="B2" s="642" t="s">
        <v>6233</v>
      </c>
      <c r="C2" s="642" t="s">
        <v>6234</v>
      </c>
      <c r="D2" s="642" t="s">
        <v>6235</v>
      </c>
      <c r="E2" s="642" t="s">
        <v>6236</v>
      </c>
      <c r="F2" s="642" t="s">
        <v>6237</v>
      </c>
      <c r="G2" s="723" t="s">
        <v>6238</v>
      </c>
      <c r="H2" s="457" t="s">
        <v>6239</v>
      </c>
      <c r="I2" s="457" t="s">
        <v>6240</v>
      </c>
      <c r="J2" s="457" t="s">
        <v>6241</v>
      </c>
      <c r="K2" s="729" t="s">
        <v>6242</v>
      </c>
      <c r="L2" s="385"/>
      <c r="M2" s="599"/>
      <c r="N2" s="586" t="s">
        <v>6243</v>
      </c>
      <c r="O2" s="642" t="s">
        <v>6233</v>
      </c>
      <c r="P2" s="642" t="s">
        <v>6234</v>
      </c>
      <c r="Q2" s="642" t="s">
        <v>6235</v>
      </c>
      <c r="R2" s="589" t="s">
        <v>6236</v>
      </c>
      <c r="S2" s="642" t="s">
        <v>6237</v>
      </c>
      <c r="T2" s="589" t="s">
        <v>6238</v>
      </c>
      <c r="U2" s="589" t="s">
        <v>6239</v>
      </c>
      <c r="V2" s="728" t="s">
        <v>6240</v>
      </c>
      <c r="W2" s="589" t="s">
        <v>6241</v>
      </c>
      <c r="X2" s="590" t="s">
        <v>6242</v>
      </c>
      <c r="Y2" s="599"/>
      <c r="Z2" s="674"/>
      <c r="AA2" s="937" t="s">
        <v>6244</v>
      </c>
      <c r="AB2" s="1094" t="s">
        <v>6233</v>
      </c>
      <c r="AC2" s="1094" t="s">
        <v>6234</v>
      </c>
      <c r="AD2" s="1094" t="s">
        <v>6235</v>
      </c>
      <c r="AE2" s="1094" t="s">
        <v>6236</v>
      </c>
      <c r="AF2" s="1094" t="s">
        <v>6237</v>
      </c>
      <c r="AG2" s="589" t="s">
        <v>6238</v>
      </c>
      <c r="AH2" s="614" t="s">
        <v>6239</v>
      </c>
      <c r="AI2" s="442" t="s">
        <v>6240</v>
      </c>
      <c r="AJ2" s="614" t="s">
        <v>6241</v>
      </c>
      <c r="AK2" s="590" t="s">
        <v>6242</v>
      </c>
      <c r="AL2" s="599"/>
      <c r="AP2" s="599"/>
      <c r="AQ2" s="599"/>
      <c r="AR2" s="599"/>
      <c r="AS2" s="599"/>
    </row>
    <row r="3" spans="1:48">
      <c r="A3" s="382" t="s">
        <v>6245</v>
      </c>
      <c r="B3" s="382">
        <f>SUM(B4:B10)</f>
        <v>239</v>
      </c>
      <c r="C3" s="382">
        <f>SUM(C4:C10)</f>
        <v>289</v>
      </c>
      <c r="D3" s="382">
        <f>SUM(D4:D10)</f>
        <v>263</v>
      </c>
      <c r="E3" s="382">
        <f>SUM(E4:E10)</f>
        <v>209</v>
      </c>
      <c r="F3" s="439">
        <v>213</v>
      </c>
      <c r="G3" s="754">
        <f t="shared" ref="G3:K3" si="0">SUM(G4:G10)</f>
        <v>275</v>
      </c>
      <c r="H3" s="754">
        <f t="shared" si="0"/>
        <v>295</v>
      </c>
      <c r="I3" s="754">
        <f t="shared" si="0"/>
        <v>269</v>
      </c>
      <c r="J3" s="754">
        <f t="shared" si="0"/>
        <v>266</v>
      </c>
      <c r="K3" s="754">
        <f t="shared" si="0"/>
        <v>327</v>
      </c>
      <c r="L3" s="754"/>
      <c r="N3" s="382" t="s">
        <v>3507</v>
      </c>
      <c r="O3" s="382">
        <f>SUM(O4:O8)</f>
        <v>239</v>
      </c>
      <c r="P3" s="382">
        <f>SUM(P4:P8)</f>
        <v>289</v>
      </c>
      <c r="Q3" s="382">
        <f>SUM(Q4:Q8)</f>
        <v>263</v>
      </c>
      <c r="R3" s="382">
        <f>SUM(R4:R8)</f>
        <v>209</v>
      </c>
      <c r="S3" s="439">
        <v>213</v>
      </c>
      <c r="T3" s="585">
        <f t="shared" ref="T3:X3" si="1">SUM(T4:T8)</f>
        <v>275</v>
      </c>
      <c r="U3" s="585">
        <f t="shared" si="1"/>
        <v>295</v>
      </c>
      <c r="V3" s="585">
        <f t="shared" si="1"/>
        <v>269</v>
      </c>
      <c r="W3" s="585">
        <f t="shared" si="1"/>
        <v>266</v>
      </c>
      <c r="X3" s="585">
        <f t="shared" si="1"/>
        <v>327</v>
      </c>
      <c r="Z3" s="599"/>
      <c r="AA3" s="585" t="s">
        <v>3502</v>
      </c>
      <c r="AB3" s="585">
        <f>SUM(AB4:AB25)</f>
        <v>239</v>
      </c>
      <c r="AC3" s="585">
        <f>SUM(AC4:AC25)</f>
        <v>289</v>
      </c>
      <c r="AD3" s="585">
        <f>SUM(AD4:AD25)</f>
        <v>263</v>
      </c>
      <c r="AE3" s="585">
        <f>SUM(AE4:AE25)</f>
        <v>209</v>
      </c>
      <c r="AF3" s="599">
        <v>214</v>
      </c>
      <c r="AG3" s="525">
        <f t="shared" ref="AG3:AK3" si="2">SUM(AG4:AG25)</f>
        <v>275</v>
      </c>
      <c r="AH3" s="525">
        <f t="shared" si="2"/>
        <v>295</v>
      </c>
      <c r="AI3" s="525">
        <f t="shared" si="2"/>
        <v>269</v>
      </c>
      <c r="AJ3" s="525">
        <f t="shared" si="2"/>
        <v>266</v>
      </c>
      <c r="AK3" s="525">
        <f t="shared" si="2"/>
        <v>327</v>
      </c>
      <c r="AL3" s="525"/>
      <c r="AQ3" s="599"/>
      <c r="AR3" s="599"/>
      <c r="AV3" s="525"/>
    </row>
    <row r="4" spans="1:48">
      <c r="A4" s="740" t="s">
        <v>6246</v>
      </c>
      <c r="B4" s="690">
        <v>5</v>
      </c>
      <c r="C4" s="690">
        <v>6</v>
      </c>
      <c r="D4" s="690">
        <v>5</v>
      </c>
      <c r="E4" s="690">
        <v>5</v>
      </c>
      <c r="F4" s="690">
        <v>7</v>
      </c>
      <c r="G4" s="585">
        <v>7</v>
      </c>
      <c r="H4" s="385">
        <v>19</v>
      </c>
      <c r="I4" s="754">
        <v>12</v>
      </c>
      <c r="J4" s="754">
        <v>17</v>
      </c>
      <c r="K4" s="754">
        <v>45</v>
      </c>
      <c r="L4" s="754"/>
      <c r="N4" s="386" t="s">
        <v>6247</v>
      </c>
      <c r="O4" s="385">
        <v>177</v>
      </c>
      <c r="P4" s="385">
        <v>230</v>
      </c>
      <c r="Q4" s="385">
        <v>213</v>
      </c>
      <c r="R4" s="385">
        <v>156</v>
      </c>
      <c r="S4" s="385">
        <v>156</v>
      </c>
      <c r="T4" s="585">
        <v>204</v>
      </c>
      <c r="U4" s="585">
        <v>216</v>
      </c>
      <c r="V4" s="585">
        <v>187</v>
      </c>
      <c r="W4" s="585">
        <v>117</v>
      </c>
      <c r="X4" s="585">
        <v>113</v>
      </c>
      <c r="AA4" s="386" t="s">
        <v>6248</v>
      </c>
      <c r="AB4" s="385">
        <v>0</v>
      </c>
      <c r="AC4" s="385">
        <v>0</v>
      </c>
      <c r="AD4" s="385">
        <v>0</v>
      </c>
      <c r="AE4" s="385">
        <v>12</v>
      </c>
      <c r="AF4" s="385">
        <v>40</v>
      </c>
      <c r="AG4" s="585">
        <v>47</v>
      </c>
      <c r="AH4" s="585">
        <v>34</v>
      </c>
      <c r="AI4" s="525">
        <v>42</v>
      </c>
      <c r="AJ4" s="525">
        <v>29</v>
      </c>
      <c r="AK4" s="525">
        <v>39</v>
      </c>
      <c r="AL4" s="525"/>
      <c r="AO4" s="1392"/>
      <c r="AQ4" s="599"/>
      <c r="AR4" s="599"/>
      <c r="AV4" s="525"/>
    </row>
    <row r="5" spans="1:48">
      <c r="A5" s="740" t="s">
        <v>6249</v>
      </c>
      <c r="B5" s="690">
        <v>62</v>
      </c>
      <c r="C5" s="690">
        <v>61</v>
      </c>
      <c r="D5" s="690">
        <v>69</v>
      </c>
      <c r="E5" s="690">
        <v>48</v>
      </c>
      <c r="F5" s="690">
        <v>58</v>
      </c>
      <c r="G5" s="585">
        <v>68</v>
      </c>
      <c r="H5" s="385">
        <v>83</v>
      </c>
      <c r="I5" s="754">
        <v>73</v>
      </c>
      <c r="J5" s="754">
        <v>74</v>
      </c>
      <c r="K5" s="754">
        <v>83</v>
      </c>
      <c r="L5" s="754"/>
      <c r="N5" s="740" t="s">
        <v>6250</v>
      </c>
      <c r="O5" s="690">
        <v>52</v>
      </c>
      <c r="P5" s="690">
        <v>52</v>
      </c>
      <c r="Q5" s="690">
        <v>47</v>
      </c>
      <c r="R5" s="690">
        <v>53</v>
      </c>
      <c r="S5" s="690">
        <v>57</v>
      </c>
      <c r="T5" s="585">
        <v>70</v>
      </c>
      <c r="U5" s="585">
        <v>79</v>
      </c>
      <c r="V5" s="585">
        <v>77</v>
      </c>
      <c r="W5" s="585">
        <v>97</v>
      </c>
      <c r="X5" s="585">
        <v>196</v>
      </c>
      <c r="AA5" s="386" t="s">
        <v>6251</v>
      </c>
      <c r="AB5" s="385">
        <v>0</v>
      </c>
      <c r="AC5" s="385">
        <v>0</v>
      </c>
      <c r="AD5" s="385">
        <v>0</v>
      </c>
      <c r="AE5" s="385">
        <v>0</v>
      </c>
      <c r="AF5" s="385">
        <v>0</v>
      </c>
      <c r="AG5" s="585">
        <v>0</v>
      </c>
      <c r="AH5" s="585">
        <v>0</v>
      </c>
      <c r="AI5" s="585">
        <v>0</v>
      </c>
      <c r="AJ5" s="585">
        <v>0</v>
      </c>
      <c r="AK5" s="585">
        <v>1</v>
      </c>
      <c r="AO5" s="1392"/>
      <c r="AP5" s="525"/>
      <c r="AQ5" s="599"/>
      <c r="AR5" s="599"/>
      <c r="AS5" s="525"/>
      <c r="AT5" s="674"/>
      <c r="AV5" s="525"/>
    </row>
    <row r="6" spans="1:48">
      <c r="A6" s="740" t="s">
        <v>6252</v>
      </c>
      <c r="B6" s="690">
        <v>70</v>
      </c>
      <c r="C6" s="690">
        <v>93</v>
      </c>
      <c r="D6" s="690">
        <v>79</v>
      </c>
      <c r="E6" s="690">
        <v>58</v>
      </c>
      <c r="F6" s="690">
        <v>44</v>
      </c>
      <c r="G6" s="585">
        <v>79</v>
      </c>
      <c r="H6" s="385">
        <v>83</v>
      </c>
      <c r="I6" s="754">
        <v>68</v>
      </c>
      <c r="J6" s="754">
        <v>56</v>
      </c>
      <c r="K6" s="754">
        <v>60</v>
      </c>
      <c r="L6" s="754"/>
      <c r="N6" s="740" t="s">
        <v>6253</v>
      </c>
      <c r="O6" s="690">
        <v>9</v>
      </c>
      <c r="P6" s="690">
        <v>6</v>
      </c>
      <c r="Q6" s="690">
        <v>2</v>
      </c>
      <c r="R6" s="690">
        <v>0</v>
      </c>
      <c r="S6" s="690">
        <v>0</v>
      </c>
      <c r="T6" s="585">
        <v>1</v>
      </c>
      <c r="U6" s="585">
        <v>0</v>
      </c>
      <c r="V6" s="585">
        <v>1</v>
      </c>
      <c r="W6" s="585">
        <v>7</v>
      </c>
      <c r="X6" s="585">
        <v>14</v>
      </c>
      <c r="AA6" s="386" t="s">
        <v>6254</v>
      </c>
      <c r="AB6" s="385">
        <v>0</v>
      </c>
      <c r="AC6" s="385">
        <v>0</v>
      </c>
      <c r="AD6" s="385">
        <v>0</v>
      </c>
      <c r="AE6" s="385">
        <v>0</v>
      </c>
      <c r="AF6" s="385">
        <v>0</v>
      </c>
      <c r="AG6" s="585">
        <v>0</v>
      </c>
      <c r="AH6" s="585">
        <v>0</v>
      </c>
      <c r="AI6" s="525">
        <v>0</v>
      </c>
      <c r="AJ6" s="525">
        <v>19</v>
      </c>
      <c r="AK6" s="525">
        <v>0</v>
      </c>
      <c r="AL6" s="525"/>
      <c r="AO6" s="1392"/>
      <c r="AP6" s="525"/>
      <c r="AQ6" s="599"/>
      <c r="AR6" s="599"/>
      <c r="AS6" s="525"/>
      <c r="AV6" s="525"/>
    </row>
    <row r="7" spans="1:48">
      <c r="A7" s="740" t="s">
        <v>6255</v>
      </c>
      <c r="B7" s="690">
        <v>45</v>
      </c>
      <c r="C7" s="690">
        <v>66</v>
      </c>
      <c r="D7" s="690">
        <v>49</v>
      </c>
      <c r="E7" s="690">
        <v>51</v>
      </c>
      <c r="F7" s="690">
        <v>39</v>
      </c>
      <c r="G7" s="585">
        <v>42</v>
      </c>
      <c r="H7" s="385">
        <v>47</v>
      </c>
      <c r="I7" s="754">
        <v>48</v>
      </c>
      <c r="J7" s="754">
        <v>54</v>
      </c>
      <c r="K7" s="754">
        <v>56</v>
      </c>
      <c r="L7" s="754"/>
      <c r="N7" s="740" t="s">
        <v>3162</v>
      </c>
      <c r="O7" s="690">
        <v>1</v>
      </c>
      <c r="P7" s="690">
        <v>0</v>
      </c>
      <c r="Q7" s="690">
        <v>0</v>
      </c>
      <c r="R7" s="690">
        <v>0</v>
      </c>
      <c r="S7" s="690">
        <v>0</v>
      </c>
      <c r="T7" s="585">
        <v>0</v>
      </c>
      <c r="U7" s="585">
        <v>0</v>
      </c>
      <c r="V7" s="585">
        <v>0</v>
      </c>
      <c r="W7" s="585">
        <v>0</v>
      </c>
      <c r="X7" s="585">
        <v>0</v>
      </c>
      <c r="AA7" s="386" t="s">
        <v>6256</v>
      </c>
      <c r="AB7" s="385">
        <v>0</v>
      </c>
      <c r="AC7" s="385">
        <v>154</v>
      </c>
      <c r="AD7" s="385">
        <v>186</v>
      </c>
      <c r="AE7" s="385">
        <v>151</v>
      </c>
      <c r="AF7" s="385">
        <v>147</v>
      </c>
      <c r="AG7" s="585">
        <v>208</v>
      </c>
      <c r="AH7" s="585">
        <v>236</v>
      </c>
      <c r="AI7" s="525">
        <v>191</v>
      </c>
      <c r="AJ7" s="525">
        <v>0</v>
      </c>
      <c r="AK7" s="585">
        <v>272</v>
      </c>
      <c r="AO7" s="1066"/>
      <c r="AQ7" s="599"/>
      <c r="AR7" s="599"/>
      <c r="AV7" s="525"/>
    </row>
    <row r="8" spans="1:48">
      <c r="A8" s="740" t="s">
        <v>6257</v>
      </c>
      <c r="B8" s="690">
        <v>36</v>
      </c>
      <c r="C8" s="690">
        <v>35</v>
      </c>
      <c r="D8" s="690">
        <v>35</v>
      </c>
      <c r="E8" s="690">
        <v>32</v>
      </c>
      <c r="F8" s="690">
        <v>39</v>
      </c>
      <c r="G8" s="585">
        <v>55</v>
      </c>
      <c r="H8" s="385">
        <v>39</v>
      </c>
      <c r="I8" s="754">
        <v>45</v>
      </c>
      <c r="J8" s="754">
        <v>32</v>
      </c>
      <c r="K8" s="754">
        <v>37</v>
      </c>
      <c r="L8" s="754"/>
      <c r="N8" s="800" t="s">
        <v>2597</v>
      </c>
      <c r="O8" s="722">
        <v>0</v>
      </c>
      <c r="P8" s="722">
        <v>1</v>
      </c>
      <c r="Q8" s="722">
        <v>1</v>
      </c>
      <c r="R8" s="722">
        <v>0</v>
      </c>
      <c r="S8" s="722">
        <v>0</v>
      </c>
      <c r="T8" s="586">
        <v>0</v>
      </c>
      <c r="U8" s="586">
        <v>0</v>
      </c>
      <c r="V8" s="586">
        <v>4</v>
      </c>
      <c r="W8" s="586">
        <v>45</v>
      </c>
      <c r="X8" s="586">
        <v>4</v>
      </c>
      <c r="AA8" s="386" t="s">
        <v>6258</v>
      </c>
      <c r="AB8" s="385">
        <v>0</v>
      </c>
      <c r="AC8" s="385">
        <v>8</v>
      </c>
      <c r="AD8" s="385">
        <v>11</v>
      </c>
      <c r="AE8" s="385">
        <v>15</v>
      </c>
      <c r="AF8" s="385">
        <v>19</v>
      </c>
      <c r="AG8" s="585">
        <v>13</v>
      </c>
      <c r="AH8" s="585">
        <v>16</v>
      </c>
      <c r="AI8" s="525">
        <v>23</v>
      </c>
      <c r="AJ8" s="525">
        <v>28</v>
      </c>
      <c r="AK8" s="525">
        <v>11</v>
      </c>
      <c r="AL8" s="525"/>
      <c r="AO8" s="1392"/>
      <c r="AP8" s="525"/>
      <c r="AQ8" s="599"/>
      <c r="AR8" s="599"/>
      <c r="AS8" s="525"/>
      <c r="AV8" s="525"/>
    </row>
    <row r="9" spans="1:48">
      <c r="A9" s="740" t="s">
        <v>6259</v>
      </c>
      <c r="B9" s="690">
        <v>21</v>
      </c>
      <c r="C9" s="690">
        <v>28</v>
      </c>
      <c r="D9" s="690">
        <v>25</v>
      </c>
      <c r="E9" s="690">
        <v>12</v>
      </c>
      <c r="F9" s="690">
        <v>26</v>
      </c>
      <c r="G9" s="585">
        <v>24</v>
      </c>
      <c r="H9" s="385">
        <v>24</v>
      </c>
      <c r="I9" s="754">
        <v>18</v>
      </c>
      <c r="J9" s="754">
        <v>25</v>
      </c>
      <c r="K9" s="754">
        <v>30</v>
      </c>
      <c r="L9" s="754"/>
      <c r="M9" s="599"/>
      <c r="N9" s="585" t="s">
        <v>5709</v>
      </c>
      <c r="AA9" s="386" t="s">
        <v>6260</v>
      </c>
      <c r="AB9" s="385">
        <v>0</v>
      </c>
      <c r="AC9" s="385">
        <v>3</v>
      </c>
      <c r="AD9" s="385">
        <v>2</v>
      </c>
      <c r="AE9" s="385">
        <v>4</v>
      </c>
      <c r="AF9" s="385">
        <v>2</v>
      </c>
      <c r="AG9" s="585">
        <v>3</v>
      </c>
      <c r="AH9" s="585">
        <v>4</v>
      </c>
      <c r="AI9" s="525">
        <v>4</v>
      </c>
      <c r="AJ9" s="525">
        <v>179</v>
      </c>
      <c r="AK9" s="525">
        <v>0</v>
      </c>
      <c r="AL9" s="525"/>
      <c r="AO9" s="1066"/>
      <c r="AP9" s="525"/>
      <c r="AQ9" s="599"/>
      <c r="AR9" s="599"/>
      <c r="AS9" s="525"/>
      <c r="AV9" s="525"/>
    </row>
    <row r="10" spans="1:48">
      <c r="A10" s="384" t="s">
        <v>6261</v>
      </c>
      <c r="B10" s="824">
        <v>0</v>
      </c>
      <c r="C10" s="824">
        <v>0</v>
      </c>
      <c r="D10" s="824">
        <v>1</v>
      </c>
      <c r="E10" s="824">
        <v>3</v>
      </c>
      <c r="F10" s="824">
        <v>0</v>
      </c>
      <c r="G10" s="586">
        <v>0</v>
      </c>
      <c r="H10" s="824">
        <v>0</v>
      </c>
      <c r="I10" s="792">
        <v>5</v>
      </c>
      <c r="J10" s="792">
        <v>8</v>
      </c>
      <c r="K10" s="792">
        <v>16</v>
      </c>
      <c r="L10" s="754"/>
      <c r="M10" s="599"/>
      <c r="N10" s="398" t="s">
        <v>6262</v>
      </c>
      <c r="O10" s="398"/>
      <c r="P10" s="398"/>
      <c r="Z10" s="599"/>
      <c r="AA10" s="386" t="s">
        <v>6263</v>
      </c>
      <c r="AB10" s="385">
        <v>0</v>
      </c>
      <c r="AC10" s="385">
        <v>0</v>
      </c>
      <c r="AD10" s="385">
        <v>0</v>
      </c>
      <c r="AE10" s="385">
        <v>0</v>
      </c>
      <c r="AF10" s="385">
        <v>1</v>
      </c>
      <c r="AG10" s="585">
        <v>0</v>
      </c>
      <c r="AH10" s="585">
        <v>1</v>
      </c>
      <c r="AI10" s="525">
        <v>0</v>
      </c>
      <c r="AJ10" s="525">
        <v>0</v>
      </c>
      <c r="AK10" s="585">
        <v>0</v>
      </c>
      <c r="AO10" s="1392"/>
      <c r="AP10" s="525"/>
      <c r="AQ10" s="599"/>
      <c r="AR10" s="599"/>
      <c r="AS10" s="525"/>
    </row>
    <row r="11" spans="1:48">
      <c r="A11" s="585" t="s">
        <v>5709</v>
      </c>
      <c r="M11" s="599"/>
      <c r="N11" s="740" t="s">
        <v>537</v>
      </c>
      <c r="O11" s="740"/>
      <c r="P11" s="740"/>
      <c r="Z11" s="599"/>
      <c r="AA11" s="386" t="s">
        <v>6264</v>
      </c>
      <c r="AB11" s="385">
        <v>0</v>
      </c>
      <c r="AC11" s="385">
        <v>0</v>
      </c>
      <c r="AD11" s="385">
        <v>0</v>
      </c>
      <c r="AE11" s="385">
        <v>0</v>
      </c>
      <c r="AF11" s="385">
        <v>0</v>
      </c>
      <c r="AG11" s="585">
        <v>0</v>
      </c>
      <c r="AH11" s="585">
        <v>0</v>
      </c>
      <c r="AI11" s="525">
        <v>0</v>
      </c>
      <c r="AJ11" s="525">
        <v>2</v>
      </c>
      <c r="AK11" s="525">
        <v>0</v>
      </c>
      <c r="AL11" s="525"/>
      <c r="AO11" s="1392"/>
      <c r="AP11" s="525"/>
      <c r="AQ11" s="599"/>
      <c r="AR11" s="599"/>
      <c r="AS11" s="525"/>
    </row>
    <row r="12" spans="1:48">
      <c r="A12" s="398" t="s">
        <v>6262</v>
      </c>
      <c r="B12" s="398"/>
      <c r="C12" s="398"/>
      <c r="M12" s="599"/>
      <c r="Z12" s="599"/>
      <c r="AA12" s="386" t="s">
        <v>6265</v>
      </c>
      <c r="AB12" s="385">
        <v>219</v>
      </c>
      <c r="AC12" s="385">
        <v>114</v>
      </c>
      <c r="AD12" s="385">
        <v>60</v>
      </c>
      <c r="AE12" s="385">
        <v>23</v>
      </c>
      <c r="AF12" s="385">
        <v>0</v>
      </c>
      <c r="AG12" s="585">
        <v>0</v>
      </c>
      <c r="AH12" s="585">
        <v>0</v>
      </c>
      <c r="AI12" s="525">
        <v>0</v>
      </c>
      <c r="AJ12" s="525">
        <v>0</v>
      </c>
      <c r="AK12" s="525">
        <v>0</v>
      </c>
      <c r="AL12" s="525"/>
      <c r="AO12" s="1392"/>
      <c r="AP12" s="525"/>
      <c r="AQ12" s="599"/>
      <c r="AR12" s="599"/>
      <c r="AS12" s="525"/>
    </row>
    <row r="13" spans="1:48">
      <c r="A13" s="585" t="s">
        <v>537</v>
      </c>
      <c r="N13" s="382"/>
      <c r="O13" s="382"/>
      <c r="P13" s="382"/>
      <c r="Q13" s="382"/>
      <c r="R13" s="382"/>
      <c r="S13" s="382"/>
      <c r="T13" s="382"/>
      <c r="U13" s="382"/>
      <c r="Z13" s="599"/>
      <c r="AA13" s="386" t="s">
        <v>6266</v>
      </c>
      <c r="AB13" s="385">
        <v>0</v>
      </c>
      <c r="AC13" s="385">
        <v>0</v>
      </c>
      <c r="AD13" s="385">
        <v>0</v>
      </c>
      <c r="AE13" s="385">
        <v>0</v>
      </c>
      <c r="AF13" s="385">
        <v>0</v>
      </c>
      <c r="AG13" s="585">
        <v>0</v>
      </c>
      <c r="AH13" s="585">
        <v>0</v>
      </c>
      <c r="AI13" s="525">
        <v>0</v>
      </c>
      <c r="AJ13" s="525">
        <v>0</v>
      </c>
      <c r="AK13" s="525">
        <v>0</v>
      </c>
      <c r="AL13" s="525"/>
      <c r="AO13" s="1392"/>
      <c r="AP13" s="525"/>
      <c r="AQ13" s="599"/>
      <c r="AR13" s="599"/>
      <c r="AS13" s="525"/>
    </row>
    <row r="14" spans="1:48">
      <c r="N14" s="382"/>
      <c r="O14" s="382"/>
      <c r="P14" s="382"/>
      <c r="Q14" s="382"/>
      <c r="R14" s="382"/>
      <c r="S14" s="382"/>
      <c r="T14" s="382"/>
      <c r="U14" s="382"/>
      <c r="AA14" s="386" t="s">
        <v>6267</v>
      </c>
      <c r="AB14" s="385">
        <v>0</v>
      </c>
      <c r="AC14" s="385">
        <v>0</v>
      </c>
      <c r="AD14" s="385">
        <v>0</v>
      </c>
      <c r="AE14" s="385">
        <v>0</v>
      </c>
      <c r="AF14" s="385">
        <v>0</v>
      </c>
      <c r="AG14" s="585">
        <v>0</v>
      </c>
      <c r="AH14" s="585">
        <v>0</v>
      </c>
      <c r="AI14" s="525">
        <v>0</v>
      </c>
      <c r="AJ14" s="525">
        <v>0</v>
      </c>
      <c r="AK14" s="525">
        <v>0</v>
      </c>
      <c r="AL14" s="525"/>
      <c r="AO14" s="1392"/>
      <c r="AP14" s="525"/>
      <c r="AQ14" s="599"/>
      <c r="AR14" s="599"/>
      <c r="AS14" s="525"/>
    </row>
    <row r="15" spans="1:48">
      <c r="M15" s="599"/>
      <c r="N15" s="382"/>
      <c r="O15" s="382"/>
      <c r="P15" s="382"/>
      <c r="Q15" s="382"/>
      <c r="R15" s="382"/>
      <c r="S15" s="382"/>
      <c r="T15" s="382"/>
      <c r="U15" s="382"/>
      <c r="AA15" s="386" t="s">
        <v>6268</v>
      </c>
      <c r="AB15" s="385">
        <v>0</v>
      </c>
      <c r="AC15" s="385">
        <v>0</v>
      </c>
      <c r="AD15" s="385">
        <v>1</v>
      </c>
      <c r="AE15" s="385">
        <v>0</v>
      </c>
      <c r="AF15" s="385">
        <v>1</v>
      </c>
      <c r="AG15" s="585">
        <v>1</v>
      </c>
      <c r="AH15" s="585">
        <v>3</v>
      </c>
      <c r="AI15" s="525">
        <v>9</v>
      </c>
      <c r="AJ15" s="525">
        <v>5</v>
      </c>
      <c r="AK15" s="525">
        <v>3</v>
      </c>
      <c r="AL15" s="525"/>
      <c r="AO15" s="1392"/>
      <c r="AP15" s="525"/>
      <c r="AQ15" s="599"/>
      <c r="AR15" s="599"/>
      <c r="AS15" s="525"/>
    </row>
    <row r="16" spans="1:48">
      <c r="M16" s="599"/>
      <c r="N16" s="382"/>
      <c r="O16" s="382"/>
      <c r="P16" s="382"/>
      <c r="Q16" s="382"/>
      <c r="R16" s="382"/>
      <c r="S16" s="382"/>
      <c r="T16" s="382"/>
      <c r="U16" s="382"/>
      <c r="AA16" s="386" t="s">
        <v>6269</v>
      </c>
      <c r="AB16" s="385">
        <v>13</v>
      </c>
      <c r="AC16" s="385">
        <v>8</v>
      </c>
      <c r="AD16" s="385">
        <v>3</v>
      </c>
      <c r="AE16" s="385">
        <v>1</v>
      </c>
      <c r="AF16" s="385">
        <v>3</v>
      </c>
      <c r="AG16" s="585">
        <v>3</v>
      </c>
      <c r="AH16" s="585">
        <v>1</v>
      </c>
      <c r="AI16" s="525">
        <v>0</v>
      </c>
      <c r="AJ16" s="585">
        <v>4</v>
      </c>
      <c r="AK16" s="585">
        <v>1</v>
      </c>
      <c r="AO16" s="1392"/>
      <c r="AQ16" s="599"/>
      <c r="AR16" s="599"/>
    </row>
    <row r="17" spans="13:45">
      <c r="M17" s="599"/>
      <c r="N17" s="382"/>
      <c r="O17" s="382"/>
      <c r="P17" s="382"/>
      <c r="Q17" s="382"/>
      <c r="R17" s="382"/>
      <c r="S17" s="382"/>
      <c r="T17" s="382"/>
      <c r="U17" s="382"/>
      <c r="AA17" s="386" t="s">
        <v>6270</v>
      </c>
      <c r="AB17" s="385">
        <v>0</v>
      </c>
      <c r="AC17" s="385">
        <v>0</v>
      </c>
      <c r="AD17" s="385">
        <v>0</v>
      </c>
      <c r="AE17" s="385">
        <v>0</v>
      </c>
      <c r="AF17" s="385">
        <v>0</v>
      </c>
      <c r="AG17" s="585">
        <v>0</v>
      </c>
      <c r="AH17" s="585">
        <v>0</v>
      </c>
      <c r="AI17" s="525">
        <v>0</v>
      </c>
      <c r="AJ17" s="525">
        <v>0</v>
      </c>
      <c r="AK17" s="525">
        <v>0</v>
      </c>
      <c r="AL17" s="525"/>
      <c r="AO17" s="1392"/>
      <c r="AP17" s="525"/>
      <c r="AQ17" s="599"/>
      <c r="AR17" s="599"/>
      <c r="AS17" s="525"/>
    </row>
    <row r="18" spans="13:45">
      <c r="M18" s="599"/>
      <c r="N18" s="382"/>
      <c r="O18" s="382"/>
      <c r="P18" s="382"/>
      <c r="Q18" s="382"/>
      <c r="R18" s="382"/>
      <c r="S18" s="382"/>
      <c r="T18" s="382"/>
      <c r="U18" s="382"/>
      <c r="AA18" s="386" t="s">
        <v>6271</v>
      </c>
      <c r="AB18" s="385">
        <v>1</v>
      </c>
      <c r="AC18" s="385">
        <v>1</v>
      </c>
      <c r="AD18" s="385">
        <v>0</v>
      </c>
      <c r="AE18" s="385">
        <v>0</v>
      </c>
      <c r="AF18" s="385">
        <v>1</v>
      </c>
      <c r="AG18" s="585">
        <v>0</v>
      </c>
      <c r="AH18" s="585">
        <v>0</v>
      </c>
      <c r="AI18" s="525">
        <v>0</v>
      </c>
      <c r="AJ18" s="525">
        <v>0</v>
      </c>
      <c r="AK18" s="525">
        <v>0</v>
      </c>
      <c r="AL18" s="525"/>
      <c r="AO18" s="1392"/>
      <c r="AP18" s="525"/>
      <c r="AQ18" s="599"/>
      <c r="AR18" s="599"/>
      <c r="AS18" s="525"/>
    </row>
    <row r="19" spans="13:45">
      <c r="N19" s="382"/>
      <c r="O19" s="382"/>
      <c r="P19" s="382"/>
      <c r="Q19" s="382"/>
      <c r="R19" s="382"/>
      <c r="S19" s="382"/>
      <c r="T19" s="382"/>
      <c r="U19" s="382"/>
      <c r="AA19" s="386" t="s">
        <v>6272</v>
      </c>
      <c r="AB19" s="385">
        <v>0</v>
      </c>
      <c r="AC19" s="385">
        <v>0</v>
      </c>
      <c r="AD19" s="385">
        <v>0</v>
      </c>
      <c r="AE19" s="385">
        <v>1</v>
      </c>
      <c r="AF19" s="385">
        <v>0</v>
      </c>
      <c r="AG19" s="585">
        <v>0</v>
      </c>
      <c r="AH19" s="585">
        <v>0</v>
      </c>
      <c r="AI19" s="525">
        <v>0</v>
      </c>
      <c r="AJ19" s="525">
        <v>0</v>
      </c>
      <c r="AK19" s="525">
        <v>0</v>
      </c>
      <c r="AL19" s="525"/>
      <c r="AO19" s="1392"/>
      <c r="AP19" s="525"/>
      <c r="AQ19" s="599"/>
      <c r="AR19" s="599"/>
      <c r="AS19" s="525"/>
    </row>
    <row r="20" spans="13:45">
      <c r="N20" s="382"/>
      <c r="O20" s="382"/>
      <c r="P20" s="382"/>
      <c r="Q20" s="382"/>
      <c r="R20" s="382"/>
      <c r="S20" s="382"/>
      <c r="T20" s="382"/>
      <c r="U20" s="382"/>
      <c r="AA20" s="386" t="s">
        <v>6273</v>
      </c>
      <c r="AB20" s="385">
        <v>1</v>
      </c>
      <c r="AC20" s="385">
        <v>0</v>
      </c>
      <c r="AD20" s="385">
        <v>0</v>
      </c>
      <c r="AE20" s="385">
        <v>0</v>
      </c>
      <c r="AF20" s="385">
        <v>0</v>
      </c>
      <c r="AG20" s="385">
        <v>0</v>
      </c>
      <c r="AH20" s="385">
        <v>0</v>
      </c>
      <c r="AI20" s="525">
        <v>0</v>
      </c>
      <c r="AJ20" s="525">
        <v>0</v>
      </c>
      <c r="AK20" s="525">
        <v>0</v>
      </c>
      <c r="AL20" s="525"/>
      <c r="AO20" s="1392"/>
      <c r="AP20" s="525"/>
      <c r="AQ20" s="599"/>
      <c r="AR20" s="599"/>
      <c r="AS20" s="525"/>
    </row>
    <row r="21" spans="13:45">
      <c r="N21" s="382"/>
      <c r="O21" s="382"/>
      <c r="P21" s="382"/>
      <c r="Q21" s="382"/>
      <c r="R21" s="382"/>
      <c r="S21" s="382"/>
      <c r="T21" s="382"/>
      <c r="U21" s="382"/>
      <c r="AA21" s="386" t="s">
        <v>6274</v>
      </c>
      <c r="AB21" s="385">
        <v>1</v>
      </c>
      <c r="AC21" s="385">
        <v>0</v>
      </c>
      <c r="AD21" s="385">
        <v>0</v>
      </c>
      <c r="AE21" s="385">
        <v>0</v>
      </c>
      <c r="AF21" s="385">
        <v>0</v>
      </c>
      <c r="AG21" s="385">
        <v>0</v>
      </c>
      <c r="AH21" s="385">
        <v>0</v>
      </c>
      <c r="AI21" s="525">
        <v>0</v>
      </c>
      <c r="AJ21" s="525">
        <v>0</v>
      </c>
      <c r="AK21" s="525">
        <v>0</v>
      </c>
      <c r="AL21" s="525"/>
      <c r="AO21" s="1392"/>
      <c r="AQ21" s="599"/>
      <c r="AR21" s="599"/>
    </row>
    <row r="22" spans="13:45">
      <c r="N22" s="382"/>
      <c r="O22" s="382"/>
      <c r="P22" s="382"/>
      <c r="Q22" s="382"/>
      <c r="R22" s="382"/>
      <c r="S22" s="382"/>
      <c r="T22" s="382"/>
      <c r="U22" s="382"/>
      <c r="AA22" s="386" t="s">
        <v>6275</v>
      </c>
      <c r="AB22" s="385">
        <v>2</v>
      </c>
      <c r="AC22" s="385">
        <v>0</v>
      </c>
      <c r="AD22" s="385">
        <v>0</v>
      </c>
      <c r="AE22" s="385">
        <v>0</v>
      </c>
      <c r="AF22" s="385">
        <v>0</v>
      </c>
      <c r="AG22" s="385">
        <v>0</v>
      </c>
      <c r="AH22" s="385">
        <v>0</v>
      </c>
      <c r="AI22" s="525">
        <v>0</v>
      </c>
      <c r="AJ22" s="525">
        <v>0</v>
      </c>
      <c r="AK22" s="525">
        <v>0</v>
      </c>
      <c r="AL22" s="525"/>
    </row>
    <row r="23" spans="13:45">
      <c r="N23" s="382"/>
      <c r="O23" s="382"/>
      <c r="P23" s="382"/>
      <c r="Q23" s="382"/>
      <c r="R23" s="382"/>
      <c r="S23" s="382"/>
      <c r="T23" s="382"/>
      <c r="U23" s="382"/>
      <c r="AA23" s="386" t="s">
        <v>6276</v>
      </c>
      <c r="AB23" s="385">
        <v>1</v>
      </c>
      <c r="AC23" s="385">
        <v>0</v>
      </c>
      <c r="AD23" s="385">
        <v>0</v>
      </c>
      <c r="AE23" s="385">
        <v>0</v>
      </c>
      <c r="AF23" s="385">
        <v>0</v>
      </c>
      <c r="AG23" s="385">
        <v>0</v>
      </c>
      <c r="AH23" s="385">
        <v>0</v>
      </c>
      <c r="AI23" s="525">
        <v>0</v>
      </c>
      <c r="AJ23" s="525">
        <v>0</v>
      </c>
      <c r="AK23" s="525">
        <v>0</v>
      </c>
      <c r="AL23" s="525"/>
      <c r="AO23" s="398"/>
    </row>
    <row r="24" spans="13:45">
      <c r="N24" s="382"/>
      <c r="O24" s="382"/>
      <c r="P24" s="382"/>
      <c r="Q24" s="382"/>
      <c r="R24" s="382"/>
      <c r="S24" s="382"/>
      <c r="T24" s="382"/>
      <c r="U24" s="382"/>
      <c r="AA24" s="386" t="s">
        <v>6277</v>
      </c>
      <c r="AB24" s="385">
        <v>1</v>
      </c>
      <c r="AC24" s="385">
        <v>0</v>
      </c>
      <c r="AD24" s="385">
        <v>0</v>
      </c>
      <c r="AE24" s="385">
        <v>0</v>
      </c>
      <c r="AF24" s="385">
        <v>0</v>
      </c>
      <c r="AG24" s="385">
        <v>0</v>
      </c>
      <c r="AH24" s="385">
        <v>0</v>
      </c>
      <c r="AI24" s="525">
        <v>0</v>
      </c>
      <c r="AJ24" s="525">
        <v>0</v>
      </c>
      <c r="AK24" s="525">
        <v>0</v>
      </c>
      <c r="AL24" s="525"/>
    </row>
    <row r="25" spans="13:45">
      <c r="N25" s="382"/>
      <c r="O25" s="382"/>
      <c r="P25" s="382"/>
      <c r="Q25" s="382"/>
      <c r="R25" s="382"/>
      <c r="S25" s="382"/>
      <c r="T25" s="382"/>
      <c r="U25" s="382"/>
      <c r="AA25" s="384" t="s">
        <v>2574</v>
      </c>
      <c r="AB25" s="824">
        <v>0</v>
      </c>
      <c r="AC25" s="824">
        <v>1</v>
      </c>
      <c r="AD25" s="824">
        <v>0</v>
      </c>
      <c r="AE25" s="824">
        <v>2</v>
      </c>
      <c r="AF25" s="824">
        <v>0</v>
      </c>
      <c r="AG25" s="586">
        <v>0</v>
      </c>
      <c r="AH25" s="586">
        <v>0</v>
      </c>
      <c r="AI25" s="633">
        <v>0</v>
      </c>
      <c r="AJ25" s="633">
        <v>0</v>
      </c>
      <c r="AK25" s="633">
        <v>0</v>
      </c>
      <c r="AL25" s="525"/>
      <c r="AO25" s="398"/>
    </row>
    <row r="26" spans="13:45">
      <c r="N26" s="382"/>
      <c r="O26" s="382"/>
      <c r="P26" s="382"/>
      <c r="Q26" s="382"/>
      <c r="R26" s="382"/>
      <c r="S26" s="382"/>
      <c r="T26" s="382"/>
      <c r="U26" s="382"/>
      <c r="AA26" s="585" t="s">
        <v>5709</v>
      </c>
    </row>
    <row r="27" spans="13:45">
      <c r="N27" s="382"/>
      <c r="O27" s="382"/>
      <c r="P27" s="382"/>
      <c r="Q27" s="382"/>
      <c r="R27" s="382"/>
      <c r="S27" s="382"/>
      <c r="T27" s="382"/>
      <c r="U27" s="382"/>
      <c r="AA27" s="398" t="s">
        <v>6262</v>
      </c>
      <c r="AB27" s="398"/>
      <c r="AC27" s="398"/>
    </row>
    <row r="28" spans="13:45">
      <c r="AA28" s="386" t="s">
        <v>537</v>
      </c>
      <c r="AB28" s="386"/>
      <c r="AC28" s="386"/>
    </row>
    <row r="29" spans="13:45">
      <c r="AA29" s="674"/>
      <c r="AB29" s="674"/>
      <c r="AC29" s="674"/>
    </row>
    <row r="30" spans="13:45">
      <c r="AJ30" s="525"/>
    </row>
    <row r="49" spans="13:26">
      <c r="M49" s="599"/>
      <c r="N49" s="599"/>
      <c r="O49" s="599"/>
      <c r="P49" s="599"/>
      <c r="Q49" s="599"/>
      <c r="R49" s="599"/>
      <c r="S49" s="599"/>
      <c r="T49" s="599"/>
      <c r="U49" s="599"/>
      <c r="V49" s="599"/>
      <c r="W49" s="599"/>
      <c r="X49" s="599"/>
      <c r="Y49" s="599"/>
      <c r="Z49" s="599"/>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79D3-8EB2-4C44-888D-58B3531361DE}">
  <sheetPr>
    <tabColor theme="7" tint="0.59999389629810485"/>
  </sheetPr>
  <dimension ref="A1:BA290"/>
  <sheetViews>
    <sheetView showGridLines="0" topLeftCell="AI1" zoomScale="90" zoomScaleNormal="90" workbookViewId="0">
      <selection activeCell="K3" sqref="K3"/>
    </sheetView>
  </sheetViews>
  <sheetFormatPr defaultRowHeight="12.75"/>
  <cols>
    <col min="1" max="1" width="17.42578125" style="585" customWidth="1"/>
    <col min="2" max="12" width="10.7109375" style="585" customWidth="1"/>
    <col min="13" max="13" width="10.85546875" style="585" customWidth="1"/>
    <col min="14" max="14" width="18.85546875" style="585" customWidth="1"/>
    <col min="15" max="25" width="10.7109375" style="585" customWidth="1"/>
    <col min="26" max="26" width="12.28515625" style="585" customWidth="1"/>
    <col min="27" max="27" width="18.28515625" style="585" customWidth="1"/>
    <col min="28" max="38" width="10.7109375" style="585" customWidth="1"/>
    <col min="39" max="39" width="9.140625" style="585"/>
    <col min="40" max="40" width="27" style="585" customWidth="1"/>
    <col min="41" max="41" width="14.42578125" style="585" customWidth="1"/>
    <col min="42" max="42" width="14.5703125" style="585" customWidth="1"/>
    <col min="43" max="43" width="14.42578125" style="585" customWidth="1"/>
    <col min="44" max="45" width="14.28515625" style="585" customWidth="1"/>
    <col min="46" max="46" width="18.7109375" style="585" customWidth="1"/>
    <col min="47" max="47" width="14.28515625" style="585" customWidth="1"/>
    <col min="48" max="48" width="9.85546875" style="585" customWidth="1"/>
    <col min="49" max="53" width="18.7109375" style="585" customWidth="1"/>
    <col min="54" max="58" width="20.7109375" style="585" customWidth="1"/>
    <col min="59" max="59" width="20.85546875" style="585" customWidth="1"/>
    <col min="60" max="16384" width="9.140625" style="585"/>
  </cols>
  <sheetData>
    <row r="1" spans="1:53">
      <c r="A1" s="381" t="s">
        <v>6278</v>
      </c>
      <c r="B1" s="381"/>
      <c r="C1" s="381"/>
      <c r="D1" s="678"/>
      <c r="E1" s="678"/>
      <c r="F1" s="678"/>
      <c r="G1" s="678"/>
      <c r="H1" s="678"/>
      <c r="I1" s="678"/>
      <c r="J1" s="678"/>
      <c r="K1" s="678"/>
      <c r="L1" s="674"/>
      <c r="N1" s="381" t="s">
        <v>6279</v>
      </c>
      <c r="O1" s="381"/>
      <c r="P1" s="381"/>
      <c r="Q1" s="678"/>
      <c r="R1" s="678"/>
      <c r="S1" s="678"/>
      <c r="T1" s="678"/>
      <c r="U1" s="678"/>
      <c r="V1" s="678"/>
      <c r="W1" s="678"/>
      <c r="X1" s="586"/>
      <c r="Z1" s="674"/>
      <c r="AA1" s="381" t="s">
        <v>6280</v>
      </c>
      <c r="AB1" s="381"/>
      <c r="AC1" s="381"/>
      <c r="AD1" s="1391"/>
      <c r="AE1" s="678"/>
      <c r="AF1" s="678"/>
      <c r="AG1" s="678"/>
      <c r="AH1" s="678"/>
      <c r="AI1" s="678"/>
      <c r="AJ1" s="678"/>
      <c r="AK1" s="586"/>
      <c r="AN1" s="381" t="s">
        <v>6281</v>
      </c>
      <c r="AO1" s="381"/>
      <c r="AP1" s="381"/>
      <c r="AQ1" s="381"/>
      <c r="AR1" s="381"/>
      <c r="AS1" s="586"/>
      <c r="AU1" s="381" t="s">
        <v>6282</v>
      </c>
      <c r="AV1" s="381"/>
      <c r="AW1" s="381"/>
      <c r="AX1" s="381"/>
    </row>
    <row r="2" spans="1:53">
      <c r="A2" s="937" t="s">
        <v>6283</v>
      </c>
      <c r="B2" s="1094" t="s">
        <v>6233</v>
      </c>
      <c r="C2" s="1094" t="s">
        <v>6234</v>
      </c>
      <c r="D2" s="1094" t="s">
        <v>6235</v>
      </c>
      <c r="E2" s="1094" t="s">
        <v>6236</v>
      </c>
      <c r="F2" s="728" t="s">
        <v>6237</v>
      </c>
      <c r="G2" s="723" t="s">
        <v>6238</v>
      </c>
      <c r="H2" s="614" t="s">
        <v>6239</v>
      </c>
      <c r="I2" s="611" t="s">
        <v>6240</v>
      </c>
      <c r="J2" s="614" t="s">
        <v>6241</v>
      </c>
      <c r="K2" s="590" t="s">
        <v>6242</v>
      </c>
      <c r="L2" s="599"/>
      <c r="M2" s="674"/>
      <c r="N2" s="1393" t="s">
        <v>6284</v>
      </c>
      <c r="O2" s="1064" t="s">
        <v>6233</v>
      </c>
      <c r="P2" s="1064" t="s">
        <v>6234</v>
      </c>
      <c r="Q2" s="1064" t="s">
        <v>6235</v>
      </c>
      <c r="R2" s="1065" t="s">
        <v>6236</v>
      </c>
      <c r="S2" s="642" t="s">
        <v>6237</v>
      </c>
      <c r="T2" s="723" t="s">
        <v>6238</v>
      </c>
      <c r="U2" s="614" t="s">
        <v>6239</v>
      </c>
      <c r="V2" s="614" t="s">
        <v>6240</v>
      </c>
      <c r="W2" s="614" t="s">
        <v>6241</v>
      </c>
      <c r="X2" s="590" t="s">
        <v>6242</v>
      </c>
      <c r="Y2" s="599"/>
      <c r="Z2" s="385"/>
      <c r="AA2" s="1393" t="s">
        <v>6285</v>
      </c>
      <c r="AB2" s="1064" t="s">
        <v>6233</v>
      </c>
      <c r="AC2" s="1064" t="s">
        <v>6234</v>
      </c>
      <c r="AD2" s="1064" t="s">
        <v>6235</v>
      </c>
      <c r="AE2" s="1065" t="s">
        <v>6236</v>
      </c>
      <c r="AF2" s="642" t="s">
        <v>6237</v>
      </c>
      <c r="AG2" s="589" t="s">
        <v>6238</v>
      </c>
      <c r="AH2" s="614" t="s">
        <v>6239</v>
      </c>
      <c r="AI2" s="614" t="s">
        <v>6240</v>
      </c>
      <c r="AJ2" s="614" t="s">
        <v>6241</v>
      </c>
      <c r="AK2" s="590" t="s">
        <v>6242</v>
      </c>
      <c r="AL2" s="599"/>
      <c r="AN2" s="585" t="s">
        <v>6286</v>
      </c>
      <c r="AO2" s="604"/>
      <c r="AP2" s="604"/>
      <c r="AQ2" s="604"/>
      <c r="AR2" s="602"/>
      <c r="AS2" s="602"/>
      <c r="AU2" s="382"/>
      <c r="AV2" s="401"/>
      <c r="AW2" s="404" t="s">
        <v>1967</v>
      </c>
      <c r="AX2" s="439" t="s">
        <v>6287</v>
      </c>
      <c r="AY2" s="405" t="s">
        <v>6288</v>
      </c>
      <c r="AZ2" s="405" t="s">
        <v>6289</v>
      </c>
      <c r="BA2" s="602"/>
    </row>
    <row r="3" spans="1:53">
      <c r="A3" s="585" t="s">
        <v>3502</v>
      </c>
      <c r="B3" s="585">
        <f>SUM(B4:B23,B29:B31)</f>
        <v>239</v>
      </c>
      <c r="C3" s="585">
        <f>SUM(C4:C23,C29:C31)</f>
        <v>289</v>
      </c>
      <c r="D3" s="585">
        <f>SUM(D4:D23,D30:D31)</f>
        <v>263</v>
      </c>
      <c r="E3" s="585">
        <f>SUM(E4:E31)</f>
        <v>209</v>
      </c>
      <c r="F3" s="585">
        <v>213</v>
      </c>
      <c r="G3" s="525">
        <f>SUM(G4:G31)</f>
        <v>275</v>
      </c>
      <c r="H3" s="525">
        <f>SUM(H4:H31)</f>
        <v>295</v>
      </c>
      <c r="I3" s="525">
        <f>SUM(I4:I31)</f>
        <v>269</v>
      </c>
      <c r="J3" s="525">
        <f>SUM(J4:J23,J30:J31)</f>
        <v>266</v>
      </c>
      <c r="K3" s="525">
        <f>SUM(K4:K23,K30:K31)</f>
        <v>327</v>
      </c>
      <c r="L3" s="525"/>
      <c r="M3" s="599"/>
      <c r="N3" s="585" t="s">
        <v>3502</v>
      </c>
      <c r="O3" s="856">
        <f>SUM(O4:O10)</f>
        <v>239</v>
      </c>
      <c r="P3" s="856">
        <f>SUM(P4:P10)</f>
        <v>289</v>
      </c>
      <c r="Q3" s="856">
        <f>SUM(Q4:Q10)</f>
        <v>263</v>
      </c>
      <c r="R3" s="856">
        <f>SUM(R4:R10)</f>
        <v>209</v>
      </c>
      <c r="S3" s="585">
        <v>213</v>
      </c>
      <c r="T3" s="525">
        <f t="shared" ref="T3:X3" si="0">SUM(T4:T10)</f>
        <v>275</v>
      </c>
      <c r="U3" s="525">
        <f t="shared" si="0"/>
        <v>295</v>
      </c>
      <c r="V3" s="525">
        <f t="shared" si="0"/>
        <v>269</v>
      </c>
      <c r="W3" s="525">
        <f t="shared" si="0"/>
        <v>266</v>
      </c>
      <c r="X3" s="525">
        <f t="shared" si="0"/>
        <v>327</v>
      </c>
      <c r="Y3" s="525"/>
      <c r="AA3" s="382" t="s">
        <v>3017</v>
      </c>
      <c r="AB3" s="917">
        <f>SUM(AB4:AB9)</f>
        <v>239</v>
      </c>
      <c r="AC3" s="917">
        <f>SUM(AC4:AC9)</f>
        <v>289</v>
      </c>
      <c r="AD3" s="917">
        <f>SUM(AD4:AD9)</f>
        <v>263</v>
      </c>
      <c r="AE3" s="917">
        <f>SUM(AE4:AE9)</f>
        <v>209</v>
      </c>
      <c r="AF3" s="382">
        <v>213</v>
      </c>
      <c r="AG3" s="525">
        <f>SUM(AG4:AG9)</f>
        <v>275</v>
      </c>
      <c r="AH3" s="525">
        <f t="shared" ref="AH3:AK3" si="1">SUM(AH4:AH9)</f>
        <v>295</v>
      </c>
      <c r="AI3" s="525">
        <f t="shared" si="1"/>
        <v>269</v>
      </c>
      <c r="AJ3" s="525">
        <f t="shared" si="1"/>
        <v>266</v>
      </c>
      <c r="AK3" s="525">
        <f t="shared" si="1"/>
        <v>327</v>
      </c>
      <c r="AL3" s="525"/>
      <c r="AN3" s="586" t="s">
        <v>6290</v>
      </c>
      <c r="AO3" s="1074">
        <v>2017</v>
      </c>
      <c r="AP3" s="1074">
        <v>2016</v>
      </c>
      <c r="AQ3" s="1074">
        <v>2015</v>
      </c>
      <c r="AR3" s="885">
        <v>2014</v>
      </c>
      <c r="AS3" s="885">
        <v>2013</v>
      </c>
      <c r="AU3" s="381" t="s">
        <v>6291</v>
      </c>
      <c r="AV3" s="441" t="s">
        <v>129</v>
      </c>
      <c r="AW3" s="441" t="s">
        <v>6292</v>
      </c>
      <c r="AX3" s="477" t="s">
        <v>6293</v>
      </c>
      <c r="AY3" s="442" t="s">
        <v>6294</v>
      </c>
      <c r="AZ3" s="442" t="s">
        <v>6295</v>
      </c>
      <c r="BA3" s="442" t="s">
        <v>2597</v>
      </c>
    </row>
    <row r="4" spans="1:53">
      <c r="A4" s="740" t="s">
        <v>1705</v>
      </c>
      <c r="B4" s="690">
        <v>93</v>
      </c>
      <c r="C4" s="690">
        <v>156</v>
      </c>
      <c r="D4" s="690">
        <v>160</v>
      </c>
      <c r="E4" s="690">
        <v>153</v>
      </c>
      <c r="F4" s="674">
        <v>146</v>
      </c>
      <c r="G4" s="585">
        <v>176</v>
      </c>
      <c r="H4" s="585">
        <v>168</v>
      </c>
      <c r="I4" s="525">
        <v>137</v>
      </c>
      <c r="J4" s="525">
        <v>143</v>
      </c>
      <c r="K4" s="525">
        <v>194</v>
      </c>
      <c r="L4" s="525"/>
      <c r="M4" s="525"/>
      <c r="N4" s="1394" t="s">
        <v>6296</v>
      </c>
      <c r="O4" s="928">
        <v>20</v>
      </c>
      <c r="P4" s="928">
        <v>60</v>
      </c>
      <c r="Q4" s="928">
        <v>68</v>
      </c>
      <c r="R4" s="928">
        <v>45</v>
      </c>
      <c r="S4" s="928">
        <v>49</v>
      </c>
      <c r="T4" s="585">
        <v>73</v>
      </c>
      <c r="U4" s="585">
        <v>98</v>
      </c>
      <c r="V4" s="525">
        <v>69</v>
      </c>
      <c r="W4" s="525">
        <v>81</v>
      </c>
      <c r="X4" s="525">
        <v>176</v>
      </c>
      <c r="Y4" s="525"/>
      <c r="AA4" s="1394" t="s">
        <v>6296</v>
      </c>
      <c r="AB4" s="928">
        <v>90</v>
      </c>
      <c r="AC4" s="928">
        <v>95</v>
      </c>
      <c r="AD4" s="928">
        <v>86</v>
      </c>
      <c r="AE4" s="928">
        <v>56</v>
      </c>
      <c r="AF4" s="928">
        <v>64</v>
      </c>
      <c r="AG4" s="585">
        <v>88</v>
      </c>
      <c r="AH4" s="585">
        <v>118</v>
      </c>
      <c r="AI4" s="525">
        <v>96</v>
      </c>
      <c r="AJ4" s="525">
        <v>95</v>
      </c>
      <c r="AK4" s="525">
        <v>161</v>
      </c>
      <c r="AL4" s="525"/>
      <c r="AN4" s="382" t="s">
        <v>3507</v>
      </c>
      <c r="AO4" s="917">
        <f>SUM(AO5:AO10)</f>
        <v>239</v>
      </c>
      <c r="AP4" s="917">
        <f>SUM(AP5:AP10)</f>
        <v>289</v>
      </c>
      <c r="AQ4" s="917">
        <f>SUM(AQ5:AQ10)</f>
        <v>263</v>
      </c>
      <c r="AR4" s="917">
        <f>SUM(AR5:AR10)</f>
        <v>209</v>
      </c>
      <c r="AS4" s="382">
        <v>213</v>
      </c>
      <c r="AU4" s="451">
        <v>2017</v>
      </c>
      <c r="AV4" s="439">
        <f>SUM(AW4:BA4)</f>
        <v>239</v>
      </c>
      <c r="AW4" s="439">
        <v>0</v>
      </c>
      <c r="AX4" s="439">
        <v>237</v>
      </c>
      <c r="AY4" s="439">
        <v>0</v>
      </c>
      <c r="AZ4" s="439">
        <v>2</v>
      </c>
      <c r="BA4" s="439">
        <v>0</v>
      </c>
    </row>
    <row r="5" spans="1:53">
      <c r="A5" s="740" t="s">
        <v>1696</v>
      </c>
      <c r="B5" s="690">
        <v>56</v>
      </c>
      <c r="C5" s="690">
        <v>40</v>
      </c>
      <c r="D5" s="690">
        <v>33</v>
      </c>
      <c r="E5" s="690">
        <v>9</v>
      </c>
      <c r="F5" s="674">
        <v>15</v>
      </c>
      <c r="G5" s="585">
        <v>20</v>
      </c>
      <c r="H5" s="585">
        <v>43</v>
      </c>
      <c r="I5" s="525">
        <v>45</v>
      </c>
      <c r="J5" s="525">
        <v>42</v>
      </c>
      <c r="K5" s="525">
        <v>34</v>
      </c>
      <c r="L5" s="525"/>
      <c r="M5" s="525"/>
      <c r="N5" s="1394">
        <v>1</v>
      </c>
      <c r="O5" s="928">
        <v>54</v>
      </c>
      <c r="P5" s="928">
        <v>54</v>
      </c>
      <c r="Q5" s="928">
        <v>56</v>
      </c>
      <c r="R5" s="928">
        <v>39</v>
      </c>
      <c r="S5" s="928">
        <v>53</v>
      </c>
      <c r="T5" s="585">
        <v>50</v>
      </c>
      <c r="U5" s="585">
        <v>53</v>
      </c>
      <c r="V5" s="525">
        <v>42</v>
      </c>
      <c r="W5" s="525">
        <v>41</v>
      </c>
      <c r="X5" s="525">
        <v>32</v>
      </c>
      <c r="Y5" s="525"/>
      <c r="AA5" s="1394">
        <v>1</v>
      </c>
      <c r="AB5" s="928">
        <v>45</v>
      </c>
      <c r="AC5" s="928">
        <v>73</v>
      </c>
      <c r="AD5" s="928">
        <v>68</v>
      </c>
      <c r="AE5" s="928">
        <v>57</v>
      </c>
      <c r="AF5" s="928">
        <v>71</v>
      </c>
      <c r="AG5" s="585">
        <v>71</v>
      </c>
      <c r="AH5" s="585">
        <v>61</v>
      </c>
      <c r="AI5" s="525">
        <v>62</v>
      </c>
      <c r="AJ5" s="525">
        <v>55</v>
      </c>
      <c r="AK5" s="525">
        <v>42</v>
      </c>
      <c r="AL5" s="525"/>
      <c r="AN5" s="1394" t="s">
        <v>6296</v>
      </c>
      <c r="AO5" s="928">
        <v>163</v>
      </c>
      <c r="AP5" s="928">
        <v>204</v>
      </c>
      <c r="AQ5" s="928">
        <v>192</v>
      </c>
      <c r="AR5" s="928">
        <v>148</v>
      </c>
      <c r="AS5" s="928">
        <v>133</v>
      </c>
      <c r="AU5" s="451">
        <v>2016</v>
      </c>
      <c r="AV5" s="439">
        <f>SUM(AW5:BA5)</f>
        <v>289</v>
      </c>
      <c r="AW5" s="439">
        <v>170</v>
      </c>
      <c r="AX5" s="439">
        <v>118</v>
      </c>
      <c r="AY5" s="439">
        <v>0</v>
      </c>
      <c r="AZ5" s="439">
        <v>0</v>
      </c>
      <c r="BA5" s="439">
        <v>1</v>
      </c>
    </row>
    <row r="6" spans="1:53">
      <c r="A6" s="740" t="s">
        <v>1697</v>
      </c>
      <c r="B6" s="690">
        <v>5</v>
      </c>
      <c r="C6" s="690">
        <v>4</v>
      </c>
      <c r="D6" s="690">
        <v>4</v>
      </c>
      <c r="E6" s="690">
        <v>1</v>
      </c>
      <c r="F6" s="674">
        <v>0</v>
      </c>
      <c r="G6" s="585">
        <v>0</v>
      </c>
      <c r="H6" s="585">
        <v>0</v>
      </c>
      <c r="I6" s="525">
        <v>4</v>
      </c>
      <c r="J6" s="525">
        <v>3</v>
      </c>
      <c r="K6" s="525">
        <v>24</v>
      </c>
      <c r="L6" s="525"/>
      <c r="M6" s="525"/>
      <c r="N6" s="1394">
        <v>2</v>
      </c>
      <c r="O6" s="928">
        <v>43</v>
      </c>
      <c r="P6" s="928">
        <v>55</v>
      </c>
      <c r="Q6" s="928">
        <v>47</v>
      </c>
      <c r="R6" s="928">
        <v>54</v>
      </c>
      <c r="S6" s="928">
        <v>39</v>
      </c>
      <c r="T6" s="585">
        <v>57</v>
      </c>
      <c r="U6" s="585">
        <v>50</v>
      </c>
      <c r="V6" s="525">
        <v>47</v>
      </c>
      <c r="W6" s="525">
        <v>49</v>
      </c>
      <c r="X6" s="525">
        <v>39</v>
      </c>
      <c r="Y6" s="525"/>
      <c r="AA6" s="1394">
        <v>2</v>
      </c>
      <c r="AB6" s="928">
        <v>49</v>
      </c>
      <c r="AC6" s="928">
        <v>51</v>
      </c>
      <c r="AD6" s="928">
        <v>51</v>
      </c>
      <c r="AE6" s="928">
        <v>53</v>
      </c>
      <c r="AF6" s="928">
        <v>38</v>
      </c>
      <c r="AG6" s="585">
        <v>63</v>
      </c>
      <c r="AH6" s="585">
        <v>60</v>
      </c>
      <c r="AI6" s="525">
        <v>61</v>
      </c>
      <c r="AJ6" s="525">
        <v>52</v>
      </c>
      <c r="AK6" s="525">
        <v>42</v>
      </c>
      <c r="AL6" s="525"/>
      <c r="AN6" s="1394">
        <v>1</v>
      </c>
      <c r="AO6" s="928">
        <v>49</v>
      </c>
      <c r="AP6" s="928">
        <v>47</v>
      </c>
      <c r="AQ6" s="928">
        <v>39</v>
      </c>
      <c r="AR6" s="928">
        <v>37</v>
      </c>
      <c r="AS6" s="928">
        <v>52</v>
      </c>
      <c r="AU6" s="451">
        <v>2015</v>
      </c>
      <c r="AV6" s="439">
        <f>SUM(AW6:AY6)</f>
        <v>263</v>
      </c>
      <c r="AW6" s="439">
        <v>200</v>
      </c>
      <c r="AX6" s="439">
        <v>62</v>
      </c>
      <c r="AY6" s="439">
        <v>1</v>
      </c>
      <c r="AZ6" s="439">
        <v>0</v>
      </c>
      <c r="BA6" s="439">
        <v>0</v>
      </c>
    </row>
    <row r="7" spans="1:53">
      <c r="A7" s="740" t="s">
        <v>1698</v>
      </c>
      <c r="B7" s="690">
        <v>7</v>
      </c>
      <c r="C7" s="690">
        <v>10</v>
      </c>
      <c r="D7" s="690">
        <v>8</v>
      </c>
      <c r="E7" s="690">
        <v>15</v>
      </c>
      <c r="F7" s="674">
        <v>23</v>
      </c>
      <c r="G7" s="585">
        <v>22</v>
      </c>
      <c r="H7" s="585">
        <v>19</v>
      </c>
      <c r="I7" s="525">
        <v>22</v>
      </c>
      <c r="J7" s="525">
        <v>23</v>
      </c>
      <c r="K7" s="525">
        <v>4</v>
      </c>
      <c r="L7" s="525"/>
      <c r="M7" s="525"/>
      <c r="N7" s="1394">
        <v>3</v>
      </c>
      <c r="O7" s="928">
        <v>43</v>
      </c>
      <c r="P7" s="928">
        <v>42</v>
      </c>
      <c r="Q7" s="928">
        <v>43</v>
      </c>
      <c r="R7" s="928">
        <v>27</v>
      </c>
      <c r="S7" s="928">
        <v>31</v>
      </c>
      <c r="T7" s="585">
        <v>45</v>
      </c>
      <c r="U7" s="585">
        <v>29</v>
      </c>
      <c r="V7" s="525">
        <v>40</v>
      </c>
      <c r="W7" s="525">
        <v>39</v>
      </c>
      <c r="X7" s="525">
        <v>52</v>
      </c>
      <c r="Y7" s="525"/>
      <c r="AA7" s="1394">
        <v>3</v>
      </c>
      <c r="AB7" s="928">
        <v>36</v>
      </c>
      <c r="AC7" s="928">
        <v>44</v>
      </c>
      <c r="AD7" s="928">
        <v>30</v>
      </c>
      <c r="AE7" s="928">
        <v>28</v>
      </c>
      <c r="AF7" s="928">
        <v>26</v>
      </c>
      <c r="AG7" s="585">
        <v>37</v>
      </c>
      <c r="AH7" s="585">
        <v>28</v>
      </c>
      <c r="AI7" s="525">
        <v>32</v>
      </c>
      <c r="AJ7" s="525">
        <v>31</v>
      </c>
      <c r="AK7" s="525">
        <v>41</v>
      </c>
      <c r="AL7" s="525"/>
      <c r="AN7" s="1394">
        <v>2</v>
      </c>
      <c r="AO7" s="928">
        <v>12</v>
      </c>
      <c r="AP7" s="928">
        <v>22</v>
      </c>
      <c r="AQ7" s="928">
        <v>18</v>
      </c>
      <c r="AR7" s="928">
        <v>9</v>
      </c>
      <c r="AS7" s="928">
        <v>14</v>
      </c>
      <c r="AU7" s="451">
        <v>2014</v>
      </c>
      <c r="AV7" s="439">
        <f>SUM(AW7:AX7)</f>
        <v>209</v>
      </c>
      <c r="AW7" s="439">
        <v>159</v>
      </c>
      <c r="AX7" s="439">
        <v>50</v>
      </c>
      <c r="AY7" s="439">
        <v>0</v>
      </c>
      <c r="AZ7" s="439">
        <v>0</v>
      </c>
      <c r="BA7" s="439">
        <v>0</v>
      </c>
    </row>
    <row r="8" spans="1:53">
      <c r="A8" s="740" t="s">
        <v>2646</v>
      </c>
      <c r="B8" s="690">
        <v>0</v>
      </c>
      <c r="C8" s="690">
        <v>0</v>
      </c>
      <c r="D8" s="690">
        <v>0</v>
      </c>
      <c r="E8" s="690">
        <v>0</v>
      </c>
      <c r="F8" s="674">
        <v>0</v>
      </c>
      <c r="G8" s="585">
        <v>0</v>
      </c>
      <c r="H8" s="585">
        <v>0</v>
      </c>
      <c r="I8" s="525">
        <v>0</v>
      </c>
      <c r="J8" s="525">
        <v>0</v>
      </c>
      <c r="K8" s="525">
        <v>0</v>
      </c>
      <c r="L8" s="525"/>
      <c r="M8" s="525"/>
      <c r="N8" s="1394">
        <v>4</v>
      </c>
      <c r="O8" s="928">
        <v>32</v>
      </c>
      <c r="P8" s="928">
        <v>34</v>
      </c>
      <c r="Q8" s="928">
        <v>15</v>
      </c>
      <c r="R8" s="928">
        <v>11</v>
      </c>
      <c r="S8" s="928">
        <v>18</v>
      </c>
      <c r="T8" s="585">
        <v>23</v>
      </c>
      <c r="U8" s="585">
        <v>31</v>
      </c>
      <c r="V8" s="525">
        <v>29</v>
      </c>
      <c r="W8" s="525">
        <v>24</v>
      </c>
      <c r="X8" s="525">
        <v>19</v>
      </c>
      <c r="Y8" s="525"/>
      <c r="AA8" s="1394" t="s">
        <v>6297</v>
      </c>
      <c r="AB8" s="928">
        <v>19</v>
      </c>
      <c r="AC8" s="928">
        <v>26</v>
      </c>
      <c r="AD8" s="928">
        <v>28</v>
      </c>
      <c r="AE8" s="928">
        <v>15</v>
      </c>
      <c r="AF8" s="928">
        <v>14</v>
      </c>
      <c r="AG8" s="585">
        <f>8+3+1+1+3</f>
        <v>16</v>
      </c>
      <c r="AH8" s="585">
        <f>21+2+3+1+1</f>
        <v>28</v>
      </c>
      <c r="AI8" s="525">
        <f>15+2+1</f>
        <v>18</v>
      </c>
      <c r="AJ8" s="525">
        <f>12+5+2</f>
        <v>19</v>
      </c>
      <c r="AK8" s="525">
        <f>13+2</f>
        <v>15</v>
      </c>
      <c r="AL8" s="525"/>
      <c r="AN8" s="1394">
        <v>3</v>
      </c>
      <c r="AO8" s="928">
        <v>8</v>
      </c>
      <c r="AP8" s="928">
        <v>10</v>
      </c>
      <c r="AQ8" s="928">
        <v>8</v>
      </c>
      <c r="AR8" s="928">
        <v>9</v>
      </c>
      <c r="AS8" s="928">
        <v>5</v>
      </c>
      <c r="AU8" s="451">
        <v>2013</v>
      </c>
      <c r="AV8" s="439">
        <v>213</v>
      </c>
      <c r="AW8" s="439">
        <v>169</v>
      </c>
      <c r="AX8" s="439">
        <v>44</v>
      </c>
      <c r="AY8" s="439">
        <v>0</v>
      </c>
      <c r="AZ8" s="439">
        <v>0</v>
      </c>
      <c r="BA8" s="439">
        <v>0</v>
      </c>
    </row>
    <row r="9" spans="1:53">
      <c r="A9" s="740" t="s">
        <v>1699</v>
      </c>
      <c r="B9" s="690">
        <v>1</v>
      </c>
      <c r="C9" s="690">
        <v>1</v>
      </c>
      <c r="D9" s="690">
        <v>0</v>
      </c>
      <c r="E9" s="690">
        <v>4</v>
      </c>
      <c r="F9" s="674">
        <v>1</v>
      </c>
      <c r="G9" s="585">
        <v>4</v>
      </c>
      <c r="H9" s="585">
        <v>2</v>
      </c>
      <c r="I9" s="525">
        <v>6</v>
      </c>
      <c r="J9" s="525">
        <v>2</v>
      </c>
      <c r="K9" s="525">
        <v>4</v>
      </c>
      <c r="L9" s="525"/>
      <c r="N9" s="1394" t="s">
        <v>6298</v>
      </c>
      <c r="O9" s="928">
        <v>47</v>
      </c>
      <c r="P9" s="928">
        <v>41</v>
      </c>
      <c r="Q9" s="928">
        <v>33</v>
      </c>
      <c r="R9" s="928">
        <v>23</v>
      </c>
      <c r="S9" s="928">
        <v>23</v>
      </c>
      <c r="T9" s="585">
        <f>10+9+2+2+2+2</f>
        <v>27</v>
      </c>
      <c r="U9" s="585">
        <f>20+8+2+3+1</f>
        <v>34</v>
      </c>
      <c r="V9" s="525">
        <f>7+5+1+1+3+3</f>
        <v>20</v>
      </c>
      <c r="W9" s="525">
        <f>15+7+3+1</f>
        <v>26</v>
      </c>
      <c r="X9" s="525">
        <v>8</v>
      </c>
      <c r="Y9" s="525"/>
      <c r="AA9" s="1395" t="s">
        <v>6299</v>
      </c>
      <c r="AB9" s="1396">
        <v>0</v>
      </c>
      <c r="AC9" s="1396">
        <v>0</v>
      </c>
      <c r="AD9" s="1396">
        <v>0</v>
      </c>
      <c r="AE9" s="1396">
        <v>0</v>
      </c>
      <c r="AF9" s="1396">
        <v>0</v>
      </c>
      <c r="AG9" s="586">
        <v>0</v>
      </c>
      <c r="AH9" s="586">
        <v>0</v>
      </c>
      <c r="AI9" s="633">
        <v>0</v>
      </c>
      <c r="AJ9" s="633">
        <v>14</v>
      </c>
      <c r="AK9" s="633">
        <v>26</v>
      </c>
      <c r="AL9" s="525"/>
      <c r="AN9" s="1394" t="s">
        <v>6297</v>
      </c>
      <c r="AO9" s="928">
        <v>7</v>
      </c>
      <c r="AP9" s="928">
        <v>6</v>
      </c>
      <c r="AQ9" s="928">
        <v>6</v>
      </c>
      <c r="AR9" s="928">
        <v>6</v>
      </c>
      <c r="AS9" s="928">
        <v>9</v>
      </c>
      <c r="AU9" s="1397">
        <v>2012</v>
      </c>
      <c r="AV9" s="382">
        <f t="shared" ref="AV9:AV13" si="2">SUM(AW9:AX9)</f>
        <v>275</v>
      </c>
      <c r="AW9" s="463">
        <v>225</v>
      </c>
      <c r="AX9" s="382">
        <v>50</v>
      </c>
      <c r="AY9" s="439">
        <v>0</v>
      </c>
      <c r="AZ9" s="439">
        <v>0</v>
      </c>
      <c r="BA9" s="439">
        <v>0</v>
      </c>
    </row>
    <row r="10" spans="1:53">
      <c r="A10" s="740" t="s">
        <v>1704</v>
      </c>
      <c r="B10" s="690">
        <v>0</v>
      </c>
      <c r="C10" s="690">
        <v>0</v>
      </c>
      <c r="D10" s="690">
        <v>0</v>
      </c>
      <c r="E10" s="690">
        <v>0</v>
      </c>
      <c r="F10" s="674">
        <v>0</v>
      </c>
      <c r="G10" s="585">
        <v>0</v>
      </c>
      <c r="H10" s="585">
        <v>0</v>
      </c>
      <c r="I10" s="525">
        <v>0</v>
      </c>
      <c r="J10" s="525">
        <v>0</v>
      </c>
      <c r="K10" s="525">
        <v>0</v>
      </c>
      <c r="L10" s="525"/>
      <c r="M10" s="525"/>
      <c r="N10" s="1395" t="s">
        <v>2574</v>
      </c>
      <c r="O10" s="1396">
        <v>0</v>
      </c>
      <c r="P10" s="1396">
        <v>3</v>
      </c>
      <c r="Q10" s="1396">
        <v>1</v>
      </c>
      <c r="R10" s="1396">
        <v>10</v>
      </c>
      <c r="S10" s="1396">
        <v>0</v>
      </c>
      <c r="T10" s="586">
        <v>0</v>
      </c>
      <c r="U10" s="586">
        <v>0</v>
      </c>
      <c r="V10" s="633">
        <v>22</v>
      </c>
      <c r="W10" s="633">
        <v>6</v>
      </c>
      <c r="X10" s="633">
        <v>1</v>
      </c>
      <c r="Y10" s="525"/>
      <c r="AA10" s="585" t="s">
        <v>5709</v>
      </c>
      <c r="AN10" s="1395" t="s">
        <v>6299</v>
      </c>
      <c r="AO10" s="1396">
        <v>0</v>
      </c>
      <c r="AP10" s="1396">
        <v>0</v>
      </c>
      <c r="AQ10" s="1396">
        <v>0</v>
      </c>
      <c r="AR10" s="1396">
        <v>0</v>
      </c>
      <c r="AS10" s="1396">
        <v>0</v>
      </c>
      <c r="AU10" s="1397">
        <v>2011</v>
      </c>
      <c r="AV10" s="382">
        <f t="shared" si="2"/>
        <v>295</v>
      </c>
      <c r="AW10" s="463">
        <v>257</v>
      </c>
      <c r="AX10" s="382">
        <v>38</v>
      </c>
      <c r="AY10" s="439">
        <v>0</v>
      </c>
      <c r="AZ10" s="439">
        <v>0</v>
      </c>
      <c r="BA10" s="439">
        <v>0</v>
      </c>
    </row>
    <row r="11" spans="1:53">
      <c r="A11" s="740" t="s">
        <v>2649</v>
      </c>
      <c r="B11" s="690">
        <v>7</v>
      </c>
      <c r="C11" s="690">
        <v>4</v>
      </c>
      <c r="D11" s="690">
        <v>8</v>
      </c>
      <c r="E11" s="690">
        <v>1</v>
      </c>
      <c r="F11" s="674">
        <v>1</v>
      </c>
      <c r="G11" s="585">
        <v>2</v>
      </c>
      <c r="H11" s="585">
        <v>3</v>
      </c>
      <c r="I11" s="525">
        <v>5</v>
      </c>
      <c r="J11" s="525">
        <v>5</v>
      </c>
      <c r="K11" s="525">
        <v>11</v>
      </c>
      <c r="L11" s="525"/>
      <c r="M11" s="525"/>
      <c r="N11" s="585" t="s">
        <v>5709</v>
      </c>
      <c r="Y11" s="525"/>
      <c r="AA11" s="398" t="s">
        <v>6262</v>
      </c>
      <c r="AB11" s="398"/>
      <c r="AC11" s="398"/>
      <c r="AN11" s="585" t="s">
        <v>5709</v>
      </c>
      <c r="AU11" s="1397">
        <v>2010</v>
      </c>
      <c r="AV11" s="382">
        <f t="shared" si="2"/>
        <v>269</v>
      </c>
      <c r="AW11" s="463">
        <v>219</v>
      </c>
      <c r="AX11" s="382">
        <v>50</v>
      </c>
      <c r="AY11" s="439">
        <v>0</v>
      </c>
      <c r="AZ11" s="439">
        <v>0</v>
      </c>
      <c r="BA11" s="439">
        <v>0</v>
      </c>
    </row>
    <row r="12" spans="1:53">
      <c r="A12" s="740" t="s">
        <v>3769</v>
      </c>
      <c r="B12" s="690">
        <v>0</v>
      </c>
      <c r="C12" s="690">
        <v>8</v>
      </c>
      <c r="D12" s="690">
        <v>5</v>
      </c>
      <c r="E12" s="690">
        <v>1</v>
      </c>
      <c r="F12" s="674">
        <v>3</v>
      </c>
      <c r="G12" s="585">
        <v>7</v>
      </c>
      <c r="H12" s="585">
        <v>4</v>
      </c>
      <c r="I12" s="525">
        <v>6</v>
      </c>
      <c r="J12" s="525">
        <v>5</v>
      </c>
      <c r="K12" s="525">
        <v>5</v>
      </c>
      <c r="L12" s="525"/>
      <c r="M12" s="525"/>
      <c r="N12" s="398" t="s">
        <v>6262</v>
      </c>
      <c r="O12" s="398"/>
      <c r="P12" s="398"/>
      <c r="Y12" s="525"/>
      <c r="AA12" s="1398" t="s">
        <v>537</v>
      </c>
      <c r="AB12" s="1398"/>
      <c r="AC12" s="1398"/>
      <c r="AN12" s="398" t="s">
        <v>6262</v>
      </c>
      <c r="AO12" s="398"/>
      <c r="AP12" s="398"/>
      <c r="AQ12" s="398"/>
      <c r="AR12" s="398"/>
      <c r="AU12" s="1399">
        <v>2009</v>
      </c>
      <c r="AV12" s="382">
        <f t="shared" si="2"/>
        <v>266</v>
      </c>
      <c r="AW12" s="463">
        <v>229</v>
      </c>
      <c r="AX12" s="382">
        <v>37</v>
      </c>
      <c r="AY12" s="439">
        <v>0</v>
      </c>
      <c r="AZ12" s="439">
        <v>0</v>
      </c>
      <c r="BA12" s="439">
        <v>0</v>
      </c>
    </row>
    <row r="13" spans="1:53">
      <c r="A13" s="740" t="s">
        <v>1708</v>
      </c>
      <c r="B13" s="690">
        <v>10</v>
      </c>
      <c r="C13" s="690">
        <v>22</v>
      </c>
      <c r="D13" s="690">
        <v>21</v>
      </c>
      <c r="E13" s="690">
        <v>12</v>
      </c>
      <c r="F13" s="674">
        <v>10</v>
      </c>
      <c r="G13" s="585">
        <v>22</v>
      </c>
      <c r="H13" s="585">
        <v>27</v>
      </c>
      <c r="I13" s="525">
        <v>28</v>
      </c>
      <c r="J13" s="525">
        <v>18</v>
      </c>
      <c r="K13" s="525">
        <v>20</v>
      </c>
      <c r="L13" s="525"/>
      <c r="M13" s="525"/>
      <c r="N13" s="525"/>
      <c r="O13" s="525"/>
      <c r="P13" s="525"/>
      <c r="Q13" s="525"/>
      <c r="R13" s="525"/>
      <c r="S13" s="525"/>
      <c r="T13" s="525"/>
      <c r="U13" s="525"/>
      <c r="V13" s="525"/>
      <c r="W13" s="525"/>
      <c r="X13" s="525"/>
      <c r="Y13" s="525"/>
      <c r="AA13" s="1400"/>
      <c r="AB13" s="1400"/>
      <c r="AC13" s="1401"/>
      <c r="AF13" s="525"/>
      <c r="AG13" s="525"/>
      <c r="AH13" s="525"/>
      <c r="AI13" s="525"/>
      <c r="AJ13" s="525"/>
      <c r="AK13" s="525"/>
      <c r="AL13" s="525"/>
      <c r="AN13" s="1398" t="s">
        <v>537</v>
      </c>
      <c r="AO13" s="1398"/>
      <c r="AP13" s="1398"/>
      <c r="AQ13" s="1398"/>
      <c r="AR13" s="1398"/>
      <c r="AU13" s="1402">
        <v>2008</v>
      </c>
      <c r="AV13" s="381">
        <f t="shared" si="2"/>
        <v>327</v>
      </c>
      <c r="AW13" s="497">
        <v>279</v>
      </c>
      <c r="AX13" s="381">
        <v>48</v>
      </c>
      <c r="AY13" s="477">
        <v>0</v>
      </c>
      <c r="AZ13" s="477">
        <v>0</v>
      </c>
      <c r="BA13" s="477">
        <v>0</v>
      </c>
    </row>
    <row r="14" spans="1:53">
      <c r="A14" s="740" t="s">
        <v>1695</v>
      </c>
      <c r="B14" s="690">
        <v>9</v>
      </c>
      <c r="C14" s="690">
        <v>10</v>
      </c>
      <c r="D14" s="690">
        <v>8</v>
      </c>
      <c r="E14" s="690">
        <v>8</v>
      </c>
      <c r="F14" s="674">
        <v>14</v>
      </c>
      <c r="G14" s="585">
        <v>15</v>
      </c>
      <c r="H14" s="585">
        <v>0</v>
      </c>
      <c r="I14" s="585">
        <v>11</v>
      </c>
      <c r="J14" s="525">
        <v>13</v>
      </c>
      <c r="K14" s="525">
        <v>16</v>
      </c>
      <c r="L14" s="525"/>
      <c r="M14" s="525"/>
      <c r="N14" s="525"/>
      <c r="O14" s="525"/>
      <c r="P14" s="525"/>
      <c r="Q14" s="525"/>
      <c r="R14" s="525"/>
      <c r="S14" s="525"/>
      <c r="T14" s="525"/>
      <c r="U14" s="525"/>
      <c r="V14" s="525"/>
      <c r="W14" s="525"/>
      <c r="X14" s="525"/>
      <c r="Y14" s="525"/>
      <c r="AA14" s="1400"/>
      <c r="AB14" s="1400"/>
      <c r="AC14" s="1400"/>
      <c r="AF14" s="525"/>
      <c r="AG14" s="525"/>
      <c r="AH14" s="525"/>
      <c r="AI14" s="525"/>
      <c r="AJ14" s="525"/>
      <c r="AK14" s="525"/>
      <c r="AL14" s="525"/>
      <c r="AU14" s="382" t="s">
        <v>6300</v>
      </c>
      <c r="AV14" s="382"/>
      <c r="AW14" s="382"/>
      <c r="AX14" s="382"/>
    </row>
    <row r="15" spans="1:53">
      <c r="A15" s="740" t="s">
        <v>3836</v>
      </c>
      <c r="B15" s="690">
        <v>0</v>
      </c>
      <c r="C15" s="690">
        <v>0</v>
      </c>
      <c r="D15" s="690">
        <v>0</v>
      </c>
      <c r="E15" s="690">
        <v>0</v>
      </c>
      <c r="F15" s="674">
        <v>0</v>
      </c>
      <c r="G15" s="585">
        <v>0</v>
      </c>
      <c r="H15" s="585">
        <v>0</v>
      </c>
      <c r="I15" s="525">
        <v>0</v>
      </c>
      <c r="J15" s="525">
        <v>0</v>
      </c>
      <c r="K15" s="525">
        <v>2</v>
      </c>
      <c r="L15" s="525"/>
      <c r="M15" s="525"/>
      <c r="N15" s="525"/>
      <c r="O15" s="525"/>
      <c r="P15" s="525"/>
      <c r="Q15" s="525"/>
      <c r="R15" s="525"/>
      <c r="S15" s="525"/>
      <c r="T15" s="525"/>
      <c r="U15" s="525"/>
      <c r="V15" s="525"/>
      <c r="W15" s="525"/>
      <c r="X15" s="525"/>
      <c r="Y15" s="525"/>
      <c r="AA15" s="1400"/>
      <c r="AB15" s="1400"/>
      <c r="AC15" s="1400"/>
      <c r="AF15" s="525"/>
      <c r="AG15" s="525"/>
      <c r="AH15" s="525"/>
      <c r="AI15" s="525"/>
      <c r="AJ15" s="525"/>
      <c r="AK15" s="525"/>
      <c r="AL15" s="525"/>
      <c r="AN15" s="382"/>
      <c r="AO15" s="382"/>
      <c r="AP15" s="382"/>
      <c r="AQ15" s="917"/>
      <c r="AR15" s="382"/>
      <c r="AS15" s="382"/>
      <c r="AU15" s="1399"/>
    </row>
    <row r="16" spans="1:53">
      <c r="A16" s="740" t="s">
        <v>2657</v>
      </c>
      <c r="B16" s="690">
        <v>0</v>
      </c>
      <c r="C16" s="690">
        <v>0</v>
      </c>
      <c r="D16" s="690">
        <v>0</v>
      </c>
      <c r="E16" s="690">
        <v>0</v>
      </c>
      <c r="F16" s="674">
        <v>0</v>
      </c>
      <c r="G16" s="585">
        <v>0</v>
      </c>
      <c r="H16" s="585">
        <v>1</v>
      </c>
      <c r="I16" s="525">
        <v>0</v>
      </c>
      <c r="J16" s="525">
        <v>0</v>
      </c>
      <c r="K16" s="525">
        <v>0</v>
      </c>
      <c r="L16" s="525"/>
      <c r="M16" s="525"/>
      <c r="AA16" s="1400"/>
      <c r="AB16" s="1400"/>
      <c r="AC16" s="1400"/>
      <c r="AF16" s="525"/>
      <c r="AG16" s="525"/>
      <c r="AH16" s="525"/>
      <c r="AI16" s="525"/>
      <c r="AJ16" s="525"/>
      <c r="AK16" s="525"/>
      <c r="AL16" s="525"/>
      <c r="AN16" s="382"/>
      <c r="AO16" s="382"/>
      <c r="AP16" s="382"/>
      <c r="AQ16" s="382"/>
      <c r="AR16" s="382"/>
      <c r="AS16" s="382"/>
      <c r="AU16" s="1399"/>
    </row>
    <row r="17" spans="1:53">
      <c r="A17" s="740" t="s">
        <v>6301</v>
      </c>
      <c r="B17" s="690">
        <v>0</v>
      </c>
      <c r="C17" s="690">
        <v>3</v>
      </c>
      <c r="D17" s="690">
        <v>0</v>
      </c>
      <c r="E17" s="690">
        <v>0</v>
      </c>
      <c r="F17" s="674">
        <v>0</v>
      </c>
      <c r="G17" s="585">
        <v>0</v>
      </c>
      <c r="H17" s="585">
        <v>0</v>
      </c>
      <c r="I17" s="585">
        <v>0</v>
      </c>
      <c r="J17" s="585">
        <v>1</v>
      </c>
      <c r="K17" s="525">
        <v>1</v>
      </c>
      <c r="L17" s="525"/>
      <c r="M17" s="525"/>
      <c r="N17" s="525"/>
      <c r="O17" s="525"/>
      <c r="P17" s="525"/>
      <c r="Q17" s="525"/>
      <c r="R17" s="525"/>
      <c r="S17" s="525"/>
      <c r="T17" s="525"/>
      <c r="U17" s="525"/>
      <c r="V17" s="525"/>
      <c r="W17" s="525"/>
      <c r="X17" s="525"/>
      <c r="Y17" s="525"/>
      <c r="AN17" s="382"/>
      <c r="AO17" s="382"/>
      <c r="AP17" s="382"/>
      <c r="AQ17" s="382"/>
      <c r="AR17" s="382"/>
      <c r="AS17" s="382"/>
      <c r="AU17" s="1399"/>
    </row>
    <row r="18" spans="1:53">
      <c r="A18" s="740" t="s">
        <v>6302</v>
      </c>
      <c r="B18" s="690">
        <v>0</v>
      </c>
      <c r="C18" s="690">
        <v>2</v>
      </c>
      <c r="D18" s="690">
        <v>0</v>
      </c>
      <c r="E18" s="690">
        <v>0</v>
      </c>
      <c r="F18" s="674">
        <v>0</v>
      </c>
      <c r="G18" s="585">
        <v>0</v>
      </c>
      <c r="H18" s="585">
        <v>0</v>
      </c>
      <c r="I18" s="525">
        <v>0</v>
      </c>
      <c r="J18" s="525">
        <v>0</v>
      </c>
      <c r="K18" s="525">
        <v>0</v>
      </c>
      <c r="L18" s="525"/>
      <c r="M18" s="525"/>
      <c r="N18" s="525"/>
      <c r="O18" s="525"/>
      <c r="P18" s="525"/>
      <c r="Q18" s="525"/>
      <c r="R18" s="525"/>
      <c r="S18" s="525"/>
      <c r="T18" s="525"/>
      <c r="U18" s="525"/>
      <c r="V18" s="525"/>
      <c r="W18" s="525"/>
      <c r="X18" s="525"/>
      <c r="Y18" s="525"/>
      <c r="AN18" s="382"/>
      <c r="AO18" s="382"/>
      <c r="AP18" s="382"/>
      <c r="AQ18" s="382"/>
      <c r="AR18" s="382"/>
      <c r="AS18" s="382"/>
      <c r="AU18" s="1399"/>
    </row>
    <row r="19" spans="1:53">
      <c r="A19" s="740" t="s">
        <v>6303</v>
      </c>
      <c r="B19" s="690">
        <v>0</v>
      </c>
      <c r="C19" s="690">
        <v>1</v>
      </c>
      <c r="D19" s="690">
        <v>0</v>
      </c>
      <c r="E19" s="690">
        <v>0</v>
      </c>
      <c r="F19" s="674">
        <v>0</v>
      </c>
      <c r="G19" s="585">
        <v>0</v>
      </c>
      <c r="H19" s="585">
        <v>0</v>
      </c>
      <c r="I19" s="585">
        <v>0</v>
      </c>
      <c r="J19" s="525">
        <v>0</v>
      </c>
      <c r="K19" s="525">
        <v>0</v>
      </c>
      <c r="L19" s="525"/>
      <c r="M19" s="525"/>
      <c r="N19" s="525"/>
      <c r="O19" s="525"/>
      <c r="P19" s="525"/>
      <c r="Q19" s="525"/>
      <c r="R19" s="525"/>
      <c r="S19" s="525"/>
      <c r="T19" s="525"/>
      <c r="U19" s="525"/>
      <c r="V19" s="525"/>
      <c r="W19" s="525"/>
      <c r="X19" s="525"/>
      <c r="Y19" s="525"/>
      <c r="AN19" s="382"/>
      <c r="AO19" s="382"/>
      <c r="AP19" s="382"/>
      <c r="AQ19" s="382"/>
      <c r="AR19" s="382"/>
      <c r="AS19" s="382"/>
      <c r="AU19" s="1399"/>
    </row>
    <row r="20" spans="1:53">
      <c r="A20" s="740" t="s">
        <v>6304</v>
      </c>
      <c r="B20" s="690">
        <v>1</v>
      </c>
      <c r="C20" s="690">
        <v>1</v>
      </c>
      <c r="D20" s="690">
        <v>0</v>
      </c>
      <c r="E20" s="690">
        <v>0</v>
      </c>
      <c r="F20" s="674">
        <v>0</v>
      </c>
      <c r="G20" s="585">
        <v>0</v>
      </c>
      <c r="H20" s="585">
        <v>0</v>
      </c>
      <c r="I20" s="525">
        <v>0</v>
      </c>
      <c r="J20" s="525">
        <v>0</v>
      </c>
      <c r="K20" s="525">
        <v>0</v>
      </c>
      <c r="L20" s="525"/>
      <c r="M20" s="525"/>
      <c r="AN20" s="382"/>
      <c r="AO20" s="382"/>
      <c r="AP20" s="382"/>
      <c r="AQ20" s="382"/>
      <c r="AR20" s="382"/>
      <c r="AS20" s="382"/>
      <c r="AU20" s="1399"/>
    </row>
    <row r="21" spans="1:53">
      <c r="A21" s="740" t="s">
        <v>6305</v>
      </c>
      <c r="B21" s="690">
        <v>0</v>
      </c>
      <c r="C21" s="690">
        <v>0</v>
      </c>
      <c r="D21" s="690">
        <v>0</v>
      </c>
      <c r="E21" s="690">
        <v>0</v>
      </c>
      <c r="F21" s="674">
        <v>0</v>
      </c>
      <c r="G21" s="585">
        <v>0</v>
      </c>
      <c r="H21" s="585">
        <v>0</v>
      </c>
      <c r="I21" s="585">
        <v>0</v>
      </c>
      <c r="J21" s="525">
        <v>0</v>
      </c>
      <c r="K21" s="525">
        <v>1</v>
      </c>
      <c r="L21" s="525"/>
      <c r="M21" s="525"/>
      <c r="Z21" s="525"/>
      <c r="AA21" s="525"/>
      <c r="AB21" s="525"/>
      <c r="AC21" s="525"/>
      <c r="AD21" s="525"/>
      <c r="AE21" s="525"/>
      <c r="AF21" s="525"/>
      <c r="AG21" s="525"/>
      <c r="AH21" s="525"/>
      <c r="AI21" s="525"/>
      <c r="AJ21" s="525"/>
      <c r="AK21" s="525"/>
      <c r="AL21" s="525"/>
      <c r="AN21" s="382"/>
      <c r="AO21" s="382"/>
      <c r="AP21" s="382"/>
      <c r="AQ21" s="382"/>
      <c r="AR21" s="382"/>
      <c r="AS21" s="382"/>
      <c r="BA21" s="1399"/>
    </row>
    <row r="22" spans="1:53">
      <c r="A22" s="740" t="s">
        <v>2652</v>
      </c>
      <c r="B22" s="690">
        <v>0</v>
      </c>
      <c r="C22" s="690">
        <v>0</v>
      </c>
      <c r="D22" s="690">
        <v>1</v>
      </c>
      <c r="E22" s="690">
        <v>0</v>
      </c>
      <c r="F22" s="674">
        <v>0</v>
      </c>
      <c r="G22" s="585">
        <v>0</v>
      </c>
      <c r="H22" s="585">
        <v>0</v>
      </c>
      <c r="I22" s="585">
        <v>0</v>
      </c>
      <c r="J22" s="525">
        <v>0</v>
      </c>
      <c r="K22" s="525">
        <v>0</v>
      </c>
      <c r="L22" s="525"/>
      <c r="AN22" s="382"/>
      <c r="AO22" s="382"/>
      <c r="AP22" s="382"/>
      <c r="AQ22" s="382"/>
      <c r="AR22" s="382"/>
      <c r="AS22" s="382"/>
      <c r="BA22" s="1399"/>
    </row>
    <row r="23" spans="1:53">
      <c r="A23" s="740" t="s">
        <v>845</v>
      </c>
      <c r="B23" s="690">
        <f>SUM(B24:B28)</f>
        <v>6</v>
      </c>
      <c r="C23" s="690">
        <f>SUM(C24:C28)</f>
        <v>6</v>
      </c>
      <c r="D23" s="690">
        <f>SUM(D24:D28)</f>
        <v>8</v>
      </c>
      <c r="E23" s="690">
        <v>3</v>
      </c>
      <c r="F23" s="674">
        <v>0</v>
      </c>
      <c r="G23" s="585">
        <v>7</v>
      </c>
      <c r="H23" s="585">
        <v>9</v>
      </c>
      <c r="I23" s="585">
        <v>3</v>
      </c>
      <c r="J23" s="525">
        <v>3</v>
      </c>
      <c r="K23" s="525">
        <f>SUM(K24:K28)</f>
        <v>8</v>
      </c>
      <c r="L23" s="525"/>
      <c r="M23" s="525"/>
      <c r="Z23" s="525"/>
      <c r="AA23" s="525"/>
      <c r="AB23" s="525"/>
      <c r="AC23" s="525"/>
      <c r="AD23" s="525"/>
      <c r="AE23" s="525"/>
      <c r="AF23" s="525"/>
      <c r="AG23" s="525"/>
      <c r="AH23" s="525"/>
      <c r="AI23" s="525"/>
      <c r="AJ23" s="525"/>
      <c r="AK23" s="525"/>
      <c r="AL23" s="525"/>
      <c r="AN23" s="382"/>
      <c r="AO23" s="382"/>
      <c r="AP23" s="382"/>
      <c r="AQ23" s="382"/>
      <c r="AR23" s="382"/>
      <c r="AS23" s="382"/>
      <c r="BA23" s="1399"/>
    </row>
    <row r="24" spans="1:53">
      <c r="A24" s="740" t="s">
        <v>6306</v>
      </c>
      <c r="B24" s="690">
        <v>3</v>
      </c>
      <c r="C24" s="690">
        <v>2</v>
      </c>
      <c r="D24" s="690">
        <v>2</v>
      </c>
      <c r="E24" s="690">
        <v>0</v>
      </c>
      <c r="F24" s="674">
        <v>0</v>
      </c>
      <c r="G24" s="585">
        <v>0</v>
      </c>
      <c r="H24" s="585">
        <v>0</v>
      </c>
      <c r="I24" s="525">
        <v>0</v>
      </c>
      <c r="J24" s="525">
        <v>3</v>
      </c>
      <c r="K24" s="525">
        <v>5</v>
      </c>
      <c r="L24" s="525"/>
      <c r="M24" s="525"/>
      <c r="Z24" s="525"/>
      <c r="AA24" s="525"/>
      <c r="AB24" s="525"/>
      <c r="AC24" s="525"/>
      <c r="AD24" s="525"/>
      <c r="AE24" s="525"/>
      <c r="AF24" s="525"/>
      <c r="AG24" s="525"/>
      <c r="AH24" s="525"/>
      <c r="AI24" s="525"/>
      <c r="AJ24" s="525"/>
      <c r="AK24" s="525"/>
      <c r="AL24" s="525"/>
      <c r="AN24" s="382"/>
      <c r="AO24" s="382"/>
      <c r="AP24" s="382"/>
      <c r="AQ24" s="382"/>
      <c r="AR24" s="382"/>
      <c r="AS24" s="382"/>
      <c r="BA24" s="1399"/>
    </row>
    <row r="25" spans="1:53">
      <c r="A25" s="740" t="s">
        <v>6307</v>
      </c>
      <c r="B25" s="690">
        <v>0</v>
      </c>
      <c r="C25" s="690">
        <v>1</v>
      </c>
      <c r="D25" s="690">
        <v>0</v>
      </c>
      <c r="E25" s="690">
        <v>0</v>
      </c>
      <c r="F25" s="674">
        <v>0</v>
      </c>
      <c r="G25" s="585">
        <v>0</v>
      </c>
      <c r="H25" s="585">
        <v>0</v>
      </c>
      <c r="I25" s="585">
        <v>0</v>
      </c>
      <c r="J25" s="525">
        <v>0</v>
      </c>
      <c r="K25" s="525">
        <v>0</v>
      </c>
      <c r="L25" s="525"/>
      <c r="M25" s="525"/>
      <c r="Z25" s="525"/>
      <c r="AA25" s="525"/>
      <c r="AB25" s="525"/>
      <c r="AC25" s="525"/>
      <c r="AD25" s="525"/>
      <c r="AE25" s="525"/>
      <c r="AF25" s="525"/>
      <c r="AG25" s="525"/>
      <c r="AH25" s="525"/>
      <c r="AI25" s="525"/>
      <c r="AJ25" s="525"/>
      <c r="AK25" s="525"/>
      <c r="AL25" s="525"/>
      <c r="AN25" s="382"/>
      <c r="AO25" s="382"/>
      <c r="AP25" s="382"/>
      <c r="AQ25" s="382"/>
      <c r="AR25" s="382"/>
      <c r="AS25" s="382"/>
      <c r="BA25" s="1399"/>
    </row>
    <row r="26" spans="1:53">
      <c r="A26" s="740" t="s">
        <v>6308</v>
      </c>
      <c r="B26" s="690">
        <v>1</v>
      </c>
      <c r="C26" s="690">
        <v>1</v>
      </c>
      <c r="D26" s="690">
        <v>0</v>
      </c>
      <c r="E26" s="690">
        <v>0</v>
      </c>
      <c r="F26" s="674">
        <v>0</v>
      </c>
      <c r="G26" s="585">
        <v>0</v>
      </c>
      <c r="H26" s="585">
        <v>0</v>
      </c>
      <c r="I26" s="525">
        <v>0</v>
      </c>
      <c r="J26" s="525">
        <v>0</v>
      </c>
      <c r="K26" s="525">
        <v>2</v>
      </c>
      <c r="L26" s="525"/>
      <c r="AN26" s="382"/>
      <c r="AO26" s="382"/>
      <c r="AP26" s="382"/>
      <c r="AQ26" s="382"/>
      <c r="AR26" s="382"/>
      <c r="AS26" s="382"/>
      <c r="BA26" s="1399"/>
    </row>
    <row r="27" spans="1:53">
      <c r="A27" s="740" t="s">
        <v>6309</v>
      </c>
      <c r="B27" s="690">
        <v>2</v>
      </c>
      <c r="C27" s="690">
        <v>1</v>
      </c>
      <c r="D27" s="690">
        <v>0</v>
      </c>
      <c r="E27" s="690">
        <v>0</v>
      </c>
      <c r="F27" s="674">
        <v>0</v>
      </c>
      <c r="G27" s="585">
        <v>0</v>
      </c>
      <c r="H27" s="585">
        <v>0</v>
      </c>
      <c r="I27" s="525">
        <v>0</v>
      </c>
      <c r="J27" s="525">
        <v>0</v>
      </c>
      <c r="K27" s="525">
        <v>1</v>
      </c>
      <c r="L27" s="525"/>
      <c r="AN27" s="382"/>
      <c r="AO27" s="382"/>
      <c r="AP27" s="382"/>
      <c r="AQ27" s="382"/>
      <c r="AR27" s="382"/>
      <c r="AS27" s="382"/>
      <c r="BA27" s="382"/>
    </row>
    <row r="28" spans="1:53">
      <c r="A28" s="740" t="s">
        <v>6310</v>
      </c>
      <c r="B28" s="690">
        <v>0</v>
      </c>
      <c r="C28" s="690">
        <v>1</v>
      </c>
      <c r="D28" s="690">
        <v>6</v>
      </c>
      <c r="E28" s="690">
        <v>0</v>
      </c>
      <c r="F28" s="674">
        <v>0</v>
      </c>
      <c r="G28" s="585">
        <v>0</v>
      </c>
      <c r="H28" s="585">
        <v>0</v>
      </c>
      <c r="I28" s="525">
        <v>0</v>
      </c>
      <c r="J28" s="525">
        <v>0</v>
      </c>
      <c r="K28" s="525">
        <v>0</v>
      </c>
      <c r="L28" s="525"/>
      <c r="AN28" s="382"/>
      <c r="AO28" s="382"/>
      <c r="AP28" s="382"/>
      <c r="AQ28" s="382"/>
      <c r="AR28" s="382"/>
      <c r="AS28" s="382"/>
    </row>
    <row r="29" spans="1:53">
      <c r="A29" s="740" t="s">
        <v>6311</v>
      </c>
      <c r="B29" s="690">
        <v>33</v>
      </c>
      <c r="C29" s="690">
        <v>17</v>
      </c>
      <c r="D29" s="690">
        <v>0</v>
      </c>
      <c r="E29" s="690">
        <v>0</v>
      </c>
      <c r="F29" s="674">
        <v>0</v>
      </c>
      <c r="G29" s="585">
        <v>0</v>
      </c>
      <c r="H29" s="585">
        <v>0</v>
      </c>
      <c r="I29" s="525">
        <v>0</v>
      </c>
      <c r="J29" s="525">
        <v>0</v>
      </c>
      <c r="K29" s="525">
        <v>0</v>
      </c>
      <c r="L29" s="525"/>
      <c r="AN29" s="382"/>
      <c r="AO29" s="382"/>
      <c r="AP29" s="382"/>
      <c r="AQ29" s="382"/>
      <c r="AR29" s="382"/>
      <c r="AS29" s="382"/>
    </row>
    <row r="30" spans="1:53">
      <c r="A30" s="740" t="s">
        <v>1709</v>
      </c>
      <c r="B30" s="690">
        <v>11</v>
      </c>
      <c r="C30" s="690">
        <v>4</v>
      </c>
      <c r="D30" s="690">
        <v>5</v>
      </c>
      <c r="E30" s="690">
        <v>0</v>
      </c>
      <c r="F30" s="674">
        <v>0</v>
      </c>
      <c r="G30" s="585">
        <v>0</v>
      </c>
      <c r="H30" s="585">
        <v>0</v>
      </c>
      <c r="I30" s="525">
        <v>0</v>
      </c>
      <c r="J30" s="525">
        <v>0</v>
      </c>
      <c r="K30" s="525">
        <v>0</v>
      </c>
      <c r="L30" s="525"/>
      <c r="AN30" s="382"/>
      <c r="AO30" s="382"/>
      <c r="AP30" s="382"/>
      <c r="AQ30" s="382"/>
      <c r="AR30" s="382"/>
      <c r="AS30" s="382"/>
    </row>
    <row r="31" spans="1:53">
      <c r="A31" s="800" t="s">
        <v>2597</v>
      </c>
      <c r="B31" s="722">
        <v>0</v>
      </c>
      <c r="C31" s="722">
        <v>0</v>
      </c>
      <c r="D31" s="722">
        <v>2</v>
      </c>
      <c r="E31" s="722">
        <v>2</v>
      </c>
      <c r="F31" s="678">
        <v>0</v>
      </c>
      <c r="G31" s="586">
        <v>0</v>
      </c>
      <c r="H31" s="586">
        <v>19</v>
      </c>
      <c r="I31" s="586">
        <v>2</v>
      </c>
      <c r="J31" s="586">
        <v>8</v>
      </c>
      <c r="K31" s="586">
        <v>3</v>
      </c>
      <c r="AN31" s="382"/>
      <c r="AO31" s="382"/>
      <c r="AP31" s="382"/>
      <c r="AQ31" s="382"/>
      <c r="AR31" s="382"/>
      <c r="AS31" s="382"/>
    </row>
    <row r="32" spans="1:53">
      <c r="A32" s="585" t="s">
        <v>5709</v>
      </c>
      <c r="AN32" s="382"/>
      <c r="AO32" s="382"/>
      <c r="AP32" s="382"/>
      <c r="AQ32" s="382"/>
      <c r="AR32" s="382"/>
      <c r="AS32" s="382"/>
    </row>
    <row r="33" spans="1:45">
      <c r="A33" s="398" t="s">
        <v>6262</v>
      </c>
      <c r="B33" s="398"/>
      <c r="C33" s="398"/>
      <c r="E33" s="525"/>
      <c r="AN33" s="382"/>
      <c r="AO33" s="382"/>
      <c r="AP33" s="382"/>
      <c r="AQ33" s="382"/>
      <c r="AR33" s="382"/>
      <c r="AS33" s="382"/>
    </row>
    <row r="34" spans="1:45">
      <c r="A34" s="674" t="s">
        <v>857</v>
      </c>
      <c r="B34" s="674"/>
      <c r="C34" s="674"/>
    </row>
    <row r="37" spans="1:45">
      <c r="A37" s="382"/>
      <c r="B37" s="382"/>
      <c r="C37" s="382"/>
      <c r="D37" s="382"/>
      <c r="E37" s="382"/>
      <c r="F37" s="382"/>
      <c r="G37" s="382"/>
      <c r="H37" s="382"/>
      <c r="I37" s="382"/>
      <c r="J37" s="382"/>
      <c r="K37" s="382"/>
    </row>
    <row r="38" spans="1:45">
      <c r="A38" s="382"/>
      <c r="B38" s="382"/>
      <c r="C38" s="382"/>
      <c r="D38" s="382"/>
      <c r="E38" s="382"/>
      <c r="F38" s="382"/>
      <c r="G38" s="382"/>
      <c r="H38" s="382"/>
      <c r="I38" s="382"/>
      <c r="J38" s="382"/>
      <c r="K38" s="382"/>
    </row>
    <row r="39" spans="1:45">
      <c r="A39" s="382"/>
      <c r="B39" s="382"/>
      <c r="C39" s="382"/>
      <c r="D39" s="382"/>
      <c r="E39" s="382"/>
      <c r="F39" s="382"/>
      <c r="G39" s="382"/>
      <c r="H39" s="382"/>
      <c r="I39" s="382"/>
      <c r="J39" s="382"/>
      <c r="K39" s="382"/>
    </row>
    <row r="40" spans="1:45">
      <c r="A40" s="382"/>
      <c r="B40" s="382"/>
      <c r="C40" s="382"/>
      <c r="D40" s="382"/>
      <c r="E40" s="382"/>
      <c r="F40" s="382"/>
      <c r="G40" s="382"/>
      <c r="H40" s="382"/>
      <c r="I40" s="382"/>
      <c r="J40" s="382"/>
      <c r="K40" s="382"/>
    </row>
    <row r="41" spans="1:45">
      <c r="A41" s="382"/>
      <c r="B41" s="382"/>
      <c r="C41" s="382"/>
      <c r="D41" s="382"/>
      <c r="E41" s="382"/>
      <c r="F41" s="382"/>
      <c r="G41" s="382"/>
      <c r="H41" s="382"/>
      <c r="I41" s="382"/>
      <c r="J41" s="382"/>
      <c r="K41" s="382"/>
    </row>
    <row r="42" spans="1:45">
      <c r="A42" s="382"/>
      <c r="B42" s="382"/>
      <c r="C42" s="382"/>
      <c r="D42" s="382"/>
      <c r="E42" s="382"/>
      <c r="F42" s="382"/>
      <c r="G42" s="382"/>
      <c r="H42" s="382"/>
      <c r="I42" s="382"/>
      <c r="J42" s="382"/>
      <c r="K42" s="382"/>
    </row>
    <row r="43" spans="1:45">
      <c r="A43" s="382"/>
      <c r="B43" s="382"/>
      <c r="C43" s="382"/>
      <c r="D43" s="382"/>
      <c r="E43" s="382"/>
      <c r="F43" s="382"/>
      <c r="G43" s="382"/>
      <c r="H43" s="382"/>
      <c r="I43" s="382"/>
      <c r="J43" s="382"/>
      <c r="K43" s="382"/>
    </row>
    <row r="44" spans="1:45">
      <c r="A44" s="382"/>
      <c r="B44" s="382"/>
      <c r="C44" s="382"/>
      <c r="D44" s="382"/>
      <c r="E44" s="382"/>
      <c r="F44" s="382"/>
      <c r="G44" s="382"/>
      <c r="H44" s="382"/>
      <c r="I44" s="382"/>
      <c r="J44" s="382"/>
      <c r="K44" s="382"/>
    </row>
    <row r="45" spans="1:45">
      <c r="A45" s="382"/>
      <c r="B45" s="382"/>
      <c r="C45" s="382"/>
      <c r="D45" s="382"/>
      <c r="E45" s="382"/>
      <c r="F45" s="382"/>
      <c r="G45" s="382"/>
      <c r="H45" s="382"/>
      <c r="I45" s="382"/>
      <c r="J45" s="382"/>
      <c r="K45" s="382"/>
    </row>
    <row r="46" spans="1:45">
      <c r="A46" s="382"/>
      <c r="B46" s="382"/>
      <c r="C46" s="382"/>
      <c r="D46" s="382"/>
      <c r="E46" s="382"/>
      <c r="F46" s="382"/>
      <c r="G46" s="382"/>
      <c r="H46" s="382"/>
      <c r="I46" s="382"/>
      <c r="J46" s="382"/>
      <c r="K46" s="382"/>
    </row>
    <row r="47" spans="1:45">
      <c r="A47" s="382"/>
      <c r="B47" s="382"/>
      <c r="C47" s="382"/>
      <c r="D47" s="382"/>
      <c r="E47" s="382"/>
      <c r="F47" s="382"/>
      <c r="G47" s="382"/>
      <c r="H47" s="382"/>
      <c r="I47" s="382"/>
      <c r="J47" s="382"/>
      <c r="K47" s="382"/>
    </row>
    <row r="48" spans="1:45">
      <c r="A48" s="382"/>
      <c r="B48" s="382"/>
      <c r="C48" s="382"/>
      <c r="D48" s="382"/>
      <c r="E48" s="382"/>
      <c r="F48" s="382"/>
      <c r="G48" s="382"/>
      <c r="H48" s="382"/>
      <c r="I48" s="382"/>
      <c r="J48" s="382"/>
      <c r="K48" s="382"/>
    </row>
    <row r="49" spans="1:38">
      <c r="A49" s="382"/>
      <c r="B49" s="382"/>
      <c r="C49" s="382"/>
      <c r="D49" s="382"/>
      <c r="E49" s="382"/>
      <c r="F49" s="382"/>
      <c r="G49" s="382"/>
      <c r="H49" s="382"/>
      <c r="I49" s="382"/>
      <c r="J49" s="382"/>
      <c r="K49" s="382"/>
    </row>
    <row r="50" spans="1:38">
      <c r="A50" s="382"/>
      <c r="B50" s="382"/>
      <c r="C50" s="382"/>
      <c r="D50" s="382"/>
      <c r="E50" s="382"/>
      <c r="F50" s="382"/>
      <c r="G50" s="382"/>
      <c r="H50" s="382"/>
      <c r="I50" s="382"/>
      <c r="J50" s="382"/>
      <c r="K50" s="382"/>
    </row>
    <row r="51" spans="1:38">
      <c r="A51" s="382"/>
      <c r="B51" s="382"/>
      <c r="C51" s="382"/>
      <c r="D51" s="382"/>
      <c r="E51" s="382"/>
      <c r="F51" s="382"/>
      <c r="G51" s="382"/>
      <c r="H51" s="382"/>
      <c r="I51" s="382"/>
      <c r="J51" s="382"/>
      <c r="K51" s="382"/>
    </row>
    <row r="52" spans="1:38">
      <c r="A52" s="382"/>
      <c r="B52" s="382"/>
      <c r="C52" s="382"/>
      <c r="D52" s="382"/>
      <c r="E52" s="382"/>
      <c r="F52" s="382"/>
      <c r="G52" s="382"/>
      <c r="H52" s="382"/>
      <c r="I52" s="382"/>
      <c r="J52" s="382"/>
      <c r="K52" s="382"/>
    </row>
    <row r="53" spans="1:38">
      <c r="A53" s="382"/>
      <c r="B53" s="382"/>
      <c r="C53" s="382"/>
      <c r="D53" s="382"/>
      <c r="E53" s="382"/>
      <c r="F53" s="382"/>
      <c r="G53" s="382"/>
      <c r="H53" s="382"/>
      <c r="I53" s="382"/>
      <c r="J53" s="382"/>
      <c r="K53" s="382"/>
    </row>
    <row r="54" spans="1:38">
      <c r="A54" s="382"/>
      <c r="B54" s="382"/>
      <c r="C54" s="382"/>
      <c r="D54" s="382"/>
      <c r="E54" s="382"/>
      <c r="F54" s="382"/>
      <c r="G54" s="382"/>
      <c r="H54" s="382"/>
      <c r="I54" s="382"/>
      <c r="J54" s="382"/>
      <c r="K54" s="382"/>
    </row>
    <row r="55" spans="1:38">
      <c r="A55" s="382"/>
      <c r="B55" s="382"/>
      <c r="C55" s="382"/>
      <c r="D55" s="382"/>
      <c r="E55" s="382"/>
      <c r="F55" s="382"/>
      <c r="G55" s="382"/>
      <c r="H55" s="382"/>
      <c r="I55" s="382"/>
      <c r="J55" s="382"/>
      <c r="K55" s="382"/>
    </row>
    <row r="56" spans="1:38">
      <c r="A56" s="382"/>
      <c r="B56" s="382"/>
      <c r="C56" s="382"/>
      <c r="D56" s="382"/>
      <c r="E56" s="382"/>
      <c r="F56" s="382"/>
      <c r="G56" s="382"/>
      <c r="H56" s="382"/>
      <c r="I56" s="382"/>
      <c r="J56" s="382"/>
      <c r="K56" s="382"/>
    </row>
    <row r="57" spans="1:38">
      <c r="A57" s="382"/>
      <c r="B57" s="382"/>
      <c r="C57" s="382"/>
      <c r="D57" s="382"/>
      <c r="E57" s="382"/>
      <c r="F57" s="382"/>
      <c r="G57" s="382"/>
      <c r="H57" s="382"/>
      <c r="I57" s="382"/>
      <c r="J57" s="382"/>
      <c r="K57" s="382"/>
      <c r="N57" s="811"/>
      <c r="O57" s="811"/>
      <c r="P57" s="811"/>
      <c r="Q57" s="811"/>
      <c r="R57" s="811"/>
      <c r="S57" s="811"/>
      <c r="T57" s="811"/>
      <c r="U57" s="811"/>
      <c r="V57" s="811"/>
      <c r="W57" s="811"/>
      <c r="X57" s="811"/>
      <c r="Y57" s="674"/>
    </row>
    <row r="58" spans="1:38">
      <c r="A58" s="382"/>
      <c r="B58" s="382"/>
      <c r="C58" s="382"/>
      <c r="D58" s="382"/>
      <c r="E58" s="382"/>
      <c r="F58" s="382"/>
      <c r="G58" s="382"/>
      <c r="H58" s="382"/>
      <c r="I58" s="382"/>
      <c r="J58" s="382"/>
      <c r="K58" s="382"/>
      <c r="N58" s="1403"/>
      <c r="O58" s="1403"/>
      <c r="P58" s="1403"/>
      <c r="Q58" s="1403"/>
      <c r="R58" s="1403"/>
      <c r="S58" s="1403"/>
      <c r="T58" s="1403"/>
      <c r="U58" s="1403"/>
      <c r="V58" s="1403"/>
      <c r="W58" s="1403"/>
      <c r="X58" s="1403"/>
      <c r="Y58" s="599"/>
    </row>
    <row r="59" spans="1:38">
      <c r="A59" s="382"/>
      <c r="B59" s="382"/>
      <c r="C59" s="382"/>
      <c r="D59" s="382"/>
      <c r="E59" s="382"/>
      <c r="F59" s="382"/>
      <c r="G59" s="382"/>
      <c r="H59" s="382"/>
      <c r="I59" s="382"/>
      <c r="J59" s="382"/>
      <c r="K59" s="382"/>
      <c r="N59" s="1404"/>
      <c r="O59" s="1404"/>
      <c r="P59" s="1404"/>
      <c r="Q59" s="1404"/>
      <c r="R59" s="1404"/>
      <c r="S59" s="1404"/>
      <c r="T59" s="1404"/>
      <c r="U59" s="1404"/>
      <c r="V59" s="1404"/>
      <c r="W59" s="1404"/>
      <c r="X59" s="1404"/>
      <c r="Y59" s="525"/>
    </row>
    <row r="60" spans="1:38">
      <c r="A60" s="382"/>
      <c r="B60" s="382"/>
      <c r="C60" s="382"/>
      <c r="D60" s="382"/>
      <c r="E60" s="382"/>
      <c r="F60" s="382"/>
      <c r="G60" s="382"/>
      <c r="H60" s="382"/>
      <c r="I60" s="382"/>
      <c r="J60" s="382"/>
      <c r="K60" s="382"/>
      <c r="N60" s="1404"/>
      <c r="O60" s="1404"/>
      <c r="P60" s="1404"/>
      <c r="Q60" s="1404"/>
      <c r="R60" s="1404"/>
      <c r="S60" s="1404"/>
      <c r="T60" s="1404"/>
      <c r="U60" s="1404"/>
      <c r="V60" s="1404"/>
      <c r="W60" s="1404"/>
      <c r="X60" s="1404"/>
      <c r="Y60" s="525"/>
    </row>
    <row r="61" spans="1:38">
      <c r="A61" s="382"/>
      <c r="B61" s="382"/>
      <c r="C61" s="382"/>
      <c r="D61" s="382"/>
      <c r="E61" s="382"/>
      <c r="F61" s="382"/>
      <c r="G61" s="382"/>
      <c r="H61" s="382"/>
      <c r="I61" s="382"/>
      <c r="J61" s="382"/>
      <c r="K61" s="382"/>
      <c r="N61" s="1404"/>
      <c r="O61" s="1404"/>
      <c r="P61" s="1404"/>
      <c r="Q61" s="1404"/>
      <c r="R61" s="1404"/>
      <c r="S61" s="1404"/>
      <c r="T61" s="1404"/>
      <c r="U61" s="1404"/>
      <c r="V61" s="1404"/>
      <c r="W61" s="1404"/>
      <c r="X61" s="1404"/>
      <c r="Y61" s="525"/>
    </row>
    <row r="62" spans="1:38">
      <c r="A62" s="382"/>
      <c r="B62" s="382"/>
      <c r="C62" s="382"/>
      <c r="D62" s="382"/>
      <c r="E62" s="382"/>
      <c r="F62" s="382"/>
      <c r="G62" s="382"/>
      <c r="H62" s="382"/>
      <c r="I62" s="382"/>
      <c r="J62" s="382"/>
      <c r="K62" s="382"/>
      <c r="N62" s="1404"/>
      <c r="O62" s="1404"/>
      <c r="P62" s="1404"/>
      <c r="Q62" s="1404"/>
      <c r="R62" s="1404"/>
      <c r="S62" s="1404"/>
      <c r="T62" s="1404"/>
      <c r="U62" s="1404"/>
      <c r="V62" s="1404"/>
      <c r="W62" s="1404"/>
      <c r="X62" s="1404"/>
      <c r="Y62" s="525"/>
    </row>
    <row r="63" spans="1:38">
      <c r="A63" s="382"/>
      <c r="B63" s="382"/>
      <c r="C63" s="382"/>
      <c r="D63" s="382"/>
      <c r="E63" s="382"/>
      <c r="F63" s="382"/>
      <c r="G63" s="382"/>
      <c r="H63" s="382"/>
      <c r="I63" s="382"/>
      <c r="J63" s="382"/>
      <c r="K63" s="382"/>
      <c r="M63" s="811"/>
      <c r="N63" s="1404"/>
      <c r="O63" s="1404"/>
      <c r="P63" s="1404"/>
      <c r="Q63" s="1404"/>
      <c r="R63" s="1404"/>
      <c r="S63" s="1404"/>
      <c r="T63" s="1404"/>
      <c r="U63" s="1404"/>
      <c r="V63" s="1404"/>
      <c r="W63" s="1404"/>
      <c r="X63" s="1404"/>
      <c r="Y63" s="525"/>
      <c r="Z63" s="674"/>
      <c r="AA63" s="674"/>
      <c r="AB63" s="674"/>
      <c r="AC63" s="674"/>
      <c r="AD63" s="674"/>
      <c r="AE63" s="674"/>
      <c r="AF63" s="674"/>
      <c r="AG63" s="674"/>
      <c r="AH63" s="674"/>
      <c r="AI63" s="674"/>
      <c r="AJ63" s="674"/>
      <c r="AK63" s="674"/>
      <c r="AL63" s="674"/>
    </row>
    <row r="64" spans="1:38">
      <c r="A64" s="382"/>
      <c r="B64" s="382"/>
      <c r="C64" s="382"/>
      <c r="D64" s="382"/>
      <c r="E64" s="382"/>
      <c r="F64" s="382"/>
      <c r="G64" s="382"/>
      <c r="H64" s="382"/>
      <c r="I64" s="382"/>
      <c r="J64" s="382"/>
      <c r="K64" s="382"/>
      <c r="M64" s="1403"/>
      <c r="N64" s="884"/>
      <c r="O64" s="884"/>
      <c r="P64" s="884"/>
      <c r="Q64" s="884"/>
      <c r="R64" s="884"/>
      <c r="S64" s="884"/>
      <c r="T64" s="884"/>
      <c r="U64" s="884"/>
      <c r="V64" s="884"/>
      <c r="W64" s="884"/>
      <c r="X64" s="884"/>
      <c r="Z64" s="599"/>
      <c r="AA64" s="599"/>
      <c r="AB64" s="599"/>
      <c r="AC64" s="599"/>
      <c r="AD64" s="599"/>
      <c r="AE64" s="599"/>
      <c r="AF64" s="599"/>
      <c r="AG64" s="599"/>
      <c r="AH64" s="599"/>
      <c r="AI64" s="599"/>
      <c r="AJ64" s="599"/>
      <c r="AK64" s="599"/>
      <c r="AL64" s="599"/>
    </row>
    <row r="65" spans="1:38">
      <c r="A65" s="382"/>
      <c r="B65" s="382"/>
      <c r="C65" s="382"/>
      <c r="D65" s="382"/>
      <c r="E65" s="382"/>
      <c r="F65" s="382"/>
      <c r="G65" s="382"/>
      <c r="H65" s="382"/>
      <c r="I65" s="382"/>
      <c r="J65" s="382"/>
      <c r="K65" s="382"/>
      <c r="M65" s="1404"/>
      <c r="N65" s="884"/>
      <c r="O65" s="884"/>
      <c r="P65" s="884"/>
      <c r="Q65" s="884"/>
      <c r="R65" s="884"/>
      <c r="S65" s="884"/>
      <c r="T65" s="884"/>
      <c r="U65" s="884"/>
      <c r="V65" s="884"/>
      <c r="W65" s="884"/>
      <c r="X65" s="884"/>
      <c r="Z65" s="525"/>
      <c r="AA65" s="525"/>
      <c r="AB65" s="525"/>
      <c r="AC65" s="525"/>
      <c r="AD65" s="525"/>
      <c r="AE65" s="525"/>
      <c r="AF65" s="525"/>
      <c r="AG65" s="525"/>
      <c r="AH65" s="525"/>
      <c r="AI65" s="525"/>
      <c r="AJ65" s="525"/>
      <c r="AK65" s="525"/>
      <c r="AL65" s="525"/>
    </row>
    <row r="66" spans="1:38">
      <c r="A66" s="382"/>
      <c r="B66" s="382"/>
      <c r="C66" s="382"/>
      <c r="D66" s="382"/>
      <c r="E66" s="382"/>
      <c r="F66" s="382"/>
      <c r="G66" s="382"/>
      <c r="H66" s="382"/>
      <c r="I66" s="382"/>
      <c r="J66" s="382"/>
      <c r="K66" s="382"/>
      <c r="M66" s="1404"/>
      <c r="Z66" s="525"/>
      <c r="AA66" s="525"/>
      <c r="AB66" s="525"/>
      <c r="AC66" s="525"/>
      <c r="AD66" s="525"/>
      <c r="AE66" s="525"/>
      <c r="AF66" s="525"/>
      <c r="AG66" s="525"/>
      <c r="AH66" s="525"/>
      <c r="AI66" s="525"/>
      <c r="AJ66" s="525"/>
      <c r="AK66" s="525"/>
      <c r="AL66" s="525"/>
    </row>
    <row r="67" spans="1:38">
      <c r="M67" s="1404"/>
      <c r="Z67" s="525"/>
      <c r="AA67" s="525"/>
      <c r="AB67" s="525"/>
      <c r="AC67" s="525"/>
      <c r="AD67" s="525"/>
      <c r="AE67" s="525"/>
      <c r="AF67" s="525"/>
      <c r="AG67" s="525"/>
      <c r="AH67" s="525"/>
      <c r="AI67" s="525"/>
      <c r="AJ67" s="525"/>
      <c r="AK67" s="525"/>
      <c r="AL67" s="525"/>
    </row>
    <row r="68" spans="1:38">
      <c r="A68" s="936"/>
      <c r="B68" s="936"/>
      <c r="C68" s="936"/>
      <c r="D68" s="811"/>
      <c r="E68" s="811"/>
      <c r="F68" s="811"/>
      <c r="G68" s="811"/>
      <c r="H68" s="936"/>
      <c r="I68" s="811"/>
      <c r="J68" s="811"/>
      <c r="K68" s="811"/>
      <c r="M68" s="1404"/>
      <c r="Z68" s="525"/>
      <c r="AA68" s="525"/>
      <c r="AB68" s="525"/>
      <c r="AC68" s="525"/>
      <c r="AD68" s="525"/>
      <c r="AE68" s="525"/>
      <c r="AF68" s="525"/>
      <c r="AG68" s="525"/>
      <c r="AH68" s="525"/>
      <c r="AI68" s="525"/>
      <c r="AJ68" s="525"/>
      <c r="AK68" s="525"/>
      <c r="AL68" s="525"/>
    </row>
    <row r="69" spans="1:38">
      <c r="A69" s="884"/>
      <c r="B69" s="884"/>
      <c r="C69" s="884"/>
      <c r="D69" s="690"/>
      <c r="E69" s="1403"/>
      <c r="F69" s="1403"/>
      <c r="G69" s="1403"/>
      <c r="H69" s="1403"/>
      <c r="I69" s="1403"/>
      <c r="J69" s="1403"/>
      <c r="K69" s="1403"/>
      <c r="L69" s="1403"/>
      <c r="M69" s="1404"/>
      <c r="Z69" s="525"/>
      <c r="AA69" s="525"/>
      <c r="AB69" s="525"/>
      <c r="AC69" s="525"/>
      <c r="AD69" s="525"/>
      <c r="AE69" s="525"/>
      <c r="AF69" s="525"/>
      <c r="AG69" s="525"/>
      <c r="AH69" s="525"/>
      <c r="AI69" s="525"/>
      <c r="AJ69" s="525"/>
      <c r="AK69" s="525"/>
      <c r="AL69" s="525"/>
    </row>
    <row r="70" spans="1:38">
      <c r="A70" s="884"/>
      <c r="B70" s="884"/>
      <c r="C70" s="884"/>
      <c r="E70" s="1404"/>
      <c r="F70" s="1404"/>
      <c r="G70" s="1404"/>
      <c r="H70" s="1404"/>
      <c r="I70" s="1404"/>
      <c r="J70" s="1404"/>
      <c r="K70" s="1404"/>
      <c r="L70" s="1404"/>
      <c r="M70" s="884"/>
    </row>
    <row r="71" spans="1:38">
      <c r="A71" s="1405"/>
      <c r="B71" s="1405"/>
      <c r="C71" s="1405"/>
      <c r="E71" s="884"/>
      <c r="F71" s="1404"/>
      <c r="G71" s="1404"/>
      <c r="H71" s="1404"/>
      <c r="I71" s="1404"/>
      <c r="J71" s="1404"/>
      <c r="K71" s="1404"/>
      <c r="L71" s="1404"/>
      <c r="M71" s="884"/>
    </row>
    <row r="72" spans="1:38">
      <c r="A72" s="1405"/>
      <c r="B72" s="1405"/>
      <c r="C72" s="1405"/>
      <c r="E72" s="884"/>
      <c r="F72" s="1404"/>
      <c r="G72" s="1404"/>
      <c r="H72" s="1404"/>
      <c r="I72" s="1404"/>
      <c r="J72" s="1404"/>
      <c r="K72" s="1404"/>
      <c r="L72" s="1404"/>
    </row>
    <row r="73" spans="1:38">
      <c r="A73" s="1405"/>
      <c r="B73" s="1405"/>
      <c r="C73" s="1405"/>
      <c r="E73" s="884"/>
      <c r="F73" s="1404"/>
      <c r="G73" s="1404"/>
      <c r="H73" s="1404"/>
      <c r="I73" s="1404"/>
      <c r="J73" s="1404"/>
      <c r="K73" s="1404"/>
      <c r="L73" s="1404"/>
    </row>
    <row r="74" spans="1:38">
      <c r="A74" s="1405"/>
      <c r="B74" s="1405"/>
      <c r="C74" s="1405"/>
      <c r="E74" s="884"/>
      <c r="F74" s="1404"/>
      <c r="G74" s="1404"/>
      <c r="H74" s="1404"/>
      <c r="I74" s="1404"/>
      <c r="J74" s="1404"/>
      <c r="K74" s="1404"/>
      <c r="L74" s="1404"/>
    </row>
    <row r="75" spans="1:38">
      <c r="A75" s="884"/>
      <c r="B75" s="884"/>
      <c r="C75" s="884"/>
      <c r="D75" s="884"/>
      <c r="E75" s="884"/>
      <c r="F75" s="884"/>
      <c r="G75" s="884"/>
      <c r="H75" s="884"/>
      <c r="I75" s="884"/>
      <c r="J75" s="884"/>
      <c r="K75" s="884"/>
    </row>
    <row r="76" spans="1:38">
      <c r="A76" s="811"/>
      <c r="B76" s="811"/>
      <c r="C76" s="811"/>
      <c r="D76" s="884"/>
      <c r="E76" s="884"/>
      <c r="F76" s="884"/>
      <c r="G76" s="884"/>
      <c r="H76" s="884"/>
      <c r="I76" s="884"/>
      <c r="J76" s="884"/>
      <c r="K76" s="884"/>
    </row>
    <row r="77" spans="1:38">
      <c r="A77" s="1405"/>
      <c r="B77" s="1405"/>
      <c r="C77" s="1405"/>
    </row>
    <row r="79" spans="1:38">
      <c r="N79" s="674"/>
      <c r="O79" s="674"/>
      <c r="P79" s="674"/>
      <c r="Q79" s="674"/>
      <c r="R79" s="674"/>
      <c r="S79" s="674"/>
      <c r="T79" s="674"/>
      <c r="U79" s="674"/>
      <c r="V79" s="674"/>
      <c r="W79" s="674"/>
      <c r="X79" s="674"/>
      <c r="Y79" s="674"/>
    </row>
    <row r="80" spans="1:38">
      <c r="D80" s="674"/>
      <c r="E80" s="674"/>
      <c r="F80" s="674"/>
      <c r="G80" s="674"/>
      <c r="N80" s="599"/>
      <c r="O80" s="599"/>
      <c r="P80" s="599"/>
      <c r="Q80" s="599"/>
      <c r="R80" s="599"/>
      <c r="S80" s="599"/>
      <c r="T80" s="599"/>
      <c r="U80" s="599"/>
      <c r="V80" s="599"/>
      <c r="W80" s="599"/>
      <c r="X80" s="599"/>
      <c r="Y80" s="599"/>
    </row>
    <row r="81" spans="1:38">
      <c r="D81" s="599"/>
      <c r="E81" s="599"/>
      <c r="F81" s="599"/>
      <c r="G81" s="599"/>
      <c r="N81" s="525"/>
      <c r="O81" s="525"/>
      <c r="P81" s="525"/>
      <c r="Q81" s="525"/>
      <c r="R81" s="525"/>
      <c r="S81" s="525"/>
      <c r="T81" s="525"/>
      <c r="U81" s="525"/>
      <c r="V81" s="525"/>
      <c r="W81" s="525"/>
      <c r="X81" s="525"/>
      <c r="Y81" s="525"/>
    </row>
    <row r="82" spans="1:38">
      <c r="D82" s="525"/>
      <c r="E82" s="599"/>
      <c r="F82" s="599"/>
      <c r="G82" s="525"/>
      <c r="N82" s="525"/>
      <c r="O82" s="525"/>
      <c r="P82" s="525"/>
      <c r="Q82" s="525"/>
      <c r="R82" s="525"/>
      <c r="S82" s="525"/>
      <c r="T82" s="525"/>
      <c r="U82" s="525"/>
      <c r="V82" s="525"/>
      <c r="W82" s="525"/>
      <c r="X82" s="525"/>
      <c r="Y82" s="525"/>
    </row>
    <row r="83" spans="1:38">
      <c r="A83" s="1392"/>
      <c r="B83" s="1392"/>
      <c r="C83" s="1392"/>
      <c r="D83" s="525"/>
      <c r="E83" s="599"/>
      <c r="F83" s="599"/>
      <c r="G83" s="525"/>
      <c r="N83" s="525"/>
      <c r="O83" s="525"/>
      <c r="P83" s="525"/>
      <c r="Q83" s="525"/>
      <c r="R83" s="525"/>
      <c r="S83" s="525"/>
      <c r="T83" s="525"/>
      <c r="U83" s="525"/>
      <c r="V83" s="525"/>
      <c r="W83" s="525"/>
      <c r="X83" s="525"/>
      <c r="Y83" s="525"/>
    </row>
    <row r="84" spans="1:38">
      <c r="A84" s="1392"/>
      <c r="B84" s="1392"/>
      <c r="C84" s="1392"/>
      <c r="D84" s="525"/>
      <c r="E84" s="599"/>
      <c r="F84" s="599"/>
      <c r="G84" s="525"/>
      <c r="N84" s="525"/>
      <c r="O84" s="525"/>
      <c r="P84" s="525"/>
      <c r="Q84" s="525"/>
      <c r="R84" s="525"/>
      <c r="S84" s="525"/>
      <c r="T84" s="525"/>
      <c r="U84" s="525"/>
      <c r="V84" s="525"/>
      <c r="W84" s="525"/>
      <c r="X84" s="525"/>
      <c r="Y84" s="525"/>
    </row>
    <row r="85" spans="1:38">
      <c r="A85" s="1392"/>
      <c r="B85" s="1392"/>
      <c r="C85" s="1392"/>
      <c r="D85" s="525"/>
      <c r="E85" s="599"/>
      <c r="F85" s="599"/>
      <c r="G85" s="525"/>
      <c r="M85" s="674"/>
      <c r="N85" s="525"/>
      <c r="O85" s="525"/>
      <c r="P85" s="525"/>
      <c r="Q85" s="525"/>
      <c r="R85" s="525"/>
      <c r="S85" s="525"/>
      <c r="T85" s="525"/>
      <c r="U85" s="525"/>
      <c r="V85" s="525"/>
      <c r="W85" s="525"/>
      <c r="X85" s="525"/>
      <c r="Y85" s="525"/>
      <c r="Z85" s="674"/>
      <c r="AA85" s="674"/>
      <c r="AB85" s="674"/>
      <c r="AC85" s="674"/>
      <c r="AD85" s="674"/>
      <c r="AE85" s="674"/>
      <c r="AF85" s="674"/>
      <c r="AG85" s="674"/>
      <c r="AH85" s="674"/>
      <c r="AI85" s="674"/>
      <c r="AJ85" s="674"/>
      <c r="AK85" s="674"/>
      <c r="AL85" s="674"/>
    </row>
    <row r="86" spans="1:38">
      <c r="A86" s="1392"/>
      <c r="B86" s="1392"/>
      <c r="C86" s="1392"/>
      <c r="D86" s="525"/>
      <c r="E86" s="599"/>
      <c r="F86" s="599"/>
      <c r="G86" s="525"/>
      <c r="M86" s="599"/>
      <c r="N86" s="525"/>
      <c r="O86" s="525"/>
      <c r="P86" s="525"/>
      <c r="Q86" s="525"/>
      <c r="R86" s="525"/>
      <c r="S86" s="525"/>
      <c r="T86" s="525"/>
      <c r="U86" s="525"/>
      <c r="V86" s="525"/>
      <c r="W86" s="525"/>
      <c r="X86" s="525"/>
      <c r="Y86" s="525"/>
      <c r="Z86" s="599"/>
      <c r="AA86" s="599"/>
      <c r="AB86" s="599"/>
      <c r="AC86" s="599"/>
      <c r="AD86" s="599"/>
      <c r="AE86" s="599"/>
      <c r="AF86" s="599"/>
      <c r="AG86" s="599"/>
      <c r="AH86" s="599"/>
      <c r="AI86" s="599"/>
      <c r="AJ86" s="599"/>
      <c r="AK86" s="599"/>
      <c r="AL86" s="599"/>
    </row>
    <row r="87" spans="1:38">
      <c r="M87" s="525"/>
      <c r="N87" s="525"/>
      <c r="O87" s="525"/>
      <c r="P87" s="525"/>
      <c r="Q87" s="525"/>
      <c r="R87" s="525"/>
      <c r="S87" s="525"/>
      <c r="T87" s="525"/>
      <c r="U87" s="525"/>
      <c r="V87" s="525"/>
      <c r="W87" s="525"/>
      <c r="X87" s="525"/>
      <c r="Y87" s="525"/>
      <c r="Z87" s="525"/>
      <c r="AA87" s="525"/>
      <c r="AB87" s="525"/>
      <c r="AC87" s="525"/>
      <c r="AD87" s="525"/>
      <c r="AE87" s="525"/>
      <c r="AF87" s="525"/>
      <c r="AG87" s="525"/>
      <c r="AH87" s="525"/>
      <c r="AI87" s="525"/>
      <c r="AJ87" s="525"/>
      <c r="AK87" s="525"/>
      <c r="AL87" s="525"/>
    </row>
    <row r="88" spans="1:38">
      <c r="A88" s="398"/>
      <c r="B88" s="398"/>
      <c r="C88" s="398"/>
      <c r="M88" s="525"/>
      <c r="N88" s="525"/>
      <c r="O88" s="525"/>
      <c r="P88" s="525"/>
      <c r="Q88" s="525"/>
      <c r="R88" s="525"/>
      <c r="S88" s="525"/>
      <c r="T88" s="525"/>
      <c r="U88" s="525"/>
      <c r="V88" s="525"/>
      <c r="W88" s="525"/>
      <c r="X88" s="525"/>
      <c r="Y88" s="525"/>
      <c r="Z88" s="525"/>
      <c r="AA88" s="525"/>
      <c r="AB88" s="525"/>
      <c r="AC88" s="525"/>
      <c r="AD88" s="525"/>
      <c r="AE88" s="525"/>
      <c r="AF88" s="525"/>
      <c r="AG88" s="525"/>
      <c r="AH88" s="525"/>
      <c r="AI88" s="525"/>
      <c r="AJ88" s="525"/>
      <c r="AK88" s="525"/>
      <c r="AL88" s="525"/>
    </row>
    <row r="89" spans="1:38">
      <c r="A89" s="740"/>
      <c r="B89" s="740"/>
      <c r="C89" s="740"/>
      <c r="M89" s="525"/>
      <c r="N89" s="525"/>
      <c r="O89" s="525"/>
      <c r="P89" s="525"/>
      <c r="Q89" s="525"/>
      <c r="R89" s="525"/>
      <c r="S89" s="525"/>
      <c r="T89" s="525"/>
      <c r="U89" s="525"/>
      <c r="V89" s="525"/>
      <c r="W89" s="525"/>
      <c r="X89" s="525"/>
      <c r="Y89" s="525"/>
      <c r="Z89" s="525"/>
      <c r="AA89" s="525"/>
      <c r="AB89" s="525"/>
      <c r="AC89" s="525"/>
      <c r="AD89" s="525"/>
      <c r="AE89" s="525"/>
      <c r="AF89" s="525"/>
      <c r="AG89" s="525"/>
      <c r="AH89" s="525"/>
      <c r="AI89" s="525"/>
      <c r="AJ89" s="525"/>
      <c r="AK89" s="525"/>
      <c r="AL89" s="525"/>
    </row>
    <row r="90" spans="1:38">
      <c r="L90" s="398"/>
      <c r="M90" s="525"/>
      <c r="N90" s="525"/>
      <c r="O90" s="525"/>
      <c r="P90" s="525"/>
      <c r="Q90" s="525"/>
      <c r="R90" s="525"/>
      <c r="S90" s="525"/>
      <c r="T90" s="525"/>
      <c r="U90" s="525"/>
      <c r="V90" s="525"/>
      <c r="W90" s="525"/>
      <c r="X90" s="525"/>
      <c r="Y90" s="525"/>
      <c r="Z90" s="525"/>
      <c r="AA90" s="525"/>
      <c r="AB90" s="525"/>
      <c r="AC90" s="525"/>
      <c r="AD90" s="525"/>
      <c r="AE90" s="525"/>
      <c r="AF90" s="525"/>
      <c r="AG90" s="525"/>
      <c r="AH90" s="525"/>
      <c r="AI90" s="525"/>
      <c r="AJ90" s="525"/>
      <c r="AK90" s="525"/>
      <c r="AL90" s="525"/>
    </row>
    <row r="91" spans="1:38">
      <c r="L91" s="439"/>
      <c r="M91" s="525"/>
      <c r="N91" s="525"/>
      <c r="O91" s="525"/>
      <c r="P91" s="525"/>
      <c r="Q91" s="525"/>
      <c r="R91" s="525"/>
      <c r="S91" s="525"/>
      <c r="T91" s="525"/>
      <c r="U91" s="525"/>
      <c r="V91" s="525"/>
      <c r="W91" s="525"/>
      <c r="X91" s="525"/>
      <c r="Y91" s="525"/>
      <c r="Z91" s="525"/>
      <c r="AA91" s="525"/>
      <c r="AB91" s="525"/>
      <c r="AC91" s="525"/>
      <c r="AD91" s="525"/>
      <c r="AE91" s="525"/>
      <c r="AF91" s="525"/>
      <c r="AG91" s="525"/>
      <c r="AH91" s="525"/>
      <c r="AI91" s="525"/>
      <c r="AJ91" s="525"/>
      <c r="AK91" s="525"/>
      <c r="AL91" s="525"/>
    </row>
    <row r="92" spans="1:38">
      <c r="A92" s="382"/>
      <c r="B92" s="382"/>
      <c r="C92" s="382"/>
      <c r="D92" s="398"/>
      <c r="E92" s="398"/>
      <c r="F92" s="398"/>
      <c r="G92" s="398"/>
      <c r="H92" s="398"/>
      <c r="I92" s="398"/>
      <c r="J92" s="398"/>
      <c r="K92" s="398"/>
      <c r="L92" s="463"/>
      <c r="M92" s="525"/>
      <c r="N92" s="525"/>
      <c r="O92" s="525"/>
      <c r="P92" s="525"/>
      <c r="Q92" s="525"/>
      <c r="R92" s="525"/>
      <c r="S92" s="525"/>
      <c r="T92" s="525"/>
      <c r="U92" s="525"/>
      <c r="V92" s="525"/>
      <c r="W92" s="525"/>
      <c r="X92" s="525"/>
      <c r="Y92" s="525"/>
      <c r="Z92" s="525"/>
      <c r="AA92" s="525"/>
      <c r="AB92" s="525"/>
      <c r="AC92" s="525"/>
      <c r="AD92" s="525"/>
      <c r="AE92" s="525"/>
      <c r="AF92" s="525"/>
      <c r="AG92" s="525"/>
      <c r="AH92" s="525"/>
      <c r="AI92" s="525"/>
      <c r="AJ92" s="525"/>
      <c r="AK92" s="525"/>
      <c r="AL92" s="525"/>
    </row>
    <row r="93" spans="1:38">
      <c r="A93" s="382"/>
      <c r="B93" s="382"/>
      <c r="C93" s="382"/>
      <c r="D93" s="599"/>
      <c r="E93" s="439"/>
      <c r="F93" s="439"/>
      <c r="G93" s="439"/>
      <c r="H93" s="439"/>
      <c r="I93" s="439"/>
      <c r="J93" s="439"/>
      <c r="K93" s="439"/>
      <c r="L93" s="439"/>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row>
    <row r="94" spans="1:38">
      <c r="A94" s="382"/>
      <c r="B94" s="382"/>
      <c r="C94" s="382"/>
      <c r="D94" s="463"/>
      <c r="E94" s="463"/>
      <c r="F94" s="463"/>
      <c r="G94" s="463"/>
      <c r="H94" s="463"/>
      <c r="I94" s="463"/>
      <c r="J94" s="463"/>
      <c r="K94" s="463"/>
      <c r="L94" s="463"/>
      <c r="M94" s="525"/>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row>
    <row r="95" spans="1:38">
      <c r="A95" s="1066"/>
      <c r="B95" s="1066"/>
      <c r="C95" s="1066"/>
      <c r="E95" s="382"/>
      <c r="F95" s="463"/>
      <c r="G95" s="463"/>
      <c r="H95" s="463"/>
      <c r="I95" s="463"/>
      <c r="J95" s="463"/>
      <c r="K95" s="463"/>
      <c r="L95" s="463"/>
      <c r="M95" s="525"/>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row>
    <row r="96" spans="1:38">
      <c r="A96" s="1066"/>
      <c r="B96" s="1066"/>
      <c r="C96" s="1066"/>
      <c r="E96" s="382"/>
      <c r="F96" s="463"/>
      <c r="G96" s="463"/>
      <c r="H96" s="463"/>
      <c r="I96" s="463"/>
      <c r="J96" s="463"/>
      <c r="K96" s="463"/>
      <c r="L96" s="463"/>
      <c r="M96" s="525"/>
      <c r="N96" s="525"/>
      <c r="O96" s="525"/>
      <c r="P96" s="525"/>
      <c r="Q96" s="525"/>
      <c r="R96" s="525"/>
      <c r="S96" s="525"/>
      <c r="T96" s="525"/>
      <c r="U96" s="525"/>
      <c r="V96" s="525"/>
      <c r="W96" s="525"/>
      <c r="X96" s="525"/>
      <c r="Y96" s="525"/>
      <c r="Z96" s="525"/>
      <c r="AA96" s="525"/>
      <c r="AB96" s="525"/>
      <c r="AC96" s="525"/>
      <c r="AD96" s="525"/>
      <c r="AE96" s="525"/>
      <c r="AF96" s="525"/>
      <c r="AG96" s="525"/>
      <c r="AH96" s="525"/>
      <c r="AI96" s="525"/>
      <c r="AJ96" s="525"/>
      <c r="AK96" s="525"/>
      <c r="AL96" s="525"/>
    </row>
    <row r="97" spans="1:38">
      <c r="A97" s="1066"/>
      <c r="B97" s="1066"/>
      <c r="C97" s="1066"/>
      <c r="E97" s="382"/>
      <c r="F97" s="463"/>
      <c r="G97" s="463"/>
      <c r="H97" s="463"/>
      <c r="I97" s="463"/>
      <c r="J97" s="463"/>
      <c r="K97" s="463"/>
      <c r="L97" s="463"/>
      <c r="M97" s="525"/>
      <c r="N97" s="525"/>
      <c r="O97" s="525"/>
      <c r="P97" s="525"/>
      <c r="Q97" s="525"/>
      <c r="R97" s="525"/>
      <c r="S97" s="525"/>
      <c r="T97" s="525"/>
      <c r="U97" s="525"/>
      <c r="V97" s="525"/>
      <c r="W97" s="525"/>
      <c r="X97" s="525"/>
      <c r="Y97" s="525"/>
      <c r="Z97" s="525"/>
      <c r="AA97" s="525"/>
      <c r="AB97" s="525"/>
      <c r="AC97" s="525"/>
      <c r="AD97" s="525"/>
      <c r="AE97" s="525"/>
      <c r="AF97" s="525"/>
      <c r="AG97" s="525"/>
      <c r="AH97" s="525"/>
      <c r="AI97" s="525"/>
      <c r="AJ97" s="525"/>
      <c r="AK97" s="525"/>
      <c r="AL97" s="525"/>
    </row>
    <row r="98" spans="1:38">
      <c r="A98" s="1066"/>
      <c r="B98" s="1066"/>
      <c r="C98" s="1066"/>
      <c r="E98" s="382"/>
      <c r="F98" s="463"/>
      <c r="G98" s="463"/>
      <c r="H98" s="463"/>
      <c r="I98" s="463"/>
      <c r="J98" s="463"/>
      <c r="K98" s="463"/>
      <c r="L98" s="463"/>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row>
    <row r="99" spans="1:38">
      <c r="A99" s="1066"/>
      <c r="B99" s="1066"/>
      <c r="C99" s="1066"/>
      <c r="E99" s="382"/>
      <c r="F99" s="463"/>
      <c r="G99" s="463"/>
      <c r="H99" s="463"/>
      <c r="I99" s="463"/>
      <c r="J99" s="463"/>
      <c r="K99" s="463"/>
      <c r="L99" s="463"/>
      <c r="M99" s="525"/>
      <c r="Z99" s="525"/>
      <c r="AA99" s="525"/>
      <c r="AB99" s="525"/>
      <c r="AC99" s="525"/>
      <c r="AD99" s="525"/>
      <c r="AE99" s="525"/>
      <c r="AF99" s="525"/>
      <c r="AG99" s="525"/>
      <c r="AH99" s="525"/>
      <c r="AI99" s="525"/>
      <c r="AJ99" s="525"/>
      <c r="AK99" s="525"/>
      <c r="AL99" s="525"/>
    </row>
    <row r="100" spans="1:38">
      <c r="A100" s="1066"/>
      <c r="B100" s="1066"/>
      <c r="C100" s="1066"/>
      <c r="E100" s="382"/>
      <c r="F100" s="463"/>
      <c r="G100" s="463"/>
      <c r="H100" s="463"/>
      <c r="I100" s="463"/>
      <c r="J100" s="463"/>
      <c r="K100" s="463"/>
      <c r="L100" s="463"/>
      <c r="M100" s="525"/>
      <c r="Z100" s="525"/>
      <c r="AA100" s="525"/>
      <c r="AB100" s="525"/>
      <c r="AC100" s="525"/>
      <c r="AD100" s="525"/>
      <c r="AE100" s="525"/>
      <c r="AF100" s="525"/>
      <c r="AG100" s="525"/>
      <c r="AH100" s="525"/>
      <c r="AI100" s="525"/>
      <c r="AJ100" s="525"/>
      <c r="AK100" s="525"/>
      <c r="AL100" s="525"/>
    </row>
    <row r="101" spans="1:38">
      <c r="A101" s="1066"/>
      <c r="B101" s="1066"/>
      <c r="C101" s="1066"/>
      <c r="E101" s="382"/>
      <c r="F101" s="463"/>
      <c r="G101" s="463"/>
      <c r="H101" s="463"/>
      <c r="I101" s="463"/>
      <c r="J101" s="463"/>
      <c r="K101" s="463"/>
      <c r="L101" s="463"/>
      <c r="M101" s="525"/>
      <c r="Z101" s="525"/>
      <c r="AA101" s="525"/>
      <c r="AB101" s="525"/>
      <c r="AC101" s="525"/>
      <c r="AD101" s="525"/>
      <c r="AE101" s="525"/>
      <c r="AF101" s="525"/>
      <c r="AG101" s="525"/>
      <c r="AH101" s="525"/>
      <c r="AI101" s="525"/>
      <c r="AJ101" s="525"/>
      <c r="AK101" s="525"/>
      <c r="AL101" s="525"/>
    </row>
    <row r="102" spans="1:38">
      <c r="A102" s="1066"/>
      <c r="B102" s="1066"/>
      <c r="C102" s="1066"/>
      <c r="E102" s="382"/>
      <c r="F102" s="463"/>
      <c r="G102" s="463"/>
      <c r="H102" s="463"/>
      <c r="I102" s="463"/>
      <c r="J102" s="463"/>
      <c r="K102" s="463"/>
      <c r="L102" s="463"/>
      <c r="M102" s="525"/>
      <c r="Z102" s="525"/>
      <c r="AA102" s="525"/>
      <c r="AB102" s="525"/>
      <c r="AC102" s="525"/>
      <c r="AD102" s="525"/>
      <c r="AE102" s="525"/>
      <c r="AF102" s="525"/>
      <c r="AG102" s="525"/>
      <c r="AH102" s="525"/>
      <c r="AI102" s="525"/>
      <c r="AJ102" s="525"/>
      <c r="AK102" s="525"/>
      <c r="AL102" s="525"/>
    </row>
    <row r="103" spans="1:38">
      <c r="A103" s="1066"/>
      <c r="B103" s="1066"/>
      <c r="C103" s="1066"/>
      <c r="E103" s="382"/>
      <c r="F103" s="463"/>
      <c r="G103" s="463"/>
      <c r="H103" s="463"/>
      <c r="I103" s="463"/>
      <c r="J103" s="463"/>
      <c r="K103" s="463"/>
      <c r="L103" s="463"/>
      <c r="M103" s="525"/>
      <c r="Z103" s="525"/>
      <c r="AA103" s="525"/>
      <c r="AB103" s="525"/>
      <c r="AC103" s="525"/>
      <c r="AD103" s="525"/>
      <c r="AE103" s="525"/>
      <c r="AF103" s="525"/>
      <c r="AG103" s="525"/>
      <c r="AH103" s="525"/>
      <c r="AI103" s="525"/>
      <c r="AJ103" s="525"/>
      <c r="AK103" s="525"/>
      <c r="AL103" s="525"/>
    </row>
    <row r="104" spans="1:38">
      <c r="A104" s="1066"/>
      <c r="B104" s="1066"/>
      <c r="C104" s="1066"/>
      <c r="E104" s="382"/>
      <c r="F104" s="463"/>
      <c r="G104" s="463"/>
      <c r="H104" s="463"/>
      <c r="I104" s="463"/>
      <c r="J104" s="463"/>
      <c r="K104" s="463"/>
      <c r="L104" s="463"/>
      <c r="M104" s="525"/>
      <c r="Z104" s="525"/>
      <c r="AA104" s="525"/>
      <c r="AB104" s="525"/>
      <c r="AC104" s="525"/>
      <c r="AD104" s="525"/>
      <c r="AE104" s="525"/>
      <c r="AF104" s="525"/>
      <c r="AG104" s="525"/>
      <c r="AH104" s="525"/>
      <c r="AI104" s="525"/>
      <c r="AJ104" s="525"/>
      <c r="AK104" s="525"/>
      <c r="AL104" s="525"/>
    </row>
    <row r="105" spans="1:38">
      <c r="A105" s="1066"/>
      <c r="B105" s="1066"/>
      <c r="C105" s="1066"/>
      <c r="E105" s="382"/>
      <c r="F105" s="463"/>
      <c r="G105" s="463"/>
      <c r="H105" s="463"/>
      <c r="I105" s="463"/>
      <c r="J105" s="463"/>
      <c r="K105" s="463"/>
      <c r="L105" s="463"/>
    </row>
    <row r="106" spans="1:38">
      <c r="A106" s="1066"/>
      <c r="B106" s="1066"/>
      <c r="C106" s="1066"/>
      <c r="E106" s="382"/>
      <c r="F106" s="463"/>
      <c r="G106" s="463"/>
      <c r="H106" s="463"/>
      <c r="I106" s="463"/>
      <c r="J106" s="463"/>
      <c r="K106" s="463"/>
      <c r="L106" s="463"/>
    </row>
    <row r="107" spans="1:38">
      <c r="A107" s="1066"/>
      <c r="B107" s="1066"/>
      <c r="C107" s="1066"/>
      <c r="E107" s="382"/>
      <c r="F107" s="463"/>
      <c r="G107" s="463"/>
      <c r="H107" s="463"/>
      <c r="I107" s="463"/>
      <c r="J107" s="463"/>
      <c r="K107" s="463"/>
      <c r="L107" s="463"/>
    </row>
    <row r="108" spans="1:38">
      <c r="A108" s="1066"/>
      <c r="B108" s="1066"/>
      <c r="C108" s="1066"/>
      <c r="E108" s="382"/>
      <c r="F108" s="463"/>
      <c r="G108" s="463"/>
      <c r="H108" s="463"/>
      <c r="I108" s="463"/>
      <c r="J108" s="463"/>
      <c r="K108" s="463"/>
      <c r="L108" s="463"/>
    </row>
    <row r="109" spans="1:38">
      <c r="A109" s="1066"/>
      <c r="B109" s="1066"/>
      <c r="C109" s="1066"/>
      <c r="E109" s="382"/>
      <c r="F109" s="463"/>
      <c r="G109" s="463"/>
      <c r="H109" s="463"/>
      <c r="I109" s="463"/>
      <c r="J109" s="463"/>
      <c r="K109" s="463"/>
      <c r="L109" s="463"/>
    </row>
    <row r="110" spans="1:38">
      <c r="A110" s="1066"/>
      <c r="B110" s="1066"/>
      <c r="C110" s="1066"/>
      <c r="E110" s="382"/>
      <c r="F110" s="463"/>
      <c r="G110" s="463"/>
      <c r="H110" s="463"/>
      <c r="I110" s="463"/>
      <c r="J110" s="463"/>
      <c r="K110" s="463"/>
      <c r="L110" s="463"/>
    </row>
    <row r="111" spans="1:38">
      <c r="A111" s="1066"/>
      <c r="B111" s="1066"/>
      <c r="C111" s="1066"/>
      <c r="E111" s="382"/>
      <c r="F111" s="463"/>
      <c r="G111" s="463"/>
      <c r="H111" s="463"/>
      <c r="I111" s="463"/>
      <c r="J111" s="463"/>
      <c r="K111" s="463"/>
      <c r="L111" s="463"/>
    </row>
    <row r="112" spans="1:38">
      <c r="A112" s="382"/>
      <c r="B112" s="382"/>
      <c r="C112" s="382"/>
      <c r="D112" s="382"/>
      <c r="E112" s="382"/>
      <c r="F112" s="382"/>
      <c r="G112" s="382"/>
      <c r="H112" s="382"/>
      <c r="I112" s="382"/>
      <c r="J112" s="382"/>
      <c r="K112" s="382"/>
    </row>
    <row r="113" spans="1:11">
      <c r="A113" s="398"/>
      <c r="B113" s="398"/>
      <c r="C113" s="398"/>
      <c r="D113" s="382"/>
      <c r="E113" s="382"/>
      <c r="F113" s="382"/>
      <c r="G113" s="382"/>
      <c r="H113" s="382"/>
      <c r="I113" s="382"/>
      <c r="J113" s="382"/>
      <c r="K113" s="382"/>
    </row>
    <row r="229" spans="13:38">
      <c r="N229" s="599"/>
      <c r="O229" s="599"/>
      <c r="P229" s="599"/>
      <c r="Q229" s="599"/>
      <c r="R229" s="599"/>
      <c r="S229" s="599"/>
      <c r="T229" s="599"/>
      <c r="U229" s="599"/>
      <c r="V229" s="599"/>
      <c r="W229" s="599"/>
      <c r="X229" s="599"/>
      <c r="Y229" s="599"/>
    </row>
    <row r="230" spans="13:38">
      <c r="N230" s="525"/>
      <c r="O230" s="525"/>
      <c r="P230" s="525"/>
      <c r="Q230" s="525"/>
      <c r="R230" s="525"/>
      <c r="S230" s="525"/>
      <c r="T230" s="525"/>
      <c r="U230" s="525"/>
      <c r="V230" s="525"/>
      <c r="W230" s="525"/>
      <c r="X230" s="525"/>
      <c r="Y230" s="525"/>
    </row>
    <row r="231" spans="13:38">
      <c r="N231" s="525"/>
      <c r="O231" s="525"/>
      <c r="P231" s="525"/>
      <c r="Q231" s="525"/>
      <c r="R231" s="525"/>
      <c r="S231" s="525"/>
      <c r="T231" s="525"/>
      <c r="U231" s="525"/>
      <c r="V231" s="525"/>
      <c r="W231" s="525"/>
      <c r="X231" s="525"/>
      <c r="Y231" s="525"/>
    </row>
    <row r="232" spans="13:38">
      <c r="N232" s="525"/>
      <c r="O232" s="525"/>
      <c r="P232" s="525"/>
      <c r="Q232" s="525"/>
      <c r="R232" s="525"/>
      <c r="S232" s="525"/>
      <c r="T232" s="525"/>
      <c r="U232" s="525"/>
      <c r="V232" s="525"/>
      <c r="W232" s="525"/>
      <c r="X232" s="525"/>
      <c r="Y232" s="525"/>
    </row>
    <row r="233" spans="13:38">
      <c r="N233" s="525"/>
      <c r="O233" s="525"/>
      <c r="P233" s="525"/>
      <c r="Q233" s="525"/>
      <c r="R233" s="525"/>
      <c r="S233" s="525"/>
      <c r="T233" s="525"/>
      <c r="U233" s="525"/>
      <c r="V233" s="525"/>
      <c r="W233" s="525"/>
      <c r="X233" s="525"/>
      <c r="Y233" s="525"/>
    </row>
    <row r="234" spans="13:38">
      <c r="N234" s="525"/>
      <c r="O234" s="525"/>
      <c r="P234" s="525"/>
      <c r="Q234" s="525"/>
      <c r="R234" s="525"/>
      <c r="S234" s="525"/>
      <c r="T234" s="525"/>
      <c r="U234" s="525"/>
      <c r="V234" s="525"/>
      <c r="W234" s="525"/>
      <c r="X234" s="525"/>
      <c r="Y234" s="525"/>
    </row>
    <row r="235" spans="13:38">
      <c r="M235" s="599"/>
      <c r="N235" s="525"/>
      <c r="O235" s="525"/>
      <c r="P235" s="525"/>
      <c r="Q235" s="525"/>
      <c r="R235" s="525"/>
      <c r="S235" s="525"/>
      <c r="T235" s="525"/>
      <c r="U235" s="525"/>
      <c r="V235" s="525"/>
      <c r="W235" s="525"/>
      <c r="X235" s="525"/>
      <c r="Y235" s="525"/>
      <c r="Z235" s="599"/>
      <c r="AA235" s="599"/>
      <c r="AB235" s="599"/>
      <c r="AC235" s="599"/>
      <c r="AD235" s="599"/>
      <c r="AE235" s="599"/>
      <c r="AF235" s="599"/>
      <c r="AG235" s="599"/>
      <c r="AH235" s="599"/>
      <c r="AI235" s="599"/>
      <c r="AJ235" s="599"/>
      <c r="AK235" s="599"/>
      <c r="AL235" s="599"/>
    </row>
    <row r="236" spans="13:38">
      <c r="M236" s="525"/>
      <c r="N236" s="525"/>
      <c r="O236" s="525"/>
      <c r="P236" s="525"/>
      <c r="Q236" s="525"/>
      <c r="R236" s="525"/>
      <c r="S236" s="525"/>
      <c r="T236" s="525"/>
      <c r="U236" s="525"/>
      <c r="V236" s="525"/>
      <c r="W236" s="525"/>
      <c r="X236" s="525"/>
      <c r="Y236" s="525"/>
      <c r="Z236" s="525"/>
      <c r="AA236" s="525"/>
      <c r="AB236" s="525"/>
      <c r="AC236" s="525"/>
      <c r="AD236" s="525"/>
      <c r="AE236" s="525"/>
      <c r="AF236" s="525"/>
      <c r="AG236" s="525"/>
      <c r="AH236" s="525"/>
      <c r="AI236" s="525"/>
      <c r="AJ236" s="525"/>
      <c r="AK236" s="525"/>
      <c r="AL236" s="525"/>
    </row>
    <row r="237" spans="13:38">
      <c r="M237" s="525"/>
      <c r="N237" s="525"/>
      <c r="O237" s="525"/>
      <c r="P237" s="525"/>
      <c r="Q237" s="525"/>
      <c r="R237" s="525"/>
      <c r="S237" s="525"/>
      <c r="T237" s="525"/>
      <c r="U237" s="525"/>
      <c r="V237" s="525"/>
      <c r="W237" s="525"/>
      <c r="X237" s="525"/>
      <c r="Y237" s="525"/>
      <c r="Z237" s="525"/>
      <c r="AA237" s="525"/>
      <c r="AB237" s="525"/>
      <c r="AC237" s="525"/>
      <c r="AD237" s="525"/>
      <c r="AE237" s="525"/>
      <c r="AF237" s="525"/>
      <c r="AG237" s="525"/>
      <c r="AH237" s="525"/>
      <c r="AI237" s="525"/>
      <c r="AJ237" s="525"/>
      <c r="AK237" s="525"/>
      <c r="AL237" s="525"/>
    </row>
    <row r="238" spans="13:38">
      <c r="M238" s="525"/>
      <c r="N238" s="525"/>
      <c r="O238" s="525"/>
      <c r="P238" s="525"/>
      <c r="Q238" s="525"/>
      <c r="R238" s="525"/>
      <c r="S238" s="525"/>
      <c r="T238" s="525"/>
      <c r="U238" s="525"/>
      <c r="V238" s="525"/>
      <c r="W238" s="525"/>
      <c r="X238" s="525"/>
      <c r="Y238" s="525"/>
      <c r="Z238" s="525"/>
      <c r="AA238" s="525"/>
      <c r="AB238" s="525"/>
      <c r="AC238" s="525"/>
      <c r="AD238" s="525"/>
      <c r="AE238" s="525"/>
      <c r="AF238" s="525"/>
      <c r="AG238" s="525"/>
      <c r="AH238" s="525"/>
      <c r="AI238" s="525"/>
      <c r="AJ238" s="525"/>
      <c r="AK238" s="525"/>
      <c r="AL238" s="525"/>
    </row>
    <row r="239" spans="13:38">
      <c r="M239" s="525"/>
      <c r="N239" s="525"/>
      <c r="O239" s="525"/>
      <c r="P239" s="525"/>
      <c r="Q239" s="525"/>
      <c r="R239" s="525"/>
      <c r="S239" s="525"/>
      <c r="T239" s="525"/>
      <c r="U239" s="525"/>
      <c r="V239" s="525"/>
      <c r="W239" s="525"/>
      <c r="X239" s="525"/>
      <c r="Y239" s="525"/>
      <c r="Z239" s="525"/>
      <c r="AA239" s="525"/>
      <c r="AB239" s="525"/>
      <c r="AC239" s="525"/>
      <c r="AD239" s="525"/>
      <c r="AE239" s="525"/>
      <c r="AF239" s="525"/>
      <c r="AG239" s="525"/>
      <c r="AH239" s="525"/>
      <c r="AI239" s="525"/>
      <c r="AJ239" s="525"/>
      <c r="AK239" s="525"/>
      <c r="AL239" s="525"/>
    </row>
    <row r="240" spans="13:38">
      <c r="M240" s="525"/>
      <c r="N240" s="525"/>
      <c r="O240" s="525"/>
      <c r="P240" s="525"/>
      <c r="Q240" s="525"/>
      <c r="R240" s="525"/>
      <c r="S240" s="525"/>
      <c r="T240" s="525"/>
      <c r="U240" s="525"/>
      <c r="V240" s="525"/>
      <c r="W240" s="525"/>
      <c r="X240" s="525"/>
      <c r="Y240" s="525"/>
      <c r="Z240" s="525"/>
      <c r="AA240" s="525"/>
      <c r="AB240" s="525"/>
      <c r="AC240" s="525"/>
      <c r="AD240" s="525"/>
      <c r="AE240" s="525"/>
      <c r="AF240" s="525"/>
      <c r="AG240" s="525"/>
      <c r="AH240" s="525"/>
      <c r="AI240" s="525"/>
      <c r="AJ240" s="525"/>
      <c r="AK240" s="525"/>
      <c r="AL240" s="525"/>
    </row>
    <row r="241" spans="13:38">
      <c r="M241" s="525"/>
      <c r="N241" s="525"/>
      <c r="O241" s="525"/>
      <c r="P241" s="525"/>
      <c r="Q241" s="525"/>
      <c r="R241" s="525"/>
      <c r="S241" s="525"/>
      <c r="T241" s="525"/>
      <c r="U241" s="525"/>
      <c r="V241" s="525"/>
      <c r="W241" s="525"/>
      <c r="X241" s="525"/>
      <c r="Y241" s="525"/>
      <c r="Z241" s="525"/>
      <c r="AA241" s="525"/>
      <c r="AB241" s="525"/>
      <c r="AC241" s="525"/>
      <c r="AD241" s="525"/>
      <c r="AE241" s="525"/>
      <c r="AF241" s="525"/>
      <c r="AG241" s="525"/>
      <c r="AH241" s="525"/>
      <c r="AI241" s="525"/>
      <c r="AJ241" s="525"/>
      <c r="AK241" s="525"/>
      <c r="AL241" s="525"/>
    </row>
    <row r="242" spans="13:38">
      <c r="M242" s="525"/>
      <c r="N242" s="525"/>
      <c r="O242" s="525"/>
      <c r="P242" s="525"/>
      <c r="Q242" s="525"/>
      <c r="R242" s="525"/>
      <c r="S242" s="525"/>
      <c r="T242" s="525"/>
      <c r="U242" s="525"/>
      <c r="V242" s="525"/>
      <c r="W242" s="525"/>
      <c r="X242" s="525"/>
      <c r="Y242" s="525"/>
      <c r="Z242" s="525"/>
      <c r="AA242" s="525"/>
      <c r="AB242" s="525"/>
      <c r="AC242" s="525"/>
      <c r="AD242" s="525"/>
      <c r="AE242" s="525"/>
      <c r="AF242" s="525"/>
      <c r="AG242" s="525"/>
      <c r="AH242" s="525"/>
      <c r="AI242" s="525"/>
      <c r="AJ242" s="525"/>
      <c r="AK242" s="525"/>
      <c r="AL242" s="525"/>
    </row>
    <row r="243" spans="13:38">
      <c r="M243" s="525"/>
      <c r="N243" s="525"/>
      <c r="O243" s="525"/>
      <c r="P243" s="525"/>
      <c r="Q243" s="525"/>
      <c r="R243" s="525"/>
      <c r="S243" s="525"/>
      <c r="T243" s="525"/>
      <c r="U243" s="525"/>
      <c r="V243" s="525"/>
      <c r="W243" s="525"/>
      <c r="X243" s="525"/>
      <c r="Y243" s="525"/>
      <c r="Z243" s="525"/>
      <c r="AA243" s="525"/>
      <c r="AB243" s="525"/>
      <c r="AC243" s="525"/>
      <c r="AD243" s="525"/>
      <c r="AE243" s="525"/>
      <c r="AF243" s="525"/>
      <c r="AG243" s="525"/>
      <c r="AH243" s="525"/>
      <c r="AI243" s="525"/>
      <c r="AJ243" s="525"/>
      <c r="AK243" s="525"/>
      <c r="AL243" s="525"/>
    </row>
    <row r="244" spans="13:38">
      <c r="M244" s="525"/>
      <c r="Z244" s="525"/>
      <c r="AA244" s="525"/>
      <c r="AB244" s="525"/>
      <c r="AC244" s="525"/>
      <c r="AD244" s="525"/>
      <c r="AE244" s="525"/>
      <c r="AF244" s="525"/>
      <c r="AG244" s="525"/>
      <c r="AH244" s="525"/>
      <c r="AI244" s="525"/>
      <c r="AJ244" s="525"/>
      <c r="AK244" s="525"/>
      <c r="AL244" s="525"/>
    </row>
    <row r="245" spans="13:38">
      <c r="M245" s="525"/>
      <c r="Z245" s="525"/>
      <c r="AA245" s="525"/>
      <c r="AB245" s="525"/>
      <c r="AC245" s="525"/>
      <c r="AD245" s="525"/>
      <c r="AE245" s="525"/>
      <c r="AF245" s="525"/>
      <c r="AG245" s="525"/>
      <c r="AH245" s="525"/>
      <c r="AI245" s="525"/>
      <c r="AJ245" s="525"/>
      <c r="AK245" s="525"/>
      <c r="AL245" s="525"/>
    </row>
    <row r="246" spans="13:38">
      <c r="M246" s="525"/>
      <c r="Z246" s="525"/>
      <c r="AA246" s="525"/>
      <c r="AB246" s="525"/>
      <c r="AC246" s="525"/>
      <c r="AD246" s="525"/>
      <c r="AE246" s="525"/>
      <c r="AF246" s="525"/>
      <c r="AG246" s="525"/>
      <c r="AH246" s="525"/>
      <c r="AI246" s="525"/>
      <c r="AJ246" s="525"/>
      <c r="AK246" s="525"/>
      <c r="AL246" s="525"/>
    </row>
    <row r="247" spans="13:38">
      <c r="M247" s="525"/>
      <c r="Z247" s="525"/>
      <c r="AA247" s="525"/>
      <c r="AB247" s="525"/>
      <c r="AC247" s="525"/>
      <c r="AD247" s="525"/>
      <c r="AE247" s="525"/>
      <c r="AF247" s="525"/>
      <c r="AG247" s="525"/>
      <c r="AH247" s="525"/>
      <c r="AI247" s="525"/>
      <c r="AJ247" s="525"/>
      <c r="AK247" s="525"/>
      <c r="AL247" s="525"/>
    </row>
    <row r="248" spans="13:38">
      <c r="M248" s="525"/>
      <c r="Z248" s="525"/>
      <c r="AA248" s="525"/>
      <c r="AB248" s="525"/>
      <c r="AC248" s="525"/>
      <c r="AD248" s="525"/>
      <c r="AE248" s="525"/>
      <c r="AF248" s="525"/>
      <c r="AG248" s="525"/>
      <c r="AH248" s="525"/>
      <c r="AI248" s="525"/>
      <c r="AJ248" s="525"/>
      <c r="AK248" s="525"/>
      <c r="AL248" s="525"/>
    </row>
    <row r="249" spans="13:38">
      <c r="M249" s="525"/>
      <c r="Z249" s="525"/>
      <c r="AA249" s="525"/>
      <c r="AB249" s="525"/>
      <c r="AC249" s="525"/>
      <c r="AD249" s="525"/>
      <c r="AE249" s="525"/>
      <c r="AF249" s="525"/>
      <c r="AG249" s="525"/>
      <c r="AH249" s="525"/>
      <c r="AI249" s="525"/>
      <c r="AJ249" s="525"/>
      <c r="AK249" s="525"/>
      <c r="AL249" s="525"/>
    </row>
    <row r="270" spans="25:25">
      <c r="Y270" s="599"/>
    </row>
    <row r="271" spans="25:25">
      <c r="Y271" s="525"/>
    </row>
    <row r="272" spans="25:25">
      <c r="Y272" s="525"/>
    </row>
    <row r="273" spans="25:38">
      <c r="Y273" s="525"/>
    </row>
    <row r="274" spans="25:38">
      <c r="Y274" s="525"/>
    </row>
    <row r="275" spans="25:38">
      <c r="Y275" s="525"/>
    </row>
    <row r="276" spans="25:38">
      <c r="Y276" s="525"/>
      <c r="Z276" s="599"/>
      <c r="AA276" s="599"/>
      <c r="AB276" s="599"/>
      <c r="AC276" s="599"/>
      <c r="AD276" s="599"/>
      <c r="AE276" s="599"/>
      <c r="AF276" s="599"/>
      <c r="AG276" s="599"/>
      <c r="AH276" s="599"/>
      <c r="AI276" s="599"/>
      <c r="AJ276" s="599"/>
      <c r="AK276" s="599"/>
      <c r="AL276" s="599"/>
    </row>
    <row r="277" spans="25:38">
      <c r="Y277" s="525"/>
      <c r="Z277" s="525"/>
      <c r="AA277" s="525"/>
      <c r="AB277" s="525"/>
      <c r="AC277" s="525"/>
      <c r="AD277" s="525"/>
      <c r="AE277" s="525"/>
      <c r="AF277" s="525"/>
      <c r="AG277" s="525"/>
      <c r="AH277" s="525"/>
      <c r="AI277" s="525"/>
      <c r="AJ277" s="525"/>
      <c r="AK277" s="525"/>
      <c r="AL277" s="525"/>
    </row>
    <row r="278" spans="25:38">
      <c r="Y278" s="525"/>
      <c r="Z278" s="525"/>
      <c r="AA278" s="525"/>
      <c r="AB278" s="525"/>
      <c r="AC278" s="525"/>
      <c r="AD278" s="525"/>
      <c r="AE278" s="525"/>
      <c r="AF278" s="525"/>
      <c r="AG278" s="525"/>
      <c r="AH278" s="525"/>
      <c r="AI278" s="525"/>
      <c r="AJ278" s="525"/>
      <c r="AK278" s="525"/>
      <c r="AL278" s="525"/>
    </row>
    <row r="279" spans="25:38">
      <c r="Y279" s="525"/>
      <c r="Z279" s="525"/>
      <c r="AA279" s="525"/>
      <c r="AB279" s="525"/>
      <c r="AC279" s="525"/>
      <c r="AD279" s="525"/>
      <c r="AE279" s="525"/>
      <c r="AF279" s="525"/>
      <c r="AG279" s="525"/>
      <c r="AH279" s="525"/>
      <c r="AI279" s="525"/>
      <c r="AJ279" s="525"/>
      <c r="AK279" s="525"/>
      <c r="AL279" s="525"/>
    </row>
    <row r="280" spans="25:38">
      <c r="Y280" s="525"/>
      <c r="Z280" s="525"/>
      <c r="AA280" s="525"/>
      <c r="AB280" s="525"/>
      <c r="AC280" s="525"/>
      <c r="AD280" s="525"/>
      <c r="AE280" s="525"/>
      <c r="AF280" s="525"/>
      <c r="AG280" s="525"/>
      <c r="AH280" s="525"/>
      <c r="AI280" s="525"/>
      <c r="AJ280" s="525"/>
      <c r="AK280" s="525"/>
      <c r="AL280" s="525"/>
    </row>
    <row r="281" spans="25:38">
      <c r="Y281" s="525"/>
      <c r="Z281" s="525"/>
      <c r="AA281" s="525"/>
      <c r="AB281" s="525"/>
      <c r="AC281" s="525"/>
      <c r="AD281" s="525"/>
      <c r="AE281" s="525"/>
      <c r="AF281" s="525"/>
      <c r="AG281" s="525"/>
      <c r="AH281" s="525"/>
      <c r="AI281" s="525"/>
      <c r="AJ281" s="525"/>
      <c r="AK281" s="525"/>
      <c r="AL281" s="525"/>
    </row>
    <row r="282" spans="25:38">
      <c r="Y282" s="525"/>
      <c r="Z282" s="525"/>
      <c r="AA282" s="525"/>
      <c r="AB282" s="525"/>
      <c r="AC282" s="525"/>
      <c r="AD282" s="525"/>
      <c r="AE282" s="525"/>
      <c r="AF282" s="525"/>
      <c r="AG282" s="525"/>
      <c r="AH282" s="525"/>
      <c r="AI282" s="525"/>
      <c r="AJ282" s="525"/>
      <c r="AK282" s="525"/>
      <c r="AL282" s="525"/>
    </row>
    <row r="283" spans="25:38">
      <c r="Y283" s="525"/>
      <c r="Z283" s="525"/>
      <c r="AA283" s="525"/>
      <c r="AB283" s="525"/>
      <c r="AC283" s="525"/>
      <c r="AD283" s="525"/>
      <c r="AE283" s="525"/>
      <c r="AF283" s="525"/>
      <c r="AG283" s="525"/>
      <c r="AH283" s="525"/>
      <c r="AI283" s="525"/>
      <c r="AJ283" s="525"/>
      <c r="AK283" s="525"/>
      <c r="AL283" s="525"/>
    </row>
    <row r="284" spans="25:38">
      <c r="Y284" s="525"/>
      <c r="Z284" s="525"/>
      <c r="AA284" s="525"/>
      <c r="AB284" s="525"/>
      <c r="AC284" s="525"/>
      <c r="AD284" s="525"/>
      <c r="AE284" s="525"/>
      <c r="AF284" s="525"/>
      <c r="AG284" s="525"/>
      <c r="AH284" s="525"/>
      <c r="AI284" s="525"/>
      <c r="AJ284" s="525"/>
      <c r="AK284" s="525"/>
      <c r="AL284" s="525"/>
    </row>
    <row r="285" spans="25:38">
      <c r="Z285" s="525"/>
      <c r="AA285" s="525"/>
      <c r="AB285" s="525"/>
      <c r="AC285" s="525"/>
      <c r="AD285" s="525"/>
      <c r="AE285" s="525"/>
      <c r="AF285" s="525"/>
      <c r="AG285" s="525"/>
      <c r="AH285" s="525"/>
      <c r="AI285" s="525"/>
      <c r="AJ285" s="525"/>
      <c r="AK285" s="525"/>
      <c r="AL285" s="525"/>
    </row>
    <row r="286" spans="25:38">
      <c r="Z286" s="525"/>
      <c r="AA286" s="525"/>
      <c r="AB286" s="525"/>
      <c r="AC286" s="525"/>
      <c r="AD286" s="525"/>
      <c r="AE286" s="525"/>
      <c r="AF286" s="525"/>
      <c r="AG286" s="525"/>
      <c r="AH286" s="525"/>
      <c r="AI286" s="525"/>
      <c r="AJ286" s="525"/>
      <c r="AK286" s="525"/>
      <c r="AL286" s="525"/>
    </row>
    <row r="287" spans="25:38">
      <c r="Z287" s="525"/>
      <c r="AA287" s="525"/>
      <c r="AB287" s="525"/>
      <c r="AC287" s="525"/>
      <c r="AD287" s="525"/>
      <c r="AE287" s="525"/>
      <c r="AF287" s="525"/>
      <c r="AG287" s="525"/>
      <c r="AH287" s="525"/>
      <c r="AI287" s="525"/>
      <c r="AJ287" s="525"/>
      <c r="AK287" s="525"/>
      <c r="AL287" s="525"/>
    </row>
    <row r="288" spans="25:38">
      <c r="Z288" s="525"/>
      <c r="AA288" s="525"/>
      <c r="AB288" s="525"/>
      <c r="AC288" s="525"/>
      <c r="AD288" s="525"/>
      <c r="AE288" s="525"/>
      <c r="AF288" s="525"/>
      <c r="AG288" s="525"/>
      <c r="AH288" s="525"/>
      <c r="AI288" s="525"/>
      <c r="AJ288" s="525"/>
      <c r="AK288" s="525"/>
      <c r="AL288" s="525"/>
    </row>
    <row r="289" spans="26:38">
      <c r="Z289" s="525"/>
      <c r="AA289" s="525"/>
      <c r="AB289" s="525"/>
      <c r="AC289" s="525"/>
      <c r="AD289" s="525"/>
      <c r="AE289" s="525"/>
      <c r="AF289" s="525"/>
      <c r="AG289" s="525"/>
      <c r="AH289" s="525"/>
      <c r="AI289" s="525"/>
      <c r="AJ289" s="525"/>
      <c r="AK289" s="525"/>
      <c r="AL289" s="525"/>
    </row>
    <row r="290" spans="26:38">
      <c r="Z290" s="525"/>
      <c r="AA290" s="525"/>
      <c r="AB290" s="525"/>
      <c r="AC290" s="525"/>
      <c r="AD290" s="525"/>
      <c r="AE290" s="525"/>
      <c r="AF290" s="525"/>
      <c r="AG290" s="525"/>
      <c r="AH290" s="525"/>
      <c r="AI290" s="525"/>
      <c r="AJ290" s="525"/>
      <c r="AK290" s="525"/>
      <c r="AL290" s="525"/>
    </row>
  </sheetData>
  <pageMargins left="0.75" right="0.75" top="1" bottom="1" header="0.5" footer="0.5"/>
  <pageSetup orientation="portrait" r:id="rId1"/>
  <headerFooter alignWithMargins="0"/>
  <ignoredErrors>
    <ignoredError sqref="AV6:AV13 B3:D3 B23:K23 K3"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B850-AD1F-403C-8267-9D89CB109B1F}">
  <sheetPr>
    <tabColor theme="7" tint="0.59999389629810485"/>
  </sheetPr>
  <dimension ref="A1:CH1587"/>
  <sheetViews>
    <sheetView showGridLines="0" zoomScale="90" zoomScaleNormal="90" zoomScaleSheetLayoutView="100" workbookViewId="0">
      <selection activeCell="A28" sqref="A28"/>
    </sheetView>
  </sheetViews>
  <sheetFormatPr defaultColWidth="9.140625" defaultRowHeight="12.75"/>
  <cols>
    <col min="1" max="1" width="17.7109375" style="382" customWidth="1"/>
    <col min="2" max="3" width="9.7109375" style="382" customWidth="1"/>
    <col min="4" max="4" width="10.5703125" style="382" customWidth="1"/>
    <col min="5" max="13" width="9.7109375" style="382" customWidth="1"/>
    <col min="14" max="14" width="8.7109375" style="382" customWidth="1"/>
    <col min="15" max="15" width="16.42578125" style="382" customWidth="1"/>
    <col min="16" max="32" width="6.7109375" style="382" customWidth="1"/>
    <col min="33" max="33" width="14.7109375" style="382" customWidth="1"/>
    <col min="34" max="45" width="9.7109375" style="382" customWidth="1"/>
    <col min="46" max="46" width="9.140625" style="382"/>
    <col min="47" max="47" width="47.140625" style="382" customWidth="1"/>
    <col min="48" max="59" width="7.7109375" style="382" customWidth="1"/>
    <col min="60" max="60" width="12.7109375" style="382" customWidth="1"/>
    <col min="61" max="61" width="41.7109375" style="382" customWidth="1"/>
    <col min="62" max="72" width="7.7109375" style="382" customWidth="1"/>
    <col min="73" max="73" width="6.7109375" style="382" customWidth="1"/>
    <col min="74" max="74" width="5.7109375" style="382" customWidth="1"/>
    <col min="75" max="75" width="42.140625" style="382" customWidth="1"/>
    <col min="76" max="78" width="13.7109375" style="382" customWidth="1"/>
    <col min="79" max="79" width="14.85546875" style="382" customWidth="1"/>
    <col min="80" max="80" width="13.7109375" style="382" customWidth="1"/>
    <col min="81" max="16384" width="9.140625" style="382"/>
  </cols>
  <sheetData>
    <row r="1" spans="1:86">
      <c r="A1" s="387" t="s">
        <v>6409</v>
      </c>
      <c r="B1" s="387"/>
      <c r="C1" s="387"/>
      <c r="D1" s="387"/>
      <c r="E1" s="387"/>
      <c r="F1" s="387"/>
      <c r="G1" s="387"/>
      <c r="H1" s="387"/>
      <c r="I1" s="387"/>
      <c r="J1" s="398"/>
      <c r="K1" s="398"/>
      <c r="L1" s="398"/>
      <c r="M1" s="398"/>
      <c r="N1" s="398"/>
      <c r="O1" s="682" t="s">
        <v>6408</v>
      </c>
      <c r="P1" s="682"/>
      <c r="Q1" s="682"/>
      <c r="R1" s="682"/>
      <c r="S1" s="682"/>
      <c r="T1" s="1433"/>
      <c r="U1" s="1433"/>
      <c r="V1" s="1433"/>
      <c r="W1" s="1433"/>
      <c r="X1" s="1433"/>
      <c r="Y1" s="1412"/>
      <c r="Z1" s="1412"/>
      <c r="AA1" s="1412"/>
      <c r="AB1" s="1412"/>
      <c r="AC1" s="1412"/>
      <c r="AD1" s="1412"/>
      <c r="AE1" s="398"/>
      <c r="AF1" s="398"/>
      <c r="AG1" s="387" t="s">
        <v>6407</v>
      </c>
      <c r="AH1" s="387"/>
      <c r="AI1" s="387"/>
      <c r="AJ1" s="726"/>
      <c r="AK1" s="387"/>
      <c r="AL1" s="387"/>
      <c r="AM1" s="387"/>
      <c r="AN1" s="387"/>
      <c r="AO1" s="387"/>
      <c r="AP1" s="398"/>
      <c r="AQ1" s="398"/>
      <c r="AR1" s="398"/>
      <c r="AS1" s="398"/>
      <c r="AT1" s="398"/>
      <c r="AU1" s="387" t="s">
        <v>6406</v>
      </c>
      <c r="AV1" s="387"/>
      <c r="AW1" s="387"/>
      <c r="AX1" s="381"/>
      <c r="AY1" s="381"/>
      <c r="AZ1" s="381"/>
      <c r="BA1" s="381"/>
      <c r="BB1" s="381"/>
      <c r="BC1" s="381"/>
      <c r="BH1" s="398"/>
      <c r="BI1" s="384" t="s">
        <v>6405</v>
      </c>
      <c r="BJ1" s="384"/>
      <c r="BK1" s="384"/>
      <c r="BL1" s="384"/>
      <c r="BM1" s="381"/>
      <c r="BN1" s="381"/>
      <c r="BO1" s="381"/>
      <c r="BP1" s="381"/>
      <c r="BQ1" s="381"/>
      <c r="BS1" s="387"/>
      <c r="BT1" s="398"/>
      <c r="BU1" s="398"/>
      <c r="BW1" s="384" t="s">
        <v>6404</v>
      </c>
      <c r="BX1" s="384"/>
      <c r="BY1" s="384"/>
      <c r="BZ1" s="384"/>
      <c r="CA1" s="381"/>
      <c r="CG1" s="398"/>
      <c r="CH1" s="398"/>
    </row>
    <row r="2" spans="1:86" ht="12.75" customHeight="1">
      <c r="A2" s="387" t="s">
        <v>1648</v>
      </c>
      <c r="B2" s="728" t="s">
        <v>503</v>
      </c>
      <c r="C2" s="728" t="s">
        <v>504</v>
      </c>
      <c r="D2" s="728" t="s">
        <v>6402</v>
      </c>
      <c r="E2" s="728" t="s">
        <v>6401</v>
      </c>
      <c r="F2" s="728" t="s">
        <v>6400</v>
      </c>
      <c r="G2" s="728" t="s">
        <v>6399</v>
      </c>
      <c r="H2" s="728" t="s">
        <v>6233</v>
      </c>
      <c r="I2" s="728" t="s">
        <v>6234</v>
      </c>
      <c r="J2" s="728" t="s">
        <v>6235</v>
      </c>
      <c r="K2" s="729" t="s">
        <v>6236</v>
      </c>
      <c r="L2" s="729" t="s">
        <v>6237</v>
      </c>
      <c r="M2" s="385"/>
      <c r="N2" s="385"/>
      <c r="O2" s="1432"/>
      <c r="P2" s="2124" t="s">
        <v>503</v>
      </c>
      <c r="Q2" s="2126"/>
      <c r="R2" s="2125"/>
      <c r="S2" s="2124" t="s">
        <v>504</v>
      </c>
      <c r="T2" s="2126"/>
      <c r="U2" s="2125"/>
      <c r="V2" s="2124" t="s">
        <v>6402</v>
      </c>
      <c r="W2" s="2126"/>
      <c r="X2" s="2125"/>
      <c r="Y2" s="2124" t="s">
        <v>6401</v>
      </c>
      <c r="Z2" s="2126"/>
      <c r="AA2" s="2125"/>
      <c r="AB2" s="2124" t="s">
        <v>6400</v>
      </c>
      <c r="AC2" s="2126"/>
      <c r="AD2" s="2222"/>
      <c r="AE2" s="781"/>
      <c r="AF2" s="621"/>
      <c r="AG2" s="387" t="s">
        <v>6403</v>
      </c>
      <c r="AH2" s="728" t="s">
        <v>503</v>
      </c>
      <c r="AI2" s="728" t="s">
        <v>504</v>
      </c>
      <c r="AJ2" s="728" t="s">
        <v>6402</v>
      </c>
      <c r="AK2" s="728" t="s">
        <v>6401</v>
      </c>
      <c r="AL2" s="728" t="s">
        <v>6400</v>
      </c>
      <c r="AM2" s="728" t="s">
        <v>6399</v>
      </c>
      <c r="AN2" s="728" t="s">
        <v>6233</v>
      </c>
      <c r="AO2" s="728" t="s">
        <v>6234</v>
      </c>
      <c r="AP2" s="728" t="s">
        <v>6235</v>
      </c>
      <c r="AQ2" s="729" t="s">
        <v>6236</v>
      </c>
      <c r="AR2" s="729" t="s">
        <v>6237</v>
      </c>
      <c r="AS2" s="385"/>
      <c r="AT2" s="621"/>
      <c r="AU2" s="610" t="s">
        <v>1936</v>
      </c>
      <c r="AV2" s="610">
        <v>2023</v>
      </c>
      <c r="AW2" s="610">
        <v>2022</v>
      </c>
      <c r="AX2" s="610">
        <v>2021</v>
      </c>
      <c r="AY2" s="610">
        <v>2020</v>
      </c>
      <c r="AZ2" s="610">
        <v>2019</v>
      </c>
      <c r="BA2" s="610">
        <v>2018</v>
      </c>
      <c r="BB2" s="610">
        <v>2017</v>
      </c>
      <c r="BC2" s="610">
        <v>2016</v>
      </c>
      <c r="BD2" s="389">
        <v>2015</v>
      </c>
      <c r="BE2" s="390">
        <v>2014</v>
      </c>
      <c r="BF2" s="390">
        <v>2013</v>
      </c>
      <c r="BG2" s="439"/>
      <c r="BH2" s="398"/>
      <c r="BI2" s="1431" t="s">
        <v>6398</v>
      </c>
      <c r="BJ2" s="642">
        <v>2023</v>
      </c>
      <c r="BK2" s="642">
        <v>2022</v>
      </c>
      <c r="BL2" s="642">
        <v>2021</v>
      </c>
      <c r="BM2" s="642">
        <v>2020</v>
      </c>
      <c r="BN2" s="642">
        <v>2019</v>
      </c>
      <c r="BO2" s="642">
        <v>2018</v>
      </c>
      <c r="BP2" s="642">
        <v>2017</v>
      </c>
      <c r="BQ2" s="642">
        <v>2016</v>
      </c>
      <c r="BR2" s="642">
        <v>2015</v>
      </c>
      <c r="BS2" s="664">
        <v>2014</v>
      </c>
      <c r="BT2" s="664">
        <v>2013</v>
      </c>
      <c r="BU2" s="439"/>
      <c r="BV2" s="439"/>
      <c r="BW2" s="903" t="s">
        <v>6397</v>
      </c>
      <c r="BX2" s="1137" t="s">
        <v>6396</v>
      </c>
      <c r="BY2" s="1137" t="s">
        <v>6395</v>
      </c>
      <c r="BZ2" s="1430" t="s">
        <v>6394</v>
      </c>
      <c r="CA2" s="1429" t="s">
        <v>6393</v>
      </c>
      <c r="CB2" s="1429" t="s">
        <v>6392</v>
      </c>
      <c r="CC2" s="439"/>
      <c r="CD2" s="439"/>
      <c r="CE2" s="439"/>
      <c r="CF2" s="439"/>
      <c r="CG2" s="439"/>
      <c r="CH2" s="439"/>
    </row>
    <row r="3" spans="1:86">
      <c r="A3" s="398" t="s">
        <v>6391</v>
      </c>
      <c r="B3" s="398">
        <v>31</v>
      </c>
      <c r="C3" s="398">
        <v>28</v>
      </c>
      <c r="D3" s="398">
        <v>26</v>
      </c>
      <c r="E3" s="398">
        <v>40</v>
      </c>
      <c r="F3" s="398">
        <f>SUM(F8:F12)</f>
        <v>31</v>
      </c>
      <c r="G3" s="398">
        <v>44</v>
      </c>
      <c r="H3" s="398">
        <v>36</v>
      </c>
      <c r="I3" s="398">
        <v>50</v>
      </c>
      <c r="J3" s="398">
        <v>35</v>
      </c>
      <c r="K3" s="398">
        <f>SUM(K4:K5)</f>
        <v>29</v>
      </c>
      <c r="L3" s="398">
        <v>27</v>
      </c>
      <c r="M3" s="398"/>
      <c r="N3" s="398"/>
      <c r="O3" s="682" t="s">
        <v>2642</v>
      </c>
      <c r="P3" s="1428" t="s">
        <v>129</v>
      </c>
      <c r="Q3" s="733" t="s">
        <v>1711</v>
      </c>
      <c r="R3" s="1428" t="s">
        <v>1712</v>
      </c>
      <c r="S3" s="1428" t="s">
        <v>129</v>
      </c>
      <c r="T3" s="733" t="s">
        <v>1711</v>
      </c>
      <c r="U3" s="1428" t="s">
        <v>1712</v>
      </c>
      <c r="V3" s="1428" t="s">
        <v>129</v>
      </c>
      <c r="W3" s="733" t="s">
        <v>1711</v>
      </c>
      <c r="X3" s="1428" t="s">
        <v>1712</v>
      </c>
      <c r="Y3" s="1428" t="s">
        <v>129</v>
      </c>
      <c r="Z3" s="733" t="s">
        <v>1711</v>
      </c>
      <c r="AA3" s="1428" t="s">
        <v>1712</v>
      </c>
      <c r="AB3" s="1428" t="s">
        <v>129</v>
      </c>
      <c r="AC3" s="733" t="s">
        <v>1711</v>
      </c>
      <c r="AD3" s="733" t="s">
        <v>1712</v>
      </c>
      <c r="AE3" s="791"/>
      <c r="AG3" s="398" t="s">
        <v>3507</v>
      </c>
      <c r="AH3" s="398">
        <v>31</v>
      </c>
      <c r="AI3" s="1427">
        <v>28</v>
      </c>
      <c r="AJ3" s="1427">
        <f>SUM(AJ4:AJ16)</f>
        <v>26</v>
      </c>
      <c r="AK3" s="1408">
        <v>40</v>
      </c>
      <c r="AL3" s="1408">
        <v>31</v>
      </c>
      <c r="AM3" s="398">
        <f>SUM(AM4:AM16)</f>
        <v>44</v>
      </c>
      <c r="AN3" s="398">
        <f>SUM(AN4:AN16)</f>
        <v>36</v>
      </c>
      <c r="AO3" s="398">
        <f>SUM(AO4:AO16)</f>
        <v>50</v>
      </c>
      <c r="AP3" s="398">
        <f>SUM(AP4:AP16)</f>
        <v>35</v>
      </c>
      <c r="AQ3" s="398">
        <f>SUM(AQ4:AQ16)</f>
        <v>29</v>
      </c>
      <c r="AR3" s="398">
        <v>27</v>
      </c>
      <c r="AS3" s="398"/>
      <c r="AT3" s="398"/>
      <c r="AU3" s="382" t="s">
        <v>3508</v>
      </c>
      <c r="AV3" s="382">
        <v>31</v>
      </c>
      <c r="AW3" s="1426">
        <v>28</v>
      </c>
      <c r="AX3" s="1426">
        <v>26</v>
      </c>
      <c r="AY3" s="1425">
        <v>40</v>
      </c>
      <c r="AZ3" s="1425">
        <v>31</v>
      </c>
      <c r="BA3" s="845">
        <f>SUM(BA4:BA30)</f>
        <v>44</v>
      </c>
      <c r="BB3" s="382">
        <f>SUM(BB4:BB30)</f>
        <v>36</v>
      </c>
      <c r="BC3" s="382">
        <f>SUM(BC4:BC30)</f>
        <v>50</v>
      </c>
      <c r="BD3" s="382">
        <f>SUM(BD4:BD27)</f>
        <v>35</v>
      </c>
      <c r="BE3" s="382">
        <f>SUM(BE4:BE27)</f>
        <v>29</v>
      </c>
      <c r="BF3" s="382">
        <f>SUM(BF4:BF27)</f>
        <v>27</v>
      </c>
      <c r="BI3" s="908" t="s">
        <v>6390</v>
      </c>
      <c r="BJ3" s="439">
        <v>842</v>
      </c>
      <c r="BK3" s="1417">
        <v>866</v>
      </c>
      <c r="BL3" s="1417">
        <v>882</v>
      </c>
      <c r="BM3" s="1417">
        <v>799</v>
      </c>
      <c r="BN3" s="1417">
        <v>635</v>
      </c>
      <c r="BO3" s="1417">
        <f>SUM(BO4+BO6+BO16)</f>
        <v>718</v>
      </c>
      <c r="BP3" s="881">
        <v>651</v>
      </c>
      <c r="BQ3" s="881">
        <v>674</v>
      </c>
      <c r="BR3" s="881">
        <v>674</v>
      </c>
      <c r="BS3" s="881">
        <f>BS6+BS16</f>
        <v>603</v>
      </c>
      <c r="BT3" s="435">
        <f>BT6+BT16</f>
        <v>596</v>
      </c>
      <c r="BU3" s="439"/>
      <c r="BV3" s="439"/>
      <c r="BW3" s="391" t="s">
        <v>6389</v>
      </c>
      <c r="BX3" s="1424">
        <v>2536</v>
      </c>
      <c r="BY3" s="752">
        <v>311.89999999999998</v>
      </c>
      <c r="BZ3" s="752">
        <v>283.5</v>
      </c>
      <c r="CA3" s="491">
        <v>210.8</v>
      </c>
      <c r="CB3" s="382">
        <v>456.7</v>
      </c>
      <c r="CC3" s="435"/>
      <c r="CD3" s="439"/>
      <c r="CE3" s="439"/>
      <c r="CF3" s="439"/>
      <c r="CG3" s="439"/>
      <c r="CH3" s="439"/>
    </row>
    <row r="4" spans="1:86" ht="15">
      <c r="A4" s="398" t="s">
        <v>1711</v>
      </c>
      <c r="B4" s="398">
        <v>30</v>
      </c>
      <c r="C4" s="398">
        <v>27</v>
      </c>
      <c r="D4" s="398">
        <v>24</v>
      </c>
      <c r="E4" s="398">
        <v>36</v>
      </c>
      <c r="F4" s="398">
        <v>26</v>
      </c>
      <c r="G4" s="398">
        <v>38</v>
      </c>
      <c r="H4" s="398">
        <v>29</v>
      </c>
      <c r="I4" s="398">
        <v>41</v>
      </c>
      <c r="J4" s="398">
        <v>27</v>
      </c>
      <c r="K4" s="398">
        <v>26</v>
      </c>
      <c r="L4" s="398">
        <v>22</v>
      </c>
      <c r="M4" s="398"/>
      <c r="N4" s="398"/>
      <c r="O4" s="781" t="s">
        <v>3507</v>
      </c>
      <c r="P4" s="781">
        <v>31</v>
      </c>
      <c r="Q4" s="781">
        <v>30</v>
      </c>
      <c r="R4" s="781">
        <v>1</v>
      </c>
      <c r="S4" s="781">
        <v>28</v>
      </c>
      <c r="T4" s="781">
        <v>27</v>
      </c>
      <c r="U4" s="781">
        <v>1</v>
      </c>
      <c r="V4" s="781">
        <v>26</v>
      </c>
      <c r="W4" s="781">
        <v>0</v>
      </c>
      <c r="X4" s="781">
        <v>0</v>
      </c>
      <c r="Y4" s="781">
        <v>40</v>
      </c>
      <c r="Z4" s="781">
        <v>36</v>
      </c>
      <c r="AA4" s="781">
        <v>4</v>
      </c>
      <c r="AB4" s="781">
        <v>31</v>
      </c>
      <c r="AC4" s="781">
        <v>26</v>
      </c>
      <c r="AD4" s="781">
        <v>5</v>
      </c>
      <c r="AE4" s="781"/>
      <c r="AG4" s="398" t="s">
        <v>1944</v>
      </c>
      <c r="AH4" s="398">
        <v>4</v>
      </c>
      <c r="AI4" s="1422">
        <v>1</v>
      </c>
      <c r="AJ4" s="1422">
        <v>1</v>
      </c>
      <c r="AK4" s="856">
        <v>4</v>
      </c>
      <c r="AL4" s="1421">
        <v>5</v>
      </c>
      <c r="AM4" s="398">
        <v>5</v>
      </c>
      <c r="AN4" s="398">
        <v>3</v>
      </c>
      <c r="AO4" s="398">
        <v>6</v>
      </c>
      <c r="AP4" s="398">
        <v>3</v>
      </c>
      <c r="AQ4" s="398">
        <v>5</v>
      </c>
      <c r="AR4" s="398">
        <v>5</v>
      </c>
      <c r="AS4" s="398"/>
      <c r="AT4" s="398"/>
      <c r="AU4" s="382" t="s">
        <v>6388</v>
      </c>
      <c r="AV4" s="382">
        <v>0</v>
      </c>
      <c r="AW4" s="1411">
        <v>0</v>
      </c>
      <c r="AX4" s="1411">
        <v>0</v>
      </c>
      <c r="AY4" s="1410">
        <v>0</v>
      </c>
      <c r="AZ4" s="1410">
        <v>0</v>
      </c>
      <c r="BA4" s="382">
        <v>0</v>
      </c>
      <c r="BB4" s="382">
        <v>0</v>
      </c>
      <c r="BC4" s="382">
        <v>0</v>
      </c>
      <c r="BD4" s="382">
        <v>0</v>
      </c>
      <c r="BE4" s="382">
        <v>0</v>
      </c>
      <c r="BF4" s="382">
        <v>0</v>
      </c>
      <c r="BI4" s="391" t="s">
        <v>6387</v>
      </c>
      <c r="BJ4" s="439">
        <v>0</v>
      </c>
      <c r="BK4" s="1376">
        <v>0</v>
      </c>
      <c r="BL4" s="1376">
        <v>0</v>
      </c>
      <c r="BM4" s="1376">
        <v>0</v>
      </c>
      <c r="BN4" s="1376">
        <v>0</v>
      </c>
      <c r="BO4" s="1376">
        <v>0</v>
      </c>
      <c r="BP4" s="439">
        <v>0</v>
      </c>
      <c r="BQ4" s="439">
        <v>0</v>
      </c>
      <c r="BR4" s="439">
        <v>1</v>
      </c>
      <c r="BS4" s="439">
        <v>0</v>
      </c>
      <c r="BT4" s="439">
        <v>0</v>
      </c>
      <c r="BU4" s="463"/>
      <c r="BW4" s="391" t="s">
        <v>6386</v>
      </c>
      <c r="BX4" s="439">
        <v>452</v>
      </c>
      <c r="BY4" s="439">
        <v>55.6</v>
      </c>
      <c r="BZ4" s="752">
        <v>54.7</v>
      </c>
      <c r="CA4" s="752">
        <v>38.9</v>
      </c>
      <c r="CB4" s="382">
        <v>62.5</v>
      </c>
      <c r="CD4" s="439"/>
      <c r="CE4" s="463"/>
      <c r="CF4" s="463"/>
    </row>
    <row r="5" spans="1:86" ht="15">
      <c r="A5" s="398" t="s">
        <v>1712</v>
      </c>
      <c r="B5" s="398">
        <v>1</v>
      </c>
      <c r="C5" s="398">
        <v>1</v>
      </c>
      <c r="D5" s="398">
        <v>2</v>
      </c>
      <c r="E5" s="398">
        <v>4</v>
      </c>
      <c r="F5" s="398">
        <v>5</v>
      </c>
      <c r="G5" s="398">
        <v>6</v>
      </c>
      <c r="H5" s="398">
        <v>7</v>
      </c>
      <c r="I5" s="398">
        <v>9</v>
      </c>
      <c r="J5" s="398">
        <v>8</v>
      </c>
      <c r="K5" s="398">
        <v>3</v>
      </c>
      <c r="L5" s="398">
        <v>5</v>
      </c>
      <c r="M5" s="398"/>
      <c r="N5" s="398"/>
      <c r="O5" s="781" t="s">
        <v>6385</v>
      </c>
      <c r="P5" s="781">
        <v>0</v>
      </c>
      <c r="Q5" s="781">
        <v>0</v>
      </c>
      <c r="R5" s="781">
        <v>0</v>
      </c>
      <c r="S5" s="781">
        <v>0</v>
      </c>
      <c r="T5" s="781">
        <v>0</v>
      </c>
      <c r="U5" s="781">
        <v>0</v>
      </c>
      <c r="V5" s="781">
        <v>0</v>
      </c>
      <c r="W5" s="781">
        <v>0</v>
      </c>
      <c r="X5" s="781">
        <v>0</v>
      </c>
      <c r="Y5" s="781">
        <v>0</v>
      </c>
      <c r="Z5" s="781">
        <v>0</v>
      </c>
      <c r="AA5" s="781">
        <v>0</v>
      </c>
      <c r="AB5" s="781">
        <v>0</v>
      </c>
      <c r="AC5" s="781">
        <v>0</v>
      </c>
      <c r="AD5" s="781">
        <v>0</v>
      </c>
      <c r="AE5" s="1412"/>
      <c r="AG5" s="398" t="s">
        <v>1945</v>
      </c>
      <c r="AH5" s="398">
        <v>3</v>
      </c>
      <c r="AI5" s="1422">
        <v>2</v>
      </c>
      <c r="AJ5" s="1422">
        <v>5</v>
      </c>
      <c r="AK5" s="856">
        <v>3</v>
      </c>
      <c r="AL5" s="1421">
        <v>2</v>
      </c>
      <c r="AM5" s="398">
        <v>2</v>
      </c>
      <c r="AN5" s="398">
        <v>6</v>
      </c>
      <c r="AO5" s="398">
        <v>2</v>
      </c>
      <c r="AP5" s="398">
        <v>5</v>
      </c>
      <c r="AQ5" s="398">
        <v>1</v>
      </c>
      <c r="AR5" s="398">
        <v>0</v>
      </c>
      <c r="AS5" s="398"/>
      <c r="AT5" s="398"/>
      <c r="AU5" s="382" t="s">
        <v>6384</v>
      </c>
      <c r="AV5" s="382">
        <v>26</v>
      </c>
      <c r="AW5" s="1411">
        <v>24</v>
      </c>
      <c r="AX5" s="1411">
        <v>23</v>
      </c>
      <c r="AY5" s="1410">
        <v>29</v>
      </c>
      <c r="AZ5" s="1410">
        <v>20</v>
      </c>
      <c r="BA5" s="382">
        <v>35</v>
      </c>
      <c r="BB5" s="382">
        <v>31</v>
      </c>
      <c r="BC5" s="382">
        <v>40</v>
      </c>
      <c r="BD5" s="382">
        <v>31</v>
      </c>
      <c r="BE5" s="382">
        <v>27</v>
      </c>
      <c r="BF5" s="382">
        <v>19</v>
      </c>
      <c r="BJ5" s="439"/>
      <c r="BK5" s="1376"/>
      <c r="BL5" s="1376"/>
      <c r="BM5" s="1376"/>
      <c r="BN5" s="1376"/>
      <c r="BO5" s="1376"/>
      <c r="BP5" s="439"/>
      <c r="BQ5" s="439"/>
      <c r="BR5" s="439"/>
      <c r="BS5" s="439"/>
      <c r="BT5" s="439"/>
      <c r="BU5" s="463"/>
      <c r="BW5" s="391" t="s">
        <v>6383</v>
      </c>
      <c r="BX5" s="439">
        <v>387</v>
      </c>
      <c r="BY5" s="752">
        <v>97</v>
      </c>
      <c r="BZ5" s="752">
        <v>78.7</v>
      </c>
      <c r="CA5" s="752">
        <v>61.3</v>
      </c>
      <c r="CB5" s="752">
        <v>123.4</v>
      </c>
      <c r="CE5" s="463"/>
      <c r="CF5" s="463"/>
    </row>
    <row r="6" spans="1:86" ht="15">
      <c r="A6" s="398"/>
      <c r="B6" s="398"/>
      <c r="C6" s="398"/>
      <c r="D6" s="398"/>
      <c r="E6" s="398"/>
      <c r="F6" s="398"/>
      <c r="G6" s="398"/>
      <c r="H6" s="398"/>
      <c r="I6" s="398"/>
      <c r="J6" s="398"/>
      <c r="K6" s="398"/>
      <c r="L6" s="398"/>
      <c r="M6" s="398"/>
      <c r="N6" s="398"/>
      <c r="O6" s="781" t="s">
        <v>3769</v>
      </c>
      <c r="P6" s="781">
        <v>0</v>
      </c>
      <c r="Q6" s="781">
        <v>0</v>
      </c>
      <c r="R6" s="781">
        <v>0</v>
      </c>
      <c r="S6" s="781">
        <v>1</v>
      </c>
      <c r="T6" s="781">
        <v>1</v>
      </c>
      <c r="U6" s="781">
        <v>0</v>
      </c>
      <c r="V6" s="781">
        <v>0</v>
      </c>
      <c r="W6" s="781">
        <v>0</v>
      </c>
      <c r="X6" s="781">
        <v>0</v>
      </c>
      <c r="Y6" s="781">
        <v>0</v>
      </c>
      <c r="Z6" s="781">
        <v>0</v>
      </c>
      <c r="AA6" s="781">
        <v>0</v>
      </c>
      <c r="AB6" s="781">
        <v>0</v>
      </c>
      <c r="AC6" s="781">
        <v>0</v>
      </c>
      <c r="AD6" s="781">
        <v>0</v>
      </c>
      <c r="AE6" s="1412"/>
      <c r="AG6" s="398" t="s">
        <v>1946</v>
      </c>
      <c r="AH6" s="398">
        <v>1</v>
      </c>
      <c r="AI6" s="1422">
        <v>1</v>
      </c>
      <c r="AJ6" s="1422">
        <v>3</v>
      </c>
      <c r="AK6" s="856">
        <v>0</v>
      </c>
      <c r="AL6" s="1421">
        <v>2</v>
      </c>
      <c r="AM6" s="398">
        <v>3</v>
      </c>
      <c r="AN6" s="398">
        <v>7</v>
      </c>
      <c r="AO6" s="398">
        <v>8</v>
      </c>
      <c r="AP6" s="398">
        <v>5</v>
      </c>
      <c r="AQ6" s="398">
        <v>0</v>
      </c>
      <c r="AR6" s="398">
        <v>1</v>
      </c>
      <c r="AS6" s="398"/>
      <c r="AT6" s="398"/>
      <c r="AU6" s="382" t="s">
        <v>6382</v>
      </c>
      <c r="AV6" s="382">
        <v>0</v>
      </c>
      <c r="AW6" s="1411">
        <v>0</v>
      </c>
      <c r="AX6" s="1411">
        <v>0</v>
      </c>
      <c r="AY6" s="1410">
        <v>0</v>
      </c>
      <c r="AZ6" s="1410">
        <v>0</v>
      </c>
      <c r="BA6" s="382">
        <v>0</v>
      </c>
      <c r="BB6" s="382">
        <v>0</v>
      </c>
      <c r="BC6" s="382">
        <v>0</v>
      </c>
      <c r="BD6" s="382">
        <v>0</v>
      </c>
      <c r="BE6" s="382">
        <v>0</v>
      </c>
      <c r="BF6" s="382">
        <v>0</v>
      </c>
      <c r="BI6" s="1418" t="s">
        <v>6381</v>
      </c>
      <c r="BJ6" s="881">
        <v>75</v>
      </c>
      <c r="BK6" s="872">
        <v>65</v>
      </c>
      <c r="BL6" s="872">
        <v>69</v>
      </c>
      <c r="BM6" s="872">
        <v>65</v>
      </c>
      <c r="BN6" s="872">
        <v>64</v>
      </c>
      <c r="BO6" s="872">
        <f>SUM(BO7:BO14)</f>
        <v>77</v>
      </c>
      <c r="BP6" s="435">
        <v>72</v>
      </c>
      <c r="BQ6" s="435">
        <f>SUM(BQ7:BQ14)</f>
        <v>79</v>
      </c>
      <c r="BR6" s="435">
        <f>SUM(BR7:BR14)</f>
        <v>76</v>
      </c>
      <c r="BS6" s="439">
        <f>SUM(BS7:BS14)</f>
        <v>83</v>
      </c>
      <c r="BT6" s="435">
        <f>SUM(BT7:BT14)</f>
        <v>83</v>
      </c>
      <c r="BV6" s="439"/>
      <c r="BW6" s="1418" t="s">
        <v>6380</v>
      </c>
      <c r="BX6" s="435">
        <v>316</v>
      </c>
      <c r="BY6" s="752">
        <v>76.3</v>
      </c>
      <c r="BZ6" s="752">
        <v>87.3</v>
      </c>
      <c r="CA6" s="752" t="s">
        <v>6379</v>
      </c>
      <c r="CB6" s="752">
        <v>123.2</v>
      </c>
      <c r="CC6" s="463"/>
      <c r="CD6" s="463"/>
    </row>
    <row r="7" spans="1:86" ht="15">
      <c r="A7" s="398" t="s">
        <v>6378</v>
      </c>
      <c r="B7" s="398">
        <v>31</v>
      </c>
      <c r="C7" s="398">
        <v>28</v>
      </c>
      <c r="D7" s="398">
        <f>SUM(D8:D12)</f>
        <v>26</v>
      </c>
      <c r="E7" s="398">
        <v>40</v>
      </c>
      <c r="F7" s="398">
        <v>31</v>
      </c>
      <c r="G7" s="398">
        <v>44</v>
      </c>
      <c r="H7" s="398">
        <v>36</v>
      </c>
      <c r="I7" s="398">
        <f>SUM(I8:I12)</f>
        <v>50</v>
      </c>
      <c r="J7" s="398">
        <f>SUM(J8:J12)</f>
        <v>35</v>
      </c>
      <c r="K7" s="398">
        <f>SUM(K8:K12)</f>
        <v>29</v>
      </c>
      <c r="L7" s="398">
        <v>27</v>
      </c>
      <c r="M7" s="398"/>
      <c r="N7" s="398"/>
      <c r="O7" s="781" t="s">
        <v>1705</v>
      </c>
      <c r="P7" s="781">
        <v>18</v>
      </c>
      <c r="Q7" s="781">
        <v>18</v>
      </c>
      <c r="R7" s="781">
        <v>0</v>
      </c>
      <c r="S7" s="781">
        <v>14</v>
      </c>
      <c r="T7" s="781">
        <v>14</v>
      </c>
      <c r="U7" s="781">
        <v>0</v>
      </c>
      <c r="V7" s="781">
        <v>15</v>
      </c>
      <c r="W7" s="781">
        <v>13</v>
      </c>
      <c r="X7" s="781">
        <v>2</v>
      </c>
      <c r="Y7" s="781">
        <v>29</v>
      </c>
      <c r="Z7" s="781">
        <v>26</v>
      </c>
      <c r="AA7" s="781">
        <v>3</v>
      </c>
      <c r="AB7" s="781">
        <v>15</v>
      </c>
      <c r="AC7" s="781">
        <v>14</v>
      </c>
      <c r="AD7" s="781">
        <v>1</v>
      </c>
      <c r="AE7" s="1412"/>
      <c r="AF7" s="398"/>
      <c r="AG7" s="398" t="s">
        <v>1947</v>
      </c>
      <c r="AH7" s="398">
        <v>7</v>
      </c>
      <c r="AI7" s="1422">
        <v>3</v>
      </c>
      <c r="AJ7" s="1422">
        <v>2</v>
      </c>
      <c r="AK7" s="856">
        <v>1</v>
      </c>
      <c r="AL7" s="1421">
        <v>1</v>
      </c>
      <c r="AM7" s="398">
        <v>3</v>
      </c>
      <c r="AN7" s="398">
        <v>3</v>
      </c>
      <c r="AO7" s="398">
        <v>3</v>
      </c>
      <c r="AP7" s="398">
        <v>1</v>
      </c>
      <c r="AQ7" s="398">
        <v>5</v>
      </c>
      <c r="AR7" s="398">
        <v>0</v>
      </c>
      <c r="AS7" s="398"/>
      <c r="AT7" s="398"/>
      <c r="AU7" s="382" t="s">
        <v>6377</v>
      </c>
      <c r="AV7" s="382">
        <v>0</v>
      </c>
      <c r="AW7" s="1411">
        <v>1</v>
      </c>
      <c r="AX7" s="1411">
        <v>0</v>
      </c>
      <c r="AY7" s="1410">
        <v>0</v>
      </c>
      <c r="AZ7" s="1410">
        <v>0</v>
      </c>
      <c r="BA7" s="382">
        <v>0</v>
      </c>
      <c r="BB7" s="382">
        <v>0</v>
      </c>
      <c r="BC7" s="382">
        <v>0</v>
      </c>
      <c r="BD7" s="382">
        <v>0</v>
      </c>
      <c r="BE7" s="382">
        <v>0</v>
      </c>
      <c r="BF7" s="382">
        <v>1</v>
      </c>
      <c r="BI7" s="1068" t="s">
        <v>6340</v>
      </c>
      <c r="BJ7" s="435">
        <v>41</v>
      </c>
      <c r="BK7" s="872">
        <v>17</v>
      </c>
      <c r="BL7" s="872">
        <v>31</v>
      </c>
      <c r="BM7" s="872">
        <v>23</v>
      </c>
      <c r="BN7" s="872">
        <v>19</v>
      </c>
      <c r="BO7" s="872">
        <v>32</v>
      </c>
      <c r="BP7" s="435">
        <v>28</v>
      </c>
      <c r="BQ7" s="435">
        <v>34</v>
      </c>
      <c r="BR7" s="435">
        <v>29</v>
      </c>
      <c r="BS7" s="435">
        <v>36</v>
      </c>
      <c r="BT7" s="435">
        <v>28</v>
      </c>
      <c r="BU7" s="463"/>
      <c r="BW7" s="1068" t="s">
        <v>6376</v>
      </c>
      <c r="BX7" s="435">
        <v>268</v>
      </c>
      <c r="BY7" s="752">
        <v>33</v>
      </c>
      <c r="BZ7" s="752">
        <v>29.5</v>
      </c>
      <c r="CA7" s="752">
        <v>22.1</v>
      </c>
      <c r="CB7" s="752">
        <v>40.6</v>
      </c>
      <c r="CD7" s="463"/>
      <c r="CE7" s="463"/>
      <c r="CF7" s="463"/>
    </row>
    <row r="8" spans="1:86" ht="15">
      <c r="A8" s="398" t="s">
        <v>6375</v>
      </c>
      <c r="B8" s="398">
        <v>2</v>
      </c>
      <c r="C8" s="398">
        <v>3</v>
      </c>
      <c r="D8" s="398">
        <v>0</v>
      </c>
      <c r="E8" s="398">
        <v>5</v>
      </c>
      <c r="F8" s="398">
        <v>1</v>
      </c>
      <c r="G8" s="398">
        <v>1</v>
      </c>
      <c r="H8" s="398">
        <v>3</v>
      </c>
      <c r="I8" s="398">
        <v>11</v>
      </c>
      <c r="J8" s="398">
        <v>7</v>
      </c>
      <c r="K8" s="398">
        <v>3</v>
      </c>
      <c r="L8" s="398">
        <v>5</v>
      </c>
      <c r="M8" s="398"/>
      <c r="N8" s="398"/>
      <c r="O8" s="781" t="s">
        <v>1695</v>
      </c>
      <c r="P8" s="781">
        <v>0</v>
      </c>
      <c r="Q8" s="781">
        <v>0</v>
      </c>
      <c r="R8" s="781">
        <v>0</v>
      </c>
      <c r="S8" s="781">
        <v>0</v>
      </c>
      <c r="T8" s="781">
        <v>0</v>
      </c>
      <c r="U8" s="781">
        <v>0</v>
      </c>
      <c r="V8" s="781">
        <v>0</v>
      </c>
      <c r="W8" s="781">
        <v>0</v>
      </c>
      <c r="X8" s="781">
        <v>0</v>
      </c>
      <c r="Y8" s="781">
        <v>0</v>
      </c>
      <c r="Z8" s="781">
        <v>0</v>
      </c>
      <c r="AA8" s="781">
        <v>0</v>
      </c>
      <c r="AB8" s="781">
        <v>0</v>
      </c>
      <c r="AC8" s="781">
        <v>0</v>
      </c>
      <c r="AD8" s="781">
        <v>0</v>
      </c>
      <c r="AE8" s="1412"/>
      <c r="AG8" s="398" t="s">
        <v>1948</v>
      </c>
      <c r="AH8" s="398">
        <v>3</v>
      </c>
      <c r="AI8" s="1422">
        <v>2</v>
      </c>
      <c r="AJ8" s="1422">
        <v>2</v>
      </c>
      <c r="AK8" s="856">
        <v>3</v>
      </c>
      <c r="AL8" s="1421">
        <v>4</v>
      </c>
      <c r="AM8" s="398">
        <v>7</v>
      </c>
      <c r="AN8" s="398">
        <v>0</v>
      </c>
      <c r="AO8" s="398">
        <v>6</v>
      </c>
      <c r="AP8" s="398">
        <v>4</v>
      </c>
      <c r="AQ8" s="398">
        <v>1</v>
      </c>
      <c r="AR8" s="398">
        <v>1</v>
      </c>
      <c r="AS8" s="398"/>
      <c r="AT8" s="398"/>
      <c r="AU8" s="382" t="s">
        <v>6374</v>
      </c>
      <c r="AV8" s="382">
        <v>0</v>
      </c>
      <c r="AW8" s="1411">
        <v>0</v>
      </c>
      <c r="AX8" s="1411">
        <v>0</v>
      </c>
      <c r="AY8" s="1410">
        <v>0</v>
      </c>
      <c r="AZ8" s="1410">
        <v>0</v>
      </c>
      <c r="BA8" s="382">
        <v>0</v>
      </c>
      <c r="BB8" s="382">
        <v>0</v>
      </c>
      <c r="BC8" s="382">
        <v>0</v>
      </c>
      <c r="BD8" s="382">
        <v>0</v>
      </c>
      <c r="BE8" s="382">
        <v>0</v>
      </c>
      <c r="BF8" s="382">
        <v>0</v>
      </c>
      <c r="BI8" s="1068" t="s">
        <v>6373</v>
      </c>
      <c r="BJ8" s="435">
        <v>4</v>
      </c>
      <c r="BK8" s="872">
        <v>1</v>
      </c>
      <c r="BL8" s="872">
        <v>0</v>
      </c>
      <c r="BM8" s="872">
        <v>4</v>
      </c>
      <c r="BN8" s="872">
        <v>6</v>
      </c>
      <c r="BO8" s="872">
        <v>2</v>
      </c>
      <c r="BP8" s="435">
        <v>2</v>
      </c>
      <c r="BQ8" s="435">
        <v>16</v>
      </c>
      <c r="BR8" s="435">
        <v>7</v>
      </c>
      <c r="BS8" s="435">
        <v>2</v>
      </c>
      <c r="BT8" s="435">
        <v>7</v>
      </c>
      <c r="BU8" s="463"/>
      <c r="BV8" s="439"/>
      <c r="BW8" s="1068" t="s">
        <v>6372</v>
      </c>
      <c r="BX8" s="435">
        <v>136</v>
      </c>
      <c r="BY8" s="752">
        <v>16.7</v>
      </c>
      <c r="BZ8" s="752">
        <v>13.5</v>
      </c>
      <c r="CA8" s="752">
        <v>10.8</v>
      </c>
      <c r="CB8" s="752">
        <v>7.6</v>
      </c>
      <c r="CD8" s="463"/>
      <c r="CE8" s="463"/>
      <c r="CF8" s="463"/>
    </row>
    <row r="9" spans="1:86" ht="14.45" customHeight="1">
      <c r="A9" s="398" t="s">
        <v>6371</v>
      </c>
      <c r="B9" s="398">
        <v>13</v>
      </c>
      <c r="C9" s="398">
        <v>6</v>
      </c>
      <c r="D9" s="398">
        <v>8</v>
      </c>
      <c r="E9" s="398">
        <v>9</v>
      </c>
      <c r="F9" s="398">
        <v>9</v>
      </c>
      <c r="G9" s="398">
        <v>22</v>
      </c>
      <c r="H9" s="398">
        <v>10</v>
      </c>
      <c r="I9" s="398">
        <v>12</v>
      </c>
      <c r="J9" s="398">
        <v>18</v>
      </c>
      <c r="K9" s="398">
        <v>11</v>
      </c>
      <c r="L9" s="398">
        <v>8</v>
      </c>
      <c r="M9" s="398"/>
      <c r="N9" s="398"/>
      <c r="O9" s="781" t="s">
        <v>6370</v>
      </c>
      <c r="P9" s="781">
        <v>0</v>
      </c>
      <c r="Q9" s="781">
        <v>0</v>
      </c>
      <c r="R9" s="781">
        <v>0</v>
      </c>
      <c r="S9" s="781">
        <v>0</v>
      </c>
      <c r="T9" s="781">
        <v>0</v>
      </c>
      <c r="U9" s="781">
        <v>0</v>
      </c>
      <c r="V9" s="781">
        <v>0</v>
      </c>
      <c r="W9" s="781">
        <v>0</v>
      </c>
      <c r="X9" s="781">
        <v>0</v>
      </c>
      <c r="Y9" s="781">
        <v>0</v>
      </c>
      <c r="Z9" s="781">
        <v>0</v>
      </c>
      <c r="AA9" s="781">
        <v>0</v>
      </c>
      <c r="AB9" s="781">
        <v>0</v>
      </c>
      <c r="AC9" s="781">
        <v>0</v>
      </c>
      <c r="AD9" s="781">
        <v>0</v>
      </c>
      <c r="AE9" s="1412"/>
      <c r="AG9" s="398" t="s">
        <v>1949</v>
      </c>
      <c r="AH9" s="398">
        <v>0</v>
      </c>
      <c r="AI9" s="1422">
        <v>1</v>
      </c>
      <c r="AJ9" s="1422">
        <v>2</v>
      </c>
      <c r="AK9" s="856">
        <v>5</v>
      </c>
      <c r="AL9" s="1421">
        <v>2</v>
      </c>
      <c r="AM9" s="398">
        <v>5</v>
      </c>
      <c r="AN9" s="398">
        <v>1</v>
      </c>
      <c r="AO9" s="398">
        <v>5</v>
      </c>
      <c r="AP9" s="398">
        <v>2</v>
      </c>
      <c r="AQ9" s="398">
        <v>1</v>
      </c>
      <c r="AR9" s="398">
        <v>1</v>
      </c>
      <c r="AS9" s="398"/>
      <c r="AT9" s="398"/>
      <c r="AU9" s="382" t="s">
        <v>6369</v>
      </c>
      <c r="AV9" s="382">
        <v>0</v>
      </c>
      <c r="AW9" s="1411">
        <v>0</v>
      </c>
      <c r="AX9" s="1411">
        <v>0</v>
      </c>
      <c r="AY9" s="1410">
        <v>0</v>
      </c>
      <c r="AZ9" s="1410">
        <v>0</v>
      </c>
      <c r="BA9" s="382">
        <v>1</v>
      </c>
      <c r="BB9" s="382">
        <v>0</v>
      </c>
      <c r="BC9" s="382">
        <v>0</v>
      </c>
      <c r="BD9" s="382">
        <v>0</v>
      </c>
      <c r="BE9" s="382">
        <v>0</v>
      </c>
      <c r="BF9" s="382">
        <v>0</v>
      </c>
      <c r="BI9" s="1068" t="s">
        <v>6368</v>
      </c>
      <c r="BJ9" s="435">
        <v>7</v>
      </c>
      <c r="BK9" s="872">
        <v>12</v>
      </c>
      <c r="BL9" s="872">
        <v>11</v>
      </c>
      <c r="BM9" s="872">
        <v>5</v>
      </c>
      <c r="BN9" s="872">
        <v>7</v>
      </c>
      <c r="BO9" s="872">
        <v>6</v>
      </c>
      <c r="BP9" s="435">
        <v>7</v>
      </c>
      <c r="BQ9" s="435">
        <v>3</v>
      </c>
      <c r="BR9" s="435">
        <v>6</v>
      </c>
      <c r="BS9" s="435">
        <v>9</v>
      </c>
      <c r="BT9" s="435">
        <v>10</v>
      </c>
      <c r="BU9" s="463"/>
      <c r="BW9" s="1068" t="s">
        <v>6367</v>
      </c>
      <c r="BX9" s="435">
        <v>113</v>
      </c>
      <c r="BY9" s="752">
        <v>13.9</v>
      </c>
      <c r="BZ9" s="752">
        <v>10.199999999999999</v>
      </c>
      <c r="CA9" s="752">
        <v>8.6999999999999993</v>
      </c>
      <c r="CB9" s="752">
        <v>14</v>
      </c>
      <c r="CD9" s="463"/>
      <c r="CE9" s="463"/>
      <c r="CF9" s="463"/>
    </row>
    <row r="10" spans="1:86" ht="15" customHeight="1">
      <c r="A10" s="398" t="s">
        <v>6366</v>
      </c>
      <c r="B10" s="398">
        <v>4</v>
      </c>
      <c r="C10" s="398">
        <v>9</v>
      </c>
      <c r="D10" s="398">
        <v>12</v>
      </c>
      <c r="E10" s="398">
        <v>14</v>
      </c>
      <c r="F10" s="398">
        <v>11</v>
      </c>
      <c r="G10" s="398">
        <v>12</v>
      </c>
      <c r="H10" s="398">
        <v>13</v>
      </c>
      <c r="I10" s="398">
        <v>14</v>
      </c>
      <c r="J10" s="398">
        <v>6</v>
      </c>
      <c r="K10" s="398">
        <v>5</v>
      </c>
      <c r="L10" s="398">
        <v>4</v>
      </c>
      <c r="M10" s="398"/>
      <c r="N10" s="398"/>
      <c r="O10" s="781" t="s">
        <v>845</v>
      </c>
      <c r="P10" s="781">
        <v>6</v>
      </c>
      <c r="Q10" s="781">
        <v>6</v>
      </c>
      <c r="R10" s="781">
        <v>0</v>
      </c>
      <c r="S10" s="781">
        <v>6</v>
      </c>
      <c r="T10" s="781">
        <v>6</v>
      </c>
      <c r="U10" s="781">
        <v>0</v>
      </c>
      <c r="V10" s="781">
        <v>7</v>
      </c>
      <c r="W10" s="781">
        <v>7</v>
      </c>
      <c r="X10" s="781">
        <v>0</v>
      </c>
      <c r="Y10" s="781">
        <v>0</v>
      </c>
      <c r="Z10" s="781">
        <v>0</v>
      </c>
      <c r="AA10" s="781">
        <v>0</v>
      </c>
      <c r="AB10" s="781">
        <v>7</v>
      </c>
      <c r="AC10" s="781">
        <v>6</v>
      </c>
      <c r="AD10" s="781">
        <v>1</v>
      </c>
      <c r="AE10" s="1412"/>
      <c r="AG10" s="398" t="s">
        <v>1950</v>
      </c>
      <c r="AH10" s="398">
        <v>0</v>
      </c>
      <c r="AI10" s="1422">
        <v>2</v>
      </c>
      <c r="AJ10" s="1422">
        <v>3</v>
      </c>
      <c r="AK10" s="856">
        <v>5</v>
      </c>
      <c r="AL10" s="1421">
        <v>1</v>
      </c>
      <c r="AM10" s="398">
        <v>2</v>
      </c>
      <c r="AN10" s="398">
        <v>2</v>
      </c>
      <c r="AO10" s="398">
        <v>4</v>
      </c>
      <c r="AP10" s="398">
        <v>2</v>
      </c>
      <c r="AQ10" s="398">
        <v>2</v>
      </c>
      <c r="AR10" s="398">
        <v>4</v>
      </c>
      <c r="AS10" s="398"/>
      <c r="AT10" s="414"/>
      <c r="AU10" s="382" t="s">
        <v>6365</v>
      </c>
      <c r="AV10" s="382">
        <v>0</v>
      </c>
      <c r="AW10" s="1411">
        <v>1</v>
      </c>
      <c r="AX10" s="1411">
        <v>0</v>
      </c>
      <c r="AY10" s="1410">
        <v>0</v>
      </c>
      <c r="AZ10" s="1410">
        <v>1</v>
      </c>
      <c r="BA10" s="585">
        <v>0</v>
      </c>
      <c r="BB10" s="382">
        <v>0</v>
      </c>
      <c r="BC10" s="382">
        <v>0</v>
      </c>
      <c r="BD10" s="382">
        <v>0</v>
      </c>
      <c r="BE10" s="382">
        <v>0</v>
      </c>
      <c r="BF10" s="382">
        <v>0</v>
      </c>
      <c r="BI10" s="1068" t="s">
        <v>6364</v>
      </c>
      <c r="BJ10" s="435">
        <v>4</v>
      </c>
      <c r="BK10" s="872">
        <v>13</v>
      </c>
      <c r="BL10" s="872">
        <v>13</v>
      </c>
      <c r="BM10" s="872">
        <v>12</v>
      </c>
      <c r="BN10" s="872">
        <v>16</v>
      </c>
      <c r="BO10" s="872">
        <v>23</v>
      </c>
      <c r="BP10" s="435">
        <v>16</v>
      </c>
      <c r="BQ10" s="435">
        <v>9</v>
      </c>
      <c r="BR10" s="435">
        <v>8</v>
      </c>
      <c r="BS10" s="435">
        <v>14</v>
      </c>
      <c r="BT10" s="435">
        <v>15</v>
      </c>
      <c r="BU10" s="463"/>
      <c r="BV10" s="439"/>
      <c r="BW10" s="1068" t="s">
        <v>6363</v>
      </c>
      <c r="BX10" s="435">
        <v>112</v>
      </c>
      <c r="BY10" s="752">
        <v>28.1</v>
      </c>
      <c r="BZ10" s="752">
        <v>21.9</v>
      </c>
      <c r="CA10" s="752">
        <v>17.7</v>
      </c>
      <c r="CB10" s="752">
        <v>25.6</v>
      </c>
      <c r="CD10" s="463"/>
      <c r="CE10" s="463"/>
      <c r="CF10" s="463"/>
    </row>
    <row r="11" spans="1:86" ht="15" customHeight="1">
      <c r="A11" s="398" t="s">
        <v>6362</v>
      </c>
      <c r="B11" s="398">
        <v>9</v>
      </c>
      <c r="C11" s="398">
        <v>6</v>
      </c>
      <c r="D11" s="398">
        <v>5</v>
      </c>
      <c r="E11" s="398">
        <v>9</v>
      </c>
      <c r="F11" s="398">
        <v>5</v>
      </c>
      <c r="G11" s="398">
        <v>3</v>
      </c>
      <c r="H11" s="398">
        <v>6</v>
      </c>
      <c r="I11" s="398">
        <v>9</v>
      </c>
      <c r="J11" s="398">
        <v>3</v>
      </c>
      <c r="K11" s="398">
        <v>5</v>
      </c>
      <c r="L11" s="398">
        <v>4</v>
      </c>
      <c r="M11" s="398"/>
      <c r="N11" s="398"/>
      <c r="O11" s="781" t="s">
        <v>6361</v>
      </c>
      <c r="P11" s="781">
        <v>7</v>
      </c>
      <c r="Q11" s="781">
        <v>7</v>
      </c>
      <c r="R11" s="781">
        <v>0</v>
      </c>
      <c r="S11" s="781">
        <v>5</v>
      </c>
      <c r="T11" s="781">
        <v>5</v>
      </c>
      <c r="U11" s="781">
        <v>0</v>
      </c>
      <c r="V11" s="781">
        <v>6</v>
      </c>
      <c r="W11" s="781">
        <v>6</v>
      </c>
      <c r="X11" s="781">
        <v>0</v>
      </c>
      <c r="Y11" s="781">
        <v>5</v>
      </c>
      <c r="Z11" s="781">
        <v>5</v>
      </c>
      <c r="AA11" s="781">
        <v>0</v>
      </c>
      <c r="AB11" s="781">
        <v>7</v>
      </c>
      <c r="AC11" s="781">
        <v>6</v>
      </c>
      <c r="AD11" s="781">
        <v>1</v>
      </c>
      <c r="AE11" s="1412"/>
      <c r="AG11" s="398" t="s">
        <v>1951</v>
      </c>
      <c r="AH11" s="398">
        <v>4</v>
      </c>
      <c r="AI11" s="1422">
        <v>4</v>
      </c>
      <c r="AJ11" s="1422">
        <v>1</v>
      </c>
      <c r="AK11" s="856">
        <v>5</v>
      </c>
      <c r="AL11" s="1421">
        <v>3</v>
      </c>
      <c r="AM11" s="398">
        <v>3</v>
      </c>
      <c r="AN11" s="398">
        <v>2</v>
      </c>
      <c r="AO11" s="398">
        <v>4</v>
      </c>
      <c r="AP11" s="398">
        <v>2</v>
      </c>
      <c r="AQ11" s="398">
        <v>4</v>
      </c>
      <c r="AR11" s="398">
        <v>1</v>
      </c>
      <c r="AS11" s="398"/>
      <c r="AT11" s="398"/>
      <c r="AU11" s="382" t="s">
        <v>6360</v>
      </c>
      <c r="AV11" s="382">
        <v>0</v>
      </c>
      <c r="AW11" s="1411">
        <v>0</v>
      </c>
      <c r="AX11" s="1411">
        <v>0</v>
      </c>
      <c r="AY11" s="1410">
        <v>0</v>
      </c>
      <c r="AZ11" s="1410">
        <v>0</v>
      </c>
      <c r="BA11" s="382">
        <v>0</v>
      </c>
      <c r="BB11" s="382">
        <v>0</v>
      </c>
      <c r="BC11" s="382">
        <v>0</v>
      </c>
      <c r="BD11" s="382">
        <v>0</v>
      </c>
      <c r="BE11" s="382">
        <v>0</v>
      </c>
      <c r="BF11" s="382">
        <v>0</v>
      </c>
      <c r="BI11" s="1068" t="s">
        <v>6359</v>
      </c>
      <c r="BJ11" s="435">
        <v>2</v>
      </c>
      <c r="BK11" s="872">
        <v>10</v>
      </c>
      <c r="BL11" s="872">
        <v>6</v>
      </c>
      <c r="BM11" s="872">
        <v>9</v>
      </c>
      <c r="BN11" s="872">
        <v>11</v>
      </c>
      <c r="BO11" s="872">
        <v>6</v>
      </c>
      <c r="BP11" s="435">
        <v>14</v>
      </c>
      <c r="BQ11" s="435">
        <v>7</v>
      </c>
      <c r="BR11" s="435">
        <v>13</v>
      </c>
      <c r="BS11" s="435">
        <v>17</v>
      </c>
      <c r="BT11" s="435">
        <v>16</v>
      </c>
      <c r="BU11" s="463"/>
      <c r="BW11" s="1068" t="s">
        <v>6358</v>
      </c>
      <c r="BX11" s="435">
        <v>105</v>
      </c>
      <c r="BY11" s="752">
        <v>12.9</v>
      </c>
      <c r="BZ11" s="752">
        <v>13.7</v>
      </c>
      <c r="CA11" s="752">
        <v>9.1999999999999993</v>
      </c>
      <c r="CB11" s="752">
        <v>13.5</v>
      </c>
      <c r="CD11" s="463"/>
      <c r="CE11" s="463"/>
      <c r="CF11" s="463"/>
    </row>
    <row r="12" spans="1:86" ht="15">
      <c r="A12" s="387" t="s">
        <v>6357</v>
      </c>
      <c r="B12" s="387">
        <v>3</v>
      </c>
      <c r="C12" s="387">
        <v>4</v>
      </c>
      <c r="D12" s="387">
        <v>1</v>
      </c>
      <c r="E12" s="387">
        <v>3</v>
      </c>
      <c r="F12" s="387">
        <v>5</v>
      </c>
      <c r="G12" s="387">
        <v>6</v>
      </c>
      <c r="H12" s="387">
        <v>4</v>
      </c>
      <c r="I12" s="387">
        <v>4</v>
      </c>
      <c r="J12" s="387">
        <v>1</v>
      </c>
      <c r="K12" s="387">
        <v>5</v>
      </c>
      <c r="L12" s="387">
        <v>6</v>
      </c>
      <c r="M12" s="398"/>
      <c r="N12" s="398"/>
      <c r="O12" s="781" t="s">
        <v>6356</v>
      </c>
      <c r="P12" s="781">
        <v>0</v>
      </c>
      <c r="Q12" s="781">
        <v>0</v>
      </c>
      <c r="R12" s="781">
        <v>0</v>
      </c>
      <c r="S12" s="781">
        <v>0</v>
      </c>
      <c r="T12" s="781">
        <v>0</v>
      </c>
      <c r="U12" s="781">
        <v>0</v>
      </c>
      <c r="V12" s="781">
        <v>0</v>
      </c>
      <c r="W12" s="781">
        <v>0</v>
      </c>
      <c r="X12" s="781">
        <v>0</v>
      </c>
      <c r="Y12" s="781">
        <v>0</v>
      </c>
      <c r="Z12" s="781">
        <v>0</v>
      </c>
      <c r="AA12" s="781">
        <v>0</v>
      </c>
      <c r="AB12" s="781">
        <v>0</v>
      </c>
      <c r="AC12" s="781">
        <v>0</v>
      </c>
      <c r="AD12" s="781">
        <v>0</v>
      </c>
      <c r="AE12" s="1412"/>
      <c r="AG12" s="398" t="s">
        <v>6355</v>
      </c>
      <c r="AH12" s="398">
        <v>2</v>
      </c>
      <c r="AI12" s="1422">
        <v>3</v>
      </c>
      <c r="AJ12" s="1422">
        <v>1</v>
      </c>
      <c r="AK12" s="856">
        <v>1</v>
      </c>
      <c r="AL12" s="1421">
        <v>2</v>
      </c>
      <c r="AM12" s="398">
        <v>2</v>
      </c>
      <c r="AN12" s="398">
        <v>3</v>
      </c>
      <c r="AO12" s="398">
        <v>3</v>
      </c>
      <c r="AP12" s="398">
        <v>2</v>
      </c>
      <c r="AQ12" s="398">
        <v>2</v>
      </c>
      <c r="AR12" s="398">
        <v>3</v>
      </c>
      <c r="AS12" s="398"/>
      <c r="AT12" s="398"/>
      <c r="AU12" s="382" t="s">
        <v>6354</v>
      </c>
      <c r="AV12" s="382">
        <v>0</v>
      </c>
      <c r="AW12" s="1411">
        <v>0</v>
      </c>
      <c r="AX12" s="1411">
        <v>0</v>
      </c>
      <c r="AY12" s="1410">
        <v>0</v>
      </c>
      <c r="AZ12" s="1410">
        <v>0</v>
      </c>
      <c r="BA12" s="382">
        <v>0</v>
      </c>
      <c r="BB12" s="382">
        <v>0</v>
      </c>
      <c r="BC12" s="382">
        <v>0</v>
      </c>
      <c r="BD12" s="382">
        <v>0</v>
      </c>
      <c r="BE12" s="382">
        <v>0</v>
      </c>
      <c r="BF12" s="382">
        <v>0</v>
      </c>
      <c r="BI12" s="1068" t="s">
        <v>6327</v>
      </c>
      <c r="BJ12" s="435">
        <v>1</v>
      </c>
      <c r="BK12" s="872">
        <v>2</v>
      </c>
      <c r="BL12" s="872">
        <v>0</v>
      </c>
      <c r="BM12" s="872">
        <v>0</v>
      </c>
      <c r="BN12" s="872">
        <v>0</v>
      </c>
      <c r="BO12" s="872">
        <v>2</v>
      </c>
      <c r="BP12" s="435">
        <v>1</v>
      </c>
      <c r="BQ12" s="435">
        <v>0</v>
      </c>
      <c r="BR12" s="435">
        <v>0</v>
      </c>
      <c r="BS12" s="435">
        <v>0</v>
      </c>
      <c r="BT12" s="435">
        <v>0</v>
      </c>
      <c r="BU12" s="463"/>
      <c r="BV12" s="439"/>
      <c r="BW12" s="1068" t="s">
        <v>6353</v>
      </c>
      <c r="BX12" s="435">
        <v>61</v>
      </c>
      <c r="BY12" s="752">
        <v>7.5</v>
      </c>
      <c r="BZ12" s="752">
        <v>7.5</v>
      </c>
      <c r="CA12" s="752">
        <v>5.3</v>
      </c>
      <c r="CB12" s="752">
        <v>6.7</v>
      </c>
      <c r="CD12" s="463"/>
      <c r="CE12" s="463"/>
      <c r="CF12" s="463"/>
    </row>
    <row r="13" spans="1:86" ht="15.6" customHeight="1">
      <c r="A13" s="398" t="s">
        <v>6313</v>
      </c>
      <c r="B13" s="398"/>
      <c r="C13" s="398"/>
      <c r="F13" s="519"/>
      <c r="G13" s="519"/>
      <c r="H13" s="519"/>
      <c r="I13" s="398"/>
      <c r="J13" s="398"/>
      <c r="K13" s="809"/>
      <c r="L13" s="398"/>
      <c r="M13" s="398"/>
      <c r="N13" s="398"/>
      <c r="O13" s="781" t="s">
        <v>6352</v>
      </c>
      <c r="P13" s="781">
        <v>1</v>
      </c>
      <c r="Q13" s="781">
        <v>1</v>
      </c>
      <c r="R13" s="781">
        <v>0</v>
      </c>
      <c r="S13" s="781">
        <v>0</v>
      </c>
      <c r="T13" s="781">
        <v>0</v>
      </c>
      <c r="U13" s="781">
        <v>0</v>
      </c>
      <c r="V13" s="781">
        <v>0</v>
      </c>
      <c r="W13" s="781">
        <v>0</v>
      </c>
      <c r="X13" s="781">
        <v>0</v>
      </c>
      <c r="Y13" s="781">
        <v>0</v>
      </c>
      <c r="Z13" s="781">
        <v>0</v>
      </c>
      <c r="AA13" s="781">
        <v>0</v>
      </c>
      <c r="AB13" s="781">
        <v>0</v>
      </c>
      <c r="AC13" s="781">
        <v>0</v>
      </c>
      <c r="AD13" s="781">
        <v>0</v>
      </c>
      <c r="AE13" s="1412"/>
      <c r="AG13" s="398" t="s">
        <v>1953</v>
      </c>
      <c r="AH13" s="398">
        <v>3</v>
      </c>
      <c r="AI13" s="1422">
        <v>5</v>
      </c>
      <c r="AJ13" s="1422">
        <v>2</v>
      </c>
      <c r="AK13" s="856">
        <v>6</v>
      </c>
      <c r="AL13" s="1421">
        <v>3</v>
      </c>
      <c r="AM13" s="398">
        <v>5</v>
      </c>
      <c r="AN13" s="398">
        <v>2</v>
      </c>
      <c r="AO13" s="398">
        <v>4</v>
      </c>
      <c r="AP13" s="398">
        <v>3</v>
      </c>
      <c r="AQ13" s="398">
        <v>4</v>
      </c>
      <c r="AR13" s="398">
        <v>4</v>
      </c>
      <c r="AS13" s="398"/>
      <c r="AT13" s="398"/>
      <c r="AU13" s="398" t="s">
        <v>6351</v>
      </c>
      <c r="AV13" s="398">
        <v>0</v>
      </c>
      <c r="AW13" s="1409">
        <v>0</v>
      </c>
      <c r="AX13" s="1409">
        <v>0</v>
      </c>
      <c r="AY13" s="1408">
        <v>0</v>
      </c>
      <c r="AZ13" s="1408">
        <v>0</v>
      </c>
      <c r="BA13" s="398">
        <v>0</v>
      </c>
      <c r="BB13" s="398">
        <v>0</v>
      </c>
      <c r="BC13" s="398">
        <v>0</v>
      </c>
      <c r="BD13" s="398">
        <v>0</v>
      </c>
      <c r="BE13" s="398">
        <v>0</v>
      </c>
      <c r="BF13" s="398">
        <v>0</v>
      </c>
      <c r="BI13" s="1068" t="s">
        <v>6350</v>
      </c>
      <c r="BJ13" s="435">
        <v>9</v>
      </c>
      <c r="BK13" s="872">
        <v>8</v>
      </c>
      <c r="BL13" s="872">
        <v>3</v>
      </c>
      <c r="BM13" s="872">
        <v>8</v>
      </c>
      <c r="BN13" s="872">
        <v>3</v>
      </c>
      <c r="BO13" s="872">
        <v>4</v>
      </c>
      <c r="BP13" s="435">
        <v>3</v>
      </c>
      <c r="BQ13" s="435">
        <v>8</v>
      </c>
      <c r="BR13" s="435">
        <v>10</v>
      </c>
      <c r="BS13" s="435">
        <v>2</v>
      </c>
      <c r="BT13" s="435">
        <v>6</v>
      </c>
      <c r="BU13" s="463"/>
      <c r="BW13" s="1416" t="s">
        <v>6349</v>
      </c>
      <c r="BX13" s="556">
        <v>60</v>
      </c>
      <c r="BY13" s="868">
        <v>15</v>
      </c>
      <c r="BZ13" s="868">
        <v>11.1</v>
      </c>
      <c r="CA13" s="868">
        <v>9.4</v>
      </c>
      <c r="CB13" s="381">
        <v>7.6</v>
      </c>
      <c r="CD13" s="463"/>
      <c r="CE13" s="463"/>
      <c r="CF13" s="463"/>
    </row>
    <row r="14" spans="1:86" ht="15.6" customHeight="1">
      <c r="A14" s="398"/>
      <c r="B14" s="398"/>
      <c r="C14" s="398"/>
      <c r="F14" s="519"/>
      <c r="G14" s="519"/>
      <c r="H14" s="519"/>
      <c r="I14" s="398"/>
      <c r="J14" s="398"/>
      <c r="K14" s="809"/>
      <c r="L14" s="398"/>
      <c r="M14" s="398"/>
      <c r="N14" s="398"/>
      <c r="O14" s="781" t="s">
        <v>6348</v>
      </c>
      <c r="P14" s="781">
        <v>0</v>
      </c>
      <c r="Q14" s="781">
        <v>0</v>
      </c>
      <c r="R14" s="781">
        <v>0</v>
      </c>
      <c r="S14" s="781">
        <v>1</v>
      </c>
      <c r="T14" s="1423">
        <v>1</v>
      </c>
      <c r="U14" s="781">
        <v>0</v>
      </c>
      <c r="V14" s="781">
        <v>1</v>
      </c>
      <c r="W14" s="1423">
        <v>1</v>
      </c>
      <c r="X14" s="781">
        <v>0</v>
      </c>
      <c r="Y14" s="781">
        <v>1</v>
      </c>
      <c r="Z14" s="585">
        <v>1</v>
      </c>
      <c r="AA14" s="781">
        <v>0</v>
      </c>
      <c r="AB14" s="781">
        <v>0</v>
      </c>
      <c r="AC14" s="781">
        <v>0</v>
      </c>
      <c r="AD14" s="781">
        <v>0</v>
      </c>
      <c r="AE14" s="1412"/>
      <c r="AG14" s="398" t="s">
        <v>1954</v>
      </c>
      <c r="AH14" s="398">
        <v>2</v>
      </c>
      <c r="AI14" s="1422">
        <v>3</v>
      </c>
      <c r="AJ14" s="1422">
        <v>2</v>
      </c>
      <c r="AK14" s="856">
        <v>3</v>
      </c>
      <c r="AL14" s="1421">
        <v>1</v>
      </c>
      <c r="AM14" s="398">
        <v>3</v>
      </c>
      <c r="AN14" s="398">
        <v>4</v>
      </c>
      <c r="AO14" s="398">
        <v>4</v>
      </c>
      <c r="AP14" s="398">
        <v>1</v>
      </c>
      <c r="AQ14" s="398">
        <v>0</v>
      </c>
      <c r="AR14" s="398">
        <v>4</v>
      </c>
      <c r="AS14" s="398"/>
      <c r="AT14" s="398"/>
      <c r="AU14" s="382" t="s">
        <v>6347</v>
      </c>
      <c r="AV14" s="382">
        <v>2</v>
      </c>
      <c r="AW14" s="1411">
        <v>2</v>
      </c>
      <c r="AX14" s="1411">
        <v>1</v>
      </c>
      <c r="AY14" s="1410">
        <v>2</v>
      </c>
      <c r="AZ14" s="1410">
        <v>0</v>
      </c>
      <c r="BA14" s="382">
        <v>3</v>
      </c>
      <c r="BB14" s="382">
        <v>1</v>
      </c>
      <c r="BC14" s="382">
        <v>0</v>
      </c>
      <c r="BD14" s="382">
        <v>2</v>
      </c>
      <c r="BE14" s="382">
        <v>1</v>
      </c>
      <c r="BF14" s="382">
        <v>4</v>
      </c>
      <c r="BI14" s="1068" t="s">
        <v>6346</v>
      </c>
      <c r="BJ14" s="435">
        <v>7</v>
      </c>
      <c r="BK14" s="872">
        <v>2</v>
      </c>
      <c r="BL14" s="872">
        <v>5</v>
      </c>
      <c r="BM14" s="872">
        <v>4</v>
      </c>
      <c r="BN14" s="872">
        <v>2</v>
      </c>
      <c r="BO14" s="872">
        <v>2</v>
      </c>
      <c r="BP14" s="435">
        <v>1</v>
      </c>
      <c r="BQ14" s="435">
        <v>2</v>
      </c>
      <c r="BR14" s="435">
        <v>3</v>
      </c>
      <c r="BS14" s="435">
        <v>3</v>
      </c>
      <c r="BT14" s="435">
        <v>1</v>
      </c>
      <c r="BU14" s="463"/>
      <c r="BW14" s="1068" t="s">
        <v>6345</v>
      </c>
      <c r="BX14" s="1414"/>
      <c r="BY14" s="1414"/>
      <c r="CB14" s="398"/>
      <c r="CC14" s="398"/>
      <c r="CD14" s="398"/>
    </row>
    <row r="15" spans="1:86" ht="15" customHeight="1">
      <c r="A15" s="809"/>
      <c r="B15" s="809"/>
      <c r="C15" s="809"/>
      <c r="F15" s="519"/>
      <c r="G15" s="519"/>
      <c r="H15" s="519"/>
      <c r="I15" s="398"/>
      <c r="J15" s="398"/>
      <c r="K15" s="809"/>
      <c r="L15" s="398"/>
      <c r="M15" s="398"/>
      <c r="N15" s="398"/>
      <c r="O15" s="781" t="s">
        <v>1696</v>
      </c>
      <c r="P15" s="781">
        <v>1</v>
      </c>
      <c r="Q15" s="781">
        <v>1</v>
      </c>
      <c r="R15" s="781">
        <v>0</v>
      </c>
      <c r="S15" s="781">
        <v>2</v>
      </c>
      <c r="T15" s="781">
        <v>2</v>
      </c>
      <c r="U15" s="781">
        <v>0</v>
      </c>
      <c r="V15" s="781">
        <v>3</v>
      </c>
      <c r="W15" s="781">
        <v>3</v>
      </c>
      <c r="X15" s="781">
        <v>0</v>
      </c>
      <c r="Y15" s="781">
        <v>2</v>
      </c>
      <c r="Z15" s="781">
        <v>2</v>
      </c>
      <c r="AA15" s="781">
        <v>0</v>
      </c>
      <c r="AB15" s="781">
        <v>3</v>
      </c>
      <c r="AC15" s="781">
        <v>3</v>
      </c>
      <c r="AD15" s="781">
        <v>0</v>
      </c>
      <c r="AE15" s="1412"/>
      <c r="AG15" s="398" t="s">
        <v>1955</v>
      </c>
      <c r="AH15" s="398">
        <v>2</v>
      </c>
      <c r="AI15" s="1422">
        <v>1</v>
      </c>
      <c r="AJ15" s="1422">
        <v>2</v>
      </c>
      <c r="AK15" s="856">
        <v>4</v>
      </c>
      <c r="AL15" s="1421">
        <v>5</v>
      </c>
      <c r="AM15" s="398">
        <v>4</v>
      </c>
      <c r="AN15" s="398">
        <v>3</v>
      </c>
      <c r="AO15" s="398">
        <v>1</v>
      </c>
      <c r="AP15" s="398">
        <v>5</v>
      </c>
      <c r="AQ15" s="398">
        <v>4</v>
      </c>
      <c r="AR15" s="398">
        <v>3</v>
      </c>
      <c r="AS15" s="398"/>
      <c r="AT15" s="398"/>
      <c r="AU15" s="382" t="s">
        <v>6344</v>
      </c>
      <c r="AV15" s="382">
        <v>0</v>
      </c>
      <c r="AW15" s="1411">
        <v>0</v>
      </c>
      <c r="AX15" s="1411">
        <v>1</v>
      </c>
      <c r="AY15" s="1410">
        <v>0</v>
      </c>
      <c r="AZ15" s="1410">
        <v>0</v>
      </c>
      <c r="BA15" s="382">
        <v>3</v>
      </c>
      <c r="BB15" s="382">
        <v>0</v>
      </c>
      <c r="BC15" s="382">
        <v>0</v>
      </c>
      <c r="BD15" s="382">
        <v>2</v>
      </c>
      <c r="BE15" s="382">
        <v>0</v>
      </c>
      <c r="BF15" s="382">
        <v>0</v>
      </c>
      <c r="BJ15" s="439"/>
      <c r="BK15" s="1376"/>
      <c r="BL15" s="1376"/>
      <c r="BM15" s="1376"/>
      <c r="BN15" s="1376"/>
      <c r="BO15" s="1376"/>
      <c r="BP15" s="439"/>
      <c r="BQ15" s="439"/>
      <c r="BR15" s="439"/>
      <c r="BS15" s="439"/>
      <c r="BT15" s="439"/>
      <c r="BU15" s="463"/>
      <c r="BV15" s="439"/>
      <c r="BW15" s="1068"/>
    </row>
    <row r="16" spans="1:86">
      <c r="A16" s="398"/>
      <c r="B16" s="398"/>
      <c r="C16" s="398"/>
      <c r="D16" s="398"/>
      <c r="E16" s="398"/>
      <c r="F16" s="398"/>
      <c r="G16" s="398"/>
      <c r="H16" s="398"/>
      <c r="I16" s="398"/>
      <c r="J16" s="398"/>
      <c r="K16" s="398"/>
      <c r="L16" s="398"/>
      <c r="M16" s="398"/>
      <c r="N16" s="398"/>
      <c r="O16" s="781" t="s">
        <v>1697</v>
      </c>
      <c r="P16" s="781">
        <v>0</v>
      </c>
      <c r="Q16" s="781">
        <v>0</v>
      </c>
      <c r="R16" s="781">
        <v>0</v>
      </c>
      <c r="S16" s="781">
        <v>0</v>
      </c>
      <c r="T16" s="781">
        <v>0</v>
      </c>
      <c r="U16" s="781">
        <v>0</v>
      </c>
      <c r="V16" s="781">
        <v>0</v>
      </c>
      <c r="W16" s="781">
        <v>0</v>
      </c>
      <c r="X16" s="781">
        <v>0</v>
      </c>
      <c r="Y16" s="781">
        <v>0</v>
      </c>
      <c r="Z16" s="781">
        <v>0</v>
      </c>
      <c r="AA16" s="781">
        <v>0</v>
      </c>
      <c r="AB16" s="781">
        <v>1</v>
      </c>
      <c r="AC16" s="781">
        <v>0</v>
      </c>
      <c r="AD16" s="781">
        <v>1</v>
      </c>
      <c r="AE16" s="1412"/>
      <c r="AG16" s="398" t="s">
        <v>2597</v>
      </c>
      <c r="AH16" s="398">
        <v>0</v>
      </c>
      <c r="AI16" s="1420">
        <v>0</v>
      </c>
      <c r="AJ16" s="1420">
        <v>0</v>
      </c>
      <c r="AK16" s="1419">
        <v>0</v>
      </c>
      <c r="AL16" s="1419">
        <v>0</v>
      </c>
      <c r="AM16" s="387">
        <v>0</v>
      </c>
      <c r="AN16" s="387">
        <v>0</v>
      </c>
      <c r="AO16" s="387">
        <v>0</v>
      </c>
      <c r="AP16" s="387">
        <v>0</v>
      </c>
      <c r="AQ16" s="387">
        <v>0</v>
      </c>
      <c r="AR16" s="387">
        <v>0</v>
      </c>
      <c r="AS16" s="398"/>
      <c r="AT16" s="398"/>
      <c r="AU16" s="382" t="s">
        <v>6343</v>
      </c>
      <c r="AV16" s="382">
        <v>0</v>
      </c>
      <c r="AW16" s="1411">
        <v>0</v>
      </c>
      <c r="AX16" s="1411">
        <v>0</v>
      </c>
      <c r="AY16" s="1410">
        <v>0</v>
      </c>
      <c r="AZ16" s="1410">
        <v>0</v>
      </c>
      <c r="BA16" s="382">
        <v>0</v>
      </c>
      <c r="BB16" s="382">
        <v>0</v>
      </c>
      <c r="BC16" s="382">
        <v>0</v>
      </c>
      <c r="BD16" s="382">
        <v>0</v>
      </c>
      <c r="BE16" s="382">
        <v>0</v>
      </c>
      <c r="BF16" s="382">
        <v>0</v>
      </c>
      <c r="BI16" s="1418" t="s">
        <v>6342</v>
      </c>
      <c r="BJ16" s="439">
        <v>676</v>
      </c>
      <c r="BK16" s="1417">
        <v>801</v>
      </c>
      <c r="BL16" s="1417">
        <f>SUM(BL17:BL24)</f>
        <v>813</v>
      </c>
      <c r="BM16" s="1417">
        <v>734</v>
      </c>
      <c r="BN16" s="1417">
        <v>571</v>
      </c>
      <c r="BO16" s="1417">
        <f>SUM(BO17:BO24)</f>
        <v>641</v>
      </c>
      <c r="BP16" s="881">
        <v>579</v>
      </c>
      <c r="BQ16" s="881">
        <f>SUM(BQ17:BQ24)</f>
        <v>595</v>
      </c>
      <c r="BR16" s="881">
        <f>SUM(BR17:BR24)</f>
        <v>597</v>
      </c>
      <c r="BS16" s="881">
        <f>SUM(BS17:BS24)</f>
        <v>520</v>
      </c>
      <c r="BT16" s="435">
        <f>SUM(BT17:BT24)</f>
        <v>513</v>
      </c>
      <c r="BU16" s="463"/>
    </row>
    <row r="17" spans="1:74">
      <c r="A17" s="398"/>
      <c r="B17" s="398"/>
      <c r="C17" s="398"/>
      <c r="I17" s="398"/>
      <c r="J17" s="398"/>
      <c r="K17" s="398"/>
      <c r="L17" s="398"/>
      <c r="M17" s="398"/>
      <c r="N17" s="398"/>
      <c r="O17" s="781" t="s">
        <v>1698</v>
      </c>
      <c r="P17" s="781">
        <v>0</v>
      </c>
      <c r="Q17" s="781">
        <v>0</v>
      </c>
      <c r="R17" s="781">
        <v>0</v>
      </c>
      <c r="S17" s="781">
        <v>1</v>
      </c>
      <c r="T17" s="781">
        <v>1</v>
      </c>
      <c r="U17" s="781">
        <v>0</v>
      </c>
      <c r="V17" s="781">
        <v>0</v>
      </c>
      <c r="W17" s="781">
        <v>0</v>
      </c>
      <c r="X17" s="781">
        <v>0</v>
      </c>
      <c r="Y17" s="781">
        <v>1</v>
      </c>
      <c r="Z17" s="781">
        <v>0</v>
      </c>
      <c r="AA17" s="781">
        <v>1</v>
      </c>
      <c r="AB17" s="781">
        <v>1</v>
      </c>
      <c r="AC17" s="781">
        <v>0</v>
      </c>
      <c r="AD17" s="781">
        <v>1</v>
      </c>
      <c r="AE17" s="1412"/>
      <c r="AG17" s="709" t="s">
        <v>6313</v>
      </c>
      <c r="AH17" s="709"/>
      <c r="AI17" s="398"/>
      <c r="AJ17" s="398"/>
      <c r="AK17" s="398"/>
      <c r="AL17" s="398"/>
      <c r="AM17" s="398"/>
      <c r="AN17" s="398"/>
      <c r="AO17" s="398"/>
      <c r="AP17" s="398"/>
      <c r="AQ17" s="398"/>
      <c r="AR17" s="398"/>
      <c r="AS17" s="398"/>
      <c r="AT17" s="398"/>
      <c r="AU17" s="382" t="s">
        <v>6341</v>
      </c>
      <c r="AV17" s="382">
        <v>0</v>
      </c>
      <c r="AW17" s="1411">
        <v>0</v>
      </c>
      <c r="AX17" s="1411">
        <v>0</v>
      </c>
      <c r="AY17" s="1410">
        <v>0</v>
      </c>
      <c r="AZ17" s="1410"/>
      <c r="BA17" s="382">
        <v>0</v>
      </c>
      <c r="BB17" s="382">
        <v>0</v>
      </c>
      <c r="BC17" s="382">
        <v>0</v>
      </c>
      <c r="BD17" s="382">
        <v>0</v>
      </c>
      <c r="BE17" s="382">
        <v>0</v>
      </c>
      <c r="BF17" s="382">
        <v>0</v>
      </c>
      <c r="BI17" s="1068" t="s">
        <v>6340</v>
      </c>
      <c r="BJ17" s="435">
        <v>567</v>
      </c>
      <c r="BK17" s="872">
        <v>766</v>
      </c>
      <c r="BL17" s="872">
        <v>773</v>
      </c>
      <c r="BM17" s="872">
        <v>682</v>
      </c>
      <c r="BN17" s="872">
        <v>545</v>
      </c>
      <c r="BO17" s="872">
        <v>594</v>
      </c>
      <c r="BP17" s="435">
        <v>541</v>
      </c>
      <c r="BQ17" s="435">
        <v>556</v>
      </c>
      <c r="BR17" s="435">
        <v>563</v>
      </c>
      <c r="BS17" s="435">
        <v>482</v>
      </c>
      <c r="BT17" s="435">
        <v>487</v>
      </c>
      <c r="BU17" s="463"/>
    </row>
    <row r="18" spans="1:74">
      <c r="A18" s="811"/>
      <c r="B18" s="398"/>
      <c r="C18" s="398"/>
      <c r="D18" s="398"/>
      <c r="E18" s="398"/>
      <c r="F18" s="398"/>
      <c r="G18" s="398"/>
      <c r="H18" s="398"/>
      <c r="I18" s="398"/>
      <c r="J18" s="398"/>
      <c r="K18" s="398"/>
      <c r="L18" s="398"/>
      <c r="M18" s="398"/>
      <c r="N18" s="398"/>
      <c r="O18" s="781" t="s">
        <v>1699</v>
      </c>
      <c r="P18" s="781">
        <v>1</v>
      </c>
      <c r="Q18" s="781">
        <v>1</v>
      </c>
      <c r="R18" s="781">
        <v>0</v>
      </c>
      <c r="S18" s="781">
        <v>0</v>
      </c>
      <c r="T18" s="781">
        <v>0</v>
      </c>
      <c r="U18" s="781">
        <v>0</v>
      </c>
      <c r="V18" s="781">
        <v>0</v>
      </c>
      <c r="W18" s="781">
        <v>0</v>
      </c>
      <c r="X18" s="781">
        <v>0</v>
      </c>
      <c r="Y18" s="781">
        <v>0</v>
      </c>
      <c r="Z18" s="781">
        <v>0</v>
      </c>
      <c r="AA18" s="781">
        <v>0</v>
      </c>
      <c r="AB18" s="781">
        <v>0</v>
      </c>
      <c r="AC18" s="781">
        <v>0</v>
      </c>
      <c r="AD18" s="781">
        <v>0</v>
      </c>
      <c r="AE18" s="1412"/>
      <c r="AT18" s="398"/>
      <c r="AU18" s="382" t="s">
        <v>6339</v>
      </c>
      <c r="AV18" s="382">
        <v>0</v>
      </c>
      <c r="AW18" s="1411">
        <v>0</v>
      </c>
      <c r="AX18" s="1411">
        <v>0</v>
      </c>
      <c r="AY18" s="1410">
        <v>0</v>
      </c>
      <c r="AZ18" s="1410">
        <v>0</v>
      </c>
      <c r="BA18" s="382">
        <v>0</v>
      </c>
      <c r="BB18" s="382">
        <v>0</v>
      </c>
      <c r="BC18" s="382">
        <v>0</v>
      </c>
      <c r="BD18" s="382">
        <v>0</v>
      </c>
      <c r="BE18" s="382">
        <v>0</v>
      </c>
      <c r="BF18" s="382">
        <v>0</v>
      </c>
      <c r="BI18" s="1068" t="s">
        <v>6338</v>
      </c>
      <c r="BJ18" s="435">
        <v>27</v>
      </c>
      <c r="BK18" s="872">
        <v>27</v>
      </c>
      <c r="BL18" s="872">
        <v>26</v>
      </c>
      <c r="BM18" s="872">
        <v>36</v>
      </c>
      <c r="BN18" s="872">
        <v>25</v>
      </c>
      <c r="BO18" s="872">
        <v>42</v>
      </c>
      <c r="BP18" s="435">
        <v>34</v>
      </c>
      <c r="BQ18" s="435">
        <v>34</v>
      </c>
      <c r="BR18" s="435">
        <v>29</v>
      </c>
      <c r="BS18" s="435">
        <v>27</v>
      </c>
      <c r="BT18" s="435">
        <v>22</v>
      </c>
      <c r="BU18" s="463"/>
      <c r="BV18" s="439"/>
    </row>
    <row r="19" spans="1:74">
      <c r="A19" s="1407"/>
      <c r="B19" s="398"/>
      <c r="C19" s="1407"/>
      <c r="D19" s="398"/>
      <c r="E19" s="398"/>
      <c r="F19" s="398"/>
      <c r="G19" s="398"/>
      <c r="H19" s="398"/>
      <c r="I19" s="398"/>
      <c r="J19" s="398"/>
      <c r="K19" s="398"/>
      <c r="L19" s="398"/>
      <c r="M19" s="398"/>
      <c r="N19" s="398"/>
      <c r="O19" s="781" t="s">
        <v>2657</v>
      </c>
      <c r="P19" s="781">
        <v>1</v>
      </c>
      <c r="Q19" s="781">
        <v>1</v>
      </c>
      <c r="R19" s="781">
        <v>0</v>
      </c>
      <c r="S19" s="781">
        <v>0</v>
      </c>
      <c r="T19" s="781">
        <v>0</v>
      </c>
      <c r="U19" s="781">
        <v>0</v>
      </c>
      <c r="V19" s="781">
        <v>0</v>
      </c>
      <c r="W19" s="781">
        <v>0</v>
      </c>
      <c r="X19" s="781">
        <v>0</v>
      </c>
      <c r="Y19" s="781">
        <v>0</v>
      </c>
      <c r="Z19" s="781">
        <v>0</v>
      </c>
      <c r="AA19" s="781">
        <v>0</v>
      </c>
      <c r="AB19" s="781">
        <v>0</v>
      </c>
      <c r="AC19" s="781">
        <v>0</v>
      </c>
      <c r="AD19" s="781">
        <v>0</v>
      </c>
      <c r="AE19" s="1412"/>
      <c r="AT19" s="398"/>
      <c r="AU19" s="382" t="s">
        <v>6337</v>
      </c>
      <c r="AV19" s="382">
        <v>0</v>
      </c>
      <c r="AW19" s="1411">
        <v>0</v>
      </c>
      <c r="AX19" s="1411">
        <v>0</v>
      </c>
      <c r="AY19" s="1410">
        <v>4</v>
      </c>
      <c r="AZ19" s="1410">
        <v>2</v>
      </c>
      <c r="BA19" s="585">
        <v>0</v>
      </c>
      <c r="BB19" s="382">
        <v>0</v>
      </c>
      <c r="BC19" s="382">
        <v>0</v>
      </c>
      <c r="BD19" s="382">
        <v>0</v>
      </c>
      <c r="BE19" s="382">
        <v>0</v>
      </c>
      <c r="BF19" s="382">
        <v>0</v>
      </c>
      <c r="BI19" s="1068" t="s">
        <v>6336</v>
      </c>
      <c r="BJ19" s="435">
        <v>26</v>
      </c>
      <c r="BK19" s="872">
        <v>1</v>
      </c>
      <c r="BL19" s="872">
        <v>5</v>
      </c>
      <c r="BM19" s="872">
        <v>3</v>
      </c>
      <c r="BN19" s="872">
        <v>0</v>
      </c>
      <c r="BO19" s="872">
        <v>2</v>
      </c>
      <c r="BP19" s="435">
        <v>3</v>
      </c>
      <c r="BQ19" s="435">
        <v>3</v>
      </c>
      <c r="BR19" s="435">
        <v>1</v>
      </c>
      <c r="BS19" s="435">
        <v>5</v>
      </c>
      <c r="BT19" s="435">
        <v>3</v>
      </c>
      <c r="BU19" s="463"/>
    </row>
    <row r="20" spans="1:74">
      <c r="A20" s="811"/>
      <c r="B20" s="398"/>
      <c r="C20" s="398"/>
      <c r="D20" s="398"/>
      <c r="E20" s="398"/>
      <c r="F20" s="398"/>
      <c r="G20" s="398"/>
      <c r="H20" s="398"/>
      <c r="I20" s="398"/>
      <c r="J20" s="398"/>
      <c r="K20" s="398"/>
      <c r="L20" s="398"/>
      <c r="M20" s="398"/>
      <c r="N20" s="398"/>
      <c r="O20" s="781" t="s">
        <v>2652</v>
      </c>
      <c r="P20" s="781">
        <v>0</v>
      </c>
      <c r="Q20" s="781">
        <v>0</v>
      </c>
      <c r="R20" s="781">
        <v>0</v>
      </c>
      <c r="S20" s="781">
        <v>0</v>
      </c>
      <c r="T20" s="781">
        <v>0</v>
      </c>
      <c r="U20" s="781">
        <v>0</v>
      </c>
      <c r="V20" s="781">
        <v>0</v>
      </c>
      <c r="W20" s="781">
        <v>0</v>
      </c>
      <c r="X20" s="781">
        <v>0</v>
      </c>
      <c r="Y20" s="781">
        <v>0</v>
      </c>
      <c r="Z20" s="781">
        <v>0</v>
      </c>
      <c r="AA20" s="781">
        <v>0</v>
      </c>
      <c r="AB20" s="781">
        <v>0</v>
      </c>
      <c r="AC20" s="781">
        <v>0</v>
      </c>
      <c r="AD20" s="781">
        <v>0</v>
      </c>
      <c r="AE20" s="1412"/>
      <c r="AG20" s="811"/>
      <c r="AH20" s="398"/>
      <c r="AI20" s="398"/>
      <c r="AN20" s="385"/>
      <c r="AO20" s="385"/>
      <c r="AT20" s="398"/>
      <c r="AU20" s="382" t="s">
        <v>6335</v>
      </c>
      <c r="AV20" s="382">
        <v>1</v>
      </c>
      <c r="AW20" s="1411">
        <v>1</v>
      </c>
      <c r="AX20" s="1411">
        <v>0</v>
      </c>
      <c r="AY20" s="1410">
        <v>1</v>
      </c>
      <c r="AZ20" s="1410">
        <v>0</v>
      </c>
      <c r="BA20" s="382">
        <v>2</v>
      </c>
      <c r="BB20" s="382">
        <v>2</v>
      </c>
      <c r="BC20" s="382">
        <v>3</v>
      </c>
      <c r="BD20" s="382">
        <v>0</v>
      </c>
      <c r="BE20" s="382">
        <v>1</v>
      </c>
      <c r="BF20" s="382">
        <v>1</v>
      </c>
      <c r="BI20" s="1068" t="s">
        <v>6334</v>
      </c>
      <c r="BJ20" s="435">
        <v>5</v>
      </c>
      <c r="BK20" s="872">
        <v>4</v>
      </c>
      <c r="BL20" s="872">
        <v>0</v>
      </c>
      <c r="BM20" s="872">
        <v>0</v>
      </c>
      <c r="BN20" s="872">
        <v>0</v>
      </c>
      <c r="BO20" s="872">
        <v>0</v>
      </c>
      <c r="BP20" s="435">
        <v>0</v>
      </c>
      <c r="BQ20" s="435">
        <v>0</v>
      </c>
      <c r="BR20" s="435">
        <v>1</v>
      </c>
      <c r="BS20" s="435">
        <v>2</v>
      </c>
      <c r="BT20" s="435">
        <v>0</v>
      </c>
      <c r="BU20" s="463"/>
      <c r="BV20" s="439"/>
    </row>
    <row r="21" spans="1:74">
      <c r="A21" s="811"/>
      <c r="B21" s="398"/>
      <c r="C21" s="811"/>
      <c r="D21" s="398"/>
      <c r="E21" s="398"/>
      <c r="F21" s="398"/>
      <c r="G21" s="398"/>
      <c r="H21" s="398"/>
      <c r="I21" s="398"/>
      <c r="J21" s="398"/>
      <c r="K21" s="398"/>
      <c r="L21" s="398"/>
      <c r="M21" s="398"/>
      <c r="N21" s="398"/>
      <c r="O21" s="781" t="s">
        <v>6301</v>
      </c>
      <c r="P21" s="781">
        <v>0</v>
      </c>
      <c r="Q21" s="781">
        <v>0</v>
      </c>
      <c r="R21" s="781">
        <v>0</v>
      </c>
      <c r="S21" s="781">
        <v>0</v>
      </c>
      <c r="T21" s="781">
        <v>0</v>
      </c>
      <c r="U21" s="781">
        <v>0</v>
      </c>
      <c r="V21" s="781">
        <v>0</v>
      </c>
      <c r="W21" s="781">
        <v>0</v>
      </c>
      <c r="X21" s="781">
        <v>0</v>
      </c>
      <c r="Y21" s="781">
        <v>0</v>
      </c>
      <c r="Z21" s="781">
        <v>0</v>
      </c>
      <c r="AA21" s="781">
        <v>0</v>
      </c>
      <c r="AB21" s="781">
        <v>0</v>
      </c>
      <c r="AC21" s="781">
        <v>0</v>
      </c>
      <c r="AD21" s="781">
        <v>0</v>
      </c>
      <c r="AE21" s="1412"/>
      <c r="AF21" s="398"/>
      <c r="AG21" s="811"/>
      <c r="AH21" s="398"/>
      <c r="AI21" s="811"/>
      <c r="AN21" s="398"/>
      <c r="AO21" s="398"/>
      <c r="AT21" s="398"/>
      <c r="AU21" s="382" t="s">
        <v>6333</v>
      </c>
      <c r="AV21" s="382">
        <v>0</v>
      </c>
      <c r="AW21" s="1411">
        <v>0</v>
      </c>
      <c r="AX21" s="1411">
        <v>0</v>
      </c>
      <c r="AY21" s="1410">
        <v>0</v>
      </c>
      <c r="AZ21" s="1410">
        <v>0</v>
      </c>
      <c r="BA21" s="382">
        <v>0</v>
      </c>
      <c r="BB21" s="382">
        <v>1</v>
      </c>
      <c r="BC21" s="382">
        <v>0</v>
      </c>
      <c r="BD21" s="382">
        <v>0</v>
      </c>
      <c r="BE21" s="382">
        <v>0</v>
      </c>
      <c r="BF21" s="382">
        <v>0</v>
      </c>
      <c r="BI21" s="1068" t="s">
        <v>6332</v>
      </c>
      <c r="BJ21" s="435">
        <v>32</v>
      </c>
      <c r="BK21" s="872">
        <v>3</v>
      </c>
      <c r="BL21" s="872">
        <v>9</v>
      </c>
      <c r="BM21" s="872">
        <v>12</v>
      </c>
      <c r="BN21" s="872">
        <v>1</v>
      </c>
      <c r="BO21" s="872">
        <v>2</v>
      </c>
      <c r="BP21" s="435">
        <v>1</v>
      </c>
      <c r="BQ21" s="435">
        <v>2</v>
      </c>
      <c r="BR21" s="435">
        <v>3</v>
      </c>
      <c r="BS21" s="435">
        <v>4</v>
      </c>
      <c r="BT21" s="435">
        <v>0</v>
      </c>
      <c r="BU21" s="463"/>
    </row>
    <row r="22" spans="1:74">
      <c r="A22" s="811"/>
      <c r="B22" s="398"/>
      <c r="C22" s="398"/>
      <c r="D22" s="398"/>
      <c r="E22" s="398"/>
      <c r="F22" s="398"/>
      <c r="G22" s="398"/>
      <c r="H22" s="398"/>
      <c r="I22" s="398"/>
      <c r="J22" s="398"/>
      <c r="K22" s="398"/>
      <c r="L22" s="398"/>
      <c r="M22" s="398"/>
      <c r="N22" s="398"/>
      <c r="O22" s="781" t="s">
        <v>6331</v>
      </c>
      <c r="P22" s="781">
        <v>0</v>
      </c>
      <c r="Q22" s="781">
        <v>0</v>
      </c>
      <c r="R22" s="781">
        <v>0</v>
      </c>
      <c r="S22" s="781">
        <v>0</v>
      </c>
      <c r="T22" s="781">
        <v>0</v>
      </c>
      <c r="U22" s="781">
        <v>0</v>
      </c>
      <c r="V22" s="781">
        <v>0</v>
      </c>
      <c r="W22" s="781">
        <v>0</v>
      </c>
      <c r="X22" s="781">
        <v>0</v>
      </c>
      <c r="Y22" s="781">
        <v>0</v>
      </c>
      <c r="Z22" s="781">
        <v>0</v>
      </c>
      <c r="AA22" s="781">
        <v>0</v>
      </c>
      <c r="AB22" s="781">
        <v>0</v>
      </c>
      <c r="AC22" s="781">
        <v>0</v>
      </c>
      <c r="AD22" s="781">
        <v>0</v>
      </c>
      <c r="AE22" s="1412"/>
      <c r="AG22" s="811"/>
      <c r="AH22" s="398"/>
      <c r="AI22" s="398"/>
      <c r="AN22" s="398"/>
      <c r="AO22" s="398"/>
      <c r="AT22" s="398"/>
      <c r="AU22" s="382" t="s">
        <v>6330</v>
      </c>
      <c r="AV22" s="382">
        <v>0</v>
      </c>
      <c r="AW22" s="1411">
        <v>0</v>
      </c>
      <c r="AX22" s="1411">
        <v>0</v>
      </c>
      <c r="AY22" s="1410">
        <v>0</v>
      </c>
      <c r="AZ22" s="1410">
        <v>0</v>
      </c>
      <c r="BA22" s="382">
        <v>0</v>
      </c>
      <c r="BB22" s="382">
        <v>0</v>
      </c>
      <c r="BC22" s="382">
        <v>0</v>
      </c>
      <c r="BD22" s="382">
        <v>0</v>
      </c>
      <c r="BE22" s="382">
        <v>0</v>
      </c>
      <c r="BF22" s="382">
        <v>0</v>
      </c>
      <c r="BI22" s="1068" t="s">
        <v>6329</v>
      </c>
      <c r="BJ22" s="435">
        <v>0</v>
      </c>
      <c r="BK22" s="872">
        <v>0</v>
      </c>
      <c r="BL22" s="872">
        <v>0</v>
      </c>
      <c r="BM22" s="872">
        <v>0</v>
      </c>
      <c r="BN22" s="872">
        <v>0</v>
      </c>
      <c r="BO22" s="872">
        <v>1</v>
      </c>
      <c r="BP22" s="435">
        <v>0</v>
      </c>
      <c r="BQ22" s="435">
        <v>0</v>
      </c>
      <c r="BR22" s="435">
        <v>0</v>
      </c>
      <c r="BS22" s="435">
        <v>0</v>
      </c>
      <c r="BT22" s="435">
        <v>0</v>
      </c>
      <c r="BU22" s="463"/>
    </row>
    <row r="23" spans="1:74">
      <c r="A23" s="811"/>
      <c r="B23" s="398"/>
      <c r="C23" s="398"/>
      <c r="D23" s="398"/>
      <c r="E23" s="398"/>
      <c r="F23" s="398"/>
      <c r="G23" s="398"/>
      <c r="H23" s="398"/>
      <c r="I23" s="398"/>
      <c r="J23" s="398"/>
      <c r="K23" s="398"/>
      <c r="L23" s="398"/>
      <c r="M23" s="398"/>
      <c r="N23" s="398"/>
      <c r="O23" s="781" t="s">
        <v>2649</v>
      </c>
      <c r="P23" s="781">
        <v>1</v>
      </c>
      <c r="Q23" s="781">
        <v>0</v>
      </c>
      <c r="R23" s="781">
        <v>1</v>
      </c>
      <c r="S23" s="781">
        <v>1</v>
      </c>
      <c r="T23" s="781">
        <v>1</v>
      </c>
      <c r="U23" s="781">
        <v>0</v>
      </c>
      <c r="V23" s="781">
        <v>0</v>
      </c>
      <c r="W23" s="781">
        <v>0</v>
      </c>
      <c r="X23" s="781">
        <v>0</v>
      </c>
      <c r="Y23" s="781">
        <v>1</v>
      </c>
      <c r="Z23" s="781">
        <v>1</v>
      </c>
      <c r="AA23" s="781">
        <v>0</v>
      </c>
      <c r="AB23" s="781">
        <v>2</v>
      </c>
      <c r="AC23" s="781">
        <v>1</v>
      </c>
      <c r="AD23" s="781">
        <v>1</v>
      </c>
      <c r="AE23" s="398"/>
      <c r="AG23" s="811"/>
      <c r="AH23" s="398"/>
      <c r="AI23" s="398"/>
      <c r="AN23" s="398"/>
      <c r="AO23" s="398"/>
      <c r="AU23" s="382" t="s">
        <v>6328</v>
      </c>
      <c r="AV23" s="382">
        <v>0</v>
      </c>
      <c r="AW23" s="1411">
        <v>0</v>
      </c>
      <c r="AX23" s="1411">
        <v>0</v>
      </c>
      <c r="AY23" s="1410">
        <v>0</v>
      </c>
      <c r="AZ23" s="1410">
        <v>0</v>
      </c>
      <c r="BA23" s="382">
        <v>0</v>
      </c>
      <c r="BB23" s="382">
        <v>1</v>
      </c>
      <c r="BC23" s="382">
        <v>0</v>
      </c>
      <c r="BD23" s="382">
        <v>0</v>
      </c>
      <c r="BE23" s="382">
        <v>0</v>
      </c>
      <c r="BF23" s="382">
        <v>0</v>
      </c>
      <c r="BH23" s="398"/>
      <c r="BI23" s="1068" t="s">
        <v>6327</v>
      </c>
      <c r="BJ23" s="435">
        <v>11</v>
      </c>
      <c r="BK23" s="872">
        <v>0</v>
      </c>
      <c r="BL23" s="872">
        <v>0</v>
      </c>
      <c r="BM23" s="872">
        <v>0</v>
      </c>
      <c r="BN23" s="872">
        <v>0</v>
      </c>
      <c r="BO23" s="872">
        <v>0</v>
      </c>
      <c r="BP23" s="435">
        <v>0</v>
      </c>
      <c r="BQ23" s="435">
        <v>0</v>
      </c>
      <c r="BR23" s="435">
        <v>0</v>
      </c>
      <c r="BS23" s="435">
        <v>0</v>
      </c>
      <c r="BT23" s="435">
        <v>1</v>
      </c>
      <c r="BU23" s="463"/>
    </row>
    <row r="24" spans="1:74">
      <c r="A24" s="811"/>
      <c r="B24" s="398"/>
      <c r="C24" s="398"/>
      <c r="D24" s="398"/>
      <c r="E24" s="398"/>
      <c r="F24" s="398"/>
      <c r="G24" s="398"/>
      <c r="H24" s="398"/>
      <c r="I24" s="398"/>
      <c r="J24" s="398"/>
      <c r="K24" s="398"/>
      <c r="L24" s="398"/>
      <c r="M24" s="398"/>
      <c r="N24" s="398"/>
      <c r="O24" s="781" t="s">
        <v>6326</v>
      </c>
      <c r="P24" s="781">
        <v>0</v>
      </c>
      <c r="Q24" s="781">
        <v>0</v>
      </c>
      <c r="R24" s="781">
        <v>0</v>
      </c>
      <c r="S24" s="781">
        <v>0</v>
      </c>
      <c r="T24" s="781">
        <v>0</v>
      </c>
      <c r="U24" s="781">
        <v>0</v>
      </c>
      <c r="V24" s="781">
        <v>0</v>
      </c>
      <c r="W24" s="781">
        <v>0</v>
      </c>
      <c r="X24" s="781">
        <v>0</v>
      </c>
      <c r="Y24" s="781">
        <v>0</v>
      </c>
      <c r="Z24" s="781">
        <v>0</v>
      </c>
      <c r="AA24" s="781">
        <v>0</v>
      </c>
      <c r="AB24" s="781">
        <v>0</v>
      </c>
      <c r="AC24" s="781">
        <v>0</v>
      </c>
      <c r="AD24" s="781">
        <v>0</v>
      </c>
      <c r="AE24" s="398"/>
      <c r="AG24" s="811"/>
      <c r="AH24" s="398"/>
      <c r="AI24" s="398"/>
      <c r="AN24" s="398"/>
      <c r="AO24" s="398"/>
      <c r="AU24" s="382" t="s">
        <v>6325</v>
      </c>
      <c r="AV24" s="382">
        <v>0</v>
      </c>
      <c r="AW24" s="1411">
        <v>0</v>
      </c>
      <c r="AX24" s="1411">
        <v>0</v>
      </c>
      <c r="AY24" s="1410">
        <v>0</v>
      </c>
      <c r="AZ24" s="1410">
        <v>0</v>
      </c>
      <c r="BA24" s="382">
        <v>0</v>
      </c>
      <c r="BB24" s="382">
        <v>0</v>
      </c>
      <c r="BC24" s="382">
        <v>0</v>
      </c>
      <c r="BD24" s="382">
        <v>0</v>
      </c>
      <c r="BE24" s="382">
        <v>0</v>
      </c>
      <c r="BF24" s="382">
        <v>0</v>
      </c>
      <c r="BH24" s="398"/>
      <c r="BI24" s="1416" t="s">
        <v>6324</v>
      </c>
      <c r="BJ24" s="556">
        <v>8</v>
      </c>
      <c r="BK24" s="1415">
        <v>0</v>
      </c>
      <c r="BL24" s="1415">
        <v>0</v>
      </c>
      <c r="BM24" s="1415">
        <v>1</v>
      </c>
      <c r="BN24" s="1415">
        <v>0</v>
      </c>
      <c r="BO24" s="1415">
        <v>0</v>
      </c>
      <c r="BP24" s="556">
        <v>0</v>
      </c>
      <c r="BQ24" s="556">
        <v>0</v>
      </c>
      <c r="BR24" s="556">
        <v>0</v>
      </c>
      <c r="BS24" s="556">
        <v>0</v>
      </c>
      <c r="BT24" s="556">
        <v>0</v>
      </c>
    </row>
    <row r="25" spans="1:74">
      <c r="A25" s="811"/>
      <c r="B25" s="398"/>
      <c r="C25" s="398"/>
      <c r="D25" s="398"/>
      <c r="E25" s="398"/>
      <c r="F25" s="398"/>
      <c r="G25" s="398"/>
      <c r="H25" s="398"/>
      <c r="I25" s="398"/>
      <c r="J25" s="398"/>
      <c r="K25" s="398"/>
      <c r="L25" s="398"/>
      <c r="M25" s="398"/>
      <c r="N25" s="398"/>
      <c r="O25" s="682" t="s">
        <v>1708</v>
      </c>
      <c r="P25" s="682">
        <v>1</v>
      </c>
      <c r="Q25" s="682">
        <v>1</v>
      </c>
      <c r="R25" s="682">
        <v>0</v>
      </c>
      <c r="S25" s="682">
        <v>3</v>
      </c>
      <c r="T25" s="682">
        <v>2</v>
      </c>
      <c r="U25" s="682">
        <v>1</v>
      </c>
      <c r="V25" s="682">
        <v>1</v>
      </c>
      <c r="W25" s="682">
        <v>1</v>
      </c>
      <c r="X25" s="682">
        <v>0</v>
      </c>
      <c r="Y25" s="682">
        <v>1</v>
      </c>
      <c r="Z25" s="682">
        <v>1</v>
      </c>
      <c r="AA25" s="682">
        <v>0</v>
      </c>
      <c r="AB25" s="682">
        <v>2</v>
      </c>
      <c r="AC25" s="682">
        <v>2</v>
      </c>
      <c r="AD25" s="682">
        <v>0</v>
      </c>
      <c r="AE25" s="398"/>
      <c r="AG25" s="398"/>
      <c r="AH25" s="398"/>
      <c r="AI25" s="398"/>
      <c r="AN25" s="398"/>
      <c r="AO25" s="398"/>
      <c r="AU25" s="382" t="s">
        <v>6323</v>
      </c>
      <c r="AV25" s="382">
        <v>0</v>
      </c>
      <c r="AW25" s="1411">
        <v>0</v>
      </c>
      <c r="AX25" s="1411">
        <v>0</v>
      </c>
      <c r="AY25" s="1410">
        <v>0</v>
      </c>
      <c r="AZ25" s="1410">
        <v>0</v>
      </c>
      <c r="BA25" s="382">
        <v>0</v>
      </c>
      <c r="BB25" s="382">
        <v>0</v>
      </c>
      <c r="BC25" s="382">
        <v>0</v>
      </c>
      <c r="BD25" s="382">
        <v>0</v>
      </c>
      <c r="BE25" s="382">
        <v>0</v>
      </c>
      <c r="BF25" s="382">
        <v>0</v>
      </c>
      <c r="BH25" s="398"/>
      <c r="BI25" s="1414" t="s">
        <v>6322</v>
      </c>
      <c r="BJ25" s="1414"/>
      <c r="BK25" s="1414"/>
      <c r="BN25" s="398"/>
      <c r="BO25" s="398"/>
      <c r="BP25" s="398"/>
    </row>
    <row r="26" spans="1:74">
      <c r="A26" s="811"/>
      <c r="B26" s="398"/>
      <c r="C26" s="398"/>
      <c r="D26" s="398"/>
      <c r="E26" s="398"/>
      <c r="F26" s="398"/>
      <c r="G26" s="398"/>
      <c r="H26" s="398"/>
      <c r="I26" s="398"/>
      <c r="J26" s="398"/>
      <c r="K26" s="398"/>
      <c r="L26" s="398"/>
      <c r="M26" s="398"/>
      <c r="N26" s="398"/>
      <c r="O26" s="781" t="s">
        <v>6321</v>
      </c>
      <c r="P26" s="781"/>
      <c r="Q26" s="781"/>
      <c r="R26" s="781"/>
      <c r="S26" s="1412"/>
      <c r="T26" s="1412"/>
      <c r="U26" s="1412"/>
      <c r="V26" s="1412"/>
      <c r="W26" s="1412"/>
      <c r="X26" s="1412"/>
      <c r="Y26" s="1412"/>
      <c r="Z26" s="1412"/>
      <c r="AA26" s="1412"/>
      <c r="AB26" s="1412"/>
      <c r="AC26" s="1412"/>
      <c r="AD26" s="1412"/>
      <c r="AE26" s="398"/>
      <c r="AG26" s="398"/>
      <c r="AH26" s="398"/>
      <c r="AI26" s="398"/>
      <c r="AN26" s="398"/>
      <c r="AO26" s="398"/>
      <c r="AU26" s="382" t="s">
        <v>6320</v>
      </c>
      <c r="AV26" s="382">
        <v>1</v>
      </c>
      <c r="AW26" s="1411">
        <v>0</v>
      </c>
      <c r="AX26" s="1411">
        <v>1</v>
      </c>
      <c r="AY26" s="1410">
        <v>1</v>
      </c>
      <c r="AZ26" s="1410">
        <v>1</v>
      </c>
      <c r="BA26" s="382">
        <v>0</v>
      </c>
      <c r="BB26" s="382">
        <v>0</v>
      </c>
      <c r="BC26" s="382">
        <v>2</v>
      </c>
      <c r="BD26" s="382">
        <v>0</v>
      </c>
      <c r="BE26" s="382">
        <v>0</v>
      </c>
      <c r="BF26" s="382">
        <v>1</v>
      </c>
      <c r="BH26" s="398"/>
    </row>
    <row r="27" spans="1:74">
      <c r="A27" s="398"/>
      <c r="B27" s="398"/>
      <c r="C27" s="398"/>
      <c r="D27" s="398"/>
      <c r="E27" s="398"/>
      <c r="F27" s="398"/>
      <c r="G27" s="398"/>
      <c r="H27" s="398"/>
      <c r="I27" s="398"/>
      <c r="J27" s="398"/>
      <c r="K27" s="398"/>
      <c r="L27" s="398"/>
      <c r="M27" s="398"/>
      <c r="N27" s="398"/>
      <c r="O27" s="781" t="s">
        <v>6319</v>
      </c>
      <c r="P27" s="781"/>
      <c r="Q27" s="781"/>
      <c r="R27" s="781"/>
      <c r="S27" s="1412"/>
      <c r="T27" s="1412"/>
      <c r="U27" s="1412"/>
      <c r="V27" s="1412"/>
      <c r="W27" s="1412"/>
      <c r="X27" s="1412"/>
      <c r="Y27" s="1412"/>
      <c r="Z27" s="1412"/>
      <c r="AA27" s="1412"/>
      <c r="AB27" s="1412"/>
      <c r="AC27" s="1412"/>
      <c r="AD27" s="1412"/>
      <c r="AE27" s="398"/>
      <c r="AG27" s="398"/>
      <c r="AH27" s="398"/>
      <c r="AI27" s="398"/>
      <c r="AN27" s="398"/>
      <c r="AO27" s="398"/>
      <c r="AU27" s="382" t="s">
        <v>6318</v>
      </c>
      <c r="AV27" s="382">
        <v>0</v>
      </c>
      <c r="AW27" s="1411">
        <v>0</v>
      </c>
      <c r="AX27" s="1411">
        <v>0</v>
      </c>
      <c r="AY27" s="1410">
        <v>0</v>
      </c>
      <c r="AZ27" s="1410">
        <v>0</v>
      </c>
      <c r="BA27" s="382">
        <v>0</v>
      </c>
      <c r="BB27" s="382">
        <v>0</v>
      </c>
      <c r="BC27" s="382">
        <v>0</v>
      </c>
      <c r="BD27" s="382">
        <v>0</v>
      </c>
      <c r="BE27" s="382">
        <v>0</v>
      </c>
      <c r="BF27" s="398">
        <v>1</v>
      </c>
      <c r="BH27" s="398"/>
      <c r="BI27" s="1413"/>
      <c r="BJ27" s="1413"/>
      <c r="BK27" s="1413"/>
    </row>
    <row r="28" spans="1:74">
      <c r="A28" s="811"/>
      <c r="B28" s="398"/>
      <c r="O28" s="781" t="s">
        <v>6317</v>
      </c>
      <c r="P28" s="781"/>
      <c r="Q28" s="781"/>
      <c r="R28" s="781"/>
      <c r="S28" s="1412"/>
      <c r="T28" s="1412"/>
      <c r="U28" s="1412"/>
      <c r="V28" s="1412"/>
      <c r="W28" s="1412"/>
      <c r="X28" s="1412"/>
      <c r="Y28" s="1412"/>
      <c r="Z28" s="1412"/>
      <c r="AA28" s="1412"/>
      <c r="AB28" s="1412"/>
      <c r="AC28" s="1412"/>
      <c r="AD28" s="1412"/>
      <c r="AG28" s="398"/>
      <c r="AH28" s="398"/>
      <c r="AI28" s="398"/>
      <c r="AN28" s="398"/>
      <c r="AO28" s="398"/>
      <c r="AU28" s="382" t="s">
        <v>6316</v>
      </c>
      <c r="AV28" s="382">
        <v>0</v>
      </c>
      <c r="AW28" s="1411">
        <v>0</v>
      </c>
      <c r="AX28" s="1411">
        <v>0</v>
      </c>
      <c r="AY28" s="1410">
        <v>3</v>
      </c>
      <c r="AZ28" s="1410">
        <v>5</v>
      </c>
      <c r="BA28" s="382">
        <v>0</v>
      </c>
      <c r="BB28" s="382">
        <v>0</v>
      </c>
      <c r="BC28" s="382">
        <v>3</v>
      </c>
      <c r="BD28" s="382">
        <v>0</v>
      </c>
      <c r="BE28" s="382">
        <v>0</v>
      </c>
      <c r="BF28" s="398">
        <v>0</v>
      </c>
    </row>
    <row r="29" spans="1:74">
      <c r="A29" s="811"/>
      <c r="B29" s="398"/>
      <c r="O29" s="781"/>
      <c r="P29" s="781"/>
      <c r="Q29" s="781"/>
      <c r="R29" s="781"/>
      <c r="S29" s="1412"/>
      <c r="T29" s="1412"/>
      <c r="U29" s="1412"/>
      <c r="V29" s="1412"/>
      <c r="W29" s="1412"/>
      <c r="X29" s="1412"/>
      <c r="Y29" s="1412"/>
      <c r="Z29" s="1412"/>
      <c r="AA29" s="1412"/>
      <c r="AB29" s="1412"/>
      <c r="AC29" s="1412"/>
      <c r="AD29" s="1412"/>
      <c r="AG29" s="398"/>
      <c r="AH29" s="398"/>
      <c r="AI29" s="398"/>
      <c r="AN29" s="398"/>
      <c r="AO29" s="398"/>
      <c r="AU29" s="382" t="s">
        <v>6315</v>
      </c>
      <c r="AV29" s="382">
        <v>0</v>
      </c>
      <c r="AW29" s="1411">
        <v>0</v>
      </c>
      <c r="AX29" s="1411">
        <v>0</v>
      </c>
      <c r="AY29" s="1410">
        <v>0</v>
      </c>
      <c r="AZ29" s="1410">
        <v>0</v>
      </c>
      <c r="BA29" s="382">
        <v>0</v>
      </c>
      <c r="BB29" s="382">
        <v>0</v>
      </c>
      <c r="BC29" s="382">
        <v>1</v>
      </c>
      <c r="BD29" s="382">
        <v>0</v>
      </c>
      <c r="BE29" s="382">
        <v>0</v>
      </c>
      <c r="BF29" s="398">
        <v>0</v>
      </c>
      <c r="BI29" s="811"/>
      <c r="BJ29" s="398"/>
      <c r="BK29" s="398"/>
    </row>
    <row r="30" spans="1:74">
      <c r="A30" s="1407"/>
      <c r="B30" s="398"/>
      <c r="L30" s="385"/>
      <c r="M30" s="385"/>
      <c r="N30" s="385"/>
      <c r="AE30" s="414"/>
      <c r="AG30" s="398"/>
      <c r="AH30" s="398"/>
      <c r="AI30" s="398"/>
      <c r="AN30" s="398"/>
      <c r="AO30" s="398"/>
      <c r="AU30" s="382" t="s">
        <v>6314</v>
      </c>
      <c r="AV30" s="382">
        <v>1</v>
      </c>
      <c r="AW30" s="1409">
        <v>0</v>
      </c>
      <c r="AX30" s="1409">
        <v>0</v>
      </c>
      <c r="AY30" s="1408">
        <v>0</v>
      </c>
      <c r="AZ30" s="1408">
        <v>1</v>
      </c>
      <c r="BA30" s="398">
        <v>0</v>
      </c>
      <c r="BB30" s="398">
        <v>0</v>
      </c>
      <c r="BC30" s="398">
        <v>1</v>
      </c>
      <c r="BD30" s="382">
        <v>0</v>
      </c>
      <c r="BE30" s="382">
        <v>0</v>
      </c>
      <c r="BF30" s="398">
        <v>0</v>
      </c>
      <c r="BI30" s="811"/>
      <c r="BJ30" s="398"/>
      <c r="BK30" s="811"/>
    </row>
    <row r="31" spans="1:74">
      <c r="A31" s="398"/>
      <c r="B31" s="398"/>
      <c r="L31" s="398"/>
      <c r="M31" s="398"/>
      <c r="N31" s="398"/>
      <c r="AE31" s="385"/>
      <c r="AG31" s="398"/>
      <c r="AH31" s="398"/>
      <c r="AI31" s="398"/>
      <c r="AN31" s="398"/>
      <c r="AO31" s="398"/>
      <c r="AU31" s="709" t="s">
        <v>6313</v>
      </c>
      <c r="AV31" s="415"/>
      <c r="AW31" s="415"/>
      <c r="AX31" s="415"/>
      <c r="AY31" s="415"/>
      <c r="AZ31" s="415"/>
      <c r="BA31" s="415"/>
      <c r="BB31" s="415"/>
      <c r="BC31" s="415"/>
      <c r="BD31" s="415"/>
      <c r="BE31" s="415"/>
      <c r="BF31" s="415"/>
      <c r="BI31" s="811"/>
      <c r="BJ31" s="398"/>
      <c r="BK31" s="398"/>
      <c r="BL31" s="398"/>
      <c r="BM31" s="398"/>
      <c r="BN31" s="398"/>
      <c r="BO31" s="398"/>
      <c r="BP31" s="398"/>
      <c r="BQ31" s="398"/>
    </row>
    <row r="32" spans="1:74">
      <c r="A32" s="398"/>
      <c r="B32" s="398"/>
      <c r="L32" s="398"/>
      <c r="M32" s="398"/>
      <c r="N32" s="398"/>
      <c r="O32" s="811"/>
      <c r="P32" s="398"/>
      <c r="Q32" s="398"/>
      <c r="R32" s="398"/>
      <c r="AE32" s="398"/>
      <c r="AG32" s="398"/>
      <c r="AH32" s="398"/>
      <c r="AI32" s="398"/>
      <c r="AN32" s="398"/>
      <c r="AO32" s="398"/>
      <c r="AU32" s="382" t="s">
        <v>6312</v>
      </c>
      <c r="AW32" s="398"/>
      <c r="AX32" s="398"/>
      <c r="AY32" s="398"/>
      <c r="AZ32" s="398"/>
      <c r="BA32" s="398"/>
      <c r="BB32" s="398"/>
      <c r="BC32" s="398"/>
      <c r="BI32" s="811"/>
      <c r="BJ32" s="398"/>
      <c r="BK32" s="398"/>
      <c r="BL32" s="398"/>
      <c r="BM32" s="398"/>
      <c r="BN32" s="398"/>
      <c r="BO32" s="398"/>
      <c r="BP32" s="398"/>
      <c r="BQ32" s="398"/>
    </row>
    <row r="33" spans="1:69">
      <c r="A33" s="398"/>
      <c r="B33" s="398"/>
      <c r="L33" s="398"/>
      <c r="M33" s="398"/>
      <c r="N33" s="398"/>
      <c r="O33" s="811"/>
      <c r="P33" s="398"/>
      <c r="Q33" s="811"/>
      <c r="S33" s="2094"/>
      <c r="T33" s="2094"/>
      <c r="U33" s="2094"/>
      <c r="V33" s="2073"/>
      <c r="W33" s="2073"/>
      <c r="X33" s="2073"/>
      <c r="Y33" s="2073"/>
      <c r="Z33" s="2073"/>
      <c r="AA33" s="2073"/>
      <c r="AB33" s="2073"/>
      <c r="AC33" s="2073"/>
      <c r="AD33" s="2073"/>
      <c r="AG33" s="398"/>
      <c r="AH33" s="398"/>
      <c r="AI33" s="398"/>
      <c r="AN33" s="398"/>
      <c r="AO33" s="398"/>
      <c r="AU33" s="382" t="s">
        <v>1959</v>
      </c>
      <c r="AV33" s="398"/>
      <c r="AW33" s="398"/>
      <c r="AX33" s="398"/>
      <c r="AY33" s="398"/>
      <c r="AZ33" s="398"/>
      <c r="BA33" s="398"/>
      <c r="BB33" s="398"/>
      <c r="BC33" s="398"/>
      <c r="BD33" s="398"/>
      <c r="BE33" s="398"/>
      <c r="BF33" s="398"/>
      <c r="BG33" s="398"/>
      <c r="BI33" s="811"/>
      <c r="BJ33" s="398"/>
      <c r="BK33" s="398"/>
      <c r="BL33" s="398"/>
      <c r="BM33" s="398"/>
      <c r="BN33" s="398"/>
      <c r="BO33" s="398"/>
      <c r="BP33" s="398"/>
      <c r="BQ33" s="398"/>
    </row>
    <row r="34" spans="1:69">
      <c r="A34" s="398"/>
      <c r="B34" s="398"/>
      <c r="O34" s="811"/>
      <c r="P34" s="398"/>
      <c r="Q34" s="398"/>
      <c r="R34" s="398"/>
      <c r="S34" s="385"/>
      <c r="T34" s="439"/>
      <c r="U34" s="439"/>
      <c r="V34" s="385"/>
      <c r="W34" s="439"/>
      <c r="X34" s="439"/>
      <c r="Y34" s="385"/>
      <c r="Z34" s="439"/>
      <c r="AA34" s="439"/>
      <c r="AB34" s="385"/>
      <c r="AC34" s="439"/>
      <c r="AD34" s="439"/>
      <c r="AG34" s="398"/>
      <c r="AH34" s="398"/>
      <c r="AI34" s="398"/>
      <c r="AN34" s="398"/>
      <c r="AO34" s="398"/>
      <c r="AU34" s="398"/>
      <c r="AV34" s="398"/>
      <c r="AW34" s="398"/>
      <c r="AX34" s="398"/>
      <c r="AY34" s="398"/>
      <c r="AZ34" s="398"/>
      <c r="BA34" s="398"/>
      <c r="BI34" s="398"/>
      <c r="BJ34" s="398"/>
      <c r="BK34" s="398"/>
      <c r="BL34" s="398"/>
      <c r="BM34" s="398"/>
      <c r="BN34" s="398"/>
      <c r="BO34" s="398"/>
      <c r="BP34" s="398"/>
      <c r="BQ34" s="398"/>
    </row>
    <row r="35" spans="1:69">
      <c r="A35" s="1407"/>
      <c r="B35" s="398"/>
      <c r="O35" s="811"/>
      <c r="P35" s="398"/>
      <c r="Q35" s="398"/>
      <c r="R35" s="398"/>
      <c r="S35" s="398"/>
      <c r="T35" s="398"/>
      <c r="U35" s="398"/>
      <c r="V35" s="398"/>
      <c r="W35" s="398"/>
      <c r="X35" s="398"/>
      <c r="Y35" s="398"/>
      <c r="Z35" s="398"/>
      <c r="AA35" s="398"/>
      <c r="AB35" s="398"/>
      <c r="AC35" s="398"/>
      <c r="AD35" s="398"/>
      <c r="AG35" s="398"/>
      <c r="AH35" s="398"/>
      <c r="AI35" s="398"/>
      <c r="AN35" s="398"/>
      <c r="AO35" s="398"/>
      <c r="AU35" s="398"/>
      <c r="AV35" s="398"/>
      <c r="AW35" s="398"/>
      <c r="AX35" s="398"/>
      <c r="AY35" s="398"/>
      <c r="AZ35" s="398"/>
      <c r="BA35" s="398"/>
      <c r="BI35" s="398"/>
      <c r="BJ35" s="398"/>
      <c r="BK35" s="398"/>
      <c r="BL35" s="398"/>
      <c r="BM35" s="398"/>
      <c r="BN35" s="398"/>
      <c r="BO35" s="398"/>
      <c r="BP35" s="398"/>
      <c r="BQ35" s="398"/>
    </row>
    <row r="36" spans="1:69">
      <c r="A36" s="811"/>
      <c r="B36" s="398"/>
      <c r="O36" s="811"/>
      <c r="P36" s="398"/>
      <c r="Q36" s="398"/>
      <c r="R36" s="398"/>
      <c r="AE36" s="398"/>
      <c r="AG36" s="398"/>
      <c r="AH36" s="398"/>
      <c r="AI36" s="398"/>
      <c r="AU36" s="398"/>
      <c r="AV36" s="398"/>
      <c r="AW36" s="398"/>
      <c r="AX36" s="398"/>
      <c r="AY36" s="398"/>
      <c r="AZ36" s="398"/>
      <c r="BA36" s="398"/>
      <c r="BI36" s="398"/>
      <c r="BJ36" s="398"/>
      <c r="BK36" s="398"/>
      <c r="BL36" s="398"/>
      <c r="BM36" s="398"/>
      <c r="BN36" s="398"/>
      <c r="BO36" s="398"/>
      <c r="BP36" s="398"/>
      <c r="BQ36" s="398"/>
    </row>
    <row r="37" spans="1:69" ht="12" customHeight="1">
      <c r="A37" s="811"/>
      <c r="B37" s="398"/>
      <c r="O37" s="398"/>
      <c r="P37" s="398"/>
      <c r="Q37" s="398"/>
      <c r="R37" s="398"/>
      <c r="AG37" s="398"/>
      <c r="AH37" s="398"/>
      <c r="AI37" s="398"/>
      <c r="AU37" s="811"/>
      <c r="AV37" s="398"/>
      <c r="AW37" s="398"/>
      <c r="AX37" s="398"/>
      <c r="AY37" s="398"/>
      <c r="AZ37" s="398"/>
      <c r="BA37" s="398"/>
      <c r="BI37" s="398"/>
      <c r="BJ37" s="398"/>
      <c r="BK37" s="398"/>
      <c r="BL37" s="398"/>
      <c r="BM37" s="398"/>
      <c r="BN37" s="398"/>
      <c r="BO37" s="398"/>
      <c r="BP37" s="398"/>
      <c r="BQ37" s="398"/>
    </row>
    <row r="38" spans="1:69" ht="12" customHeight="1">
      <c r="A38" s="398"/>
      <c r="B38" s="398"/>
      <c r="O38" s="398"/>
      <c r="P38" s="398"/>
      <c r="Q38" s="398"/>
      <c r="R38" s="398"/>
      <c r="AE38" s="398"/>
      <c r="AU38" s="811"/>
      <c r="AV38" s="398"/>
      <c r="AW38" s="811"/>
      <c r="AX38" s="398"/>
      <c r="AY38" s="398"/>
      <c r="AZ38" s="398"/>
      <c r="BA38" s="398"/>
      <c r="BI38" s="398"/>
      <c r="BJ38" s="398"/>
      <c r="BK38" s="398"/>
      <c r="BL38" s="398"/>
      <c r="BM38" s="398"/>
      <c r="BN38" s="398"/>
      <c r="BO38" s="398"/>
      <c r="BP38" s="398"/>
      <c r="BQ38" s="398"/>
    </row>
    <row r="39" spans="1:69" ht="12" customHeight="1">
      <c r="A39" s="811"/>
      <c r="B39" s="398"/>
      <c r="L39" s="385"/>
      <c r="M39" s="385"/>
      <c r="N39" s="385"/>
      <c r="O39" s="398"/>
      <c r="P39" s="398"/>
      <c r="Q39" s="398"/>
      <c r="R39" s="398"/>
      <c r="S39" s="398"/>
      <c r="U39" s="398"/>
      <c r="V39" s="398"/>
      <c r="W39" s="398"/>
      <c r="X39" s="398"/>
      <c r="Y39" s="398"/>
      <c r="Z39" s="398"/>
      <c r="AA39" s="398"/>
      <c r="AB39" s="398"/>
      <c r="AU39" s="811"/>
      <c r="AV39" s="398"/>
      <c r="AW39" s="398"/>
      <c r="AX39" s="398"/>
      <c r="AY39" s="398"/>
      <c r="AZ39" s="398"/>
      <c r="BA39" s="398"/>
      <c r="BI39" s="398"/>
      <c r="BJ39" s="398"/>
      <c r="BK39" s="398"/>
      <c r="BL39" s="398"/>
      <c r="BM39" s="398"/>
      <c r="BN39" s="398"/>
      <c r="BO39" s="398"/>
      <c r="BP39" s="398"/>
      <c r="BQ39" s="398"/>
    </row>
    <row r="40" spans="1:69" ht="12" customHeight="1">
      <c r="A40" s="398"/>
      <c r="B40" s="398"/>
      <c r="L40" s="398"/>
      <c r="M40" s="398"/>
      <c r="N40" s="398"/>
      <c r="O40" s="781"/>
      <c r="P40" s="781"/>
      <c r="Q40" s="781"/>
      <c r="R40" s="781"/>
      <c r="AE40" s="398"/>
      <c r="AU40" s="811"/>
      <c r="AV40" s="398"/>
      <c r="AW40" s="398"/>
      <c r="AX40" s="398"/>
      <c r="AY40" s="398"/>
      <c r="AZ40" s="398"/>
      <c r="BA40" s="398"/>
      <c r="BI40" s="398"/>
      <c r="BJ40" s="398"/>
      <c r="BK40" s="398"/>
      <c r="BL40" s="398"/>
      <c r="BM40" s="398"/>
      <c r="BN40" s="398"/>
      <c r="BO40" s="398"/>
      <c r="BP40" s="398"/>
      <c r="BQ40" s="398"/>
    </row>
    <row r="41" spans="1:69" ht="12" customHeight="1">
      <c r="A41" s="398"/>
      <c r="B41" s="398"/>
      <c r="L41" s="398"/>
      <c r="M41" s="398"/>
      <c r="N41" s="398"/>
      <c r="O41" s="398"/>
      <c r="P41" s="398"/>
      <c r="Q41" s="398"/>
      <c r="R41" s="398"/>
      <c r="S41" s="398"/>
      <c r="U41" s="398"/>
      <c r="V41" s="398"/>
      <c r="W41" s="398"/>
      <c r="X41" s="398"/>
      <c r="Y41" s="398"/>
      <c r="Z41" s="398"/>
      <c r="AA41" s="398"/>
      <c r="AB41" s="398"/>
      <c r="AE41" s="398"/>
      <c r="AU41" s="811"/>
      <c r="AV41" s="398"/>
      <c r="AW41" s="398"/>
      <c r="AX41" s="398"/>
      <c r="AY41" s="398"/>
      <c r="AZ41" s="398"/>
      <c r="BA41" s="398"/>
      <c r="BI41" s="398"/>
      <c r="BJ41" s="398"/>
      <c r="BK41" s="398"/>
      <c r="BL41" s="398"/>
      <c r="BM41" s="398"/>
      <c r="BN41" s="398"/>
      <c r="BO41" s="398"/>
      <c r="BP41" s="398"/>
      <c r="BQ41" s="398"/>
    </row>
    <row r="42" spans="1:69" ht="12" customHeight="1">
      <c r="A42" s="398"/>
      <c r="B42" s="398"/>
      <c r="L42" s="398"/>
      <c r="M42" s="398"/>
      <c r="N42" s="398"/>
      <c r="O42" s="398"/>
      <c r="P42" s="398"/>
      <c r="Q42" s="398"/>
      <c r="R42" s="398"/>
      <c r="S42" s="398"/>
      <c r="U42" s="398"/>
      <c r="V42" s="398"/>
      <c r="W42" s="398"/>
      <c r="X42" s="398"/>
      <c r="Y42" s="398"/>
      <c r="Z42" s="398"/>
      <c r="AA42" s="398"/>
      <c r="AB42" s="398"/>
      <c r="AE42" s="398"/>
      <c r="AU42" s="398"/>
      <c r="AV42" s="398"/>
      <c r="AW42" s="398"/>
      <c r="AX42" s="398"/>
      <c r="AY42" s="398"/>
      <c r="AZ42" s="398"/>
      <c r="BA42" s="398"/>
      <c r="BI42" s="398"/>
      <c r="BJ42" s="398"/>
      <c r="BK42" s="398"/>
      <c r="BL42" s="398"/>
      <c r="BM42" s="398"/>
      <c r="BN42" s="398"/>
      <c r="BO42" s="398"/>
      <c r="BP42" s="398"/>
      <c r="BQ42" s="398"/>
    </row>
    <row r="43" spans="1:69" ht="12" customHeight="1">
      <c r="A43" s="1407"/>
      <c r="B43" s="398"/>
      <c r="L43" s="398"/>
      <c r="M43" s="398"/>
      <c r="N43" s="398"/>
      <c r="O43" s="398"/>
      <c r="P43" s="398"/>
      <c r="Q43" s="398"/>
      <c r="R43" s="398"/>
      <c r="S43" s="398"/>
      <c r="U43" s="398"/>
      <c r="V43" s="398"/>
      <c r="W43" s="398"/>
      <c r="X43" s="398"/>
      <c r="Y43" s="398"/>
      <c r="Z43" s="398"/>
      <c r="AA43" s="398"/>
      <c r="AB43" s="398"/>
      <c r="AE43" s="398"/>
      <c r="AU43" s="398"/>
      <c r="AV43" s="398"/>
      <c r="AW43" s="398"/>
      <c r="AX43" s="398"/>
      <c r="AY43" s="398"/>
      <c r="AZ43" s="398"/>
      <c r="BA43" s="398"/>
      <c r="BI43" s="398"/>
      <c r="BJ43" s="398"/>
      <c r="BK43" s="398"/>
      <c r="BL43" s="398"/>
      <c r="BM43" s="398"/>
      <c r="BN43" s="398"/>
      <c r="BO43" s="398"/>
      <c r="BP43" s="398"/>
      <c r="BQ43" s="398"/>
    </row>
    <row r="44" spans="1:69" ht="12" customHeight="1">
      <c r="L44" s="398"/>
      <c r="M44" s="398"/>
      <c r="N44" s="398"/>
      <c r="O44" s="398"/>
      <c r="P44" s="398"/>
      <c r="Q44" s="398"/>
      <c r="R44" s="398"/>
      <c r="S44" s="398"/>
      <c r="U44" s="398"/>
      <c r="V44" s="398"/>
      <c r="W44" s="398"/>
      <c r="X44" s="398"/>
      <c r="Y44" s="398"/>
      <c r="Z44" s="398"/>
      <c r="AA44" s="398"/>
      <c r="AB44" s="398"/>
      <c r="AE44" s="398"/>
      <c r="AU44" s="398"/>
      <c r="AV44" s="398"/>
      <c r="AW44" s="398"/>
      <c r="AX44" s="398"/>
      <c r="AY44" s="398"/>
      <c r="AZ44" s="398"/>
      <c r="BA44" s="398"/>
      <c r="BI44" s="398"/>
      <c r="BJ44" s="398"/>
      <c r="BK44" s="398"/>
      <c r="BL44" s="398"/>
      <c r="BM44" s="398"/>
      <c r="BN44" s="398"/>
      <c r="BO44" s="398"/>
      <c r="BP44" s="398"/>
      <c r="BQ44" s="398"/>
    </row>
    <row r="45" spans="1:69" ht="12" customHeight="1">
      <c r="L45" s="398"/>
      <c r="M45" s="398"/>
      <c r="N45" s="398"/>
      <c r="O45" s="398"/>
      <c r="P45" s="398"/>
      <c r="Q45" s="398"/>
      <c r="R45" s="398"/>
      <c r="S45" s="398"/>
      <c r="U45" s="398"/>
      <c r="V45" s="398"/>
      <c r="W45" s="398"/>
      <c r="X45" s="398"/>
      <c r="Y45" s="398"/>
      <c r="Z45" s="398"/>
      <c r="AA45" s="398"/>
      <c r="AB45" s="398"/>
      <c r="AE45" s="398"/>
      <c r="AU45" s="398"/>
      <c r="AV45" s="398"/>
      <c r="AW45" s="398"/>
      <c r="AX45" s="398"/>
      <c r="AY45" s="398"/>
      <c r="AZ45" s="398"/>
      <c r="BA45" s="398"/>
      <c r="BI45" s="398"/>
      <c r="BJ45" s="398"/>
      <c r="BK45" s="398"/>
      <c r="BL45" s="398"/>
      <c r="BM45" s="398"/>
      <c r="BN45" s="398"/>
      <c r="BO45" s="398"/>
      <c r="BP45" s="398"/>
      <c r="BQ45" s="398"/>
    </row>
    <row r="46" spans="1:69" ht="12" customHeight="1">
      <c r="L46" s="398"/>
      <c r="M46" s="398"/>
      <c r="N46" s="398"/>
      <c r="O46" s="398"/>
      <c r="P46" s="398"/>
      <c r="Q46" s="398"/>
      <c r="R46" s="398"/>
      <c r="S46" s="398"/>
      <c r="U46" s="398"/>
      <c r="V46" s="398"/>
      <c r="W46" s="398"/>
      <c r="X46" s="398"/>
      <c r="Y46" s="398"/>
      <c r="Z46" s="398"/>
      <c r="AA46" s="398"/>
      <c r="AB46" s="398"/>
      <c r="AE46" s="398"/>
      <c r="AF46" s="402"/>
      <c r="AU46" s="398"/>
      <c r="AV46" s="398"/>
      <c r="AW46" s="398"/>
      <c r="AX46" s="398"/>
      <c r="AY46" s="398"/>
      <c r="AZ46" s="398"/>
      <c r="BA46" s="398"/>
      <c r="BB46" s="398"/>
      <c r="BC46" s="398"/>
      <c r="BI46" s="398"/>
      <c r="BJ46" s="398"/>
      <c r="BK46" s="398"/>
      <c r="BL46" s="398"/>
      <c r="BM46" s="398"/>
      <c r="BN46" s="398"/>
      <c r="BO46" s="398"/>
      <c r="BP46" s="398"/>
      <c r="BQ46" s="398"/>
    </row>
    <row r="47" spans="1:69" ht="12" customHeight="1">
      <c r="L47" s="398"/>
      <c r="M47" s="398"/>
      <c r="N47" s="398"/>
      <c r="O47" s="398"/>
      <c r="P47" s="398"/>
      <c r="Q47" s="398"/>
      <c r="R47" s="398"/>
      <c r="S47" s="398"/>
      <c r="U47" s="398"/>
      <c r="V47" s="398"/>
      <c r="W47" s="398"/>
      <c r="X47" s="398"/>
      <c r="Y47" s="398"/>
      <c r="Z47" s="398"/>
      <c r="AA47" s="398"/>
      <c r="AB47" s="398"/>
      <c r="AE47" s="398"/>
      <c r="AF47" s="439"/>
      <c r="AU47" s="398"/>
      <c r="AV47" s="398"/>
      <c r="AW47" s="398"/>
      <c r="AX47" s="398"/>
      <c r="AY47" s="398"/>
      <c r="AZ47" s="398"/>
      <c r="BA47" s="398"/>
      <c r="BI47" s="398"/>
      <c r="BJ47" s="398"/>
      <c r="BK47" s="398"/>
      <c r="BL47" s="398"/>
      <c r="BM47" s="398"/>
      <c r="BN47" s="398"/>
      <c r="BO47" s="398"/>
      <c r="BP47" s="398"/>
      <c r="BQ47" s="398"/>
    </row>
    <row r="48" spans="1:69" ht="12" customHeight="1">
      <c r="O48" s="398"/>
      <c r="P48" s="398"/>
      <c r="Q48" s="398"/>
      <c r="R48" s="398"/>
      <c r="U48" s="398"/>
      <c r="V48" s="398"/>
      <c r="W48" s="398"/>
      <c r="X48" s="398"/>
      <c r="Y48" s="398"/>
      <c r="Z48" s="398"/>
      <c r="AA48" s="398"/>
      <c r="AB48" s="398"/>
      <c r="AE48" s="398"/>
      <c r="AU48" s="398"/>
      <c r="AV48" s="398"/>
      <c r="AW48" s="398"/>
      <c r="AX48" s="398"/>
      <c r="AY48" s="398"/>
      <c r="AZ48" s="398"/>
      <c r="BA48" s="398"/>
      <c r="BB48" s="398"/>
      <c r="BC48" s="398"/>
      <c r="BI48" s="398"/>
      <c r="BJ48" s="398"/>
      <c r="BK48" s="398"/>
      <c r="BL48" s="398"/>
      <c r="BM48" s="398"/>
      <c r="BN48" s="398"/>
      <c r="BO48" s="398"/>
      <c r="BP48" s="398"/>
      <c r="BQ48" s="398"/>
    </row>
    <row r="49" spans="12:69" ht="12" customHeight="1">
      <c r="O49" s="398"/>
      <c r="P49" s="398"/>
      <c r="Q49" s="398"/>
      <c r="R49" s="398"/>
      <c r="S49" s="398"/>
      <c r="U49" s="398"/>
      <c r="V49" s="398"/>
      <c r="W49" s="398"/>
      <c r="X49" s="398"/>
      <c r="Y49" s="398"/>
      <c r="Z49" s="398"/>
      <c r="AA49" s="398"/>
      <c r="AB49" s="398"/>
      <c r="AE49" s="398"/>
      <c r="AU49" s="398"/>
      <c r="AV49" s="398"/>
      <c r="AW49" s="398"/>
      <c r="AX49" s="398"/>
      <c r="AY49" s="398"/>
      <c r="AZ49" s="398"/>
      <c r="BA49" s="398"/>
      <c r="BI49" s="398"/>
      <c r="BJ49" s="398"/>
      <c r="BK49" s="398"/>
      <c r="BL49" s="398"/>
      <c r="BM49" s="398"/>
      <c r="BN49" s="398"/>
      <c r="BO49" s="398"/>
      <c r="BP49" s="398"/>
      <c r="BQ49" s="398"/>
    </row>
    <row r="50" spans="12:69" ht="12" customHeight="1">
      <c r="O50" s="398"/>
      <c r="P50" s="398"/>
      <c r="Q50" s="398"/>
      <c r="R50" s="398"/>
      <c r="S50" s="398"/>
      <c r="U50" s="398"/>
      <c r="V50" s="398"/>
      <c r="W50" s="398"/>
      <c r="X50" s="398"/>
      <c r="Y50" s="398"/>
      <c r="Z50" s="398"/>
      <c r="AA50" s="398"/>
      <c r="AB50" s="398"/>
      <c r="AU50" s="398"/>
      <c r="AV50" s="398"/>
      <c r="AW50" s="398"/>
      <c r="AX50" s="398"/>
      <c r="AY50" s="398"/>
      <c r="AZ50" s="398"/>
      <c r="BA50" s="398"/>
      <c r="BB50" s="398"/>
      <c r="BC50" s="398"/>
      <c r="BI50" s="398"/>
      <c r="BJ50" s="398"/>
      <c r="BK50" s="398"/>
      <c r="BL50" s="398"/>
      <c r="BM50" s="398"/>
      <c r="BN50" s="398"/>
      <c r="BO50" s="398"/>
      <c r="BP50" s="398"/>
      <c r="BQ50" s="398"/>
    </row>
    <row r="51" spans="12:69" ht="12" customHeight="1">
      <c r="O51" s="398"/>
      <c r="P51" s="398"/>
      <c r="Q51" s="398"/>
      <c r="R51" s="398"/>
      <c r="S51" s="398"/>
      <c r="U51" s="398"/>
      <c r="V51" s="398"/>
      <c r="W51" s="398"/>
      <c r="X51" s="398"/>
      <c r="Y51" s="398"/>
      <c r="Z51" s="398"/>
      <c r="AA51" s="398"/>
      <c r="AB51" s="398"/>
      <c r="AU51" s="398"/>
      <c r="AV51" s="398"/>
      <c r="AW51" s="398"/>
      <c r="AX51" s="398"/>
      <c r="AY51" s="398"/>
      <c r="AZ51" s="398"/>
      <c r="BA51" s="398"/>
      <c r="BB51" s="398"/>
      <c r="BC51" s="398"/>
      <c r="BI51" s="398"/>
      <c r="BJ51" s="398"/>
      <c r="BK51" s="398"/>
      <c r="BL51" s="398"/>
      <c r="BM51" s="398"/>
      <c r="BN51" s="398"/>
      <c r="BO51" s="398"/>
      <c r="BP51" s="398"/>
      <c r="BQ51" s="398"/>
    </row>
    <row r="52" spans="12:69" ht="12" customHeight="1">
      <c r="O52" s="398"/>
      <c r="P52" s="398"/>
      <c r="Q52" s="398"/>
      <c r="R52" s="398"/>
      <c r="S52" s="398"/>
      <c r="U52" s="398"/>
      <c r="V52" s="398"/>
      <c r="W52" s="398"/>
      <c r="X52" s="398"/>
      <c r="Y52" s="398"/>
      <c r="Z52" s="398"/>
      <c r="AA52" s="398"/>
      <c r="AB52" s="398"/>
      <c r="AU52" s="398"/>
      <c r="AV52" s="398"/>
      <c r="AW52" s="398"/>
      <c r="AX52" s="398"/>
      <c r="AY52" s="398"/>
      <c r="AZ52" s="398"/>
      <c r="BA52" s="398"/>
      <c r="BH52" s="398"/>
      <c r="BI52" s="398"/>
      <c r="BJ52" s="398"/>
      <c r="BK52" s="398"/>
      <c r="BL52" s="398"/>
      <c r="BM52" s="398"/>
      <c r="BN52" s="398"/>
      <c r="BO52" s="398"/>
      <c r="BP52" s="398"/>
      <c r="BQ52" s="398"/>
    </row>
    <row r="53" spans="12:69" ht="12" customHeight="1">
      <c r="L53" s="385"/>
      <c r="M53" s="385"/>
      <c r="N53" s="385"/>
      <c r="O53" s="398"/>
      <c r="P53" s="398"/>
      <c r="Q53" s="398"/>
      <c r="R53" s="398"/>
      <c r="AU53" s="398"/>
      <c r="AV53" s="398"/>
      <c r="AW53" s="398"/>
      <c r="AX53" s="398"/>
      <c r="AY53" s="398"/>
      <c r="AZ53" s="398"/>
      <c r="BA53" s="398"/>
      <c r="BH53" s="398"/>
      <c r="BI53" s="398"/>
      <c r="BJ53" s="398"/>
      <c r="BK53" s="398"/>
      <c r="BL53" s="398"/>
      <c r="BM53" s="398"/>
      <c r="BN53" s="398"/>
      <c r="BO53" s="398"/>
      <c r="BP53" s="398"/>
      <c r="BQ53" s="398"/>
    </row>
    <row r="54" spans="12:69" ht="12" customHeight="1">
      <c r="L54" s="398"/>
      <c r="M54" s="398"/>
      <c r="N54" s="398"/>
      <c r="O54" s="398"/>
      <c r="P54" s="398"/>
      <c r="Q54" s="398"/>
      <c r="R54" s="398"/>
      <c r="AU54" s="398"/>
      <c r="AV54" s="398"/>
      <c r="AW54" s="398"/>
      <c r="AX54" s="398"/>
      <c r="AY54" s="398"/>
      <c r="AZ54" s="398"/>
      <c r="BA54" s="398"/>
      <c r="BH54" s="398"/>
      <c r="BI54" s="398"/>
      <c r="BJ54" s="398"/>
      <c r="BK54" s="398"/>
      <c r="BL54" s="398"/>
      <c r="BM54" s="398"/>
      <c r="BN54" s="398"/>
      <c r="BO54" s="398"/>
      <c r="BP54" s="398"/>
      <c r="BQ54" s="398"/>
    </row>
    <row r="55" spans="12:69" ht="12" customHeight="1">
      <c r="L55" s="398"/>
      <c r="M55" s="398"/>
      <c r="N55" s="398"/>
      <c r="O55" s="398"/>
      <c r="P55" s="398"/>
      <c r="Q55" s="398"/>
      <c r="R55" s="398"/>
      <c r="AU55" s="398"/>
      <c r="AV55" s="398"/>
      <c r="BH55" s="398"/>
      <c r="BI55" s="398"/>
      <c r="BJ55" s="398"/>
      <c r="BK55" s="398"/>
      <c r="BL55" s="398"/>
      <c r="BM55" s="398"/>
      <c r="BN55" s="398"/>
      <c r="BO55" s="398"/>
      <c r="BP55" s="398"/>
      <c r="BQ55" s="398"/>
    </row>
    <row r="56" spans="12:69" ht="12" customHeight="1">
      <c r="L56" s="398"/>
      <c r="M56" s="398"/>
      <c r="N56" s="398"/>
      <c r="O56" s="398"/>
      <c r="P56" s="398"/>
      <c r="Q56" s="398"/>
      <c r="R56" s="398"/>
      <c r="AU56" s="398"/>
      <c r="BH56" s="398"/>
      <c r="BI56" s="398"/>
      <c r="BJ56" s="398"/>
      <c r="BK56" s="398"/>
      <c r="BL56" s="398"/>
      <c r="BM56" s="398"/>
      <c r="BN56" s="398"/>
      <c r="BO56" s="398"/>
      <c r="BP56" s="398"/>
      <c r="BQ56" s="398"/>
    </row>
    <row r="57" spans="12:69" ht="12" customHeight="1">
      <c r="L57" s="398"/>
      <c r="M57" s="398"/>
      <c r="N57" s="398"/>
      <c r="O57" s="398"/>
      <c r="P57" s="398"/>
      <c r="Q57" s="398"/>
      <c r="R57" s="398"/>
      <c r="AU57" s="398"/>
      <c r="BH57" s="398"/>
      <c r="BI57" s="809"/>
      <c r="BJ57" s="809"/>
      <c r="BK57" s="809"/>
      <c r="BL57" s="809"/>
      <c r="BM57" s="809"/>
      <c r="BN57" s="809"/>
    </row>
    <row r="58" spans="12:69" ht="12" customHeight="1">
      <c r="L58" s="398"/>
      <c r="M58" s="398"/>
      <c r="N58" s="398"/>
      <c r="O58" s="398"/>
      <c r="P58" s="398"/>
      <c r="Q58" s="398"/>
      <c r="R58" s="398"/>
      <c r="S58" s="398"/>
      <c r="T58" s="398"/>
      <c r="U58" s="398"/>
      <c r="V58" s="398"/>
      <c r="W58" s="398"/>
      <c r="X58" s="398"/>
      <c r="Y58" s="398"/>
      <c r="Z58" s="398"/>
      <c r="AA58" s="398"/>
      <c r="BH58" s="398"/>
      <c r="BI58" s="809"/>
      <c r="BJ58" s="809"/>
      <c r="BK58" s="809"/>
      <c r="BL58" s="809"/>
      <c r="BM58" s="809"/>
      <c r="BN58" s="809"/>
    </row>
    <row r="59" spans="12:69" ht="12" customHeight="1">
      <c r="L59" s="398"/>
      <c r="M59" s="398"/>
      <c r="N59" s="398"/>
      <c r="O59" s="398"/>
      <c r="P59" s="398"/>
      <c r="Q59" s="398"/>
      <c r="R59" s="398"/>
      <c r="S59" s="398"/>
      <c r="T59" s="398"/>
      <c r="U59" s="398"/>
      <c r="V59" s="398"/>
      <c r="W59" s="398"/>
      <c r="X59" s="398"/>
      <c r="Y59" s="398"/>
      <c r="Z59" s="398"/>
      <c r="AA59" s="398"/>
      <c r="BH59" s="398"/>
      <c r="BI59" s="809"/>
      <c r="BJ59" s="809"/>
      <c r="BK59" s="809"/>
      <c r="BL59" s="809"/>
      <c r="BM59" s="809"/>
      <c r="BN59" s="809"/>
    </row>
    <row r="60" spans="12:69" ht="12" customHeight="1">
      <c r="L60" s="398"/>
      <c r="M60" s="398"/>
      <c r="N60" s="398"/>
      <c r="O60" s="398"/>
      <c r="P60" s="398"/>
      <c r="Q60" s="398"/>
      <c r="R60" s="398"/>
      <c r="S60" s="398"/>
      <c r="T60" s="398"/>
      <c r="U60" s="398"/>
      <c r="V60" s="398"/>
      <c r="W60" s="398"/>
      <c r="X60" s="398"/>
      <c r="Y60" s="398"/>
      <c r="Z60" s="398"/>
      <c r="AA60" s="398"/>
      <c r="AB60" s="398"/>
      <c r="AC60" s="398"/>
      <c r="AD60" s="398"/>
      <c r="BH60" s="398"/>
      <c r="BI60" s="809"/>
      <c r="BJ60" s="809"/>
      <c r="BK60" s="809"/>
      <c r="BL60" s="809"/>
      <c r="BM60" s="809"/>
      <c r="BN60" s="809"/>
    </row>
    <row r="61" spans="12:69" ht="12" customHeight="1">
      <c r="L61" s="398"/>
      <c r="M61" s="398"/>
      <c r="N61" s="398"/>
      <c r="O61" s="398"/>
      <c r="P61" s="398"/>
      <c r="Q61" s="398"/>
      <c r="R61" s="398"/>
      <c r="S61" s="398"/>
      <c r="T61" s="398"/>
      <c r="U61" s="398"/>
      <c r="V61" s="398"/>
      <c r="W61" s="398"/>
      <c r="X61" s="398"/>
      <c r="Y61" s="398"/>
      <c r="Z61" s="398"/>
      <c r="AA61" s="398"/>
      <c r="AB61" s="398"/>
      <c r="AC61" s="398"/>
      <c r="AD61" s="398"/>
      <c r="BH61" s="398"/>
      <c r="BI61" s="809"/>
      <c r="BJ61" s="809"/>
      <c r="BK61" s="809"/>
      <c r="BL61" s="809"/>
      <c r="BM61" s="809"/>
      <c r="BN61" s="809"/>
    </row>
    <row r="62" spans="12:69" ht="12" customHeight="1">
      <c r="O62" s="398"/>
      <c r="P62" s="398"/>
      <c r="Q62" s="398"/>
      <c r="R62" s="398"/>
      <c r="S62" s="398"/>
      <c r="T62" s="398"/>
      <c r="U62" s="398"/>
      <c r="V62" s="398"/>
      <c r="W62" s="398"/>
      <c r="X62" s="398"/>
      <c r="Y62" s="398"/>
      <c r="Z62" s="398"/>
      <c r="AA62" s="398"/>
      <c r="AB62" s="398"/>
      <c r="AC62" s="398"/>
      <c r="AD62" s="398"/>
      <c r="BH62" s="398"/>
      <c r="BI62" s="809"/>
      <c r="BJ62" s="809"/>
      <c r="BK62" s="809"/>
      <c r="BL62" s="809"/>
      <c r="BM62" s="809"/>
      <c r="BN62" s="809"/>
    </row>
    <row r="63" spans="12:69" ht="12" customHeight="1">
      <c r="O63" s="398"/>
      <c r="P63" s="398"/>
      <c r="Q63" s="398"/>
      <c r="R63" s="398"/>
      <c r="S63" s="398"/>
      <c r="T63" s="398"/>
      <c r="U63" s="398"/>
      <c r="V63" s="398"/>
      <c r="W63" s="398"/>
      <c r="X63" s="398"/>
      <c r="Y63" s="398"/>
      <c r="Z63" s="398"/>
      <c r="AA63" s="398"/>
      <c r="AB63" s="398"/>
      <c r="AC63" s="398"/>
      <c r="AD63" s="398"/>
      <c r="BH63" s="398"/>
      <c r="BI63" s="809"/>
      <c r="BJ63" s="809"/>
      <c r="BK63" s="809"/>
      <c r="BL63" s="809"/>
      <c r="BM63" s="809"/>
      <c r="BN63" s="809"/>
    </row>
    <row r="64" spans="12:69" ht="12" customHeight="1">
      <c r="O64" s="398"/>
      <c r="P64" s="398"/>
      <c r="Q64" s="398"/>
      <c r="R64" s="398"/>
      <c r="S64" s="398"/>
      <c r="T64" s="398"/>
      <c r="U64" s="398"/>
      <c r="V64" s="398"/>
      <c r="W64" s="398"/>
      <c r="X64" s="398"/>
      <c r="Y64" s="398"/>
      <c r="Z64" s="398"/>
      <c r="AA64" s="398"/>
      <c r="BH64" s="398"/>
      <c r="BI64" s="809"/>
      <c r="BJ64" s="809"/>
      <c r="BK64" s="809"/>
      <c r="BL64" s="809"/>
      <c r="BM64" s="809"/>
      <c r="BN64" s="809"/>
    </row>
    <row r="65" spans="15:66" ht="12" customHeight="1">
      <c r="O65" s="398"/>
      <c r="P65" s="398"/>
      <c r="Q65" s="398"/>
      <c r="R65" s="398"/>
      <c r="S65" s="398"/>
      <c r="T65" s="398"/>
      <c r="U65" s="398"/>
      <c r="V65" s="398"/>
      <c r="W65" s="398"/>
      <c r="X65" s="398"/>
      <c r="Y65" s="398"/>
      <c r="Z65" s="398"/>
      <c r="AA65" s="398"/>
      <c r="AB65" s="398"/>
      <c r="AC65" s="398"/>
      <c r="AD65" s="398"/>
      <c r="BH65" s="398"/>
      <c r="BI65" s="809"/>
      <c r="BJ65" s="809"/>
      <c r="BK65" s="809"/>
      <c r="BL65" s="809"/>
      <c r="BM65" s="809"/>
      <c r="BN65" s="809"/>
    </row>
    <row r="66" spans="15:66" ht="12" customHeight="1">
      <c r="O66" s="398"/>
      <c r="P66" s="398"/>
      <c r="Q66" s="398"/>
      <c r="R66" s="398"/>
      <c r="S66" s="398"/>
      <c r="T66" s="398"/>
      <c r="U66" s="398"/>
      <c r="V66" s="398"/>
      <c r="W66" s="398"/>
      <c r="X66" s="398"/>
      <c r="Y66" s="398"/>
      <c r="Z66" s="398"/>
      <c r="AA66" s="398"/>
      <c r="AB66" s="398"/>
      <c r="AC66" s="398"/>
      <c r="AD66" s="398"/>
      <c r="BH66" s="398"/>
      <c r="BI66" s="809"/>
      <c r="BJ66" s="809"/>
      <c r="BK66" s="809"/>
      <c r="BL66" s="809"/>
      <c r="BM66" s="809"/>
      <c r="BN66" s="809"/>
    </row>
    <row r="67" spans="15:66" ht="12" customHeight="1">
      <c r="O67" s="398"/>
      <c r="P67" s="398"/>
      <c r="Q67" s="398"/>
      <c r="R67" s="398"/>
      <c r="S67" s="398"/>
      <c r="T67" s="398"/>
      <c r="U67" s="398"/>
      <c r="V67" s="398"/>
      <c r="W67" s="398"/>
      <c r="X67" s="398"/>
      <c r="Y67" s="398"/>
      <c r="Z67" s="398"/>
      <c r="AA67" s="398"/>
      <c r="AB67" s="398"/>
      <c r="AC67" s="398"/>
      <c r="AD67" s="398"/>
      <c r="BH67" s="398"/>
      <c r="BI67" s="809"/>
      <c r="BJ67" s="809"/>
      <c r="BK67" s="809"/>
      <c r="BL67" s="809"/>
      <c r="BM67" s="809"/>
      <c r="BN67" s="809"/>
    </row>
    <row r="68" spans="15:66">
      <c r="O68" s="398"/>
      <c r="P68" s="398"/>
      <c r="Q68" s="398"/>
      <c r="R68" s="398"/>
      <c r="S68" s="398"/>
      <c r="T68" s="398"/>
      <c r="U68" s="398"/>
      <c r="V68" s="398"/>
      <c r="W68" s="398"/>
      <c r="X68" s="398"/>
      <c r="Y68" s="398"/>
      <c r="Z68" s="398"/>
      <c r="AA68" s="398"/>
      <c r="AB68" s="398"/>
      <c r="AC68" s="398"/>
      <c r="AD68" s="398"/>
      <c r="BH68" s="398"/>
      <c r="BI68" s="809"/>
      <c r="BJ68" s="809"/>
      <c r="BK68" s="809"/>
      <c r="BL68" s="809"/>
      <c r="BM68" s="809"/>
      <c r="BN68" s="809"/>
    </row>
    <row r="69" spans="15:66">
      <c r="O69" s="398"/>
      <c r="P69" s="398"/>
      <c r="Q69" s="398"/>
      <c r="R69" s="398"/>
      <c r="S69" s="398"/>
      <c r="T69" s="398"/>
      <c r="U69" s="398"/>
      <c r="V69" s="398"/>
      <c r="W69" s="398"/>
      <c r="X69" s="398"/>
      <c r="Y69" s="398"/>
      <c r="Z69" s="398"/>
      <c r="AA69" s="398"/>
      <c r="AB69" s="398"/>
      <c r="AC69" s="398"/>
      <c r="AD69" s="398"/>
      <c r="BH69" s="398"/>
      <c r="BI69" s="809"/>
      <c r="BJ69" s="809"/>
      <c r="BK69" s="809"/>
      <c r="BL69" s="809"/>
      <c r="BM69" s="809"/>
      <c r="BN69" s="809"/>
    </row>
    <row r="70" spans="15:66">
      <c r="O70" s="398"/>
      <c r="P70" s="398"/>
      <c r="Q70" s="398"/>
      <c r="R70" s="398"/>
      <c r="S70" s="398"/>
      <c r="T70" s="398"/>
      <c r="U70" s="398"/>
      <c r="V70" s="398"/>
      <c r="W70" s="398"/>
      <c r="X70" s="398"/>
      <c r="Y70" s="398"/>
      <c r="Z70" s="398"/>
      <c r="AA70" s="398"/>
      <c r="AB70" s="398"/>
      <c r="AC70" s="398"/>
      <c r="AD70" s="398"/>
      <c r="BH70" s="398"/>
      <c r="BI70" s="809"/>
      <c r="BJ70" s="809"/>
      <c r="BK70" s="809"/>
      <c r="BL70" s="809"/>
      <c r="BM70" s="809"/>
      <c r="BN70" s="809"/>
    </row>
    <row r="71" spans="15:66">
      <c r="O71" s="398"/>
      <c r="P71" s="398"/>
      <c r="Q71" s="398"/>
      <c r="R71" s="398"/>
      <c r="S71" s="398"/>
      <c r="T71" s="398"/>
      <c r="U71" s="398"/>
      <c r="V71" s="398"/>
      <c r="W71" s="398"/>
      <c r="X71" s="398"/>
      <c r="Y71" s="398"/>
      <c r="Z71" s="398"/>
      <c r="AA71" s="398"/>
      <c r="AB71" s="398"/>
      <c r="AC71" s="398"/>
      <c r="AD71" s="398"/>
      <c r="AE71" s="1406"/>
      <c r="BH71" s="398"/>
      <c r="BI71" s="809"/>
      <c r="BJ71" s="809"/>
      <c r="BK71" s="809"/>
      <c r="BL71" s="809"/>
      <c r="BM71" s="809"/>
      <c r="BN71" s="809"/>
    </row>
    <row r="72" spans="15:66">
      <c r="O72" s="398"/>
      <c r="P72" s="398"/>
      <c r="Q72" s="398"/>
      <c r="R72" s="398"/>
      <c r="S72" s="398"/>
      <c r="T72" s="398"/>
      <c r="U72" s="398"/>
      <c r="V72" s="398"/>
      <c r="W72" s="398"/>
      <c r="X72" s="398"/>
      <c r="Y72" s="398"/>
      <c r="Z72" s="398"/>
      <c r="AA72" s="398"/>
      <c r="AB72" s="398"/>
      <c r="AC72" s="398"/>
      <c r="AD72" s="398"/>
      <c r="AE72" s="439"/>
      <c r="BH72" s="398"/>
      <c r="BI72" s="809"/>
      <c r="BJ72" s="809"/>
      <c r="BK72" s="809"/>
      <c r="BL72" s="809"/>
      <c r="BM72" s="809"/>
      <c r="BN72" s="809"/>
    </row>
    <row r="73" spans="15:66">
      <c r="O73" s="398"/>
      <c r="P73" s="398"/>
      <c r="Q73" s="398"/>
      <c r="R73" s="398"/>
      <c r="S73" s="398"/>
      <c r="T73" s="398"/>
      <c r="U73" s="398"/>
      <c r="V73" s="398"/>
      <c r="W73" s="398"/>
      <c r="X73" s="398"/>
      <c r="Y73" s="398"/>
      <c r="Z73" s="398"/>
      <c r="AA73" s="398"/>
      <c r="AB73" s="398"/>
      <c r="AC73" s="398"/>
      <c r="AD73" s="398"/>
      <c r="AE73" s="398"/>
      <c r="AN73" s="398"/>
      <c r="AO73" s="398"/>
      <c r="BH73" s="398"/>
      <c r="BI73" s="809"/>
      <c r="BJ73" s="809"/>
      <c r="BK73" s="809"/>
      <c r="BL73" s="809"/>
      <c r="BM73" s="809"/>
      <c r="BN73" s="809"/>
    </row>
    <row r="74" spans="15:66">
      <c r="O74" s="398"/>
      <c r="P74" s="398"/>
      <c r="Q74" s="398"/>
      <c r="R74" s="398"/>
      <c r="S74" s="398"/>
      <c r="T74" s="398"/>
      <c r="U74" s="398"/>
      <c r="V74" s="398"/>
      <c r="W74" s="398"/>
      <c r="X74" s="398"/>
      <c r="Y74" s="398"/>
      <c r="Z74" s="398"/>
      <c r="AA74" s="398"/>
      <c r="AB74" s="398"/>
      <c r="AC74" s="398"/>
      <c r="AD74" s="398"/>
      <c r="BH74" s="398"/>
      <c r="BI74" s="809"/>
      <c r="BJ74" s="809"/>
      <c r="BK74" s="809"/>
      <c r="BL74" s="809"/>
      <c r="BM74" s="809"/>
      <c r="BN74" s="809"/>
    </row>
    <row r="75" spans="15:66">
      <c r="O75" s="398"/>
      <c r="P75" s="398"/>
      <c r="Q75" s="398"/>
      <c r="R75" s="398"/>
      <c r="S75" s="398"/>
      <c r="T75" s="398"/>
      <c r="U75" s="398"/>
      <c r="V75" s="398"/>
      <c r="W75" s="398"/>
      <c r="X75" s="398"/>
      <c r="Y75" s="398"/>
      <c r="Z75" s="398"/>
      <c r="AA75" s="398"/>
      <c r="AB75" s="398"/>
      <c r="AC75" s="398"/>
      <c r="AD75" s="398"/>
      <c r="AF75" s="1406"/>
      <c r="BH75" s="398"/>
      <c r="BI75" s="809"/>
      <c r="BJ75" s="809"/>
      <c r="BK75" s="809"/>
      <c r="BL75" s="809"/>
      <c r="BM75" s="809"/>
      <c r="BN75" s="809"/>
    </row>
    <row r="76" spans="15:66">
      <c r="O76" s="398"/>
      <c r="P76" s="398"/>
      <c r="Q76" s="398"/>
      <c r="R76" s="398"/>
      <c r="S76" s="398"/>
      <c r="T76" s="398"/>
      <c r="U76" s="398"/>
      <c r="V76" s="398"/>
      <c r="W76" s="398"/>
      <c r="X76" s="398"/>
      <c r="Y76" s="398"/>
      <c r="Z76" s="398"/>
      <c r="AA76" s="398"/>
      <c r="AF76" s="439"/>
      <c r="BH76" s="398"/>
      <c r="BI76" s="809"/>
      <c r="BJ76" s="809"/>
      <c r="BK76" s="809"/>
      <c r="BL76" s="809"/>
      <c r="BM76" s="809"/>
      <c r="BN76" s="809"/>
    </row>
    <row r="77" spans="15:66">
      <c r="O77" s="398"/>
      <c r="P77" s="398"/>
      <c r="Q77" s="398"/>
      <c r="R77" s="398"/>
      <c r="S77" s="398"/>
      <c r="T77" s="398"/>
      <c r="U77" s="398"/>
      <c r="V77" s="398"/>
      <c r="W77" s="398"/>
      <c r="X77" s="398"/>
      <c r="Y77" s="398"/>
      <c r="Z77" s="398"/>
      <c r="AA77" s="398"/>
      <c r="AE77" s="398"/>
      <c r="AF77" s="398"/>
      <c r="BH77" s="398"/>
      <c r="BI77" s="809"/>
      <c r="BJ77" s="809"/>
      <c r="BK77" s="809"/>
      <c r="BL77" s="809"/>
      <c r="BM77" s="809"/>
      <c r="BN77" s="809"/>
    </row>
    <row r="78" spans="15:66">
      <c r="O78" s="398"/>
      <c r="P78" s="398"/>
      <c r="Q78" s="398"/>
      <c r="R78" s="398"/>
      <c r="S78" s="398"/>
      <c r="T78" s="398"/>
      <c r="U78" s="398"/>
      <c r="V78" s="398"/>
      <c r="W78" s="398"/>
      <c r="X78" s="398"/>
      <c r="Y78" s="398"/>
      <c r="Z78" s="398"/>
      <c r="AA78" s="398"/>
      <c r="BH78" s="398"/>
      <c r="BI78" s="809"/>
      <c r="BJ78" s="809"/>
      <c r="BK78" s="809"/>
      <c r="BL78" s="809"/>
      <c r="BM78" s="809"/>
      <c r="BN78" s="809"/>
    </row>
    <row r="79" spans="15:66">
      <c r="O79" s="398"/>
      <c r="P79" s="398"/>
      <c r="Q79" s="398"/>
      <c r="R79" s="398"/>
      <c r="S79" s="398"/>
      <c r="T79" s="398"/>
      <c r="U79" s="398"/>
      <c r="V79" s="398"/>
      <c r="W79" s="398"/>
      <c r="X79" s="398"/>
      <c r="Y79" s="398"/>
      <c r="Z79" s="398"/>
      <c r="AA79" s="398"/>
      <c r="BH79" s="398"/>
      <c r="BI79" s="809"/>
      <c r="BJ79" s="809"/>
      <c r="BK79" s="809"/>
      <c r="BL79" s="809"/>
      <c r="BM79" s="809"/>
      <c r="BN79" s="809"/>
    </row>
    <row r="80" spans="15:66">
      <c r="O80" s="398"/>
      <c r="P80" s="398"/>
      <c r="Q80" s="398"/>
      <c r="R80" s="398"/>
      <c r="S80" s="398"/>
      <c r="T80" s="398"/>
      <c r="U80" s="398"/>
      <c r="V80" s="398"/>
      <c r="W80" s="398"/>
      <c r="X80" s="398"/>
      <c r="Y80" s="398"/>
      <c r="Z80" s="398"/>
      <c r="AA80" s="398"/>
      <c r="BH80" s="398"/>
      <c r="BI80" s="809"/>
      <c r="BJ80" s="809"/>
      <c r="BK80" s="809"/>
      <c r="BL80" s="809"/>
      <c r="BM80" s="809"/>
      <c r="BN80" s="809"/>
    </row>
    <row r="81" spans="15:66">
      <c r="O81" s="398"/>
      <c r="P81" s="398"/>
      <c r="Q81" s="398"/>
      <c r="R81" s="398"/>
      <c r="S81" s="398"/>
      <c r="T81" s="398"/>
      <c r="U81" s="398"/>
      <c r="V81" s="398"/>
      <c r="W81" s="398"/>
      <c r="X81" s="398"/>
      <c r="Y81" s="398"/>
      <c r="Z81" s="398"/>
      <c r="AA81" s="398"/>
      <c r="AB81" s="398"/>
      <c r="AC81" s="398"/>
      <c r="AD81" s="398"/>
      <c r="AE81" s="398"/>
      <c r="AF81" s="398"/>
      <c r="AG81" s="1406"/>
      <c r="AH81" s="1406"/>
      <c r="AI81" s="1406"/>
      <c r="AJ81" s="1406"/>
      <c r="AK81" s="1406"/>
      <c r="AL81" s="1406"/>
      <c r="AM81" s="1406"/>
      <c r="BH81" s="398"/>
      <c r="BI81" s="809"/>
      <c r="BJ81" s="809"/>
      <c r="BK81" s="809"/>
      <c r="BL81" s="809"/>
      <c r="BM81" s="809"/>
      <c r="BN81" s="809"/>
    </row>
    <row r="82" spans="15:66">
      <c r="O82" s="398"/>
      <c r="P82" s="398"/>
      <c r="Q82" s="398"/>
      <c r="R82" s="398"/>
      <c r="S82" s="398"/>
      <c r="T82" s="398"/>
      <c r="U82" s="398"/>
      <c r="V82" s="398"/>
      <c r="W82" s="398"/>
      <c r="X82" s="398"/>
      <c r="Y82" s="398"/>
      <c r="Z82" s="398"/>
      <c r="AA82" s="398"/>
      <c r="AB82" s="398"/>
      <c r="AC82" s="398"/>
      <c r="AD82" s="398"/>
      <c r="AE82" s="398"/>
      <c r="AG82" s="439"/>
      <c r="AH82" s="439"/>
      <c r="AI82" s="439"/>
      <c r="AJ82" s="439"/>
      <c r="AK82" s="439"/>
      <c r="AL82" s="439"/>
      <c r="AM82" s="439"/>
      <c r="BH82" s="398"/>
      <c r="BI82" s="809"/>
      <c r="BJ82" s="809"/>
      <c r="BK82" s="809"/>
      <c r="BL82" s="809"/>
      <c r="BM82" s="809"/>
      <c r="BN82" s="809"/>
    </row>
    <row r="83" spans="15:66">
      <c r="O83" s="398"/>
      <c r="P83" s="398"/>
      <c r="Q83" s="398"/>
      <c r="R83" s="398"/>
      <c r="S83" s="398"/>
      <c r="T83" s="398"/>
      <c r="U83" s="398"/>
      <c r="V83" s="398"/>
      <c r="W83" s="398"/>
      <c r="X83" s="398"/>
      <c r="Y83" s="398"/>
      <c r="Z83" s="398"/>
      <c r="AA83" s="398"/>
      <c r="AB83" s="549"/>
      <c r="AC83" s="549"/>
      <c r="AD83" s="549"/>
      <c r="AE83" s="398"/>
      <c r="AG83" s="398"/>
      <c r="AH83" s="398"/>
      <c r="AI83" s="398"/>
      <c r="AJ83" s="398"/>
      <c r="AK83" s="398"/>
      <c r="AL83" s="398"/>
      <c r="AM83" s="398"/>
      <c r="BH83" s="398"/>
      <c r="BI83" s="809"/>
      <c r="BJ83" s="809"/>
      <c r="BK83" s="809"/>
      <c r="BL83" s="809"/>
      <c r="BM83" s="809"/>
      <c r="BN83" s="809"/>
    </row>
    <row r="84" spans="15:66">
      <c r="O84" s="398"/>
      <c r="P84" s="398"/>
      <c r="Q84" s="398"/>
      <c r="R84" s="398"/>
      <c r="S84" s="398"/>
      <c r="T84" s="398"/>
      <c r="U84" s="398"/>
      <c r="V84" s="398"/>
      <c r="W84" s="398"/>
      <c r="X84" s="398"/>
      <c r="Y84" s="398"/>
      <c r="Z84" s="398"/>
      <c r="AA84" s="398"/>
      <c r="AB84" s="882"/>
      <c r="AC84" s="882"/>
      <c r="AD84" s="882"/>
      <c r="AE84" s="398"/>
      <c r="AN84" s="398"/>
      <c r="AO84" s="398"/>
      <c r="BH84" s="398"/>
      <c r="BI84" s="809"/>
      <c r="BJ84" s="809"/>
      <c r="BK84" s="809"/>
      <c r="BL84" s="809"/>
      <c r="BM84" s="809"/>
      <c r="BN84" s="809"/>
    </row>
    <row r="85" spans="15:66">
      <c r="O85" s="398"/>
      <c r="P85" s="398"/>
      <c r="Q85" s="398"/>
      <c r="R85" s="398"/>
      <c r="S85" s="398"/>
      <c r="T85" s="398"/>
      <c r="U85" s="398"/>
      <c r="V85" s="398"/>
      <c r="W85" s="398"/>
      <c r="X85" s="398"/>
      <c r="Y85" s="398"/>
      <c r="Z85" s="398"/>
      <c r="AA85" s="398"/>
      <c r="AB85" s="861"/>
      <c r="AC85" s="861"/>
      <c r="AD85" s="861"/>
      <c r="AF85" s="398"/>
      <c r="BH85" s="398"/>
      <c r="BI85" s="809"/>
      <c r="BJ85" s="809"/>
      <c r="BK85" s="809"/>
      <c r="BL85" s="809"/>
      <c r="BM85" s="809"/>
      <c r="BN85" s="809"/>
    </row>
    <row r="86" spans="15:66">
      <c r="O86" s="398"/>
      <c r="P86" s="398"/>
      <c r="Q86" s="398"/>
      <c r="R86" s="398"/>
      <c r="S86" s="398"/>
      <c r="T86" s="398"/>
      <c r="U86" s="398"/>
      <c r="V86" s="398"/>
      <c r="W86" s="398"/>
      <c r="X86" s="398"/>
      <c r="Y86" s="398"/>
      <c r="Z86" s="398"/>
      <c r="AA86" s="398"/>
      <c r="AB86" s="571"/>
      <c r="AC86" s="571"/>
      <c r="AD86" s="571"/>
      <c r="AE86" s="398"/>
      <c r="AF86" s="398"/>
      <c r="BH86" s="398"/>
      <c r="BI86" s="809"/>
      <c r="BJ86" s="809"/>
      <c r="BK86" s="809"/>
      <c r="BL86" s="809"/>
      <c r="BM86" s="809"/>
      <c r="BN86" s="809"/>
    </row>
    <row r="87" spans="15:66">
      <c r="O87" s="398"/>
      <c r="P87" s="398"/>
      <c r="Q87" s="398"/>
      <c r="R87" s="398"/>
      <c r="S87" s="398"/>
      <c r="T87" s="398"/>
      <c r="U87" s="398"/>
      <c r="V87" s="398"/>
      <c r="W87" s="398"/>
      <c r="X87" s="398"/>
      <c r="Y87" s="398"/>
      <c r="Z87" s="398"/>
      <c r="AA87" s="398"/>
      <c r="AB87" s="549"/>
      <c r="AC87" s="549"/>
      <c r="AD87" s="549"/>
      <c r="AE87" s="398"/>
      <c r="AF87" s="398"/>
      <c r="AG87" s="398"/>
      <c r="AH87" s="398"/>
      <c r="AI87" s="398"/>
      <c r="AJ87" s="398"/>
      <c r="AK87" s="398"/>
      <c r="AL87" s="398"/>
      <c r="AM87" s="398"/>
      <c r="BI87" s="809"/>
      <c r="BJ87" s="809"/>
      <c r="BK87" s="809"/>
      <c r="BL87" s="809"/>
      <c r="BM87" s="809"/>
      <c r="BN87" s="809"/>
    </row>
    <row r="88" spans="15:66">
      <c r="O88" s="398"/>
      <c r="P88" s="398"/>
      <c r="Q88" s="398"/>
      <c r="R88" s="398"/>
      <c r="S88" s="398"/>
      <c r="T88" s="398"/>
      <c r="U88" s="398"/>
      <c r="V88" s="398"/>
      <c r="W88" s="398"/>
      <c r="X88" s="398"/>
      <c r="Y88" s="398"/>
      <c r="Z88" s="398"/>
      <c r="AA88" s="398"/>
      <c r="AB88" s="549"/>
      <c r="AC88" s="549"/>
      <c r="AD88" s="549"/>
      <c r="AE88" s="398"/>
      <c r="AF88" s="398"/>
      <c r="BH88" s="398"/>
      <c r="BI88" s="809"/>
      <c r="BJ88" s="809"/>
      <c r="BK88" s="809"/>
      <c r="BL88" s="809"/>
      <c r="BM88" s="809"/>
      <c r="BN88" s="809"/>
    </row>
    <row r="89" spans="15:66">
      <c r="O89" s="398"/>
      <c r="P89" s="398"/>
      <c r="Q89" s="398"/>
      <c r="R89" s="398"/>
      <c r="S89" s="398"/>
      <c r="T89" s="398"/>
      <c r="U89" s="398"/>
      <c r="V89" s="398"/>
      <c r="W89" s="398"/>
      <c r="X89" s="398"/>
      <c r="Y89" s="398"/>
      <c r="Z89" s="398"/>
      <c r="AA89" s="398"/>
      <c r="AB89" s="549"/>
      <c r="AC89" s="549"/>
      <c r="AD89" s="549"/>
      <c r="AE89" s="398"/>
      <c r="BH89" s="398"/>
      <c r="BI89" s="809"/>
      <c r="BJ89" s="809"/>
      <c r="BK89" s="809"/>
      <c r="BL89" s="809"/>
      <c r="BM89" s="809"/>
      <c r="BN89" s="809"/>
    </row>
    <row r="90" spans="15:66">
      <c r="O90" s="398"/>
      <c r="P90" s="398"/>
      <c r="Q90" s="398"/>
      <c r="R90" s="398"/>
      <c r="S90" s="398"/>
      <c r="T90" s="398"/>
      <c r="U90" s="398"/>
      <c r="V90" s="398"/>
      <c r="W90" s="398"/>
      <c r="X90" s="398"/>
      <c r="Y90" s="398"/>
      <c r="Z90" s="398"/>
      <c r="AA90" s="398"/>
      <c r="AB90" s="571"/>
      <c r="AC90" s="571"/>
      <c r="AD90" s="571"/>
      <c r="AE90" s="398"/>
      <c r="AF90" s="398"/>
      <c r="BH90" s="398"/>
      <c r="BI90" s="809"/>
      <c r="BJ90" s="809"/>
      <c r="BK90" s="809"/>
      <c r="BL90" s="809"/>
      <c r="BM90" s="809"/>
      <c r="BN90" s="809"/>
    </row>
    <row r="91" spans="15:66">
      <c r="O91" s="398"/>
      <c r="P91" s="398"/>
      <c r="Q91" s="398"/>
      <c r="R91" s="398"/>
      <c r="S91" s="398"/>
      <c r="T91" s="398"/>
      <c r="U91" s="398"/>
      <c r="V91" s="398"/>
      <c r="W91" s="398"/>
      <c r="X91" s="398"/>
      <c r="Y91" s="398"/>
      <c r="Z91" s="398"/>
      <c r="AA91" s="398"/>
      <c r="AB91" s="549"/>
      <c r="AC91" s="549"/>
      <c r="AD91" s="549"/>
      <c r="AE91" s="398"/>
      <c r="AF91" s="398"/>
      <c r="AG91" s="398"/>
      <c r="AH91" s="398"/>
      <c r="AI91" s="398"/>
      <c r="AJ91" s="398"/>
      <c r="AK91" s="398"/>
      <c r="AL91" s="398"/>
      <c r="AM91" s="398"/>
      <c r="AT91" s="414"/>
      <c r="BH91" s="398"/>
      <c r="BI91" s="809"/>
      <c r="BJ91" s="809"/>
      <c r="BK91" s="809"/>
      <c r="BL91" s="809"/>
      <c r="BM91" s="809"/>
      <c r="BN91" s="809"/>
    </row>
    <row r="92" spans="15:66">
      <c r="O92" s="398"/>
      <c r="P92" s="398"/>
      <c r="Q92" s="398"/>
      <c r="R92" s="398"/>
      <c r="S92" s="398"/>
      <c r="T92" s="398"/>
      <c r="U92" s="398"/>
      <c r="V92" s="398"/>
      <c r="W92" s="398"/>
      <c r="X92" s="398"/>
      <c r="Y92" s="398"/>
      <c r="Z92" s="398"/>
      <c r="AA92" s="398"/>
      <c r="AB92" s="549"/>
      <c r="AC92" s="549"/>
      <c r="AD92" s="549"/>
      <c r="AE92" s="398"/>
      <c r="AF92" s="398"/>
      <c r="AG92" s="398"/>
      <c r="AH92" s="398"/>
      <c r="AI92" s="398"/>
      <c r="AJ92" s="398"/>
      <c r="AK92" s="398"/>
      <c r="AL92" s="398"/>
      <c r="AM92" s="398"/>
      <c r="BH92" s="398"/>
      <c r="BI92" s="809"/>
      <c r="BJ92" s="809"/>
      <c r="BK92" s="809"/>
      <c r="BL92" s="809"/>
      <c r="BM92" s="809"/>
      <c r="BN92" s="809"/>
    </row>
    <row r="93" spans="15:66">
      <c r="O93" s="398"/>
      <c r="P93" s="398"/>
      <c r="Q93" s="398"/>
      <c r="R93" s="398"/>
      <c r="S93" s="398"/>
      <c r="T93" s="398"/>
      <c r="U93" s="398"/>
      <c r="V93" s="398"/>
      <c r="W93" s="398"/>
      <c r="X93" s="398"/>
      <c r="Y93" s="398"/>
      <c r="Z93" s="398"/>
      <c r="AA93" s="398"/>
      <c r="AB93" s="549"/>
      <c r="AC93" s="549"/>
      <c r="AD93" s="549"/>
      <c r="AE93" s="398"/>
      <c r="AF93" s="398"/>
      <c r="AG93" s="398"/>
      <c r="AH93" s="398"/>
      <c r="AI93" s="398"/>
      <c r="AJ93" s="398"/>
      <c r="AK93" s="398"/>
      <c r="AL93" s="398"/>
      <c r="AM93" s="398"/>
      <c r="BH93" s="398"/>
      <c r="BI93" s="809"/>
      <c r="BJ93" s="809"/>
      <c r="BK93" s="809"/>
      <c r="BL93" s="809"/>
      <c r="BM93" s="809"/>
      <c r="BN93" s="809"/>
    </row>
    <row r="94" spans="15:66">
      <c r="O94" s="398"/>
      <c r="P94" s="398"/>
      <c r="Q94" s="398"/>
      <c r="R94" s="398"/>
      <c r="S94" s="398"/>
      <c r="T94" s="398"/>
      <c r="U94" s="398"/>
      <c r="V94" s="398"/>
      <c r="W94" s="398"/>
      <c r="X94" s="398"/>
      <c r="Y94" s="398"/>
      <c r="Z94" s="398"/>
      <c r="AA94" s="398"/>
      <c r="AB94" s="571"/>
      <c r="AC94" s="571"/>
      <c r="AD94" s="571"/>
      <c r="AE94" s="398"/>
      <c r="AF94" s="398"/>
      <c r="AG94" s="398"/>
      <c r="AH94" s="398"/>
      <c r="AI94" s="398"/>
      <c r="AJ94" s="398"/>
      <c r="AK94" s="398"/>
      <c r="AL94" s="398"/>
      <c r="AM94" s="398"/>
      <c r="AW94" s="414"/>
      <c r="AX94" s="414"/>
      <c r="AY94" s="414"/>
      <c r="AZ94" s="414"/>
      <c r="BH94" s="398"/>
      <c r="BI94" s="809"/>
      <c r="BJ94" s="809"/>
      <c r="BK94" s="809"/>
      <c r="BL94" s="809"/>
      <c r="BM94" s="809"/>
      <c r="BN94" s="809"/>
    </row>
    <row r="95" spans="15:66">
      <c r="O95" s="398"/>
      <c r="P95" s="398"/>
      <c r="Q95" s="398"/>
      <c r="R95" s="398"/>
      <c r="S95" s="398"/>
      <c r="T95" s="398"/>
      <c r="U95" s="398"/>
      <c r="V95" s="398"/>
      <c r="W95" s="398"/>
      <c r="X95" s="398"/>
      <c r="Y95" s="398"/>
      <c r="Z95" s="398"/>
      <c r="AA95" s="398"/>
      <c r="AB95" s="571"/>
      <c r="AC95" s="571"/>
      <c r="AD95" s="571"/>
      <c r="AE95" s="398"/>
      <c r="AF95" s="398"/>
      <c r="AV95" s="414"/>
      <c r="BH95" s="398"/>
      <c r="BI95" s="809"/>
      <c r="BJ95" s="809"/>
      <c r="BK95" s="809"/>
      <c r="BL95" s="809"/>
      <c r="BM95" s="809"/>
      <c r="BN95" s="809"/>
    </row>
    <row r="96" spans="15:66">
      <c r="O96" s="398"/>
      <c r="P96" s="398"/>
      <c r="Q96" s="398"/>
      <c r="R96" s="398"/>
      <c r="S96" s="398"/>
      <c r="T96" s="398"/>
      <c r="U96" s="398"/>
      <c r="V96" s="398"/>
      <c r="W96" s="398"/>
      <c r="X96" s="398"/>
      <c r="Y96" s="398"/>
      <c r="Z96" s="398"/>
      <c r="AA96" s="398"/>
      <c r="AB96" s="571"/>
      <c r="AC96" s="571"/>
      <c r="AD96" s="571"/>
      <c r="AE96" s="398"/>
      <c r="AF96" s="398"/>
      <c r="AG96" s="398"/>
      <c r="AH96" s="398"/>
      <c r="AI96" s="398"/>
      <c r="AJ96" s="398"/>
      <c r="AK96" s="398"/>
      <c r="AL96" s="398"/>
      <c r="AM96" s="398"/>
      <c r="BH96" s="398"/>
      <c r="BI96" s="809"/>
      <c r="BJ96" s="809"/>
      <c r="BK96" s="809"/>
      <c r="BL96" s="809"/>
      <c r="BM96" s="809"/>
      <c r="BN96" s="809"/>
    </row>
    <row r="97" spans="15:66">
      <c r="O97" s="398"/>
      <c r="P97" s="398"/>
      <c r="Q97" s="398"/>
      <c r="R97" s="398"/>
      <c r="S97" s="398"/>
      <c r="T97" s="398"/>
      <c r="U97" s="398"/>
      <c r="V97" s="398"/>
      <c r="W97" s="398"/>
      <c r="X97" s="398"/>
      <c r="Y97" s="398"/>
      <c r="Z97" s="398"/>
      <c r="AA97" s="398"/>
      <c r="AB97" s="571"/>
      <c r="AC97" s="571"/>
      <c r="AD97" s="571"/>
      <c r="AF97" s="398"/>
      <c r="AG97" s="398"/>
      <c r="AH97" s="398"/>
      <c r="AI97" s="398"/>
      <c r="AJ97" s="398"/>
      <c r="AK97" s="398"/>
      <c r="AL97" s="398"/>
      <c r="AM97" s="398"/>
      <c r="AU97" s="414"/>
      <c r="BH97" s="398"/>
      <c r="BI97" s="809"/>
      <c r="BJ97" s="809"/>
      <c r="BK97" s="809"/>
      <c r="BL97" s="809"/>
      <c r="BM97" s="809"/>
      <c r="BN97" s="809"/>
    </row>
    <row r="98" spans="15:66">
      <c r="O98" s="398"/>
      <c r="P98" s="398"/>
      <c r="Q98" s="398"/>
      <c r="R98" s="398"/>
      <c r="S98" s="398"/>
      <c r="T98" s="398"/>
      <c r="U98" s="398"/>
      <c r="V98" s="398"/>
      <c r="W98" s="398"/>
      <c r="X98" s="398"/>
      <c r="Y98" s="398"/>
      <c r="Z98" s="398"/>
      <c r="AA98" s="398"/>
      <c r="AB98" s="549"/>
      <c r="AC98" s="549"/>
      <c r="AD98" s="549"/>
      <c r="AF98" s="398"/>
      <c r="AG98" s="398"/>
      <c r="AH98" s="398"/>
      <c r="AI98" s="398"/>
      <c r="AJ98" s="398"/>
      <c r="AK98" s="398"/>
      <c r="AL98" s="398"/>
      <c r="AM98" s="398"/>
      <c r="BH98" s="398"/>
      <c r="BI98" s="809"/>
      <c r="BJ98" s="809"/>
      <c r="BK98" s="809"/>
      <c r="BL98" s="809"/>
      <c r="BM98" s="809"/>
      <c r="BN98" s="809"/>
    </row>
    <row r="99" spans="15:66">
      <c r="O99" s="398"/>
      <c r="P99" s="398"/>
      <c r="Q99" s="398"/>
      <c r="R99" s="398"/>
      <c r="S99" s="398"/>
      <c r="T99" s="398"/>
      <c r="U99" s="398"/>
      <c r="V99" s="398"/>
      <c r="W99" s="398"/>
      <c r="X99" s="398"/>
      <c r="Y99" s="398"/>
      <c r="Z99" s="398"/>
      <c r="AA99" s="398"/>
      <c r="AB99" s="571"/>
      <c r="AC99" s="571"/>
      <c r="AD99" s="571"/>
      <c r="AF99" s="398"/>
      <c r="AG99" s="398"/>
      <c r="AH99" s="398"/>
      <c r="AI99" s="398"/>
      <c r="AJ99" s="398"/>
      <c r="AK99" s="398"/>
      <c r="AL99" s="398"/>
      <c r="AM99" s="398"/>
      <c r="BH99" s="398"/>
      <c r="BI99" s="809"/>
      <c r="BJ99" s="809"/>
      <c r="BK99" s="809"/>
      <c r="BL99" s="809"/>
      <c r="BM99" s="809"/>
      <c r="BN99" s="809"/>
    </row>
    <row r="100" spans="15:66">
      <c r="O100" s="398"/>
      <c r="P100" s="398"/>
      <c r="Q100" s="398"/>
      <c r="R100" s="398"/>
      <c r="S100" s="398"/>
      <c r="T100" s="398"/>
      <c r="U100" s="398"/>
      <c r="V100" s="398"/>
      <c r="W100" s="398"/>
      <c r="X100" s="398"/>
      <c r="Y100" s="398"/>
      <c r="Z100" s="398"/>
      <c r="AA100" s="398"/>
      <c r="AB100" s="571"/>
      <c r="AC100" s="571"/>
      <c r="AD100" s="571"/>
      <c r="AF100" s="398"/>
      <c r="AG100" s="398"/>
      <c r="AH100" s="398"/>
      <c r="AI100" s="398"/>
      <c r="AJ100" s="398"/>
      <c r="AK100" s="398"/>
      <c r="AL100" s="398"/>
      <c r="AM100" s="398"/>
      <c r="BH100" s="398"/>
      <c r="BI100" s="809"/>
      <c r="BJ100" s="809"/>
      <c r="BK100" s="809"/>
      <c r="BL100" s="809"/>
      <c r="BM100" s="809"/>
      <c r="BN100" s="809"/>
    </row>
    <row r="101" spans="15:66">
      <c r="O101" s="398"/>
      <c r="P101" s="398"/>
      <c r="Q101" s="398"/>
      <c r="R101" s="398"/>
      <c r="S101" s="398"/>
      <c r="T101" s="398"/>
      <c r="U101" s="398"/>
      <c r="V101" s="398"/>
      <c r="W101" s="398"/>
      <c r="X101" s="398"/>
      <c r="Y101" s="398"/>
      <c r="Z101" s="398"/>
      <c r="AA101" s="398"/>
      <c r="AB101" s="571"/>
      <c r="AC101" s="571"/>
      <c r="AD101" s="571"/>
      <c r="AG101" s="398"/>
      <c r="AH101" s="398"/>
      <c r="AI101" s="398"/>
      <c r="AJ101" s="398"/>
      <c r="AK101" s="398"/>
      <c r="AL101" s="398"/>
      <c r="AM101" s="398"/>
      <c r="BH101" s="398"/>
      <c r="BI101" s="809"/>
      <c r="BJ101" s="809"/>
      <c r="BK101" s="809"/>
      <c r="BL101" s="809"/>
      <c r="BM101" s="809"/>
      <c r="BN101" s="809"/>
    </row>
    <row r="102" spans="15:66">
      <c r="O102" s="398"/>
      <c r="P102" s="398"/>
      <c r="Q102" s="398"/>
      <c r="R102" s="398"/>
      <c r="S102" s="398"/>
      <c r="T102" s="398"/>
      <c r="U102" s="398"/>
      <c r="V102" s="398"/>
      <c r="W102" s="398"/>
      <c r="X102" s="398"/>
      <c r="Y102" s="398"/>
      <c r="Z102" s="398"/>
      <c r="AA102" s="398"/>
      <c r="AB102" s="571"/>
      <c r="AC102" s="571"/>
      <c r="AD102" s="571"/>
      <c r="AG102" s="398"/>
      <c r="AH102" s="398"/>
      <c r="AI102" s="398"/>
      <c r="AJ102" s="398"/>
      <c r="AK102" s="398"/>
      <c r="AL102" s="398"/>
      <c r="AM102" s="398"/>
      <c r="BH102" s="398"/>
      <c r="BI102" s="809"/>
      <c r="BJ102" s="809"/>
      <c r="BK102" s="809"/>
      <c r="BL102" s="809"/>
      <c r="BM102" s="809"/>
      <c r="BN102" s="809"/>
    </row>
    <row r="103" spans="15:66">
      <c r="O103" s="398"/>
      <c r="P103" s="398"/>
      <c r="Q103" s="398"/>
      <c r="R103" s="398"/>
      <c r="S103" s="398"/>
      <c r="T103" s="398"/>
      <c r="U103" s="398"/>
      <c r="V103" s="398"/>
      <c r="W103" s="398"/>
      <c r="X103" s="398"/>
      <c r="Y103" s="398"/>
      <c r="Z103" s="398"/>
      <c r="AA103" s="398"/>
      <c r="AB103" s="571"/>
      <c r="AC103" s="571"/>
      <c r="AD103" s="571"/>
      <c r="AG103" s="398"/>
      <c r="AH103" s="398"/>
      <c r="AI103" s="398"/>
      <c r="AJ103" s="398"/>
      <c r="AK103" s="398"/>
      <c r="AL103" s="398"/>
      <c r="AM103" s="398"/>
      <c r="BH103" s="398"/>
      <c r="BI103" s="809"/>
      <c r="BJ103" s="809"/>
      <c r="BK103" s="809"/>
      <c r="BL103" s="809"/>
      <c r="BM103" s="809"/>
      <c r="BN103" s="809"/>
    </row>
    <row r="104" spans="15:66">
      <c r="O104" s="398"/>
      <c r="P104" s="398"/>
      <c r="Q104" s="398"/>
      <c r="R104" s="398"/>
      <c r="S104" s="398"/>
      <c r="T104" s="398"/>
      <c r="U104" s="398"/>
      <c r="V104" s="398"/>
      <c r="W104" s="398"/>
      <c r="X104" s="398"/>
      <c r="Y104" s="398"/>
      <c r="Z104" s="398"/>
      <c r="AA104" s="398"/>
      <c r="AB104" s="571"/>
      <c r="AC104" s="571"/>
      <c r="AD104" s="571"/>
      <c r="AE104" s="414"/>
      <c r="AG104" s="398"/>
      <c r="AH104" s="398"/>
      <c r="AI104" s="398"/>
      <c r="AJ104" s="398"/>
      <c r="AK104" s="398"/>
      <c r="AL104" s="398"/>
      <c r="AM104" s="398"/>
      <c r="BH104" s="398"/>
      <c r="BI104" s="809"/>
      <c r="BJ104" s="809"/>
      <c r="BK104" s="809"/>
      <c r="BL104" s="809"/>
      <c r="BM104" s="809"/>
      <c r="BN104" s="809"/>
    </row>
    <row r="105" spans="15:66">
      <c r="O105" s="398"/>
      <c r="P105" s="398"/>
      <c r="Q105" s="398"/>
      <c r="R105" s="398"/>
      <c r="S105" s="398"/>
      <c r="T105" s="398"/>
      <c r="U105" s="398"/>
      <c r="V105" s="398"/>
      <c r="W105" s="398"/>
      <c r="X105" s="398"/>
      <c r="Y105" s="398"/>
      <c r="Z105" s="398"/>
      <c r="AA105" s="398"/>
      <c r="AB105" s="571"/>
      <c r="AC105" s="571"/>
      <c r="AD105" s="571"/>
      <c r="AE105" s="439"/>
      <c r="AG105" s="398"/>
      <c r="AH105" s="398"/>
      <c r="AI105" s="398"/>
      <c r="AJ105" s="398"/>
      <c r="AK105" s="398"/>
      <c r="AL105" s="398"/>
      <c r="AM105" s="398"/>
      <c r="BH105" s="398"/>
      <c r="BI105" s="809"/>
      <c r="BJ105" s="809"/>
      <c r="BK105" s="809"/>
      <c r="BL105" s="809"/>
      <c r="BM105" s="809"/>
      <c r="BN105" s="809"/>
    </row>
    <row r="106" spans="15:66">
      <c r="O106" s="398"/>
      <c r="P106" s="398"/>
      <c r="Q106" s="398"/>
      <c r="R106" s="398"/>
      <c r="S106" s="398"/>
      <c r="T106" s="398"/>
      <c r="U106" s="398"/>
      <c r="V106" s="398"/>
      <c r="W106" s="398"/>
      <c r="X106" s="398"/>
      <c r="Y106" s="398"/>
      <c r="Z106" s="398"/>
      <c r="AA106" s="398"/>
      <c r="AB106" s="571"/>
      <c r="AC106" s="571"/>
      <c r="AD106" s="571"/>
      <c r="AE106" s="398"/>
      <c r="AG106" s="398"/>
      <c r="AH106" s="398"/>
      <c r="AI106" s="398"/>
      <c r="AJ106" s="398"/>
      <c r="AK106" s="398"/>
      <c r="AL106" s="398"/>
      <c r="AM106" s="398"/>
      <c r="BH106" s="398"/>
      <c r="BI106" s="809"/>
      <c r="BJ106" s="809"/>
      <c r="BK106" s="809"/>
      <c r="BL106" s="809"/>
      <c r="BM106" s="809"/>
      <c r="BN106" s="809"/>
    </row>
    <row r="107" spans="15:66">
      <c r="O107" s="398"/>
      <c r="P107" s="398"/>
      <c r="Q107" s="398"/>
      <c r="R107" s="398"/>
      <c r="S107" s="398"/>
      <c r="T107" s="398"/>
      <c r="U107" s="398"/>
      <c r="V107" s="398"/>
      <c r="W107" s="398"/>
      <c r="X107" s="398"/>
      <c r="Y107" s="398"/>
      <c r="Z107" s="398"/>
      <c r="AA107" s="398"/>
      <c r="AB107" s="571"/>
      <c r="AC107" s="571"/>
      <c r="AD107" s="571"/>
      <c r="BH107" s="398"/>
      <c r="BI107" s="809"/>
      <c r="BJ107" s="809"/>
      <c r="BK107" s="809"/>
      <c r="BL107" s="809"/>
      <c r="BM107" s="809"/>
      <c r="BN107" s="809"/>
    </row>
    <row r="108" spans="15:66">
      <c r="O108" s="398"/>
      <c r="P108" s="398"/>
      <c r="Q108" s="398"/>
      <c r="R108" s="398"/>
      <c r="S108" s="398"/>
      <c r="T108" s="398"/>
      <c r="U108" s="398"/>
      <c r="V108" s="398"/>
      <c r="W108" s="398"/>
      <c r="X108" s="398"/>
      <c r="Y108" s="398"/>
      <c r="Z108" s="398"/>
      <c r="AA108" s="398"/>
      <c r="AB108" s="571"/>
      <c r="AC108" s="571"/>
      <c r="AD108" s="571"/>
      <c r="AF108" s="414"/>
      <c r="BH108" s="398"/>
      <c r="BI108" s="809"/>
      <c r="BJ108" s="809"/>
      <c r="BK108" s="809"/>
      <c r="BL108" s="809"/>
      <c r="BM108" s="809"/>
      <c r="BN108" s="809"/>
    </row>
    <row r="109" spans="15:66">
      <c r="O109" s="398"/>
      <c r="P109" s="398"/>
      <c r="Q109" s="398"/>
      <c r="R109" s="398"/>
      <c r="S109" s="398"/>
      <c r="T109" s="398"/>
      <c r="U109" s="398"/>
      <c r="V109" s="398"/>
      <c r="W109" s="398"/>
      <c r="X109" s="398"/>
      <c r="Y109" s="398"/>
      <c r="Z109" s="398"/>
      <c r="AA109" s="398"/>
      <c r="AB109" s="571"/>
      <c r="AC109" s="571"/>
      <c r="AD109" s="571"/>
      <c r="AF109" s="439"/>
      <c r="BH109" s="398"/>
      <c r="BI109" s="809"/>
      <c r="BJ109" s="809"/>
      <c r="BK109" s="809"/>
      <c r="BL109" s="809"/>
      <c r="BM109" s="809"/>
      <c r="BN109" s="809"/>
    </row>
    <row r="110" spans="15:66">
      <c r="O110" s="398"/>
      <c r="P110" s="398"/>
      <c r="Q110" s="398"/>
      <c r="R110" s="398"/>
      <c r="S110" s="398"/>
      <c r="T110" s="398"/>
      <c r="U110" s="398"/>
      <c r="V110" s="398"/>
      <c r="W110" s="398"/>
      <c r="X110" s="398"/>
      <c r="Y110" s="398"/>
      <c r="Z110" s="398"/>
      <c r="AA110" s="398"/>
      <c r="AB110" s="549"/>
      <c r="AC110" s="549"/>
      <c r="AD110" s="549"/>
      <c r="AE110" s="398"/>
      <c r="AF110" s="398"/>
      <c r="AT110" s="398"/>
      <c r="BH110" s="398"/>
      <c r="BI110" s="809"/>
      <c r="BJ110" s="809"/>
      <c r="BK110" s="809"/>
      <c r="BL110" s="809"/>
      <c r="BM110" s="809"/>
      <c r="BN110" s="809"/>
    </row>
    <row r="111" spans="15:66">
      <c r="O111" s="398"/>
      <c r="P111" s="398"/>
      <c r="Q111" s="398"/>
      <c r="R111" s="398"/>
      <c r="S111" s="398"/>
      <c r="T111" s="398"/>
      <c r="U111" s="398"/>
      <c r="V111" s="398"/>
      <c r="W111" s="398"/>
      <c r="X111" s="398"/>
      <c r="Y111" s="398"/>
      <c r="Z111" s="398"/>
      <c r="AA111" s="398"/>
      <c r="AB111" s="549"/>
      <c r="AC111" s="549"/>
      <c r="AD111" s="549"/>
      <c r="AT111" s="398"/>
      <c r="BH111" s="398"/>
      <c r="BI111" s="809"/>
      <c r="BJ111" s="809"/>
      <c r="BK111" s="809"/>
      <c r="BL111" s="809"/>
      <c r="BM111" s="809"/>
      <c r="BN111" s="809"/>
    </row>
    <row r="112" spans="15:66">
      <c r="O112" s="398"/>
      <c r="P112" s="398"/>
      <c r="Q112" s="398"/>
      <c r="R112" s="398"/>
      <c r="S112" s="398"/>
      <c r="T112" s="398"/>
      <c r="U112" s="398"/>
      <c r="V112" s="398"/>
      <c r="W112" s="398"/>
      <c r="X112" s="398"/>
      <c r="Y112" s="398"/>
      <c r="Z112" s="398"/>
      <c r="AA112" s="398"/>
      <c r="AB112" s="549"/>
      <c r="AC112" s="549"/>
      <c r="AD112" s="549"/>
      <c r="AT112" s="398"/>
      <c r="BH112" s="398"/>
      <c r="BI112" s="809"/>
      <c r="BJ112" s="809"/>
      <c r="BK112" s="809"/>
      <c r="BL112" s="809"/>
      <c r="BM112" s="809"/>
      <c r="BN112" s="809"/>
    </row>
    <row r="113" spans="15:66">
      <c r="O113" s="387"/>
      <c r="P113" s="387"/>
      <c r="Q113" s="387"/>
      <c r="R113" s="387"/>
      <c r="S113" s="387"/>
      <c r="T113" s="387"/>
      <c r="U113" s="387"/>
      <c r="V113" s="387"/>
      <c r="W113" s="387"/>
      <c r="X113" s="387"/>
      <c r="Y113" s="387"/>
      <c r="Z113" s="387"/>
      <c r="AA113" s="387"/>
      <c r="AB113" s="549"/>
      <c r="AC113" s="549"/>
      <c r="AD113" s="549"/>
      <c r="AT113" s="402"/>
      <c r="AW113" s="398"/>
      <c r="AX113" s="398"/>
      <c r="AY113" s="398"/>
      <c r="AZ113" s="398"/>
      <c r="BA113" s="398"/>
      <c r="BB113" s="398"/>
      <c r="BC113" s="398"/>
      <c r="BD113" s="398"/>
      <c r="BE113" s="398"/>
      <c r="BF113" s="398"/>
      <c r="BG113" s="398"/>
      <c r="BH113" s="398"/>
      <c r="BI113" s="809"/>
      <c r="BJ113" s="809"/>
      <c r="BK113" s="809"/>
      <c r="BL113" s="809"/>
      <c r="BM113" s="809"/>
      <c r="BN113" s="809"/>
    </row>
    <row r="114" spans="15:66">
      <c r="AE114" s="398"/>
      <c r="AF114" s="398"/>
      <c r="AG114" s="414"/>
      <c r="AH114" s="414"/>
      <c r="AI114" s="414"/>
      <c r="AJ114" s="414"/>
      <c r="AK114" s="414"/>
      <c r="AL114" s="414"/>
      <c r="AM114" s="414"/>
      <c r="AT114" s="398"/>
      <c r="AV114" s="398"/>
      <c r="AW114" s="398"/>
      <c r="AX114" s="398"/>
      <c r="AY114" s="398"/>
      <c r="AZ114" s="398"/>
      <c r="BA114" s="398"/>
      <c r="BB114" s="398"/>
      <c r="BC114" s="398"/>
      <c r="BD114" s="398"/>
      <c r="BE114" s="398"/>
      <c r="BF114" s="398"/>
      <c r="BG114" s="398"/>
      <c r="BH114" s="398"/>
      <c r="BI114" s="809"/>
      <c r="BJ114" s="809"/>
      <c r="BK114" s="809"/>
      <c r="BL114" s="809"/>
      <c r="BM114" s="809"/>
      <c r="BN114" s="809"/>
    </row>
    <row r="115" spans="15:66">
      <c r="AE115" s="398"/>
      <c r="AG115" s="439"/>
      <c r="AH115" s="439"/>
      <c r="AI115" s="439"/>
      <c r="AJ115" s="439"/>
      <c r="AK115" s="439"/>
      <c r="AL115" s="439"/>
      <c r="AM115" s="439"/>
      <c r="AT115" s="398"/>
      <c r="AV115" s="398"/>
      <c r="AW115" s="398"/>
      <c r="AX115" s="398"/>
      <c r="AY115" s="398"/>
      <c r="AZ115" s="398"/>
      <c r="BA115" s="398"/>
      <c r="BB115" s="398"/>
      <c r="BC115" s="398"/>
      <c r="BD115" s="398"/>
      <c r="BE115" s="398"/>
      <c r="BF115" s="398"/>
      <c r="BG115" s="398"/>
      <c r="BH115" s="398"/>
      <c r="BI115" s="809"/>
      <c r="BJ115" s="809"/>
      <c r="BK115" s="809"/>
      <c r="BL115" s="809"/>
      <c r="BM115" s="809"/>
      <c r="BN115" s="809"/>
    </row>
    <row r="116" spans="15:66">
      <c r="AE116" s="398"/>
      <c r="AG116" s="398"/>
      <c r="AH116" s="398"/>
      <c r="AI116" s="398"/>
      <c r="AJ116" s="398"/>
      <c r="AK116" s="398"/>
      <c r="AL116" s="398"/>
      <c r="AM116" s="398"/>
      <c r="AT116" s="398"/>
      <c r="AU116" s="398"/>
      <c r="AV116" s="398"/>
      <c r="AW116" s="402"/>
      <c r="AX116" s="402"/>
      <c r="AY116" s="402"/>
      <c r="AZ116" s="402"/>
      <c r="BA116" s="402"/>
      <c r="BB116" s="402"/>
      <c r="BC116" s="402"/>
      <c r="BD116" s="402"/>
      <c r="BE116" s="402"/>
      <c r="BF116" s="402"/>
      <c r="BG116" s="402"/>
      <c r="BH116" s="398"/>
      <c r="BI116" s="809"/>
      <c r="BJ116" s="809"/>
      <c r="BK116" s="809"/>
      <c r="BL116" s="809"/>
      <c r="BM116" s="809"/>
      <c r="BN116" s="809"/>
    </row>
    <row r="117" spans="15:66">
      <c r="AE117" s="398"/>
      <c r="AT117" s="398"/>
      <c r="AU117" s="398"/>
      <c r="AV117" s="402"/>
      <c r="AW117" s="398"/>
      <c r="AX117" s="398"/>
      <c r="AY117" s="398"/>
      <c r="AZ117" s="398"/>
      <c r="BA117" s="398"/>
      <c r="BB117" s="398"/>
      <c r="BC117" s="398"/>
      <c r="BD117" s="398"/>
      <c r="BE117" s="398"/>
      <c r="BF117" s="398"/>
      <c r="BG117" s="398"/>
      <c r="BH117" s="398"/>
      <c r="BI117" s="809"/>
      <c r="BJ117" s="809"/>
      <c r="BK117" s="809"/>
      <c r="BL117" s="809"/>
      <c r="BM117" s="809"/>
      <c r="BN117" s="809"/>
    </row>
    <row r="118" spans="15:66">
      <c r="AF118" s="398"/>
      <c r="AT118" s="398"/>
      <c r="AU118" s="398"/>
      <c r="AV118" s="398"/>
      <c r="AW118" s="398"/>
      <c r="AX118" s="398"/>
      <c r="AY118" s="398"/>
      <c r="AZ118" s="398"/>
      <c r="BA118" s="398"/>
      <c r="BB118" s="398"/>
      <c r="BC118" s="398"/>
      <c r="BD118" s="398"/>
      <c r="BE118" s="398"/>
      <c r="BF118" s="398"/>
      <c r="BG118" s="398"/>
      <c r="BH118" s="398"/>
      <c r="BI118" s="809"/>
      <c r="BJ118" s="809"/>
      <c r="BK118" s="809"/>
      <c r="BL118" s="809"/>
      <c r="BM118" s="809"/>
      <c r="BN118" s="809"/>
    </row>
    <row r="119" spans="15:66">
      <c r="AE119" s="398"/>
      <c r="AF119" s="398"/>
      <c r="AP119" s="398"/>
      <c r="AQ119" s="398"/>
      <c r="AR119" s="398"/>
      <c r="AS119" s="398"/>
      <c r="AT119" s="398"/>
      <c r="AU119" s="402"/>
      <c r="AV119" s="398"/>
      <c r="AW119" s="398"/>
      <c r="AX119" s="398"/>
      <c r="AY119" s="398"/>
      <c r="AZ119" s="398"/>
      <c r="BA119" s="398"/>
      <c r="BB119" s="398"/>
      <c r="BC119" s="398"/>
      <c r="BD119" s="398"/>
      <c r="BE119" s="398"/>
      <c r="BF119" s="398"/>
      <c r="BG119" s="398"/>
      <c r="BH119" s="398"/>
      <c r="BI119" s="809"/>
      <c r="BJ119" s="809"/>
      <c r="BK119" s="809"/>
      <c r="BL119" s="809"/>
      <c r="BM119" s="809"/>
      <c r="BN119" s="809"/>
    </row>
    <row r="120" spans="15:66">
      <c r="AE120" s="398"/>
      <c r="AF120" s="398"/>
      <c r="AG120" s="398"/>
      <c r="AH120" s="398"/>
      <c r="AI120" s="398"/>
      <c r="AJ120" s="398"/>
      <c r="AK120" s="398"/>
      <c r="AL120" s="398"/>
      <c r="AM120" s="398"/>
      <c r="AP120" s="398"/>
      <c r="AQ120" s="398"/>
      <c r="AR120" s="398"/>
      <c r="AS120" s="398"/>
      <c r="AT120" s="398"/>
      <c r="AU120" s="398"/>
      <c r="AV120" s="398"/>
      <c r="AW120" s="398"/>
      <c r="AX120" s="398"/>
      <c r="AY120" s="398"/>
      <c r="AZ120" s="398"/>
      <c r="BA120" s="398"/>
      <c r="BB120" s="398"/>
      <c r="BC120" s="398"/>
      <c r="BD120" s="398"/>
      <c r="BE120" s="398"/>
      <c r="BF120" s="398"/>
      <c r="BG120" s="398"/>
      <c r="BH120" s="398"/>
      <c r="BI120" s="809"/>
      <c r="BJ120" s="809"/>
      <c r="BK120" s="809"/>
      <c r="BL120" s="809"/>
      <c r="BM120" s="809"/>
      <c r="BN120" s="809"/>
    </row>
    <row r="121" spans="15:66">
      <c r="AE121" s="398"/>
      <c r="AF121" s="398"/>
      <c r="AP121" s="398"/>
      <c r="AQ121" s="398"/>
      <c r="AR121" s="398"/>
      <c r="AS121" s="398"/>
      <c r="AT121" s="398"/>
      <c r="AU121" s="398"/>
      <c r="AV121" s="398"/>
      <c r="AW121" s="398"/>
      <c r="AX121" s="398"/>
      <c r="AY121" s="398"/>
      <c r="AZ121" s="398"/>
      <c r="BA121" s="398"/>
      <c r="BB121" s="398"/>
      <c r="BC121" s="398"/>
      <c r="BD121" s="398"/>
      <c r="BE121" s="398"/>
      <c r="BF121" s="398"/>
      <c r="BG121" s="398"/>
      <c r="BH121" s="398"/>
      <c r="BI121" s="809"/>
      <c r="BJ121" s="809"/>
      <c r="BK121" s="809"/>
      <c r="BL121" s="809"/>
      <c r="BM121" s="809"/>
      <c r="BN121" s="809"/>
    </row>
    <row r="122" spans="15:66">
      <c r="AE122" s="398"/>
      <c r="AP122" s="398"/>
      <c r="AQ122" s="398"/>
      <c r="AR122" s="398"/>
      <c r="AS122" s="398"/>
      <c r="AT122" s="398"/>
      <c r="AU122" s="398"/>
      <c r="AV122" s="398"/>
      <c r="AW122" s="398"/>
      <c r="AX122" s="398"/>
      <c r="AY122" s="398"/>
      <c r="AZ122" s="398"/>
      <c r="BA122" s="398"/>
      <c r="BB122" s="398"/>
      <c r="BC122" s="398"/>
      <c r="BD122" s="398"/>
      <c r="BE122" s="398"/>
      <c r="BF122" s="398"/>
      <c r="BG122" s="398"/>
      <c r="BH122" s="398"/>
      <c r="BI122" s="809"/>
      <c r="BJ122" s="809"/>
      <c r="BK122" s="809"/>
      <c r="BL122" s="809"/>
      <c r="BM122" s="809"/>
      <c r="BN122" s="809"/>
    </row>
    <row r="123" spans="15:66">
      <c r="AE123" s="398"/>
      <c r="AF123" s="398"/>
      <c r="AP123" s="398"/>
      <c r="AQ123" s="398"/>
      <c r="AR123" s="398"/>
      <c r="AS123" s="398"/>
      <c r="AT123" s="398"/>
      <c r="AU123" s="398"/>
      <c r="AV123" s="398"/>
      <c r="AW123" s="398"/>
      <c r="AX123" s="398"/>
      <c r="AY123" s="398"/>
      <c r="AZ123" s="398"/>
      <c r="BA123" s="398"/>
      <c r="BB123" s="398"/>
      <c r="BC123" s="398"/>
      <c r="BD123" s="398"/>
      <c r="BE123" s="398"/>
      <c r="BF123" s="398"/>
      <c r="BG123" s="398"/>
      <c r="BH123" s="398"/>
      <c r="BI123" s="809"/>
      <c r="BJ123" s="809"/>
      <c r="BK123" s="809"/>
      <c r="BL123" s="809"/>
      <c r="BM123" s="809"/>
      <c r="BN123" s="809"/>
    </row>
    <row r="124" spans="15:66">
      <c r="AE124" s="398"/>
      <c r="AF124" s="398"/>
      <c r="AG124" s="398"/>
      <c r="AH124" s="398"/>
      <c r="AI124" s="398"/>
      <c r="AJ124" s="398"/>
      <c r="AK124" s="398"/>
      <c r="AL124" s="398"/>
      <c r="AM124" s="398"/>
      <c r="AP124" s="398"/>
      <c r="AQ124" s="398"/>
      <c r="AR124" s="398"/>
      <c r="AS124" s="398"/>
      <c r="AT124" s="398"/>
      <c r="AU124" s="398"/>
      <c r="AV124" s="398"/>
      <c r="AW124" s="398"/>
      <c r="AX124" s="398"/>
      <c r="AY124" s="398"/>
      <c r="AZ124" s="398"/>
      <c r="BA124" s="398"/>
      <c r="BB124" s="398"/>
      <c r="BC124" s="398"/>
      <c r="BD124" s="398"/>
      <c r="BE124" s="398"/>
      <c r="BF124" s="398"/>
      <c r="BG124" s="398"/>
      <c r="BH124" s="398"/>
      <c r="BI124" s="809"/>
      <c r="BJ124" s="809"/>
      <c r="BK124" s="809"/>
      <c r="BL124" s="809"/>
      <c r="BM124" s="809"/>
      <c r="BN124" s="809"/>
    </row>
    <row r="125" spans="15:66">
      <c r="AE125" s="398"/>
      <c r="AF125" s="398"/>
      <c r="AG125" s="398"/>
      <c r="AH125" s="398"/>
      <c r="AI125" s="398"/>
      <c r="AJ125" s="398"/>
      <c r="AK125" s="398"/>
      <c r="AL125" s="398"/>
      <c r="AM125" s="398"/>
      <c r="AP125" s="398"/>
      <c r="AQ125" s="398"/>
      <c r="AR125" s="398"/>
      <c r="AS125" s="398"/>
      <c r="AT125" s="398"/>
      <c r="AU125" s="398"/>
      <c r="AV125" s="398"/>
      <c r="AW125" s="398"/>
      <c r="AX125" s="398"/>
      <c r="AY125" s="398"/>
      <c r="AZ125" s="398"/>
      <c r="BA125" s="398"/>
      <c r="BB125" s="398"/>
      <c r="BC125" s="398"/>
      <c r="BD125" s="398"/>
      <c r="BE125" s="398"/>
      <c r="BF125" s="398"/>
      <c r="BG125" s="398"/>
      <c r="BH125" s="398"/>
      <c r="BI125" s="809"/>
      <c r="BJ125" s="809"/>
      <c r="BK125" s="809"/>
      <c r="BL125" s="809"/>
      <c r="BM125" s="809"/>
      <c r="BN125" s="809"/>
    </row>
    <row r="126" spans="15:66">
      <c r="AE126" s="398"/>
      <c r="AF126" s="398"/>
      <c r="AG126" s="398"/>
      <c r="AH126" s="398"/>
      <c r="AI126" s="398"/>
      <c r="AJ126" s="398"/>
      <c r="AK126" s="398"/>
      <c r="AL126" s="398"/>
      <c r="AM126" s="398"/>
      <c r="AP126" s="398"/>
      <c r="AQ126" s="398"/>
      <c r="AR126" s="398"/>
      <c r="AS126" s="398"/>
      <c r="AT126" s="398"/>
      <c r="AU126" s="398"/>
      <c r="AV126" s="398"/>
      <c r="AW126" s="398"/>
      <c r="AX126" s="398"/>
      <c r="AY126" s="398"/>
      <c r="AZ126" s="398"/>
      <c r="BA126" s="398"/>
      <c r="BB126" s="398"/>
      <c r="BC126" s="398"/>
      <c r="BD126" s="398"/>
      <c r="BE126" s="398"/>
      <c r="BF126" s="398"/>
      <c r="BG126" s="398"/>
      <c r="BH126" s="398"/>
      <c r="BI126" s="809"/>
      <c r="BJ126" s="809"/>
      <c r="BK126" s="809"/>
      <c r="BL126" s="809"/>
      <c r="BM126" s="809"/>
      <c r="BN126" s="809"/>
    </row>
    <row r="127" spans="15:66">
      <c r="AE127" s="398"/>
      <c r="AF127" s="398"/>
      <c r="AG127" s="398"/>
      <c r="AH127" s="398"/>
      <c r="AI127" s="398"/>
      <c r="AJ127" s="398"/>
      <c r="AK127" s="398"/>
      <c r="AL127" s="398"/>
      <c r="AM127" s="398"/>
      <c r="AP127" s="398"/>
      <c r="AQ127" s="398"/>
      <c r="AR127" s="398"/>
      <c r="AS127" s="398"/>
      <c r="AT127" s="398"/>
      <c r="AU127" s="398"/>
      <c r="AV127" s="398"/>
      <c r="AW127" s="398"/>
      <c r="AX127" s="398"/>
      <c r="AY127" s="398"/>
      <c r="AZ127" s="398"/>
      <c r="BA127" s="398"/>
      <c r="BB127" s="398"/>
      <c r="BC127" s="398"/>
      <c r="BD127" s="398"/>
      <c r="BE127" s="398"/>
      <c r="BF127" s="398"/>
      <c r="BG127" s="398"/>
      <c r="BH127" s="398"/>
      <c r="BI127" s="809"/>
      <c r="BJ127" s="809"/>
      <c r="BK127" s="809"/>
      <c r="BL127" s="809"/>
      <c r="BM127" s="809"/>
      <c r="BN127" s="809"/>
    </row>
    <row r="128" spans="15:66">
      <c r="AE128" s="398"/>
      <c r="AF128" s="398"/>
      <c r="AP128" s="398"/>
      <c r="AQ128" s="398"/>
      <c r="AR128" s="398"/>
      <c r="AS128" s="398"/>
      <c r="AT128" s="398"/>
      <c r="AU128" s="398"/>
      <c r="AV128" s="398"/>
      <c r="AW128" s="398"/>
      <c r="AX128" s="398"/>
      <c r="AY128" s="398"/>
      <c r="AZ128" s="398"/>
      <c r="BA128" s="398"/>
      <c r="BB128" s="398"/>
      <c r="BC128" s="398"/>
      <c r="BD128" s="398"/>
      <c r="BE128" s="398"/>
      <c r="BF128" s="398"/>
      <c r="BG128" s="398"/>
      <c r="BH128" s="398"/>
      <c r="BI128" s="809"/>
      <c r="BJ128" s="809"/>
      <c r="BK128" s="809"/>
      <c r="BL128" s="809"/>
      <c r="BM128" s="809"/>
      <c r="BN128" s="809"/>
    </row>
    <row r="129" spans="31:66">
      <c r="AE129" s="398"/>
      <c r="AF129" s="398"/>
      <c r="AG129" s="398"/>
      <c r="AH129" s="398"/>
      <c r="AI129" s="398"/>
      <c r="AJ129" s="398"/>
      <c r="AK129" s="398"/>
      <c r="AL129" s="398"/>
      <c r="AM129" s="398"/>
      <c r="AP129" s="398"/>
      <c r="AQ129" s="398"/>
      <c r="AR129" s="398"/>
      <c r="AS129" s="398"/>
      <c r="AT129" s="398"/>
      <c r="AU129" s="398"/>
      <c r="AV129" s="398"/>
      <c r="AW129" s="398"/>
      <c r="AX129" s="398"/>
      <c r="AY129" s="398"/>
      <c r="AZ129" s="398"/>
      <c r="BA129" s="398"/>
      <c r="BB129" s="398"/>
      <c r="BC129" s="398"/>
      <c r="BD129" s="398"/>
      <c r="BE129" s="398"/>
      <c r="BF129" s="398"/>
      <c r="BG129" s="398"/>
      <c r="BH129" s="398"/>
      <c r="BI129" s="809"/>
      <c r="BJ129" s="809"/>
      <c r="BK129" s="809"/>
      <c r="BL129" s="809"/>
      <c r="BM129" s="809"/>
      <c r="BN129" s="809"/>
    </row>
    <row r="130" spans="31:66">
      <c r="AF130" s="398"/>
      <c r="AG130" s="398"/>
      <c r="AH130" s="398"/>
      <c r="AI130" s="398"/>
      <c r="AJ130" s="398"/>
      <c r="AK130" s="398"/>
      <c r="AL130" s="398"/>
      <c r="AM130" s="398"/>
      <c r="AT130" s="398"/>
      <c r="AU130" s="398"/>
      <c r="AV130" s="398"/>
      <c r="AW130" s="398"/>
      <c r="AX130" s="398"/>
      <c r="AY130" s="398"/>
      <c r="AZ130" s="398"/>
      <c r="BA130" s="398"/>
      <c r="BB130" s="398"/>
      <c r="BC130" s="398"/>
      <c r="BD130" s="398"/>
      <c r="BE130" s="398"/>
      <c r="BF130" s="398"/>
      <c r="BG130" s="398"/>
      <c r="BH130" s="398"/>
      <c r="BI130" s="809"/>
      <c r="BJ130" s="809"/>
      <c r="BK130" s="809"/>
      <c r="BL130" s="809"/>
      <c r="BM130" s="809"/>
      <c r="BN130" s="809"/>
    </row>
    <row r="131" spans="31:66">
      <c r="AF131" s="398"/>
      <c r="AG131" s="398"/>
      <c r="AH131" s="398"/>
      <c r="AI131" s="398"/>
      <c r="AJ131" s="398"/>
      <c r="AK131" s="398"/>
      <c r="AL131" s="398"/>
      <c r="AM131" s="398"/>
      <c r="AP131" s="398"/>
      <c r="AQ131" s="398"/>
      <c r="AR131" s="398"/>
      <c r="AS131" s="398"/>
      <c r="AU131" s="398"/>
      <c r="AV131" s="398"/>
      <c r="AW131" s="398"/>
      <c r="AX131" s="398"/>
      <c r="AY131" s="398"/>
      <c r="AZ131" s="398"/>
      <c r="BA131" s="398"/>
      <c r="BB131" s="398"/>
      <c r="BC131" s="398"/>
      <c r="BD131" s="398"/>
      <c r="BE131" s="398"/>
      <c r="BF131" s="398"/>
      <c r="BG131" s="398"/>
      <c r="BH131" s="398"/>
      <c r="BI131" s="809"/>
      <c r="BJ131" s="809"/>
      <c r="BK131" s="809"/>
      <c r="BL131" s="809"/>
      <c r="BM131" s="809"/>
      <c r="BN131" s="809"/>
    </row>
    <row r="132" spans="31:66">
      <c r="AF132" s="398"/>
      <c r="AG132" s="398"/>
      <c r="AH132" s="398"/>
      <c r="AI132" s="398"/>
      <c r="AJ132" s="398"/>
      <c r="AK132" s="398"/>
      <c r="AL132" s="398"/>
      <c r="AM132" s="398"/>
      <c r="AP132" s="398"/>
      <c r="AQ132" s="398"/>
      <c r="AR132" s="398"/>
      <c r="AS132" s="398"/>
      <c r="AT132" s="398"/>
      <c r="AU132" s="398"/>
      <c r="AV132" s="398"/>
      <c r="AW132" s="398"/>
      <c r="AX132" s="398"/>
      <c r="AY132" s="398"/>
      <c r="AZ132" s="398"/>
      <c r="BA132" s="398"/>
      <c r="BB132" s="398"/>
      <c r="BC132" s="398"/>
      <c r="BD132" s="398"/>
      <c r="BE132" s="398"/>
      <c r="BF132" s="398"/>
      <c r="BG132" s="398"/>
      <c r="BH132" s="398"/>
      <c r="BI132" s="809"/>
      <c r="BJ132" s="809"/>
      <c r="BK132" s="809"/>
      <c r="BL132" s="809"/>
      <c r="BM132" s="809"/>
      <c r="BN132" s="809"/>
    </row>
    <row r="133" spans="31:66">
      <c r="AF133" s="398"/>
      <c r="AG133" s="398"/>
      <c r="AH133" s="398"/>
      <c r="AI133" s="398"/>
      <c r="AJ133" s="398"/>
      <c r="AK133" s="398"/>
      <c r="AL133" s="398"/>
      <c r="AM133" s="398"/>
      <c r="AT133" s="398"/>
      <c r="AU133" s="398"/>
      <c r="AV133" s="398"/>
      <c r="AW133" s="398"/>
      <c r="AX133" s="398"/>
      <c r="AY133" s="398"/>
      <c r="AZ133" s="398"/>
      <c r="BA133" s="398"/>
      <c r="BB133" s="398"/>
      <c r="BC133" s="398"/>
      <c r="BD133" s="398"/>
      <c r="BE133" s="398"/>
      <c r="BF133" s="398"/>
      <c r="BG133" s="398"/>
      <c r="BH133" s="398"/>
      <c r="BI133" s="809"/>
      <c r="BJ133" s="809"/>
      <c r="BK133" s="809"/>
      <c r="BL133" s="809"/>
      <c r="BM133" s="809"/>
      <c r="BN133" s="809"/>
    </row>
    <row r="134" spans="31:66">
      <c r="AG134" s="398"/>
      <c r="AH134" s="398"/>
      <c r="AI134" s="398"/>
      <c r="AJ134" s="398"/>
      <c r="AK134" s="398"/>
      <c r="AL134" s="398"/>
      <c r="AM134" s="398"/>
      <c r="AP134" s="402"/>
      <c r="AQ134" s="402"/>
      <c r="AR134" s="402"/>
      <c r="AS134" s="402"/>
      <c r="AU134" s="398"/>
      <c r="AV134" s="398"/>
      <c r="BH134" s="398"/>
      <c r="BI134" s="809"/>
      <c r="BJ134" s="809"/>
      <c r="BK134" s="809"/>
      <c r="BL134" s="809"/>
      <c r="BM134" s="809"/>
      <c r="BN134" s="809"/>
    </row>
    <row r="135" spans="31:66">
      <c r="AG135" s="398"/>
      <c r="AH135" s="398"/>
      <c r="AI135" s="398"/>
      <c r="AJ135" s="398"/>
      <c r="AK135" s="398"/>
      <c r="AL135" s="398"/>
      <c r="AM135" s="398"/>
      <c r="AP135" s="398"/>
      <c r="AQ135" s="398"/>
      <c r="AR135" s="398"/>
      <c r="AS135" s="398"/>
      <c r="AT135" s="402"/>
      <c r="AU135" s="398"/>
      <c r="AW135" s="398"/>
      <c r="AX135" s="398"/>
      <c r="AY135" s="398"/>
      <c r="AZ135" s="398"/>
      <c r="BA135" s="398"/>
      <c r="BB135" s="398"/>
      <c r="BC135" s="398"/>
      <c r="BD135" s="398"/>
      <c r="BE135" s="398"/>
      <c r="BF135" s="398"/>
      <c r="BG135" s="398"/>
      <c r="BH135" s="398"/>
      <c r="BI135" s="809"/>
      <c r="BJ135" s="809"/>
      <c r="BK135" s="809"/>
      <c r="BL135" s="809"/>
      <c r="BM135" s="809"/>
      <c r="BN135" s="809"/>
    </row>
    <row r="136" spans="31:66">
      <c r="AE136" s="414"/>
      <c r="AG136" s="398"/>
      <c r="AH136" s="398"/>
      <c r="AI136" s="398"/>
      <c r="AJ136" s="398"/>
      <c r="AK136" s="398"/>
      <c r="AL136" s="398"/>
      <c r="AM136" s="398"/>
      <c r="AT136" s="398"/>
      <c r="AU136" s="398"/>
      <c r="AV136" s="398"/>
      <c r="AW136" s="398"/>
      <c r="AX136" s="398"/>
      <c r="AY136" s="398"/>
      <c r="AZ136" s="398"/>
      <c r="BA136" s="398"/>
      <c r="BB136" s="398"/>
      <c r="BC136" s="398"/>
      <c r="BD136" s="398"/>
      <c r="BE136" s="398"/>
      <c r="BF136" s="398"/>
      <c r="BG136" s="398"/>
      <c r="BH136" s="398"/>
      <c r="BI136" s="809"/>
      <c r="BJ136" s="809"/>
      <c r="BK136" s="809"/>
      <c r="BL136" s="809"/>
      <c r="BM136" s="809"/>
      <c r="BN136" s="809"/>
    </row>
    <row r="137" spans="31:66">
      <c r="AE137" s="439"/>
      <c r="AG137" s="398"/>
      <c r="AH137" s="398"/>
      <c r="AI137" s="398"/>
      <c r="AJ137" s="398"/>
      <c r="AK137" s="398"/>
      <c r="AL137" s="398"/>
      <c r="AM137" s="398"/>
      <c r="AV137" s="398"/>
      <c r="BH137" s="398"/>
      <c r="BI137" s="809"/>
      <c r="BJ137" s="809"/>
      <c r="BK137" s="809"/>
      <c r="BL137" s="809"/>
      <c r="BM137" s="809"/>
      <c r="BN137" s="809"/>
    </row>
    <row r="138" spans="31:66">
      <c r="AE138" s="398"/>
      <c r="AG138" s="398"/>
      <c r="AH138" s="398"/>
      <c r="AI138" s="398"/>
      <c r="AJ138" s="398"/>
      <c r="AK138" s="398"/>
      <c r="AL138" s="398"/>
      <c r="AM138" s="398"/>
      <c r="AU138" s="398"/>
      <c r="AW138" s="402"/>
      <c r="AX138" s="402"/>
      <c r="AY138" s="402"/>
      <c r="AZ138" s="402"/>
      <c r="BA138" s="402"/>
      <c r="BB138" s="402"/>
      <c r="BC138" s="402"/>
      <c r="BD138" s="402"/>
      <c r="BE138" s="402"/>
      <c r="BF138" s="402"/>
      <c r="BG138" s="402"/>
      <c r="BH138" s="398"/>
      <c r="BI138" s="809"/>
      <c r="BJ138" s="809"/>
      <c r="BK138" s="809"/>
      <c r="BL138" s="809"/>
      <c r="BM138" s="809"/>
      <c r="BN138" s="809"/>
    </row>
    <row r="139" spans="31:66">
      <c r="AG139" s="398"/>
      <c r="AH139" s="398"/>
      <c r="AI139" s="398"/>
      <c r="AJ139" s="398"/>
      <c r="AK139" s="398"/>
      <c r="AL139" s="398"/>
      <c r="AM139" s="398"/>
      <c r="AU139" s="398"/>
      <c r="AV139" s="402"/>
      <c r="AW139" s="398"/>
      <c r="AX139" s="398"/>
      <c r="AY139" s="398"/>
      <c r="AZ139" s="398"/>
      <c r="BA139" s="398"/>
      <c r="BB139" s="398"/>
      <c r="BC139" s="398"/>
      <c r="BD139" s="398"/>
      <c r="BE139" s="398"/>
      <c r="BF139" s="398"/>
      <c r="BG139" s="398"/>
      <c r="BH139" s="398"/>
      <c r="BI139" s="809"/>
      <c r="BJ139" s="809"/>
      <c r="BK139" s="809"/>
      <c r="BL139" s="809"/>
      <c r="BM139" s="809"/>
      <c r="BN139" s="809"/>
    </row>
    <row r="140" spans="31:66">
      <c r="AF140" s="414"/>
      <c r="AV140" s="398"/>
      <c r="BH140" s="398"/>
      <c r="BI140" s="809"/>
      <c r="BJ140" s="809"/>
      <c r="BK140" s="809"/>
      <c r="BL140" s="809"/>
      <c r="BM140" s="809"/>
      <c r="BN140" s="809"/>
    </row>
    <row r="141" spans="31:66">
      <c r="AF141" s="439"/>
      <c r="AU141" s="402"/>
      <c r="BH141" s="398"/>
      <c r="BI141" s="809"/>
      <c r="BJ141" s="809"/>
      <c r="BK141" s="809"/>
      <c r="BL141" s="809"/>
      <c r="BM141" s="809"/>
      <c r="BN141" s="809"/>
    </row>
    <row r="142" spans="31:66">
      <c r="AE142" s="398"/>
      <c r="AF142" s="398"/>
      <c r="AU142" s="398"/>
      <c r="BH142" s="398"/>
      <c r="BI142" s="809"/>
      <c r="BJ142" s="809"/>
      <c r="BK142" s="809"/>
      <c r="BL142" s="809"/>
      <c r="BM142" s="809"/>
      <c r="BN142" s="809"/>
    </row>
    <row r="143" spans="31:66">
      <c r="BH143" s="398"/>
      <c r="BI143" s="809"/>
      <c r="BJ143" s="809"/>
      <c r="BK143" s="809"/>
      <c r="BL143" s="809"/>
      <c r="BM143" s="809"/>
      <c r="BN143" s="809"/>
    </row>
    <row r="144" spans="31:66">
      <c r="BH144" s="398"/>
      <c r="BI144" s="809"/>
      <c r="BJ144" s="809"/>
      <c r="BK144" s="809"/>
      <c r="BL144" s="809"/>
      <c r="BM144" s="809"/>
      <c r="BN144" s="809"/>
    </row>
    <row r="145" spans="31:66">
      <c r="BH145" s="398"/>
      <c r="BI145" s="809"/>
      <c r="BJ145" s="809"/>
      <c r="BK145" s="809"/>
      <c r="BL145" s="809"/>
      <c r="BM145" s="809"/>
      <c r="BN145" s="809"/>
    </row>
    <row r="146" spans="31:66">
      <c r="AE146" s="398"/>
      <c r="AF146" s="398"/>
      <c r="AG146" s="414"/>
      <c r="AH146" s="414"/>
      <c r="AI146" s="414"/>
      <c r="AJ146" s="414"/>
      <c r="AK146" s="414"/>
      <c r="AL146" s="414"/>
      <c r="AM146" s="414"/>
      <c r="BH146" s="398"/>
      <c r="BI146" s="809"/>
      <c r="BJ146" s="809"/>
      <c r="BK146" s="809"/>
      <c r="BL146" s="809"/>
      <c r="BM146" s="809"/>
      <c r="BN146" s="809"/>
    </row>
    <row r="147" spans="31:66">
      <c r="AE147" s="398"/>
      <c r="AG147" s="439"/>
      <c r="AH147" s="439"/>
      <c r="AI147" s="439"/>
      <c r="AJ147" s="439"/>
      <c r="AK147" s="439"/>
      <c r="AL147" s="439"/>
      <c r="AM147" s="439"/>
      <c r="BH147" s="398"/>
      <c r="BI147" s="809"/>
      <c r="BJ147" s="809"/>
      <c r="BK147" s="809"/>
      <c r="BL147" s="809"/>
      <c r="BM147" s="809"/>
      <c r="BN147" s="809"/>
    </row>
    <row r="148" spans="31:66">
      <c r="AE148" s="398"/>
      <c r="AG148" s="398"/>
      <c r="AH148" s="398"/>
      <c r="AI148" s="398"/>
      <c r="AJ148" s="398"/>
      <c r="AK148" s="398"/>
      <c r="AL148" s="398"/>
      <c r="AM148" s="398"/>
      <c r="AP148" s="398"/>
      <c r="AQ148" s="398"/>
      <c r="AR148" s="398"/>
      <c r="AS148" s="398"/>
      <c r="BI148" s="809"/>
      <c r="BJ148" s="809"/>
      <c r="BK148" s="809"/>
      <c r="BL148" s="809"/>
      <c r="BM148" s="809"/>
      <c r="BN148" s="809"/>
    </row>
    <row r="149" spans="31:66">
      <c r="AE149" s="398"/>
      <c r="AT149" s="398"/>
      <c r="BI149" s="809"/>
      <c r="BJ149" s="809"/>
      <c r="BK149" s="809"/>
      <c r="BL149" s="809"/>
      <c r="BM149" s="809"/>
      <c r="BN149" s="809"/>
    </row>
    <row r="150" spans="31:66">
      <c r="AF150" s="398"/>
      <c r="AP150" s="398"/>
      <c r="AQ150" s="398"/>
      <c r="AR150" s="398"/>
      <c r="AS150" s="398"/>
      <c r="BI150" s="809"/>
      <c r="BJ150" s="809"/>
      <c r="BK150" s="809"/>
      <c r="BL150" s="809"/>
      <c r="BM150" s="809"/>
      <c r="BN150" s="809"/>
    </row>
    <row r="151" spans="31:66">
      <c r="AE151" s="398"/>
      <c r="AF151" s="398"/>
      <c r="AN151" s="398"/>
      <c r="AO151" s="398"/>
      <c r="AT151" s="398"/>
      <c r="BI151" s="809"/>
      <c r="BJ151" s="809"/>
      <c r="BK151" s="809"/>
      <c r="BL151" s="809"/>
      <c r="BM151" s="809"/>
      <c r="BN151" s="809"/>
    </row>
    <row r="152" spans="31:66">
      <c r="AE152" s="398"/>
      <c r="AF152" s="398"/>
      <c r="AG152" s="398"/>
      <c r="AH152" s="398"/>
      <c r="AI152" s="398"/>
      <c r="AJ152" s="398"/>
      <c r="AK152" s="398"/>
      <c r="AL152" s="398"/>
      <c r="AM152" s="398"/>
      <c r="AN152" s="398"/>
      <c r="AO152" s="398"/>
      <c r="AP152" s="398"/>
      <c r="AQ152" s="398"/>
      <c r="AR152" s="398"/>
      <c r="AS152" s="398"/>
      <c r="AW152" s="398"/>
      <c r="AX152" s="398"/>
      <c r="AY152" s="398"/>
      <c r="AZ152" s="398"/>
      <c r="BA152" s="398"/>
      <c r="BB152" s="398"/>
      <c r="BC152" s="398"/>
      <c r="BD152" s="398"/>
      <c r="BE152" s="398"/>
      <c r="BF152" s="398"/>
      <c r="BG152" s="398"/>
      <c r="BI152" s="809"/>
      <c r="BJ152" s="809"/>
      <c r="BK152" s="809"/>
      <c r="BL152" s="809"/>
      <c r="BM152" s="809"/>
      <c r="BN152" s="809"/>
    </row>
    <row r="153" spans="31:66">
      <c r="AE153" s="398"/>
      <c r="AF153" s="398"/>
      <c r="AP153" s="398"/>
      <c r="AQ153" s="398"/>
      <c r="AR153" s="398"/>
      <c r="AS153" s="398"/>
      <c r="AT153" s="398"/>
      <c r="AV153" s="398"/>
      <c r="BI153" s="809"/>
      <c r="BJ153" s="809"/>
      <c r="BK153" s="809"/>
      <c r="BL153" s="809"/>
      <c r="BM153" s="809"/>
      <c r="BN153" s="809"/>
    </row>
    <row r="154" spans="31:66">
      <c r="AE154" s="398"/>
      <c r="AP154" s="398"/>
      <c r="AQ154" s="398"/>
      <c r="AR154" s="398"/>
      <c r="AS154" s="398"/>
      <c r="AT154" s="398"/>
      <c r="AW154" s="398"/>
      <c r="AX154" s="398"/>
      <c r="AY154" s="398"/>
      <c r="AZ154" s="398"/>
      <c r="BA154" s="398"/>
      <c r="BB154" s="398"/>
      <c r="BC154" s="398"/>
      <c r="BD154" s="398"/>
      <c r="BE154" s="398"/>
      <c r="BF154" s="398"/>
      <c r="BG154" s="398"/>
      <c r="BI154" s="809"/>
      <c r="BJ154" s="809"/>
      <c r="BK154" s="809"/>
      <c r="BL154" s="809"/>
      <c r="BM154" s="809"/>
      <c r="BN154" s="809"/>
    </row>
    <row r="155" spans="31:66">
      <c r="AE155" s="398"/>
      <c r="AF155" s="398"/>
      <c r="AP155" s="398"/>
      <c r="AQ155" s="398"/>
      <c r="AR155" s="398"/>
      <c r="AS155" s="398"/>
      <c r="AT155" s="398"/>
      <c r="AU155" s="398"/>
      <c r="AV155" s="398"/>
      <c r="BI155" s="809"/>
      <c r="BJ155" s="809"/>
      <c r="BK155" s="809"/>
      <c r="BL155" s="809"/>
      <c r="BM155" s="809"/>
      <c r="BN155" s="809"/>
    </row>
    <row r="156" spans="31:66">
      <c r="AE156" s="398"/>
      <c r="AF156" s="398"/>
      <c r="AG156" s="398"/>
      <c r="AH156" s="398"/>
      <c r="AI156" s="398"/>
      <c r="AJ156" s="398"/>
      <c r="AK156" s="398"/>
      <c r="AL156" s="398"/>
      <c r="AM156" s="398"/>
      <c r="AP156" s="398"/>
      <c r="AQ156" s="398"/>
      <c r="AR156" s="398"/>
      <c r="AS156" s="398"/>
      <c r="AT156" s="398"/>
      <c r="AW156" s="398"/>
      <c r="AX156" s="398"/>
      <c r="AY156" s="398"/>
      <c r="AZ156" s="398"/>
      <c r="BA156" s="398"/>
      <c r="BB156" s="398"/>
      <c r="BC156" s="398"/>
      <c r="BD156" s="398"/>
      <c r="BE156" s="398"/>
      <c r="BF156" s="398"/>
      <c r="BG156" s="398"/>
      <c r="BI156" s="809"/>
      <c r="BJ156" s="809"/>
      <c r="BK156" s="809"/>
      <c r="BL156" s="809"/>
      <c r="BM156" s="809"/>
      <c r="BN156" s="809"/>
    </row>
    <row r="157" spans="31:66">
      <c r="AE157" s="398"/>
      <c r="AF157" s="398"/>
      <c r="AG157" s="398"/>
      <c r="AH157" s="398"/>
      <c r="AI157" s="398"/>
      <c r="AJ157" s="398"/>
      <c r="AK157" s="398"/>
      <c r="AL157" s="398"/>
      <c r="AM157" s="398"/>
      <c r="AP157" s="398"/>
      <c r="AQ157" s="398"/>
      <c r="AR157" s="398"/>
      <c r="AS157" s="398"/>
      <c r="AT157" s="398"/>
      <c r="AU157" s="398"/>
      <c r="AV157" s="398"/>
      <c r="AW157" s="398"/>
      <c r="AX157" s="398"/>
      <c r="AY157" s="398"/>
      <c r="AZ157" s="398"/>
      <c r="BA157" s="398"/>
      <c r="BB157" s="398"/>
      <c r="BC157" s="398"/>
      <c r="BD157" s="398"/>
      <c r="BE157" s="398"/>
      <c r="BF157" s="398"/>
      <c r="BG157" s="398"/>
      <c r="BI157" s="809"/>
      <c r="BJ157" s="809"/>
      <c r="BK157" s="809"/>
      <c r="BL157" s="809"/>
      <c r="BM157" s="809"/>
      <c r="BN157" s="809"/>
    </row>
    <row r="158" spans="31:66">
      <c r="AE158" s="398"/>
      <c r="AF158" s="398"/>
      <c r="AG158" s="398"/>
      <c r="AH158" s="398"/>
      <c r="AI158" s="398"/>
      <c r="AJ158" s="398"/>
      <c r="AK158" s="398"/>
      <c r="AL158" s="398"/>
      <c r="AM158" s="398"/>
      <c r="AP158" s="398"/>
      <c r="AQ158" s="398"/>
      <c r="AR158" s="398"/>
      <c r="AS158" s="398"/>
      <c r="AT158" s="398"/>
      <c r="AV158" s="398"/>
      <c r="AW158" s="398"/>
      <c r="AX158" s="398"/>
      <c r="AY158" s="398"/>
      <c r="AZ158" s="398"/>
      <c r="BA158" s="398"/>
      <c r="BB158" s="398"/>
      <c r="BC158" s="398"/>
      <c r="BD158" s="398"/>
      <c r="BE158" s="398"/>
      <c r="BF158" s="398"/>
      <c r="BG158" s="398"/>
      <c r="BI158" s="809"/>
      <c r="BJ158" s="809"/>
      <c r="BK158" s="809"/>
      <c r="BL158" s="809"/>
      <c r="BM158" s="809"/>
      <c r="BN158" s="809"/>
    </row>
    <row r="159" spans="31:66">
      <c r="AE159" s="398"/>
      <c r="AF159" s="398"/>
      <c r="AG159" s="398"/>
      <c r="AH159" s="398"/>
      <c r="AI159" s="398"/>
      <c r="AJ159" s="398"/>
      <c r="AK159" s="398"/>
      <c r="AL159" s="398"/>
      <c r="AM159" s="398"/>
      <c r="AP159" s="398"/>
      <c r="AQ159" s="398"/>
      <c r="AR159" s="398"/>
      <c r="AS159" s="398"/>
      <c r="AT159" s="398"/>
      <c r="AU159" s="398"/>
      <c r="AV159" s="398"/>
      <c r="AW159" s="398"/>
      <c r="AX159" s="398"/>
      <c r="AY159" s="398"/>
      <c r="AZ159" s="398"/>
      <c r="BA159" s="398"/>
      <c r="BB159" s="398"/>
      <c r="BC159" s="398"/>
      <c r="BD159" s="398"/>
      <c r="BE159" s="398"/>
      <c r="BF159" s="398"/>
      <c r="BG159" s="398"/>
      <c r="BI159" s="809"/>
      <c r="BJ159" s="809"/>
      <c r="BK159" s="809"/>
      <c r="BL159" s="809"/>
      <c r="BM159" s="809"/>
      <c r="BN159" s="809"/>
    </row>
    <row r="160" spans="31:66">
      <c r="AE160" s="398"/>
      <c r="AF160" s="398"/>
      <c r="AP160" s="398"/>
      <c r="AQ160" s="398"/>
      <c r="AR160" s="398"/>
      <c r="AS160" s="398"/>
      <c r="AT160" s="398"/>
      <c r="AU160" s="398"/>
      <c r="AV160" s="398"/>
      <c r="AW160" s="398"/>
      <c r="AX160" s="398"/>
      <c r="AY160" s="398"/>
      <c r="AZ160" s="398"/>
      <c r="BA160" s="398"/>
      <c r="BB160" s="398"/>
      <c r="BC160" s="398"/>
      <c r="BD160" s="398"/>
      <c r="BE160" s="398"/>
      <c r="BF160" s="398"/>
      <c r="BG160" s="398"/>
      <c r="BI160" s="809"/>
      <c r="BJ160" s="809"/>
      <c r="BK160" s="809"/>
      <c r="BL160" s="809"/>
      <c r="BM160" s="809"/>
      <c r="BN160" s="809"/>
    </row>
    <row r="161" spans="15:66">
      <c r="AE161" s="398"/>
      <c r="AF161" s="398"/>
      <c r="AG161" s="398"/>
      <c r="AH161" s="398"/>
      <c r="AI161" s="398"/>
      <c r="AJ161" s="398"/>
      <c r="AK161" s="398"/>
      <c r="AL161" s="398"/>
      <c r="AM161" s="398"/>
      <c r="AP161" s="398"/>
      <c r="AQ161" s="398"/>
      <c r="AR161" s="398"/>
      <c r="AS161" s="398"/>
      <c r="AT161" s="398"/>
      <c r="AU161" s="398"/>
      <c r="AV161" s="398"/>
      <c r="AW161" s="398"/>
      <c r="AX161" s="398"/>
      <c r="AY161" s="398"/>
      <c r="AZ161" s="398"/>
      <c r="BA161" s="398"/>
      <c r="BB161" s="398"/>
      <c r="BC161" s="398"/>
      <c r="BD161" s="398"/>
      <c r="BE161" s="398"/>
      <c r="BF161" s="398"/>
      <c r="BG161" s="398"/>
      <c r="BI161" s="809"/>
      <c r="BJ161" s="809"/>
      <c r="BK161" s="809"/>
      <c r="BL161" s="809"/>
      <c r="BM161" s="809"/>
      <c r="BN161" s="809"/>
    </row>
    <row r="162" spans="15:66">
      <c r="AF162" s="398"/>
      <c r="AG162" s="398"/>
      <c r="AH162" s="398"/>
      <c r="AI162" s="398"/>
      <c r="AJ162" s="398"/>
      <c r="AK162" s="398"/>
      <c r="AL162" s="398"/>
      <c r="AM162" s="398"/>
      <c r="AP162" s="398"/>
      <c r="AQ162" s="398"/>
      <c r="AR162" s="398"/>
      <c r="AS162" s="398"/>
      <c r="AT162" s="398"/>
      <c r="AU162" s="398"/>
      <c r="AV162" s="398"/>
      <c r="AW162" s="398"/>
      <c r="AX162" s="398"/>
      <c r="AY162" s="398"/>
      <c r="AZ162" s="398"/>
      <c r="BA162" s="398"/>
      <c r="BB162" s="398"/>
      <c r="BC162" s="398"/>
      <c r="BD162" s="398"/>
      <c r="BE162" s="398"/>
      <c r="BF162" s="398"/>
      <c r="BG162" s="398"/>
      <c r="BI162" s="809"/>
      <c r="BJ162" s="809"/>
      <c r="BK162" s="809"/>
      <c r="BL162" s="809"/>
      <c r="BM162" s="809"/>
      <c r="BN162" s="809"/>
    </row>
    <row r="163" spans="15:66">
      <c r="AF163" s="398"/>
      <c r="AG163" s="398"/>
      <c r="AH163" s="398"/>
      <c r="AI163" s="398"/>
      <c r="AJ163" s="398"/>
      <c r="AK163" s="398"/>
      <c r="AL163" s="398"/>
      <c r="AM163" s="398"/>
      <c r="AP163" s="398"/>
      <c r="AQ163" s="398"/>
      <c r="AR163" s="398"/>
      <c r="AS163" s="398"/>
      <c r="AT163" s="398"/>
      <c r="AU163" s="398"/>
      <c r="AV163" s="398"/>
      <c r="AW163" s="398"/>
      <c r="AX163" s="398"/>
      <c r="AY163" s="398"/>
      <c r="AZ163" s="398"/>
      <c r="BA163" s="398"/>
      <c r="BB163" s="398"/>
      <c r="BC163" s="398"/>
      <c r="BD163" s="398"/>
      <c r="BE163" s="398"/>
      <c r="BF163" s="398"/>
      <c r="BG163" s="398"/>
      <c r="BI163" s="809"/>
      <c r="BJ163" s="809"/>
      <c r="BK163" s="809"/>
      <c r="BL163" s="809"/>
      <c r="BM163" s="809"/>
      <c r="BN163" s="809"/>
    </row>
    <row r="164" spans="15:66">
      <c r="AF164" s="398"/>
      <c r="AG164" s="398"/>
      <c r="AH164" s="398"/>
      <c r="AI164" s="398"/>
      <c r="AJ164" s="398"/>
      <c r="AK164" s="398"/>
      <c r="AL164" s="398"/>
      <c r="AM164" s="398"/>
      <c r="AP164" s="398"/>
      <c r="AQ164" s="398"/>
      <c r="AR164" s="398"/>
      <c r="AS164" s="398"/>
      <c r="AT164" s="398"/>
      <c r="AU164" s="398"/>
      <c r="AV164" s="398"/>
      <c r="AW164" s="398"/>
      <c r="AX164" s="398"/>
      <c r="AY164" s="398"/>
      <c r="AZ164" s="398"/>
      <c r="BA164" s="398"/>
      <c r="BB164" s="398"/>
      <c r="BC164" s="398"/>
      <c r="BD164" s="398"/>
      <c r="BE164" s="398"/>
      <c r="BF164" s="398"/>
      <c r="BG164" s="398"/>
      <c r="BI164" s="809"/>
      <c r="BJ164" s="809"/>
      <c r="BK164" s="809"/>
      <c r="BL164" s="809"/>
      <c r="BM164" s="809"/>
      <c r="BN164" s="809"/>
    </row>
    <row r="165" spans="15:66">
      <c r="AF165" s="398"/>
      <c r="AG165" s="398"/>
      <c r="AH165" s="398"/>
      <c r="AI165" s="398"/>
      <c r="AJ165" s="398"/>
      <c r="AK165" s="398"/>
      <c r="AL165" s="398"/>
      <c r="AM165" s="398"/>
      <c r="AP165" s="398"/>
      <c r="AQ165" s="398"/>
      <c r="AR165" s="398"/>
      <c r="AS165" s="398"/>
      <c r="AT165" s="398"/>
      <c r="AU165" s="398"/>
      <c r="AV165" s="398"/>
      <c r="AW165" s="398"/>
      <c r="AX165" s="398"/>
      <c r="AY165" s="398"/>
      <c r="AZ165" s="398"/>
      <c r="BA165" s="398"/>
      <c r="BB165" s="398"/>
      <c r="BC165" s="398"/>
      <c r="BD165" s="398"/>
      <c r="BE165" s="398"/>
      <c r="BF165" s="398"/>
      <c r="BG165" s="398"/>
      <c r="BI165" s="809"/>
      <c r="BJ165" s="809"/>
      <c r="BK165" s="809"/>
      <c r="BL165" s="809"/>
      <c r="BM165" s="809"/>
      <c r="BN165" s="809"/>
    </row>
    <row r="166" spans="15:66">
      <c r="AG166" s="398"/>
      <c r="AH166" s="398"/>
      <c r="AI166" s="398"/>
      <c r="AJ166" s="398"/>
      <c r="AK166" s="398"/>
      <c r="AL166" s="398"/>
      <c r="AM166" s="398"/>
      <c r="AT166" s="398"/>
      <c r="AU166" s="398"/>
      <c r="AV166" s="398"/>
      <c r="AW166" s="398"/>
      <c r="AX166" s="398"/>
      <c r="AY166" s="398"/>
      <c r="AZ166" s="398"/>
      <c r="BA166" s="398"/>
      <c r="BB166" s="398"/>
      <c r="BC166" s="398"/>
      <c r="BD166" s="398"/>
      <c r="BE166" s="398"/>
      <c r="BF166" s="398"/>
      <c r="BG166" s="398"/>
      <c r="BI166" s="809"/>
      <c r="BJ166" s="809"/>
      <c r="BK166" s="809"/>
      <c r="BL166" s="809"/>
      <c r="BM166" s="809"/>
      <c r="BN166" s="809"/>
    </row>
    <row r="167" spans="15:66">
      <c r="AG167" s="398"/>
      <c r="AH167" s="398"/>
      <c r="AI167" s="398"/>
      <c r="AJ167" s="398"/>
      <c r="AK167" s="398"/>
      <c r="AL167" s="398"/>
      <c r="AM167" s="398"/>
      <c r="AU167" s="398"/>
      <c r="AV167" s="398"/>
      <c r="AW167" s="398"/>
      <c r="AX167" s="398"/>
      <c r="AY167" s="398"/>
      <c r="AZ167" s="398"/>
      <c r="BA167" s="398"/>
      <c r="BB167" s="398"/>
      <c r="BC167" s="398"/>
      <c r="BD167" s="398"/>
      <c r="BE167" s="398"/>
      <c r="BF167" s="398"/>
      <c r="BG167" s="398"/>
      <c r="BI167" s="809"/>
      <c r="BJ167" s="809"/>
      <c r="BK167" s="809"/>
      <c r="BL167" s="809"/>
      <c r="BM167" s="809"/>
      <c r="BN167" s="809"/>
    </row>
    <row r="168" spans="15:66">
      <c r="AG168" s="398"/>
      <c r="AH168" s="398"/>
      <c r="AI168" s="398"/>
      <c r="AJ168" s="398"/>
      <c r="AK168" s="398"/>
      <c r="AL168" s="398"/>
      <c r="AM168" s="398"/>
      <c r="AN168" s="398"/>
      <c r="AO168" s="398"/>
      <c r="AU168" s="398"/>
      <c r="AV168" s="398"/>
      <c r="AW168" s="398"/>
      <c r="AX168" s="398"/>
      <c r="AY168" s="398"/>
      <c r="AZ168" s="398"/>
      <c r="BA168" s="398"/>
      <c r="BB168" s="398"/>
      <c r="BC168" s="398"/>
      <c r="BD168" s="398"/>
      <c r="BE168" s="398"/>
      <c r="BF168" s="398"/>
      <c r="BG168" s="398"/>
      <c r="BI168" s="809"/>
      <c r="BJ168" s="809"/>
      <c r="BK168" s="809"/>
      <c r="BL168" s="809"/>
      <c r="BM168" s="809"/>
      <c r="BN168" s="809"/>
    </row>
    <row r="169" spans="15:66">
      <c r="AG169" s="398"/>
      <c r="AH169" s="398"/>
      <c r="AI169" s="398"/>
      <c r="AJ169" s="398"/>
      <c r="AK169" s="398"/>
      <c r="AL169" s="398"/>
      <c r="AM169" s="398"/>
      <c r="AN169" s="398"/>
      <c r="AO169" s="398"/>
      <c r="AU169" s="398"/>
      <c r="AV169" s="398"/>
      <c r="AW169" s="398"/>
      <c r="AX169" s="398"/>
      <c r="AY169" s="398"/>
      <c r="AZ169" s="398"/>
      <c r="BA169" s="398"/>
      <c r="BB169" s="398"/>
      <c r="BC169" s="398"/>
      <c r="BD169" s="398"/>
      <c r="BE169" s="398"/>
      <c r="BF169" s="398"/>
      <c r="BG169" s="398"/>
      <c r="BI169" s="809"/>
      <c r="BJ169" s="809"/>
      <c r="BK169" s="809"/>
      <c r="BL169" s="809"/>
      <c r="BM169" s="809"/>
      <c r="BN169" s="809"/>
    </row>
    <row r="170" spans="15:66">
      <c r="AG170" s="398"/>
      <c r="AH170" s="398"/>
      <c r="AI170" s="398"/>
      <c r="AJ170" s="398"/>
      <c r="AK170" s="398"/>
      <c r="AL170" s="398"/>
      <c r="AM170" s="398"/>
      <c r="AU170" s="398"/>
      <c r="AV170" s="398"/>
      <c r="BI170" s="809"/>
      <c r="BJ170" s="809"/>
      <c r="BK170" s="809"/>
      <c r="BL170" s="809"/>
      <c r="BM170" s="809"/>
      <c r="BN170" s="809"/>
    </row>
    <row r="171" spans="15:66">
      <c r="AG171" s="398"/>
      <c r="AH171" s="398"/>
      <c r="AI171" s="398"/>
      <c r="AJ171" s="398"/>
      <c r="AK171" s="398"/>
      <c r="AL171" s="398"/>
      <c r="AM171" s="398"/>
      <c r="AU171" s="398"/>
      <c r="BI171" s="809"/>
      <c r="BJ171" s="809"/>
      <c r="BK171" s="809"/>
      <c r="BL171" s="809"/>
      <c r="BM171" s="809"/>
      <c r="BN171" s="809"/>
    </row>
    <row r="172" spans="15:66">
      <c r="AN172" s="398"/>
      <c r="AO172" s="398"/>
      <c r="AP172" s="398"/>
      <c r="AQ172" s="398"/>
      <c r="AR172" s="398"/>
      <c r="AS172" s="398"/>
      <c r="AU172" s="398"/>
      <c r="BI172" s="809"/>
      <c r="BJ172" s="809"/>
      <c r="BK172" s="809"/>
      <c r="BL172" s="809"/>
      <c r="BM172" s="809"/>
      <c r="BN172" s="809"/>
    </row>
    <row r="173" spans="15:66">
      <c r="AN173" s="398"/>
      <c r="AO173" s="398"/>
      <c r="AP173" s="398"/>
      <c r="AQ173" s="398"/>
      <c r="AR173" s="398"/>
      <c r="AS173" s="398"/>
      <c r="AT173" s="398"/>
      <c r="BH173" s="398"/>
      <c r="BI173" s="809"/>
      <c r="BJ173" s="809"/>
      <c r="BK173" s="809"/>
      <c r="BL173" s="809"/>
      <c r="BM173" s="809"/>
      <c r="BN173" s="809"/>
    </row>
    <row r="174" spans="15:66">
      <c r="AN174" s="809"/>
      <c r="AO174" s="809"/>
      <c r="AP174" s="809"/>
      <c r="AQ174" s="809"/>
      <c r="AR174" s="809"/>
      <c r="AS174" s="809"/>
      <c r="AT174" s="398"/>
      <c r="BH174" s="398"/>
      <c r="BI174" s="809"/>
      <c r="BJ174" s="809"/>
      <c r="BK174" s="809"/>
      <c r="BL174" s="809"/>
      <c r="BM174" s="809"/>
      <c r="BN174" s="809"/>
    </row>
    <row r="175" spans="15:66">
      <c r="O175" s="398"/>
      <c r="P175" s="398"/>
      <c r="Q175" s="398"/>
      <c r="R175" s="398"/>
      <c r="S175" s="398"/>
      <c r="T175" s="398"/>
      <c r="U175" s="398"/>
      <c r="V175" s="398"/>
      <c r="W175" s="398"/>
      <c r="X175" s="398"/>
      <c r="Y175" s="398"/>
      <c r="Z175" s="398"/>
      <c r="AA175" s="398"/>
      <c r="AB175" s="398"/>
      <c r="AC175" s="398"/>
      <c r="AD175" s="398"/>
      <c r="AN175" s="809"/>
      <c r="AO175" s="809"/>
      <c r="AP175" s="809"/>
      <c r="AQ175" s="809"/>
      <c r="AR175" s="809"/>
      <c r="AS175" s="809"/>
      <c r="AT175" s="809"/>
      <c r="BH175" s="809"/>
      <c r="BI175" s="809"/>
      <c r="BJ175" s="809"/>
      <c r="BK175" s="809"/>
      <c r="BL175" s="809"/>
      <c r="BM175" s="809"/>
      <c r="BN175" s="809"/>
    </row>
    <row r="176" spans="15:66">
      <c r="O176" s="398"/>
      <c r="P176" s="398"/>
      <c r="Q176" s="398"/>
      <c r="R176" s="398"/>
      <c r="S176" s="398"/>
      <c r="T176" s="398"/>
      <c r="U176" s="398"/>
      <c r="V176" s="398"/>
      <c r="W176" s="398"/>
      <c r="X176" s="398"/>
      <c r="Y176" s="398"/>
      <c r="Z176" s="398"/>
      <c r="AA176" s="398"/>
      <c r="AB176" s="398"/>
      <c r="AC176" s="398"/>
      <c r="AD176" s="398"/>
      <c r="AN176" s="809"/>
      <c r="AO176" s="809"/>
      <c r="AP176" s="809"/>
      <c r="AQ176" s="809"/>
      <c r="AR176" s="809"/>
      <c r="AS176" s="809"/>
      <c r="AT176" s="809"/>
      <c r="AW176" s="398"/>
      <c r="AX176" s="398"/>
      <c r="AY176" s="398"/>
      <c r="AZ176" s="398"/>
      <c r="BA176" s="398"/>
      <c r="BB176" s="398"/>
      <c r="BC176" s="398"/>
      <c r="BD176" s="398"/>
      <c r="BE176" s="398"/>
      <c r="BF176" s="398"/>
      <c r="BG176" s="398"/>
      <c r="BH176" s="809"/>
      <c r="BI176" s="809"/>
      <c r="BJ176" s="809"/>
      <c r="BK176" s="809"/>
      <c r="BL176" s="809"/>
      <c r="BM176" s="809"/>
      <c r="BN176" s="809"/>
    </row>
    <row r="177" spans="15:66">
      <c r="O177" s="398"/>
      <c r="P177" s="398"/>
      <c r="Q177" s="398"/>
      <c r="R177" s="398"/>
      <c r="S177" s="398"/>
      <c r="T177" s="398"/>
      <c r="U177" s="398"/>
      <c r="V177" s="398"/>
      <c r="W177" s="398"/>
      <c r="X177" s="398"/>
      <c r="Y177" s="398"/>
      <c r="Z177" s="398"/>
      <c r="AA177" s="398"/>
      <c r="AB177" s="398"/>
      <c r="AC177" s="398"/>
      <c r="AD177" s="398"/>
      <c r="AN177" s="809"/>
      <c r="AO177" s="809"/>
      <c r="AP177" s="809"/>
      <c r="AQ177" s="809"/>
      <c r="AR177" s="809"/>
      <c r="AS177" s="809"/>
      <c r="AT177" s="809"/>
      <c r="AV177" s="398"/>
      <c r="AW177" s="398"/>
      <c r="AX177" s="398"/>
      <c r="AY177" s="398"/>
      <c r="AZ177" s="398"/>
      <c r="BA177" s="398"/>
      <c r="BB177" s="398"/>
      <c r="BC177" s="398"/>
      <c r="BD177" s="398"/>
      <c r="BE177" s="398"/>
      <c r="BF177" s="398"/>
      <c r="BG177" s="398"/>
      <c r="BH177" s="809"/>
      <c r="BI177" s="809"/>
      <c r="BJ177" s="809"/>
      <c r="BK177" s="809"/>
      <c r="BL177" s="809"/>
      <c r="BM177" s="809"/>
      <c r="BN177" s="809"/>
    </row>
    <row r="178" spans="15:66">
      <c r="O178" s="398"/>
      <c r="P178" s="398"/>
      <c r="Q178" s="398"/>
      <c r="R178" s="398"/>
      <c r="S178" s="398"/>
      <c r="T178" s="398"/>
      <c r="U178" s="398"/>
      <c r="V178" s="398"/>
      <c r="W178" s="398"/>
      <c r="X178" s="398"/>
      <c r="Y178" s="398"/>
      <c r="Z178" s="398"/>
      <c r="AA178" s="398"/>
      <c r="AB178" s="398"/>
      <c r="AC178" s="398"/>
      <c r="AD178" s="398"/>
      <c r="AN178" s="809"/>
      <c r="AO178" s="809"/>
      <c r="AP178" s="809"/>
      <c r="AQ178" s="809"/>
      <c r="AR178" s="809"/>
      <c r="AS178" s="809"/>
      <c r="AT178" s="809"/>
      <c r="AV178" s="398"/>
      <c r="AW178" s="809"/>
      <c r="AX178" s="809"/>
      <c r="AY178" s="809"/>
      <c r="AZ178" s="809"/>
      <c r="BA178" s="809"/>
      <c r="BB178" s="809"/>
      <c r="BC178" s="809"/>
      <c r="BD178" s="809"/>
      <c r="BE178" s="809"/>
      <c r="BF178" s="809"/>
      <c r="BG178" s="809"/>
      <c r="BH178" s="809"/>
      <c r="BI178" s="809"/>
      <c r="BJ178" s="809"/>
      <c r="BK178" s="809"/>
      <c r="BL178" s="809"/>
      <c r="BM178" s="809"/>
      <c r="BN178" s="809"/>
    </row>
    <row r="179" spans="15:66">
      <c r="O179" s="398"/>
      <c r="P179" s="398"/>
      <c r="Q179" s="398"/>
      <c r="R179" s="398"/>
      <c r="S179" s="398"/>
      <c r="T179" s="398"/>
      <c r="U179" s="398"/>
      <c r="V179" s="398"/>
      <c r="W179" s="398"/>
      <c r="X179" s="398"/>
      <c r="Y179" s="398"/>
      <c r="Z179" s="398"/>
      <c r="AA179" s="398"/>
      <c r="AB179" s="398"/>
      <c r="AC179" s="398"/>
      <c r="AD179" s="398"/>
      <c r="AN179" s="809"/>
      <c r="AO179" s="809"/>
      <c r="AP179" s="809"/>
      <c r="AQ179" s="809"/>
      <c r="AR179" s="809"/>
      <c r="AS179" s="809"/>
      <c r="AT179" s="809"/>
      <c r="AU179" s="398"/>
      <c r="AV179" s="809"/>
      <c r="AW179" s="809"/>
      <c r="AX179" s="809"/>
      <c r="AY179" s="809"/>
      <c r="AZ179" s="809"/>
      <c r="BA179" s="809"/>
      <c r="BB179" s="809"/>
      <c r="BC179" s="809"/>
      <c r="BD179" s="809"/>
      <c r="BE179" s="809"/>
      <c r="BF179" s="809"/>
      <c r="BG179" s="809"/>
      <c r="BH179" s="809"/>
      <c r="BI179" s="809"/>
      <c r="BJ179" s="809"/>
      <c r="BK179" s="809"/>
      <c r="BL179" s="809"/>
      <c r="BM179" s="809"/>
      <c r="BN179" s="809"/>
    </row>
    <row r="180" spans="15:66">
      <c r="O180" s="398"/>
      <c r="P180" s="398"/>
      <c r="Q180" s="398"/>
      <c r="R180" s="398"/>
      <c r="S180" s="398"/>
      <c r="T180" s="398"/>
      <c r="U180" s="398"/>
      <c r="V180" s="398"/>
      <c r="W180" s="398"/>
      <c r="X180" s="398"/>
      <c r="Y180" s="398"/>
      <c r="Z180" s="398"/>
      <c r="AA180" s="398"/>
      <c r="AB180" s="398"/>
      <c r="AC180" s="398"/>
      <c r="AD180" s="398"/>
      <c r="AO180" s="809"/>
      <c r="AP180" s="809"/>
      <c r="AQ180" s="809"/>
      <c r="AR180" s="809"/>
      <c r="AS180" s="809"/>
      <c r="AT180" s="809"/>
      <c r="AU180" s="398"/>
      <c r="AV180" s="809"/>
      <c r="AW180" s="809"/>
      <c r="AX180" s="809"/>
      <c r="AY180" s="809"/>
      <c r="AZ180" s="809"/>
      <c r="BA180" s="809"/>
      <c r="BB180" s="809"/>
      <c r="BC180" s="809"/>
      <c r="BD180" s="809"/>
      <c r="BE180" s="809"/>
      <c r="BF180" s="809"/>
      <c r="BG180" s="809"/>
      <c r="BH180" s="809"/>
      <c r="BI180" s="809"/>
      <c r="BJ180" s="809"/>
      <c r="BK180" s="809"/>
      <c r="BL180" s="809"/>
      <c r="BM180" s="809"/>
      <c r="BN180" s="809"/>
    </row>
    <row r="181" spans="15:66">
      <c r="O181" s="398"/>
      <c r="P181" s="398"/>
      <c r="Q181" s="398"/>
      <c r="R181" s="398"/>
      <c r="S181" s="398"/>
      <c r="T181" s="398"/>
      <c r="U181" s="398"/>
      <c r="V181" s="398"/>
      <c r="W181" s="398"/>
      <c r="X181" s="398"/>
      <c r="Y181" s="398"/>
      <c r="Z181" s="398"/>
      <c r="AA181" s="398"/>
      <c r="AB181" s="398"/>
      <c r="AC181" s="398"/>
      <c r="AD181" s="398"/>
      <c r="AO181" s="809"/>
      <c r="AP181" s="809"/>
      <c r="AQ181" s="809"/>
      <c r="AR181" s="809"/>
      <c r="AS181" s="809"/>
      <c r="AT181" s="809"/>
      <c r="AU181" s="809"/>
      <c r="AV181" s="809"/>
      <c r="AW181" s="809"/>
      <c r="AX181" s="809"/>
      <c r="AY181" s="809"/>
      <c r="AZ181" s="809"/>
      <c r="BA181" s="809"/>
      <c r="BB181" s="809"/>
      <c r="BC181" s="809"/>
      <c r="BD181" s="809"/>
      <c r="BE181" s="809"/>
      <c r="BF181" s="809"/>
      <c r="BG181" s="809"/>
      <c r="BH181" s="809"/>
      <c r="BI181" s="809"/>
      <c r="BJ181" s="809"/>
      <c r="BK181" s="809"/>
      <c r="BL181" s="809"/>
      <c r="BM181" s="809"/>
      <c r="BN181" s="809"/>
    </row>
    <row r="182" spans="15:66">
      <c r="O182" s="398"/>
      <c r="P182" s="398"/>
      <c r="Q182" s="398"/>
      <c r="R182" s="398"/>
      <c r="S182" s="398"/>
      <c r="T182" s="398"/>
      <c r="U182" s="398"/>
      <c r="V182" s="398"/>
      <c r="W182" s="398"/>
      <c r="X182" s="398"/>
      <c r="Y182" s="398"/>
      <c r="Z182" s="398"/>
      <c r="AA182" s="398"/>
      <c r="AB182" s="398"/>
      <c r="AC182" s="398"/>
      <c r="AD182" s="398"/>
      <c r="AO182" s="809"/>
      <c r="AP182" s="809"/>
      <c r="AQ182" s="809"/>
      <c r="AR182" s="809"/>
      <c r="AS182" s="809"/>
      <c r="AT182" s="809"/>
      <c r="AU182" s="809"/>
      <c r="AV182" s="809"/>
      <c r="AW182" s="809"/>
      <c r="AX182" s="809"/>
      <c r="AY182" s="809"/>
      <c r="AZ182" s="809"/>
      <c r="BA182" s="809"/>
      <c r="BB182" s="809"/>
      <c r="BC182" s="809"/>
      <c r="BD182" s="809"/>
      <c r="BE182" s="809"/>
      <c r="BF182" s="809"/>
      <c r="BG182" s="809"/>
      <c r="BH182" s="809"/>
      <c r="BI182" s="809"/>
      <c r="BJ182" s="809"/>
      <c r="BK182" s="809"/>
      <c r="BL182" s="809"/>
      <c r="BM182" s="809"/>
      <c r="BN182" s="809"/>
    </row>
    <row r="183" spans="15:66">
      <c r="O183" s="398"/>
      <c r="P183" s="398"/>
      <c r="Q183" s="398"/>
      <c r="R183" s="398"/>
      <c r="S183" s="398"/>
      <c r="T183" s="398"/>
      <c r="U183" s="398"/>
      <c r="V183" s="398"/>
      <c r="W183" s="398"/>
      <c r="X183" s="398"/>
      <c r="Y183" s="398"/>
      <c r="Z183" s="398"/>
      <c r="AA183" s="398"/>
      <c r="AB183" s="398"/>
      <c r="AC183" s="398"/>
      <c r="AD183" s="398"/>
      <c r="AO183" s="809"/>
      <c r="AP183" s="809"/>
      <c r="AQ183" s="809"/>
      <c r="AR183" s="809"/>
      <c r="AS183" s="809"/>
      <c r="AT183" s="809"/>
      <c r="AU183" s="809"/>
      <c r="AV183" s="809"/>
      <c r="AW183" s="809"/>
      <c r="AX183" s="809"/>
      <c r="AY183" s="809"/>
      <c r="AZ183" s="809"/>
      <c r="BA183" s="809"/>
      <c r="BB183" s="809"/>
      <c r="BC183" s="809"/>
      <c r="BD183" s="809"/>
      <c r="BE183" s="809"/>
      <c r="BF183" s="809"/>
      <c r="BG183" s="809"/>
      <c r="BH183" s="809"/>
      <c r="BI183" s="809"/>
      <c r="BJ183" s="809"/>
      <c r="BK183" s="809"/>
      <c r="BL183" s="809"/>
      <c r="BM183" s="809"/>
      <c r="BN183" s="809"/>
    </row>
    <row r="184" spans="15:66">
      <c r="O184" s="398"/>
      <c r="P184" s="398"/>
      <c r="Q184" s="398"/>
      <c r="R184" s="398"/>
      <c r="S184" s="398"/>
      <c r="T184" s="398"/>
      <c r="U184" s="398"/>
      <c r="V184" s="398"/>
      <c r="W184" s="398"/>
      <c r="X184" s="398"/>
      <c r="Y184" s="398"/>
      <c r="Z184" s="398"/>
      <c r="AA184" s="398"/>
      <c r="AB184" s="398"/>
      <c r="AC184" s="398"/>
      <c r="AD184" s="398"/>
      <c r="AO184" s="809"/>
      <c r="AP184" s="809"/>
      <c r="AQ184" s="809"/>
      <c r="AR184" s="809"/>
      <c r="AS184" s="809"/>
      <c r="AT184" s="809"/>
      <c r="AU184" s="809"/>
      <c r="AV184" s="809"/>
      <c r="AW184" s="809"/>
      <c r="AX184" s="809"/>
      <c r="AY184" s="809"/>
      <c r="AZ184" s="809"/>
      <c r="BA184" s="809"/>
      <c r="BB184" s="809"/>
      <c r="BC184" s="809"/>
      <c r="BD184" s="809"/>
      <c r="BE184" s="809"/>
      <c r="BF184" s="809"/>
      <c r="BG184" s="809"/>
      <c r="BH184" s="809"/>
      <c r="BI184" s="809"/>
      <c r="BJ184" s="809"/>
      <c r="BK184" s="809"/>
      <c r="BL184" s="809"/>
      <c r="BM184" s="809"/>
      <c r="BN184" s="809"/>
    </row>
    <row r="185" spans="15:66">
      <c r="O185" s="398"/>
      <c r="P185" s="398"/>
      <c r="Q185" s="398"/>
      <c r="R185" s="398"/>
      <c r="S185" s="398"/>
      <c r="T185" s="398"/>
      <c r="U185" s="398"/>
      <c r="V185" s="398"/>
      <c r="W185" s="398"/>
      <c r="X185" s="398"/>
      <c r="Y185" s="398"/>
      <c r="Z185" s="398"/>
      <c r="AA185" s="398"/>
      <c r="AB185" s="398"/>
      <c r="AC185" s="398"/>
      <c r="AD185" s="398"/>
      <c r="AE185" s="398"/>
      <c r="AO185" s="809"/>
      <c r="AP185" s="809"/>
      <c r="AQ185" s="809"/>
      <c r="AR185" s="809"/>
      <c r="AS185" s="809"/>
      <c r="AT185" s="809"/>
      <c r="AU185" s="809"/>
      <c r="AV185" s="809"/>
      <c r="AW185" s="809"/>
      <c r="AX185" s="809"/>
      <c r="AY185" s="809"/>
      <c r="AZ185" s="809"/>
      <c r="BA185" s="809"/>
      <c r="BB185" s="809"/>
      <c r="BC185" s="809"/>
      <c r="BD185" s="809"/>
      <c r="BE185" s="809"/>
      <c r="BF185" s="809"/>
      <c r="BG185" s="809"/>
      <c r="BH185" s="809"/>
      <c r="BI185" s="809"/>
      <c r="BJ185" s="809"/>
      <c r="BK185" s="809"/>
      <c r="BL185" s="809"/>
      <c r="BM185" s="809"/>
      <c r="BN185" s="809"/>
    </row>
    <row r="186" spans="15:66">
      <c r="O186" s="398"/>
      <c r="P186" s="398"/>
      <c r="Q186" s="398"/>
      <c r="R186" s="398"/>
      <c r="S186" s="398"/>
      <c r="T186" s="398"/>
      <c r="U186" s="398"/>
      <c r="V186" s="398"/>
      <c r="W186" s="398"/>
      <c r="X186" s="398"/>
      <c r="Y186" s="398"/>
      <c r="Z186" s="398"/>
      <c r="AA186" s="398"/>
      <c r="AB186" s="398"/>
      <c r="AC186" s="398"/>
      <c r="AD186" s="398"/>
      <c r="AE186" s="398"/>
      <c r="AO186" s="809"/>
      <c r="AP186" s="809"/>
      <c r="AQ186" s="809"/>
      <c r="AR186" s="809"/>
      <c r="AS186" s="809"/>
      <c r="AT186" s="809"/>
      <c r="AU186" s="809"/>
      <c r="AV186" s="809"/>
      <c r="AW186" s="809"/>
      <c r="AX186" s="809"/>
      <c r="AY186" s="809"/>
      <c r="AZ186" s="809"/>
      <c r="BA186" s="809"/>
      <c r="BB186" s="809"/>
      <c r="BC186" s="809"/>
      <c r="BD186" s="809"/>
      <c r="BE186" s="809"/>
      <c r="BF186" s="809"/>
      <c r="BG186" s="809"/>
      <c r="BH186" s="809"/>
      <c r="BI186" s="809"/>
      <c r="BJ186" s="809"/>
      <c r="BK186" s="809"/>
      <c r="BL186" s="809"/>
      <c r="BM186" s="809"/>
      <c r="BN186" s="809"/>
    </row>
    <row r="187" spans="15:66">
      <c r="O187" s="809"/>
      <c r="P187" s="809"/>
      <c r="Q187" s="809"/>
      <c r="R187" s="809"/>
      <c r="S187" s="809"/>
      <c r="T187" s="809"/>
      <c r="U187" s="809"/>
      <c r="V187" s="809"/>
      <c r="W187" s="809"/>
      <c r="X187" s="809"/>
      <c r="Y187" s="809"/>
      <c r="Z187" s="809"/>
      <c r="AA187" s="809"/>
      <c r="AB187" s="809"/>
      <c r="AC187" s="809"/>
      <c r="AD187" s="809"/>
      <c r="AE187" s="398"/>
      <c r="AO187" s="809"/>
      <c r="AP187" s="809"/>
      <c r="AQ187" s="809"/>
      <c r="AR187" s="809"/>
      <c r="AS187" s="809"/>
      <c r="AT187" s="809"/>
      <c r="AU187" s="809"/>
      <c r="AV187" s="809"/>
      <c r="AW187" s="809"/>
      <c r="AX187" s="809"/>
      <c r="AY187" s="809"/>
      <c r="AZ187" s="809"/>
      <c r="BA187" s="809"/>
      <c r="BB187" s="809"/>
      <c r="BC187" s="809"/>
      <c r="BD187" s="809"/>
      <c r="BE187" s="809"/>
      <c r="BF187" s="809"/>
      <c r="BG187" s="809"/>
      <c r="BH187" s="809"/>
      <c r="BI187" s="809"/>
      <c r="BJ187" s="809"/>
      <c r="BK187" s="809"/>
      <c r="BL187" s="809"/>
      <c r="BM187" s="809"/>
      <c r="BN187" s="809"/>
    </row>
    <row r="188" spans="15:66">
      <c r="O188" s="809"/>
      <c r="P188" s="809"/>
      <c r="Q188" s="809"/>
      <c r="R188" s="809"/>
      <c r="S188" s="809"/>
      <c r="T188" s="809"/>
      <c r="U188" s="809"/>
      <c r="V188" s="809"/>
      <c r="W188" s="809"/>
      <c r="X188" s="809"/>
      <c r="Y188" s="809"/>
      <c r="Z188" s="809"/>
      <c r="AA188" s="809"/>
      <c r="AB188" s="809"/>
      <c r="AC188" s="809"/>
      <c r="AD188" s="809"/>
      <c r="AE188" s="398"/>
      <c r="AO188" s="809"/>
      <c r="AP188" s="809"/>
      <c r="AQ188" s="809"/>
      <c r="AR188" s="809"/>
      <c r="AS188" s="809"/>
      <c r="AT188" s="809"/>
      <c r="AU188" s="809"/>
      <c r="AV188" s="809"/>
      <c r="AW188" s="809"/>
      <c r="AX188" s="809"/>
      <c r="AY188" s="809"/>
      <c r="AZ188" s="809"/>
      <c r="BA188" s="809"/>
      <c r="BB188" s="809"/>
      <c r="BC188" s="809"/>
      <c r="BD188" s="809"/>
      <c r="BE188" s="809"/>
      <c r="BF188" s="809"/>
      <c r="BG188" s="809"/>
      <c r="BH188" s="809"/>
      <c r="BI188" s="809"/>
      <c r="BJ188" s="809"/>
      <c r="BK188" s="809"/>
      <c r="BL188" s="809"/>
      <c r="BM188" s="809"/>
      <c r="BN188" s="809"/>
    </row>
    <row r="189" spans="15:66">
      <c r="O189" s="809"/>
      <c r="P189" s="809"/>
      <c r="Q189" s="809"/>
      <c r="R189" s="809"/>
      <c r="S189" s="809"/>
      <c r="T189" s="809"/>
      <c r="U189" s="809"/>
      <c r="V189" s="809"/>
      <c r="W189" s="809"/>
      <c r="X189" s="809"/>
      <c r="Y189" s="809"/>
      <c r="Z189" s="809"/>
      <c r="AA189" s="809"/>
      <c r="AB189" s="809"/>
      <c r="AC189" s="809"/>
      <c r="AD189" s="809"/>
      <c r="AE189" s="398"/>
      <c r="AF189" s="398"/>
      <c r="AO189" s="809"/>
      <c r="AP189" s="809"/>
      <c r="AQ189" s="809"/>
      <c r="AR189" s="809"/>
      <c r="AS189" s="809"/>
      <c r="AT189" s="809"/>
      <c r="AU189" s="809"/>
      <c r="AV189" s="809"/>
      <c r="AW189" s="809"/>
      <c r="AX189" s="809"/>
      <c r="AY189" s="809"/>
      <c r="AZ189" s="809"/>
      <c r="BA189" s="809"/>
      <c r="BB189" s="809"/>
      <c r="BC189" s="809"/>
      <c r="BD189" s="809"/>
      <c r="BE189" s="809"/>
      <c r="BF189" s="809"/>
      <c r="BG189" s="809"/>
      <c r="BH189" s="809"/>
      <c r="BI189" s="809"/>
      <c r="BJ189" s="809"/>
      <c r="BK189" s="809"/>
      <c r="BL189" s="809"/>
      <c r="BM189" s="809"/>
      <c r="BN189" s="809"/>
    </row>
    <row r="190" spans="15:66">
      <c r="O190" s="809"/>
      <c r="P190" s="809"/>
      <c r="Q190" s="809"/>
      <c r="R190" s="809"/>
      <c r="S190" s="809"/>
      <c r="T190" s="809"/>
      <c r="U190" s="809"/>
      <c r="V190" s="809"/>
      <c r="W190" s="809"/>
      <c r="X190" s="809"/>
      <c r="Y190" s="809"/>
      <c r="Z190" s="809"/>
      <c r="AA190" s="809"/>
      <c r="AB190" s="809"/>
      <c r="AC190" s="809"/>
      <c r="AD190" s="809"/>
      <c r="AE190" s="398"/>
      <c r="AF190" s="398"/>
      <c r="AO190" s="809"/>
      <c r="AP190" s="809"/>
      <c r="AQ190" s="809"/>
      <c r="AR190" s="809"/>
      <c r="AS190" s="809"/>
      <c r="AT190" s="809"/>
      <c r="AU190" s="809"/>
      <c r="AV190" s="809"/>
      <c r="AW190" s="809"/>
      <c r="AX190" s="809"/>
      <c r="AY190" s="809"/>
      <c r="AZ190" s="809"/>
      <c r="BA190" s="809"/>
      <c r="BB190" s="809"/>
      <c r="BC190" s="809"/>
      <c r="BD190" s="809"/>
      <c r="BE190" s="809"/>
      <c r="BF190" s="809"/>
      <c r="BG190" s="809"/>
      <c r="BH190" s="809"/>
      <c r="BI190" s="809"/>
      <c r="BJ190" s="809"/>
      <c r="BK190" s="809"/>
      <c r="BL190" s="809"/>
      <c r="BM190" s="809"/>
      <c r="BN190" s="809"/>
    </row>
    <row r="191" spans="15:66">
      <c r="O191" s="809"/>
      <c r="P191" s="809"/>
      <c r="Q191" s="809"/>
      <c r="R191" s="809"/>
      <c r="S191" s="809"/>
      <c r="T191" s="809"/>
      <c r="U191" s="809"/>
      <c r="V191" s="809"/>
      <c r="W191" s="809"/>
      <c r="X191" s="809"/>
      <c r="Y191" s="809"/>
      <c r="Z191" s="809"/>
      <c r="AA191" s="809"/>
      <c r="AB191" s="809"/>
      <c r="AC191" s="809"/>
      <c r="AD191" s="809"/>
      <c r="AE191" s="398"/>
      <c r="AF191" s="398"/>
      <c r="AO191" s="809"/>
      <c r="AP191" s="809"/>
      <c r="AQ191" s="809"/>
      <c r="AR191" s="809"/>
      <c r="AS191" s="809"/>
      <c r="AT191" s="809"/>
      <c r="AU191" s="809"/>
      <c r="AV191" s="809"/>
      <c r="AW191" s="809"/>
      <c r="AX191" s="809"/>
      <c r="AY191" s="809"/>
      <c r="AZ191" s="809"/>
      <c r="BA191" s="809"/>
      <c r="BB191" s="809"/>
      <c r="BC191" s="809"/>
      <c r="BD191" s="809"/>
      <c r="BE191" s="809"/>
      <c r="BF191" s="809"/>
      <c r="BG191" s="809"/>
      <c r="BH191" s="809"/>
      <c r="BI191" s="809"/>
      <c r="BJ191" s="809"/>
      <c r="BK191" s="809"/>
      <c r="BL191" s="809"/>
      <c r="BM191" s="809"/>
      <c r="BN191" s="809"/>
    </row>
    <row r="192" spans="15:66">
      <c r="O192" s="809"/>
      <c r="P192" s="809"/>
      <c r="Q192" s="809"/>
      <c r="R192" s="809"/>
      <c r="S192" s="809"/>
      <c r="T192" s="809"/>
      <c r="U192" s="809"/>
      <c r="V192" s="809"/>
      <c r="W192" s="809"/>
      <c r="X192" s="809"/>
      <c r="Y192" s="809"/>
      <c r="Z192" s="809"/>
      <c r="AA192" s="809"/>
      <c r="AB192" s="809"/>
      <c r="AC192" s="809"/>
      <c r="AD192" s="809"/>
      <c r="AE192" s="398"/>
      <c r="AF192" s="398"/>
      <c r="AO192" s="809"/>
      <c r="AP192" s="809"/>
      <c r="AQ192" s="809"/>
      <c r="AR192" s="809"/>
      <c r="AS192" s="809"/>
      <c r="AT192" s="809"/>
      <c r="AU192" s="809"/>
      <c r="AV192" s="809"/>
      <c r="AW192" s="809"/>
      <c r="AX192" s="809"/>
      <c r="AY192" s="809"/>
      <c r="AZ192" s="809"/>
      <c r="BA192" s="809"/>
      <c r="BB192" s="809"/>
      <c r="BC192" s="809"/>
      <c r="BD192" s="809"/>
      <c r="BE192" s="809"/>
      <c r="BF192" s="809"/>
      <c r="BG192" s="809"/>
      <c r="BH192" s="809"/>
      <c r="BI192" s="809"/>
      <c r="BJ192" s="809"/>
      <c r="BK192" s="809"/>
      <c r="BL192" s="809"/>
      <c r="BM192" s="809"/>
      <c r="BN192" s="809"/>
    </row>
    <row r="193" spans="4:66">
      <c r="O193" s="809"/>
      <c r="P193" s="809"/>
      <c r="Q193" s="809"/>
      <c r="R193" s="809"/>
      <c r="S193" s="809"/>
      <c r="T193" s="809"/>
      <c r="U193" s="809"/>
      <c r="V193" s="809"/>
      <c r="W193" s="809"/>
      <c r="X193" s="809"/>
      <c r="Y193" s="809"/>
      <c r="Z193" s="809"/>
      <c r="AA193" s="809"/>
      <c r="AB193" s="809"/>
      <c r="AC193" s="809"/>
      <c r="AD193" s="809"/>
      <c r="AE193" s="398"/>
      <c r="AF193" s="398"/>
      <c r="AO193" s="809"/>
      <c r="AP193" s="809"/>
      <c r="AQ193" s="809"/>
      <c r="AR193" s="809"/>
      <c r="AS193" s="809"/>
      <c r="AT193" s="809"/>
      <c r="AU193" s="809"/>
      <c r="AV193" s="809"/>
      <c r="AW193" s="809"/>
      <c r="AX193" s="809"/>
      <c r="AY193" s="809"/>
      <c r="AZ193" s="809"/>
      <c r="BA193" s="809"/>
      <c r="BB193" s="809"/>
      <c r="BC193" s="809"/>
      <c r="BD193" s="809"/>
      <c r="BE193" s="809"/>
      <c r="BF193" s="809"/>
      <c r="BG193" s="809"/>
      <c r="BH193" s="809"/>
      <c r="BI193" s="809"/>
      <c r="BJ193" s="809"/>
      <c r="BK193" s="809"/>
      <c r="BL193" s="809"/>
      <c r="BM193" s="809"/>
      <c r="BN193" s="809"/>
    </row>
    <row r="194" spans="4:66">
      <c r="O194" s="809"/>
      <c r="P194" s="809"/>
      <c r="Q194" s="809"/>
      <c r="R194" s="809"/>
      <c r="S194" s="809"/>
      <c r="T194" s="809"/>
      <c r="U194" s="809"/>
      <c r="V194" s="809"/>
      <c r="W194" s="809"/>
      <c r="X194" s="809"/>
      <c r="Y194" s="809"/>
      <c r="Z194" s="809"/>
      <c r="AA194" s="809"/>
      <c r="AB194" s="809"/>
      <c r="AC194" s="809"/>
      <c r="AD194" s="809"/>
      <c r="AE194" s="398"/>
      <c r="AF194" s="398"/>
      <c r="AO194" s="809"/>
      <c r="AP194" s="809"/>
      <c r="AQ194" s="809"/>
      <c r="AR194" s="809"/>
      <c r="AS194" s="809"/>
      <c r="AT194" s="809"/>
      <c r="AU194" s="809"/>
      <c r="AV194" s="809"/>
      <c r="AW194" s="809"/>
      <c r="AX194" s="809"/>
      <c r="AY194" s="809"/>
      <c r="AZ194" s="809"/>
      <c r="BA194" s="809"/>
      <c r="BB194" s="809"/>
      <c r="BC194" s="809"/>
      <c r="BD194" s="809"/>
      <c r="BE194" s="809"/>
      <c r="BF194" s="809"/>
      <c r="BG194" s="809"/>
      <c r="BH194" s="809"/>
      <c r="BI194" s="809"/>
      <c r="BJ194" s="809"/>
      <c r="BK194" s="809"/>
      <c r="BL194" s="809"/>
      <c r="BM194" s="809"/>
      <c r="BN194" s="809"/>
    </row>
    <row r="195" spans="4:66">
      <c r="O195" s="809"/>
      <c r="P195" s="809"/>
      <c r="Q195" s="809"/>
      <c r="R195" s="809"/>
      <c r="S195" s="809"/>
      <c r="T195" s="809"/>
      <c r="U195" s="809"/>
      <c r="V195" s="809"/>
      <c r="W195" s="809"/>
      <c r="X195" s="809"/>
      <c r="Y195" s="809"/>
      <c r="Z195" s="809"/>
      <c r="AA195" s="809"/>
      <c r="AB195" s="809"/>
      <c r="AC195" s="809"/>
      <c r="AD195" s="809"/>
      <c r="AE195" s="398"/>
      <c r="AF195" s="398"/>
      <c r="AG195" s="398"/>
      <c r="AH195" s="398"/>
      <c r="AI195" s="398"/>
      <c r="AJ195" s="398"/>
      <c r="AK195" s="398"/>
      <c r="AL195" s="398"/>
      <c r="AM195" s="398"/>
      <c r="AN195" s="809"/>
      <c r="AO195" s="809"/>
      <c r="AP195" s="809"/>
      <c r="AQ195" s="809"/>
      <c r="AR195" s="809"/>
      <c r="AS195" s="809"/>
      <c r="AT195" s="809"/>
      <c r="AU195" s="809"/>
      <c r="AV195" s="809"/>
      <c r="AW195" s="809"/>
      <c r="AX195" s="809"/>
      <c r="AY195" s="809"/>
      <c r="AZ195" s="809"/>
      <c r="BA195" s="809"/>
      <c r="BB195" s="809"/>
      <c r="BC195" s="809"/>
      <c r="BD195" s="809"/>
      <c r="BE195" s="809"/>
      <c r="BF195" s="809"/>
      <c r="BG195" s="809"/>
      <c r="BH195" s="809"/>
      <c r="BI195" s="809"/>
      <c r="BJ195" s="809"/>
      <c r="BK195" s="809"/>
      <c r="BL195" s="809"/>
      <c r="BM195" s="809"/>
      <c r="BN195" s="809"/>
    </row>
    <row r="196" spans="4:66">
      <c r="D196" s="398"/>
      <c r="G196" s="398"/>
      <c r="H196" s="398"/>
      <c r="I196" s="398"/>
      <c r="J196" s="398"/>
      <c r="K196" s="398"/>
      <c r="L196" s="398"/>
      <c r="M196" s="398"/>
      <c r="N196" s="398"/>
      <c r="O196" s="809"/>
      <c r="P196" s="809"/>
      <c r="Q196" s="809"/>
      <c r="R196" s="809"/>
      <c r="S196" s="809"/>
      <c r="T196" s="809"/>
      <c r="U196" s="809"/>
      <c r="V196" s="809"/>
      <c r="W196" s="809"/>
      <c r="X196" s="809"/>
      <c r="Y196" s="809"/>
      <c r="Z196" s="809"/>
      <c r="AA196" s="809"/>
      <c r="AB196" s="809"/>
      <c r="AC196" s="809"/>
      <c r="AD196" s="809"/>
      <c r="AE196" s="398"/>
      <c r="AF196" s="398"/>
      <c r="AG196" s="398"/>
      <c r="AH196" s="398"/>
      <c r="AI196" s="398"/>
      <c r="AJ196" s="398"/>
      <c r="AK196" s="398"/>
      <c r="AL196" s="398"/>
      <c r="AM196" s="398"/>
      <c r="AN196" s="809"/>
      <c r="AO196" s="809"/>
      <c r="AP196" s="809"/>
      <c r="AQ196" s="809"/>
      <c r="AR196" s="809"/>
      <c r="AS196" s="809"/>
      <c r="AT196" s="809"/>
      <c r="AU196" s="809"/>
      <c r="AV196" s="809"/>
      <c r="AW196" s="809"/>
      <c r="AX196" s="809"/>
      <c r="AY196" s="809"/>
      <c r="AZ196" s="809"/>
      <c r="BA196" s="809"/>
      <c r="BB196" s="809"/>
      <c r="BC196" s="809"/>
      <c r="BD196" s="809"/>
      <c r="BE196" s="809"/>
      <c r="BF196" s="809"/>
      <c r="BG196" s="809"/>
      <c r="BH196" s="809"/>
      <c r="BI196" s="809"/>
      <c r="BJ196" s="809"/>
      <c r="BK196" s="809"/>
      <c r="BL196" s="809"/>
      <c r="BM196" s="809"/>
      <c r="BN196" s="809"/>
    </row>
    <row r="197" spans="4:66">
      <c r="O197" s="809"/>
      <c r="P197" s="809"/>
      <c r="Q197" s="809"/>
      <c r="R197" s="809"/>
      <c r="S197" s="809"/>
      <c r="T197" s="809"/>
      <c r="U197" s="809"/>
      <c r="V197" s="809"/>
      <c r="W197" s="809"/>
      <c r="X197" s="809"/>
      <c r="Y197" s="809"/>
      <c r="Z197" s="809"/>
      <c r="AA197" s="809"/>
      <c r="AB197" s="809"/>
      <c r="AC197" s="809"/>
      <c r="AD197" s="809"/>
      <c r="AE197" s="809"/>
      <c r="AF197" s="398"/>
      <c r="AG197" s="398"/>
      <c r="AH197" s="398"/>
      <c r="AI197" s="398"/>
      <c r="AJ197" s="398"/>
      <c r="AK197" s="398"/>
      <c r="AL197" s="398"/>
      <c r="AM197" s="398"/>
      <c r="AN197" s="809"/>
      <c r="AO197" s="809"/>
      <c r="AP197" s="809"/>
      <c r="AQ197" s="809"/>
      <c r="AR197" s="809"/>
      <c r="AS197" s="809"/>
      <c r="AT197" s="809"/>
      <c r="AU197" s="809"/>
      <c r="AV197" s="809"/>
      <c r="AW197" s="809"/>
      <c r="AX197" s="809"/>
      <c r="AY197" s="809"/>
      <c r="AZ197" s="809"/>
      <c r="BA197" s="809"/>
      <c r="BB197" s="809"/>
      <c r="BC197" s="809"/>
      <c r="BD197" s="809"/>
      <c r="BE197" s="809"/>
      <c r="BF197" s="809"/>
      <c r="BG197" s="809"/>
      <c r="BH197" s="809"/>
      <c r="BI197" s="809"/>
      <c r="BJ197" s="809"/>
      <c r="BK197" s="809"/>
      <c r="BL197" s="809"/>
      <c r="BM197" s="809"/>
      <c r="BN197" s="809"/>
    </row>
    <row r="198" spans="4:66">
      <c r="AE198" s="809"/>
      <c r="AF198" s="398"/>
      <c r="AG198" s="398"/>
      <c r="AH198" s="398"/>
      <c r="AI198" s="398"/>
      <c r="AJ198" s="398"/>
      <c r="AK198" s="398"/>
      <c r="AL198" s="398"/>
      <c r="AM198" s="398"/>
      <c r="AN198" s="809"/>
      <c r="AO198" s="809"/>
      <c r="AP198" s="809"/>
      <c r="AQ198" s="809"/>
      <c r="AR198" s="809"/>
      <c r="AS198" s="809"/>
      <c r="AT198" s="809"/>
      <c r="AU198" s="809"/>
      <c r="AV198" s="809"/>
      <c r="AW198" s="809"/>
      <c r="AX198" s="809"/>
      <c r="AY198" s="809"/>
      <c r="AZ198" s="809"/>
      <c r="BA198" s="809"/>
      <c r="BB198" s="809"/>
      <c r="BC198" s="809"/>
      <c r="BD198" s="809"/>
      <c r="BE198" s="809"/>
      <c r="BF198" s="809"/>
      <c r="BG198" s="809"/>
      <c r="BH198" s="809"/>
      <c r="BI198" s="809"/>
      <c r="BJ198" s="809"/>
      <c r="BK198" s="809"/>
      <c r="BL198" s="809"/>
      <c r="BM198" s="809"/>
      <c r="BN198" s="809"/>
    </row>
    <row r="199" spans="4:66">
      <c r="AE199" s="809"/>
      <c r="AF199" s="398"/>
      <c r="AG199" s="398"/>
      <c r="AH199" s="398"/>
      <c r="AI199" s="398"/>
      <c r="AJ199" s="398"/>
      <c r="AK199" s="398"/>
      <c r="AL199" s="398"/>
      <c r="AM199" s="398"/>
      <c r="AN199" s="809"/>
      <c r="AO199" s="809"/>
      <c r="AP199" s="809"/>
      <c r="AQ199" s="809"/>
      <c r="AR199" s="809"/>
      <c r="AS199" s="809"/>
      <c r="AT199" s="809"/>
      <c r="AU199" s="809"/>
      <c r="AV199" s="809"/>
      <c r="AW199" s="809"/>
      <c r="AX199" s="809"/>
      <c r="AY199" s="809"/>
      <c r="AZ199" s="809"/>
      <c r="BA199" s="809"/>
      <c r="BB199" s="809"/>
      <c r="BC199" s="809"/>
      <c r="BD199" s="809"/>
      <c r="BE199" s="809"/>
      <c r="BF199" s="809"/>
      <c r="BG199" s="809"/>
      <c r="BH199" s="809"/>
      <c r="BI199" s="809"/>
      <c r="BJ199" s="809"/>
      <c r="BK199" s="809"/>
      <c r="BL199" s="809"/>
      <c r="BM199" s="809"/>
      <c r="BN199" s="809"/>
    </row>
    <row r="200" spans="4:66">
      <c r="AE200" s="809"/>
      <c r="AF200" s="398"/>
      <c r="AG200" s="398"/>
      <c r="AH200" s="398"/>
      <c r="AI200" s="398"/>
      <c r="AJ200" s="398"/>
      <c r="AK200" s="398"/>
      <c r="AL200" s="398"/>
      <c r="AM200" s="398"/>
      <c r="AN200" s="809"/>
      <c r="AO200" s="809"/>
      <c r="AP200" s="809"/>
      <c r="AQ200" s="809"/>
      <c r="AR200" s="809"/>
      <c r="AS200" s="809"/>
      <c r="AT200" s="809"/>
      <c r="AU200" s="809"/>
      <c r="AV200" s="809"/>
      <c r="AW200" s="809"/>
      <c r="AX200" s="809"/>
      <c r="AY200" s="809"/>
      <c r="AZ200" s="809"/>
      <c r="BA200" s="809"/>
      <c r="BB200" s="809"/>
      <c r="BC200" s="809"/>
      <c r="BD200" s="809"/>
      <c r="BE200" s="809"/>
      <c r="BF200" s="809"/>
      <c r="BG200" s="809"/>
      <c r="BH200" s="809"/>
      <c r="BI200" s="809"/>
      <c r="BJ200" s="809"/>
      <c r="BK200" s="809"/>
      <c r="BL200" s="809"/>
      <c r="BM200" s="809"/>
      <c r="BN200" s="809"/>
    </row>
    <row r="201" spans="4:66">
      <c r="AE201" s="809"/>
      <c r="AF201" s="809"/>
      <c r="AG201" s="398"/>
      <c r="AH201" s="398"/>
      <c r="AI201" s="398"/>
      <c r="AJ201" s="398"/>
      <c r="AK201" s="398"/>
      <c r="AL201" s="398"/>
      <c r="AM201" s="398"/>
      <c r="AN201" s="809"/>
      <c r="AO201" s="809"/>
      <c r="AP201" s="809"/>
      <c r="AQ201" s="809"/>
      <c r="AR201" s="809"/>
      <c r="AS201" s="809"/>
      <c r="AT201" s="809"/>
      <c r="AU201" s="809"/>
      <c r="AV201" s="809"/>
      <c r="AW201" s="809"/>
      <c r="AX201" s="809"/>
      <c r="AY201" s="809"/>
      <c r="AZ201" s="809"/>
      <c r="BA201" s="809"/>
      <c r="BB201" s="809"/>
      <c r="BC201" s="809"/>
      <c r="BD201" s="809"/>
      <c r="BE201" s="809"/>
      <c r="BF201" s="809"/>
      <c r="BG201" s="809"/>
      <c r="BH201" s="809"/>
      <c r="BI201" s="809"/>
      <c r="BJ201" s="809"/>
      <c r="BK201" s="809"/>
      <c r="BL201" s="809"/>
      <c r="BM201" s="809"/>
      <c r="BN201" s="809"/>
    </row>
    <row r="202" spans="4:66">
      <c r="AE202" s="809"/>
      <c r="AF202" s="809"/>
      <c r="AG202" s="398"/>
      <c r="AH202" s="398"/>
      <c r="AI202" s="398"/>
      <c r="AJ202" s="398"/>
      <c r="AK202" s="398"/>
      <c r="AL202" s="398"/>
      <c r="AM202" s="398"/>
      <c r="AN202" s="809"/>
      <c r="AO202" s="809"/>
      <c r="AP202" s="809"/>
      <c r="AQ202" s="809"/>
      <c r="AR202" s="809"/>
      <c r="AS202" s="809"/>
      <c r="AT202" s="809"/>
      <c r="AU202" s="809"/>
      <c r="AV202" s="809"/>
      <c r="AW202" s="809"/>
      <c r="AX202" s="809"/>
      <c r="AY202" s="809"/>
      <c r="AZ202" s="809"/>
      <c r="BA202" s="809"/>
      <c r="BB202" s="809"/>
      <c r="BC202" s="809"/>
      <c r="BD202" s="809"/>
      <c r="BE202" s="809"/>
      <c r="BF202" s="809"/>
      <c r="BG202" s="809"/>
      <c r="BH202" s="809"/>
      <c r="BI202" s="809"/>
      <c r="BJ202" s="809"/>
      <c r="BK202" s="809"/>
      <c r="BL202" s="809"/>
      <c r="BM202" s="809"/>
      <c r="BN202" s="809"/>
    </row>
    <row r="203" spans="4:66">
      <c r="AE203" s="809"/>
      <c r="AF203" s="809"/>
      <c r="AG203" s="398"/>
      <c r="AH203" s="398"/>
      <c r="AI203" s="398"/>
      <c r="AJ203" s="398"/>
      <c r="AK203" s="398"/>
      <c r="AL203" s="398"/>
      <c r="AM203" s="398"/>
      <c r="AN203" s="809"/>
      <c r="AO203" s="809"/>
      <c r="AP203" s="809"/>
      <c r="AQ203" s="809"/>
      <c r="AR203" s="809"/>
      <c r="AS203" s="809"/>
      <c r="AT203" s="809"/>
      <c r="AU203" s="809"/>
      <c r="AV203" s="809"/>
      <c r="AW203" s="809"/>
      <c r="AX203" s="809"/>
      <c r="AY203" s="809"/>
      <c r="AZ203" s="809"/>
      <c r="BA203" s="809"/>
      <c r="BB203" s="809"/>
      <c r="BC203" s="809"/>
      <c r="BD203" s="809"/>
      <c r="BE203" s="809"/>
      <c r="BF203" s="809"/>
      <c r="BG203" s="809"/>
      <c r="BH203" s="809"/>
      <c r="BI203" s="809"/>
      <c r="BJ203" s="809"/>
      <c r="BK203" s="809"/>
      <c r="BL203" s="809"/>
      <c r="BM203" s="809"/>
      <c r="BN203" s="809"/>
    </row>
    <row r="204" spans="4:66">
      <c r="AE204" s="809"/>
      <c r="AF204" s="809"/>
      <c r="AG204" s="398"/>
      <c r="AH204" s="398"/>
      <c r="AI204" s="398"/>
      <c r="AJ204" s="398"/>
      <c r="AK204" s="398"/>
      <c r="AL204" s="398"/>
      <c r="AM204" s="398"/>
      <c r="AN204" s="809"/>
      <c r="AO204" s="809"/>
      <c r="AP204" s="809"/>
      <c r="AQ204" s="809"/>
      <c r="AR204" s="809"/>
      <c r="AS204" s="809"/>
      <c r="AT204" s="809"/>
      <c r="AU204" s="809"/>
      <c r="AV204" s="809"/>
      <c r="AW204" s="809"/>
      <c r="AX204" s="809"/>
      <c r="AY204" s="809"/>
      <c r="AZ204" s="809"/>
      <c r="BA204" s="809"/>
      <c r="BB204" s="809"/>
      <c r="BC204" s="809"/>
      <c r="BD204" s="809"/>
      <c r="BE204" s="809"/>
      <c r="BF204" s="809"/>
      <c r="BG204" s="809"/>
      <c r="BH204" s="809"/>
      <c r="BI204" s="809"/>
      <c r="BJ204" s="809"/>
      <c r="BK204" s="809"/>
      <c r="BL204" s="809"/>
      <c r="BM204" s="809"/>
      <c r="BN204" s="809"/>
    </row>
    <row r="205" spans="4:66">
      <c r="AE205" s="809"/>
      <c r="AF205" s="809"/>
      <c r="AG205" s="398"/>
      <c r="AH205" s="398"/>
      <c r="AI205" s="398"/>
      <c r="AJ205" s="398"/>
      <c r="AK205" s="398"/>
      <c r="AL205" s="398"/>
      <c r="AM205" s="398"/>
      <c r="AO205" s="809"/>
      <c r="AP205" s="809"/>
      <c r="AQ205" s="809"/>
      <c r="AR205" s="809"/>
      <c r="AS205" s="809"/>
      <c r="AT205" s="809"/>
      <c r="AU205" s="809"/>
      <c r="AV205" s="809"/>
      <c r="AW205" s="809"/>
      <c r="AX205" s="809"/>
      <c r="AY205" s="809"/>
      <c r="AZ205" s="809"/>
      <c r="BA205" s="809"/>
      <c r="BB205" s="809"/>
      <c r="BC205" s="809"/>
      <c r="BD205" s="809"/>
      <c r="BE205" s="809"/>
      <c r="BF205" s="809"/>
      <c r="BG205" s="809"/>
      <c r="BH205" s="809"/>
      <c r="BI205" s="809"/>
      <c r="BJ205" s="809"/>
      <c r="BK205" s="809"/>
      <c r="BL205" s="809"/>
      <c r="BM205" s="809"/>
      <c r="BN205" s="809"/>
    </row>
    <row r="206" spans="4:66">
      <c r="AE206" s="809"/>
      <c r="AF206" s="809"/>
      <c r="AG206" s="398"/>
      <c r="AH206" s="398"/>
      <c r="AI206" s="398"/>
      <c r="AJ206" s="398"/>
      <c r="AK206" s="398"/>
      <c r="AL206" s="398"/>
      <c r="AM206" s="398"/>
      <c r="AO206" s="809"/>
      <c r="AP206" s="809"/>
      <c r="AQ206" s="809"/>
      <c r="AR206" s="809"/>
      <c r="AS206" s="809"/>
      <c r="AT206" s="809"/>
      <c r="AU206" s="809"/>
      <c r="AV206" s="809"/>
      <c r="AW206" s="809"/>
      <c r="AX206" s="809"/>
      <c r="AY206" s="809"/>
      <c r="AZ206" s="809"/>
      <c r="BA206" s="809"/>
      <c r="BB206" s="809"/>
      <c r="BC206" s="809"/>
      <c r="BD206" s="809"/>
      <c r="BE206" s="809"/>
      <c r="BF206" s="809"/>
      <c r="BG206" s="809"/>
      <c r="BH206" s="809"/>
      <c r="BI206" s="809"/>
      <c r="BJ206" s="809"/>
      <c r="BK206" s="809"/>
      <c r="BL206" s="809"/>
      <c r="BM206" s="809"/>
      <c r="BN206" s="809"/>
    </row>
    <row r="207" spans="4:66">
      <c r="AE207" s="809"/>
      <c r="AF207" s="809"/>
      <c r="AG207" s="809"/>
      <c r="AH207" s="809"/>
      <c r="AI207" s="809"/>
      <c r="AJ207" s="809"/>
      <c r="AK207" s="809"/>
      <c r="AL207" s="809"/>
      <c r="AM207" s="809"/>
      <c r="AO207" s="809"/>
      <c r="AP207" s="809"/>
      <c r="AQ207" s="809"/>
      <c r="AR207" s="809"/>
      <c r="AS207" s="809"/>
      <c r="AT207" s="809"/>
      <c r="AU207" s="809"/>
      <c r="AV207" s="809"/>
      <c r="AW207" s="809"/>
      <c r="AX207" s="809"/>
      <c r="AY207" s="809"/>
      <c r="AZ207" s="809"/>
      <c r="BA207" s="809"/>
      <c r="BB207" s="809"/>
      <c r="BC207" s="809"/>
      <c r="BD207" s="809"/>
      <c r="BE207" s="809"/>
      <c r="BF207" s="809"/>
      <c r="BG207" s="809"/>
      <c r="BH207" s="809"/>
      <c r="BI207" s="809"/>
      <c r="BJ207" s="809"/>
      <c r="BK207" s="809"/>
      <c r="BL207" s="809"/>
      <c r="BM207" s="809"/>
      <c r="BN207" s="809"/>
    </row>
    <row r="208" spans="4:66">
      <c r="AF208" s="809"/>
      <c r="AG208" s="809"/>
      <c r="AH208" s="809"/>
      <c r="AI208" s="809"/>
      <c r="AJ208" s="809"/>
      <c r="AK208" s="809"/>
      <c r="AL208" s="809"/>
      <c r="AM208" s="809"/>
      <c r="AO208" s="809"/>
      <c r="AP208" s="809"/>
      <c r="AQ208" s="809"/>
      <c r="AR208" s="809"/>
      <c r="AS208" s="809"/>
      <c r="AT208" s="809"/>
      <c r="AU208" s="809"/>
      <c r="AV208" s="809"/>
      <c r="AW208" s="809"/>
      <c r="AX208" s="809"/>
      <c r="AY208" s="809"/>
      <c r="AZ208" s="809"/>
      <c r="BA208" s="809"/>
      <c r="BB208" s="809"/>
      <c r="BC208" s="809"/>
      <c r="BD208" s="809"/>
      <c r="BE208" s="809"/>
      <c r="BF208" s="809"/>
      <c r="BG208" s="809"/>
      <c r="BH208" s="809"/>
      <c r="BI208" s="809"/>
      <c r="BJ208" s="809"/>
      <c r="BK208" s="809"/>
      <c r="BL208" s="809"/>
      <c r="BM208" s="809"/>
      <c r="BN208" s="809"/>
    </row>
    <row r="209" spans="1:66">
      <c r="AF209" s="809"/>
      <c r="AG209" s="809"/>
      <c r="AH209" s="809"/>
      <c r="AI209" s="809"/>
      <c r="AJ209" s="809"/>
      <c r="AK209" s="809"/>
      <c r="AL209" s="809"/>
      <c r="AM209" s="809"/>
      <c r="AP209" s="809"/>
      <c r="AQ209" s="809"/>
      <c r="AR209" s="809"/>
      <c r="AS209" s="809"/>
      <c r="AT209" s="809"/>
      <c r="AU209" s="809"/>
      <c r="AV209" s="809"/>
      <c r="AW209" s="809"/>
      <c r="AX209" s="809"/>
      <c r="AY209" s="809"/>
      <c r="AZ209" s="809"/>
      <c r="BA209" s="809"/>
      <c r="BB209" s="809"/>
      <c r="BC209" s="809"/>
      <c r="BD209" s="809"/>
      <c r="BE209" s="809"/>
      <c r="BF209" s="809"/>
      <c r="BG209" s="809"/>
      <c r="BH209" s="809"/>
      <c r="BI209" s="809"/>
      <c r="BJ209" s="809"/>
      <c r="BK209" s="809"/>
      <c r="BL209" s="809"/>
      <c r="BM209" s="809"/>
      <c r="BN209" s="809"/>
    </row>
    <row r="210" spans="1:66">
      <c r="AF210" s="809"/>
      <c r="AG210" s="809"/>
      <c r="AH210" s="809"/>
      <c r="AI210" s="809"/>
      <c r="AJ210" s="809"/>
      <c r="AK210" s="809"/>
      <c r="AL210" s="809"/>
      <c r="AM210" s="809"/>
      <c r="AP210" s="809"/>
      <c r="AQ210" s="809"/>
      <c r="AR210" s="809"/>
      <c r="AS210" s="809"/>
      <c r="AT210" s="809"/>
      <c r="AU210" s="809"/>
      <c r="AV210" s="809"/>
      <c r="AW210" s="809"/>
      <c r="AX210" s="809"/>
      <c r="AY210" s="809"/>
      <c r="AZ210" s="809"/>
      <c r="BA210" s="809"/>
      <c r="BB210" s="809"/>
      <c r="BC210" s="809"/>
      <c r="BD210" s="809"/>
      <c r="BE210" s="809"/>
      <c r="BF210" s="809"/>
      <c r="BG210" s="809"/>
      <c r="BH210" s="809"/>
      <c r="BI210" s="809"/>
      <c r="BJ210" s="809"/>
      <c r="BK210" s="809"/>
      <c r="BL210" s="809"/>
      <c r="BM210" s="809"/>
      <c r="BN210" s="809"/>
    </row>
    <row r="211" spans="1:66">
      <c r="AF211" s="809"/>
      <c r="AG211" s="809"/>
      <c r="AH211" s="809"/>
      <c r="AI211" s="809"/>
      <c r="AJ211" s="809"/>
      <c r="AK211" s="809"/>
      <c r="AL211" s="809"/>
      <c r="AM211" s="809"/>
      <c r="AP211" s="809"/>
      <c r="AQ211" s="809"/>
      <c r="AR211" s="809"/>
      <c r="AS211" s="809"/>
      <c r="AT211" s="809"/>
      <c r="AU211" s="809"/>
      <c r="AV211" s="809"/>
      <c r="AW211" s="809"/>
      <c r="AX211" s="809"/>
      <c r="AY211" s="809"/>
      <c r="AZ211" s="809"/>
      <c r="BA211" s="809"/>
      <c r="BB211" s="809"/>
      <c r="BC211" s="809"/>
      <c r="BD211" s="809"/>
      <c r="BE211" s="809"/>
      <c r="BF211" s="809"/>
      <c r="BG211" s="809"/>
      <c r="BH211" s="809"/>
      <c r="BI211" s="809"/>
      <c r="BJ211" s="809"/>
      <c r="BK211" s="809"/>
      <c r="BL211" s="809"/>
      <c r="BM211" s="809"/>
      <c r="BN211" s="809"/>
    </row>
    <row r="212" spans="1:66">
      <c r="AG212" s="809"/>
      <c r="AH212" s="809"/>
      <c r="AI212" s="809"/>
      <c r="AJ212" s="809"/>
      <c r="AK212" s="809"/>
      <c r="AL212" s="809"/>
      <c r="AM212" s="809"/>
      <c r="AP212" s="809"/>
      <c r="AQ212" s="809"/>
      <c r="AR212" s="809"/>
      <c r="AS212" s="809"/>
      <c r="AT212" s="809"/>
      <c r="AU212" s="809"/>
      <c r="AV212" s="809"/>
      <c r="AW212" s="809"/>
      <c r="AX212" s="809"/>
      <c r="AY212" s="809"/>
      <c r="AZ212" s="809"/>
      <c r="BA212" s="809"/>
      <c r="BB212" s="809"/>
      <c r="BC212" s="809"/>
      <c r="BD212" s="809"/>
      <c r="BE212" s="809"/>
      <c r="BF212" s="809"/>
      <c r="BG212" s="809"/>
      <c r="BH212" s="809"/>
      <c r="BI212" s="809"/>
      <c r="BJ212" s="809"/>
      <c r="BK212" s="809"/>
      <c r="BL212" s="809"/>
      <c r="BM212" s="809"/>
      <c r="BN212" s="809"/>
    </row>
    <row r="213" spans="1:66">
      <c r="AG213" s="809"/>
      <c r="AH213" s="809"/>
      <c r="AI213" s="809"/>
      <c r="AJ213" s="809"/>
      <c r="AK213" s="809"/>
      <c r="AL213" s="809"/>
      <c r="AM213" s="809"/>
      <c r="AP213" s="809"/>
      <c r="AQ213" s="809"/>
      <c r="AR213" s="809"/>
      <c r="AS213" s="809"/>
      <c r="AT213" s="809"/>
      <c r="AU213" s="809"/>
      <c r="AV213" s="809"/>
      <c r="AW213" s="809"/>
      <c r="AX213" s="809"/>
      <c r="AY213" s="809"/>
      <c r="AZ213" s="809"/>
      <c r="BA213" s="809"/>
      <c r="BB213" s="809"/>
      <c r="BC213" s="809"/>
      <c r="BD213" s="809"/>
      <c r="BE213" s="809"/>
      <c r="BF213" s="809"/>
      <c r="BG213" s="809"/>
      <c r="BH213" s="809"/>
      <c r="BI213" s="809"/>
      <c r="BJ213" s="809"/>
      <c r="BK213" s="809"/>
      <c r="BL213" s="809"/>
      <c r="BM213" s="809"/>
      <c r="BN213" s="809"/>
    </row>
    <row r="214" spans="1:66">
      <c r="AG214" s="809"/>
      <c r="AH214" s="809"/>
      <c r="AI214" s="809"/>
      <c r="AJ214" s="809"/>
      <c r="AK214" s="809"/>
      <c r="AL214" s="809"/>
      <c r="AM214" s="809"/>
      <c r="AP214" s="809"/>
      <c r="AQ214" s="809"/>
      <c r="AR214" s="809"/>
      <c r="AS214" s="809"/>
      <c r="AT214" s="809"/>
      <c r="AU214" s="809"/>
      <c r="AV214" s="809"/>
      <c r="AW214" s="809"/>
      <c r="AX214" s="809"/>
      <c r="AY214" s="809"/>
      <c r="AZ214" s="809"/>
      <c r="BA214" s="809"/>
      <c r="BB214" s="809"/>
      <c r="BC214" s="809"/>
      <c r="BD214" s="809"/>
      <c r="BE214" s="809"/>
      <c r="BF214" s="809"/>
      <c r="BG214" s="809"/>
      <c r="BH214" s="809"/>
      <c r="BI214" s="809"/>
      <c r="BJ214" s="809"/>
      <c r="BK214" s="809"/>
      <c r="BL214" s="809"/>
      <c r="BM214" s="809"/>
      <c r="BN214" s="809"/>
    </row>
    <row r="215" spans="1:66">
      <c r="A215" s="398"/>
      <c r="B215" s="398"/>
      <c r="C215" s="398"/>
      <c r="D215" s="398"/>
      <c r="E215" s="398"/>
      <c r="F215" s="398"/>
      <c r="G215" s="398"/>
      <c r="H215" s="398"/>
      <c r="I215" s="398"/>
      <c r="J215" s="398"/>
      <c r="K215" s="398"/>
      <c r="L215" s="398"/>
      <c r="M215" s="398"/>
      <c r="N215" s="398"/>
      <c r="AG215" s="809"/>
      <c r="AH215" s="809"/>
      <c r="AI215" s="809"/>
      <c r="AJ215" s="809"/>
      <c r="AK215" s="809"/>
      <c r="AL215" s="809"/>
      <c r="AM215" s="809"/>
      <c r="AP215" s="809"/>
      <c r="AQ215" s="809"/>
      <c r="AR215" s="809"/>
      <c r="AS215" s="809"/>
      <c r="AT215" s="809"/>
      <c r="AU215" s="809"/>
      <c r="AV215" s="809"/>
      <c r="AW215" s="809"/>
      <c r="AX215" s="809"/>
      <c r="AY215" s="809"/>
      <c r="AZ215" s="809"/>
      <c r="BA215" s="809"/>
      <c r="BB215" s="809"/>
      <c r="BC215" s="809"/>
      <c r="BD215" s="809"/>
      <c r="BE215" s="809"/>
      <c r="BF215" s="809"/>
      <c r="BG215" s="809"/>
      <c r="BH215" s="809"/>
      <c r="BI215" s="809"/>
      <c r="BJ215" s="809"/>
      <c r="BK215" s="809"/>
      <c r="BL215" s="809"/>
      <c r="BM215" s="809"/>
      <c r="BN215" s="809"/>
    </row>
    <row r="216" spans="1:66">
      <c r="A216" s="398"/>
      <c r="B216" s="398"/>
      <c r="C216" s="398"/>
      <c r="D216" s="398"/>
      <c r="E216" s="398"/>
      <c r="F216" s="398"/>
      <c r="G216" s="398"/>
      <c r="H216" s="398"/>
      <c r="I216" s="398"/>
      <c r="J216" s="398"/>
      <c r="K216" s="398"/>
      <c r="L216" s="398"/>
      <c r="M216" s="398"/>
      <c r="N216" s="398"/>
      <c r="AG216" s="809"/>
      <c r="AH216" s="809"/>
      <c r="AI216" s="809"/>
      <c r="AJ216" s="809"/>
      <c r="AK216" s="809"/>
      <c r="AL216" s="809"/>
      <c r="AM216" s="809"/>
      <c r="AP216" s="809"/>
      <c r="AQ216" s="809"/>
      <c r="AR216" s="809"/>
      <c r="AS216" s="809"/>
      <c r="AT216" s="809"/>
      <c r="AU216" s="809"/>
      <c r="AV216" s="809"/>
      <c r="AW216" s="809"/>
      <c r="AX216" s="809"/>
      <c r="AY216" s="809"/>
      <c r="AZ216" s="809"/>
      <c r="BA216" s="809"/>
      <c r="BB216" s="809"/>
      <c r="BC216" s="809"/>
      <c r="BD216" s="809"/>
      <c r="BE216" s="809"/>
      <c r="BF216" s="809"/>
      <c r="BG216" s="809"/>
      <c r="BH216" s="809"/>
      <c r="BI216" s="809"/>
      <c r="BJ216" s="809"/>
      <c r="BK216" s="809"/>
      <c r="BL216" s="809"/>
      <c r="BM216" s="809"/>
      <c r="BN216" s="809"/>
    </row>
    <row r="217" spans="1:66">
      <c r="A217" s="398"/>
      <c r="B217" s="398"/>
      <c r="C217" s="398"/>
      <c r="D217" s="398"/>
      <c r="E217" s="398"/>
      <c r="F217" s="398"/>
      <c r="G217" s="398"/>
      <c r="H217" s="398"/>
      <c r="I217" s="398"/>
      <c r="J217" s="398"/>
      <c r="K217" s="398"/>
      <c r="L217" s="398"/>
      <c r="M217" s="398"/>
      <c r="N217" s="398"/>
      <c r="AG217" s="809"/>
      <c r="AH217" s="809"/>
      <c r="AI217" s="809"/>
      <c r="AJ217" s="809"/>
      <c r="AK217" s="809"/>
      <c r="AL217" s="809"/>
      <c r="AM217" s="809"/>
      <c r="AP217" s="809"/>
      <c r="AQ217" s="809"/>
      <c r="AR217" s="809"/>
      <c r="AS217" s="809"/>
      <c r="AT217" s="809"/>
      <c r="AU217" s="809"/>
      <c r="AV217" s="809"/>
      <c r="AW217" s="809"/>
      <c r="AX217" s="809"/>
      <c r="AY217" s="809"/>
      <c r="AZ217" s="809"/>
      <c r="BA217" s="809"/>
      <c r="BB217" s="809"/>
      <c r="BC217" s="809"/>
      <c r="BD217" s="809"/>
      <c r="BE217" s="809"/>
      <c r="BF217" s="809"/>
      <c r="BG217" s="809"/>
      <c r="BH217" s="809"/>
      <c r="BI217" s="809"/>
      <c r="BJ217" s="809"/>
      <c r="BK217" s="809"/>
      <c r="BL217" s="809"/>
      <c r="BM217" s="809"/>
      <c r="BN217" s="809"/>
    </row>
    <row r="218" spans="1:66">
      <c r="D218" s="398"/>
      <c r="E218" s="398"/>
      <c r="F218" s="398"/>
      <c r="G218" s="398"/>
      <c r="H218" s="398"/>
      <c r="I218" s="398"/>
      <c r="J218" s="398"/>
      <c r="K218" s="398"/>
      <c r="L218" s="398"/>
      <c r="M218" s="398"/>
      <c r="N218" s="398"/>
      <c r="AP218" s="809"/>
      <c r="AQ218" s="809"/>
      <c r="AR218" s="809"/>
      <c r="AS218" s="809"/>
      <c r="AT218" s="809"/>
      <c r="AU218" s="809"/>
      <c r="AV218" s="809"/>
      <c r="AW218" s="809"/>
      <c r="AX218" s="809"/>
      <c r="AY218" s="809"/>
      <c r="AZ218" s="809"/>
      <c r="BA218" s="809"/>
      <c r="BB218" s="809"/>
      <c r="BC218" s="809"/>
      <c r="BD218" s="809"/>
      <c r="BE218" s="809"/>
      <c r="BF218" s="809"/>
      <c r="BG218" s="809"/>
      <c r="BH218" s="809"/>
      <c r="BI218" s="809"/>
      <c r="BJ218" s="809"/>
      <c r="BK218" s="809"/>
      <c r="BL218" s="809"/>
      <c r="BM218" s="809"/>
      <c r="BN218" s="809"/>
    </row>
    <row r="219" spans="1:66">
      <c r="AP219" s="809"/>
      <c r="AQ219" s="809"/>
      <c r="AR219" s="809"/>
      <c r="AS219" s="809"/>
      <c r="AT219" s="809"/>
      <c r="AU219" s="809"/>
      <c r="AV219" s="809"/>
      <c r="AW219" s="809"/>
      <c r="AX219" s="809"/>
      <c r="AY219" s="809"/>
      <c r="AZ219" s="809"/>
      <c r="BA219" s="809"/>
      <c r="BB219" s="809"/>
      <c r="BC219" s="809"/>
      <c r="BD219" s="809"/>
      <c r="BE219" s="809"/>
      <c r="BF219" s="809"/>
      <c r="BG219" s="809"/>
      <c r="BH219" s="809"/>
      <c r="BI219" s="809"/>
      <c r="BJ219" s="809"/>
      <c r="BK219" s="809"/>
      <c r="BL219" s="809"/>
      <c r="BM219" s="809"/>
      <c r="BN219" s="809"/>
    </row>
    <row r="220" spans="1:66">
      <c r="AP220" s="809"/>
      <c r="AQ220" s="809"/>
      <c r="AR220" s="809"/>
      <c r="AS220" s="809"/>
      <c r="AT220" s="809"/>
      <c r="AU220" s="809"/>
      <c r="AV220" s="809"/>
      <c r="AW220" s="809"/>
      <c r="AX220" s="809"/>
      <c r="AY220" s="809"/>
      <c r="AZ220" s="809"/>
      <c r="BA220" s="809"/>
      <c r="BB220" s="809"/>
      <c r="BC220" s="809"/>
      <c r="BD220" s="809"/>
      <c r="BE220" s="809"/>
      <c r="BF220" s="809"/>
      <c r="BG220" s="809"/>
      <c r="BH220" s="809"/>
      <c r="BI220" s="809"/>
      <c r="BJ220" s="809"/>
      <c r="BK220" s="809"/>
      <c r="BL220" s="809"/>
      <c r="BM220" s="809"/>
      <c r="BN220" s="809"/>
    </row>
    <row r="221" spans="1:66">
      <c r="AP221" s="809"/>
      <c r="AQ221" s="809"/>
      <c r="AR221" s="809"/>
      <c r="AS221" s="809"/>
      <c r="AT221" s="809"/>
      <c r="AU221" s="809"/>
      <c r="AV221" s="809"/>
      <c r="AW221" s="809"/>
      <c r="AX221" s="809"/>
      <c r="AY221" s="809"/>
      <c r="AZ221" s="809"/>
      <c r="BA221" s="809"/>
      <c r="BB221" s="809"/>
      <c r="BC221" s="809"/>
      <c r="BD221" s="809"/>
      <c r="BE221" s="809"/>
      <c r="BF221" s="809"/>
      <c r="BG221" s="809"/>
      <c r="BH221" s="809"/>
      <c r="BI221" s="809"/>
      <c r="BJ221" s="809"/>
      <c r="BK221" s="809"/>
      <c r="BL221" s="809"/>
      <c r="BM221" s="809"/>
      <c r="BN221" s="809"/>
    </row>
    <row r="222" spans="1:66">
      <c r="AP222" s="809"/>
      <c r="AQ222" s="809"/>
      <c r="AR222" s="809"/>
      <c r="AS222" s="809"/>
      <c r="AT222" s="809"/>
      <c r="AU222" s="809"/>
      <c r="AV222" s="809"/>
      <c r="AW222" s="809"/>
      <c r="AX222" s="809"/>
      <c r="AY222" s="809"/>
      <c r="AZ222" s="809"/>
      <c r="BA222" s="809"/>
      <c r="BB222" s="809"/>
      <c r="BC222" s="809"/>
      <c r="BD222" s="809"/>
      <c r="BE222" s="809"/>
      <c r="BF222" s="809"/>
      <c r="BG222" s="809"/>
      <c r="BH222" s="809"/>
      <c r="BI222" s="809"/>
      <c r="BJ222" s="809"/>
      <c r="BK222" s="809"/>
      <c r="BL222" s="809"/>
      <c r="BM222" s="809"/>
      <c r="BN222" s="809"/>
    </row>
    <row r="223" spans="1:66">
      <c r="AP223" s="809"/>
      <c r="AQ223" s="809"/>
      <c r="AR223" s="809"/>
      <c r="AS223" s="809"/>
      <c r="AT223" s="809"/>
      <c r="AU223" s="809"/>
      <c r="AV223" s="809"/>
      <c r="AW223" s="809"/>
      <c r="AX223" s="809"/>
      <c r="AY223" s="809"/>
      <c r="AZ223" s="809"/>
      <c r="BA223" s="809"/>
      <c r="BB223" s="809"/>
      <c r="BC223" s="809"/>
      <c r="BD223" s="809"/>
      <c r="BE223" s="809"/>
      <c r="BF223" s="809"/>
      <c r="BG223" s="809"/>
      <c r="BH223" s="809"/>
      <c r="BI223" s="809"/>
      <c r="BJ223" s="809"/>
      <c r="BK223" s="809"/>
      <c r="BL223" s="809"/>
      <c r="BM223" s="809"/>
      <c r="BN223" s="809"/>
    </row>
    <row r="224" spans="1:66">
      <c r="AP224" s="809"/>
      <c r="AQ224" s="809"/>
      <c r="AR224" s="809"/>
      <c r="AS224" s="809"/>
      <c r="AT224" s="809"/>
      <c r="AU224" s="809"/>
      <c r="AV224" s="809"/>
      <c r="AW224" s="809"/>
      <c r="AX224" s="809"/>
      <c r="AY224" s="809"/>
      <c r="AZ224" s="809"/>
      <c r="BA224" s="809"/>
      <c r="BB224" s="809"/>
      <c r="BC224" s="809"/>
      <c r="BD224" s="809"/>
      <c r="BE224" s="809"/>
      <c r="BF224" s="809"/>
      <c r="BG224" s="809"/>
      <c r="BH224" s="809"/>
      <c r="BI224" s="809"/>
      <c r="BJ224" s="809"/>
      <c r="BK224" s="809"/>
      <c r="BL224" s="809"/>
      <c r="BM224" s="809"/>
      <c r="BN224" s="809"/>
    </row>
    <row r="225" spans="1:66">
      <c r="AP225" s="809"/>
      <c r="AQ225" s="809"/>
      <c r="AR225" s="809"/>
      <c r="AS225" s="809"/>
      <c r="AT225" s="809"/>
      <c r="AU225" s="809"/>
      <c r="AV225" s="809"/>
      <c r="AW225" s="809"/>
      <c r="AX225" s="809"/>
      <c r="AY225" s="809"/>
      <c r="AZ225" s="809"/>
      <c r="BA225" s="809"/>
      <c r="BB225" s="809"/>
      <c r="BC225" s="809"/>
      <c r="BD225" s="809"/>
      <c r="BE225" s="809"/>
      <c r="BF225" s="809"/>
      <c r="BG225" s="809"/>
      <c r="BH225" s="809"/>
      <c r="BI225" s="809"/>
      <c r="BJ225" s="809"/>
      <c r="BK225" s="809"/>
      <c r="BL225" s="809"/>
      <c r="BM225" s="809"/>
      <c r="BN225" s="809"/>
    </row>
    <row r="226" spans="1:66">
      <c r="AP226" s="809"/>
      <c r="AQ226" s="809"/>
      <c r="AR226" s="809"/>
      <c r="AS226" s="809"/>
      <c r="AT226" s="809"/>
      <c r="AU226" s="809"/>
      <c r="AV226" s="809"/>
      <c r="AW226" s="809"/>
      <c r="AX226" s="809"/>
      <c r="AY226" s="809"/>
      <c r="AZ226" s="809"/>
      <c r="BA226" s="809"/>
      <c r="BB226" s="809"/>
      <c r="BC226" s="809"/>
      <c r="BD226" s="809"/>
      <c r="BE226" s="809"/>
      <c r="BF226" s="809"/>
      <c r="BG226" s="809"/>
      <c r="BH226" s="809"/>
      <c r="BI226" s="809"/>
      <c r="BJ226" s="809"/>
      <c r="BK226" s="809"/>
      <c r="BL226" s="809"/>
      <c r="BM226" s="809"/>
      <c r="BN226" s="809"/>
    </row>
    <row r="227" spans="1:66">
      <c r="AP227" s="809"/>
      <c r="AQ227" s="809"/>
      <c r="AR227" s="809"/>
      <c r="AS227" s="809"/>
      <c r="AT227" s="809"/>
      <c r="AU227" s="809"/>
      <c r="AV227" s="809"/>
      <c r="AW227" s="809"/>
      <c r="AX227" s="809"/>
      <c r="AY227" s="809"/>
      <c r="AZ227" s="809"/>
      <c r="BA227" s="809"/>
      <c r="BB227" s="809"/>
      <c r="BC227" s="809"/>
      <c r="BD227" s="809"/>
      <c r="BE227" s="809"/>
      <c r="BF227" s="809"/>
      <c r="BG227" s="809"/>
      <c r="BH227" s="809"/>
      <c r="BI227" s="809"/>
      <c r="BJ227" s="809"/>
      <c r="BK227" s="809"/>
      <c r="BL227" s="809"/>
      <c r="BM227" s="809"/>
      <c r="BN227" s="809"/>
    </row>
    <row r="228" spans="1:66">
      <c r="AP228" s="809"/>
      <c r="AQ228" s="809"/>
      <c r="AR228" s="809"/>
      <c r="AS228" s="809"/>
      <c r="AT228" s="809"/>
      <c r="AU228" s="809"/>
      <c r="AV228" s="809"/>
      <c r="AW228" s="809"/>
      <c r="AX228" s="809"/>
      <c r="AY228" s="809"/>
      <c r="AZ228" s="809"/>
      <c r="BA228" s="809"/>
      <c r="BB228" s="809"/>
      <c r="BC228" s="809"/>
      <c r="BD228" s="809"/>
      <c r="BE228" s="809"/>
      <c r="BF228" s="809"/>
      <c r="BG228" s="809"/>
      <c r="BH228" s="809"/>
      <c r="BI228" s="809"/>
      <c r="BJ228" s="809"/>
      <c r="BK228" s="809"/>
      <c r="BL228" s="809"/>
      <c r="BM228" s="809"/>
      <c r="BN228" s="809"/>
    </row>
    <row r="229" spans="1:66">
      <c r="AN229" s="398"/>
      <c r="AO229" s="398"/>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row>
    <row r="230" spans="1:66">
      <c r="AN230" s="398"/>
      <c r="AO230" s="398"/>
      <c r="AP230" s="809"/>
      <c r="AQ230" s="809"/>
      <c r="AR230" s="809"/>
      <c r="AS230" s="809"/>
      <c r="AT230" s="809"/>
      <c r="AU230" s="809"/>
      <c r="AV230" s="809"/>
      <c r="AW230" s="809"/>
      <c r="AX230" s="809"/>
      <c r="AY230" s="809"/>
      <c r="AZ230" s="809"/>
      <c r="BA230" s="809"/>
      <c r="BB230" s="809"/>
      <c r="BC230" s="809"/>
      <c r="BD230" s="809"/>
      <c r="BE230" s="809"/>
      <c r="BF230" s="809"/>
      <c r="BG230" s="809"/>
      <c r="BH230" s="809"/>
      <c r="BI230" s="809"/>
      <c r="BJ230" s="809"/>
      <c r="BK230" s="809"/>
      <c r="BL230" s="809"/>
      <c r="BM230" s="809"/>
      <c r="BN230" s="809"/>
    </row>
    <row r="231" spans="1:66">
      <c r="AN231" s="398"/>
      <c r="AO231" s="398"/>
      <c r="AP231" s="809"/>
      <c r="AQ231" s="809"/>
      <c r="AR231" s="809"/>
      <c r="AS231" s="809"/>
      <c r="AT231" s="809"/>
      <c r="AU231" s="809"/>
      <c r="AV231" s="809"/>
      <c r="AW231" s="809"/>
      <c r="AX231" s="809"/>
      <c r="AY231" s="809"/>
      <c r="AZ231" s="809"/>
      <c r="BA231" s="809"/>
      <c r="BB231" s="809"/>
      <c r="BC231" s="809"/>
      <c r="BD231" s="809"/>
      <c r="BE231" s="809"/>
      <c r="BF231" s="809"/>
      <c r="BG231" s="809"/>
      <c r="BH231" s="809"/>
      <c r="BI231" s="809"/>
      <c r="BJ231" s="809"/>
      <c r="BK231" s="809"/>
      <c r="BL231" s="809"/>
      <c r="BM231" s="809"/>
      <c r="BN231" s="809"/>
    </row>
    <row r="232" spans="1:66">
      <c r="AN232" s="398"/>
      <c r="AO232" s="398"/>
      <c r="AP232" s="809"/>
      <c r="AQ232" s="809"/>
      <c r="AR232" s="809"/>
      <c r="AS232" s="809"/>
      <c r="AT232" s="809"/>
      <c r="AU232" s="809"/>
      <c r="AV232" s="809"/>
      <c r="AW232" s="809"/>
      <c r="AX232" s="809"/>
      <c r="AY232" s="809"/>
      <c r="AZ232" s="809"/>
      <c r="BA232" s="809"/>
      <c r="BB232" s="809"/>
      <c r="BC232" s="809"/>
      <c r="BD232" s="809"/>
      <c r="BE232" s="809"/>
      <c r="BF232" s="809"/>
      <c r="BG232" s="809"/>
      <c r="BH232" s="809"/>
      <c r="BI232" s="809"/>
      <c r="BJ232" s="809"/>
      <c r="BK232" s="809"/>
      <c r="BL232" s="809"/>
      <c r="BM232" s="809"/>
      <c r="BN232" s="809"/>
    </row>
    <row r="233" spans="1:66">
      <c r="AN233" s="398"/>
      <c r="AO233" s="398"/>
      <c r="AP233" s="809"/>
      <c r="AQ233" s="809"/>
      <c r="AR233" s="809"/>
      <c r="AS233" s="809"/>
      <c r="AT233" s="809"/>
      <c r="AU233" s="809"/>
      <c r="AV233" s="809"/>
      <c r="AW233" s="809"/>
      <c r="AX233" s="809"/>
      <c r="AY233" s="809"/>
      <c r="AZ233" s="809"/>
      <c r="BA233" s="809"/>
      <c r="BB233" s="809"/>
      <c r="BC233" s="809"/>
      <c r="BD233" s="809"/>
      <c r="BE233" s="809"/>
      <c r="BF233" s="809"/>
      <c r="BG233" s="809"/>
      <c r="BH233" s="809"/>
      <c r="BI233" s="809"/>
      <c r="BJ233" s="809"/>
      <c r="BK233" s="809"/>
      <c r="BL233" s="809"/>
      <c r="BM233" s="809"/>
      <c r="BN233" s="809"/>
    </row>
    <row r="234" spans="1:66">
      <c r="AN234" s="398"/>
      <c r="AO234" s="398"/>
      <c r="AP234" s="809"/>
      <c r="AQ234" s="809"/>
      <c r="AR234" s="809"/>
      <c r="AS234" s="809"/>
      <c r="AT234" s="809"/>
      <c r="AU234" s="809"/>
      <c r="AV234" s="809"/>
      <c r="AW234" s="809"/>
      <c r="AX234" s="809"/>
      <c r="AY234" s="809"/>
      <c r="AZ234" s="809"/>
      <c r="BA234" s="809"/>
      <c r="BB234" s="809"/>
      <c r="BC234" s="809"/>
      <c r="BD234" s="809"/>
      <c r="BE234" s="809"/>
      <c r="BF234" s="809"/>
      <c r="BG234" s="809"/>
      <c r="BH234" s="809"/>
      <c r="BI234" s="809"/>
      <c r="BJ234" s="809"/>
      <c r="BK234" s="809"/>
      <c r="BL234" s="809"/>
      <c r="BM234" s="809"/>
      <c r="BN234" s="809"/>
    </row>
    <row r="235" spans="1:66">
      <c r="AN235" s="398"/>
      <c r="AO235" s="398"/>
      <c r="AP235" s="809"/>
      <c r="AQ235" s="809"/>
      <c r="AR235" s="809"/>
      <c r="AS235" s="809"/>
      <c r="AT235" s="809"/>
      <c r="AU235" s="809"/>
      <c r="AV235" s="809"/>
      <c r="AW235" s="809"/>
      <c r="AX235" s="809"/>
      <c r="AY235" s="809"/>
      <c r="AZ235" s="809"/>
      <c r="BA235" s="809"/>
      <c r="BB235" s="809"/>
      <c r="BC235" s="809"/>
      <c r="BD235" s="809"/>
      <c r="BE235" s="809"/>
      <c r="BF235" s="809"/>
      <c r="BG235" s="809"/>
      <c r="BH235" s="809"/>
      <c r="BI235" s="809"/>
      <c r="BJ235" s="809"/>
      <c r="BK235" s="809"/>
      <c r="BL235" s="809"/>
      <c r="BM235" s="809"/>
      <c r="BN235" s="809"/>
    </row>
    <row r="236" spans="1:66">
      <c r="AN236" s="398"/>
      <c r="AO236" s="398"/>
      <c r="AP236" s="809"/>
      <c r="AQ236" s="809"/>
      <c r="AR236" s="809"/>
      <c r="AS236" s="809"/>
      <c r="AT236" s="809"/>
      <c r="AU236" s="809"/>
      <c r="AV236" s="809"/>
      <c r="AW236" s="809"/>
      <c r="AX236" s="809"/>
      <c r="AY236" s="809"/>
      <c r="AZ236" s="809"/>
      <c r="BA236" s="809"/>
      <c r="BB236" s="809"/>
      <c r="BC236" s="809"/>
      <c r="BD236" s="809"/>
      <c r="BE236" s="809"/>
      <c r="BF236" s="809"/>
      <c r="BG236" s="809"/>
      <c r="BH236" s="809"/>
      <c r="BI236" s="809"/>
      <c r="BJ236" s="809"/>
      <c r="BK236" s="809"/>
      <c r="BL236" s="809"/>
      <c r="BM236" s="809"/>
      <c r="BN236" s="809"/>
    </row>
    <row r="237" spans="1:66">
      <c r="AN237" s="398"/>
      <c r="AO237" s="398"/>
      <c r="AP237" s="809"/>
      <c r="AQ237" s="809"/>
      <c r="AR237" s="809"/>
      <c r="AS237" s="809"/>
      <c r="AT237" s="809"/>
      <c r="AU237" s="809"/>
      <c r="AV237" s="809"/>
      <c r="AW237" s="809"/>
      <c r="AX237" s="809"/>
      <c r="AY237" s="809"/>
      <c r="AZ237" s="809"/>
      <c r="BA237" s="809"/>
      <c r="BB237" s="809"/>
      <c r="BC237" s="809"/>
      <c r="BD237" s="809"/>
      <c r="BE237" s="809"/>
      <c r="BF237" s="809"/>
      <c r="BG237" s="809"/>
      <c r="BH237" s="809"/>
      <c r="BI237" s="809"/>
      <c r="BJ237" s="809"/>
      <c r="BK237" s="809"/>
      <c r="BL237" s="809"/>
      <c r="BM237" s="809"/>
      <c r="BN237" s="809"/>
    </row>
    <row r="238" spans="1:66">
      <c r="AN238" s="398"/>
      <c r="AO238" s="398"/>
      <c r="AP238" s="809"/>
      <c r="AQ238" s="809"/>
      <c r="AR238" s="809"/>
      <c r="AS238" s="809"/>
      <c r="AT238" s="809"/>
      <c r="AU238" s="809"/>
      <c r="AV238" s="809"/>
      <c r="AW238" s="809"/>
      <c r="AX238" s="809"/>
      <c r="AY238" s="809"/>
      <c r="AZ238" s="809"/>
      <c r="BA238" s="809"/>
      <c r="BB238" s="809"/>
      <c r="BC238" s="809"/>
      <c r="BD238" s="809"/>
      <c r="BE238" s="809"/>
      <c r="BF238" s="809"/>
      <c r="BG238" s="809"/>
      <c r="BH238" s="809"/>
      <c r="BI238" s="809"/>
      <c r="BJ238" s="809"/>
      <c r="BK238" s="809"/>
      <c r="BL238" s="809"/>
      <c r="BM238" s="809"/>
      <c r="BN238" s="809"/>
    </row>
    <row r="239" spans="1:66">
      <c r="A239" s="637"/>
      <c r="B239" s="637"/>
      <c r="C239" s="637"/>
      <c r="D239" s="637"/>
      <c r="E239" s="637"/>
      <c r="F239" s="637"/>
      <c r="G239" s="637"/>
      <c r="H239" s="637"/>
      <c r="I239" s="637"/>
      <c r="J239" s="637"/>
      <c r="K239" s="637"/>
      <c r="L239" s="637"/>
      <c r="M239" s="637"/>
      <c r="N239" s="637"/>
      <c r="AN239" s="398"/>
      <c r="AO239" s="398"/>
      <c r="AP239" s="809"/>
      <c r="AQ239" s="809"/>
      <c r="AR239" s="809"/>
      <c r="AS239" s="809"/>
      <c r="AT239" s="809"/>
      <c r="AU239" s="809"/>
      <c r="AV239" s="809"/>
      <c r="AW239" s="809"/>
      <c r="AX239" s="809"/>
      <c r="AY239" s="809"/>
      <c r="AZ239" s="809"/>
      <c r="BA239" s="809"/>
      <c r="BB239" s="809"/>
      <c r="BC239" s="809"/>
      <c r="BD239" s="809"/>
      <c r="BE239" s="809"/>
      <c r="BF239" s="809"/>
      <c r="BG239" s="809"/>
      <c r="BH239" s="809"/>
      <c r="BI239" s="809"/>
      <c r="BJ239" s="809"/>
      <c r="BK239" s="809"/>
      <c r="BL239" s="809"/>
      <c r="BM239" s="809"/>
      <c r="BN239" s="809"/>
    </row>
    <row r="240" spans="1:66">
      <c r="A240" s="637"/>
      <c r="B240" s="637"/>
      <c r="C240" s="637"/>
      <c r="D240" s="637"/>
      <c r="E240" s="637"/>
      <c r="F240" s="637"/>
      <c r="G240" s="637"/>
      <c r="H240" s="637"/>
      <c r="I240" s="637"/>
      <c r="J240" s="637"/>
      <c r="K240" s="637"/>
      <c r="L240" s="637"/>
      <c r="M240" s="637"/>
      <c r="N240" s="637"/>
      <c r="AN240" s="398"/>
      <c r="AO240" s="398"/>
      <c r="AP240" s="809"/>
      <c r="AQ240" s="809"/>
      <c r="AR240" s="809"/>
      <c r="AS240" s="809"/>
      <c r="AT240" s="809"/>
      <c r="AU240" s="809"/>
      <c r="AV240" s="809"/>
      <c r="AW240" s="809"/>
      <c r="AX240" s="809"/>
      <c r="AY240" s="809"/>
      <c r="AZ240" s="809"/>
      <c r="BA240" s="809"/>
      <c r="BB240" s="809"/>
      <c r="BC240" s="809"/>
      <c r="BD240" s="809"/>
      <c r="BE240" s="809"/>
      <c r="BF240" s="809"/>
      <c r="BG240" s="809"/>
      <c r="BH240" s="809"/>
      <c r="BI240" s="809"/>
      <c r="BJ240" s="809"/>
      <c r="BK240" s="809"/>
      <c r="BL240" s="809"/>
      <c r="BM240" s="809"/>
      <c r="BN240" s="809"/>
    </row>
    <row r="241" spans="1:66">
      <c r="A241" s="637"/>
      <c r="B241" s="637"/>
      <c r="C241" s="637"/>
      <c r="D241" s="637"/>
      <c r="E241" s="637"/>
      <c r="F241" s="637"/>
      <c r="G241" s="637"/>
      <c r="H241" s="637"/>
      <c r="I241" s="637"/>
      <c r="J241" s="637"/>
      <c r="K241" s="637"/>
      <c r="L241" s="637"/>
      <c r="M241" s="637"/>
      <c r="N241" s="637"/>
      <c r="AN241" s="398"/>
      <c r="AO241" s="398"/>
      <c r="AP241" s="809"/>
      <c r="AQ241" s="809"/>
      <c r="AR241" s="809"/>
      <c r="AS241" s="809"/>
      <c r="AT241" s="809"/>
      <c r="AU241" s="809"/>
      <c r="AV241" s="809"/>
      <c r="AW241" s="809"/>
      <c r="AX241" s="809"/>
      <c r="AY241" s="809"/>
      <c r="AZ241" s="809"/>
      <c r="BA241" s="809"/>
      <c r="BB241" s="809"/>
      <c r="BC241" s="809"/>
      <c r="BD241" s="809"/>
      <c r="BE241" s="809"/>
      <c r="BF241" s="809"/>
      <c r="BG241" s="809"/>
      <c r="BH241" s="809"/>
      <c r="BI241" s="809"/>
      <c r="BJ241" s="809"/>
      <c r="BK241" s="809"/>
      <c r="BL241" s="809"/>
      <c r="BM241" s="809"/>
      <c r="BN241" s="809"/>
    </row>
    <row r="242" spans="1:66">
      <c r="A242" s="637"/>
      <c r="B242" s="637"/>
      <c r="C242" s="637"/>
      <c r="D242" s="637"/>
      <c r="E242" s="637"/>
      <c r="F242" s="637"/>
      <c r="G242" s="637"/>
      <c r="H242" s="637"/>
      <c r="I242" s="637"/>
      <c r="J242" s="637"/>
      <c r="K242" s="637"/>
      <c r="L242" s="637"/>
      <c r="M242" s="637"/>
      <c r="N242" s="637"/>
      <c r="AN242" s="398"/>
      <c r="AO242" s="398"/>
      <c r="AP242" s="809"/>
      <c r="AQ242" s="809"/>
      <c r="AR242" s="809"/>
      <c r="AS242" s="809"/>
      <c r="AT242" s="809"/>
      <c r="AU242" s="809"/>
      <c r="AV242" s="809"/>
      <c r="AW242" s="809"/>
      <c r="AX242" s="809"/>
      <c r="AY242" s="809"/>
      <c r="AZ242" s="809"/>
      <c r="BA242" s="809"/>
      <c r="BB242" s="809"/>
      <c r="BC242" s="809"/>
      <c r="BD242" s="809"/>
      <c r="BE242" s="809"/>
      <c r="BF242" s="809"/>
      <c r="BG242" s="809"/>
      <c r="BH242" s="809"/>
      <c r="BI242" s="809"/>
      <c r="BJ242" s="809"/>
      <c r="BK242" s="809"/>
      <c r="BL242" s="809"/>
      <c r="BM242" s="809"/>
      <c r="BN242" s="809"/>
    </row>
    <row r="243" spans="1:66">
      <c r="A243" s="637"/>
      <c r="B243" s="637"/>
      <c r="C243" s="637"/>
      <c r="D243" s="637"/>
      <c r="E243" s="637"/>
      <c r="F243" s="637"/>
      <c r="G243" s="637"/>
      <c r="H243" s="637"/>
      <c r="I243" s="637"/>
      <c r="J243" s="637"/>
      <c r="K243" s="637"/>
      <c r="L243" s="637"/>
      <c r="M243" s="637"/>
      <c r="N243" s="637"/>
      <c r="AN243" s="398"/>
      <c r="AO243" s="398"/>
      <c r="AP243" s="809"/>
      <c r="AQ243" s="809"/>
      <c r="AR243" s="809"/>
      <c r="AS243" s="809"/>
      <c r="AT243" s="809"/>
      <c r="AU243" s="809"/>
      <c r="AV243" s="809"/>
      <c r="AW243" s="809"/>
      <c r="AX243" s="809"/>
      <c r="AY243" s="809"/>
      <c r="AZ243" s="809"/>
      <c r="BA243" s="809"/>
      <c r="BB243" s="809"/>
      <c r="BC243" s="809"/>
      <c r="BD243" s="809"/>
      <c r="BE243" s="809"/>
      <c r="BF243" s="809"/>
      <c r="BG243" s="809"/>
      <c r="BH243" s="809"/>
      <c r="BI243" s="809"/>
      <c r="BJ243" s="809"/>
      <c r="BK243" s="809"/>
      <c r="BL243" s="809"/>
      <c r="BM243" s="809"/>
      <c r="BN243" s="809"/>
    </row>
    <row r="244" spans="1:66">
      <c r="A244" s="637"/>
      <c r="B244" s="637"/>
      <c r="C244" s="637"/>
      <c r="D244" s="637"/>
      <c r="E244" s="637"/>
      <c r="F244" s="637"/>
      <c r="G244" s="637"/>
      <c r="H244" s="637"/>
      <c r="I244" s="637"/>
      <c r="J244" s="637"/>
      <c r="K244" s="637"/>
      <c r="L244" s="637"/>
      <c r="M244" s="637"/>
      <c r="N244" s="637"/>
      <c r="AN244" s="398"/>
      <c r="AO244" s="398"/>
      <c r="AP244" s="809"/>
      <c r="AQ244" s="809"/>
      <c r="AR244" s="809"/>
      <c r="AS244" s="809"/>
      <c r="AT244" s="809"/>
      <c r="AU244" s="809"/>
      <c r="AV244" s="809"/>
      <c r="AW244" s="809"/>
      <c r="AX244" s="809"/>
      <c r="AY244" s="809"/>
      <c r="AZ244" s="809"/>
      <c r="BA244" s="809"/>
      <c r="BB244" s="809"/>
      <c r="BC244" s="809"/>
      <c r="BD244" s="809"/>
      <c r="BE244" s="809"/>
      <c r="BF244" s="809"/>
      <c r="BG244" s="809"/>
      <c r="BH244" s="809"/>
      <c r="BI244" s="809"/>
      <c r="BJ244" s="809"/>
      <c r="BK244" s="809"/>
      <c r="BL244" s="809"/>
      <c r="BM244" s="809"/>
      <c r="BN244" s="809"/>
    </row>
    <row r="245" spans="1:66">
      <c r="A245" s="637"/>
      <c r="B245" s="637"/>
      <c r="C245" s="637"/>
      <c r="D245" s="637"/>
      <c r="E245" s="637"/>
      <c r="F245" s="637"/>
      <c r="G245" s="637"/>
      <c r="H245" s="637"/>
      <c r="I245" s="637"/>
      <c r="J245" s="637"/>
      <c r="K245" s="637"/>
      <c r="L245" s="637"/>
      <c r="M245" s="637"/>
      <c r="N245" s="637"/>
      <c r="AN245" s="398"/>
      <c r="AO245" s="398"/>
      <c r="AP245" s="809"/>
      <c r="AQ245" s="809"/>
      <c r="AR245" s="809"/>
      <c r="AS245" s="809"/>
      <c r="AT245" s="809"/>
      <c r="AU245" s="809"/>
      <c r="AV245" s="809"/>
      <c r="AW245" s="809"/>
      <c r="AX245" s="809"/>
      <c r="AY245" s="809"/>
      <c r="AZ245" s="809"/>
      <c r="BA245" s="809"/>
      <c r="BB245" s="809"/>
      <c r="BC245" s="809"/>
      <c r="BD245" s="809"/>
      <c r="BE245" s="809"/>
      <c r="BF245" s="809"/>
      <c r="BG245" s="809"/>
      <c r="BH245" s="809"/>
      <c r="BI245" s="809"/>
      <c r="BJ245" s="809"/>
      <c r="BK245" s="809"/>
      <c r="BL245" s="809"/>
      <c r="BM245" s="809"/>
      <c r="BN245" s="809"/>
    </row>
    <row r="246" spans="1:66">
      <c r="A246" s="637"/>
      <c r="B246" s="637"/>
      <c r="C246" s="637"/>
      <c r="D246" s="637"/>
      <c r="E246" s="637"/>
      <c r="F246" s="637"/>
      <c r="G246" s="637"/>
      <c r="H246" s="637"/>
      <c r="I246" s="637"/>
      <c r="J246" s="637"/>
      <c r="K246" s="637"/>
      <c r="L246" s="637"/>
      <c r="M246" s="637"/>
      <c r="N246" s="637"/>
      <c r="AN246" s="398"/>
      <c r="AO246" s="398"/>
      <c r="AP246" s="809"/>
      <c r="AQ246" s="809"/>
      <c r="AR246" s="809"/>
      <c r="AS246" s="809"/>
      <c r="AT246" s="809"/>
      <c r="AU246" s="809"/>
      <c r="AV246" s="809"/>
      <c r="AW246" s="809"/>
      <c r="AX246" s="809"/>
      <c r="AY246" s="809"/>
      <c r="AZ246" s="809"/>
      <c r="BA246" s="809"/>
      <c r="BB246" s="809"/>
      <c r="BC246" s="809"/>
      <c r="BD246" s="809"/>
      <c r="BE246" s="809"/>
      <c r="BF246" s="809"/>
      <c r="BG246" s="809"/>
      <c r="BH246" s="809"/>
      <c r="BI246" s="809"/>
      <c r="BJ246" s="809"/>
      <c r="BK246" s="809"/>
      <c r="BL246" s="809"/>
      <c r="BM246" s="809"/>
      <c r="BN246" s="809"/>
    </row>
    <row r="247" spans="1:66">
      <c r="A247" s="637"/>
      <c r="B247" s="637"/>
      <c r="C247" s="637"/>
      <c r="D247" s="637"/>
      <c r="E247" s="637"/>
      <c r="F247" s="637"/>
      <c r="G247" s="637"/>
      <c r="H247" s="637"/>
      <c r="I247" s="637"/>
      <c r="J247" s="637"/>
      <c r="K247" s="637"/>
      <c r="L247" s="637"/>
      <c r="M247" s="637"/>
      <c r="N247" s="637"/>
      <c r="O247" s="809"/>
      <c r="P247" s="809"/>
      <c r="Q247" s="809"/>
      <c r="R247" s="809"/>
      <c r="S247" s="809"/>
      <c r="T247" s="809"/>
      <c r="U247" s="809"/>
      <c r="V247" s="809"/>
      <c r="W247" s="809"/>
      <c r="X247" s="809"/>
      <c r="Y247" s="809"/>
      <c r="Z247" s="809"/>
      <c r="AA247" s="809"/>
      <c r="AB247" s="809"/>
      <c r="AC247" s="809"/>
      <c r="AD247" s="809"/>
      <c r="AN247" s="398"/>
      <c r="AO247" s="398"/>
      <c r="AP247" s="809"/>
      <c r="AQ247" s="809"/>
      <c r="AR247" s="809"/>
      <c r="AS247" s="809"/>
      <c r="AT247" s="809"/>
      <c r="AU247" s="809"/>
      <c r="AV247" s="809"/>
      <c r="AW247" s="809"/>
      <c r="AX247" s="809"/>
      <c r="AY247" s="809"/>
      <c r="AZ247" s="809"/>
      <c r="BA247" s="809"/>
      <c r="BB247" s="809"/>
      <c r="BC247" s="809"/>
      <c r="BD247" s="809"/>
      <c r="BE247" s="809"/>
      <c r="BF247" s="809"/>
      <c r="BG247" s="809"/>
      <c r="BH247" s="809"/>
      <c r="BI247" s="809"/>
      <c r="BJ247" s="809"/>
      <c r="BK247" s="809"/>
      <c r="BL247" s="809"/>
      <c r="BM247" s="809"/>
      <c r="BN247" s="809"/>
    </row>
    <row r="248" spans="1:66">
      <c r="A248" s="637"/>
      <c r="B248" s="637"/>
      <c r="C248" s="637"/>
      <c r="D248" s="637"/>
      <c r="E248" s="637"/>
      <c r="F248" s="637"/>
      <c r="G248" s="637"/>
      <c r="H248" s="637"/>
      <c r="I248" s="637"/>
      <c r="J248" s="637"/>
      <c r="K248" s="637"/>
      <c r="L248" s="637"/>
      <c r="M248" s="637"/>
      <c r="N248" s="637"/>
      <c r="O248" s="809"/>
      <c r="P248" s="809"/>
      <c r="Q248" s="809"/>
      <c r="R248" s="809"/>
      <c r="S248" s="809"/>
      <c r="T248" s="809"/>
      <c r="U248" s="809"/>
      <c r="V248" s="809"/>
      <c r="W248" s="809"/>
      <c r="X248" s="809"/>
      <c r="Y248" s="809"/>
      <c r="Z248" s="809"/>
      <c r="AA248" s="809"/>
      <c r="AB248" s="809"/>
      <c r="AC248" s="809"/>
      <c r="AD248" s="809"/>
      <c r="AN248" s="398"/>
      <c r="AO248" s="398"/>
      <c r="AP248" s="809"/>
      <c r="AQ248" s="809"/>
      <c r="AR248" s="809"/>
      <c r="AS248" s="809"/>
      <c r="AT248" s="809"/>
      <c r="AU248" s="809"/>
      <c r="AV248" s="809"/>
      <c r="AW248" s="809"/>
      <c r="AX248" s="809"/>
      <c r="AY248" s="809"/>
      <c r="AZ248" s="809"/>
      <c r="BA248" s="809"/>
      <c r="BB248" s="809"/>
      <c r="BC248" s="809"/>
      <c r="BD248" s="809"/>
      <c r="BE248" s="809"/>
      <c r="BF248" s="809"/>
      <c r="BG248" s="809"/>
      <c r="BH248" s="809"/>
      <c r="BI248" s="809"/>
      <c r="BJ248" s="809"/>
      <c r="BK248" s="809"/>
      <c r="BL248" s="809"/>
      <c r="BM248" s="809"/>
      <c r="BN248" s="809"/>
    </row>
    <row r="249" spans="1:66">
      <c r="A249" s="637"/>
      <c r="B249" s="637"/>
      <c r="C249" s="637"/>
      <c r="D249" s="637"/>
      <c r="E249" s="637"/>
      <c r="F249" s="637"/>
      <c r="G249" s="637"/>
      <c r="H249" s="637"/>
      <c r="I249" s="637"/>
      <c r="J249" s="637"/>
      <c r="K249" s="637"/>
      <c r="L249" s="637"/>
      <c r="M249" s="637"/>
      <c r="N249" s="637"/>
      <c r="O249" s="809"/>
      <c r="P249" s="809"/>
      <c r="Q249" s="809"/>
      <c r="R249" s="809"/>
      <c r="S249" s="809"/>
      <c r="T249" s="809"/>
      <c r="U249" s="809"/>
      <c r="V249" s="809"/>
      <c r="W249" s="809"/>
      <c r="X249" s="809"/>
      <c r="Y249" s="809"/>
      <c r="Z249" s="809"/>
      <c r="AA249" s="809"/>
      <c r="AB249" s="809"/>
      <c r="AC249" s="809"/>
      <c r="AD249" s="809"/>
      <c r="AN249" s="398"/>
      <c r="AO249" s="398"/>
      <c r="AP249" s="809"/>
      <c r="AQ249" s="809"/>
      <c r="AR249" s="809"/>
      <c r="AS249" s="809"/>
      <c r="AT249" s="809"/>
      <c r="AU249" s="809"/>
      <c r="AV249" s="809"/>
      <c r="AW249" s="809"/>
      <c r="AX249" s="809"/>
      <c r="AY249" s="809"/>
      <c r="AZ249" s="809"/>
      <c r="BA249" s="809"/>
      <c r="BB249" s="809"/>
      <c r="BC249" s="809"/>
      <c r="BD249" s="809"/>
      <c r="BE249" s="809"/>
      <c r="BF249" s="809"/>
      <c r="BG249" s="809"/>
      <c r="BH249" s="809"/>
      <c r="BI249" s="809"/>
      <c r="BJ249" s="809"/>
      <c r="BK249" s="809"/>
      <c r="BL249" s="809"/>
      <c r="BM249" s="809"/>
      <c r="BN249" s="809"/>
    </row>
    <row r="250" spans="1:66">
      <c r="A250" s="637"/>
      <c r="B250" s="637"/>
      <c r="C250" s="637"/>
      <c r="D250" s="637"/>
      <c r="E250" s="637"/>
      <c r="F250" s="637"/>
      <c r="G250" s="637"/>
      <c r="H250" s="637"/>
      <c r="I250" s="637"/>
      <c r="J250" s="637"/>
      <c r="K250" s="637"/>
      <c r="L250" s="637"/>
      <c r="M250" s="637"/>
      <c r="N250" s="637"/>
      <c r="O250" s="809"/>
      <c r="P250" s="809"/>
      <c r="Q250" s="809"/>
      <c r="R250" s="809"/>
      <c r="S250" s="809"/>
      <c r="T250" s="809"/>
      <c r="U250" s="809"/>
      <c r="V250" s="809"/>
      <c r="W250" s="809"/>
      <c r="X250" s="809"/>
      <c r="Y250" s="809"/>
      <c r="Z250" s="809"/>
      <c r="AA250" s="809"/>
      <c r="AB250" s="809"/>
      <c r="AC250" s="809"/>
      <c r="AD250" s="809"/>
      <c r="AN250" s="398"/>
      <c r="AO250" s="398"/>
      <c r="AP250" s="809"/>
      <c r="AQ250" s="809"/>
      <c r="AR250" s="809"/>
      <c r="AS250" s="809"/>
      <c r="AT250" s="809"/>
      <c r="AU250" s="809"/>
      <c r="AV250" s="809"/>
      <c r="AW250" s="809"/>
      <c r="AX250" s="809"/>
      <c r="AY250" s="809"/>
      <c r="AZ250" s="809"/>
      <c r="BA250" s="809"/>
      <c r="BB250" s="809"/>
      <c r="BC250" s="809"/>
      <c r="BD250" s="809"/>
      <c r="BE250" s="809"/>
      <c r="BF250" s="809"/>
      <c r="BG250" s="809"/>
      <c r="BH250" s="809"/>
      <c r="BI250" s="809"/>
      <c r="BJ250" s="809"/>
      <c r="BK250" s="809"/>
      <c r="BL250" s="809"/>
      <c r="BM250" s="809"/>
      <c r="BN250" s="809"/>
    </row>
    <row r="251" spans="1:66">
      <c r="A251" s="637"/>
      <c r="B251" s="637"/>
      <c r="C251" s="637"/>
      <c r="D251" s="637"/>
      <c r="E251" s="637"/>
      <c r="F251" s="637"/>
      <c r="G251" s="637"/>
      <c r="H251" s="637"/>
      <c r="I251" s="637"/>
      <c r="J251" s="637"/>
      <c r="K251" s="637"/>
      <c r="L251" s="637"/>
      <c r="M251" s="637"/>
      <c r="N251" s="637"/>
      <c r="O251" s="809"/>
      <c r="P251" s="809"/>
      <c r="Q251" s="809"/>
      <c r="R251" s="809"/>
      <c r="S251" s="809"/>
      <c r="T251" s="809"/>
      <c r="U251" s="809"/>
      <c r="V251" s="809"/>
      <c r="W251" s="809"/>
      <c r="X251" s="809"/>
      <c r="Y251" s="809"/>
      <c r="Z251" s="809"/>
      <c r="AA251" s="809"/>
      <c r="AB251" s="809"/>
      <c r="AC251" s="809"/>
      <c r="AD251" s="809"/>
      <c r="AN251" s="398"/>
      <c r="AO251" s="398"/>
      <c r="AP251" s="809"/>
      <c r="AQ251" s="809"/>
      <c r="AR251" s="809"/>
      <c r="AS251" s="809"/>
      <c r="AT251" s="809"/>
      <c r="AU251" s="809"/>
      <c r="AV251" s="809"/>
      <c r="AW251" s="809"/>
      <c r="AX251" s="809"/>
      <c r="AY251" s="809"/>
      <c r="AZ251" s="809"/>
      <c r="BA251" s="809"/>
      <c r="BB251" s="809"/>
      <c r="BC251" s="809"/>
      <c r="BD251" s="809"/>
      <c r="BE251" s="809"/>
      <c r="BF251" s="809"/>
      <c r="BG251" s="809"/>
      <c r="BH251" s="809"/>
      <c r="BI251" s="809"/>
      <c r="BJ251" s="809"/>
      <c r="BK251" s="809"/>
      <c r="BL251" s="809"/>
      <c r="BM251" s="809"/>
      <c r="BN251" s="809"/>
    </row>
    <row r="252" spans="1:66">
      <c r="A252" s="637"/>
      <c r="B252" s="637"/>
      <c r="C252" s="637"/>
      <c r="D252" s="637"/>
      <c r="E252" s="637"/>
      <c r="F252" s="637"/>
      <c r="G252" s="637"/>
      <c r="H252" s="637"/>
      <c r="I252" s="637"/>
      <c r="J252" s="637"/>
      <c r="K252" s="637"/>
      <c r="L252" s="637"/>
      <c r="M252" s="637"/>
      <c r="N252" s="637"/>
      <c r="O252" s="809"/>
      <c r="P252" s="809"/>
      <c r="Q252" s="809"/>
      <c r="R252" s="809"/>
      <c r="S252" s="809"/>
      <c r="T252" s="809"/>
      <c r="U252" s="809"/>
      <c r="V252" s="809"/>
      <c r="W252" s="809"/>
      <c r="X252" s="809"/>
      <c r="Y252" s="809"/>
      <c r="Z252" s="809"/>
      <c r="AA252" s="809"/>
      <c r="AB252" s="809"/>
      <c r="AC252" s="809"/>
      <c r="AD252" s="809"/>
      <c r="AN252" s="398"/>
      <c r="AO252" s="398"/>
      <c r="AP252" s="809"/>
      <c r="AQ252" s="809"/>
      <c r="AR252" s="809"/>
      <c r="AS252" s="809"/>
      <c r="AT252" s="809"/>
      <c r="AU252" s="809"/>
      <c r="AV252" s="809"/>
      <c r="AW252" s="809"/>
      <c r="AX252" s="809"/>
      <c r="AY252" s="809"/>
      <c r="AZ252" s="809"/>
      <c r="BA252" s="809"/>
      <c r="BB252" s="809"/>
      <c r="BC252" s="809"/>
      <c r="BD252" s="809"/>
      <c r="BE252" s="809"/>
      <c r="BF252" s="809"/>
      <c r="BG252" s="809"/>
      <c r="BH252" s="809"/>
      <c r="BI252" s="809"/>
      <c r="BJ252" s="809"/>
      <c r="BK252" s="809"/>
      <c r="BL252" s="809"/>
      <c r="BM252" s="809"/>
      <c r="BN252" s="809"/>
    </row>
    <row r="253" spans="1:66">
      <c r="A253" s="637"/>
      <c r="B253" s="637"/>
      <c r="C253" s="637"/>
      <c r="D253" s="637"/>
      <c r="E253" s="637"/>
      <c r="F253" s="637"/>
      <c r="G253" s="637"/>
      <c r="H253" s="637"/>
      <c r="I253" s="637"/>
      <c r="J253" s="637"/>
      <c r="K253" s="637"/>
      <c r="L253" s="637"/>
      <c r="M253" s="637"/>
      <c r="N253" s="637"/>
      <c r="O253" s="809"/>
      <c r="P253" s="809"/>
      <c r="Q253" s="809"/>
      <c r="R253" s="809"/>
      <c r="S253" s="809"/>
      <c r="T253" s="809"/>
      <c r="U253" s="809"/>
      <c r="V253" s="809"/>
      <c r="W253" s="809"/>
      <c r="X253" s="809"/>
      <c r="Y253" s="809"/>
      <c r="Z253" s="809"/>
      <c r="AA253" s="809"/>
      <c r="AB253" s="809"/>
      <c r="AC253" s="809"/>
      <c r="AD253" s="809"/>
      <c r="AN253" s="398"/>
      <c r="AO253" s="398"/>
      <c r="AP253" s="809"/>
      <c r="AQ253" s="809"/>
      <c r="AR253" s="809"/>
      <c r="AS253" s="809"/>
      <c r="AT253" s="809"/>
      <c r="AU253" s="809"/>
      <c r="AV253" s="809"/>
      <c r="AW253" s="809"/>
      <c r="AX253" s="809"/>
      <c r="AY253" s="809"/>
      <c r="AZ253" s="809"/>
      <c r="BA253" s="809"/>
      <c r="BB253" s="809"/>
      <c r="BC253" s="809"/>
      <c r="BD253" s="809"/>
      <c r="BE253" s="809"/>
      <c r="BF253" s="809"/>
      <c r="BG253" s="809"/>
      <c r="BH253" s="809"/>
      <c r="BI253" s="809"/>
      <c r="BJ253" s="809"/>
      <c r="BK253" s="809"/>
      <c r="BL253" s="809"/>
      <c r="BM253" s="809"/>
      <c r="BN253" s="809"/>
    </row>
    <row r="254" spans="1:66">
      <c r="A254" s="637"/>
      <c r="B254" s="637"/>
      <c r="C254" s="637"/>
      <c r="D254" s="637"/>
      <c r="E254" s="637"/>
      <c r="F254" s="637"/>
      <c r="G254" s="637"/>
      <c r="H254" s="637"/>
      <c r="I254" s="637"/>
      <c r="J254" s="637"/>
      <c r="K254" s="637"/>
      <c r="L254" s="637"/>
      <c r="M254" s="637"/>
      <c r="N254" s="637"/>
      <c r="O254" s="809"/>
      <c r="P254" s="809"/>
      <c r="Q254" s="809"/>
      <c r="R254" s="809"/>
      <c r="S254" s="809"/>
      <c r="T254" s="809"/>
      <c r="U254" s="809"/>
      <c r="V254" s="809"/>
      <c r="W254" s="809"/>
      <c r="X254" s="809"/>
      <c r="Y254" s="809"/>
      <c r="Z254" s="809"/>
      <c r="AA254" s="809"/>
      <c r="AB254" s="809"/>
      <c r="AC254" s="809"/>
      <c r="AD254" s="809"/>
      <c r="AN254" s="398"/>
      <c r="AO254" s="398"/>
      <c r="AP254" s="809"/>
      <c r="AQ254" s="809"/>
      <c r="AR254" s="809"/>
      <c r="AS254" s="809"/>
      <c r="AT254" s="809"/>
      <c r="AU254" s="809"/>
      <c r="AV254" s="809"/>
      <c r="AW254" s="809"/>
      <c r="AX254" s="809"/>
      <c r="AY254" s="809"/>
      <c r="AZ254" s="809"/>
      <c r="BA254" s="809"/>
      <c r="BB254" s="809"/>
      <c r="BC254" s="809"/>
      <c r="BD254" s="809"/>
      <c r="BE254" s="809"/>
      <c r="BF254" s="809"/>
      <c r="BG254" s="809"/>
      <c r="BH254" s="809"/>
      <c r="BI254" s="809"/>
      <c r="BJ254" s="809"/>
      <c r="BK254" s="809"/>
      <c r="BL254" s="809"/>
      <c r="BM254" s="809"/>
      <c r="BN254" s="809"/>
    </row>
    <row r="255" spans="1:66">
      <c r="A255" s="637"/>
      <c r="B255" s="637"/>
      <c r="C255" s="637"/>
      <c r="D255" s="637"/>
      <c r="E255" s="637"/>
      <c r="F255" s="637"/>
      <c r="G255" s="637"/>
      <c r="H255" s="637"/>
      <c r="I255" s="637"/>
      <c r="J255" s="637"/>
      <c r="K255" s="637"/>
      <c r="L255" s="637"/>
      <c r="M255" s="637"/>
      <c r="N255" s="637"/>
      <c r="O255" s="809"/>
      <c r="P255" s="809"/>
      <c r="Q255" s="809"/>
      <c r="R255" s="809"/>
      <c r="S255" s="809"/>
      <c r="T255" s="809"/>
      <c r="U255" s="809"/>
      <c r="V255" s="809"/>
      <c r="W255" s="809"/>
      <c r="X255" s="809"/>
      <c r="Y255" s="809"/>
      <c r="Z255" s="809"/>
      <c r="AA255" s="809"/>
      <c r="AB255" s="809"/>
      <c r="AC255" s="809"/>
      <c r="AD255" s="809"/>
      <c r="AN255" s="398"/>
      <c r="AO255" s="398"/>
      <c r="AP255" s="809"/>
      <c r="AQ255" s="809"/>
      <c r="AR255" s="809"/>
      <c r="AS255" s="809"/>
      <c r="AT255" s="809"/>
      <c r="AU255" s="809"/>
      <c r="AV255" s="809"/>
      <c r="AW255" s="809"/>
      <c r="AX255" s="809"/>
      <c r="AY255" s="809"/>
      <c r="AZ255" s="809"/>
      <c r="BA255" s="809"/>
      <c r="BB255" s="809"/>
      <c r="BC255" s="809"/>
      <c r="BD255" s="809"/>
      <c r="BE255" s="809"/>
      <c r="BF255" s="809"/>
      <c r="BG255" s="809"/>
      <c r="BH255" s="809"/>
      <c r="BI255" s="809"/>
      <c r="BJ255" s="809"/>
      <c r="BK255" s="809"/>
      <c r="BL255" s="809"/>
      <c r="BM255" s="809"/>
      <c r="BN255" s="809"/>
    </row>
    <row r="256" spans="1:66">
      <c r="A256" s="637"/>
      <c r="B256" s="637"/>
      <c r="C256" s="637"/>
      <c r="D256" s="637"/>
      <c r="E256" s="637"/>
      <c r="F256" s="637"/>
      <c r="G256" s="637"/>
      <c r="H256" s="637"/>
      <c r="I256" s="637"/>
      <c r="J256" s="637"/>
      <c r="K256" s="637"/>
      <c r="L256" s="637"/>
      <c r="M256" s="637"/>
      <c r="N256" s="637"/>
      <c r="O256" s="809"/>
      <c r="P256" s="809"/>
      <c r="Q256" s="809"/>
      <c r="R256" s="809"/>
      <c r="S256" s="809"/>
      <c r="T256" s="809"/>
      <c r="U256" s="809"/>
      <c r="V256" s="809"/>
      <c r="W256" s="809"/>
      <c r="X256" s="809"/>
      <c r="Y256" s="809"/>
      <c r="Z256" s="809"/>
      <c r="AA256" s="809"/>
      <c r="AB256" s="809"/>
      <c r="AC256" s="809"/>
      <c r="AD256" s="809"/>
      <c r="AN256" s="809"/>
      <c r="AO256" s="809"/>
      <c r="AP256" s="809"/>
      <c r="AQ256" s="809"/>
      <c r="AR256" s="809"/>
      <c r="AS256" s="809"/>
      <c r="AT256" s="809"/>
      <c r="AU256" s="809"/>
      <c r="AV256" s="809"/>
      <c r="AW256" s="809"/>
      <c r="AX256" s="809"/>
      <c r="AY256" s="809"/>
      <c r="AZ256" s="809"/>
      <c r="BA256" s="809"/>
      <c r="BB256" s="809"/>
      <c r="BC256" s="809"/>
      <c r="BD256" s="809"/>
      <c r="BE256" s="809"/>
      <c r="BF256" s="809"/>
      <c r="BG256" s="809"/>
      <c r="BH256" s="809"/>
      <c r="BI256" s="809"/>
      <c r="BJ256" s="809"/>
      <c r="BK256" s="809"/>
      <c r="BL256" s="809"/>
      <c r="BM256" s="809"/>
      <c r="BN256" s="809"/>
    </row>
    <row r="257" spans="1:66">
      <c r="A257" s="637"/>
      <c r="B257" s="637"/>
      <c r="C257" s="637"/>
      <c r="D257" s="637"/>
      <c r="E257" s="637"/>
      <c r="F257" s="637"/>
      <c r="G257" s="637"/>
      <c r="H257" s="637"/>
      <c r="I257" s="637"/>
      <c r="J257" s="637"/>
      <c r="K257" s="637"/>
      <c r="L257" s="637"/>
      <c r="M257" s="637"/>
      <c r="N257" s="637"/>
      <c r="O257" s="809"/>
      <c r="P257" s="809"/>
      <c r="Q257" s="809"/>
      <c r="R257" s="809"/>
      <c r="S257" s="809"/>
      <c r="T257" s="809"/>
      <c r="U257" s="809"/>
      <c r="V257" s="809"/>
      <c r="W257" s="809"/>
      <c r="X257" s="809"/>
      <c r="Y257" s="809"/>
      <c r="Z257" s="809"/>
      <c r="AA257" s="809"/>
      <c r="AB257" s="809"/>
      <c r="AC257" s="809"/>
      <c r="AD257" s="809"/>
      <c r="AE257" s="809"/>
      <c r="AN257" s="809"/>
      <c r="AO257" s="809"/>
      <c r="AP257" s="809"/>
      <c r="AQ257" s="809"/>
      <c r="AR257" s="809"/>
      <c r="AS257" s="809"/>
      <c r="AT257" s="809"/>
      <c r="AU257" s="809"/>
      <c r="AV257" s="809"/>
      <c r="AW257" s="809"/>
      <c r="AX257" s="809"/>
      <c r="AY257" s="809"/>
      <c r="AZ257" s="809"/>
      <c r="BA257" s="809"/>
      <c r="BB257" s="809"/>
      <c r="BC257" s="809"/>
      <c r="BD257" s="809"/>
      <c r="BE257" s="809"/>
      <c r="BF257" s="809"/>
      <c r="BG257" s="809"/>
      <c r="BH257" s="809"/>
      <c r="BI257" s="809"/>
      <c r="BJ257" s="809"/>
      <c r="BK257" s="809"/>
      <c r="BL257" s="809"/>
      <c r="BM257" s="809"/>
      <c r="BN257" s="809"/>
    </row>
    <row r="258" spans="1:66">
      <c r="A258" s="637"/>
      <c r="B258" s="637"/>
      <c r="C258" s="637"/>
      <c r="D258" s="637"/>
      <c r="E258" s="637"/>
      <c r="F258" s="637"/>
      <c r="G258" s="637"/>
      <c r="H258" s="637"/>
      <c r="I258" s="637"/>
      <c r="J258" s="637"/>
      <c r="K258" s="637"/>
      <c r="L258" s="637"/>
      <c r="M258" s="637"/>
      <c r="N258" s="637"/>
      <c r="O258" s="809"/>
      <c r="P258" s="809"/>
      <c r="Q258" s="809"/>
      <c r="R258" s="809"/>
      <c r="S258" s="809"/>
      <c r="T258" s="809"/>
      <c r="U258" s="809"/>
      <c r="V258" s="809"/>
      <c r="W258" s="809"/>
      <c r="X258" s="809"/>
      <c r="Y258" s="809"/>
      <c r="Z258" s="809"/>
      <c r="AA258" s="809"/>
      <c r="AB258" s="809"/>
      <c r="AC258" s="809"/>
      <c r="AD258" s="809"/>
      <c r="AE258" s="809"/>
      <c r="AN258" s="809"/>
      <c r="AO258" s="809"/>
      <c r="AP258" s="809"/>
      <c r="AQ258" s="809"/>
      <c r="AR258" s="809"/>
      <c r="AS258" s="809"/>
      <c r="AT258" s="809"/>
      <c r="AU258" s="809"/>
      <c r="AV258" s="809"/>
      <c r="AW258" s="809"/>
      <c r="AX258" s="809"/>
      <c r="AY258" s="809"/>
      <c r="AZ258" s="809"/>
      <c r="BA258" s="809"/>
      <c r="BB258" s="809"/>
      <c r="BC258" s="809"/>
      <c r="BD258" s="809"/>
      <c r="BE258" s="809"/>
      <c r="BF258" s="809"/>
      <c r="BG258" s="809"/>
      <c r="BH258" s="809"/>
      <c r="BI258" s="809"/>
      <c r="BJ258" s="809"/>
      <c r="BK258" s="809"/>
      <c r="BL258" s="809"/>
      <c r="BM258" s="809"/>
      <c r="BN258" s="809"/>
    </row>
    <row r="259" spans="1:66">
      <c r="A259" s="637"/>
      <c r="B259" s="637"/>
      <c r="C259" s="637"/>
      <c r="D259" s="637"/>
      <c r="E259" s="637"/>
      <c r="F259" s="637"/>
      <c r="G259" s="637"/>
      <c r="H259" s="637"/>
      <c r="I259" s="637"/>
      <c r="J259" s="637"/>
      <c r="K259" s="637"/>
      <c r="L259" s="637"/>
      <c r="M259" s="637"/>
      <c r="N259" s="637"/>
      <c r="O259" s="809"/>
      <c r="P259" s="809"/>
      <c r="Q259" s="809"/>
      <c r="R259" s="809"/>
      <c r="S259" s="809"/>
      <c r="T259" s="809"/>
      <c r="U259" s="809"/>
      <c r="V259" s="809"/>
      <c r="W259" s="809"/>
      <c r="X259" s="809"/>
      <c r="Y259" s="809"/>
      <c r="Z259" s="809"/>
      <c r="AA259" s="809"/>
      <c r="AB259" s="809"/>
      <c r="AC259" s="809"/>
      <c r="AD259" s="809"/>
      <c r="AE259" s="809"/>
      <c r="AN259" s="809"/>
      <c r="AO259" s="809"/>
      <c r="AP259" s="809"/>
      <c r="AQ259" s="809"/>
      <c r="AR259" s="809"/>
      <c r="AS259" s="809"/>
      <c r="AT259" s="809"/>
      <c r="AU259" s="809"/>
      <c r="AV259" s="809"/>
      <c r="AW259" s="809"/>
      <c r="AX259" s="809"/>
      <c r="AY259" s="809"/>
      <c r="AZ259" s="809"/>
      <c r="BA259" s="809"/>
      <c r="BB259" s="809"/>
      <c r="BC259" s="809"/>
      <c r="BD259" s="809"/>
      <c r="BE259" s="809"/>
      <c r="BF259" s="809"/>
      <c r="BG259" s="809"/>
      <c r="BH259" s="809"/>
      <c r="BI259" s="809"/>
      <c r="BJ259" s="809"/>
      <c r="BK259" s="809"/>
      <c r="BL259" s="809"/>
      <c r="BM259" s="809"/>
      <c r="BN259" s="809"/>
    </row>
    <row r="260" spans="1:66">
      <c r="A260" s="637"/>
      <c r="B260" s="637"/>
      <c r="C260" s="637"/>
      <c r="D260" s="637"/>
      <c r="E260" s="637"/>
      <c r="F260" s="637"/>
      <c r="G260" s="637"/>
      <c r="H260" s="637"/>
      <c r="I260" s="637"/>
      <c r="J260" s="637"/>
      <c r="K260" s="637"/>
      <c r="L260" s="637"/>
      <c r="M260" s="637"/>
      <c r="N260" s="637"/>
      <c r="O260" s="809"/>
      <c r="P260" s="809"/>
      <c r="Q260" s="809"/>
      <c r="R260" s="809"/>
      <c r="S260" s="809"/>
      <c r="T260" s="809"/>
      <c r="U260" s="809"/>
      <c r="V260" s="809"/>
      <c r="W260" s="809"/>
      <c r="X260" s="809"/>
      <c r="Y260" s="809"/>
      <c r="Z260" s="809"/>
      <c r="AA260" s="809"/>
      <c r="AB260" s="809"/>
      <c r="AC260" s="809"/>
      <c r="AD260" s="809"/>
      <c r="AE260" s="809"/>
      <c r="AN260" s="809"/>
      <c r="AO260" s="809"/>
      <c r="AP260" s="809"/>
      <c r="AQ260" s="809"/>
      <c r="AR260" s="809"/>
      <c r="AS260" s="809"/>
      <c r="AT260" s="809"/>
      <c r="AU260" s="809"/>
      <c r="AV260" s="809"/>
      <c r="AW260" s="809"/>
      <c r="AX260" s="809"/>
      <c r="AY260" s="809"/>
      <c r="AZ260" s="809"/>
      <c r="BA260" s="809"/>
      <c r="BB260" s="809"/>
      <c r="BC260" s="809"/>
      <c r="BD260" s="809"/>
      <c r="BE260" s="809"/>
      <c r="BF260" s="809"/>
      <c r="BG260" s="809"/>
      <c r="BH260" s="809"/>
      <c r="BI260" s="809"/>
      <c r="BJ260" s="809"/>
      <c r="BK260" s="809"/>
      <c r="BL260" s="809"/>
      <c r="BM260" s="809"/>
      <c r="BN260" s="809"/>
    </row>
    <row r="261" spans="1:66">
      <c r="A261" s="637"/>
      <c r="B261" s="637"/>
      <c r="C261" s="637"/>
      <c r="D261" s="637"/>
      <c r="E261" s="637"/>
      <c r="F261" s="637"/>
      <c r="G261" s="637"/>
      <c r="H261" s="637"/>
      <c r="I261" s="637"/>
      <c r="J261" s="637"/>
      <c r="K261" s="637"/>
      <c r="L261" s="637"/>
      <c r="M261" s="637"/>
      <c r="N261" s="637"/>
      <c r="O261" s="809"/>
      <c r="P261" s="809"/>
      <c r="Q261" s="809"/>
      <c r="R261" s="809"/>
      <c r="S261" s="809"/>
      <c r="T261" s="809"/>
      <c r="U261" s="809"/>
      <c r="V261" s="809"/>
      <c r="W261" s="809"/>
      <c r="X261" s="809"/>
      <c r="Y261" s="809"/>
      <c r="Z261" s="809"/>
      <c r="AA261" s="809"/>
      <c r="AB261" s="809"/>
      <c r="AC261" s="809"/>
      <c r="AD261" s="809"/>
      <c r="AE261" s="809"/>
      <c r="AF261" s="809"/>
      <c r="AN261" s="809"/>
      <c r="AO261" s="809"/>
      <c r="AP261" s="809"/>
      <c r="AQ261" s="809"/>
      <c r="AR261" s="809"/>
      <c r="AS261" s="809"/>
      <c r="AT261" s="809"/>
      <c r="AU261" s="809"/>
      <c r="AV261" s="809"/>
      <c r="AW261" s="809"/>
      <c r="AX261" s="809"/>
      <c r="AY261" s="809"/>
      <c r="AZ261" s="809"/>
      <c r="BA261" s="809"/>
      <c r="BB261" s="809"/>
      <c r="BC261" s="809"/>
      <c r="BD261" s="809"/>
      <c r="BE261" s="809"/>
      <c r="BF261" s="809"/>
      <c r="BG261" s="809"/>
      <c r="BH261" s="809"/>
      <c r="BI261" s="809"/>
      <c r="BJ261" s="809"/>
      <c r="BK261" s="809"/>
      <c r="BL261" s="809"/>
      <c r="BM261" s="809"/>
      <c r="BN261" s="809"/>
    </row>
    <row r="262" spans="1:66">
      <c r="A262" s="637"/>
      <c r="B262" s="637"/>
      <c r="C262" s="637"/>
      <c r="D262" s="637"/>
      <c r="E262" s="637"/>
      <c r="F262" s="637"/>
      <c r="G262" s="637"/>
      <c r="H262" s="637"/>
      <c r="I262" s="637"/>
      <c r="J262" s="637"/>
      <c r="K262" s="637"/>
      <c r="L262" s="637"/>
      <c r="M262" s="637"/>
      <c r="N262" s="637"/>
      <c r="O262" s="809"/>
      <c r="P262" s="809"/>
      <c r="Q262" s="809"/>
      <c r="R262" s="809"/>
      <c r="S262" s="809"/>
      <c r="T262" s="809"/>
      <c r="U262" s="809"/>
      <c r="V262" s="809"/>
      <c r="W262" s="809"/>
      <c r="X262" s="809"/>
      <c r="Y262" s="809"/>
      <c r="Z262" s="809"/>
      <c r="AA262" s="809"/>
      <c r="AB262" s="809"/>
      <c r="AC262" s="809"/>
      <c r="AD262" s="809"/>
      <c r="AE262" s="809"/>
      <c r="AF262" s="809"/>
      <c r="AN262" s="809"/>
      <c r="AO262" s="809"/>
      <c r="AP262" s="809"/>
      <c r="AQ262" s="809"/>
      <c r="AR262" s="809"/>
      <c r="AS262" s="809"/>
      <c r="AT262" s="809"/>
      <c r="AU262" s="809"/>
      <c r="AV262" s="809"/>
      <c r="AW262" s="809"/>
      <c r="AX262" s="809"/>
      <c r="AY262" s="809"/>
      <c r="AZ262" s="809"/>
      <c r="BA262" s="809"/>
      <c r="BB262" s="809"/>
      <c r="BC262" s="809"/>
      <c r="BD262" s="809"/>
      <c r="BE262" s="809"/>
      <c r="BF262" s="809"/>
      <c r="BG262" s="809"/>
      <c r="BH262" s="809"/>
      <c r="BI262" s="809"/>
      <c r="BJ262" s="809"/>
      <c r="BK262" s="809"/>
      <c r="BL262" s="809"/>
      <c r="BM262" s="809"/>
      <c r="BN262" s="809"/>
    </row>
    <row r="263" spans="1:66">
      <c r="A263" s="637"/>
      <c r="B263" s="637"/>
      <c r="C263" s="637"/>
      <c r="D263" s="637"/>
      <c r="E263" s="637"/>
      <c r="F263" s="637"/>
      <c r="G263" s="637"/>
      <c r="H263" s="637"/>
      <c r="I263" s="637"/>
      <c r="J263" s="637"/>
      <c r="K263" s="637"/>
      <c r="L263" s="637"/>
      <c r="M263" s="637"/>
      <c r="N263" s="637"/>
      <c r="O263" s="809"/>
      <c r="P263" s="809"/>
      <c r="Q263" s="809"/>
      <c r="R263" s="809"/>
      <c r="S263" s="809"/>
      <c r="T263" s="809"/>
      <c r="U263" s="809"/>
      <c r="V263" s="809"/>
      <c r="W263" s="809"/>
      <c r="X263" s="809"/>
      <c r="Y263" s="809"/>
      <c r="Z263" s="809"/>
      <c r="AA263" s="809"/>
      <c r="AB263" s="809"/>
      <c r="AC263" s="809"/>
      <c r="AD263" s="809"/>
      <c r="AE263" s="809"/>
      <c r="AF263" s="809"/>
      <c r="AN263" s="809"/>
      <c r="AO263" s="809"/>
      <c r="AP263" s="809"/>
      <c r="AQ263" s="809"/>
      <c r="AR263" s="809"/>
      <c r="AS263" s="809"/>
      <c r="AT263" s="809"/>
      <c r="AU263" s="809"/>
      <c r="AV263" s="809"/>
      <c r="AW263" s="809"/>
      <c r="AX263" s="809"/>
      <c r="AY263" s="809"/>
      <c r="AZ263" s="809"/>
      <c r="BA263" s="809"/>
      <c r="BB263" s="809"/>
      <c r="BC263" s="809"/>
      <c r="BD263" s="809"/>
      <c r="BE263" s="809"/>
      <c r="BF263" s="809"/>
      <c r="BG263" s="809"/>
      <c r="BH263" s="809"/>
      <c r="BI263" s="809"/>
      <c r="BJ263" s="809"/>
      <c r="BK263" s="809"/>
      <c r="BL263" s="809"/>
      <c r="BM263" s="809"/>
      <c r="BN263" s="809"/>
    </row>
    <row r="264" spans="1:66">
      <c r="A264" s="637"/>
      <c r="B264" s="637"/>
      <c r="C264" s="637"/>
      <c r="D264" s="637"/>
      <c r="E264" s="637"/>
      <c r="F264" s="637"/>
      <c r="G264" s="637"/>
      <c r="H264" s="637"/>
      <c r="I264" s="637"/>
      <c r="J264" s="637"/>
      <c r="K264" s="637"/>
      <c r="L264" s="637"/>
      <c r="M264" s="637"/>
      <c r="N264" s="637"/>
      <c r="O264" s="809"/>
      <c r="P264" s="809"/>
      <c r="Q264" s="809"/>
      <c r="R264" s="809"/>
      <c r="S264" s="809"/>
      <c r="T264" s="809"/>
      <c r="U264" s="809"/>
      <c r="V264" s="809"/>
      <c r="W264" s="809"/>
      <c r="X264" s="809"/>
      <c r="Y264" s="809"/>
      <c r="Z264" s="809"/>
      <c r="AA264" s="809"/>
      <c r="AB264" s="809"/>
      <c r="AC264" s="809"/>
      <c r="AD264" s="809"/>
      <c r="AE264" s="809"/>
      <c r="AF264" s="809"/>
      <c r="AN264" s="809"/>
      <c r="AO264" s="809"/>
      <c r="AP264" s="809"/>
      <c r="AQ264" s="809"/>
      <c r="AR264" s="809"/>
      <c r="AS264" s="809"/>
      <c r="AT264" s="809"/>
      <c r="AU264" s="809"/>
      <c r="AV264" s="809"/>
      <c r="AW264" s="809"/>
      <c r="AX264" s="809"/>
      <c r="AY264" s="809"/>
      <c r="AZ264" s="809"/>
      <c r="BA264" s="809"/>
      <c r="BB264" s="809"/>
      <c r="BC264" s="809"/>
      <c r="BD264" s="809"/>
      <c r="BE264" s="809"/>
      <c r="BF264" s="809"/>
      <c r="BG264" s="809"/>
      <c r="BH264" s="809"/>
      <c r="BI264" s="809"/>
      <c r="BJ264" s="809"/>
      <c r="BK264" s="809"/>
      <c r="BL264" s="809"/>
      <c r="BM264" s="809"/>
      <c r="BN264" s="809"/>
    </row>
    <row r="265" spans="1:66">
      <c r="A265" s="637"/>
      <c r="B265" s="637"/>
      <c r="C265" s="637"/>
      <c r="D265" s="637"/>
      <c r="E265" s="637"/>
      <c r="F265" s="637"/>
      <c r="G265" s="637"/>
      <c r="H265" s="637"/>
      <c r="I265" s="637"/>
      <c r="J265" s="637"/>
      <c r="K265" s="637"/>
      <c r="L265" s="637"/>
      <c r="M265" s="637"/>
      <c r="N265" s="637"/>
      <c r="O265" s="809"/>
      <c r="P265" s="809"/>
      <c r="Q265" s="809"/>
      <c r="R265" s="809"/>
      <c r="S265" s="809"/>
      <c r="T265" s="809"/>
      <c r="U265" s="809"/>
      <c r="V265" s="809"/>
      <c r="W265" s="809"/>
      <c r="X265" s="809"/>
      <c r="Y265" s="809"/>
      <c r="Z265" s="809"/>
      <c r="AA265" s="809"/>
      <c r="AB265" s="809"/>
      <c r="AC265" s="809"/>
      <c r="AD265" s="809"/>
      <c r="AE265" s="809"/>
      <c r="AF265" s="809"/>
      <c r="AN265" s="809"/>
      <c r="AO265" s="809"/>
      <c r="AP265" s="809"/>
      <c r="AQ265" s="809"/>
      <c r="AR265" s="809"/>
      <c r="AS265" s="809"/>
      <c r="AT265" s="809"/>
      <c r="AU265" s="809"/>
      <c r="AV265" s="809"/>
      <c r="AW265" s="809"/>
      <c r="AX265" s="809"/>
      <c r="AY265" s="809"/>
      <c r="AZ265" s="809"/>
      <c r="BA265" s="809"/>
      <c r="BB265" s="809"/>
      <c r="BC265" s="809"/>
      <c r="BD265" s="809"/>
      <c r="BE265" s="809"/>
      <c r="BF265" s="809"/>
      <c r="BG265" s="809"/>
      <c r="BH265" s="809"/>
      <c r="BI265" s="809"/>
      <c r="BJ265" s="809"/>
      <c r="BK265" s="809"/>
      <c r="BL265" s="809"/>
      <c r="BM265" s="809"/>
      <c r="BN265" s="809"/>
    </row>
    <row r="266" spans="1:66">
      <c r="O266" s="809"/>
      <c r="P266" s="809"/>
      <c r="Q266" s="809"/>
      <c r="R266" s="809"/>
      <c r="S266" s="809"/>
      <c r="T266" s="809"/>
      <c r="U266" s="809"/>
      <c r="V266" s="809"/>
      <c r="W266" s="809"/>
      <c r="X266" s="809"/>
      <c r="Y266" s="809"/>
      <c r="Z266" s="809"/>
      <c r="AA266" s="809"/>
      <c r="AB266" s="809"/>
      <c r="AC266" s="809"/>
      <c r="AD266" s="809"/>
      <c r="AE266" s="809"/>
      <c r="AF266" s="809"/>
      <c r="AN266" s="809"/>
      <c r="AO266" s="809"/>
      <c r="AP266" s="809"/>
      <c r="AQ266" s="809"/>
      <c r="AR266" s="809"/>
      <c r="AS266" s="809"/>
      <c r="AT266" s="809"/>
      <c r="AU266" s="809"/>
      <c r="AV266" s="809"/>
      <c r="AW266" s="809"/>
      <c r="AX266" s="809"/>
      <c r="AY266" s="809"/>
      <c r="AZ266" s="809"/>
      <c r="BA266" s="809"/>
      <c r="BB266" s="809"/>
      <c r="BC266" s="809"/>
      <c r="BD266" s="809"/>
      <c r="BE266" s="809"/>
      <c r="BF266" s="809"/>
      <c r="BG266" s="809"/>
      <c r="BH266" s="809"/>
      <c r="BI266" s="809"/>
      <c r="BJ266" s="809"/>
      <c r="BK266" s="809"/>
      <c r="BL266" s="809"/>
      <c r="BM266" s="809"/>
      <c r="BN266" s="809"/>
    </row>
    <row r="267" spans="1:66">
      <c r="O267" s="809"/>
      <c r="P267" s="809"/>
      <c r="Q267" s="809"/>
      <c r="R267" s="809"/>
      <c r="S267" s="809"/>
      <c r="T267" s="809"/>
      <c r="U267" s="809"/>
      <c r="V267" s="809"/>
      <c r="W267" s="809"/>
      <c r="X267" s="809"/>
      <c r="Y267" s="809"/>
      <c r="Z267" s="809"/>
      <c r="AA267" s="809"/>
      <c r="AB267" s="809"/>
      <c r="AC267" s="809"/>
      <c r="AD267" s="809"/>
      <c r="AE267" s="809"/>
      <c r="AF267" s="809"/>
      <c r="AG267" s="809"/>
      <c r="AH267" s="809"/>
      <c r="AI267" s="809"/>
      <c r="AJ267" s="809"/>
      <c r="AK267" s="809"/>
      <c r="AL267" s="809"/>
      <c r="AM267" s="809"/>
      <c r="AN267" s="809"/>
      <c r="AO267" s="809"/>
      <c r="AP267" s="809"/>
      <c r="AQ267" s="809"/>
      <c r="AR267" s="809"/>
      <c r="AS267" s="809"/>
      <c r="AT267" s="809"/>
      <c r="AU267" s="809"/>
      <c r="AV267" s="809"/>
      <c r="AW267" s="809"/>
      <c r="AX267" s="809"/>
      <c r="AY267" s="809"/>
      <c r="AZ267" s="809"/>
      <c r="BA267" s="809"/>
      <c r="BB267" s="809"/>
      <c r="BC267" s="809"/>
      <c r="BD267" s="809"/>
      <c r="BE267" s="809"/>
      <c r="BF267" s="809"/>
      <c r="BG267" s="809"/>
      <c r="BH267" s="809"/>
      <c r="BI267" s="809"/>
      <c r="BJ267" s="809"/>
      <c r="BK267" s="809"/>
      <c r="BL267" s="809"/>
      <c r="BM267" s="809"/>
      <c r="BN267" s="809"/>
    </row>
    <row r="268" spans="1:66">
      <c r="O268" s="809"/>
      <c r="P268" s="809"/>
      <c r="Q268" s="809"/>
      <c r="R268" s="809"/>
      <c r="S268" s="809"/>
      <c r="T268" s="809"/>
      <c r="U268" s="809"/>
      <c r="V268" s="809"/>
      <c r="W268" s="809"/>
      <c r="X268" s="809"/>
      <c r="Y268" s="809"/>
      <c r="Z268" s="809"/>
      <c r="AA268" s="809"/>
      <c r="AB268" s="809"/>
      <c r="AC268" s="809"/>
      <c r="AD268" s="809"/>
      <c r="AE268" s="809"/>
      <c r="AF268" s="809"/>
      <c r="AG268" s="809"/>
      <c r="AH268" s="809"/>
      <c r="AI268" s="809"/>
      <c r="AJ268" s="809"/>
      <c r="AK268" s="809"/>
      <c r="AL268" s="809"/>
      <c r="AM268" s="809"/>
      <c r="AN268" s="809"/>
      <c r="AO268" s="809"/>
      <c r="AP268" s="809"/>
      <c r="AQ268" s="809"/>
      <c r="AR268" s="809"/>
      <c r="AS268" s="809"/>
      <c r="AT268" s="809"/>
      <c r="AU268" s="809"/>
      <c r="AV268" s="809"/>
      <c r="AW268" s="809"/>
      <c r="AX268" s="809"/>
      <c r="AY268" s="809"/>
      <c r="AZ268" s="809"/>
      <c r="BA268" s="809"/>
      <c r="BB268" s="809"/>
      <c r="BC268" s="809"/>
      <c r="BD268" s="809"/>
      <c r="BE268" s="809"/>
      <c r="BF268" s="809"/>
      <c r="BG268" s="809"/>
      <c r="BH268" s="809"/>
      <c r="BI268" s="809"/>
      <c r="BJ268" s="809"/>
      <c r="BK268" s="809"/>
      <c r="BL268" s="809"/>
      <c r="BM268" s="809"/>
      <c r="BN268" s="809"/>
    </row>
    <row r="269" spans="1:66">
      <c r="O269" s="809"/>
      <c r="P269" s="809"/>
      <c r="Q269" s="809"/>
      <c r="R269" s="809"/>
      <c r="S269" s="809"/>
      <c r="T269" s="809"/>
      <c r="U269" s="809"/>
      <c r="V269" s="809"/>
      <c r="W269" s="809"/>
      <c r="X269" s="809"/>
      <c r="Y269" s="809"/>
      <c r="Z269" s="809"/>
      <c r="AA269" s="809"/>
      <c r="AB269" s="809"/>
      <c r="AC269" s="809"/>
      <c r="AD269" s="809"/>
      <c r="AE269" s="809"/>
      <c r="AF269" s="809"/>
      <c r="AG269" s="809"/>
      <c r="AH269" s="809"/>
      <c r="AI269" s="809"/>
      <c r="AJ269" s="809"/>
      <c r="AK269" s="809"/>
      <c r="AL269" s="809"/>
      <c r="AM269" s="809"/>
      <c r="AN269" s="809"/>
      <c r="AO269" s="809"/>
      <c r="AP269" s="809"/>
      <c r="AQ269" s="809"/>
      <c r="AR269" s="809"/>
      <c r="AS269" s="809"/>
      <c r="AT269" s="809"/>
      <c r="AU269" s="809"/>
      <c r="AV269" s="809"/>
      <c r="AW269" s="809"/>
      <c r="AX269" s="809"/>
      <c r="AY269" s="809"/>
      <c r="AZ269" s="809"/>
      <c r="BA269" s="809"/>
      <c r="BB269" s="809"/>
      <c r="BC269" s="809"/>
      <c r="BD269" s="809"/>
      <c r="BE269" s="809"/>
      <c r="BF269" s="809"/>
      <c r="BG269" s="809"/>
      <c r="BH269" s="809"/>
      <c r="BI269" s="809"/>
      <c r="BJ269" s="809"/>
      <c r="BK269" s="809"/>
      <c r="BL269" s="809"/>
      <c r="BM269" s="809"/>
      <c r="BN269" s="809"/>
    </row>
    <row r="270" spans="1:66">
      <c r="O270" s="809"/>
      <c r="P270" s="809"/>
      <c r="Q270" s="809"/>
      <c r="R270" s="809"/>
      <c r="S270" s="809"/>
      <c r="T270" s="809"/>
      <c r="U270" s="809"/>
      <c r="V270" s="809"/>
      <c r="W270" s="809"/>
      <c r="X270" s="809"/>
      <c r="Y270" s="809"/>
      <c r="Z270" s="809"/>
      <c r="AA270" s="809"/>
      <c r="AB270" s="809"/>
      <c r="AC270" s="809"/>
      <c r="AD270" s="809"/>
      <c r="AE270" s="809"/>
      <c r="AF270" s="809"/>
      <c r="AG270" s="809"/>
      <c r="AH270" s="809"/>
      <c r="AI270" s="809"/>
      <c r="AJ270" s="809"/>
      <c r="AK270" s="809"/>
      <c r="AL270" s="809"/>
      <c r="AM270" s="809"/>
      <c r="AN270" s="809"/>
      <c r="AO270" s="809"/>
      <c r="AP270" s="809"/>
      <c r="AQ270" s="809"/>
      <c r="AR270" s="809"/>
      <c r="AS270" s="809"/>
      <c r="AT270" s="809"/>
      <c r="AU270" s="809"/>
      <c r="AV270" s="809"/>
      <c r="AW270" s="809"/>
      <c r="AX270" s="809"/>
      <c r="AY270" s="809"/>
      <c r="AZ270" s="809"/>
      <c r="BA270" s="809"/>
      <c r="BB270" s="809"/>
      <c r="BC270" s="809"/>
      <c r="BD270" s="809"/>
      <c r="BE270" s="809"/>
      <c r="BF270" s="809"/>
      <c r="BG270" s="809"/>
      <c r="BH270" s="809"/>
      <c r="BI270" s="809"/>
      <c r="BJ270" s="809"/>
      <c r="BK270" s="809"/>
      <c r="BL270" s="809"/>
      <c r="BM270" s="809"/>
      <c r="BN270" s="809"/>
    </row>
    <row r="271" spans="1:66">
      <c r="O271" s="809"/>
      <c r="P271" s="809"/>
      <c r="Q271" s="809"/>
      <c r="R271" s="809"/>
      <c r="S271" s="809"/>
      <c r="T271" s="809"/>
      <c r="U271" s="809"/>
      <c r="V271" s="809"/>
      <c r="W271" s="809"/>
      <c r="X271" s="809"/>
      <c r="Y271" s="809"/>
      <c r="Z271" s="809"/>
      <c r="AA271" s="809"/>
      <c r="AB271" s="809"/>
      <c r="AC271" s="809"/>
      <c r="AD271" s="809"/>
      <c r="AE271" s="809"/>
      <c r="AF271" s="809"/>
      <c r="AG271" s="809"/>
      <c r="AH271" s="809"/>
      <c r="AI271" s="809"/>
      <c r="AJ271" s="809"/>
      <c r="AK271" s="809"/>
      <c r="AL271" s="809"/>
      <c r="AM271" s="809"/>
      <c r="AN271" s="809"/>
      <c r="AO271" s="809"/>
      <c r="AP271" s="809"/>
      <c r="AQ271" s="809"/>
      <c r="AR271" s="809"/>
      <c r="AS271" s="809"/>
      <c r="AT271" s="809"/>
      <c r="AU271" s="809"/>
      <c r="AV271" s="809"/>
      <c r="AW271" s="809"/>
      <c r="AX271" s="809"/>
      <c r="AY271" s="809"/>
      <c r="AZ271" s="809"/>
      <c r="BA271" s="809"/>
      <c r="BB271" s="809"/>
      <c r="BC271" s="809"/>
      <c r="BD271" s="809"/>
      <c r="BE271" s="809"/>
      <c r="BF271" s="809"/>
      <c r="BG271" s="809"/>
      <c r="BH271" s="809"/>
      <c r="BI271" s="809"/>
      <c r="BJ271" s="809"/>
      <c r="BK271" s="809"/>
      <c r="BL271" s="809"/>
      <c r="BM271" s="809"/>
      <c r="BN271" s="809"/>
    </row>
    <row r="272" spans="1:66">
      <c r="O272" s="809"/>
      <c r="P272" s="809"/>
      <c r="Q272" s="809"/>
      <c r="R272" s="809"/>
      <c r="S272" s="809"/>
      <c r="T272" s="809"/>
      <c r="U272" s="809"/>
      <c r="V272" s="809"/>
      <c r="W272" s="809"/>
      <c r="X272" s="809"/>
      <c r="Y272" s="809"/>
      <c r="Z272" s="809"/>
      <c r="AA272" s="809"/>
      <c r="AB272" s="809"/>
      <c r="AC272" s="809"/>
      <c r="AD272" s="809"/>
      <c r="AE272" s="809"/>
      <c r="AF272" s="809"/>
      <c r="AG272" s="809"/>
      <c r="AH272" s="809"/>
      <c r="AI272" s="809"/>
      <c r="AJ272" s="809"/>
      <c r="AK272" s="809"/>
      <c r="AL272" s="809"/>
      <c r="AM272" s="809"/>
      <c r="AN272" s="809"/>
      <c r="AO272" s="809"/>
      <c r="AP272" s="809"/>
      <c r="AQ272" s="809"/>
      <c r="AR272" s="809"/>
      <c r="AS272" s="809"/>
      <c r="AT272" s="809"/>
      <c r="AU272" s="809"/>
      <c r="AV272" s="809"/>
      <c r="AW272" s="809"/>
      <c r="AX272" s="809"/>
      <c r="AY272" s="809"/>
      <c r="AZ272" s="809"/>
      <c r="BA272" s="809"/>
      <c r="BB272" s="809"/>
      <c r="BC272" s="809"/>
      <c r="BD272" s="809"/>
      <c r="BE272" s="809"/>
      <c r="BF272" s="809"/>
      <c r="BG272" s="809"/>
      <c r="BH272" s="809"/>
      <c r="BI272" s="809"/>
      <c r="BJ272" s="809"/>
      <c r="BK272" s="809"/>
      <c r="BL272" s="809"/>
      <c r="BM272" s="809"/>
      <c r="BN272" s="809"/>
    </row>
    <row r="273" spans="1:66">
      <c r="O273" s="809"/>
      <c r="P273" s="809"/>
      <c r="Q273" s="809"/>
      <c r="R273" s="809"/>
      <c r="S273" s="809"/>
      <c r="T273" s="809"/>
      <c r="U273" s="809"/>
      <c r="V273" s="809"/>
      <c r="W273" s="809"/>
      <c r="X273" s="809"/>
      <c r="Y273" s="809"/>
      <c r="Z273" s="809"/>
      <c r="AA273" s="809"/>
      <c r="AB273" s="809"/>
      <c r="AC273" s="809"/>
      <c r="AD273" s="809"/>
      <c r="AE273" s="809"/>
      <c r="AF273" s="809"/>
      <c r="AG273" s="809"/>
      <c r="AH273" s="809"/>
      <c r="AI273" s="809"/>
      <c r="AJ273" s="809"/>
      <c r="AK273" s="809"/>
      <c r="AL273" s="809"/>
      <c r="AM273" s="809"/>
      <c r="AN273" s="809"/>
      <c r="AO273" s="809"/>
      <c r="AP273" s="809"/>
      <c r="AQ273" s="809"/>
      <c r="AR273" s="809"/>
      <c r="AS273" s="809"/>
      <c r="AT273" s="809"/>
      <c r="AU273" s="809"/>
      <c r="AV273" s="809"/>
      <c r="AW273" s="809"/>
      <c r="AX273" s="809"/>
      <c r="AY273" s="809"/>
      <c r="AZ273" s="809"/>
      <c r="BA273" s="809"/>
      <c r="BB273" s="809"/>
      <c r="BC273" s="809"/>
      <c r="BD273" s="809"/>
      <c r="BE273" s="809"/>
      <c r="BF273" s="809"/>
      <c r="BG273" s="809"/>
      <c r="BH273" s="809"/>
      <c r="BI273" s="809"/>
      <c r="BJ273" s="809"/>
      <c r="BK273" s="809"/>
      <c r="BL273" s="809"/>
      <c r="BM273" s="809"/>
      <c r="BN273" s="809"/>
    </row>
    <row r="274" spans="1:66">
      <c r="O274" s="809"/>
      <c r="P274" s="809"/>
      <c r="Q274" s="809"/>
      <c r="R274" s="809"/>
      <c r="S274" s="809"/>
      <c r="T274" s="809"/>
      <c r="U274" s="809"/>
      <c r="V274" s="809"/>
      <c r="W274" s="809"/>
      <c r="X274" s="809"/>
      <c r="Y274" s="809"/>
      <c r="Z274" s="809"/>
      <c r="AA274" s="809"/>
      <c r="AB274" s="809"/>
      <c r="AC274" s="809"/>
      <c r="AD274" s="809"/>
      <c r="AE274" s="809"/>
      <c r="AF274" s="809"/>
      <c r="AG274" s="809"/>
      <c r="AH274" s="809"/>
      <c r="AI274" s="809"/>
      <c r="AJ274" s="809"/>
      <c r="AK274" s="809"/>
      <c r="AL274" s="809"/>
      <c r="AM274" s="809"/>
      <c r="AN274" s="809"/>
      <c r="AO274" s="809"/>
      <c r="AP274" s="809"/>
      <c r="AQ274" s="809"/>
      <c r="AR274" s="809"/>
      <c r="AS274" s="809"/>
      <c r="AT274" s="809"/>
      <c r="AU274" s="809"/>
      <c r="AV274" s="809"/>
      <c r="AW274" s="809"/>
      <c r="AX274" s="809"/>
      <c r="AY274" s="809"/>
      <c r="AZ274" s="809"/>
      <c r="BA274" s="809"/>
      <c r="BB274" s="809"/>
      <c r="BC274" s="809"/>
      <c r="BD274" s="809"/>
      <c r="BE274" s="809"/>
      <c r="BF274" s="809"/>
      <c r="BG274" s="809"/>
      <c r="BH274" s="809"/>
      <c r="BI274" s="809"/>
      <c r="BJ274" s="809"/>
      <c r="BK274" s="809"/>
      <c r="BL274" s="809"/>
      <c r="BM274" s="809"/>
      <c r="BN274" s="809"/>
    </row>
    <row r="275" spans="1:66">
      <c r="O275" s="809"/>
      <c r="P275" s="809"/>
      <c r="Q275" s="809"/>
      <c r="R275" s="809"/>
      <c r="S275" s="809"/>
      <c r="T275" s="809"/>
      <c r="U275" s="809"/>
      <c r="V275" s="809"/>
      <c r="W275" s="809"/>
      <c r="X275" s="809"/>
      <c r="Y275" s="809"/>
      <c r="Z275" s="809"/>
      <c r="AA275" s="809"/>
      <c r="AB275" s="809"/>
      <c r="AC275" s="809"/>
      <c r="AD275" s="809"/>
      <c r="AE275" s="809"/>
      <c r="AF275" s="809"/>
      <c r="AG275" s="809"/>
      <c r="AH275" s="809"/>
      <c r="AI275" s="809"/>
      <c r="AJ275" s="809"/>
      <c r="AK275" s="809"/>
      <c r="AL275" s="809"/>
      <c r="AM275" s="809"/>
      <c r="AN275" s="809"/>
      <c r="AO275" s="809"/>
      <c r="AP275" s="809"/>
      <c r="AQ275" s="809"/>
      <c r="AR275" s="809"/>
      <c r="AS275" s="809"/>
      <c r="AT275" s="809"/>
      <c r="AU275" s="809"/>
      <c r="AV275" s="809"/>
      <c r="AW275" s="809"/>
      <c r="AX275" s="809"/>
      <c r="AY275" s="809"/>
      <c r="AZ275" s="809"/>
      <c r="BA275" s="809"/>
      <c r="BB275" s="809"/>
      <c r="BC275" s="809"/>
      <c r="BD275" s="809"/>
      <c r="BE275" s="809"/>
      <c r="BF275" s="809"/>
      <c r="BG275" s="809"/>
      <c r="BH275" s="809"/>
      <c r="BI275" s="809"/>
      <c r="BJ275" s="809"/>
      <c r="BK275" s="809"/>
      <c r="BL275" s="809"/>
      <c r="BM275" s="809"/>
      <c r="BN275" s="809"/>
    </row>
    <row r="276" spans="1:66">
      <c r="O276" s="809"/>
      <c r="P276" s="809"/>
      <c r="Q276" s="809"/>
      <c r="R276" s="809"/>
      <c r="S276" s="809"/>
      <c r="T276" s="809"/>
      <c r="U276" s="809"/>
      <c r="V276" s="809"/>
      <c r="W276" s="809"/>
      <c r="X276" s="809"/>
      <c r="Y276" s="809"/>
      <c r="Z276" s="809"/>
      <c r="AA276" s="809"/>
      <c r="AB276" s="809"/>
      <c r="AC276" s="809"/>
      <c r="AD276" s="809"/>
      <c r="AE276" s="809"/>
      <c r="AF276" s="809"/>
      <c r="AG276" s="809"/>
      <c r="AH276" s="809"/>
      <c r="AI276" s="809"/>
      <c r="AJ276" s="809"/>
      <c r="AK276" s="809"/>
      <c r="AL276" s="809"/>
      <c r="AM276" s="809"/>
      <c r="AN276" s="809"/>
      <c r="AO276" s="809"/>
      <c r="AP276" s="809"/>
      <c r="AQ276" s="809"/>
      <c r="AR276" s="809"/>
      <c r="AS276" s="809"/>
      <c r="AT276" s="809"/>
      <c r="AU276" s="809"/>
      <c r="AV276" s="809"/>
      <c r="AW276" s="809"/>
      <c r="AX276" s="809"/>
      <c r="AY276" s="809"/>
      <c r="AZ276" s="809"/>
      <c r="BA276" s="809"/>
      <c r="BB276" s="809"/>
      <c r="BC276" s="809"/>
      <c r="BD276" s="809"/>
      <c r="BE276" s="809"/>
      <c r="BF276" s="809"/>
      <c r="BG276" s="809"/>
      <c r="BH276" s="809"/>
      <c r="BI276" s="809"/>
      <c r="BJ276" s="809"/>
      <c r="BK276" s="809"/>
      <c r="BL276" s="809"/>
      <c r="BM276" s="809"/>
      <c r="BN276" s="809"/>
    </row>
    <row r="277" spans="1:66">
      <c r="O277" s="809"/>
      <c r="P277" s="809"/>
      <c r="Q277" s="809"/>
      <c r="R277" s="809"/>
      <c r="S277" s="809"/>
      <c r="T277" s="809"/>
      <c r="U277" s="809"/>
      <c r="V277" s="809"/>
      <c r="W277" s="809"/>
      <c r="X277" s="809"/>
      <c r="Y277" s="809"/>
      <c r="Z277" s="809"/>
      <c r="AA277" s="809"/>
      <c r="AB277" s="809"/>
      <c r="AC277" s="809"/>
      <c r="AD277" s="809"/>
      <c r="AE277" s="809"/>
      <c r="AF277" s="809"/>
      <c r="AG277" s="809"/>
      <c r="AH277" s="809"/>
      <c r="AI277" s="809"/>
      <c r="AJ277" s="809"/>
      <c r="AK277" s="809"/>
      <c r="AL277" s="809"/>
      <c r="AM277" s="809"/>
      <c r="AN277" s="809"/>
      <c r="AO277" s="809"/>
      <c r="AP277" s="809"/>
      <c r="AQ277" s="809"/>
      <c r="AR277" s="809"/>
      <c r="AS277" s="809"/>
      <c r="AT277" s="809"/>
      <c r="AU277" s="809"/>
      <c r="AV277" s="809"/>
      <c r="AW277" s="809"/>
      <c r="AX277" s="809"/>
      <c r="AY277" s="809"/>
      <c r="AZ277" s="809"/>
      <c r="BA277" s="809"/>
      <c r="BB277" s="809"/>
      <c r="BC277" s="809"/>
      <c r="BD277" s="809"/>
      <c r="BE277" s="809"/>
      <c r="BF277" s="809"/>
      <c r="BG277" s="809"/>
      <c r="BH277" s="809"/>
      <c r="BI277" s="809"/>
      <c r="BJ277" s="809"/>
      <c r="BK277" s="809"/>
      <c r="BL277" s="809"/>
      <c r="BM277" s="809"/>
      <c r="BN277" s="809"/>
    </row>
    <row r="278" spans="1:66">
      <c r="O278" s="809"/>
      <c r="P278" s="809"/>
      <c r="Q278" s="809"/>
      <c r="R278" s="809"/>
      <c r="S278" s="809"/>
      <c r="T278" s="809"/>
      <c r="U278" s="809"/>
      <c r="V278" s="809"/>
      <c r="W278" s="809"/>
      <c r="X278" s="809"/>
      <c r="Y278" s="809"/>
      <c r="Z278" s="809"/>
      <c r="AA278" s="809"/>
      <c r="AB278" s="809"/>
      <c r="AC278" s="809"/>
      <c r="AD278" s="809"/>
      <c r="AE278" s="809"/>
      <c r="AF278" s="809"/>
      <c r="AG278" s="809"/>
      <c r="AH278" s="809"/>
      <c r="AI278" s="809"/>
      <c r="AJ278" s="809"/>
      <c r="AK278" s="809"/>
      <c r="AL278" s="809"/>
      <c r="AM278" s="809"/>
      <c r="AN278" s="809"/>
      <c r="AO278" s="809"/>
      <c r="AP278" s="809"/>
      <c r="AQ278" s="809"/>
      <c r="AR278" s="809"/>
      <c r="AS278" s="809"/>
      <c r="AT278" s="809"/>
      <c r="AU278" s="809"/>
      <c r="AV278" s="809"/>
      <c r="AW278" s="809"/>
      <c r="AX278" s="809"/>
      <c r="AY278" s="809"/>
      <c r="AZ278" s="809"/>
      <c r="BA278" s="809"/>
      <c r="BB278" s="809"/>
      <c r="BC278" s="809"/>
      <c r="BD278" s="809"/>
      <c r="BE278" s="809"/>
      <c r="BF278" s="809"/>
      <c r="BG278" s="809"/>
      <c r="BH278" s="809"/>
      <c r="BI278" s="809"/>
      <c r="BJ278" s="809"/>
      <c r="BK278" s="809"/>
      <c r="BL278" s="809"/>
      <c r="BM278" s="809"/>
      <c r="BN278" s="809"/>
    </row>
    <row r="279" spans="1:66">
      <c r="O279" s="809"/>
      <c r="P279" s="809"/>
      <c r="Q279" s="809"/>
      <c r="R279" s="809"/>
      <c r="S279" s="809"/>
      <c r="T279" s="809"/>
      <c r="U279" s="809"/>
      <c r="V279" s="809"/>
      <c r="W279" s="809"/>
      <c r="X279" s="809"/>
      <c r="Y279" s="809"/>
      <c r="Z279" s="809"/>
      <c r="AA279" s="809"/>
      <c r="AB279" s="809"/>
      <c r="AC279" s="809"/>
      <c r="AD279" s="809"/>
      <c r="AE279" s="809"/>
      <c r="AF279" s="809"/>
      <c r="AG279" s="809"/>
      <c r="AH279" s="809"/>
      <c r="AI279" s="809"/>
      <c r="AJ279" s="809"/>
      <c r="AK279" s="809"/>
      <c r="AL279" s="809"/>
      <c r="AM279" s="809"/>
      <c r="AN279" s="809"/>
      <c r="AO279" s="809"/>
      <c r="AP279" s="809"/>
      <c r="AQ279" s="809"/>
      <c r="AR279" s="809"/>
      <c r="AS279" s="809"/>
      <c r="AT279" s="809"/>
      <c r="AU279" s="809"/>
      <c r="AV279" s="809"/>
      <c r="AW279" s="809"/>
      <c r="AX279" s="809"/>
      <c r="AY279" s="809"/>
      <c r="AZ279" s="809"/>
      <c r="BA279" s="809"/>
      <c r="BB279" s="809"/>
      <c r="BC279" s="809"/>
      <c r="BD279" s="809"/>
      <c r="BE279" s="809"/>
      <c r="BF279" s="809"/>
      <c r="BG279" s="809"/>
      <c r="BH279" s="809"/>
      <c r="BI279" s="809"/>
      <c r="BJ279" s="809"/>
      <c r="BK279" s="809"/>
      <c r="BL279" s="809"/>
      <c r="BM279" s="809"/>
      <c r="BN279" s="809"/>
    </row>
    <row r="280" spans="1:66">
      <c r="O280" s="809"/>
      <c r="P280" s="809"/>
      <c r="Q280" s="809"/>
      <c r="R280" s="809"/>
      <c r="S280" s="809"/>
      <c r="T280" s="809"/>
      <c r="U280" s="809"/>
      <c r="V280" s="809"/>
      <c r="W280" s="809"/>
      <c r="X280" s="809"/>
      <c r="Y280" s="809"/>
      <c r="Z280" s="809"/>
      <c r="AA280" s="809"/>
      <c r="AB280" s="809"/>
      <c r="AC280" s="809"/>
      <c r="AD280" s="809"/>
      <c r="AE280" s="809"/>
      <c r="AF280" s="809"/>
      <c r="AG280" s="809"/>
      <c r="AH280" s="809"/>
      <c r="AI280" s="809"/>
      <c r="AJ280" s="809"/>
      <c r="AK280" s="809"/>
      <c r="AL280" s="809"/>
      <c r="AM280" s="809"/>
      <c r="AN280" s="809"/>
      <c r="AO280" s="809"/>
      <c r="AP280" s="809"/>
      <c r="AQ280" s="809"/>
      <c r="AR280" s="809"/>
      <c r="AS280" s="809"/>
      <c r="AT280" s="809"/>
      <c r="AU280" s="809"/>
      <c r="AV280" s="809"/>
      <c r="AW280" s="809"/>
      <c r="AX280" s="809"/>
      <c r="AY280" s="809"/>
      <c r="AZ280" s="809"/>
      <c r="BA280" s="809"/>
      <c r="BB280" s="809"/>
      <c r="BC280" s="809"/>
      <c r="BD280" s="809"/>
      <c r="BE280" s="809"/>
      <c r="BF280" s="809"/>
      <c r="BG280" s="809"/>
      <c r="BH280" s="809"/>
      <c r="BI280" s="809"/>
      <c r="BJ280" s="809"/>
      <c r="BK280" s="809"/>
      <c r="BL280" s="809"/>
      <c r="BM280" s="809"/>
      <c r="BN280" s="809"/>
    </row>
    <row r="281" spans="1:66">
      <c r="O281" s="809"/>
      <c r="P281" s="809"/>
      <c r="Q281" s="809"/>
      <c r="R281" s="809"/>
      <c r="S281" s="809"/>
      <c r="T281" s="809"/>
      <c r="U281" s="809"/>
      <c r="V281" s="809"/>
      <c r="W281" s="809"/>
      <c r="X281" s="809"/>
      <c r="Y281" s="809"/>
      <c r="Z281" s="809"/>
      <c r="AA281" s="809"/>
      <c r="AB281" s="809"/>
      <c r="AC281" s="809"/>
      <c r="AD281" s="809"/>
      <c r="AE281" s="809"/>
      <c r="AF281" s="809"/>
      <c r="AG281" s="809"/>
      <c r="AH281" s="809"/>
      <c r="AI281" s="809"/>
      <c r="AJ281" s="809"/>
      <c r="AK281" s="809"/>
      <c r="AL281" s="809"/>
      <c r="AM281" s="809"/>
      <c r="AN281" s="809"/>
      <c r="AO281" s="809"/>
      <c r="AP281" s="809"/>
      <c r="AQ281" s="809"/>
      <c r="AR281" s="809"/>
      <c r="AS281" s="809"/>
      <c r="AT281" s="809"/>
      <c r="AU281" s="809"/>
      <c r="AV281" s="809"/>
      <c r="AW281" s="809"/>
      <c r="AX281" s="809"/>
      <c r="AY281" s="809"/>
      <c r="AZ281" s="809"/>
      <c r="BA281" s="809"/>
      <c r="BB281" s="809"/>
      <c r="BC281" s="809"/>
      <c r="BD281" s="809"/>
      <c r="BE281" s="809"/>
      <c r="BF281" s="809"/>
      <c r="BG281" s="809"/>
      <c r="BH281" s="809"/>
      <c r="BI281" s="809"/>
      <c r="BJ281" s="809"/>
      <c r="BK281" s="809"/>
      <c r="BL281" s="809"/>
      <c r="BM281" s="809"/>
      <c r="BN281" s="809"/>
    </row>
    <row r="282" spans="1:66">
      <c r="O282" s="809"/>
      <c r="P282" s="809"/>
      <c r="Q282" s="809"/>
      <c r="R282" s="809"/>
      <c r="S282" s="809"/>
      <c r="T282" s="809"/>
      <c r="U282" s="809"/>
      <c r="V282" s="809"/>
      <c r="W282" s="809"/>
      <c r="X282" s="809"/>
      <c r="Y282" s="809"/>
      <c r="Z282" s="809"/>
      <c r="AA282" s="809"/>
      <c r="AB282" s="809"/>
      <c r="AC282" s="809"/>
      <c r="AD282" s="809"/>
      <c r="AE282" s="809"/>
      <c r="AF282" s="809"/>
      <c r="AG282" s="809"/>
      <c r="AH282" s="809"/>
      <c r="AI282" s="809"/>
      <c r="AJ282" s="809"/>
      <c r="AK282" s="809"/>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row>
    <row r="283" spans="1:66">
      <c r="O283" s="809"/>
      <c r="P283" s="809"/>
      <c r="Q283" s="809"/>
      <c r="R283" s="809"/>
      <c r="S283" s="809"/>
      <c r="T283" s="809"/>
      <c r="U283" s="809"/>
      <c r="V283" s="809"/>
      <c r="W283" s="809"/>
      <c r="X283" s="809"/>
      <c r="Y283" s="809"/>
      <c r="Z283" s="809"/>
      <c r="AA283" s="809"/>
      <c r="AB283" s="809"/>
      <c r="AC283" s="809"/>
      <c r="AD283" s="809"/>
      <c r="AE283" s="809"/>
      <c r="AF283" s="809"/>
      <c r="AG283" s="809"/>
      <c r="AH283" s="809"/>
      <c r="AI283" s="809"/>
      <c r="AJ283" s="809"/>
      <c r="AK283" s="809"/>
      <c r="AL283" s="809"/>
      <c r="AM283" s="809"/>
      <c r="AN283" s="809"/>
      <c r="AO283" s="809"/>
      <c r="AP283" s="809"/>
      <c r="AQ283" s="809"/>
      <c r="AR283" s="809"/>
      <c r="AS283" s="809"/>
      <c r="AT283" s="809"/>
      <c r="AU283" s="809"/>
      <c r="AV283" s="809"/>
      <c r="AW283" s="809"/>
      <c r="AX283" s="809"/>
      <c r="AY283" s="809"/>
      <c r="AZ283" s="809"/>
      <c r="BA283" s="809"/>
      <c r="BB283" s="809"/>
      <c r="BC283" s="809"/>
      <c r="BD283" s="809"/>
      <c r="BE283" s="809"/>
      <c r="BF283" s="809"/>
      <c r="BG283" s="809"/>
      <c r="BH283" s="809"/>
      <c r="BI283" s="809"/>
      <c r="BJ283" s="809"/>
      <c r="BK283" s="809"/>
      <c r="BL283" s="809"/>
      <c r="BM283" s="809"/>
      <c r="BN283" s="809"/>
    </row>
    <row r="284" spans="1:66">
      <c r="O284" s="809"/>
      <c r="P284" s="809"/>
      <c r="Q284" s="809"/>
      <c r="R284" s="809"/>
      <c r="S284" s="809"/>
      <c r="T284" s="809"/>
      <c r="U284" s="809"/>
      <c r="V284" s="809"/>
      <c r="W284" s="809"/>
      <c r="X284" s="809"/>
      <c r="Y284" s="809"/>
      <c r="Z284" s="809"/>
      <c r="AA284" s="809"/>
      <c r="AB284" s="809"/>
      <c r="AC284" s="809"/>
      <c r="AD284" s="809"/>
      <c r="AE284" s="809"/>
      <c r="AF284" s="809"/>
      <c r="AG284" s="809"/>
      <c r="AH284" s="809"/>
      <c r="AI284" s="809"/>
      <c r="AJ284" s="809"/>
      <c r="AK284" s="809"/>
      <c r="AL284" s="809"/>
      <c r="AM284" s="809"/>
      <c r="AN284" s="809"/>
      <c r="AO284" s="809"/>
      <c r="AP284" s="809"/>
      <c r="AQ284" s="809"/>
      <c r="AR284" s="809"/>
      <c r="AS284" s="809"/>
      <c r="AT284" s="809"/>
      <c r="AU284" s="809"/>
      <c r="AV284" s="809"/>
      <c r="AW284" s="809"/>
      <c r="AX284" s="809"/>
      <c r="AY284" s="809"/>
      <c r="AZ284" s="809"/>
      <c r="BA284" s="809"/>
      <c r="BB284" s="809"/>
      <c r="BC284" s="809"/>
      <c r="BD284" s="809"/>
      <c r="BE284" s="809"/>
      <c r="BF284" s="809"/>
      <c r="BG284" s="809"/>
      <c r="BH284" s="809"/>
      <c r="BI284" s="809"/>
      <c r="BJ284" s="809"/>
      <c r="BK284" s="809"/>
      <c r="BL284" s="809"/>
      <c r="BM284" s="809"/>
      <c r="BN284" s="809"/>
    </row>
    <row r="285" spans="1:66">
      <c r="O285" s="809"/>
      <c r="P285" s="809"/>
      <c r="Q285" s="809"/>
      <c r="R285" s="809"/>
      <c r="S285" s="809"/>
      <c r="T285" s="809"/>
      <c r="U285" s="809"/>
      <c r="V285" s="809"/>
      <c r="W285" s="809"/>
      <c r="X285" s="809"/>
      <c r="Y285" s="809"/>
      <c r="Z285" s="809"/>
      <c r="AA285" s="809"/>
      <c r="AB285" s="809"/>
      <c r="AC285" s="809"/>
      <c r="AD285" s="809"/>
      <c r="AE285" s="809"/>
      <c r="AF285" s="809"/>
      <c r="AG285" s="809"/>
      <c r="AH285" s="809"/>
      <c r="AI285" s="809"/>
      <c r="AJ285" s="809"/>
      <c r="AK285" s="809"/>
      <c r="AL285" s="809"/>
      <c r="AM285" s="809"/>
      <c r="AN285" s="809"/>
      <c r="AO285" s="809"/>
      <c r="AP285" s="809"/>
      <c r="AQ285" s="809"/>
      <c r="AR285" s="809"/>
      <c r="AS285" s="809"/>
      <c r="AT285" s="809"/>
      <c r="AU285" s="809"/>
      <c r="AV285" s="809"/>
      <c r="AW285" s="809"/>
      <c r="AX285" s="809"/>
      <c r="AY285" s="809"/>
      <c r="AZ285" s="809"/>
      <c r="BA285" s="809"/>
      <c r="BB285" s="809"/>
      <c r="BC285" s="809"/>
      <c r="BD285" s="809"/>
      <c r="BE285" s="809"/>
      <c r="BF285" s="809"/>
      <c r="BG285" s="809"/>
      <c r="BH285" s="809"/>
      <c r="BI285" s="809"/>
      <c r="BJ285" s="809"/>
      <c r="BK285" s="809"/>
      <c r="BL285" s="809"/>
      <c r="BM285" s="809"/>
      <c r="BN285" s="809"/>
    </row>
    <row r="286" spans="1:66">
      <c r="A286" s="809"/>
      <c r="B286" s="809"/>
      <c r="C286" s="809"/>
      <c r="D286" s="809"/>
      <c r="E286" s="809"/>
      <c r="F286" s="809"/>
      <c r="G286" s="809"/>
      <c r="H286" s="809"/>
      <c r="I286" s="809"/>
      <c r="J286" s="809"/>
      <c r="K286" s="809"/>
      <c r="L286" s="809"/>
      <c r="M286" s="809"/>
      <c r="N286" s="809"/>
      <c r="O286" s="809"/>
      <c r="P286" s="809"/>
      <c r="Q286" s="809"/>
      <c r="R286" s="809"/>
      <c r="S286" s="809"/>
      <c r="T286" s="809"/>
      <c r="U286" s="809"/>
      <c r="V286" s="809"/>
      <c r="W286" s="809"/>
      <c r="X286" s="809"/>
      <c r="Y286" s="809"/>
      <c r="Z286" s="809"/>
      <c r="AA286" s="809"/>
      <c r="AB286" s="809"/>
      <c r="AC286" s="809"/>
      <c r="AD286" s="809"/>
      <c r="AE286" s="809"/>
      <c r="AF286" s="809"/>
      <c r="AG286" s="809"/>
      <c r="AH286" s="809"/>
      <c r="AI286" s="809"/>
      <c r="AJ286" s="809"/>
      <c r="AK286" s="809"/>
      <c r="AL286" s="809"/>
      <c r="AM286" s="809"/>
      <c r="AN286" s="809"/>
      <c r="AO286" s="809"/>
      <c r="AP286" s="809"/>
      <c r="AQ286" s="809"/>
      <c r="AR286" s="809"/>
      <c r="AS286" s="809"/>
      <c r="AT286" s="809"/>
      <c r="AU286" s="809"/>
      <c r="AV286" s="809"/>
      <c r="AW286" s="809"/>
      <c r="AX286" s="809"/>
      <c r="AY286" s="809"/>
      <c r="AZ286" s="809"/>
      <c r="BA286" s="809"/>
      <c r="BB286" s="809"/>
      <c r="BC286" s="809"/>
      <c r="BD286" s="809"/>
      <c r="BE286" s="809"/>
      <c r="BF286" s="809"/>
      <c r="BG286" s="809"/>
      <c r="BH286" s="809"/>
      <c r="BI286" s="809"/>
      <c r="BJ286" s="809"/>
      <c r="BK286" s="809"/>
      <c r="BL286" s="809"/>
      <c r="BM286" s="809"/>
      <c r="BN286" s="809"/>
    </row>
    <row r="287" spans="1:66">
      <c r="A287" s="809"/>
      <c r="B287" s="809"/>
      <c r="C287" s="809"/>
      <c r="D287" s="809"/>
      <c r="E287" s="809"/>
      <c r="F287" s="809"/>
      <c r="G287" s="809"/>
      <c r="H287" s="809"/>
      <c r="I287" s="809"/>
      <c r="J287" s="809"/>
      <c r="K287" s="809"/>
      <c r="L287" s="809"/>
      <c r="M287" s="809"/>
      <c r="N287" s="809"/>
      <c r="O287" s="809"/>
      <c r="P287" s="809"/>
      <c r="Q287" s="809"/>
      <c r="R287" s="809"/>
      <c r="S287" s="809"/>
      <c r="T287" s="809"/>
      <c r="U287" s="809"/>
      <c r="V287" s="809"/>
      <c r="W287" s="809"/>
      <c r="X287" s="809"/>
      <c r="Y287" s="809"/>
      <c r="Z287" s="809"/>
      <c r="AA287" s="809"/>
      <c r="AB287" s="809"/>
      <c r="AC287" s="809"/>
      <c r="AD287" s="809"/>
      <c r="AE287" s="809"/>
      <c r="AF287" s="809"/>
      <c r="AG287" s="809"/>
      <c r="AH287" s="809"/>
      <c r="AI287" s="809"/>
      <c r="AJ287" s="809"/>
      <c r="AK287" s="809"/>
      <c r="AL287" s="809"/>
      <c r="AM287" s="809"/>
      <c r="AN287" s="809"/>
      <c r="AO287" s="809"/>
      <c r="AP287" s="809"/>
      <c r="AQ287" s="809"/>
      <c r="AR287" s="809"/>
      <c r="AS287" s="809"/>
      <c r="AT287" s="809"/>
      <c r="AU287" s="809"/>
      <c r="AV287" s="809"/>
      <c r="AW287" s="809"/>
      <c r="AX287" s="809"/>
      <c r="AY287" s="809"/>
      <c r="AZ287" s="809"/>
      <c r="BA287" s="809"/>
      <c r="BB287" s="809"/>
      <c r="BC287" s="809"/>
      <c r="BD287" s="809"/>
      <c r="BE287" s="809"/>
      <c r="BF287" s="809"/>
      <c r="BG287" s="809"/>
      <c r="BH287" s="809"/>
      <c r="BI287" s="809"/>
      <c r="BJ287" s="809"/>
      <c r="BK287" s="809"/>
      <c r="BL287" s="809"/>
      <c r="BM287" s="809"/>
      <c r="BN287" s="809"/>
    </row>
    <row r="288" spans="1:66">
      <c r="O288" s="809"/>
      <c r="P288" s="809"/>
      <c r="Q288" s="809"/>
      <c r="R288" s="809"/>
      <c r="S288" s="809"/>
      <c r="T288" s="809"/>
      <c r="U288" s="809"/>
      <c r="V288" s="809"/>
      <c r="W288" s="809"/>
      <c r="X288" s="809"/>
      <c r="Y288" s="809"/>
      <c r="Z288" s="809"/>
      <c r="AA288" s="809"/>
      <c r="AB288" s="809"/>
      <c r="AC288" s="809"/>
      <c r="AD288" s="809"/>
      <c r="AE288" s="809"/>
      <c r="AF288" s="809"/>
      <c r="AG288" s="809"/>
      <c r="AH288" s="809"/>
      <c r="AI288" s="809"/>
      <c r="AJ288" s="809"/>
      <c r="AK288" s="809"/>
      <c r="AL288" s="809"/>
      <c r="AM288" s="809"/>
      <c r="AN288" s="809"/>
      <c r="AO288" s="809"/>
      <c r="AP288" s="809"/>
      <c r="AQ288" s="809"/>
      <c r="AR288" s="809"/>
      <c r="AS288" s="809"/>
      <c r="AT288" s="809"/>
      <c r="AU288" s="809"/>
      <c r="AV288" s="809"/>
      <c r="AW288" s="809"/>
      <c r="AX288" s="809"/>
      <c r="AY288" s="809"/>
      <c r="AZ288" s="809"/>
      <c r="BA288" s="809"/>
      <c r="BB288" s="809"/>
      <c r="BC288" s="809"/>
      <c r="BD288" s="809"/>
      <c r="BE288" s="809"/>
      <c r="BF288" s="809"/>
      <c r="BG288" s="809"/>
      <c r="BH288" s="809"/>
      <c r="BI288" s="809"/>
      <c r="BJ288" s="809"/>
      <c r="BK288" s="809"/>
      <c r="BL288" s="809"/>
      <c r="BM288" s="809"/>
      <c r="BN288" s="809"/>
    </row>
    <row r="289" spans="15:66">
      <c r="O289" s="809"/>
      <c r="P289" s="809"/>
      <c r="Q289" s="809"/>
      <c r="R289" s="809"/>
      <c r="S289" s="809"/>
      <c r="T289" s="809"/>
      <c r="U289" s="809"/>
      <c r="V289" s="809"/>
      <c r="W289" s="809"/>
      <c r="X289" s="809"/>
      <c r="Y289" s="809"/>
      <c r="Z289" s="809"/>
      <c r="AA289" s="809"/>
      <c r="AB289" s="809"/>
      <c r="AC289" s="809"/>
      <c r="AD289" s="809"/>
      <c r="AE289" s="809"/>
      <c r="AF289" s="809"/>
      <c r="AG289" s="809"/>
      <c r="AH289" s="809"/>
      <c r="AI289" s="809"/>
      <c r="AJ289" s="809"/>
      <c r="AK289" s="809"/>
      <c r="AL289" s="809"/>
      <c r="AM289" s="809"/>
      <c r="AN289" s="809"/>
      <c r="AO289" s="809"/>
      <c r="AP289" s="809"/>
      <c r="AQ289" s="809"/>
      <c r="AR289" s="809"/>
      <c r="AS289" s="809"/>
      <c r="AT289" s="809"/>
      <c r="AU289" s="809"/>
      <c r="AV289" s="809"/>
      <c r="AW289" s="809"/>
      <c r="AX289" s="809"/>
      <c r="AY289" s="809"/>
      <c r="AZ289" s="809"/>
      <c r="BA289" s="809"/>
      <c r="BB289" s="809"/>
      <c r="BC289" s="809"/>
      <c r="BD289" s="809"/>
      <c r="BE289" s="809"/>
      <c r="BF289" s="809"/>
      <c r="BG289" s="809"/>
      <c r="BH289" s="809"/>
      <c r="BI289" s="809"/>
      <c r="BJ289" s="809"/>
      <c r="BK289" s="809"/>
      <c r="BL289" s="809"/>
      <c r="BM289" s="809"/>
      <c r="BN289" s="809"/>
    </row>
    <row r="290" spans="15:66">
      <c r="O290" s="809"/>
      <c r="P290" s="809"/>
      <c r="Q290" s="809"/>
      <c r="R290" s="809"/>
      <c r="S290" s="809"/>
      <c r="T290" s="809"/>
      <c r="U290" s="809"/>
      <c r="V290" s="809"/>
      <c r="W290" s="809"/>
      <c r="X290" s="809"/>
      <c r="Y290" s="809"/>
      <c r="Z290" s="809"/>
      <c r="AA290" s="809"/>
      <c r="AB290" s="809"/>
      <c r="AC290" s="809"/>
      <c r="AD290" s="809"/>
      <c r="AE290" s="809"/>
      <c r="AF290" s="809"/>
      <c r="AG290" s="809"/>
      <c r="AH290" s="809"/>
      <c r="AI290" s="809"/>
      <c r="AJ290" s="809"/>
      <c r="AK290" s="809"/>
      <c r="AL290" s="809"/>
      <c r="AM290" s="809"/>
      <c r="AN290" s="809"/>
      <c r="AO290" s="809"/>
      <c r="AP290" s="809"/>
      <c r="AQ290" s="809"/>
      <c r="AR290" s="809"/>
      <c r="AS290" s="809"/>
      <c r="AT290" s="809"/>
      <c r="AU290" s="809"/>
      <c r="AV290" s="809"/>
      <c r="AW290" s="809"/>
      <c r="AX290" s="809"/>
      <c r="AY290" s="809"/>
      <c r="AZ290" s="809"/>
      <c r="BA290" s="809"/>
      <c r="BB290" s="809"/>
      <c r="BC290" s="809"/>
      <c r="BD290" s="809"/>
      <c r="BE290" s="809"/>
      <c r="BF290" s="809"/>
      <c r="BG290" s="809"/>
      <c r="BH290" s="809"/>
      <c r="BI290" s="809"/>
      <c r="BJ290" s="809"/>
      <c r="BK290" s="809"/>
      <c r="BL290" s="809"/>
      <c r="BM290" s="809"/>
      <c r="BN290" s="809"/>
    </row>
    <row r="291" spans="15:66">
      <c r="O291" s="809"/>
      <c r="P291" s="809"/>
      <c r="Q291" s="809"/>
      <c r="R291" s="809"/>
      <c r="S291" s="809"/>
      <c r="T291" s="809"/>
      <c r="U291" s="809"/>
      <c r="V291" s="809"/>
      <c r="W291" s="809"/>
      <c r="X291" s="809"/>
      <c r="Y291" s="809"/>
      <c r="Z291" s="809"/>
      <c r="AA291" s="809"/>
      <c r="AB291" s="809"/>
      <c r="AC291" s="809"/>
      <c r="AD291" s="809"/>
      <c r="AE291" s="809"/>
      <c r="AF291" s="809"/>
      <c r="AG291" s="809"/>
      <c r="AH291" s="809"/>
      <c r="AI291" s="809"/>
      <c r="AJ291" s="809"/>
      <c r="AK291" s="809"/>
      <c r="AL291" s="809"/>
      <c r="AM291" s="809"/>
      <c r="AN291" s="809"/>
      <c r="AO291" s="809"/>
      <c r="AP291" s="809"/>
      <c r="AQ291" s="809"/>
      <c r="AR291" s="809"/>
      <c r="AS291" s="809"/>
      <c r="AT291" s="809"/>
      <c r="AU291" s="809"/>
      <c r="AV291" s="809"/>
      <c r="AW291" s="809"/>
      <c r="AX291" s="809"/>
      <c r="AY291" s="809"/>
      <c r="AZ291" s="809"/>
      <c r="BA291" s="809"/>
      <c r="BB291" s="809"/>
      <c r="BC291" s="809"/>
      <c r="BD291" s="809"/>
      <c r="BE291" s="809"/>
      <c r="BF291" s="809"/>
      <c r="BG291" s="809"/>
      <c r="BH291" s="809"/>
      <c r="BI291" s="809"/>
      <c r="BJ291" s="809"/>
      <c r="BK291" s="809"/>
      <c r="BL291" s="809"/>
      <c r="BM291" s="809"/>
      <c r="BN291" s="809"/>
    </row>
    <row r="292" spans="15:66">
      <c r="O292" s="809"/>
      <c r="P292" s="809"/>
      <c r="Q292" s="809"/>
      <c r="R292" s="809"/>
      <c r="S292" s="809"/>
      <c r="T292" s="809"/>
      <c r="U292" s="809"/>
      <c r="V292" s="809"/>
      <c r="W292" s="809"/>
      <c r="X292" s="809"/>
      <c r="Y292" s="809"/>
      <c r="Z292" s="809"/>
      <c r="AA292" s="809"/>
      <c r="AB292" s="809"/>
      <c r="AC292" s="809"/>
      <c r="AD292" s="809"/>
      <c r="AE292" s="809"/>
      <c r="AF292" s="809"/>
      <c r="AG292" s="809"/>
      <c r="AH292" s="809"/>
      <c r="AI292" s="809"/>
      <c r="AJ292" s="809"/>
      <c r="AK292" s="809"/>
      <c r="AL292" s="809"/>
      <c r="AM292" s="809"/>
      <c r="AN292" s="809"/>
      <c r="AO292" s="809"/>
      <c r="AP292" s="809"/>
      <c r="AQ292" s="809"/>
      <c r="AR292" s="809"/>
      <c r="AS292" s="809"/>
      <c r="AT292" s="809"/>
      <c r="AU292" s="809"/>
      <c r="AV292" s="809"/>
      <c r="AW292" s="809"/>
      <c r="AX292" s="809"/>
      <c r="AY292" s="809"/>
      <c r="AZ292" s="809"/>
      <c r="BA292" s="809"/>
      <c r="BB292" s="809"/>
      <c r="BC292" s="809"/>
      <c r="BD292" s="809"/>
      <c r="BE292" s="809"/>
      <c r="BF292" s="809"/>
      <c r="BG292" s="809"/>
      <c r="BH292" s="809"/>
      <c r="BI292" s="809"/>
      <c r="BJ292" s="809"/>
      <c r="BK292" s="809"/>
      <c r="BL292" s="809"/>
      <c r="BM292" s="809"/>
      <c r="BN292" s="809"/>
    </row>
    <row r="293" spans="15:66">
      <c r="O293" s="809"/>
      <c r="P293" s="809"/>
      <c r="Q293" s="809"/>
      <c r="R293" s="809"/>
      <c r="S293" s="809"/>
      <c r="T293" s="809"/>
      <c r="U293" s="809"/>
      <c r="V293" s="809"/>
      <c r="W293" s="809"/>
      <c r="X293" s="809"/>
      <c r="Y293" s="809"/>
      <c r="Z293" s="809"/>
      <c r="AA293" s="809"/>
      <c r="AB293" s="809"/>
      <c r="AC293" s="809"/>
      <c r="AD293" s="809"/>
      <c r="AE293" s="809"/>
      <c r="AF293" s="809"/>
      <c r="AG293" s="809"/>
      <c r="AH293" s="809"/>
      <c r="AI293" s="809"/>
      <c r="AJ293" s="809"/>
      <c r="AK293" s="809"/>
      <c r="AL293" s="809"/>
      <c r="AM293" s="809"/>
      <c r="AN293" s="809"/>
      <c r="AO293" s="809"/>
      <c r="AP293" s="809"/>
      <c r="AQ293" s="809"/>
      <c r="AR293" s="809"/>
      <c r="AS293" s="809"/>
      <c r="AT293" s="809"/>
      <c r="AU293" s="809"/>
      <c r="AV293" s="809"/>
      <c r="AW293" s="809"/>
      <c r="AX293" s="809"/>
      <c r="AY293" s="809"/>
      <c r="AZ293" s="809"/>
      <c r="BA293" s="809"/>
      <c r="BB293" s="809"/>
      <c r="BC293" s="809"/>
      <c r="BD293" s="809"/>
      <c r="BE293" s="809"/>
      <c r="BF293" s="809"/>
      <c r="BG293" s="809"/>
      <c r="BH293" s="809"/>
      <c r="BI293" s="809"/>
      <c r="BJ293" s="809"/>
      <c r="BK293" s="809"/>
      <c r="BL293" s="809"/>
      <c r="BM293" s="809"/>
      <c r="BN293" s="809"/>
    </row>
    <row r="294" spans="15:66">
      <c r="O294" s="809"/>
      <c r="P294" s="809"/>
      <c r="Q294" s="809"/>
      <c r="R294" s="809"/>
      <c r="S294" s="809"/>
      <c r="T294" s="809"/>
      <c r="U294" s="809"/>
      <c r="V294" s="809"/>
      <c r="W294" s="809"/>
      <c r="X294" s="809"/>
      <c r="Y294" s="809"/>
      <c r="Z294" s="809"/>
      <c r="AA294" s="809"/>
      <c r="AB294" s="809"/>
      <c r="AC294" s="809"/>
      <c r="AD294" s="809"/>
      <c r="AE294" s="809"/>
      <c r="AF294" s="809"/>
      <c r="AG294" s="809"/>
      <c r="AH294" s="809"/>
      <c r="AI294" s="809"/>
      <c r="AJ294" s="809"/>
      <c r="AK294" s="809"/>
      <c r="AL294" s="809"/>
      <c r="AM294" s="809"/>
      <c r="AN294" s="809"/>
      <c r="AO294" s="809"/>
      <c r="AP294" s="809"/>
      <c r="AQ294" s="809"/>
      <c r="AR294" s="809"/>
      <c r="AS294" s="809"/>
      <c r="AT294" s="809"/>
      <c r="AU294" s="809"/>
      <c r="AV294" s="809"/>
      <c r="AW294" s="809"/>
      <c r="AX294" s="809"/>
      <c r="AY294" s="809"/>
      <c r="AZ294" s="809"/>
      <c r="BA294" s="809"/>
      <c r="BB294" s="809"/>
      <c r="BC294" s="809"/>
      <c r="BD294" s="809"/>
      <c r="BE294" s="809"/>
      <c r="BF294" s="809"/>
      <c r="BG294" s="809"/>
      <c r="BH294" s="809"/>
      <c r="BI294" s="809"/>
      <c r="BJ294" s="809"/>
      <c r="BK294" s="809"/>
      <c r="BL294" s="809"/>
      <c r="BM294" s="809"/>
      <c r="BN294" s="809"/>
    </row>
    <row r="295" spans="15:66">
      <c r="O295" s="809"/>
      <c r="P295" s="809"/>
      <c r="Q295" s="809"/>
      <c r="R295" s="809"/>
      <c r="S295" s="809"/>
      <c r="T295" s="809"/>
      <c r="U295" s="809"/>
      <c r="V295" s="809"/>
      <c r="W295" s="809"/>
      <c r="X295" s="809"/>
      <c r="Y295" s="809"/>
      <c r="Z295" s="809"/>
      <c r="AA295" s="809"/>
      <c r="AB295" s="809"/>
      <c r="AC295" s="809"/>
      <c r="AD295" s="809"/>
      <c r="AE295" s="809"/>
      <c r="AF295" s="809"/>
      <c r="AG295" s="809"/>
      <c r="AH295" s="809"/>
      <c r="AI295" s="809"/>
      <c r="AJ295" s="809"/>
      <c r="AK295" s="809"/>
      <c r="AL295" s="809"/>
      <c r="AM295" s="809"/>
      <c r="AN295" s="809"/>
      <c r="AO295" s="809"/>
      <c r="AP295" s="809"/>
      <c r="AQ295" s="809"/>
      <c r="AR295" s="809"/>
      <c r="AS295" s="809"/>
      <c r="AT295" s="809"/>
      <c r="AU295" s="809"/>
      <c r="AV295" s="809"/>
      <c r="AW295" s="809"/>
      <c r="AX295" s="809"/>
      <c r="AY295" s="809"/>
      <c r="AZ295" s="809"/>
      <c r="BA295" s="809"/>
      <c r="BB295" s="809"/>
      <c r="BC295" s="809"/>
      <c r="BD295" s="809"/>
      <c r="BE295" s="809"/>
      <c r="BF295" s="809"/>
      <c r="BG295" s="809"/>
      <c r="BH295" s="809"/>
      <c r="BI295" s="809"/>
      <c r="BJ295" s="809"/>
      <c r="BK295" s="809"/>
      <c r="BL295" s="809"/>
      <c r="BM295" s="809"/>
      <c r="BN295" s="809"/>
    </row>
    <row r="296" spans="15:66">
      <c r="O296" s="809"/>
      <c r="P296" s="809"/>
      <c r="Q296" s="809"/>
      <c r="R296" s="809"/>
      <c r="S296" s="809"/>
      <c r="T296" s="809"/>
      <c r="U296" s="809"/>
      <c r="V296" s="809"/>
      <c r="W296" s="809"/>
      <c r="X296" s="809"/>
      <c r="Y296" s="809"/>
      <c r="Z296" s="809"/>
      <c r="AA296" s="809"/>
      <c r="AB296" s="809"/>
      <c r="AC296" s="809"/>
      <c r="AD296" s="809"/>
      <c r="AE296" s="809"/>
      <c r="AF296" s="809"/>
      <c r="AG296" s="809"/>
      <c r="AH296" s="809"/>
      <c r="AI296" s="809"/>
      <c r="AJ296" s="809"/>
      <c r="AK296" s="809"/>
      <c r="AL296" s="809"/>
      <c r="AM296" s="809"/>
      <c r="AN296" s="809"/>
      <c r="AO296" s="809"/>
      <c r="AP296" s="809"/>
      <c r="AQ296" s="809"/>
      <c r="AR296" s="809"/>
      <c r="AS296" s="809"/>
      <c r="AT296" s="809"/>
      <c r="AU296" s="809"/>
      <c r="AV296" s="809"/>
      <c r="AW296" s="809"/>
      <c r="AX296" s="809"/>
      <c r="AY296" s="809"/>
      <c r="AZ296" s="809"/>
      <c r="BA296" s="809"/>
      <c r="BB296" s="809"/>
      <c r="BC296" s="809"/>
      <c r="BD296" s="809"/>
      <c r="BE296" s="809"/>
      <c r="BF296" s="809"/>
      <c r="BG296" s="809"/>
      <c r="BH296" s="809"/>
      <c r="BI296" s="809"/>
      <c r="BJ296" s="809"/>
      <c r="BK296" s="809"/>
      <c r="BL296" s="809"/>
      <c r="BM296" s="809"/>
      <c r="BN296" s="809"/>
    </row>
    <row r="297" spans="15:66">
      <c r="O297" s="809"/>
      <c r="P297" s="809"/>
      <c r="Q297" s="809"/>
      <c r="R297" s="809"/>
      <c r="S297" s="809"/>
      <c r="T297" s="809"/>
      <c r="U297" s="809"/>
      <c r="V297" s="809"/>
      <c r="W297" s="809"/>
      <c r="X297" s="809"/>
      <c r="Y297" s="809"/>
      <c r="Z297" s="809"/>
      <c r="AA297" s="809"/>
      <c r="AB297" s="809"/>
      <c r="AC297" s="809"/>
      <c r="AD297" s="809"/>
      <c r="AE297" s="809"/>
      <c r="AF297" s="809"/>
      <c r="AG297" s="809"/>
      <c r="AH297" s="809"/>
      <c r="AI297" s="809"/>
      <c r="AJ297" s="809"/>
      <c r="AK297" s="809"/>
      <c r="AL297" s="809"/>
      <c r="AM297" s="809"/>
      <c r="AN297" s="809"/>
      <c r="AO297" s="809"/>
      <c r="AP297" s="809"/>
      <c r="AQ297" s="809"/>
      <c r="AR297" s="809"/>
      <c r="AS297" s="809"/>
      <c r="AT297" s="809"/>
      <c r="AU297" s="809"/>
      <c r="AV297" s="809"/>
      <c r="AW297" s="809"/>
      <c r="AX297" s="809"/>
      <c r="AY297" s="809"/>
      <c r="AZ297" s="809"/>
      <c r="BA297" s="809"/>
      <c r="BB297" s="809"/>
      <c r="BC297" s="809"/>
      <c r="BD297" s="809"/>
      <c r="BE297" s="809"/>
      <c r="BF297" s="809"/>
      <c r="BG297" s="809"/>
      <c r="BH297" s="809"/>
      <c r="BI297" s="809"/>
      <c r="BJ297" s="809"/>
      <c r="BK297" s="809"/>
      <c r="BL297" s="809"/>
      <c r="BM297" s="809"/>
      <c r="BN297" s="809"/>
    </row>
    <row r="298" spans="15:66">
      <c r="O298" s="809"/>
      <c r="P298" s="809"/>
      <c r="Q298" s="809"/>
      <c r="R298" s="809"/>
      <c r="S298" s="809"/>
      <c r="T298" s="809"/>
      <c r="U298" s="809"/>
      <c r="V298" s="809"/>
      <c r="W298" s="809"/>
      <c r="X298" s="809"/>
      <c r="Y298" s="809"/>
      <c r="Z298" s="809"/>
      <c r="AA298" s="809"/>
      <c r="AB298" s="809"/>
      <c r="AC298" s="809"/>
      <c r="AD298" s="809"/>
      <c r="AE298" s="809"/>
      <c r="AF298" s="809"/>
      <c r="AG298" s="809"/>
      <c r="AH298" s="809"/>
      <c r="AI298" s="809"/>
      <c r="AJ298" s="809"/>
      <c r="AK298" s="809"/>
      <c r="AL298" s="809"/>
      <c r="AM298" s="809"/>
      <c r="AN298" s="809"/>
      <c r="AO298" s="809"/>
      <c r="AP298" s="809"/>
      <c r="AQ298" s="809"/>
      <c r="AR298" s="809"/>
      <c r="AS298" s="809"/>
      <c r="AT298" s="809"/>
      <c r="AU298" s="809"/>
      <c r="AV298" s="809"/>
      <c r="AW298" s="809"/>
      <c r="AX298" s="809"/>
      <c r="AY298" s="809"/>
      <c r="AZ298" s="809"/>
      <c r="BA298" s="809"/>
      <c r="BB298" s="809"/>
      <c r="BC298" s="809"/>
      <c r="BD298" s="809"/>
      <c r="BE298" s="809"/>
      <c r="BF298" s="809"/>
      <c r="BG298" s="809"/>
      <c r="BH298" s="809"/>
      <c r="BI298" s="809"/>
      <c r="BJ298" s="809"/>
      <c r="BK298" s="809"/>
      <c r="BL298" s="809"/>
      <c r="BM298" s="809"/>
      <c r="BN298" s="809"/>
    </row>
    <row r="299" spans="15:66">
      <c r="O299" s="809"/>
      <c r="P299" s="809"/>
      <c r="Q299" s="809"/>
      <c r="R299" s="809"/>
      <c r="S299" s="809"/>
      <c r="T299" s="809"/>
      <c r="U299" s="809"/>
      <c r="V299" s="809"/>
      <c r="W299" s="809"/>
      <c r="X299" s="809"/>
      <c r="Y299" s="809"/>
      <c r="Z299" s="809"/>
      <c r="AA299" s="809"/>
      <c r="AB299" s="809"/>
      <c r="AC299" s="809"/>
      <c r="AD299" s="809"/>
      <c r="AE299" s="809"/>
      <c r="AF299" s="809"/>
      <c r="AG299" s="809"/>
      <c r="AH299" s="809"/>
      <c r="AI299" s="809"/>
      <c r="AJ299" s="809"/>
      <c r="AK299" s="809"/>
      <c r="AL299" s="809"/>
      <c r="AM299" s="809"/>
      <c r="AN299" s="809"/>
      <c r="AO299" s="809"/>
      <c r="AP299" s="809"/>
      <c r="AQ299" s="809"/>
      <c r="AR299" s="809"/>
      <c r="AS299" s="809"/>
      <c r="AT299" s="809"/>
      <c r="AU299" s="809"/>
      <c r="AV299" s="809"/>
      <c r="AW299" s="809"/>
      <c r="AX299" s="809"/>
      <c r="AY299" s="809"/>
      <c r="AZ299" s="809"/>
      <c r="BA299" s="809"/>
      <c r="BB299" s="809"/>
      <c r="BC299" s="809"/>
      <c r="BD299" s="809"/>
      <c r="BE299" s="809"/>
      <c r="BF299" s="809"/>
      <c r="BG299" s="809"/>
      <c r="BH299" s="809"/>
      <c r="BI299" s="809"/>
      <c r="BJ299" s="809"/>
      <c r="BK299" s="809"/>
      <c r="BL299" s="809"/>
      <c r="BM299" s="809"/>
      <c r="BN299" s="809"/>
    </row>
    <row r="300" spans="15:66">
      <c r="O300" s="809"/>
      <c r="P300" s="809"/>
      <c r="Q300" s="809"/>
      <c r="R300" s="809"/>
      <c r="S300" s="809"/>
      <c r="T300" s="809"/>
      <c r="U300" s="809"/>
      <c r="V300" s="809"/>
      <c r="W300" s="809"/>
      <c r="X300" s="809"/>
      <c r="Y300" s="809"/>
      <c r="Z300" s="809"/>
      <c r="AA300" s="809"/>
      <c r="AB300" s="809"/>
      <c r="AC300" s="809"/>
      <c r="AD300" s="809"/>
      <c r="AE300" s="809"/>
      <c r="AF300" s="809"/>
      <c r="AG300" s="809"/>
      <c r="AH300" s="809"/>
      <c r="AI300" s="809"/>
      <c r="AJ300" s="809"/>
      <c r="AK300" s="809"/>
      <c r="AL300" s="809"/>
      <c r="AM300" s="809"/>
      <c r="AN300" s="809"/>
      <c r="AO300" s="809"/>
      <c r="AP300" s="809"/>
      <c r="AQ300" s="809"/>
      <c r="AR300" s="809"/>
      <c r="AS300" s="809"/>
      <c r="AT300" s="809"/>
      <c r="AU300" s="809"/>
      <c r="AV300" s="809"/>
      <c r="AW300" s="809"/>
      <c r="AX300" s="809"/>
      <c r="AY300" s="809"/>
      <c r="AZ300" s="809"/>
      <c r="BA300" s="809"/>
      <c r="BB300" s="809"/>
      <c r="BC300" s="809"/>
      <c r="BD300" s="809"/>
      <c r="BE300" s="809"/>
      <c r="BF300" s="809"/>
      <c r="BG300" s="809"/>
      <c r="BH300" s="809"/>
      <c r="BI300" s="809"/>
      <c r="BJ300" s="809"/>
      <c r="BK300" s="809"/>
      <c r="BL300" s="809"/>
      <c r="BM300" s="809"/>
      <c r="BN300" s="809"/>
    </row>
    <row r="301" spans="15:66">
      <c r="O301" s="809"/>
      <c r="P301" s="809"/>
      <c r="Q301" s="809"/>
      <c r="R301" s="809"/>
      <c r="S301" s="809"/>
      <c r="T301" s="809"/>
      <c r="U301" s="809"/>
      <c r="V301" s="809"/>
      <c r="W301" s="809"/>
      <c r="X301" s="809"/>
      <c r="Y301" s="809"/>
      <c r="Z301" s="809"/>
      <c r="AA301" s="809"/>
      <c r="AB301" s="809"/>
      <c r="AC301" s="809"/>
      <c r="AD301" s="809"/>
      <c r="AE301" s="809"/>
      <c r="AF301" s="809"/>
      <c r="AG301" s="809"/>
      <c r="AH301" s="809"/>
      <c r="AI301" s="809"/>
      <c r="AJ301" s="809"/>
      <c r="AK301" s="809"/>
      <c r="AL301" s="809"/>
      <c r="AM301" s="809"/>
      <c r="AN301" s="809"/>
      <c r="AO301" s="809"/>
      <c r="AP301" s="809"/>
      <c r="AQ301" s="809"/>
      <c r="AR301" s="809"/>
      <c r="AS301" s="809"/>
      <c r="AT301" s="809"/>
      <c r="AU301" s="809"/>
      <c r="AV301" s="809"/>
      <c r="AW301" s="809"/>
      <c r="AX301" s="809"/>
      <c r="AY301" s="809"/>
      <c r="AZ301" s="809"/>
      <c r="BA301" s="809"/>
      <c r="BB301" s="809"/>
      <c r="BC301" s="809"/>
      <c r="BD301" s="809"/>
      <c r="BE301" s="809"/>
      <c r="BF301" s="809"/>
      <c r="BG301" s="809"/>
      <c r="BH301" s="809"/>
      <c r="BI301" s="809"/>
      <c r="BJ301" s="809"/>
      <c r="BK301" s="809"/>
      <c r="BL301" s="809"/>
      <c r="BM301" s="809"/>
      <c r="BN301" s="809"/>
    </row>
    <row r="302" spans="15:66">
      <c r="O302" s="809"/>
      <c r="P302" s="809"/>
      <c r="Q302" s="809"/>
      <c r="R302" s="809"/>
      <c r="S302" s="809"/>
      <c r="T302" s="809"/>
      <c r="U302" s="809"/>
      <c r="V302" s="809"/>
      <c r="W302" s="809"/>
      <c r="X302" s="809"/>
      <c r="Y302" s="809"/>
      <c r="Z302" s="809"/>
      <c r="AA302" s="809"/>
      <c r="AB302" s="809"/>
      <c r="AC302" s="809"/>
      <c r="AD302" s="809"/>
      <c r="AE302" s="809"/>
      <c r="AF302" s="809"/>
      <c r="AG302" s="809"/>
      <c r="AH302" s="809"/>
      <c r="AI302" s="809"/>
      <c r="AJ302" s="809"/>
      <c r="AK302" s="809"/>
      <c r="AL302" s="809"/>
      <c r="AM302" s="809"/>
      <c r="AN302" s="809"/>
      <c r="AO302" s="809"/>
      <c r="AP302" s="809"/>
      <c r="AQ302" s="809"/>
      <c r="AR302" s="809"/>
      <c r="AS302" s="809"/>
      <c r="AT302" s="809"/>
      <c r="AU302" s="809"/>
      <c r="AV302" s="809"/>
      <c r="AW302" s="809"/>
      <c r="AX302" s="809"/>
      <c r="AY302" s="809"/>
      <c r="AZ302" s="809"/>
      <c r="BA302" s="809"/>
      <c r="BB302" s="809"/>
      <c r="BC302" s="809"/>
      <c r="BD302" s="809"/>
      <c r="BE302" s="809"/>
      <c r="BF302" s="809"/>
      <c r="BG302" s="809"/>
      <c r="BH302" s="809"/>
      <c r="BI302" s="809"/>
      <c r="BJ302" s="809"/>
      <c r="BK302" s="809"/>
      <c r="BL302" s="809"/>
      <c r="BM302" s="809"/>
      <c r="BN302" s="809"/>
    </row>
    <row r="303" spans="15:66">
      <c r="O303" s="809"/>
      <c r="P303" s="809"/>
      <c r="Q303" s="809"/>
      <c r="R303" s="809"/>
      <c r="S303" s="809"/>
      <c r="T303" s="809"/>
      <c r="U303" s="809"/>
      <c r="V303" s="809"/>
      <c r="W303" s="809"/>
      <c r="X303" s="809"/>
      <c r="Y303" s="809"/>
      <c r="Z303" s="809"/>
      <c r="AA303" s="809"/>
      <c r="AB303" s="809"/>
      <c r="AC303" s="809"/>
      <c r="AD303" s="809"/>
      <c r="AE303" s="809"/>
      <c r="AF303" s="809"/>
      <c r="AG303" s="809"/>
      <c r="AH303" s="809"/>
      <c r="AI303" s="809"/>
      <c r="AJ303" s="809"/>
      <c r="AK303" s="809"/>
      <c r="AL303" s="809"/>
      <c r="AM303" s="809"/>
      <c r="AN303" s="809"/>
      <c r="AO303" s="809"/>
      <c r="AP303" s="809"/>
      <c r="AQ303" s="809"/>
      <c r="AR303" s="809"/>
      <c r="AS303" s="809"/>
      <c r="AT303" s="809"/>
      <c r="AU303" s="809"/>
      <c r="AV303" s="809"/>
      <c r="AW303" s="809"/>
      <c r="AX303" s="809"/>
      <c r="AY303" s="809"/>
      <c r="AZ303" s="809"/>
      <c r="BA303" s="809"/>
      <c r="BB303" s="809"/>
      <c r="BC303" s="809"/>
      <c r="BD303" s="809"/>
      <c r="BE303" s="809"/>
      <c r="BF303" s="809"/>
      <c r="BG303" s="809"/>
      <c r="BH303" s="809"/>
      <c r="BI303" s="809"/>
      <c r="BJ303" s="809"/>
      <c r="BK303" s="809"/>
      <c r="BL303" s="809"/>
      <c r="BM303" s="809"/>
      <c r="BN303" s="809"/>
    </row>
    <row r="304" spans="15:66">
      <c r="O304" s="809"/>
      <c r="P304" s="809"/>
      <c r="Q304" s="809"/>
      <c r="R304" s="809"/>
      <c r="S304" s="809"/>
      <c r="T304" s="809"/>
      <c r="U304" s="809"/>
      <c r="V304" s="809"/>
      <c r="W304" s="809"/>
      <c r="X304" s="809"/>
      <c r="Y304" s="809"/>
      <c r="Z304" s="809"/>
      <c r="AA304" s="809"/>
      <c r="AB304" s="809"/>
      <c r="AC304" s="809"/>
      <c r="AD304" s="809"/>
      <c r="AE304" s="809"/>
      <c r="AF304" s="809"/>
      <c r="AG304" s="809"/>
      <c r="AH304" s="809"/>
      <c r="AI304" s="809"/>
      <c r="AJ304" s="809"/>
      <c r="AK304" s="809"/>
      <c r="AL304" s="809"/>
      <c r="AM304" s="809"/>
      <c r="AN304" s="809"/>
      <c r="AO304" s="809"/>
      <c r="AP304" s="809"/>
      <c r="AQ304" s="809"/>
      <c r="AR304" s="809"/>
      <c r="AS304" s="809"/>
      <c r="AT304" s="809"/>
      <c r="AU304" s="809"/>
      <c r="AV304" s="809"/>
      <c r="AW304" s="809"/>
      <c r="AX304" s="809"/>
      <c r="AY304" s="809"/>
      <c r="AZ304" s="809"/>
      <c r="BA304" s="809"/>
      <c r="BB304" s="809"/>
      <c r="BC304" s="809"/>
      <c r="BD304" s="809"/>
      <c r="BE304" s="809"/>
      <c r="BF304" s="809"/>
      <c r="BG304" s="809"/>
      <c r="BH304" s="809"/>
      <c r="BI304" s="809"/>
      <c r="BJ304" s="809"/>
      <c r="BK304" s="809"/>
      <c r="BL304" s="809"/>
      <c r="BM304" s="809"/>
      <c r="BN304" s="809"/>
    </row>
    <row r="305" spans="1:66">
      <c r="O305" s="809"/>
      <c r="P305" s="809"/>
      <c r="Q305" s="809"/>
      <c r="R305" s="809"/>
      <c r="S305" s="809"/>
      <c r="T305" s="809"/>
      <c r="U305" s="809"/>
      <c r="V305" s="809"/>
      <c r="W305" s="809"/>
      <c r="X305" s="809"/>
      <c r="Y305" s="809"/>
      <c r="Z305" s="809"/>
      <c r="AA305" s="809"/>
      <c r="AB305" s="809"/>
      <c r="AC305" s="809"/>
      <c r="AD305" s="809"/>
      <c r="AE305" s="809"/>
      <c r="AF305" s="809"/>
      <c r="AG305" s="809"/>
      <c r="AH305" s="809"/>
      <c r="AI305" s="809"/>
      <c r="AJ305" s="809"/>
      <c r="AK305" s="809"/>
      <c r="AL305" s="809"/>
      <c r="AM305" s="809"/>
      <c r="AN305" s="809"/>
      <c r="AO305" s="809"/>
      <c r="AP305" s="809"/>
      <c r="AQ305" s="809"/>
      <c r="AR305" s="809"/>
      <c r="AS305" s="809"/>
      <c r="AT305" s="809"/>
      <c r="AU305" s="809"/>
      <c r="AV305" s="809"/>
      <c r="AW305" s="809"/>
      <c r="AX305" s="809"/>
      <c r="AY305" s="809"/>
      <c r="AZ305" s="809"/>
      <c r="BA305" s="809"/>
      <c r="BB305" s="809"/>
      <c r="BC305" s="809"/>
      <c r="BD305" s="809"/>
      <c r="BE305" s="809"/>
      <c r="BF305" s="809"/>
      <c r="BG305" s="809"/>
      <c r="BH305" s="809"/>
      <c r="BI305" s="809"/>
      <c r="BJ305" s="809"/>
      <c r="BK305" s="809"/>
      <c r="BL305" s="809"/>
      <c r="BM305" s="809"/>
      <c r="BN305" s="809"/>
    </row>
    <row r="306" spans="1:66">
      <c r="O306" s="809"/>
      <c r="P306" s="809"/>
      <c r="Q306" s="809"/>
      <c r="R306" s="809"/>
      <c r="S306" s="809"/>
      <c r="T306" s="809"/>
      <c r="U306" s="809"/>
      <c r="V306" s="809"/>
      <c r="W306" s="809"/>
      <c r="X306" s="809"/>
      <c r="Y306" s="809"/>
      <c r="Z306" s="809"/>
      <c r="AA306" s="809"/>
      <c r="AB306" s="809"/>
      <c r="AC306" s="809"/>
      <c r="AD306" s="809"/>
      <c r="AE306" s="809"/>
      <c r="AF306" s="809"/>
      <c r="AG306" s="809"/>
      <c r="AH306" s="809"/>
      <c r="AI306" s="809"/>
      <c r="AJ306" s="809"/>
      <c r="AK306" s="809"/>
      <c r="AL306" s="809"/>
      <c r="AM306" s="809"/>
      <c r="AN306" s="809"/>
      <c r="AO306" s="809"/>
      <c r="AP306" s="809"/>
      <c r="AQ306" s="809"/>
      <c r="AR306" s="809"/>
      <c r="AS306" s="809"/>
      <c r="AT306" s="809"/>
      <c r="AU306" s="809"/>
      <c r="AV306" s="809"/>
      <c r="AW306" s="809"/>
      <c r="AX306" s="809"/>
      <c r="AY306" s="809"/>
      <c r="AZ306" s="809"/>
      <c r="BA306" s="809"/>
      <c r="BB306" s="809"/>
      <c r="BC306" s="809"/>
      <c r="BD306" s="809"/>
      <c r="BE306" s="809"/>
      <c r="BF306" s="809"/>
      <c r="BG306" s="809"/>
      <c r="BH306" s="809"/>
      <c r="BI306" s="809"/>
      <c r="BJ306" s="809"/>
      <c r="BK306" s="809"/>
      <c r="BL306" s="809"/>
      <c r="BM306" s="809"/>
      <c r="BN306" s="809"/>
    </row>
    <row r="307" spans="1:66">
      <c r="O307" s="809"/>
      <c r="P307" s="809"/>
      <c r="Q307" s="809"/>
      <c r="R307" s="809"/>
      <c r="S307" s="809"/>
      <c r="T307" s="809"/>
      <c r="U307" s="809"/>
      <c r="V307" s="809"/>
      <c r="W307" s="809"/>
      <c r="X307" s="809"/>
      <c r="Y307" s="809"/>
      <c r="Z307" s="809"/>
      <c r="AA307" s="809"/>
      <c r="AB307" s="809"/>
      <c r="AC307" s="809"/>
      <c r="AD307" s="809"/>
      <c r="AE307" s="809"/>
      <c r="AF307" s="809"/>
      <c r="AG307" s="809"/>
      <c r="AH307" s="809"/>
      <c r="AI307" s="809"/>
      <c r="AJ307" s="809"/>
      <c r="AK307" s="809"/>
      <c r="AL307" s="809"/>
      <c r="AM307" s="809"/>
      <c r="AN307" s="809"/>
      <c r="AO307" s="809"/>
      <c r="AP307" s="809"/>
      <c r="AQ307" s="809"/>
      <c r="AR307" s="809"/>
      <c r="AS307" s="809"/>
      <c r="AT307" s="809"/>
      <c r="AU307" s="809"/>
      <c r="AV307" s="809"/>
      <c r="AW307" s="809"/>
      <c r="AX307" s="809"/>
      <c r="AY307" s="809"/>
      <c r="AZ307" s="809"/>
      <c r="BA307" s="809"/>
      <c r="BB307" s="809"/>
      <c r="BC307" s="809"/>
      <c r="BD307" s="809"/>
      <c r="BE307" s="809"/>
      <c r="BF307" s="809"/>
      <c r="BG307" s="809"/>
      <c r="BH307" s="809"/>
      <c r="BI307" s="809"/>
      <c r="BJ307" s="809"/>
      <c r="BK307" s="809"/>
      <c r="BL307" s="809"/>
      <c r="BM307" s="809"/>
      <c r="BN307" s="809"/>
    </row>
    <row r="308" spans="1:66">
      <c r="O308" s="809"/>
      <c r="P308" s="809"/>
      <c r="Q308" s="809"/>
      <c r="R308" s="809"/>
      <c r="S308" s="809"/>
      <c r="T308" s="809"/>
      <c r="U308" s="809"/>
      <c r="V308" s="809"/>
      <c r="W308" s="809"/>
      <c r="X308" s="809"/>
      <c r="Y308" s="809"/>
      <c r="Z308" s="809"/>
      <c r="AA308" s="809"/>
      <c r="AB308" s="809"/>
      <c r="AC308" s="809"/>
      <c r="AD308" s="809"/>
      <c r="AE308" s="809"/>
      <c r="AF308" s="809"/>
      <c r="AG308" s="809"/>
      <c r="AH308" s="809"/>
      <c r="AI308" s="809"/>
      <c r="AJ308" s="809"/>
      <c r="AK308" s="809"/>
      <c r="AL308" s="809"/>
      <c r="AM308" s="809"/>
      <c r="AN308" s="809"/>
      <c r="AO308" s="809"/>
      <c r="AP308" s="809"/>
      <c r="AQ308" s="809"/>
      <c r="AR308" s="809"/>
      <c r="AS308" s="809"/>
      <c r="AT308" s="809"/>
      <c r="AU308" s="809"/>
      <c r="AV308" s="809"/>
      <c r="AW308" s="809"/>
      <c r="AX308" s="809"/>
      <c r="AY308" s="809"/>
      <c r="AZ308" s="809"/>
      <c r="BA308" s="809"/>
      <c r="BB308" s="809"/>
      <c r="BC308" s="809"/>
      <c r="BD308" s="809"/>
      <c r="BE308" s="809"/>
      <c r="BF308" s="809"/>
      <c r="BG308" s="809"/>
      <c r="BH308" s="809"/>
      <c r="BI308" s="809"/>
      <c r="BJ308" s="809"/>
      <c r="BK308" s="809"/>
      <c r="BL308" s="809"/>
      <c r="BM308" s="809"/>
      <c r="BN308" s="809"/>
    </row>
    <row r="309" spans="1:66">
      <c r="O309" s="809"/>
      <c r="P309" s="809"/>
      <c r="Q309" s="809"/>
      <c r="R309" s="809"/>
      <c r="S309" s="809"/>
      <c r="T309" s="809"/>
      <c r="U309" s="809"/>
      <c r="V309" s="809"/>
      <c r="W309" s="809"/>
      <c r="X309" s="809"/>
      <c r="Y309" s="809"/>
      <c r="Z309" s="809"/>
      <c r="AA309" s="809"/>
      <c r="AB309" s="809"/>
      <c r="AC309" s="809"/>
      <c r="AD309" s="809"/>
      <c r="AE309" s="809"/>
      <c r="AF309" s="809"/>
      <c r="AG309" s="809"/>
      <c r="AH309" s="809"/>
      <c r="AI309" s="809"/>
      <c r="AJ309" s="809"/>
      <c r="AK309" s="809"/>
      <c r="AL309" s="809"/>
      <c r="AM309" s="809"/>
      <c r="AN309" s="809"/>
      <c r="AO309" s="809"/>
      <c r="AP309" s="809"/>
      <c r="AQ309" s="809"/>
      <c r="AR309" s="809"/>
      <c r="AS309" s="809"/>
      <c r="AT309" s="809"/>
      <c r="AU309" s="809"/>
      <c r="AV309" s="809"/>
      <c r="AW309" s="809"/>
      <c r="AX309" s="809"/>
      <c r="AY309" s="809"/>
      <c r="AZ309" s="809"/>
      <c r="BA309" s="809"/>
      <c r="BB309" s="809"/>
      <c r="BC309" s="809"/>
      <c r="BD309" s="809"/>
      <c r="BE309" s="809"/>
      <c r="BF309" s="809"/>
      <c r="BG309" s="809"/>
      <c r="BH309" s="809"/>
      <c r="BI309" s="809"/>
      <c r="BJ309" s="809"/>
      <c r="BK309" s="809"/>
      <c r="BL309" s="809"/>
      <c r="BM309" s="809"/>
      <c r="BN309" s="809"/>
    </row>
    <row r="310" spans="1:66">
      <c r="O310" s="809"/>
      <c r="P310" s="809"/>
      <c r="Q310" s="809"/>
      <c r="R310" s="809"/>
      <c r="S310" s="809"/>
      <c r="T310" s="809"/>
      <c r="U310" s="809"/>
      <c r="V310" s="809"/>
      <c r="W310" s="809"/>
      <c r="X310" s="809"/>
      <c r="Y310" s="809"/>
      <c r="Z310" s="809"/>
      <c r="AA310" s="809"/>
      <c r="AB310" s="809"/>
      <c r="AC310" s="809"/>
      <c r="AD310" s="809"/>
      <c r="AE310" s="809"/>
      <c r="AF310" s="809"/>
      <c r="AG310" s="809"/>
      <c r="AH310" s="809"/>
      <c r="AI310" s="809"/>
      <c r="AJ310" s="809"/>
      <c r="AK310" s="809"/>
      <c r="AL310" s="809"/>
      <c r="AM310" s="809"/>
      <c r="AN310" s="809"/>
      <c r="AO310" s="809"/>
      <c r="AP310" s="809"/>
      <c r="AQ310" s="809"/>
      <c r="AR310" s="809"/>
      <c r="AS310" s="809"/>
      <c r="AT310" s="809"/>
      <c r="AU310" s="809"/>
      <c r="AV310" s="809"/>
      <c r="AW310" s="809"/>
      <c r="AX310" s="809"/>
      <c r="AY310" s="809"/>
      <c r="AZ310" s="809"/>
      <c r="BA310" s="809"/>
      <c r="BB310" s="809"/>
      <c r="BC310" s="809"/>
      <c r="BD310" s="809"/>
      <c r="BE310" s="809"/>
      <c r="BF310" s="809"/>
      <c r="BG310" s="809"/>
      <c r="BH310" s="809"/>
      <c r="BI310" s="809"/>
      <c r="BJ310" s="809"/>
      <c r="BK310" s="809"/>
      <c r="BL310" s="809"/>
      <c r="BM310" s="809"/>
      <c r="BN310" s="809"/>
    </row>
    <row r="311" spans="1:66">
      <c r="O311" s="809"/>
      <c r="P311" s="809"/>
      <c r="Q311" s="809"/>
      <c r="R311" s="809"/>
      <c r="S311" s="809"/>
      <c r="T311" s="809"/>
      <c r="U311" s="809"/>
      <c r="V311" s="809"/>
      <c r="W311" s="809"/>
      <c r="X311" s="809"/>
      <c r="Y311" s="809"/>
      <c r="Z311" s="809"/>
      <c r="AA311" s="809"/>
      <c r="AB311" s="809"/>
      <c r="AC311" s="809"/>
      <c r="AD311" s="809"/>
      <c r="AE311" s="809"/>
      <c r="AF311" s="809"/>
      <c r="AG311" s="809"/>
      <c r="AH311" s="809"/>
      <c r="AI311" s="809"/>
      <c r="AJ311" s="809"/>
      <c r="AK311" s="809"/>
      <c r="AL311" s="809"/>
      <c r="AM311" s="809"/>
      <c r="AN311" s="809"/>
      <c r="AO311" s="809"/>
      <c r="AP311" s="809"/>
      <c r="AQ311" s="809"/>
      <c r="AR311" s="809"/>
      <c r="AS311" s="809"/>
      <c r="AT311" s="809"/>
      <c r="AU311" s="809"/>
      <c r="AV311" s="809"/>
      <c r="AW311" s="809"/>
      <c r="AX311" s="809"/>
      <c r="AY311" s="809"/>
      <c r="AZ311" s="809"/>
      <c r="BA311" s="809"/>
      <c r="BB311" s="809"/>
      <c r="BC311" s="809"/>
      <c r="BD311" s="809"/>
      <c r="BE311" s="809"/>
      <c r="BF311" s="809"/>
      <c r="BG311" s="809"/>
      <c r="BH311" s="809"/>
      <c r="BI311" s="809"/>
      <c r="BJ311" s="809"/>
      <c r="BK311" s="809"/>
      <c r="BL311" s="809"/>
      <c r="BM311" s="809"/>
      <c r="BN311" s="809"/>
    </row>
    <row r="312" spans="1:66">
      <c r="O312" s="809"/>
      <c r="P312" s="809"/>
      <c r="Q312" s="809"/>
      <c r="R312" s="809"/>
      <c r="S312" s="809"/>
      <c r="T312" s="809"/>
      <c r="U312" s="809"/>
      <c r="V312" s="809"/>
      <c r="W312" s="809"/>
      <c r="X312" s="809"/>
      <c r="Y312" s="809"/>
      <c r="Z312" s="809"/>
      <c r="AA312" s="809"/>
      <c r="AB312" s="809"/>
      <c r="AC312" s="809"/>
      <c r="AD312" s="809"/>
      <c r="AE312" s="809"/>
      <c r="AF312" s="809"/>
      <c r="AG312" s="809"/>
      <c r="AH312" s="809"/>
      <c r="AI312" s="809"/>
      <c r="AJ312" s="809"/>
      <c r="AK312" s="809"/>
      <c r="AL312" s="809"/>
      <c r="AM312" s="809"/>
      <c r="AN312" s="809"/>
      <c r="AO312" s="809"/>
      <c r="AP312" s="809"/>
      <c r="AQ312" s="809"/>
      <c r="AR312" s="809"/>
      <c r="AS312" s="809"/>
      <c r="AT312" s="809"/>
      <c r="AU312" s="809"/>
      <c r="AV312" s="809"/>
      <c r="AW312" s="809"/>
      <c r="AX312" s="809"/>
      <c r="AY312" s="809"/>
      <c r="AZ312" s="809"/>
      <c r="BA312" s="809"/>
      <c r="BB312" s="809"/>
      <c r="BC312" s="809"/>
      <c r="BD312" s="809"/>
      <c r="BE312" s="809"/>
      <c r="BF312" s="809"/>
      <c r="BG312" s="809"/>
      <c r="BH312" s="809"/>
      <c r="BI312" s="809"/>
      <c r="BJ312" s="809"/>
      <c r="BK312" s="809"/>
      <c r="BL312" s="809"/>
      <c r="BM312" s="809"/>
      <c r="BN312" s="809"/>
    </row>
    <row r="313" spans="1:66">
      <c r="O313" s="809"/>
      <c r="P313" s="809"/>
      <c r="Q313" s="809"/>
      <c r="R313" s="809"/>
      <c r="S313" s="809"/>
      <c r="T313" s="809"/>
      <c r="U313" s="809"/>
      <c r="V313" s="809"/>
      <c r="W313" s="809"/>
      <c r="X313" s="809"/>
      <c r="Y313" s="809"/>
      <c r="Z313" s="809"/>
      <c r="AA313" s="809"/>
      <c r="AB313" s="809"/>
      <c r="AC313" s="809"/>
      <c r="AD313" s="809"/>
      <c r="AE313" s="809"/>
      <c r="AF313" s="809"/>
      <c r="AG313" s="809"/>
      <c r="AH313" s="809"/>
      <c r="AI313" s="809"/>
      <c r="AJ313" s="809"/>
      <c r="AK313" s="809"/>
      <c r="AL313" s="809"/>
      <c r="AM313" s="809"/>
      <c r="AN313" s="809"/>
      <c r="AO313" s="809"/>
      <c r="AP313" s="809"/>
      <c r="AQ313" s="809"/>
      <c r="AR313" s="809"/>
      <c r="AS313" s="809"/>
      <c r="AT313" s="809"/>
      <c r="AU313" s="809"/>
      <c r="AV313" s="809"/>
      <c r="AW313" s="809"/>
      <c r="AX313" s="809"/>
      <c r="AY313" s="809"/>
      <c r="AZ313" s="809"/>
      <c r="BA313" s="809"/>
      <c r="BB313" s="809"/>
      <c r="BC313" s="809"/>
      <c r="BD313" s="809"/>
      <c r="BE313" s="809"/>
      <c r="BF313" s="809"/>
      <c r="BG313" s="809"/>
      <c r="BH313" s="809"/>
      <c r="BI313" s="809"/>
      <c r="BJ313" s="809"/>
      <c r="BK313" s="809"/>
      <c r="BL313" s="809"/>
      <c r="BM313" s="809"/>
      <c r="BN313" s="809"/>
    </row>
    <row r="314" spans="1:66">
      <c r="O314" s="809"/>
      <c r="P314" s="809"/>
      <c r="Q314" s="809"/>
      <c r="R314" s="809"/>
      <c r="S314" s="809"/>
      <c r="T314" s="809"/>
      <c r="U314" s="809"/>
      <c r="V314" s="809"/>
      <c r="W314" s="809"/>
      <c r="X314" s="809"/>
      <c r="Y314" s="809"/>
      <c r="Z314" s="809"/>
      <c r="AA314" s="809"/>
      <c r="AB314" s="809"/>
      <c r="AC314" s="809"/>
      <c r="AD314" s="809"/>
      <c r="AE314" s="809"/>
      <c r="AF314" s="809"/>
      <c r="AG314" s="809"/>
      <c r="AH314" s="809"/>
      <c r="AI314" s="809"/>
      <c r="AJ314" s="809"/>
      <c r="AK314" s="809"/>
      <c r="AL314" s="809"/>
      <c r="AM314" s="809"/>
      <c r="AN314" s="809"/>
      <c r="AO314" s="809"/>
      <c r="AP314" s="809"/>
      <c r="AQ314" s="809"/>
      <c r="AR314" s="809"/>
      <c r="AS314" s="809"/>
      <c r="AT314" s="809"/>
      <c r="AU314" s="809"/>
      <c r="AV314" s="809"/>
      <c r="AW314" s="809"/>
      <c r="AX314" s="809"/>
      <c r="AY314" s="809"/>
      <c r="AZ314" s="809"/>
      <c r="BA314" s="809"/>
      <c r="BB314" s="809"/>
      <c r="BC314" s="809"/>
      <c r="BD314" s="809"/>
      <c r="BE314" s="809"/>
      <c r="BF314" s="809"/>
      <c r="BG314" s="809"/>
      <c r="BH314" s="809"/>
      <c r="BI314" s="809"/>
      <c r="BJ314" s="809"/>
      <c r="BK314" s="809"/>
      <c r="BL314" s="809"/>
      <c r="BM314" s="809"/>
      <c r="BN314" s="809"/>
    </row>
    <row r="315" spans="1:66">
      <c r="A315" s="809"/>
      <c r="B315" s="809"/>
      <c r="C315" s="809"/>
      <c r="D315" s="809"/>
      <c r="E315" s="809"/>
      <c r="F315" s="809"/>
      <c r="G315" s="809"/>
      <c r="H315" s="809"/>
      <c r="I315" s="809"/>
      <c r="J315" s="809"/>
      <c r="K315" s="809"/>
      <c r="L315" s="809"/>
      <c r="M315" s="809"/>
      <c r="N315" s="809"/>
      <c r="O315" s="809"/>
      <c r="P315" s="809"/>
      <c r="Q315" s="809"/>
      <c r="R315" s="809"/>
      <c r="S315" s="809"/>
      <c r="T315" s="809"/>
      <c r="U315" s="809"/>
      <c r="V315" s="809"/>
      <c r="W315" s="809"/>
      <c r="X315" s="809"/>
      <c r="Y315" s="809"/>
      <c r="Z315" s="809"/>
      <c r="AA315" s="809"/>
      <c r="AB315" s="809"/>
      <c r="AC315" s="809"/>
      <c r="AD315" s="809"/>
      <c r="AE315" s="809"/>
      <c r="AF315" s="809"/>
      <c r="AG315" s="809"/>
      <c r="AH315" s="809"/>
      <c r="AI315" s="809"/>
      <c r="AJ315" s="809"/>
      <c r="AK315" s="809"/>
      <c r="AL315" s="809"/>
      <c r="AM315" s="809"/>
      <c r="AN315" s="809"/>
      <c r="AO315" s="809"/>
      <c r="AP315" s="809"/>
      <c r="AQ315" s="809"/>
      <c r="AR315" s="809"/>
      <c r="AS315" s="809"/>
      <c r="AT315" s="809"/>
      <c r="AU315" s="809"/>
      <c r="AV315" s="809"/>
      <c r="AW315" s="809"/>
      <c r="AX315" s="809"/>
      <c r="AY315" s="809"/>
      <c r="AZ315" s="809"/>
      <c r="BA315" s="809"/>
      <c r="BB315" s="809"/>
      <c r="BC315" s="809"/>
      <c r="BD315" s="809"/>
      <c r="BE315" s="809"/>
      <c r="BF315" s="809"/>
      <c r="BG315" s="809"/>
      <c r="BH315" s="809"/>
      <c r="BI315" s="809"/>
      <c r="BJ315" s="809"/>
      <c r="BK315" s="809"/>
      <c r="BL315" s="809"/>
      <c r="BM315" s="809"/>
      <c r="BN315" s="809"/>
    </row>
    <row r="316" spans="1:66">
      <c r="A316" s="809"/>
      <c r="B316" s="809"/>
      <c r="C316" s="809"/>
      <c r="D316" s="809"/>
      <c r="E316" s="809"/>
      <c r="F316" s="809"/>
      <c r="G316" s="809"/>
      <c r="H316" s="809"/>
      <c r="I316" s="809"/>
      <c r="J316" s="809"/>
      <c r="K316" s="809"/>
      <c r="L316" s="809"/>
      <c r="M316" s="809"/>
      <c r="N316" s="809"/>
      <c r="O316" s="809"/>
      <c r="P316" s="809"/>
      <c r="Q316" s="809"/>
      <c r="R316" s="809"/>
      <c r="S316" s="809"/>
      <c r="T316" s="809"/>
      <c r="U316" s="809"/>
      <c r="V316" s="809"/>
      <c r="W316" s="809"/>
      <c r="X316" s="809"/>
      <c r="Y316" s="809"/>
      <c r="Z316" s="809"/>
      <c r="AA316" s="809"/>
      <c r="AB316" s="809"/>
      <c r="AC316" s="809"/>
      <c r="AD316" s="809"/>
      <c r="AE316" s="809"/>
      <c r="AF316" s="809"/>
      <c r="AG316" s="809"/>
      <c r="AH316" s="809"/>
      <c r="AI316" s="809"/>
      <c r="AJ316" s="809"/>
      <c r="AK316" s="809"/>
      <c r="AL316" s="809"/>
      <c r="AM316" s="809"/>
      <c r="AN316" s="809"/>
      <c r="AO316" s="809"/>
      <c r="AP316" s="809"/>
      <c r="AQ316" s="809"/>
      <c r="AR316" s="809"/>
      <c r="AS316" s="809"/>
      <c r="AT316" s="809"/>
      <c r="AU316" s="809"/>
      <c r="AV316" s="809"/>
      <c r="AW316" s="809"/>
      <c r="AX316" s="809"/>
      <c r="AY316" s="809"/>
      <c r="AZ316" s="809"/>
      <c r="BA316" s="809"/>
      <c r="BB316" s="809"/>
      <c r="BC316" s="809"/>
      <c r="BD316" s="809"/>
      <c r="BE316" s="809"/>
      <c r="BF316" s="809"/>
      <c r="BG316" s="809"/>
      <c r="BH316" s="809"/>
      <c r="BI316" s="809"/>
      <c r="BJ316" s="809"/>
      <c r="BK316" s="809"/>
      <c r="BL316" s="809"/>
      <c r="BM316" s="809"/>
      <c r="BN316" s="809"/>
    </row>
    <row r="317" spans="1:66">
      <c r="A317" s="809"/>
      <c r="B317" s="809"/>
      <c r="C317" s="809"/>
      <c r="D317" s="809"/>
      <c r="E317" s="809"/>
      <c r="F317" s="809"/>
      <c r="G317" s="809"/>
      <c r="H317" s="809"/>
      <c r="I317" s="809"/>
      <c r="J317" s="809"/>
      <c r="K317" s="809"/>
      <c r="L317" s="809"/>
      <c r="M317" s="809"/>
      <c r="N317" s="809"/>
      <c r="O317" s="809"/>
      <c r="P317" s="809"/>
      <c r="Q317" s="809"/>
      <c r="R317" s="809"/>
      <c r="S317" s="809"/>
      <c r="T317" s="809"/>
      <c r="U317" s="809"/>
      <c r="V317" s="809"/>
      <c r="W317" s="809"/>
      <c r="X317" s="809"/>
      <c r="Y317" s="809"/>
      <c r="Z317" s="809"/>
      <c r="AA317" s="809"/>
      <c r="AB317" s="809"/>
      <c r="AC317" s="809"/>
      <c r="AD317" s="809"/>
      <c r="AE317" s="809"/>
      <c r="AF317" s="809"/>
      <c r="AG317" s="809"/>
      <c r="AH317" s="809"/>
      <c r="AI317" s="809"/>
      <c r="AJ317" s="809"/>
      <c r="AK317" s="809"/>
      <c r="AL317" s="809"/>
      <c r="AM317" s="809"/>
      <c r="AN317" s="809"/>
      <c r="AO317" s="809"/>
      <c r="AP317" s="809"/>
      <c r="AQ317" s="809"/>
      <c r="AR317" s="809"/>
      <c r="AS317" s="809"/>
      <c r="AT317" s="809"/>
      <c r="AU317" s="809"/>
      <c r="AV317" s="809"/>
      <c r="AW317" s="809"/>
      <c r="AX317" s="809"/>
      <c r="AY317" s="809"/>
      <c r="AZ317" s="809"/>
      <c r="BA317" s="809"/>
      <c r="BB317" s="809"/>
      <c r="BC317" s="809"/>
      <c r="BD317" s="809"/>
      <c r="BE317" s="809"/>
      <c r="BF317" s="809"/>
      <c r="BG317" s="809"/>
      <c r="BH317" s="809"/>
      <c r="BI317" s="809"/>
      <c r="BJ317" s="809"/>
      <c r="BK317" s="809"/>
      <c r="BL317" s="809"/>
      <c r="BM317" s="809"/>
      <c r="BN317" s="809"/>
    </row>
    <row r="318" spans="1:66">
      <c r="A318" s="809"/>
      <c r="B318" s="809"/>
      <c r="C318" s="809"/>
      <c r="D318" s="809"/>
      <c r="E318" s="809"/>
      <c r="F318" s="809"/>
      <c r="G318" s="809"/>
      <c r="H318" s="809"/>
      <c r="I318" s="809"/>
      <c r="J318" s="809"/>
      <c r="K318" s="809"/>
      <c r="L318" s="809"/>
      <c r="M318" s="809"/>
      <c r="N318" s="809"/>
      <c r="O318" s="809"/>
      <c r="P318" s="809"/>
      <c r="Q318" s="809"/>
      <c r="R318" s="809"/>
      <c r="S318" s="809"/>
      <c r="T318" s="809"/>
      <c r="U318" s="809"/>
      <c r="V318" s="809"/>
      <c r="W318" s="809"/>
      <c r="X318" s="809"/>
      <c r="Y318" s="809"/>
      <c r="Z318" s="809"/>
      <c r="AA318" s="809"/>
      <c r="AB318" s="809"/>
      <c r="AC318" s="809"/>
      <c r="AD318" s="809"/>
      <c r="AE318" s="809"/>
      <c r="AF318" s="809"/>
      <c r="AG318" s="809"/>
      <c r="AH318" s="809"/>
      <c r="AI318" s="809"/>
      <c r="AJ318" s="809"/>
      <c r="AK318" s="809"/>
      <c r="AL318" s="809"/>
      <c r="AM318" s="809"/>
      <c r="AN318" s="809"/>
      <c r="AO318" s="809"/>
      <c r="AP318" s="809"/>
      <c r="AQ318" s="809"/>
      <c r="AR318" s="809"/>
      <c r="AS318" s="809"/>
      <c r="AT318" s="809"/>
      <c r="AU318" s="809"/>
      <c r="AV318" s="809"/>
      <c r="AW318" s="809"/>
      <c r="AX318" s="809"/>
      <c r="AY318" s="809"/>
      <c r="AZ318" s="809"/>
      <c r="BA318" s="809"/>
      <c r="BB318" s="809"/>
      <c r="BC318" s="809"/>
      <c r="BD318" s="809"/>
      <c r="BE318" s="809"/>
      <c r="BF318" s="809"/>
      <c r="BG318" s="809"/>
      <c r="BH318" s="809"/>
      <c r="BI318" s="809"/>
      <c r="BJ318" s="809"/>
      <c r="BK318" s="809"/>
      <c r="BL318" s="809"/>
      <c r="BM318" s="809"/>
      <c r="BN318" s="809"/>
    </row>
    <row r="319" spans="1:66">
      <c r="A319" s="809"/>
      <c r="B319" s="809"/>
      <c r="C319" s="809"/>
      <c r="D319" s="809"/>
      <c r="E319" s="809"/>
      <c r="F319" s="809"/>
      <c r="G319" s="809"/>
      <c r="H319" s="809"/>
      <c r="I319" s="809"/>
      <c r="J319" s="809"/>
      <c r="K319" s="809"/>
      <c r="L319" s="809"/>
      <c r="M319" s="809"/>
      <c r="N319" s="809"/>
      <c r="O319" s="809"/>
      <c r="P319" s="809"/>
      <c r="Q319" s="809"/>
      <c r="R319" s="809"/>
      <c r="S319" s="809"/>
      <c r="T319" s="809"/>
      <c r="U319" s="809"/>
      <c r="V319" s="809"/>
      <c r="W319" s="809"/>
      <c r="X319" s="809"/>
      <c r="Y319" s="809"/>
      <c r="Z319" s="809"/>
      <c r="AA319" s="809"/>
      <c r="AB319" s="809"/>
      <c r="AC319" s="809"/>
      <c r="AD319" s="809"/>
      <c r="AE319" s="809"/>
      <c r="AF319" s="809"/>
      <c r="AG319" s="809"/>
      <c r="AH319" s="809"/>
      <c r="AI319" s="809"/>
      <c r="AJ319" s="809"/>
      <c r="AK319" s="809"/>
      <c r="AL319" s="809"/>
      <c r="AM319" s="809"/>
      <c r="AN319" s="809"/>
      <c r="AO319" s="809"/>
      <c r="AP319" s="809"/>
      <c r="AQ319" s="809"/>
      <c r="AR319" s="809"/>
      <c r="AS319" s="809"/>
      <c r="AT319" s="809"/>
      <c r="AU319" s="809"/>
      <c r="AV319" s="809"/>
      <c r="AW319" s="809"/>
      <c r="AX319" s="809"/>
      <c r="AY319" s="809"/>
      <c r="AZ319" s="809"/>
      <c r="BA319" s="809"/>
      <c r="BB319" s="809"/>
      <c r="BC319" s="809"/>
      <c r="BD319" s="809"/>
      <c r="BE319" s="809"/>
      <c r="BF319" s="809"/>
      <c r="BG319" s="809"/>
      <c r="BH319" s="809"/>
      <c r="BI319" s="809"/>
      <c r="BJ319" s="809"/>
      <c r="BK319" s="809"/>
      <c r="BL319" s="809"/>
      <c r="BM319" s="809"/>
      <c r="BN319" s="809"/>
    </row>
    <row r="320" spans="1:66">
      <c r="A320" s="809"/>
      <c r="B320" s="809"/>
      <c r="C320" s="809"/>
      <c r="D320" s="809"/>
      <c r="E320" s="809"/>
      <c r="F320" s="809"/>
      <c r="G320" s="809"/>
      <c r="H320" s="809"/>
      <c r="I320" s="809"/>
      <c r="J320" s="809"/>
      <c r="K320" s="809"/>
      <c r="L320" s="809"/>
      <c r="M320" s="809"/>
      <c r="N320" s="809"/>
      <c r="O320" s="809"/>
      <c r="P320" s="809"/>
      <c r="Q320" s="809"/>
      <c r="R320" s="809"/>
      <c r="S320" s="809"/>
      <c r="T320" s="809"/>
      <c r="U320" s="809"/>
      <c r="V320" s="809"/>
      <c r="W320" s="809"/>
      <c r="X320" s="809"/>
      <c r="Y320" s="809"/>
      <c r="Z320" s="809"/>
      <c r="AA320" s="809"/>
      <c r="AB320" s="809"/>
      <c r="AC320" s="809"/>
      <c r="AD320" s="809"/>
      <c r="AE320" s="809"/>
      <c r="AF320" s="809"/>
      <c r="AG320" s="809"/>
      <c r="AH320" s="809"/>
      <c r="AI320" s="809"/>
      <c r="AJ320" s="809"/>
      <c r="AK320" s="809"/>
      <c r="AL320" s="809"/>
      <c r="AM320" s="809"/>
      <c r="AN320" s="809"/>
      <c r="AO320" s="809"/>
      <c r="AP320" s="809"/>
      <c r="AQ320" s="809"/>
      <c r="AR320" s="809"/>
      <c r="AS320" s="809"/>
      <c r="AT320" s="809"/>
      <c r="AU320" s="809"/>
      <c r="AV320" s="809"/>
      <c r="AW320" s="809"/>
      <c r="AX320" s="809"/>
      <c r="AY320" s="809"/>
      <c r="AZ320" s="809"/>
      <c r="BA320" s="809"/>
      <c r="BB320" s="809"/>
      <c r="BC320" s="809"/>
      <c r="BD320" s="809"/>
      <c r="BE320" s="809"/>
      <c r="BF320" s="809"/>
      <c r="BG320" s="809"/>
      <c r="BH320" s="809"/>
      <c r="BI320" s="809"/>
      <c r="BJ320" s="809"/>
      <c r="BK320" s="809"/>
      <c r="BL320" s="809"/>
      <c r="BM320" s="809"/>
      <c r="BN320" s="809"/>
    </row>
    <row r="321" spans="1:66">
      <c r="A321" s="809"/>
      <c r="B321" s="809"/>
      <c r="C321" s="809"/>
      <c r="D321" s="809"/>
      <c r="E321" s="809"/>
      <c r="F321" s="809"/>
      <c r="G321" s="809"/>
      <c r="H321" s="809"/>
      <c r="I321" s="809"/>
      <c r="J321" s="809"/>
      <c r="K321" s="809"/>
      <c r="L321" s="809"/>
      <c r="M321" s="809"/>
      <c r="N321" s="809"/>
      <c r="O321" s="809"/>
      <c r="P321" s="809"/>
      <c r="Q321" s="809"/>
      <c r="R321" s="809"/>
      <c r="S321" s="809"/>
      <c r="T321" s="809"/>
      <c r="U321" s="809"/>
      <c r="V321" s="809"/>
      <c r="W321" s="809"/>
      <c r="X321" s="809"/>
      <c r="Y321" s="809"/>
      <c r="Z321" s="809"/>
      <c r="AA321" s="809"/>
      <c r="AB321" s="809"/>
      <c r="AC321" s="809"/>
      <c r="AD321" s="809"/>
      <c r="AE321" s="809"/>
      <c r="AF321" s="809"/>
      <c r="AG321" s="809"/>
      <c r="AH321" s="809"/>
      <c r="AI321" s="809"/>
      <c r="AJ321" s="809"/>
      <c r="AK321" s="809"/>
      <c r="AL321" s="809"/>
      <c r="AM321" s="809"/>
      <c r="AN321" s="809"/>
      <c r="AO321" s="809"/>
      <c r="AP321" s="809"/>
      <c r="AQ321" s="809"/>
      <c r="AR321" s="809"/>
      <c r="AS321" s="809"/>
      <c r="AT321" s="809"/>
      <c r="AU321" s="809"/>
      <c r="AV321" s="809"/>
      <c r="AW321" s="809"/>
      <c r="AX321" s="809"/>
      <c r="AY321" s="809"/>
      <c r="AZ321" s="809"/>
      <c r="BA321" s="809"/>
      <c r="BB321" s="809"/>
      <c r="BC321" s="809"/>
      <c r="BD321" s="809"/>
      <c r="BE321" s="809"/>
      <c r="BF321" s="809"/>
      <c r="BG321" s="809"/>
      <c r="BH321" s="809"/>
      <c r="BI321" s="809"/>
      <c r="BJ321" s="809"/>
      <c r="BK321" s="809"/>
      <c r="BL321" s="809"/>
      <c r="BM321" s="809"/>
      <c r="BN321" s="809"/>
    </row>
    <row r="322" spans="1:66">
      <c r="A322" s="809"/>
      <c r="B322" s="809"/>
      <c r="C322" s="809"/>
      <c r="D322" s="809"/>
      <c r="E322" s="809"/>
      <c r="F322" s="809"/>
      <c r="G322" s="809"/>
      <c r="H322" s="809"/>
      <c r="I322" s="809"/>
      <c r="J322" s="809"/>
      <c r="K322" s="809"/>
      <c r="L322" s="809"/>
      <c r="M322" s="809"/>
      <c r="N322" s="809"/>
      <c r="O322" s="809"/>
      <c r="P322" s="809"/>
      <c r="Q322" s="809"/>
      <c r="R322" s="809"/>
      <c r="S322" s="809"/>
      <c r="T322" s="809"/>
      <c r="U322" s="809"/>
      <c r="V322" s="809"/>
      <c r="W322" s="809"/>
      <c r="X322" s="809"/>
      <c r="Y322" s="809"/>
      <c r="Z322" s="809"/>
      <c r="AA322" s="809"/>
      <c r="AB322" s="809"/>
      <c r="AC322" s="809"/>
      <c r="AD322" s="809"/>
      <c r="AE322" s="809"/>
      <c r="AF322" s="809"/>
      <c r="AG322" s="809"/>
      <c r="AH322" s="809"/>
      <c r="AI322" s="809"/>
      <c r="AJ322" s="809"/>
      <c r="AK322" s="809"/>
      <c r="AL322" s="809"/>
      <c r="AM322" s="809"/>
      <c r="AN322" s="809"/>
      <c r="AO322" s="809"/>
      <c r="AP322" s="809"/>
      <c r="AQ322" s="809"/>
      <c r="AR322" s="809"/>
      <c r="AS322" s="809"/>
      <c r="AT322" s="809"/>
      <c r="AU322" s="809"/>
      <c r="AV322" s="809"/>
      <c r="AW322" s="809"/>
      <c r="AX322" s="809"/>
      <c r="AY322" s="809"/>
      <c r="AZ322" s="809"/>
      <c r="BA322" s="809"/>
      <c r="BB322" s="809"/>
      <c r="BC322" s="809"/>
      <c r="BD322" s="809"/>
      <c r="BE322" s="809"/>
      <c r="BF322" s="809"/>
      <c r="BG322" s="809"/>
      <c r="BH322" s="809"/>
      <c r="BI322" s="809"/>
      <c r="BJ322" s="809"/>
      <c r="BK322" s="809"/>
      <c r="BL322" s="809"/>
      <c r="BM322" s="809"/>
      <c r="BN322" s="809"/>
    </row>
    <row r="323" spans="1:66">
      <c r="A323" s="809"/>
      <c r="B323" s="809"/>
      <c r="C323" s="809"/>
      <c r="D323" s="809"/>
      <c r="E323" s="809"/>
      <c r="F323" s="809"/>
      <c r="G323" s="809"/>
      <c r="H323" s="809"/>
      <c r="I323" s="809"/>
      <c r="J323" s="809"/>
      <c r="K323" s="809"/>
      <c r="L323" s="809"/>
      <c r="M323" s="809"/>
      <c r="N323" s="809"/>
      <c r="O323" s="809"/>
      <c r="P323" s="809"/>
      <c r="Q323" s="809"/>
      <c r="R323" s="809"/>
      <c r="S323" s="809"/>
      <c r="T323" s="809"/>
      <c r="U323" s="809"/>
      <c r="V323" s="809"/>
      <c r="W323" s="809"/>
      <c r="X323" s="809"/>
      <c r="Y323" s="809"/>
      <c r="Z323" s="809"/>
      <c r="AA323" s="809"/>
      <c r="AB323" s="809"/>
      <c r="AC323" s="809"/>
      <c r="AD323" s="809"/>
      <c r="AE323" s="809"/>
      <c r="AF323" s="809"/>
      <c r="AG323" s="809"/>
      <c r="AH323" s="809"/>
      <c r="AI323" s="809"/>
      <c r="AJ323" s="809"/>
      <c r="AK323" s="809"/>
      <c r="AL323" s="809"/>
      <c r="AM323" s="809"/>
      <c r="AN323" s="809"/>
      <c r="AO323" s="809"/>
      <c r="AP323" s="809"/>
      <c r="AQ323" s="809"/>
      <c r="AR323" s="809"/>
      <c r="AS323" s="809"/>
      <c r="AT323" s="809"/>
      <c r="AU323" s="809"/>
      <c r="AV323" s="809"/>
      <c r="AW323" s="809"/>
      <c r="AX323" s="809"/>
      <c r="AY323" s="809"/>
      <c r="AZ323" s="809"/>
      <c r="BA323" s="809"/>
      <c r="BB323" s="809"/>
      <c r="BC323" s="809"/>
      <c r="BD323" s="809"/>
      <c r="BE323" s="809"/>
      <c r="BF323" s="809"/>
      <c r="BG323" s="809"/>
      <c r="BH323" s="809"/>
      <c r="BI323" s="809"/>
      <c r="BJ323" s="809"/>
      <c r="BK323" s="809"/>
      <c r="BL323" s="809"/>
      <c r="BM323" s="809"/>
      <c r="BN323" s="809"/>
    </row>
    <row r="324" spans="1:66">
      <c r="A324" s="809"/>
      <c r="B324" s="809"/>
      <c r="C324" s="809"/>
      <c r="D324" s="809"/>
      <c r="E324" s="809"/>
      <c r="F324" s="809"/>
      <c r="G324" s="809"/>
      <c r="H324" s="809"/>
      <c r="I324" s="809"/>
      <c r="J324" s="809"/>
      <c r="K324" s="809"/>
      <c r="L324" s="809"/>
      <c r="M324" s="809"/>
      <c r="N324" s="809"/>
      <c r="O324" s="809"/>
      <c r="P324" s="809"/>
      <c r="Q324" s="809"/>
      <c r="R324" s="809"/>
      <c r="S324" s="809"/>
      <c r="T324" s="809"/>
      <c r="U324" s="809"/>
      <c r="V324" s="809"/>
      <c r="W324" s="809"/>
      <c r="X324" s="809"/>
      <c r="Y324" s="809"/>
      <c r="Z324" s="809"/>
      <c r="AA324" s="809"/>
      <c r="AB324" s="809"/>
      <c r="AC324" s="809"/>
      <c r="AD324" s="809"/>
      <c r="AE324" s="809"/>
      <c r="AF324" s="809"/>
      <c r="AG324" s="809"/>
      <c r="AH324" s="809"/>
      <c r="AI324" s="809"/>
      <c r="AJ324" s="809"/>
      <c r="AK324" s="809"/>
      <c r="AL324" s="809"/>
      <c r="AM324" s="809"/>
      <c r="AN324" s="809"/>
      <c r="AO324" s="809"/>
      <c r="AP324" s="809"/>
      <c r="AQ324" s="809"/>
      <c r="AR324" s="809"/>
      <c r="AS324" s="809"/>
      <c r="AT324" s="809"/>
      <c r="AU324" s="809"/>
      <c r="AV324" s="809"/>
      <c r="AW324" s="809"/>
      <c r="AX324" s="809"/>
      <c r="AY324" s="809"/>
      <c r="AZ324" s="809"/>
      <c r="BA324" s="809"/>
      <c r="BB324" s="809"/>
      <c r="BC324" s="809"/>
      <c r="BD324" s="809"/>
      <c r="BE324" s="809"/>
      <c r="BF324" s="809"/>
      <c r="BG324" s="809"/>
      <c r="BH324" s="809"/>
      <c r="BI324" s="809"/>
      <c r="BJ324" s="809"/>
      <c r="BK324" s="809"/>
      <c r="BL324" s="809"/>
      <c r="BM324" s="809"/>
      <c r="BN324" s="809"/>
    </row>
    <row r="325" spans="1:66">
      <c r="A325" s="809"/>
      <c r="B325" s="809"/>
      <c r="C325" s="809"/>
      <c r="D325" s="809"/>
      <c r="E325" s="809"/>
      <c r="F325" s="809"/>
      <c r="G325" s="809"/>
      <c r="H325" s="809"/>
      <c r="I325" s="809"/>
      <c r="J325" s="809"/>
      <c r="K325" s="809"/>
      <c r="L325" s="809"/>
      <c r="M325" s="809"/>
      <c r="N325" s="809"/>
      <c r="O325" s="809"/>
      <c r="P325" s="809"/>
      <c r="Q325" s="809"/>
      <c r="R325" s="809"/>
      <c r="S325" s="809"/>
      <c r="T325" s="809"/>
      <c r="U325" s="809"/>
      <c r="V325" s="809"/>
      <c r="W325" s="809"/>
      <c r="X325" s="809"/>
      <c r="Y325" s="809"/>
      <c r="Z325" s="809"/>
      <c r="AA325" s="809"/>
      <c r="AB325" s="809"/>
      <c r="AC325" s="809"/>
      <c r="AD325" s="809"/>
      <c r="AE325" s="809"/>
      <c r="AF325" s="809"/>
      <c r="AG325" s="809"/>
      <c r="AH325" s="809"/>
      <c r="AI325" s="809"/>
      <c r="AJ325" s="809"/>
      <c r="AK325" s="809"/>
      <c r="AL325" s="809"/>
      <c r="AM325" s="809"/>
      <c r="AN325" s="809"/>
      <c r="AO325" s="809"/>
      <c r="AP325" s="809"/>
      <c r="AQ325" s="809"/>
      <c r="AR325" s="809"/>
      <c r="AS325" s="809"/>
      <c r="AT325" s="809"/>
      <c r="AU325" s="809"/>
      <c r="AV325" s="809"/>
      <c r="AW325" s="809"/>
      <c r="AX325" s="809"/>
      <c r="AY325" s="809"/>
      <c r="AZ325" s="809"/>
      <c r="BA325" s="809"/>
      <c r="BB325" s="809"/>
      <c r="BC325" s="809"/>
      <c r="BD325" s="809"/>
      <c r="BE325" s="809"/>
      <c r="BF325" s="809"/>
      <c r="BG325" s="809"/>
      <c r="BH325" s="809"/>
      <c r="BI325" s="809"/>
      <c r="BJ325" s="809"/>
      <c r="BK325" s="809"/>
      <c r="BL325" s="809"/>
      <c r="BM325" s="809"/>
      <c r="BN325" s="809"/>
    </row>
    <row r="326" spans="1:66">
      <c r="A326" s="809"/>
      <c r="B326" s="809"/>
      <c r="C326" s="809"/>
      <c r="D326" s="809"/>
      <c r="E326" s="809"/>
      <c r="F326" s="809"/>
      <c r="G326" s="809"/>
      <c r="H326" s="809"/>
      <c r="I326" s="809"/>
      <c r="J326" s="809"/>
      <c r="K326" s="809"/>
      <c r="L326" s="809"/>
      <c r="M326" s="809"/>
      <c r="N326" s="809"/>
      <c r="O326" s="809"/>
      <c r="P326" s="809"/>
      <c r="Q326" s="809"/>
      <c r="R326" s="809"/>
      <c r="S326" s="809"/>
      <c r="T326" s="809"/>
      <c r="U326" s="809"/>
      <c r="V326" s="809"/>
      <c r="W326" s="809"/>
      <c r="X326" s="809"/>
      <c r="Y326" s="809"/>
      <c r="Z326" s="809"/>
      <c r="AA326" s="809"/>
      <c r="AB326" s="809"/>
      <c r="AC326" s="809"/>
      <c r="AD326" s="809"/>
      <c r="AE326" s="809"/>
      <c r="AF326" s="809"/>
      <c r="AG326" s="809"/>
      <c r="AH326" s="809"/>
      <c r="AI326" s="809"/>
      <c r="AJ326" s="809"/>
      <c r="AK326" s="809"/>
      <c r="AL326" s="809"/>
      <c r="AM326" s="809"/>
      <c r="AN326" s="809"/>
      <c r="AO326" s="809"/>
      <c r="AP326" s="809"/>
      <c r="AQ326" s="809"/>
      <c r="AR326" s="809"/>
      <c r="AS326" s="809"/>
      <c r="AT326" s="809"/>
      <c r="AU326" s="809"/>
      <c r="AV326" s="809"/>
      <c r="AW326" s="809"/>
      <c r="AX326" s="809"/>
      <c r="AY326" s="809"/>
      <c r="AZ326" s="809"/>
      <c r="BA326" s="809"/>
      <c r="BB326" s="809"/>
      <c r="BC326" s="809"/>
      <c r="BD326" s="809"/>
      <c r="BE326" s="809"/>
      <c r="BF326" s="809"/>
      <c r="BG326" s="809"/>
      <c r="BH326" s="809"/>
      <c r="BI326" s="809"/>
      <c r="BJ326" s="809"/>
      <c r="BK326" s="809"/>
      <c r="BL326" s="809"/>
      <c r="BM326" s="809"/>
      <c r="BN326" s="809"/>
    </row>
    <row r="327" spans="1:66">
      <c r="A327" s="809"/>
      <c r="B327" s="809"/>
      <c r="C327" s="809"/>
      <c r="D327" s="809"/>
      <c r="E327" s="809"/>
      <c r="F327" s="809"/>
      <c r="G327" s="809"/>
      <c r="H327" s="809"/>
      <c r="I327" s="809"/>
      <c r="J327" s="809"/>
      <c r="K327" s="809"/>
      <c r="L327" s="809"/>
      <c r="M327" s="809"/>
      <c r="N327" s="809"/>
      <c r="O327" s="809"/>
      <c r="P327" s="809"/>
      <c r="Q327" s="809"/>
      <c r="R327" s="809"/>
      <c r="S327" s="809"/>
      <c r="T327" s="809"/>
      <c r="U327" s="809"/>
      <c r="V327" s="809"/>
      <c r="W327" s="809"/>
      <c r="X327" s="809"/>
      <c r="Y327" s="809"/>
      <c r="Z327" s="809"/>
      <c r="AA327" s="809"/>
      <c r="AB327" s="809"/>
      <c r="AC327" s="809"/>
      <c r="AD327" s="809"/>
      <c r="AE327" s="809"/>
      <c r="AF327" s="809"/>
      <c r="AG327" s="809"/>
      <c r="AH327" s="809"/>
      <c r="AI327" s="809"/>
      <c r="AJ327" s="809"/>
      <c r="AK327" s="809"/>
      <c r="AL327" s="809"/>
      <c r="AM327" s="809"/>
      <c r="AN327" s="809"/>
      <c r="AO327" s="809"/>
      <c r="AP327" s="809"/>
      <c r="AQ327" s="809"/>
      <c r="AR327" s="809"/>
      <c r="AS327" s="809"/>
      <c r="AT327" s="809"/>
      <c r="AU327" s="809"/>
      <c r="AV327" s="809"/>
      <c r="AW327" s="809"/>
      <c r="AX327" s="809"/>
      <c r="AY327" s="809"/>
      <c r="AZ327" s="809"/>
      <c r="BA327" s="809"/>
      <c r="BB327" s="809"/>
      <c r="BC327" s="809"/>
      <c r="BD327" s="809"/>
      <c r="BE327" s="809"/>
      <c r="BF327" s="809"/>
      <c r="BG327" s="809"/>
      <c r="BH327" s="809"/>
      <c r="BI327" s="809"/>
      <c r="BJ327" s="809"/>
      <c r="BK327" s="809"/>
      <c r="BL327" s="809"/>
      <c r="BM327" s="809"/>
      <c r="BN327" s="809"/>
    </row>
    <row r="328" spans="1:66">
      <c r="A328" s="809"/>
      <c r="B328" s="809"/>
      <c r="C328" s="809"/>
      <c r="D328" s="809"/>
      <c r="E328" s="809"/>
      <c r="F328" s="809"/>
      <c r="G328" s="809"/>
      <c r="H328" s="809"/>
      <c r="I328" s="809"/>
      <c r="J328" s="809"/>
      <c r="K328" s="809"/>
      <c r="L328" s="809"/>
      <c r="M328" s="809"/>
      <c r="N328" s="809"/>
      <c r="O328" s="809"/>
      <c r="P328" s="809"/>
      <c r="Q328" s="809"/>
      <c r="R328" s="809"/>
      <c r="S328" s="809"/>
      <c r="T328" s="809"/>
      <c r="U328" s="809"/>
      <c r="V328" s="809"/>
      <c r="W328" s="809"/>
      <c r="X328" s="809"/>
      <c r="Y328" s="809"/>
      <c r="Z328" s="809"/>
      <c r="AA328" s="809"/>
      <c r="AB328" s="809"/>
      <c r="AC328" s="809"/>
      <c r="AD328" s="809"/>
      <c r="AE328" s="809"/>
      <c r="AF328" s="809"/>
      <c r="AG328" s="809"/>
      <c r="AH328" s="809"/>
      <c r="AI328" s="809"/>
      <c r="AJ328" s="809"/>
      <c r="AK328" s="809"/>
      <c r="AL328" s="809"/>
      <c r="AM328" s="809"/>
      <c r="AN328" s="809"/>
      <c r="AO328" s="809"/>
      <c r="AP328" s="809"/>
      <c r="AQ328" s="809"/>
      <c r="AR328" s="809"/>
      <c r="AS328" s="809"/>
      <c r="AT328" s="809"/>
      <c r="AU328" s="809"/>
      <c r="AV328" s="809"/>
      <c r="AW328" s="809"/>
      <c r="AX328" s="809"/>
      <c r="AY328" s="809"/>
      <c r="AZ328" s="809"/>
      <c r="BA328" s="809"/>
      <c r="BB328" s="809"/>
      <c r="BC328" s="809"/>
      <c r="BD328" s="809"/>
      <c r="BE328" s="809"/>
      <c r="BF328" s="809"/>
      <c r="BG328" s="809"/>
      <c r="BH328" s="809"/>
      <c r="BI328" s="809"/>
      <c r="BJ328" s="809"/>
      <c r="BK328" s="809"/>
      <c r="BL328" s="809"/>
      <c r="BM328" s="809"/>
      <c r="BN328" s="809"/>
    </row>
    <row r="329" spans="1:66">
      <c r="A329" s="809"/>
      <c r="B329" s="809"/>
      <c r="C329" s="809"/>
      <c r="D329" s="809"/>
      <c r="E329" s="809"/>
      <c r="F329" s="809"/>
      <c r="G329" s="809"/>
      <c r="H329" s="809"/>
      <c r="I329" s="809"/>
      <c r="J329" s="809"/>
      <c r="K329" s="809"/>
      <c r="L329" s="809"/>
      <c r="M329" s="809"/>
      <c r="N329" s="809"/>
      <c r="O329" s="809"/>
      <c r="P329" s="809"/>
      <c r="Q329" s="809"/>
      <c r="R329" s="809"/>
      <c r="S329" s="809"/>
      <c r="T329" s="809"/>
      <c r="U329" s="809"/>
      <c r="V329" s="809"/>
      <c r="W329" s="809"/>
      <c r="X329" s="809"/>
      <c r="Y329" s="809"/>
      <c r="Z329" s="809"/>
      <c r="AA329" s="809"/>
      <c r="AB329" s="809"/>
      <c r="AC329" s="809"/>
      <c r="AD329" s="809"/>
      <c r="AE329" s="809"/>
      <c r="AF329" s="809"/>
      <c r="AG329" s="809"/>
      <c r="AH329" s="809"/>
      <c r="AI329" s="809"/>
      <c r="AJ329" s="809"/>
      <c r="AK329" s="809"/>
      <c r="AL329" s="809"/>
      <c r="AM329" s="809"/>
      <c r="AN329" s="809"/>
      <c r="AO329" s="809"/>
      <c r="AP329" s="809"/>
      <c r="AQ329" s="809"/>
      <c r="AR329" s="809"/>
      <c r="AS329" s="809"/>
      <c r="AT329" s="809"/>
      <c r="AU329" s="809"/>
      <c r="AV329" s="809"/>
      <c r="AW329" s="809"/>
      <c r="AX329" s="809"/>
      <c r="AY329" s="809"/>
      <c r="AZ329" s="809"/>
      <c r="BA329" s="809"/>
      <c r="BB329" s="809"/>
      <c r="BC329" s="809"/>
      <c r="BD329" s="809"/>
      <c r="BE329" s="809"/>
      <c r="BF329" s="809"/>
      <c r="BG329" s="809"/>
      <c r="BH329" s="809"/>
      <c r="BI329" s="809"/>
      <c r="BJ329" s="809"/>
      <c r="BK329" s="809"/>
      <c r="BL329" s="809"/>
      <c r="BM329" s="809"/>
      <c r="BN329" s="809"/>
    </row>
    <row r="330" spans="1:66">
      <c r="A330" s="809"/>
      <c r="B330" s="809"/>
      <c r="C330" s="809"/>
      <c r="D330" s="809"/>
      <c r="E330" s="809"/>
      <c r="F330" s="809"/>
      <c r="G330" s="809"/>
      <c r="H330" s="809"/>
      <c r="I330" s="809"/>
      <c r="J330" s="809"/>
      <c r="K330" s="809"/>
      <c r="L330" s="809"/>
      <c r="M330" s="809"/>
      <c r="N330" s="809"/>
      <c r="O330" s="809"/>
      <c r="P330" s="809"/>
      <c r="Q330" s="809"/>
      <c r="R330" s="809"/>
      <c r="S330" s="809"/>
      <c r="T330" s="809"/>
      <c r="U330" s="809"/>
      <c r="V330" s="809"/>
      <c r="W330" s="809"/>
      <c r="X330" s="809"/>
      <c r="Y330" s="809"/>
      <c r="Z330" s="809"/>
      <c r="AA330" s="809"/>
      <c r="AB330" s="809"/>
      <c r="AC330" s="809"/>
      <c r="AD330" s="809"/>
      <c r="AE330" s="809"/>
      <c r="AF330" s="809"/>
      <c r="AG330" s="809"/>
      <c r="AH330" s="809"/>
      <c r="AI330" s="809"/>
      <c r="AJ330" s="809"/>
      <c r="AK330" s="809"/>
      <c r="AL330" s="809"/>
      <c r="AM330" s="809"/>
      <c r="AN330" s="809"/>
      <c r="AO330" s="809"/>
      <c r="AP330" s="809"/>
      <c r="AQ330" s="809"/>
      <c r="AR330" s="809"/>
      <c r="AS330" s="809"/>
      <c r="AT330" s="809"/>
      <c r="AU330" s="809"/>
      <c r="AV330" s="809"/>
      <c r="AW330" s="809"/>
      <c r="AX330" s="809"/>
      <c r="AY330" s="809"/>
      <c r="AZ330" s="809"/>
      <c r="BA330" s="809"/>
      <c r="BB330" s="809"/>
      <c r="BC330" s="809"/>
      <c r="BD330" s="809"/>
      <c r="BE330" s="809"/>
      <c r="BF330" s="809"/>
      <c r="BG330" s="809"/>
      <c r="BH330" s="809"/>
      <c r="BI330" s="809"/>
      <c r="BJ330" s="809"/>
      <c r="BK330" s="809"/>
      <c r="BL330" s="809"/>
      <c r="BM330" s="809"/>
      <c r="BN330" s="809"/>
    </row>
    <row r="331" spans="1:66">
      <c r="A331" s="809"/>
      <c r="B331" s="809"/>
      <c r="C331" s="809"/>
      <c r="D331" s="809"/>
      <c r="E331" s="809"/>
      <c r="F331" s="809"/>
      <c r="G331" s="809"/>
      <c r="H331" s="809"/>
      <c r="I331" s="809"/>
      <c r="J331" s="809"/>
      <c r="K331" s="809"/>
      <c r="L331" s="809"/>
      <c r="M331" s="809"/>
      <c r="N331" s="809"/>
      <c r="O331" s="809"/>
      <c r="P331" s="809"/>
      <c r="Q331" s="809"/>
      <c r="R331" s="809"/>
      <c r="S331" s="809"/>
      <c r="T331" s="809"/>
      <c r="U331" s="809"/>
      <c r="V331" s="809"/>
      <c r="W331" s="809"/>
      <c r="X331" s="809"/>
      <c r="Y331" s="809"/>
      <c r="Z331" s="809"/>
      <c r="AA331" s="809"/>
      <c r="AB331" s="809"/>
      <c r="AC331" s="809"/>
      <c r="AD331" s="809"/>
      <c r="AE331" s="809"/>
      <c r="AF331" s="809"/>
      <c r="AG331" s="809"/>
      <c r="AH331" s="809"/>
      <c r="AI331" s="809"/>
      <c r="AJ331" s="809"/>
      <c r="AK331" s="809"/>
      <c r="AL331" s="809"/>
      <c r="AM331" s="809"/>
      <c r="AN331" s="809"/>
      <c r="AO331" s="809"/>
      <c r="AP331" s="809"/>
      <c r="AQ331" s="809"/>
      <c r="AR331" s="809"/>
      <c r="AS331" s="809"/>
      <c r="AT331" s="809"/>
      <c r="AU331" s="809"/>
      <c r="AV331" s="809"/>
      <c r="AW331" s="809"/>
      <c r="AX331" s="809"/>
      <c r="AY331" s="809"/>
      <c r="AZ331" s="809"/>
      <c r="BA331" s="809"/>
      <c r="BB331" s="809"/>
      <c r="BC331" s="809"/>
      <c r="BD331" s="809"/>
      <c r="BE331" s="809"/>
      <c r="BF331" s="809"/>
      <c r="BG331" s="809"/>
      <c r="BH331" s="809"/>
      <c r="BI331" s="809"/>
      <c r="BJ331" s="809"/>
      <c r="BK331" s="809"/>
      <c r="BL331" s="809"/>
      <c r="BM331" s="809"/>
      <c r="BN331" s="809"/>
    </row>
    <row r="332" spans="1:66">
      <c r="A332" s="809"/>
      <c r="B332" s="809"/>
      <c r="C332" s="809"/>
      <c r="D332" s="809"/>
      <c r="E332" s="809"/>
      <c r="F332" s="809"/>
      <c r="G332" s="809"/>
      <c r="H332" s="809"/>
      <c r="I332" s="809"/>
      <c r="J332" s="809"/>
      <c r="K332" s="809"/>
      <c r="L332" s="809"/>
      <c r="M332" s="809"/>
      <c r="N332" s="809"/>
      <c r="O332" s="809"/>
      <c r="P332" s="809"/>
      <c r="Q332" s="809"/>
      <c r="R332" s="809"/>
      <c r="S332" s="809"/>
      <c r="T332" s="809"/>
      <c r="U332" s="809"/>
      <c r="V332" s="809"/>
      <c r="W332" s="809"/>
      <c r="X332" s="809"/>
      <c r="Y332" s="809"/>
      <c r="Z332" s="809"/>
      <c r="AA332" s="809"/>
      <c r="AB332" s="809"/>
      <c r="AC332" s="809"/>
      <c r="AD332" s="809"/>
      <c r="AE332" s="809"/>
      <c r="AF332" s="809"/>
      <c r="AG332" s="809"/>
      <c r="AH332" s="809"/>
      <c r="AI332" s="809"/>
      <c r="AJ332" s="809"/>
      <c r="AK332" s="809"/>
      <c r="AL332" s="809"/>
      <c r="AM332" s="809"/>
      <c r="AN332" s="809"/>
      <c r="AO332" s="809"/>
      <c r="AP332" s="809"/>
      <c r="AQ332" s="809"/>
      <c r="AR332" s="809"/>
      <c r="AS332" s="809"/>
      <c r="AT332" s="809"/>
      <c r="AU332" s="809"/>
      <c r="AV332" s="809"/>
      <c r="AW332" s="809"/>
      <c r="AX332" s="809"/>
      <c r="AY332" s="809"/>
      <c r="AZ332" s="809"/>
      <c r="BA332" s="809"/>
      <c r="BB332" s="809"/>
      <c r="BC332" s="809"/>
      <c r="BD332" s="809"/>
      <c r="BE332" s="809"/>
      <c r="BF332" s="809"/>
      <c r="BG332" s="809"/>
      <c r="BH332" s="809"/>
      <c r="BI332" s="809"/>
      <c r="BJ332" s="809"/>
      <c r="BK332" s="809"/>
      <c r="BL332" s="809"/>
      <c r="BM332" s="809"/>
      <c r="BN332" s="809"/>
    </row>
    <row r="333" spans="1:66">
      <c r="A333" s="809"/>
      <c r="B333" s="809"/>
      <c r="C333" s="809"/>
      <c r="D333" s="809"/>
      <c r="E333" s="809"/>
      <c r="F333" s="809"/>
      <c r="G333" s="809"/>
      <c r="H333" s="809"/>
      <c r="I333" s="809"/>
      <c r="J333" s="809"/>
      <c r="K333" s="809"/>
      <c r="L333" s="809"/>
      <c r="M333" s="809"/>
      <c r="N333" s="809"/>
      <c r="O333" s="809"/>
      <c r="P333" s="809"/>
      <c r="Q333" s="809"/>
      <c r="R333" s="809"/>
      <c r="S333" s="809"/>
      <c r="T333" s="809"/>
      <c r="U333" s="809"/>
      <c r="V333" s="809"/>
      <c r="W333" s="809"/>
      <c r="X333" s="809"/>
      <c r="Y333" s="809"/>
      <c r="Z333" s="809"/>
      <c r="AA333" s="809"/>
      <c r="AB333" s="809"/>
      <c r="AC333" s="809"/>
      <c r="AD333" s="809"/>
      <c r="AE333" s="809"/>
      <c r="AF333" s="809"/>
      <c r="AG333" s="809"/>
      <c r="AH333" s="809"/>
      <c r="AI333" s="809"/>
      <c r="AJ333" s="809"/>
      <c r="AK333" s="809"/>
      <c r="AL333" s="809"/>
      <c r="AM333" s="809"/>
      <c r="AN333" s="809"/>
      <c r="AO333" s="809"/>
      <c r="AP333" s="809"/>
      <c r="AQ333" s="809"/>
      <c r="AR333" s="809"/>
      <c r="AS333" s="809"/>
      <c r="AT333" s="809"/>
      <c r="AU333" s="809"/>
      <c r="AV333" s="809"/>
      <c r="AW333" s="809"/>
      <c r="AX333" s="809"/>
      <c r="AY333" s="809"/>
      <c r="AZ333" s="809"/>
      <c r="BA333" s="809"/>
      <c r="BB333" s="809"/>
      <c r="BC333" s="809"/>
      <c r="BD333" s="809"/>
      <c r="BE333" s="809"/>
      <c r="BF333" s="809"/>
      <c r="BG333" s="809"/>
      <c r="BH333" s="809"/>
      <c r="BI333" s="809"/>
      <c r="BJ333" s="809"/>
      <c r="BK333" s="809"/>
      <c r="BL333" s="809"/>
      <c r="BM333" s="809"/>
      <c r="BN333" s="809"/>
    </row>
    <row r="334" spans="1:66">
      <c r="A334" s="809"/>
      <c r="B334" s="809"/>
      <c r="C334" s="809"/>
      <c r="D334" s="809"/>
      <c r="E334" s="809"/>
      <c r="F334" s="809"/>
      <c r="G334" s="809"/>
      <c r="H334" s="809"/>
      <c r="I334" s="809"/>
      <c r="J334" s="809"/>
      <c r="K334" s="809"/>
      <c r="L334" s="809"/>
      <c r="M334" s="809"/>
      <c r="N334" s="809"/>
      <c r="O334" s="809"/>
      <c r="P334" s="809"/>
      <c r="Q334" s="809"/>
      <c r="R334" s="809"/>
      <c r="S334" s="809"/>
      <c r="T334" s="809"/>
      <c r="U334" s="809"/>
      <c r="V334" s="809"/>
      <c r="W334" s="809"/>
      <c r="X334" s="809"/>
      <c r="Y334" s="809"/>
      <c r="Z334" s="809"/>
      <c r="AA334" s="809"/>
      <c r="AB334" s="809"/>
      <c r="AC334" s="809"/>
      <c r="AD334" s="809"/>
      <c r="AE334" s="809"/>
      <c r="AF334" s="809"/>
      <c r="AG334" s="809"/>
      <c r="AH334" s="809"/>
      <c r="AI334" s="809"/>
      <c r="AJ334" s="809"/>
      <c r="AK334" s="809"/>
      <c r="AL334" s="809"/>
      <c r="AM334" s="809"/>
      <c r="AN334" s="809"/>
      <c r="AO334" s="809"/>
      <c r="AP334" s="809"/>
      <c r="AQ334" s="809"/>
      <c r="AR334" s="809"/>
      <c r="AS334" s="809"/>
      <c r="AT334" s="809"/>
      <c r="AU334" s="809"/>
      <c r="AV334" s="809"/>
      <c r="AW334" s="809"/>
      <c r="AX334" s="809"/>
      <c r="AY334" s="809"/>
      <c r="AZ334" s="809"/>
      <c r="BA334" s="809"/>
      <c r="BB334" s="809"/>
      <c r="BC334" s="809"/>
      <c r="BD334" s="809"/>
      <c r="BE334" s="809"/>
      <c r="BF334" s="809"/>
      <c r="BG334" s="809"/>
      <c r="BH334" s="809"/>
      <c r="BI334" s="809"/>
      <c r="BJ334" s="809"/>
      <c r="BK334" s="809"/>
      <c r="BL334" s="809"/>
      <c r="BM334" s="809"/>
      <c r="BN334" s="809"/>
    </row>
    <row r="335" spans="1:66">
      <c r="A335" s="809"/>
      <c r="B335" s="809"/>
      <c r="C335" s="809"/>
      <c r="D335" s="809"/>
      <c r="E335" s="809"/>
      <c r="F335" s="809"/>
      <c r="G335" s="809"/>
      <c r="H335" s="809"/>
      <c r="I335" s="809"/>
      <c r="J335" s="809"/>
      <c r="K335" s="809"/>
      <c r="L335" s="809"/>
      <c r="M335" s="809"/>
      <c r="N335" s="809"/>
      <c r="O335" s="809"/>
      <c r="P335" s="809"/>
      <c r="Q335" s="809"/>
      <c r="R335" s="809"/>
      <c r="S335" s="809"/>
      <c r="T335" s="809"/>
      <c r="U335" s="809"/>
      <c r="V335" s="809"/>
      <c r="W335" s="809"/>
      <c r="X335" s="809"/>
      <c r="Y335" s="809"/>
      <c r="Z335" s="809"/>
      <c r="AA335" s="809"/>
      <c r="AB335" s="809"/>
      <c r="AC335" s="809"/>
      <c r="AD335" s="809"/>
      <c r="AE335" s="809"/>
      <c r="AF335" s="809"/>
      <c r="AG335" s="809"/>
      <c r="AH335" s="809"/>
      <c r="AI335" s="809"/>
      <c r="AJ335" s="809"/>
      <c r="AK335" s="809"/>
      <c r="AL335" s="809"/>
      <c r="AM335" s="809"/>
      <c r="AN335" s="809"/>
      <c r="AO335" s="809"/>
      <c r="AP335" s="809"/>
      <c r="AQ335" s="809"/>
      <c r="AR335" s="809"/>
      <c r="AS335" s="809"/>
      <c r="AT335" s="809"/>
      <c r="AU335" s="809"/>
      <c r="AV335" s="809"/>
      <c r="AW335" s="809"/>
      <c r="AX335" s="809"/>
      <c r="AY335" s="809"/>
      <c r="AZ335" s="809"/>
      <c r="BA335" s="809"/>
      <c r="BB335" s="809"/>
      <c r="BC335" s="809"/>
      <c r="BD335" s="809"/>
      <c r="BE335" s="809"/>
      <c r="BF335" s="809"/>
      <c r="BG335" s="809"/>
      <c r="BH335" s="809"/>
      <c r="BI335" s="809"/>
      <c r="BJ335" s="809"/>
      <c r="BK335" s="809"/>
      <c r="BL335" s="809"/>
      <c r="BM335" s="809"/>
      <c r="BN335" s="809"/>
    </row>
    <row r="336" spans="1:66">
      <c r="A336" s="809"/>
      <c r="B336" s="809"/>
      <c r="C336" s="809"/>
      <c r="D336" s="809"/>
      <c r="E336" s="809"/>
      <c r="F336" s="809"/>
      <c r="G336" s="809"/>
      <c r="H336" s="809"/>
      <c r="I336" s="809"/>
      <c r="J336" s="809"/>
      <c r="K336" s="809"/>
      <c r="L336" s="809"/>
      <c r="M336" s="809"/>
      <c r="N336" s="809"/>
      <c r="O336" s="809"/>
      <c r="P336" s="809"/>
      <c r="Q336" s="809"/>
      <c r="R336" s="809"/>
      <c r="S336" s="809"/>
      <c r="T336" s="809"/>
      <c r="U336" s="809"/>
      <c r="V336" s="809"/>
      <c r="W336" s="809"/>
      <c r="X336" s="809"/>
      <c r="Y336" s="809"/>
      <c r="Z336" s="809"/>
      <c r="AA336" s="809"/>
      <c r="AB336" s="809"/>
      <c r="AC336" s="809"/>
      <c r="AD336" s="809"/>
      <c r="AE336" s="809"/>
      <c r="AF336" s="809"/>
      <c r="AG336" s="809"/>
      <c r="AH336" s="809"/>
      <c r="AI336" s="809"/>
      <c r="AJ336" s="809"/>
      <c r="AK336" s="809"/>
      <c r="AL336" s="809"/>
      <c r="AM336" s="809"/>
      <c r="AN336" s="809"/>
      <c r="AO336" s="809"/>
      <c r="AP336" s="809"/>
      <c r="AQ336" s="809"/>
      <c r="AR336" s="809"/>
      <c r="AS336" s="809"/>
      <c r="AT336" s="809"/>
      <c r="AU336" s="809"/>
      <c r="AV336" s="809"/>
      <c r="AW336" s="809"/>
      <c r="AX336" s="809"/>
      <c r="AY336" s="809"/>
      <c r="AZ336" s="809"/>
      <c r="BA336" s="809"/>
      <c r="BB336" s="809"/>
      <c r="BC336" s="809"/>
      <c r="BD336" s="809"/>
      <c r="BE336" s="809"/>
      <c r="BF336" s="809"/>
      <c r="BG336" s="809"/>
      <c r="BH336" s="809"/>
      <c r="BI336" s="809"/>
      <c r="BJ336" s="809"/>
      <c r="BK336" s="809"/>
      <c r="BL336" s="809"/>
      <c r="BM336" s="809"/>
      <c r="BN336" s="809"/>
    </row>
    <row r="337" spans="1:66">
      <c r="A337" s="809"/>
      <c r="B337" s="809"/>
      <c r="C337" s="809"/>
      <c r="D337" s="809"/>
      <c r="E337" s="809"/>
      <c r="F337" s="809"/>
      <c r="G337" s="809"/>
      <c r="H337" s="809"/>
      <c r="I337" s="809"/>
      <c r="J337" s="809"/>
      <c r="K337" s="809"/>
      <c r="L337" s="809"/>
      <c r="M337" s="809"/>
      <c r="N337" s="809"/>
      <c r="O337" s="809"/>
      <c r="P337" s="809"/>
      <c r="Q337" s="809"/>
      <c r="R337" s="809"/>
      <c r="S337" s="809"/>
      <c r="T337" s="809"/>
      <c r="U337" s="809"/>
      <c r="V337" s="809"/>
      <c r="W337" s="809"/>
      <c r="X337" s="809"/>
      <c r="Y337" s="809"/>
      <c r="Z337" s="809"/>
      <c r="AA337" s="809"/>
      <c r="AB337" s="809"/>
      <c r="AC337" s="809"/>
      <c r="AD337" s="809"/>
      <c r="AE337" s="809"/>
      <c r="AF337" s="809"/>
      <c r="AG337" s="809"/>
      <c r="AH337" s="809"/>
      <c r="AI337" s="809"/>
      <c r="AJ337" s="809"/>
      <c r="AK337" s="809"/>
      <c r="AL337" s="809"/>
      <c r="AM337" s="809"/>
      <c r="AN337" s="809"/>
      <c r="AO337" s="809"/>
      <c r="AP337" s="809"/>
      <c r="AQ337" s="809"/>
      <c r="AR337" s="809"/>
      <c r="AS337" s="809"/>
      <c r="AT337" s="809"/>
      <c r="AU337" s="809"/>
      <c r="AV337" s="809"/>
      <c r="AW337" s="809"/>
      <c r="AX337" s="809"/>
      <c r="AY337" s="809"/>
      <c r="AZ337" s="809"/>
      <c r="BA337" s="809"/>
      <c r="BB337" s="809"/>
      <c r="BC337" s="809"/>
      <c r="BD337" s="809"/>
      <c r="BE337" s="809"/>
      <c r="BF337" s="809"/>
      <c r="BG337" s="809"/>
      <c r="BH337" s="809"/>
      <c r="BI337" s="809"/>
      <c r="BJ337" s="809"/>
      <c r="BK337" s="809"/>
      <c r="BL337" s="809"/>
      <c r="BM337" s="809"/>
      <c r="BN337" s="809"/>
    </row>
    <row r="338" spans="1:66">
      <c r="A338" s="809"/>
      <c r="B338" s="809"/>
      <c r="C338" s="809"/>
      <c r="D338" s="809"/>
      <c r="E338" s="809"/>
      <c r="F338" s="809"/>
      <c r="G338" s="809"/>
      <c r="H338" s="809"/>
      <c r="I338" s="809"/>
      <c r="J338" s="809"/>
      <c r="K338" s="809"/>
      <c r="L338" s="809"/>
      <c r="M338" s="809"/>
      <c r="N338" s="809"/>
      <c r="O338" s="809"/>
      <c r="P338" s="809"/>
      <c r="Q338" s="809"/>
      <c r="R338" s="809"/>
      <c r="S338" s="809"/>
      <c r="T338" s="809"/>
      <c r="U338" s="809"/>
      <c r="V338" s="809"/>
      <c r="W338" s="809"/>
      <c r="X338" s="809"/>
      <c r="Y338" s="809"/>
      <c r="Z338" s="809"/>
      <c r="AA338" s="809"/>
      <c r="AB338" s="809"/>
      <c r="AC338" s="809"/>
      <c r="AD338" s="809"/>
      <c r="AE338" s="809"/>
      <c r="AF338" s="809"/>
      <c r="AG338" s="809"/>
      <c r="AH338" s="809"/>
      <c r="AI338" s="809"/>
      <c r="AJ338" s="809"/>
      <c r="AK338" s="809"/>
      <c r="AL338" s="809"/>
      <c r="AM338" s="809"/>
      <c r="AN338" s="809"/>
      <c r="AO338" s="809"/>
      <c r="AP338" s="809"/>
      <c r="AQ338" s="809"/>
      <c r="AR338" s="809"/>
      <c r="AS338" s="809"/>
      <c r="AT338" s="809"/>
      <c r="AU338" s="809"/>
      <c r="AV338" s="809"/>
      <c r="AW338" s="809"/>
      <c r="AX338" s="809"/>
      <c r="AY338" s="809"/>
      <c r="AZ338" s="809"/>
      <c r="BA338" s="809"/>
      <c r="BB338" s="809"/>
      <c r="BC338" s="809"/>
      <c r="BD338" s="809"/>
      <c r="BE338" s="809"/>
      <c r="BF338" s="809"/>
      <c r="BG338" s="809"/>
      <c r="BH338" s="809"/>
      <c r="BI338" s="809"/>
      <c r="BJ338" s="809"/>
      <c r="BK338" s="809"/>
      <c r="BL338" s="809"/>
      <c r="BM338" s="809"/>
      <c r="BN338" s="809"/>
    </row>
    <row r="339" spans="1:66">
      <c r="A339" s="809"/>
      <c r="B339" s="809"/>
      <c r="C339" s="809"/>
      <c r="D339" s="809"/>
      <c r="E339" s="809"/>
      <c r="F339" s="809"/>
      <c r="G339" s="809"/>
      <c r="H339" s="809"/>
      <c r="I339" s="809"/>
      <c r="J339" s="809"/>
      <c r="K339" s="809"/>
      <c r="L339" s="809"/>
      <c r="M339" s="809"/>
      <c r="N339" s="809"/>
      <c r="O339" s="809"/>
      <c r="P339" s="809"/>
      <c r="Q339" s="809"/>
      <c r="R339" s="809"/>
      <c r="S339" s="809"/>
      <c r="T339" s="809"/>
      <c r="U339" s="809"/>
      <c r="V339" s="809"/>
      <c r="W339" s="809"/>
      <c r="X339" s="809"/>
      <c r="Y339" s="809"/>
      <c r="Z339" s="809"/>
      <c r="AA339" s="809"/>
      <c r="AB339" s="809"/>
      <c r="AC339" s="809"/>
      <c r="AD339" s="809"/>
      <c r="AE339" s="809"/>
      <c r="AF339" s="809"/>
      <c r="AG339" s="809"/>
      <c r="AH339" s="809"/>
      <c r="AI339" s="809"/>
      <c r="AJ339" s="809"/>
      <c r="AK339" s="809"/>
      <c r="AL339" s="809"/>
      <c r="AM339" s="809"/>
      <c r="AN339" s="809"/>
      <c r="AO339" s="809"/>
      <c r="AP339" s="809"/>
      <c r="AQ339" s="809"/>
      <c r="AR339" s="809"/>
      <c r="AS339" s="809"/>
      <c r="AT339" s="809"/>
      <c r="AU339" s="809"/>
      <c r="AV339" s="809"/>
      <c r="AW339" s="809"/>
      <c r="AX339" s="809"/>
      <c r="AY339" s="809"/>
      <c r="AZ339" s="809"/>
      <c r="BA339" s="809"/>
      <c r="BB339" s="809"/>
      <c r="BC339" s="809"/>
      <c r="BD339" s="809"/>
      <c r="BE339" s="809"/>
      <c r="BF339" s="809"/>
      <c r="BG339" s="809"/>
      <c r="BH339" s="809"/>
      <c r="BI339" s="809"/>
      <c r="BJ339" s="809"/>
      <c r="BK339" s="809"/>
      <c r="BL339" s="809"/>
      <c r="BM339" s="809"/>
      <c r="BN339" s="809"/>
    </row>
    <row r="340" spans="1:66">
      <c r="A340" s="809"/>
      <c r="B340" s="809"/>
      <c r="C340" s="809"/>
      <c r="D340" s="809"/>
      <c r="E340" s="809"/>
      <c r="F340" s="809"/>
      <c r="G340" s="809"/>
      <c r="H340" s="809"/>
      <c r="I340" s="809"/>
      <c r="J340" s="809"/>
      <c r="K340" s="809"/>
      <c r="L340" s="809"/>
      <c r="M340" s="809"/>
      <c r="N340" s="809"/>
      <c r="O340" s="809"/>
      <c r="P340" s="809"/>
      <c r="Q340" s="809"/>
      <c r="R340" s="809"/>
      <c r="S340" s="809"/>
      <c r="T340" s="809"/>
      <c r="U340" s="809"/>
      <c r="V340" s="809"/>
      <c r="W340" s="809"/>
      <c r="X340" s="809"/>
      <c r="Y340" s="809"/>
      <c r="Z340" s="809"/>
      <c r="AA340" s="809"/>
      <c r="AB340" s="809"/>
      <c r="AC340" s="809"/>
      <c r="AD340" s="809"/>
      <c r="AE340" s="809"/>
      <c r="AF340" s="809"/>
      <c r="AG340" s="809"/>
      <c r="AH340" s="809"/>
      <c r="AI340" s="809"/>
      <c r="AJ340" s="809"/>
      <c r="AK340" s="809"/>
      <c r="AL340" s="809"/>
      <c r="AM340" s="809"/>
      <c r="AN340" s="809"/>
      <c r="AO340" s="809"/>
      <c r="AP340" s="809"/>
      <c r="AQ340" s="809"/>
      <c r="AR340" s="809"/>
      <c r="AS340" s="809"/>
      <c r="AT340" s="809"/>
      <c r="AU340" s="809"/>
      <c r="AV340" s="809"/>
      <c r="AW340" s="809"/>
      <c r="AX340" s="809"/>
      <c r="AY340" s="809"/>
      <c r="AZ340" s="809"/>
      <c r="BA340" s="809"/>
      <c r="BB340" s="809"/>
      <c r="BC340" s="809"/>
      <c r="BD340" s="809"/>
      <c r="BE340" s="809"/>
      <c r="BF340" s="809"/>
      <c r="BG340" s="809"/>
      <c r="BH340" s="809"/>
      <c r="BI340" s="809"/>
      <c r="BJ340" s="809"/>
      <c r="BK340" s="809"/>
      <c r="BL340" s="809"/>
      <c r="BM340" s="809"/>
      <c r="BN340" s="809"/>
    </row>
    <row r="341" spans="1:66">
      <c r="A341" s="809"/>
      <c r="B341" s="809"/>
      <c r="C341" s="809"/>
      <c r="D341" s="809"/>
      <c r="E341" s="809"/>
      <c r="F341" s="809"/>
      <c r="G341" s="809"/>
      <c r="H341" s="809"/>
      <c r="I341" s="809"/>
      <c r="J341" s="809"/>
      <c r="K341" s="809"/>
      <c r="L341" s="809"/>
      <c r="M341" s="809"/>
      <c r="N341" s="809"/>
      <c r="O341" s="809"/>
      <c r="P341" s="809"/>
      <c r="Q341" s="809"/>
      <c r="R341" s="809"/>
      <c r="S341" s="809"/>
      <c r="T341" s="809"/>
      <c r="U341" s="809"/>
      <c r="V341" s="809"/>
      <c r="W341" s="809"/>
      <c r="X341" s="809"/>
      <c r="Y341" s="809"/>
      <c r="Z341" s="809"/>
      <c r="AA341" s="809"/>
      <c r="AB341" s="809"/>
      <c r="AC341" s="809"/>
      <c r="AD341" s="809"/>
      <c r="AE341" s="809"/>
      <c r="AF341" s="809"/>
      <c r="AG341" s="809"/>
      <c r="AH341" s="809"/>
      <c r="AI341" s="809"/>
      <c r="AJ341" s="809"/>
      <c r="AK341" s="809"/>
      <c r="AL341" s="809"/>
      <c r="AM341" s="809"/>
      <c r="AN341" s="809"/>
      <c r="AO341" s="809"/>
      <c r="AP341" s="809"/>
      <c r="AQ341" s="809"/>
      <c r="AR341" s="809"/>
      <c r="AS341" s="809"/>
      <c r="AT341" s="809"/>
      <c r="AU341" s="809"/>
      <c r="AV341" s="809"/>
      <c r="AW341" s="809"/>
      <c r="AX341" s="809"/>
      <c r="AY341" s="809"/>
      <c r="AZ341" s="809"/>
      <c r="BA341" s="809"/>
      <c r="BB341" s="809"/>
      <c r="BC341" s="809"/>
      <c r="BD341" s="809"/>
      <c r="BE341" s="809"/>
      <c r="BF341" s="809"/>
      <c r="BG341" s="809"/>
      <c r="BH341" s="809"/>
      <c r="BI341" s="809"/>
      <c r="BJ341" s="809"/>
      <c r="BK341" s="809"/>
      <c r="BL341" s="809"/>
      <c r="BM341" s="809"/>
      <c r="BN341" s="809"/>
    </row>
    <row r="342" spans="1:66">
      <c r="A342" s="809"/>
      <c r="B342" s="809"/>
      <c r="C342" s="809"/>
      <c r="D342" s="809"/>
      <c r="E342" s="809"/>
      <c r="F342" s="809"/>
      <c r="G342" s="809"/>
      <c r="H342" s="809"/>
      <c r="I342" s="809"/>
      <c r="J342" s="809"/>
      <c r="K342" s="809"/>
      <c r="L342" s="809"/>
      <c r="M342" s="809"/>
      <c r="N342" s="809"/>
      <c r="O342" s="809"/>
      <c r="P342" s="809"/>
      <c r="Q342" s="809"/>
      <c r="R342" s="809"/>
      <c r="S342" s="809"/>
      <c r="T342" s="809"/>
      <c r="U342" s="809"/>
      <c r="V342" s="809"/>
      <c r="W342" s="809"/>
      <c r="X342" s="809"/>
      <c r="Y342" s="809"/>
      <c r="Z342" s="809"/>
      <c r="AA342" s="809"/>
      <c r="AB342" s="809"/>
      <c r="AC342" s="809"/>
      <c r="AD342" s="809"/>
      <c r="AE342" s="809"/>
      <c r="AF342" s="809"/>
      <c r="AG342" s="809"/>
      <c r="AH342" s="809"/>
      <c r="AI342" s="809"/>
      <c r="AJ342" s="809"/>
      <c r="AK342" s="809"/>
      <c r="AL342" s="809"/>
      <c r="AM342" s="809"/>
      <c r="AN342" s="809"/>
      <c r="AO342" s="809"/>
      <c r="AP342" s="809"/>
      <c r="AQ342" s="809"/>
      <c r="AR342" s="809"/>
      <c r="AS342" s="809"/>
      <c r="AT342" s="809"/>
      <c r="AU342" s="809"/>
      <c r="AV342" s="809"/>
      <c r="AW342" s="809"/>
      <c r="AX342" s="809"/>
      <c r="AY342" s="809"/>
      <c r="AZ342" s="809"/>
      <c r="BA342" s="809"/>
      <c r="BB342" s="809"/>
      <c r="BC342" s="809"/>
      <c r="BD342" s="809"/>
      <c r="BE342" s="809"/>
      <c r="BF342" s="809"/>
      <c r="BG342" s="809"/>
      <c r="BH342" s="809"/>
      <c r="BI342" s="809"/>
      <c r="BJ342" s="809"/>
      <c r="BK342" s="809"/>
      <c r="BL342" s="809"/>
      <c r="BM342" s="809"/>
      <c r="BN342" s="809"/>
    </row>
    <row r="343" spans="1:66">
      <c r="A343" s="809"/>
      <c r="B343" s="809"/>
      <c r="C343" s="809"/>
      <c r="D343" s="809"/>
      <c r="E343" s="809"/>
      <c r="F343" s="809"/>
      <c r="G343" s="809"/>
      <c r="H343" s="809"/>
      <c r="I343" s="809"/>
      <c r="J343" s="809"/>
      <c r="K343" s="809"/>
      <c r="L343" s="809"/>
      <c r="M343" s="809"/>
      <c r="N343" s="809"/>
      <c r="O343" s="809"/>
      <c r="P343" s="809"/>
      <c r="Q343" s="809"/>
      <c r="R343" s="809"/>
      <c r="S343" s="809"/>
      <c r="T343" s="809"/>
      <c r="U343" s="809"/>
      <c r="V343" s="809"/>
      <c r="W343" s="809"/>
      <c r="X343" s="809"/>
      <c r="Y343" s="809"/>
      <c r="Z343" s="809"/>
      <c r="AA343" s="809"/>
      <c r="AB343" s="809"/>
      <c r="AC343" s="809"/>
      <c r="AD343" s="809"/>
      <c r="AE343" s="809"/>
      <c r="AF343" s="809"/>
      <c r="AG343" s="809"/>
      <c r="AH343" s="809"/>
      <c r="AI343" s="809"/>
      <c r="AJ343" s="809"/>
      <c r="AK343" s="809"/>
      <c r="AL343" s="809"/>
      <c r="AM343" s="809"/>
      <c r="AN343" s="809"/>
      <c r="AO343" s="809"/>
      <c r="AP343" s="809"/>
      <c r="AQ343" s="809"/>
      <c r="AR343" s="809"/>
      <c r="AS343" s="809"/>
      <c r="AT343" s="809"/>
      <c r="AU343" s="809"/>
      <c r="AV343" s="809"/>
      <c r="AW343" s="809"/>
      <c r="AX343" s="809"/>
      <c r="AY343" s="809"/>
      <c r="AZ343" s="809"/>
      <c r="BA343" s="809"/>
      <c r="BB343" s="809"/>
      <c r="BC343" s="809"/>
      <c r="BD343" s="809"/>
      <c r="BE343" s="809"/>
      <c r="BF343" s="809"/>
      <c r="BG343" s="809"/>
      <c r="BH343" s="809"/>
      <c r="BI343" s="809"/>
      <c r="BJ343" s="809"/>
      <c r="BK343" s="809"/>
      <c r="BL343" s="809"/>
      <c r="BM343" s="809"/>
      <c r="BN343" s="809"/>
    </row>
    <row r="344" spans="1:66">
      <c r="A344" s="809"/>
      <c r="B344" s="809"/>
      <c r="C344" s="809"/>
      <c r="D344" s="809"/>
      <c r="E344" s="809"/>
      <c r="F344" s="809"/>
      <c r="G344" s="809"/>
      <c r="H344" s="809"/>
      <c r="I344" s="809"/>
      <c r="J344" s="809"/>
      <c r="K344" s="809"/>
      <c r="L344" s="809"/>
      <c r="M344" s="809"/>
      <c r="N344" s="809"/>
      <c r="O344" s="809"/>
      <c r="P344" s="809"/>
      <c r="Q344" s="809"/>
      <c r="R344" s="809"/>
      <c r="S344" s="809"/>
      <c r="T344" s="809"/>
      <c r="U344" s="809"/>
      <c r="V344" s="809"/>
      <c r="W344" s="809"/>
      <c r="X344" s="809"/>
      <c r="Y344" s="809"/>
      <c r="Z344" s="809"/>
      <c r="AA344" s="809"/>
      <c r="AB344" s="809"/>
      <c r="AC344" s="809"/>
      <c r="AD344" s="809"/>
      <c r="AE344" s="809"/>
      <c r="AF344" s="809"/>
      <c r="AG344" s="809"/>
      <c r="AH344" s="809"/>
      <c r="AI344" s="809"/>
      <c r="AJ344" s="809"/>
      <c r="AK344" s="809"/>
      <c r="AL344" s="809"/>
      <c r="AM344" s="809"/>
      <c r="AN344" s="809"/>
      <c r="AO344" s="809"/>
      <c r="AP344" s="809"/>
      <c r="AQ344" s="809"/>
      <c r="AR344" s="809"/>
      <c r="AS344" s="809"/>
      <c r="AT344" s="809"/>
      <c r="AU344" s="809"/>
      <c r="AV344" s="809"/>
      <c r="AW344" s="809"/>
      <c r="AX344" s="809"/>
      <c r="AY344" s="809"/>
      <c r="AZ344" s="809"/>
      <c r="BA344" s="809"/>
      <c r="BB344" s="809"/>
      <c r="BC344" s="809"/>
      <c r="BD344" s="809"/>
      <c r="BE344" s="809"/>
      <c r="BF344" s="809"/>
      <c r="BG344" s="809"/>
      <c r="BH344" s="809"/>
      <c r="BI344" s="809"/>
      <c r="BJ344" s="809"/>
      <c r="BK344" s="809"/>
      <c r="BL344" s="809"/>
      <c r="BM344" s="809"/>
      <c r="BN344" s="809"/>
    </row>
    <row r="345" spans="1:66">
      <c r="A345" s="809"/>
      <c r="B345" s="809"/>
      <c r="C345" s="809"/>
      <c r="D345" s="809"/>
      <c r="E345" s="809"/>
      <c r="F345" s="809"/>
      <c r="G345" s="809"/>
      <c r="H345" s="809"/>
      <c r="I345" s="809"/>
      <c r="J345" s="809"/>
      <c r="K345" s="809"/>
      <c r="L345" s="809"/>
      <c r="M345" s="809"/>
      <c r="N345" s="809"/>
      <c r="O345" s="809"/>
      <c r="P345" s="809"/>
      <c r="Q345" s="809"/>
      <c r="R345" s="809"/>
      <c r="S345" s="809"/>
      <c r="T345" s="809"/>
      <c r="U345" s="809"/>
      <c r="V345" s="809"/>
      <c r="W345" s="809"/>
      <c r="X345" s="809"/>
      <c r="Y345" s="809"/>
      <c r="Z345" s="809"/>
      <c r="AA345" s="809"/>
      <c r="AB345" s="809"/>
      <c r="AC345" s="809"/>
      <c r="AD345" s="809"/>
      <c r="AE345" s="809"/>
      <c r="AF345" s="809"/>
      <c r="AG345" s="809"/>
      <c r="AH345" s="809"/>
      <c r="AI345" s="809"/>
      <c r="AJ345" s="809"/>
      <c r="AK345" s="809"/>
      <c r="AL345" s="809"/>
      <c r="AM345" s="809"/>
      <c r="AN345" s="809"/>
      <c r="AO345" s="809"/>
      <c r="AP345" s="809"/>
      <c r="AQ345" s="809"/>
      <c r="AR345" s="809"/>
      <c r="AS345" s="809"/>
      <c r="AT345" s="809"/>
      <c r="AU345" s="809"/>
      <c r="AV345" s="809"/>
      <c r="AW345" s="809"/>
      <c r="AX345" s="809"/>
      <c r="AY345" s="809"/>
      <c r="AZ345" s="809"/>
      <c r="BA345" s="809"/>
      <c r="BB345" s="809"/>
      <c r="BC345" s="809"/>
      <c r="BD345" s="809"/>
      <c r="BE345" s="809"/>
      <c r="BF345" s="809"/>
      <c r="BG345" s="809"/>
      <c r="BH345" s="809"/>
      <c r="BI345" s="809"/>
      <c r="BJ345" s="809"/>
      <c r="BK345" s="809"/>
      <c r="BL345" s="809"/>
      <c r="BM345" s="809"/>
      <c r="BN345" s="809"/>
    </row>
    <row r="346" spans="1:66">
      <c r="A346" s="809"/>
      <c r="B346" s="809"/>
      <c r="C346" s="809"/>
      <c r="D346" s="809"/>
      <c r="E346" s="809"/>
      <c r="F346" s="809"/>
      <c r="G346" s="809"/>
      <c r="H346" s="809"/>
      <c r="I346" s="809"/>
      <c r="J346" s="809"/>
      <c r="K346" s="809"/>
      <c r="L346" s="809"/>
      <c r="M346" s="809"/>
      <c r="N346" s="809"/>
      <c r="O346" s="809"/>
      <c r="P346" s="809"/>
      <c r="Q346" s="809"/>
      <c r="R346" s="809"/>
      <c r="S346" s="809"/>
      <c r="T346" s="809"/>
      <c r="U346" s="809"/>
      <c r="V346" s="809"/>
      <c r="W346" s="809"/>
      <c r="X346" s="809"/>
      <c r="Y346" s="809"/>
      <c r="Z346" s="809"/>
      <c r="AA346" s="809"/>
      <c r="AB346" s="809"/>
      <c r="AC346" s="809"/>
      <c r="AD346" s="809"/>
      <c r="AE346" s="809"/>
      <c r="AF346" s="809"/>
      <c r="AG346" s="809"/>
      <c r="AH346" s="809"/>
      <c r="AI346" s="809"/>
      <c r="AJ346" s="809"/>
      <c r="AK346" s="809"/>
      <c r="AL346" s="809"/>
      <c r="AM346" s="809"/>
      <c r="AN346" s="809"/>
      <c r="AO346" s="809"/>
      <c r="AP346" s="809"/>
      <c r="AQ346" s="809"/>
      <c r="AR346" s="809"/>
      <c r="AS346" s="809"/>
      <c r="AT346" s="809"/>
      <c r="AU346" s="809"/>
      <c r="AV346" s="809"/>
      <c r="AW346" s="809"/>
      <c r="AX346" s="809"/>
      <c r="AY346" s="809"/>
      <c r="AZ346" s="809"/>
      <c r="BA346" s="809"/>
      <c r="BB346" s="809"/>
      <c r="BC346" s="809"/>
      <c r="BD346" s="809"/>
      <c r="BE346" s="809"/>
      <c r="BF346" s="809"/>
      <c r="BG346" s="809"/>
      <c r="BH346" s="809"/>
      <c r="BI346" s="809"/>
      <c r="BJ346" s="809"/>
      <c r="BK346" s="809"/>
      <c r="BL346" s="809"/>
      <c r="BM346" s="809"/>
      <c r="BN346" s="809"/>
    </row>
    <row r="347" spans="1:66">
      <c r="A347" s="809"/>
      <c r="B347" s="809"/>
      <c r="C347" s="809"/>
      <c r="D347" s="809"/>
      <c r="E347" s="809"/>
      <c r="F347" s="809"/>
      <c r="G347" s="809"/>
      <c r="H347" s="809"/>
      <c r="I347" s="809"/>
      <c r="J347" s="809"/>
      <c r="K347" s="809"/>
      <c r="L347" s="809"/>
      <c r="M347" s="809"/>
      <c r="N347" s="809"/>
      <c r="O347" s="809"/>
      <c r="P347" s="809"/>
      <c r="Q347" s="809"/>
      <c r="R347" s="809"/>
      <c r="S347" s="809"/>
      <c r="T347" s="809"/>
      <c r="U347" s="809"/>
      <c r="V347" s="809"/>
      <c r="W347" s="809"/>
      <c r="X347" s="809"/>
      <c r="Y347" s="809"/>
      <c r="Z347" s="809"/>
      <c r="AA347" s="809"/>
      <c r="AB347" s="809"/>
      <c r="AC347" s="809"/>
      <c r="AD347" s="809"/>
      <c r="AE347" s="809"/>
      <c r="AF347" s="809"/>
      <c r="AG347" s="809"/>
      <c r="AH347" s="809"/>
      <c r="AI347" s="809"/>
      <c r="AJ347" s="809"/>
      <c r="AK347" s="809"/>
      <c r="AL347" s="809"/>
      <c r="AM347" s="809"/>
      <c r="AN347" s="809"/>
      <c r="AO347" s="809"/>
      <c r="AP347" s="809"/>
      <c r="AQ347" s="809"/>
      <c r="AR347" s="809"/>
      <c r="AS347" s="809"/>
      <c r="AT347" s="809"/>
      <c r="AU347" s="809"/>
      <c r="AV347" s="809"/>
      <c r="AW347" s="809"/>
      <c r="AX347" s="809"/>
      <c r="AY347" s="809"/>
      <c r="AZ347" s="809"/>
      <c r="BA347" s="809"/>
      <c r="BB347" s="809"/>
      <c r="BC347" s="809"/>
      <c r="BD347" s="809"/>
      <c r="BE347" s="809"/>
      <c r="BF347" s="809"/>
      <c r="BG347" s="809"/>
      <c r="BH347" s="809"/>
      <c r="BI347" s="809"/>
      <c r="BJ347" s="809"/>
      <c r="BK347" s="809"/>
      <c r="BL347" s="809"/>
      <c r="BM347" s="809"/>
      <c r="BN347" s="809"/>
    </row>
    <row r="348" spans="1:66">
      <c r="A348" s="809"/>
      <c r="B348" s="809"/>
      <c r="C348" s="809"/>
      <c r="D348" s="809"/>
      <c r="E348" s="809"/>
      <c r="F348" s="809"/>
      <c r="G348" s="809"/>
      <c r="H348" s="809"/>
      <c r="I348" s="809"/>
      <c r="J348" s="809"/>
      <c r="K348" s="809"/>
      <c r="L348" s="809"/>
      <c r="M348" s="809"/>
      <c r="N348" s="809"/>
      <c r="O348" s="809"/>
      <c r="P348" s="809"/>
      <c r="Q348" s="809"/>
      <c r="R348" s="809"/>
      <c r="S348" s="809"/>
      <c r="T348" s="809"/>
      <c r="U348" s="809"/>
      <c r="V348" s="809"/>
      <c r="W348" s="809"/>
      <c r="X348" s="809"/>
      <c r="Y348" s="809"/>
      <c r="Z348" s="809"/>
      <c r="AA348" s="809"/>
      <c r="AB348" s="809"/>
      <c r="AC348" s="809"/>
      <c r="AD348" s="809"/>
      <c r="AE348" s="809"/>
      <c r="AF348" s="809"/>
      <c r="AG348" s="809"/>
      <c r="AH348" s="809"/>
      <c r="AI348" s="809"/>
      <c r="AJ348" s="809"/>
      <c r="AK348" s="809"/>
      <c r="AL348" s="809"/>
      <c r="AM348" s="809"/>
      <c r="AN348" s="809"/>
      <c r="AO348" s="809"/>
      <c r="AP348" s="809"/>
      <c r="AQ348" s="809"/>
      <c r="AR348" s="809"/>
      <c r="AS348" s="809"/>
      <c r="AT348" s="809"/>
      <c r="AU348" s="809"/>
      <c r="AV348" s="809"/>
      <c r="AW348" s="809"/>
      <c r="AX348" s="809"/>
      <c r="AY348" s="809"/>
      <c r="AZ348" s="809"/>
      <c r="BA348" s="809"/>
      <c r="BB348" s="809"/>
      <c r="BC348" s="809"/>
      <c r="BD348" s="809"/>
      <c r="BE348" s="809"/>
      <c r="BF348" s="809"/>
      <c r="BG348" s="809"/>
      <c r="BH348" s="809"/>
      <c r="BI348" s="809"/>
      <c r="BJ348" s="809"/>
      <c r="BK348" s="809"/>
      <c r="BL348" s="809"/>
      <c r="BM348" s="809"/>
      <c r="BN348" s="809"/>
    </row>
    <row r="349" spans="1:66">
      <c r="A349" s="809"/>
      <c r="B349" s="809"/>
      <c r="C349" s="809"/>
      <c r="D349" s="809"/>
      <c r="E349" s="809"/>
      <c r="F349" s="809"/>
      <c r="G349" s="809"/>
      <c r="H349" s="809"/>
      <c r="I349" s="809"/>
      <c r="J349" s="809"/>
      <c r="K349" s="809"/>
      <c r="L349" s="809"/>
      <c r="M349" s="809"/>
      <c r="N349" s="809"/>
      <c r="O349" s="809"/>
      <c r="P349" s="809"/>
      <c r="Q349" s="809"/>
      <c r="R349" s="809"/>
      <c r="S349" s="809"/>
      <c r="T349" s="809"/>
      <c r="U349" s="809"/>
      <c r="V349" s="809"/>
      <c r="W349" s="809"/>
      <c r="X349" s="809"/>
      <c r="Y349" s="809"/>
      <c r="Z349" s="809"/>
      <c r="AA349" s="809"/>
      <c r="AB349" s="809"/>
      <c r="AC349" s="809"/>
      <c r="AD349" s="809"/>
      <c r="AE349" s="809"/>
      <c r="AF349" s="809"/>
      <c r="AG349" s="809"/>
      <c r="AH349" s="809"/>
      <c r="AI349" s="809"/>
      <c r="AJ349" s="809"/>
      <c r="AK349" s="809"/>
      <c r="AL349" s="809"/>
      <c r="AM349" s="809"/>
      <c r="AN349" s="809"/>
      <c r="AO349" s="809"/>
      <c r="AP349" s="809"/>
      <c r="AQ349" s="809"/>
      <c r="AR349" s="809"/>
      <c r="AS349" s="809"/>
      <c r="AT349" s="809"/>
      <c r="AU349" s="809"/>
      <c r="AV349" s="809"/>
      <c r="AW349" s="809"/>
      <c r="AX349" s="809"/>
      <c r="AY349" s="809"/>
      <c r="AZ349" s="809"/>
      <c r="BA349" s="809"/>
      <c r="BB349" s="809"/>
      <c r="BC349" s="809"/>
      <c r="BD349" s="809"/>
      <c r="BE349" s="809"/>
      <c r="BF349" s="809"/>
      <c r="BG349" s="809"/>
      <c r="BH349" s="809"/>
      <c r="BI349" s="809"/>
      <c r="BJ349" s="809"/>
      <c r="BK349" s="809"/>
      <c r="BL349" s="809"/>
      <c r="BM349" s="809"/>
      <c r="BN349" s="809"/>
    </row>
    <row r="350" spans="1:66">
      <c r="A350" s="809"/>
      <c r="B350" s="809"/>
      <c r="C350" s="809"/>
      <c r="D350" s="809"/>
      <c r="E350" s="809"/>
      <c r="F350" s="809"/>
      <c r="G350" s="809"/>
      <c r="H350" s="809"/>
      <c r="I350" s="809"/>
      <c r="J350" s="809"/>
      <c r="K350" s="809"/>
      <c r="L350" s="809"/>
      <c r="M350" s="809"/>
      <c r="N350" s="809"/>
      <c r="O350" s="809"/>
      <c r="P350" s="809"/>
      <c r="Q350" s="809"/>
      <c r="R350" s="809"/>
      <c r="S350" s="809"/>
      <c r="T350" s="809"/>
      <c r="U350" s="809"/>
      <c r="V350" s="809"/>
      <c r="W350" s="809"/>
      <c r="X350" s="809"/>
      <c r="Y350" s="809"/>
      <c r="Z350" s="809"/>
      <c r="AA350" s="809"/>
      <c r="AB350" s="809"/>
      <c r="AC350" s="809"/>
      <c r="AD350" s="809"/>
      <c r="AE350" s="809"/>
      <c r="AF350" s="809"/>
      <c r="AG350" s="809"/>
      <c r="AH350" s="809"/>
      <c r="AI350" s="809"/>
      <c r="AJ350" s="809"/>
      <c r="AK350" s="809"/>
      <c r="AL350" s="809"/>
      <c r="AM350" s="809"/>
      <c r="AN350" s="809"/>
      <c r="AO350" s="809"/>
      <c r="AP350" s="809"/>
      <c r="AQ350" s="809"/>
      <c r="AR350" s="809"/>
      <c r="AS350" s="809"/>
      <c r="AT350" s="809"/>
      <c r="AU350" s="809"/>
      <c r="AV350" s="809"/>
      <c r="AW350" s="809"/>
      <c r="AX350" s="809"/>
      <c r="AY350" s="809"/>
      <c r="AZ350" s="809"/>
      <c r="BA350" s="809"/>
      <c r="BB350" s="809"/>
      <c r="BC350" s="809"/>
      <c r="BD350" s="809"/>
      <c r="BE350" s="809"/>
      <c r="BF350" s="809"/>
      <c r="BG350" s="809"/>
      <c r="BH350" s="809"/>
      <c r="BI350" s="809"/>
      <c r="BJ350" s="809"/>
      <c r="BK350" s="809"/>
      <c r="BL350" s="809"/>
      <c r="BM350" s="809"/>
      <c r="BN350" s="809"/>
    </row>
    <row r="351" spans="1:66">
      <c r="A351" s="809"/>
      <c r="B351" s="809"/>
      <c r="C351" s="809"/>
      <c r="D351" s="809"/>
      <c r="E351" s="809"/>
      <c r="F351" s="809"/>
      <c r="G351" s="809"/>
      <c r="H351" s="809"/>
      <c r="I351" s="809"/>
      <c r="J351" s="809"/>
      <c r="K351" s="809"/>
      <c r="L351" s="809"/>
      <c r="M351" s="809"/>
      <c r="N351" s="809"/>
      <c r="O351" s="809"/>
      <c r="P351" s="809"/>
      <c r="Q351" s="809"/>
      <c r="R351" s="809"/>
      <c r="S351" s="809"/>
      <c r="T351" s="809"/>
      <c r="U351" s="809"/>
      <c r="V351" s="809"/>
      <c r="W351" s="809"/>
      <c r="X351" s="809"/>
      <c r="Y351" s="809"/>
      <c r="Z351" s="809"/>
      <c r="AA351" s="809"/>
      <c r="AB351" s="809"/>
      <c r="AC351" s="809"/>
      <c r="AD351" s="809"/>
      <c r="AE351" s="809"/>
      <c r="AF351" s="809"/>
      <c r="AG351" s="809"/>
      <c r="AH351" s="809"/>
      <c r="AI351" s="809"/>
      <c r="AJ351" s="809"/>
      <c r="AK351" s="809"/>
      <c r="AL351" s="809"/>
      <c r="AM351" s="809"/>
      <c r="AN351" s="809"/>
      <c r="AO351" s="809"/>
      <c r="AP351" s="809"/>
      <c r="AQ351" s="809"/>
      <c r="AR351" s="809"/>
      <c r="AS351" s="809"/>
      <c r="AT351" s="809"/>
      <c r="AU351" s="809"/>
      <c r="AV351" s="809"/>
      <c r="AW351" s="809"/>
      <c r="AX351" s="809"/>
      <c r="AY351" s="809"/>
      <c r="AZ351" s="809"/>
      <c r="BA351" s="809"/>
      <c r="BB351" s="809"/>
      <c r="BC351" s="809"/>
      <c r="BD351" s="809"/>
      <c r="BE351" s="809"/>
      <c r="BF351" s="809"/>
      <c r="BG351" s="809"/>
      <c r="BH351" s="809"/>
      <c r="BI351" s="809"/>
      <c r="BJ351" s="809"/>
      <c r="BK351" s="809"/>
      <c r="BL351" s="809"/>
      <c r="BM351" s="809"/>
      <c r="BN351" s="809"/>
    </row>
    <row r="352" spans="1:66">
      <c r="A352" s="809"/>
      <c r="B352" s="809"/>
      <c r="C352" s="809"/>
      <c r="D352" s="809"/>
      <c r="E352" s="809"/>
      <c r="F352" s="809"/>
      <c r="G352" s="809"/>
      <c r="H352" s="809"/>
      <c r="I352" s="809"/>
      <c r="J352" s="809"/>
      <c r="K352" s="809"/>
      <c r="L352" s="809"/>
      <c r="M352" s="809"/>
      <c r="N352" s="809"/>
      <c r="O352" s="809"/>
      <c r="P352" s="809"/>
      <c r="Q352" s="809"/>
      <c r="R352" s="809"/>
      <c r="S352" s="809"/>
      <c r="T352" s="809"/>
      <c r="U352" s="809"/>
      <c r="V352" s="809"/>
      <c r="W352" s="809"/>
      <c r="X352" s="809"/>
      <c r="Y352" s="809"/>
      <c r="Z352" s="809"/>
      <c r="AA352" s="809"/>
      <c r="AB352" s="809"/>
      <c r="AC352" s="809"/>
      <c r="AD352" s="809"/>
      <c r="AE352" s="809"/>
      <c r="AF352" s="809"/>
      <c r="AG352" s="809"/>
      <c r="AH352" s="809"/>
      <c r="AI352" s="809"/>
      <c r="AJ352" s="809"/>
      <c r="AK352" s="809"/>
      <c r="AL352" s="809"/>
      <c r="AM352" s="809"/>
      <c r="AN352" s="809"/>
      <c r="AO352" s="809"/>
      <c r="AP352" s="809"/>
      <c r="AQ352" s="809"/>
      <c r="AR352" s="809"/>
      <c r="AS352" s="809"/>
      <c r="AT352" s="809"/>
      <c r="AU352" s="809"/>
      <c r="AV352" s="809"/>
      <c r="AW352" s="809"/>
      <c r="AX352" s="809"/>
      <c r="AY352" s="809"/>
      <c r="AZ352" s="809"/>
      <c r="BA352" s="809"/>
      <c r="BB352" s="809"/>
      <c r="BC352" s="809"/>
      <c r="BD352" s="809"/>
      <c r="BE352" s="809"/>
      <c r="BF352" s="809"/>
      <c r="BG352" s="809"/>
      <c r="BH352" s="809"/>
      <c r="BI352" s="809"/>
      <c r="BJ352" s="809"/>
      <c r="BK352" s="809"/>
      <c r="BL352" s="809"/>
      <c r="BM352" s="809"/>
      <c r="BN352" s="809"/>
    </row>
    <row r="353" spans="1:66">
      <c r="A353" s="809"/>
      <c r="B353" s="809"/>
      <c r="C353" s="809"/>
      <c r="D353" s="809"/>
      <c r="E353" s="809"/>
      <c r="F353" s="809"/>
      <c r="G353" s="809"/>
      <c r="H353" s="809"/>
      <c r="I353" s="809"/>
      <c r="J353" s="809"/>
      <c r="K353" s="809"/>
      <c r="L353" s="809"/>
      <c r="M353" s="809"/>
      <c r="N353" s="809"/>
      <c r="O353" s="809"/>
      <c r="P353" s="809"/>
      <c r="Q353" s="809"/>
      <c r="R353" s="809"/>
      <c r="S353" s="809"/>
      <c r="T353" s="809"/>
      <c r="U353" s="809"/>
      <c r="V353" s="809"/>
      <c r="W353" s="809"/>
      <c r="X353" s="809"/>
      <c r="Y353" s="809"/>
      <c r="Z353" s="809"/>
      <c r="AA353" s="809"/>
      <c r="AB353" s="809"/>
      <c r="AC353" s="809"/>
      <c r="AD353" s="809"/>
      <c r="AE353" s="809"/>
      <c r="AF353" s="809"/>
      <c r="AG353" s="809"/>
      <c r="AH353" s="809"/>
      <c r="AI353" s="809"/>
      <c r="AJ353" s="809"/>
      <c r="AK353" s="809"/>
      <c r="AL353" s="809"/>
      <c r="AM353" s="809"/>
      <c r="AN353" s="809"/>
      <c r="AO353" s="809"/>
      <c r="AP353" s="809"/>
      <c r="AQ353" s="809"/>
      <c r="AR353" s="809"/>
      <c r="AS353" s="809"/>
      <c r="AT353" s="809"/>
      <c r="AU353" s="809"/>
      <c r="AV353" s="809"/>
      <c r="AW353" s="809"/>
      <c r="AX353" s="809"/>
      <c r="AY353" s="809"/>
      <c r="AZ353" s="809"/>
      <c r="BA353" s="809"/>
      <c r="BB353" s="809"/>
      <c r="BC353" s="809"/>
      <c r="BD353" s="809"/>
      <c r="BE353" s="809"/>
      <c r="BF353" s="809"/>
      <c r="BG353" s="809"/>
      <c r="BH353" s="809"/>
      <c r="BI353" s="809"/>
      <c r="BJ353" s="809"/>
      <c r="BK353" s="809"/>
      <c r="BL353" s="809"/>
      <c r="BM353" s="809"/>
      <c r="BN353" s="809"/>
    </row>
    <row r="354" spans="1:66">
      <c r="A354" s="809"/>
      <c r="B354" s="809"/>
      <c r="C354" s="809"/>
      <c r="D354" s="809"/>
      <c r="E354" s="809"/>
      <c r="F354" s="809"/>
      <c r="G354" s="809"/>
      <c r="H354" s="809"/>
      <c r="I354" s="809"/>
      <c r="J354" s="809"/>
      <c r="K354" s="809"/>
      <c r="L354" s="809"/>
      <c r="M354" s="809"/>
      <c r="N354" s="809"/>
      <c r="O354" s="809"/>
      <c r="P354" s="809"/>
      <c r="Q354" s="809"/>
      <c r="R354" s="809"/>
      <c r="S354" s="809"/>
      <c r="T354" s="809"/>
      <c r="U354" s="809"/>
      <c r="V354" s="809"/>
      <c r="W354" s="809"/>
      <c r="X354" s="809"/>
      <c r="Y354" s="809"/>
      <c r="Z354" s="809"/>
      <c r="AA354" s="809"/>
      <c r="AB354" s="809"/>
      <c r="AC354" s="809"/>
      <c r="AD354" s="809"/>
      <c r="AE354" s="809"/>
      <c r="AF354" s="809"/>
      <c r="AG354" s="809"/>
      <c r="AH354" s="809"/>
      <c r="AI354" s="809"/>
      <c r="AJ354" s="809"/>
      <c r="AK354" s="809"/>
      <c r="AL354" s="809"/>
      <c r="AM354" s="809"/>
      <c r="AN354" s="809"/>
      <c r="AO354" s="809"/>
      <c r="AP354" s="809"/>
      <c r="AQ354" s="809"/>
      <c r="AR354" s="809"/>
      <c r="AS354" s="809"/>
      <c r="AT354" s="809"/>
      <c r="AU354" s="809"/>
      <c r="AV354" s="809"/>
      <c r="AW354" s="809"/>
      <c r="AX354" s="809"/>
      <c r="AY354" s="809"/>
      <c r="AZ354" s="809"/>
      <c r="BA354" s="809"/>
      <c r="BB354" s="809"/>
      <c r="BC354" s="809"/>
      <c r="BD354" s="809"/>
      <c r="BE354" s="809"/>
      <c r="BF354" s="809"/>
      <c r="BG354" s="809"/>
      <c r="BH354" s="809"/>
      <c r="BI354" s="809"/>
      <c r="BJ354" s="809"/>
      <c r="BK354" s="809"/>
      <c r="BL354" s="809"/>
      <c r="BM354" s="809"/>
      <c r="BN354" s="809"/>
    </row>
    <row r="355" spans="1:66">
      <c r="A355" s="809"/>
      <c r="B355" s="809"/>
      <c r="C355" s="809"/>
      <c r="D355" s="809"/>
      <c r="E355" s="809"/>
      <c r="F355" s="809"/>
      <c r="G355" s="809"/>
      <c r="H355" s="809"/>
      <c r="I355" s="809"/>
      <c r="J355" s="809"/>
      <c r="K355" s="809"/>
      <c r="L355" s="809"/>
      <c r="M355" s="809"/>
      <c r="N355" s="809"/>
      <c r="O355" s="809"/>
      <c r="P355" s="809"/>
      <c r="Q355" s="809"/>
      <c r="R355" s="809"/>
      <c r="S355" s="809"/>
      <c r="T355" s="809"/>
      <c r="U355" s="809"/>
      <c r="V355" s="809"/>
      <c r="W355" s="809"/>
      <c r="X355" s="809"/>
      <c r="Y355" s="809"/>
      <c r="Z355" s="809"/>
      <c r="AA355" s="809"/>
      <c r="AB355" s="809"/>
      <c r="AC355" s="809"/>
      <c r="AD355" s="809"/>
      <c r="AE355" s="809"/>
      <c r="AF355" s="809"/>
      <c r="AG355" s="809"/>
      <c r="AH355" s="809"/>
      <c r="AI355" s="809"/>
      <c r="AJ355" s="809"/>
      <c r="AK355" s="809"/>
      <c r="AL355" s="809"/>
      <c r="AM355" s="809"/>
      <c r="AN355" s="809"/>
      <c r="AO355" s="809"/>
      <c r="AP355" s="809"/>
      <c r="AQ355" s="809"/>
      <c r="AR355" s="809"/>
      <c r="AS355" s="809"/>
      <c r="AT355" s="809"/>
      <c r="AU355" s="809"/>
      <c r="AV355" s="809"/>
      <c r="AW355" s="809"/>
      <c r="AX355" s="809"/>
      <c r="AY355" s="809"/>
      <c r="AZ355" s="809"/>
      <c r="BA355" s="809"/>
      <c r="BB355" s="809"/>
      <c r="BC355" s="809"/>
      <c r="BD355" s="809"/>
      <c r="BE355" s="809"/>
      <c r="BF355" s="809"/>
      <c r="BG355" s="809"/>
      <c r="BH355" s="809"/>
      <c r="BI355" s="809"/>
      <c r="BJ355" s="809"/>
      <c r="BK355" s="809"/>
      <c r="BL355" s="809"/>
      <c r="BM355" s="809"/>
      <c r="BN355" s="809"/>
    </row>
    <row r="356" spans="1:66">
      <c r="A356" s="809"/>
      <c r="B356" s="809"/>
      <c r="C356" s="809"/>
      <c r="D356" s="809"/>
      <c r="E356" s="809"/>
      <c r="F356" s="809"/>
      <c r="G356" s="809"/>
      <c r="H356" s="809"/>
      <c r="I356" s="809"/>
      <c r="J356" s="809"/>
      <c r="K356" s="809"/>
      <c r="L356" s="809"/>
      <c r="M356" s="809"/>
      <c r="N356" s="809"/>
      <c r="O356" s="809"/>
      <c r="P356" s="809"/>
      <c r="Q356" s="809"/>
      <c r="R356" s="809"/>
      <c r="S356" s="809"/>
      <c r="T356" s="809"/>
      <c r="U356" s="809"/>
      <c r="V356" s="809"/>
      <c r="W356" s="809"/>
      <c r="X356" s="809"/>
      <c r="Y356" s="809"/>
      <c r="Z356" s="809"/>
      <c r="AA356" s="809"/>
      <c r="AB356" s="809"/>
      <c r="AC356" s="809"/>
      <c r="AD356" s="809"/>
      <c r="AE356" s="809"/>
      <c r="AF356" s="809"/>
      <c r="AG356" s="809"/>
      <c r="AH356" s="809"/>
      <c r="AI356" s="809"/>
      <c r="AJ356" s="809"/>
      <c r="AK356" s="809"/>
      <c r="AL356" s="809"/>
      <c r="AM356" s="809"/>
      <c r="AN356" s="809"/>
      <c r="AO356" s="809"/>
      <c r="AP356" s="809"/>
      <c r="AQ356" s="809"/>
      <c r="AR356" s="809"/>
      <c r="AS356" s="809"/>
      <c r="AT356" s="809"/>
      <c r="AU356" s="809"/>
      <c r="AV356" s="809"/>
      <c r="AW356" s="809"/>
      <c r="AX356" s="809"/>
      <c r="AY356" s="809"/>
      <c r="AZ356" s="809"/>
      <c r="BA356" s="809"/>
      <c r="BB356" s="809"/>
      <c r="BC356" s="809"/>
      <c r="BD356" s="809"/>
      <c r="BE356" s="809"/>
      <c r="BF356" s="809"/>
      <c r="BG356" s="809"/>
      <c r="BH356" s="809"/>
      <c r="BI356" s="809"/>
      <c r="BJ356" s="809"/>
      <c r="BK356" s="809"/>
      <c r="BL356" s="809"/>
      <c r="BM356" s="809"/>
      <c r="BN356" s="809"/>
    </row>
    <row r="357" spans="1:66">
      <c r="A357" s="809"/>
      <c r="B357" s="809"/>
      <c r="C357" s="809"/>
      <c r="D357" s="809"/>
      <c r="E357" s="809"/>
      <c r="F357" s="809"/>
      <c r="G357" s="809"/>
      <c r="H357" s="809"/>
      <c r="I357" s="809"/>
      <c r="J357" s="809"/>
      <c r="K357" s="809"/>
      <c r="L357" s="809"/>
      <c r="M357" s="809"/>
      <c r="N357" s="809"/>
      <c r="O357" s="809"/>
      <c r="P357" s="809"/>
      <c r="Q357" s="809"/>
      <c r="R357" s="809"/>
      <c r="S357" s="809"/>
      <c r="T357" s="809"/>
      <c r="U357" s="809"/>
      <c r="V357" s="809"/>
      <c r="W357" s="809"/>
      <c r="X357" s="809"/>
      <c r="Y357" s="809"/>
      <c r="Z357" s="809"/>
      <c r="AA357" s="809"/>
      <c r="AB357" s="809"/>
      <c r="AC357" s="809"/>
      <c r="AD357" s="809"/>
      <c r="AE357" s="809"/>
      <c r="AF357" s="809"/>
      <c r="AG357" s="809"/>
      <c r="AH357" s="809"/>
      <c r="AI357" s="809"/>
      <c r="AJ357" s="809"/>
      <c r="AK357" s="809"/>
      <c r="AL357" s="809"/>
      <c r="AM357" s="809"/>
      <c r="AN357" s="809"/>
      <c r="AO357" s="809"/>
      <c r="AP357" s="809"/>
      <c r="AQ357" s="809"/>
      <c r="AR357" s="809"/>
      <c r="AS357" s="809"/>
      <c r="AT357" s="809"/>
      <c r="AU357" s="809"/>
      <c r="AV357" s="809"/>
      <c r="AW357" s="809"/>
      <c r="AX357" s="809"/>
      <c r="AY357" s="809"/>
      <c r="AZ357" s="809"/>
      <c r="BA357" s="809"/>
      <c r="BB357" s="809"/>
      <c r="BC357" s="809"/>
      <c r="BD357" s="809"/>
      <c r="BE357" s="809"/>
      <c r="BF357" s="809"/>
      <c r="BG357" s="809"/>
      <c r="BH357" s="809"/>
      <c r="BI357" s="809"/>
      <c r="BJ357" s="809"/>
      <c r="BK357" s="809"/>
      <c r="BL357" s="809"/>
      <c r="BM357" s="809"/>
      <c r="BN357" s="809"/>
    </row>
    <row r="358" spans="1:66">
      <c r="A358" s="809"/>
      <c r="B358" s="809"/>
      <c r="C358" s="809"/>
      <c r="D358" s="809"/>
      <c r="E358" s="809"/>
      <c r="F358" s="809"/>
      <c r="G358" s="809"/>
      <c r="H358" s="809"/>
      <c r="I358" s="809"/>
      <c r="J358" s="809"/>
      <c r="K358" s="809"/>
      <c r="L358" s="809"/>
      <c r="M358" s="809"/>
      <c r="N358" s="809"/>
      <c r="O358" s="809"/>
      <c r="P358" s="809"/>
      <c r="Q358" s="809"/>
      <c r="R358" s="809"/>
      <c r="S358" s="809"/>
      <c r="T358" s="809"/>
      <c r="U358" s="809"/>
      <c r="V358" s="809"/>
      <c r="W358" s="809"/>
      <c r="X358" s="809"/>
      <c r="Y358" s="809"/>
      <c r="Z358" s="809"/>
      <c r="AA358" s="809"/>
      <c r="AB358" s="809"/>
      <c r="AC358" s="809"/>
      <c r="AD358" s="809"/>
      <c r="AE358" s="809"/>
      <c r="AF358" s="809"/>
      <c r="AG358" s="809"/>
      <c r="AH358" s="809"/>
      <c r="AI358" s="809"/>
      <c r="AJ358" s="809"/>
      <c r="AK358" s="809"/>
      <c r="AL358" s="809"/>
      <c r="AM358" s="809"/>
      <c r="AN358" s="809"/>
      <c r="AO358" s="809"/>
      <c r="AP358" s="809"/>
      <c r="AQ358" s="809"/>
      <c r="AR358" s="809"/>
      <c r="AS358" s="809"/>
      <c r="AT358" s="809"/>
      <c r="AU358" s="809"/>
      <c r="AV358" s="809"/>
      <c r="AW358" s="809"/>
      <c r="AX358" s="809"/>
      <c r="AY358" s="809"/>
      <c r="AZ358" s="809"/>
      <c r="BA358" s="809"/>
      <c r="BB358" s="809"/>
      <c r="BC358" s="809"/>
      <c r="BD358" s="809"/>
      <c r="BE358" s="809"/>
      <c r="BF358" s="809"/>
      <c r="BG358" s="809"/>
      <c r="BH358" s="809"/>
      <c r="BI358" s="809"/>
      <c r="BJ358" s="809"/>
      <c r="BK358" s="809"/>
      <c r="BL358" s="809"/>
      <c r="BM358" s="809"/>
      <c r="BN358" s="809"/>
    </row>
    <row r="359" spans="1:66">
      <c r="A359" s="809"/>
      <c r="B359" s="809"/>
      <c r="C359" s="809"/>
      <c r="D359" s="809"/>
      <c r="E359" s="809"/>
      <c r="F359" s="809"/>
      <c r="G359" s="809"/>
      <c r="H359" s="809"/>
      <c r="I359" s="809"/>
      <c r="J359" s="809"/>
      <c r="K359" s="809"/>
      <c r="L359" s="809"/>
      <c r="M359" s="809"/>
      <c r="N359" s="809"/>
      <c r="O359" s="809"/>
      <c r="P359" s="809"/>
      <c r="Q359" s="809"/>
      <c r="R359" s="809"/>
      <c r="S359" s="809"/>
      <c r="T359" s="809"/>
      <c r="U359" s="809"/>
      <c r="V359" s="809"/>
      <c r="W359" s="809"/>
      <c r="X359" s="809"/>
      <c r="Y359" s="809"/>
      <c r="Z359" s="809"/>
      <c r="AA359" s="809"/>
      <c r="AB359" s="809"/>
      <c r="AC359" s="809"/>
      <c r="AD359" s="809"/>
      <c r="AE359" s="809"/>
      <c r="AF359" s="809"/>
      <c r="AG359" s="809"/>
      <c r="AH359" s="809"/>
      <c r="AI359" s="809"/>
      <c r="AJ359" s="809"/>
      <c r="AK359" s="809"/>
      <c r="AL359" s="809"/>
      <c r="AM359" s="809"/>
      <c r="AN359" s="809"/>
      <c r="AO359" s="809"/>
      <c r="AP359" s="809"/>
      <c r="AQ359" s="809"/>
      <c r="AR359" s="809"/>
      <c r="AS359" s="809"/>
      <c r="AT359" s="809"/>
      <c r="AU359" s="809"/>
      <c r="AV359" s="809"/>
      <c r="AW359" s="809"/>
      <c r="AX359" s="809"/>
      <c r="AY359" s="809"/>
      <c r="AZ359" s="809"/>
      <c r="BA359" s="809"/>
      <c r="BB359" s="809"/>
      <c r="BC359" s="809"/>
      <c r="BD359" s="809"/>
      <c r="BE359" s="809"/>
      <c r="BF359" s="809"/>
      <c r="BG359" s="809"/>
      <c r="BH359" s="809"/>
      <c r="BI359" s="809"/>
      <c r="BJ359" s="809"/>
      <c r="BK359" s="809"/>
      <c r="BL359" s="809"/>
      <c r="BM359" s="809"/>
      <c r="BN359" s="809"/>
    </row>
    <row r="360" spans="1:66">
      <c r="A360" s="809"/>
      <c r="B360" s="809"/>
      <c r="C360" s="809"/>
      <c r="D360" s="809"/>
      <c r="E360" s="809"/>
      <c r="F360" s="809"/>
      <c r="G360" s="809"/>
      <c r="H360" s="809"/>
      <c r="I360" s="809"/>
      <c r="J360" s="809"/>
      <c r="K360" s="809"/>
      <c r="L360" s="809"/>
      <c r="M360" s="809"/>
      <c r="N360" s="809"/>
      <c r="O360" s="809"/>
      <c r="P360" s="809"/>
      <c r="Q360" s="809"/>
      <c r="R360" s="809"/>
      <c r="S360" s="809"/>
      <c r="T360" s="809"/>
      <c r="U360" s="809"/>
      <c r="V360" s="809"/>
      <c r="W360" s="809"/>
      <c r="X360" s="809"/>
      <c r="Y360" s="809"/>
      <c r="Z360" s="809"/>
      <c r="AA360" s="809"/>
      <c r="AB360" s="809"/>
      <c r="AC360" s="809"/>
      <c r="AD360" s="809"/>
      <c r="AE360" s="809"/>
      <c r="AF360" s="809"/>
      <c r="AG360" s="809"/>
      <c r="AH360" s="809"/>
      <c r="AI360" s="809"/>
      <c r="AJ360" s="809"/>
      <c r="AK360" s="809"/>
      <c r="AL360" s="809"/>
      <c r="AM360" s="809"/>
      <c r="AN360" s="809"/>
      <c r="AO360" s="809"/>
      <c r="AP360" s="809"/>
      <c r="AQ360" s="809"/>
      <c r="AR360" s="809"/>
      <c r="AS360" s="809"/>
      <c r="AT360" s="809"/>
      <c r="AU360" s="809"/>
      <c r="AV360" s="809"/>
      <c r="AW360" s="809"/>
      <c r="AX360" s="809"/>
      <c r="AY360" s="809"/>
      <c r="AZ360" s="809"/>
      <c r="BA360" s="809"/>
      <c r="BB360" s="809"/>
      <c r="BC360" s="809"/>
      <c r="BD360" s="809"/>
      <c r="BE360" s="809"/>
      <c r="BF360" s="809"/>
      <c r="BG360" s="809"/>
      <c r="BH360" s="809"/>
      <c r="BI360" s="809"/>
      <c r="BJ360" s="809"/>
      <c r="BK360" s="809"/>
      <c r="BL360" s="809"/>
      <c r="BM360" s="809"/>
      <c r="BN360" s="809"/>
    </row>
    <row r="361" spans="1:66">
      <c r="A361" s="809"/>
      <c r="B361" s="809"/>
      <c r="C361" s="809"/>
      <c r="D361" s="809"/>
      <c r="E361" s="809"/>
      <c r="F361" s="809"/>
      <c r="G361" s="809"/>
      <c r="H361" s="809"/>
      <c r="I361" s="809"/>
      <c r="J361" s="809"/>
      <c r="K361" s="809"/>
      <c r="L361" s="809"/>
      <c r="M361" s="809"/>
      <c r="N361" s="809"/>
      <c r="O361" s="809"/>
      <c r="P361" s="809"/>
      <c r="Q361" s="809"/>
      <c r="R361" s="809"/>
      <c r="S361" s="809"/>
      <c r="T361" s="809"/>
      <c r="U361" s="809"/>
      <c r="V361" s="809"/>
      <c r="W361" s="809"/>
      <c r="X361" s="809"/>
      <c r="Y361" s="809"/>
      <c r="Z361" s="809"/>
      <c r="AA361" s="809"/>
      <c r="AB361" s="809"/>
      <c r="AC361" s="809"/>
      <c r="AD361" s="809"/>
      <c r="AE361" s="809"/>
      <c r="AF361" s="809"/>
      <c r="AG361" s="809"/>
      <c r="AH361" s="809"/>
      <c r="AI361" s="809"/>
      <c r="AJ361" s="809"/>
      <c r="AK361" s="809"/>
      <c r="AL361" s="809"/>
      <c r="AM361" s="809"/>
      <c r="AN361" s="809"/>
      <c r="AO361" s="809"/>
      <c r="AP361" s="809"/>
      <c r="AQ361" s="809"/>
      <c r="AR361" s="809"/>
      <c r="AS361" s="809"/>
      <c r="AT361" s="809"/>
      <c r="AU361" s="809"/>
      <c r="AV361" s="809"/>
      <c r="AW361" s="809"/>
      <c r="AX361" s="809"/>
      <c r="AY361" s="809"/>
      <c r="AZ361" s="809"/>
      <c r="BA361" s="809"/>
      <c r="BB361" s="809"/>
      <c r="BC361" s="809"/>
      <c r="BD361" s="809"/>
      <c r="BE361" s="809"/>
      <c r="BF361" s="809"/>
      <c r="BG361" s="809"/>
      <c r="BH361" s="809"/>
      <c r="BI361" s="809"/>
      <c r="BJ361" s="809"/>
      <c r="BK361" s="809"/>
      <c r="BL361" s="809"/>
      <c r="BM361" s="809"/>
      <c r="BN361" s="809"/>
    </row>
    <row r="362" spans="1:66">
      <c r="A362" s="809"/>
      <c r="B362" s="809"/>
      <c r="C362" s="809"/>
      <c r="D362" s="809"/>
      <c r="E362" s="809"/>
      <c r="F362" s="809"/>
      <c r="G362" s="809"/>
      <c r="H362" s="809"/>
      <c r="I362" s="809"/>
      <c r="J362" s="809"/>
      <c r="K362" s="809"/>
      <c r="L362" s="809"/>
      <c r="M362" s="809"/>
      <c r="N362" s="809"/>
      <c r="O362" s="809"/>
      <c r="P362" s="809"/>
      <c r="Q362" s="809"/>
      <c r="R362" s="809"/>
      <c r="S362" s="809"/>
      <c r="T362" s="809"/>
      <c r="U362" s="809"/>
      <c r="V362" s="809"/>
      <c r="W362" s="809"/>
      <c r="X362" s="809"/>
      <c r="Y362" s="809"/>
      <c r="Z362" s="809"/>
      <c r="AA362" s="809"/>
      <c r="AB362" s="809"/>
      <c r="AC362" s="809"/>
      <c r="AD362" s="809"/>
      <c r="AE362" s="809"/>
      <c r="AF362" s="809"/>
      <c r="AG362" s="809"/>
      <c r="AH362" s="809"/>
      <c r="AI362" s="809"/>
      <c r="AJ362" s="809"/>
      <c r="AK362" s="809"/>
      <c r="AL362" s="809"/>
      <c r="AM362" s="809"/>
      <c r="AN362" s="809"/>
      <c r="AO362" s="809"/>
      <c r="AP362" s="809"/>
      <c r="AQ362" s="809"/>
      <c r="AR362" s="809"/>
      <c r="AS362" s="809"/>
      <c r="AT362" s="809"/>
      <c r="AU362" s="809"/>
      <c r="AV362" s="809"/>
      <c r="AW362" s="809"/>
      <c r="AX362" s="809"/>
      <c r="AY362" s="809"/>
      <c r="AZ362" s="809"/>
      <c r="BA362" s="809"/>
      <c r="BB362" s="809"/>
      <c r="BC362" s="809"/>
      <c r="BD362" s="809"/>
      <c r="BE362" s="809"/>
      <c r="BF362" s="809"/>
      <c r="BG362" s="809"/>
      <c r="BH362" s="809"/>
      <c r="BI362" s="809"/>
      <c r="BJ362" s="809"/>
      <c r="BK362" s="809"/>
      <c r="BL362" s="809"/>
      <c r="BM362" s="809"/>
      <c r="BN362" s="809"/>
    </row>
    <row r="363" spans="1:66">
      <c r="A363" s="809"/>
      <c r="B363" s="809"/>
      <c r="C363" s="809"/>
      <c r="D363" s="809"/>
      <c r="E363" s="809"/>
      <c r="F363" s="809"/>
      <c r="G363" s="809"/>
      <c r="H363" s="809"/>
      <c r="I363" s="809"/>
      <c r="J363" s="809"/>
      <c r="K363" s="809"/>
      <c r="L363" s="809"/>
      <c r="M363" s="809"/>
      <c r="N363" s="809"/>
      <c r="O363" s="809"/>
      <c r="P363" s="809"/>
      <c r="Q363" s="809"/>
      <c r="R363" s="809"/>
      <c r="S363" s="809"/>
      <c r="T363" s="809"/>
      <c r="U363" s="809"/>
      <c r="V363" s="809"/>
      <c r="W363" s="809"/>
      <c r="X363" s="809"/>
      <c r="Y363" s="809"/>
      <c r="Z363" s="809"/>
      <c r="AA363" s="809"/>
      <c r="AB363" s="809"/>
      <c r="AC363" s="809"/>
      <c r="AD363" s="809"/>
      <c r="AE363" s="809"/>
      <c r="AF363" s="809"/>
      <c r="AG363" s="809"/>
      <c r="AH363" s="809"/>
      <c r="AI363" s="809"/>
      <c r="AJ363" s="809"/>
      <c r="AK363" s="809"/>
      <c r="AL363" s="809"/>
      <c r="AM363" s="809"/>
      <c r="AN363" s="809"/>
      <c r="AO363" s="809"/>
      <c r="AP363" s="809"/>
      <c r="AQ363" s="809"/>
      <c r="AR363" s="809"/>
      <c r="AS363" s="809"/>
      <c r="AT363" s="809"/>
      <c r="AU363" s="809"/>
      <c r="AV363" s="809"/>
      <c r="AW363" s="809"/>
      <c r="AX363" s="809"/>
      <c r="AY363" s="809"/>
      <c r="AZ363" s="809"/>
      <c r="BA363" s="809"/>
      <c r="BB363" s="809"/>
      <c r="BC363" s="809"/>
      <c r="BD363" s="809"/>
      <c r="BE363" s="809"/>
      <c r="BF363" s="809"/>
      <c r="BG363" s="809"/>
      <c r="BH363" s="809"/>
      <c r="BI363" s="809"/>
      <c r="BJ363" s="809"/>
      <c r="BK363" s="809"/>
      <c r="BL363" s="809"/>
      <c r="BM363" s="809"/>
      <c r="BN363" s="809"/>
    </row>
    <row r="364" spans="1:66">
      <c r="A364" s="809"/>
      <c r="B364" s="809"/>
      <c r="C364" s="809"/>
      <c r="D364" s="809"/>
      <c r="E364" s="809"/>
      <c r="F364" s="809"/>
      <c r="G364" s="809"/>
      <c r="H364" s="809"/>
      <c r="I364" s="809"/>
      <c r="J364" s="809"/>
      <c r="K364" s="809"/>
      <c r="L364" s="809"/>
      <c r="M364" s="809"/>
      <c r="N364" s="809"/>
      <c r="O364" s="809"/>
      <c r="P364" s="809"/>
      <c r="Q364" s="809"/>
      <c r="R364" s="809"/>
      <c r="S364" s="809"/>
      <c r="T364" s="809"/>
      <c r="U364" s="809"/>
      <c r="V364" s="809"/>
      <c r="W364" s="809"/>
      <c r="X364" s="809"/>
      <c r="Y364" s="809"/>
      <c r="Z364" s="809"/>
      <c r="AA364" s="809"/>
      <c r="AB364" s="809"/>
      <c r="AC364" s="809"/>
      <c r="AD364" s="809"/>
      <c r="AE364" s="809"/>
      <c r="AF364" s="809"/>
      <c r="AG364" s="809"/>
      <c r="AH364" s="809"/>
      <c r="AI364" s="809"/>
      <c r="AJ364" s="809"/>
      <c r="AK364" s="809"/>
      <c r="AL364" s="809"/>
      <c r="AM364" s="809"/>
      <c r="AN364" s="809"/>
      <c r="AO364" s="809"/>
      <c r="AP364" s="809"/>
      <c r="AQ364" s="809"/>
      <c r="AR364" s="809"/>
      <c r="AS364" s="809"/>
      <c r="AT364" s="809"/>
      <c r="AU364" s="809"/>
      <c r="AV364" s="809"/>
      <c r="AW364" s="809"/>
      <c r="AX364" s="809"/>
      <c r="AY364" s="809"/>
      <c r="AZ364" s="809"/>
      <c r="BA364" s="809"/>
      <c r="BB364" s="809"/>
      <c r="BC364" s="809"/>
      <c r="BD364" s="809"/>
      <c r="BE364" s="809"/>
      <c r="BF364" s="809"/>
      <c r="BG364" s="809"/>
      <c r="BH364" s="809"/>
      <c r="BI364" s="809"/>
      <c r="BJ364" s="809"/>
      <c r="BK364" s="809"/>
      <c r="BL364" s="809"/>
      <c r="BM364" s="809"/>
      <c r="BN364" s="809"/>
    </row>
    <row r="365" spans="1:66">
      <c r="A365" s="809"/>
      <c r="B365" s="809"/>
      <c r="C365" s="809"/>
      <c r="D365" s="809"/>
      <c r="E365" s="809"/>
      <c r="F365" s="809"/>
      <c r="G365" s="809"/>
      <c r="H365" s="809"/>
      <c r="I365" s="809"/>
      <c r="J365" s="809"/>
      <c r="K365" s="809"/>
      <c r="L365" s="809"/>
      <c r="M365" s="809"/>
      <c r="N365" s="809"/>
      <c r="O365" s="809"/>
      <c r="P365" s="809"/>
      <c r="Q365" s="809"/>
      <c r="R365" s="809"/>
      <c r="S365" s="809"/>
      <c r="T365" s="809"/>
      <c r="U365" s="809"/>
      <c r="V365" s="809"/>
      <c r="W365" s="809"/>
      <c r="X365" s="809"/>
      <c r="Y365" s="809"/>
      <c r="Z365" s="809"/>
      <c r="AA365" s="809"/>
      <c r="AB365" s="809"/>
      <c r="AC365" s="809"/>
      <c r="AD365" s="809"/>
      <c r="AE365" s="809"/>
      <c r="AF365" s="809"/>
      <c r="AG365" s="809"/>
      <c r="AH365" s="809"/>
      <c r="AI365" s="809"/>
      <c r="AJ365" s="809"/>
      <c r="AK365" s="809"/>
      <c r="AL365" s="809"/>
      <c r="AM365" s="809"/>
      <c r="AN365" s="809"/>
      <c r="AO365" s="809"/>
      <c r="AP365" s="809"/>
      <c r="AQ365" s="809"/>
      <c r="AR365" s="809"/>
      <c r="AS365" s="809"/>
      <c r="AT365" s="809"/>
      <c r="AU365" s="809"/>
      <c r="AV365" s="809"/>
      <c r="AW365" s="809"/>
      <c r="AX365" s="809"/>
      <c r="AY365" s="809"/>
      <c r="AZ365" s="809"/>
      <c r="BA365" s="809"/>
      <c r="BB365" s="809"/>
      <c r="BC365" s="809"/>
      <c r="BD365" s="809"/>
      <c r="BE365" s="809"/>
      <c r="BF365" s="809"/>
      <c r="BG365" s="809"/>
      <c r="BH365" s="809"/>
      <c r="BI365" s="809"/>
      <c r="BJ365" s="809"/>
      <c r="BK365" s="809"/>
      <c r="BL365" s="809"/>
      <c r="BM365" s="809"/>
      <c r="BN365" s="809"/>
    </row>
    <row r="366" spans="1:66">
      <c r="A366" s="809"/>
      <c r="B366" s="809"/>
      <c r="C366" s="809"/>
      <c r="D366" s="809"/>
      <c r="E366" s="809"/>
      <c r="F366" s="809"/>
      <c r="G366" s="809"/>
      <c r="H366" s="809"/>
      <c r="I366" s="809"/>
      <c r="J366" s="809"/>
      <c r="K366" s="809"/>
      <c r="L366" s="809"/>
      <c r="M366" s="809"/>
      <c r="N366" s="809"/>
      <c r="O366" s="809"/>
      <c r="P366" s="809"/>
      <c r="Q366" s="809"/>
      <c r="R366" s="809"/>
      <c r="S366" s="809"/>
      <c r="T366" s="809"/>
      <c r="U366" s="809"/>
      <c r="V366" s="809"/>
      <c r="W366" s="809"/>
      <c r="X366" s="809"/>
      <c r="Y366" s="809"/>
      <c r="Z366" s="809"/>
      <c r="AA366" s="809"/>
      <c r="AB366" s="809"/>
      <c r="AC366" s="809"/>
      <c r="AD366" s="809"/>
      <c r="AE366" s="809"/>
      <c r="AF366" s="809"/>
      <c r="AG366" s="809"/>
      <c r="AH366" s="809"/>
      <c r="AI366" s="809"/>
      <c r="AJ366" s="809"/>
      <c r="AK366" s="809"/>
      <c r="AL366" s="809"/>
      <c r="AM366" s="809"/>
      <c r="AN366" s="809"/>
      <c r="AO366" s="809"/>
      <c r="AP366" s="809"/>
      <c r="AQ366" s="809"/>
      <c r="AR366" s="809"/>
      <c r="AS366" s="809"/>
      <c r="AT366" s="809"/>
      <c r="AU366" s="809"/>
      <c r="AV366" s="809"/>
      <c r="AW366" s="809"/>
      <c r="AX366" s="809"/>
      <c r="AY366" s="809"/>
      <c r="AZ366" s="809"/>
      <c r="BA366" s="809"/>
      <c r="BB366" s="809"/>
      <c r="BC366" s="809"/>
      <c r="BD366" s="809"/>
      <c r="BE366" s="809"/>
      <c r="BF366" s="809"/>
      <c r="BG366" s="809"/>
      <c r="BH366" s="809"/>
      <c r="BI366" s="809"/>
      <c r="BJ366" s="809"/>
      <c r="BK366" s="809"/>
      <c r="BL366" s="809"/>
      <c r="BM366" s="809"/>
      <c r="BN366" s="809"/>
    </row>
    <row r="367" spans="1:66">
      <c r="A367" s="809"/>
      <c r="B367" s="809"/>
      <c r="C367" s="809"/>
      <c r="D367" s="809"/>
      <c r="E367" s="809"/>
      <c r="F367" s="809"/>
      <c r="G367" s="809"/>
      <c r="H367" s="809"/>
      <c r="I367" s="809"/>
      <c r="J367" s="809"/>
      <c r="K367" s="809"/>
      <c r="L367" s="809"/>
      <c r="M367" s="809"/>
      <c r="N367" s="809"/>
      <c r="O367" s="809"/>
      <c r="P367" s="809"/>
      <c r="Q367" s="809"/>
      <c r="R367" s="809"/>
      <c r="S367" s="809"/>
      <c r="T367" s="809"/>
      <c r="U367" s="809"/>
      <c r="V367" s="809"/>
      <c r="W367" s="809"/>
      <c r="X367" s="809"/>
      <c r="Y367" s="809"/>
      <c r="Z367" s="809"/>
      <c r="AA367" s="809"/>
      <c r="AB367" s="809"/>
      <c r="AC367" s="809"/>
      <c r="AD367" s="809"/>
      <c r="AE367" s="809"/>
      <c r="AF367" s="809"/>
      <c r="AG367" s="809"/>
      <c r="AH367" s="809"/>
      <c r="AI367" s="809"/>
      <c r="AJ367" s="809"/>
      <c r="AK367" s="809"/>
      <c r="AL367" s="809"/>
      <c r="AM367" s="809"/>
      <c r="AN367" s="809"/>
      <c r="AO367" s="809"/>
      <c r="AP367" s="809"/>
      <c r="AQ367" s="809"/>
      <c r="AR367" s="809"/>
      <c r="AS367" s="809"/>
      <c r="AT367" s="809"/>
      <c r="AU367" s="809"/>
      <c r="AV367" s="809"/>
      <c r="AW367" s="809"/>
      <c r="AX367" s="809"/>
      <c r="AY367" s="809"/>
      <c r="AZ367" s="809"/>
      <c r="BA367" s="809"/>
      <c r="BB367" s="809"/>
      <c r="BC367" s="809"/>
      <c r="BD367" s="809"/>
      <c r="BE367" s="809"/>
      <c r="BF367" s="809"/>
      <c r="BG367" s="809"/>
      <c r="BH367" s="809"/>
      <c r="BI367" s="809"/>
      <c r="BJ367" s="809"/>
      <c r="BK367" s="809"/>
      <c r="BL367" s="809"/>
      <c r="BM367" s="809"/>
      <c r="BN367" s="809"/>
    </row>
    <row r="368" spans="1:66">
      <c r="A368" s="809"/>
      <c r="B368" s="809"/>
      <c r="C368" s="809"/>
      <c r="D368" s="809"/>
      <c r="E368" s="809"/>
      <c r="F368" s="809"/>
      <c r="G368" s="809"/>
      <c r="H368" s="809"/>
      <c r="I368" s="809"/>
      <c r="J368" s="809"/>
      <c r="K368" s="809"/>
      <c r="L368" s="809"/>
      <c r="M368" s="809"/>
      <c r="N368" s="809"/>
      <c r="O368" s="809"/>
      <c r="P368" s="809"/>
      <c r="Q368" s="809"/>
      <c r="R368" s="809"/>
      <c r="S368" s="809"/>
      <c r="T368" s="809"/>
      <c r="U368" s="809"/>
      <c r="V368" s="809"/>
      <c r="W368" s="809"/>
      <c r="X368" s="809"/>
      <c r="Y368" s="809"/>
      <c r="Z368" s="809"/>
      <c r="AA368" s="809"/>
      <c r="AB368" s="809"/>
      <c r="AC368" s="809"/>
      <c r="AD368" s="809"/>
      <c r="AE368" s="809"/>
      <c r="AF368" s="809"/>
      <c r="AG368" s="809"/>
      <c r="AH368" s="809"/>
      <c r="AI368" s="809"/>
      <c r="AJ368" s="809"/>
      <c r="AK368" s="809"/>
      <c r="AL368" s="809"/>
      <c r="AM368" s="809"/>
      <c r="AN368" s="809"/>
      <c r="AO368" s="809"/>
      <c r="AP368" s="809"/>
      <c r="AQ368" s="809"/>
      <c r="AR368" s="809"/>
      <c r="AS368" s="809"/>
      <c r="AT368" s="809"/>
      <c r="AU368" s="809"/>
      <c r="AV368" s="809"/>
      <c r="AW368" s="809"/>
      <c r="AX368" s="809"/>
      <c r="AY368" s="809"/>
      <c r="AZ368" s="809"/>
      <c r="BA368" s="809"/>
      <c r="BB368" s="809"/>
      <c r="BC368" s="809"/>
      <c r="BD368" s="809"/>
      <c r="BE368" s="809"/>
      <c r="BF368" s="809"/>
      <c r="BG368" s="809"/>
      <c r="BH368" s="809"/>
      <c r="BI368" s="809"/>
      <c r="BJ368" s="809"/>
      <c r="BK368" s="809"/>
      <c r="BL368" s="809"/>
      <c r="BM368" s="809"/>
      <c r="BN368" s="809"/>
    </row>
    <row r="369" spans="1:66">
      <c r="A369" s="809"/>
      <c r="B369" s="809"/>
      <c r="C369" s="809"/>
      <c r="D369" s="809"/>
      <c r="E369" s="809"/>
      <c r="F369" s="809"/>
      <c r="G369" s="809"/>
      <c r="H369" s="809"/>
      <c r="I369" s="809"/>
      <c r="J369" s="809"/>
      <c r="K369" s="809"/>
      <c r="L369" s="809"/>
      <c r="M369" s="809"/>
      <c r="N369" s="809"/>
      <c r="O369" s="809"/>
      <c r="P369" s="809"/>
      <c r="Q369" s="809"/>
      <c r="R369" s="809"/>
      <c r="S369" s="809"/>
      <c r="T369" s="809"/>
      <c r="U369" s="809"/>
      <c r="V369" s="809"/>
      <c r="W369" s="809"/>
      <c r="X369" s="809"/>
      <c r="Y369" s="809"/>
      <c r="Z369" s="809"/>
      <c r="AA369" s="809"/>
      <c r="AB369" s="809"/>
      <c r="AC369" s="809"/>
      <c r="AD369" s="809"/>
      <c r="AE369" s="809"/>
      <c r="AF369" s="809"/>
      <c r="AG369" s="809"/>
      <c r="AH369" s="809"/>
      <c r="AI369" s="809"/>
      <c r="AJ369" s="809"/>
      <c r="AK369" s="809"/>
      <c r="AL369" s="809"/>
      <c r="AM369" s="809"/>
      <c r="AN369" s="809"/>
      <c r="AO369" s="809"/>
      <c r="AP369" s="809"/>
      <c r="AQ369" s="809"/>
      <c r="AR369" s="809"/>
      <c r="AS369" s="809"/>
      <c r="AT369" s="809"/>
      <c r="AU369" s="809"/>
      <c r="AV369" s="809"/>
      <c r="AW369" s="809"/>
      <c r="AX369" s="809"/>
      <c r="AY369" s="809"/>
      <c r="AZ369" s="809"/>
      <c r="BA369" s="809"/>
      <c r="BB369" s="809"/>
      <c r="BC369" s="809"/>
      <c r="BD369" s="809"/>
      <c r="BE369" s="809"/>
      <c r="BF369" s="809"/>
      <c r="BG369" s="809"/>
      <c r="BH369" s="809"/>
      <c r="BI369" s="809"/>
      <c r="BJ369" s="809"/>
      <c r="BK369" s="809"/>
      <c r="BL369" s="809"/>
      <c r="BM369" s="809"/>
      <c r="BN369" s="809"/>
    </row>
    <row r="370" spans="1:66">
      <c r="A370" s="809"/>
      <c r="B370" s="809"/>
      <c r="C370" s="809"/>
      <c r="D370" s="809"/>
      <c r="E370" s="809"/>
      <c r="F370" s="809"/>
      <c r="G370" s="809"/>
      <c r="H370" s="809"/>
      <c r="I370" s="809"/>
      <c r="J370" s="809"/>
      <c r="K370" s="809"/>
      <c r="L370" s="809"/>
      <c r="M370" s="809"/>
      <c r="N370" s="809"/>
      <c r="O370" s="809"/>
      <c r="P370" s="809"/>
      <c r="Q370" s="809"/>
      <c r="R370" s="809"/>
      <c r="S370" s="809"/>
      <c r="T370" s="809"/>
      <c r="U370" s="809"/>
      <c r="V370" s="809"/>
      <c r="W370" s="809"/>
      <c r="X370" s="809"/>
      <c r="Y370" s="809"/>
      <c r="Z370" s="809"/>
      <c r="AA370" s="809"/>
      <c r="AB370" s="809"/>
      <c r="AC370" s="809"/>
      <c r="AD370" s="809"/>
      <c r="AE370" s="809"/>
      <c r="AF370" s="809"/>
      <c r="AG370" s="809"/>
      <c r="AH370" s="809"/>
      <c r="AI370" s="809"/>
      <c r="AJ370" s="809"/>
      <c r="AK370" s="809"/>
      <c r="AL370" s="809"/>
      <c r="AM370" s="809"/>
      <c r="AN370" s="809"/>
      <c r="AO370" s="809"/>
      <c r="AP370" s="809"/>
      <c r="AQ370" s="809"/>
      <c r="AR370" s="809"/>
      <c r="AS370" s="809"/>
      <c r="AT370" s="809"/>
      <c r="AU370" s="809"/>
      <c r="AV370" s="809"/>
      <c r="AW370" s="809"/>
      <c r="AX370" s="809"/>
      <c r="AY370" s="809"/>
      <c r="AZ370" s="809"/>
      <c r="BA370" s="809"/>
      <c r="BB370" s="809"/>
      <c r="BC370" s="809"/>
      <c r="BD370" s="809"/>
      <c r="BE370" s="809"/>
      <c r="BF370" s="809"/>
      <c r="BG370" s="809"/>
      <c r="BH370" s="809"/>
      <c r="BI370" s="809"/>
      <c r="BJ370" s="809"/>
      <c r="BK370" s="809"/>
      <c r="BL370" s="809"/>
      <c r="BM370" s="809"/>
      <c r="BN370" s="809"/>
    </row>
    <row r="371" spans="1:66">
      <c r="A371" s="809"/>
      <c r="B371" s="809"/>
      <c r="C371" s="809"/>
      <c r="D371" s="809"/>
      <c r="E371" s="809"/>
      <c r="F371" s="809"/>
      <c r="G371" s="809"/>
      <c r="H371" s="809"/>
      <c r="I371" s="809"/>
      <c r="J371" s="809"/>
      <c r="K371" s="809"/>
      <c r="L371" s="809"/>
      <c r="M371" s="809"/>
      <c r="N371" s="809"/>
      <c r="O371" s="809"/>
      <c r="P371" s="809"/>
      <c r="Q371" s="809"/>
      <c r="R371" s="809"/>
      <c r="S371" s="809"/>
      <c r="T371" s="809"/>
      <c r="U371" s="809"/>
      <c r="V371" s="809"/>
      <c r="W371" s="809"/>
      <c r="X371" s="809"/>
      <c r="Y371" s="809"/>
      <c r="Z371" s="809"/>
      <c r="AA371" s="809"/>
      <c r="AB371" s="809"/>
      <c r="AC371" s="809"/>
      <c r="AD371" s="809"/>
      <c r="AE371" s="809"/>
      <c r="AF371" s="809"/>
      <c r="AG371" s="809"/>
      <c r="AH371" s="809"/>
      <c r="AI371" s="809"/>
      <c r="AJ371" s="809"/>
      <c r="AK371" s="809"/>
      <c r="AL371" s="809"/>
      <c r="AM371" s="809"/>
      <c r="AN371" s="809"/>
      <c r="AO371" s="809"/>
      <c r="AP371" s="809"/>
      <c r="AQ371" s="809"/>
      <c r="AR371" s="809"/>
      <c r="AS371" s="809"/>
      <c r="AT371" s="809"/>
      <c r="AU371" s="809"/>
      <c r="AV371" s="809"/>
      <c r="AW371" s="809"/>
      <c r="AX371" s="809"/>
      <c r="AY371" s="809"/>
      <c r="AZ371" s="809"/>
      <c r="BA371" s="809"/>
      <c r="BB371" s="809"/>
      <c r="BC371" s="809"/>
      <c r="BD371" s="809"/>
      <c r="BE371" s="809"/>
      <c r="BF371" s="809"/>
      <c r="BG371" s="809"/>
      <c r="BH371" s="809"/>
      <c r="BI371" s="809"/>
      <c r="BJ371" s="809"/>
      <c r="BK371" s="809"/>
      <c r="BL371" s="809"/>
      <c r="BM371" s="809"/>
      <c r="BN371" s="809"/>
    </row>
    <row r="372" spans="1:66">
      <c r="A372" s="809"/>
      <c r="B372" s="809"/>
      <c r="C372" s="809"/>
      <c r="D372" s="809"/>
      <c r="E372" s="809"/>
      <c r="F372" s="809"/>
      <c r="G372" s="809"/>
      <c r="H372" s="809"/>
      <c r="I372" s="809"/>
      <c r="J372" s="809"/>
      <c r="K372" s="809"/>
      <c r="L372" s="809"/>
      <c r="M372" s="809"/>
      <c r="N372" s="809"/>
      <c r="O372" s="809"/>
      <c r="P372" s="809"/>
      <c r="Q372" s="809"/>
      <c r="R372" s="809"/>
      <c r="S372" s="809"/>
      <c r="T372" s="809"/>
      <c r="U372" s="809"/>
      <c r="V372" s="809"/>
      <c r="W372" s="809"/>
      <c r="X372" s="809"/>
      <c r="Y372" s="809"/>
      <c r="Z372" s="809"/>
      <c r="AA372" s="809"/>
      <c r="AB372" s="809"/>
      <c r="AC372" s="809"/>
      <c r="AD372" s="809"/>
      <c r="AE372" s="809"/>
      <c r="AF372" s="809"/>
      <c r="AG372" s="809"/>
      <c r="AH372" s="809"/>
      <c r="AI372" s="809"/>
      <c r="AJ372" s="809"/>
      <c r="AK372" s="809"/>
      <c r="AL372" s="809"/>
      <c r="AM372" s="809"/>
      <c r="AN372" s="809"/>
      <c r="AO372" s="809"/>
      <c r="AP372" s="809"/>
      <c r="AQ372" s="809"/>
      <c r="AR372" s="809"/>
      <c r="AS372" s="809"/>
      <c r="AT372" s="809"/>
      <c r="AU372" s="809"/>
      <c r="AV372" s="809"/>
      <c r="AW372" s="809"/>
      <c r="AX372" s="809"/>
      <c r="AY372" s="809"/>
      <c r="AZ372" s="809"/>
      <c r="BA372" s="809"/>
      <c r="BB372" s="809"/>
      <c r="BC372" s="809"/>
      <c r="BD372" s="809"/>
      <c r="BE372" s="809"/>
      <c r="BF372" s="809"/>
      <c r="BG372" s="809"/>
      <c r="BH372" s="809"/>
      <c r="BI372" s="809"/>
      <c r="BJ372" s="809"/>
      <c r="BK372" s="809"/>
      <c r="BL372" s="809"/>
      <c r="BM372" s="809"/>
      <c r="BN372" s="809"/>
    </row>
    <row r="373" spans="1:66">
      <c r="A373" s="809"/>
      <c r="B373" s="809"/>
      <c r="C373" s="809"/>
      <c r="D373" s="809"/>
      <c r="E373" s="809"/>
      <c r="F373" s="809"/>
      <c r="G373" s="809"/>
      <c r="H373" s="809"/>
      <c r="I373" s="809"/>
      <c r="J373" s="809"/>
      <c r="K373" s="809"/>
      <c r="L373" s="809"/>
      <c r="M373" s="809"/>
      <c r="N373" s="809"/>
      <c r="O373" s="809"/>
      <c r="P373" s="809"/>
      <c r="Q373" s="809"/>
      <c r="R373" s="809"/>
      <c r="S373" s="809"/>
      <c r="T373" s="809"/>
      <c r="U373" s="809"/>
      <c r="V373" s="809"/>
      <c r="W373" s="809"/>
      <c r="X373" s="809"/>
      <c r="Y373" s="809"/>
      <c r="Z373" s="809"/>
      <c r="AA373" s="809"/>
      <c r="AB373" s="809"/>
      <c r="AC373" s="809"/>
      <c r="AD373" s="809"/>
      <c r="AE373" s="809"/>
      <c r="AF373" s="809"/>
      <c r="AG373" s="809"/>
      <c r="AH373" s="809"/>
      <c r="AI373" s="809"/>
      <c r="AJ373" s="809"/>
      <c r="AK373" s="809"/>
      <c r="AL373" s="809"/>
      <c r="AM373" s="809"/>
      <c r="AN373" s="809"/>
      <c r="AO373" s="809"/>
      <c r="AP373" s="809"/>
      <c r="AQ373" s="809"/>
      <c r="AR373" s="809"/>
      <c r="AS373" s="809"/>
      <c r="AT373" s="809"/>
      <c r="AU373" s="809"/>
      <c r="AV373" s="809"/>
      <c r="AW373" s="809"/>
      <c r="AX373" s="809"/>
      <c r="AY373" s="809"/>
      <c r="AZ373" s="809"/>
      <c r="BA373" s="809"/>
      <c r="BB373" s="809"/>
      <c r="BC373" s="809"/>
      <c r="BD373" s="809"/>
      <c r="BE373" s="809"/>
      <c r="BF373" s="809"/>
      <c r="BG373" s="809"/>
      <c r="BH373" s="809"/>
      <c r="BI373" s="809"/>
      <c r="BJ373" s="809"/>
      <c r="BK373" s="809"/>
      <c r="BL373" s="809"/>
      <c r="BM373" s="809"/>
      <c r="BN373" s="809"/>
    </row>
    <row r="374" spans="1:66">
      <c r="A374" s="809"/>
      <c r="B374" s="809"/>
      <c r="C374" s="809"/>
      <c r="D374" s="809"/>
      <c r="E374" s="809"/>
      <c r="F374" s="809"/>
      <c r="G374" s="809"/>
      <c r="H374" s="809"/>
      <c r="I374" s="809"/>
      <c r="J374" s="809"/>
      <c r="K374" s="809"/>
      <c r="L374" s="809"/>
      <c r="M374" s="809"/>
      <c r="N374" s="809"/>
      <c r="O374" s="809"/>
      <c r="P374" s="809"/>
      <c r="Q374" s="809"/>
      <c r="R374" s="809"/>
      <c r="S374" s="809"/>
      <c r="T374" s="809"/>
      <c r="U374" s="809"/>
      <c r="V374" s="809"/>
      <c r="W374" s="809"/>
      <c r="X374" s="809"/>
      <c r="Y374" s="809"/>
      <c r="Z374" s="809"/>
      <c r="AA374" s="809"/>
      <c r="AB374" s="809"/>
      <c r="AC374" s="809"/>
      <c r="AD374" s="809"/>
      <c r="AE374" s="809"/>
      <c r="AF374" s="809"/>
      <c r="AG374" s="809"/>
      <c r="AH374" s="809"/>
      <c r="AI374" s="809"/>
      <c r="AJ374" s="809"/>
      <c r="AK374" s="809"/>
      <c r="AL374" s="809"/>
      <c r="AM374" s="809"/>
      <c r="AN374" s="809"/>
      <c r="AO374" s="809"/>
      <c r="AP374" s="809"/>
      <c r="AQ374" s="809"/>
      <c r="AR374" s="809"/>
      <c r="AS374" s="809"/>
      <c r="AT374" s="809"/>
      <c r="AU374" s="809"/>
      <c r="AV374" s="809"/>
      <c r="AW374" s="809"/>
      <c r="AX374" s="809"/>
      <c r="AY374" s="809"/>
      <c r="AZ374" s="809"/>
      <c r="BA374" s="809"/>
      <c r="BB374" s="809"/>
      <c r="BC374" s="809"/>
      <c r="BD374" s="809"/>
      <c r="BE374" s="809"/>
      <c r="BF374" s="809"/>
      <c r="BG374" s="809"/>
      <c r="BH374" s="809"/>
      <c r="BI374" s="809"/>
      <c r="BJ374" s="809"/>
      <c r="BK374" s="809"/>
      <c r="BL374" s="809"/>
      <c r="BM374" s="809"/>
      <c r="BN374" s="809"/>
    </row>
    <row r="375" spans="1:66">
      <c r="A375" s="809"/>
      <c r="B375" s="809"/>
      <c r="C375" s="809"/>
      <c r="D375" s="809"/>
      <c r="E375" s="809"/>
      <c r="F375" s="809"/>
      <c r="G375" s="809"/>
      <c r="H375" s="809"/>
      <c r="I375" s="809"/>
      <c r="J375" s="809"/>
      <c r="K375" s="809"/>
      <c r="L375" s="809"/>
      <c r="M375" s="809"/>
      <c r="N375" s="809"/>
      <c r="O375" s="809"/>
      <c r="P375" s="809"/>
      <c r="Q375" s="809"/>
      <c r="R375" s="809"/>
      <c r="S375" s="809"/>
      <c r="T375" s="809"/>
      <c r="U375" s="809"/>
      <c r="V375" s="809"/>
      <c r="W375" s="809"/>
      <c r="X375" s="809"/>
      <c r="Y375" s="809"/>
      <c r="Z375" s="809"/>
      <c r="AA375" s="809"/>
      <c r="AB375" s="809"/>
      <c r="AC375" s="809"/>
      <c r="AD375" s="809"/>
      <c r="AE375" s="809"/>
      <c r="AF375" s="809"/>
      <c r="AG375" s="809"/>
      <c r="AH375" s="809"/>
      <c r="AI375" s="809"/>
      <c r="AJ375" s="809"/>
      <c r="AK375" s="809"/>
      <c r="AL375" s="809"/>
      <c r="AM375" s="809"/>
      <c r="AN375" s="809"/>
      <c r="AO375" s="809"/>
      <c r="AP375" s="809"/>
      <c r="AQ375" s="809"/>
      <c r="AR375" s="809"/>
      <c r="AS375" s="809"/>
      <c r="AT375" s="809"/>
      <c r="AU375" s="809"/>
      <c r="AV375" s="809"/>
      <c r="AW375" s="809"/>
      <c r="AX375" s="809"/>
      <c r="AY375" s="809"/>
      <c r="AZ375" s="809"/>
      <c r="BA375" s="809"/>
      <c r="BB375" s="809"/>
      <c r="BC375" s="809"/>
      <c r="BD375" s="809"/>
      <c r="BE375" s="809"/>
      <c r="BF375" s="809"/>
      <c r="BG375" s="809"/>
      <c r="BH375" s="809"/>
      <c r="BI375" s="809"/>
      <c r="BJ375" s="809"/>
      <c r="BK375" s="809"/>
      <c r="BL375" s="809"/>
      <c r="BM375" s="809"/>
      <c r="BN375" s="809"/>
    </row>
    <row r="376" spans="1:66">
      <c r="A376" s="809"/>
      <c r="B376" s="809"/>
      <c r="C376" s="809"/>
      <c r="D376" s="809"/>
      <c r="E376" s="809"/>
      <c r="F376" s="809"/>
      <c r="G376" s="809"/>
      <c r="H376" s="809"/>
      <c r="I376" s="809"/>
      <c r="J376" s="809"/>
      <c r="K376" s="809"/>
      <c r="L376" s="809"/>
      <c r="M376" s="809"/>
      <c r="N376" s="809"/>
      <c r="O376" s="809"/>
      <c r="P376" s="809"/>
      <c r="Q376" s="809"/>
      <c r="R376" s="809"/>
      <c r="S376" s="809"/>
      <c r="T376" s="809"/>
      <c r="U376" s="809"/>
      <c r="V376" s="809"/>
      <c r="W376" s="809"/>
      <c r="X376" s="809"/>
      <c r="Y376" s="809"/>
      <c r="Z376" s="809"/>
      <c r="AA376" s="809"/>
      <c r="AB376" s="809"/>
      <c r="AC376" s="809"/>
      <c r="AD376" s="809"/>
      <c r="AE376" s="809"/>
      <c r="AF376" s="809"/>
      <c r="AG376" s="809"/>
      <c r="AH376" s="809"/>
      <c r="AI376" s="809"/>
      <c r="AJ376" s="809"/>
      <c r="AK376" s="809"/>
      <c r="AL376" s="809"/>
      <c r="AM376" s="809"/>
      <c r="AN376" s="809"/>
      <c r="AO376" s="809"/>
      <c r="AP376" s="809"/>
      <c r="AQ376" s="809"/>
      <c r="AR376" s="809"/>
      <c r="AS376" s="809"/>
      <c r="AT376" s="809"/>
      <c r="AU376" s="809"/>
      <c r="AV376" s="809"/>
      <c r="AW376" s="809"/>
      <c r="AX376" s="809"/>
      <c r="AY376" s="809"/>
      <c r="AZ376" s="809"/>
      <c r="BA376" s="809"/>
      <c r="BB376" s="809"/>
      <c r="BC376" s="809"/>
      <c r="BD376" s="809"/>
      <c r="BE376" s="809"/>
      <c r="BF376" s="809"/>
      <c r="BG376" s="809"/>
      <c r="BH376" s="809"/>
      <c r="BI376" s="809"/>
      <c r="BJ376" s="809"/>
      <c r="BK376" s="809"/>
      <c r="BL376" s="809"/>
      <c r="BM376" s="809"/>
      <c r="BN376" s="809"/>
    </row>
    <row r="377" spans="1:66">
      <c r="A377" s="809"/>
      <c r="B377" s="809"/>
      <c r="C377" s="809"/>
      <c r="D377" s="809"/>
      <c r="E377" s="809"/>
      <c r="F377" s="809"/>
      <c r="G377" s="809"/>
      <c r="H377" s="809"/>
      <c r="I377" s="809"/>
      <c r="J377" s="809"/>
      <c r="K377" s="809"/>
      <c r="L377" s="809"/>
      <c r="M377" s="809"/>
      <c r="N377" s="809"/>
      <c r="O377" s="809"/>
      <c r="P377" s="809"/>
      <c r="Q377" s="809"/>
      <c r="R377" s="809"/>
      <c r="S377" s="809"/>
      <c r="T377" s="809"/>
      <c r="U377" s="809"/>
      <c r="V377" s="809"/>
      <c r="W377" s="809"/>
      <c r="X377" s="809"/>
      <c r="Y377" s="809"/>
      <c r="Z377" s="809"/>
      <c r="AA377" s="809"/>
      <c r="AB377" s="809"/>
      <c r="AC377" s="809"/>
      <c r="AD377" s="809"/>
      <c r="AE377" s="809"/>
      <c r="AF377" s="809"/>
      <c r="AG377" s="809"/>
      <c r="AH377" s="809"/>
      <c r="AI377" s="809"/>
      <c r="AJ377" s="809"/>
      <c r="AK377" s="809"/>
      <c r="AL377" s="809"/>
      <c r="AM377" s="809"/>
      <c r="AN377" s="809"/>
      <c r="AO377" s="809"/>
      <c r="AP377" s="809"/>
      <c r="AQ377" s="809"/>
      <c r="AR377" s="809"/>
      <c r="AS377" s="809"/>
      <c r="AT377" s="809"/>
      <c r="AU377" s="809"/>
      <c r="AV377" s="809"/>
      <c r="AW377" s="809"/>
      <c r="AX377" s="809"/>
      <c r="AY377" s="809"/>
      <c r="AZ377" s="809"/>
      <c r="BA377" s="809"/>
      <c r="BB377" s="809"/>
      <c r="BC377" s="809"/>
      <c r="BD377" s="809"/>
      <c r="BE377" s="809"/>
      <c r="BF377" s="809"/>
      <c r="BG377" s="809"/>
      <c r="BH377" s="809"/>
      <c r="BI377" s="809"/>
      <c r="BJ377" s="809"/>
      <c r="BK377" s="809"/>
      <c r="BL377" s="809"/>
      <c r="BM377" s="809"/>
      <c r="BN377" s="809"/>
    </row>
    <row r="378" spans="1:66">
      <c r="A378" s="809"/>
      <c r="B378" s="809"/>
      <c r="C378" s="809"/>
      <c r="D378" s="809"/>
      <c r="E378" s="809"/>
      <c r="F378" s="809"/>
      <c r="G378" s="809"/>
      <c r="H378" s="809"/>
      <c r="I378" s="809"/>
      <c r="J378" s="809"/>
      <c r="K378" s="809"/>
      <c r="L378" s="809"/>
      <c r="M378" s="809"/>
      <c r="N378" s="809"/>
      <c r="O378" s="809"/>
      <c r="P378" s="809"/>
      <c r="Q378" s="809"/>
      <c r="R378" s="809"/>
      <c r="S378" s="809"/>
      <c r="T378" s="809"/>
      <c r="U378" s="809"/>
      <c r="V378" s="809"/>
      <c r="W378" s="809"/>
      <c r="X378" s="809"/>
      <c r="Y378" s="809"/>
      <c r="Z378" s="809"/>
      <c r="AA378" s="809"/>
      <c r="AB378" s="809"/>
      <c r="AC378" s="809"/>
      <c r="AD378" s="809"/>
      <c r="AE378" s="809"/>
      <c r="AF378" s="809"/>
      <c r="AG378" s="809"/>
      <c r="AH378" s="809"/>
      <c r="AI378" s="809"/>
      <c r="AJ378" s="809"/>
      <c r="AK378" s="809"/>
      <c r="AL378" s="809"/>
      <c r="AM378" s="809"/>
      <c r="AN378" s="809"/>
      <c r="AO378" s="809"/>
      <c r="AP378" s="809"/>
      <c r="AQ378" s="809"/>
      <c r="AR378" s="809"/>
      <c r="AS378" s="809"/>
      <c r="AT378" s="809"/>
      <c r="AU378" s="809"/>
      <c r="AV378" s="809"/>
      <c r="AW378" s="809"/>
      <c r="AX378" s="809"/>
      <c r="AY378" s="809"/>
      <c r="AZ378" s="809"/>
      <c r="BA378" s="809"/>
      <c r="BB378" s="809"/>
      <c r="BC378" s="809"/>
      <c r="BD378" s="809"/>
      <c r="BE378" s="809"/>
      <c r="BF378" s="809"/>
      <c r="BG378" s="809"/>
      <c r="BH378" s="809"/>
      <c r="BI378" s="809"/>
      <c r="BJ378" s="809"/>
      <c r="BK378" s="809"/>
      <c r="BL378" s="809"/>
      <c r="BM378" s="809"/>
      <c r="BN378" s="809"/>
    </row>
    <row r="379" spans="1:66">
      <c r="A379" s="809"/>
      <c r="B379" s="809"/>
      <c r="C379" s="809"/>
      <c r="D379" s="809"/>
      <c r="E379" s="809"/>
      <c r="F379" s="809"/>
      <c r="G379" s="809"/>
      <c r="H379" s="809"/>
      <c r="I379" s="809"/>
      <c r="J379" s="809"/>
      <c r="K379" s="809"/>
      <c r="L379" s="809"/>
      <c r="M379" s="809"/>
      <c r="N379" s="809"/>
      <c r="O379" s="809"/>
      <c r="P379" s="809"/>
      <c r="Q379" s="809"/>
      <c r="R379" s="809"/>
      <c r="S379" s="809"/>
      <c r="T379" s="809"/>
      <c r="U379" s="809"/>
      <c r="V379" s="809"/>
      <c r="W379" s="809"/>
      <c r="X379" s="809"/>
      <c r="Y379" s="809"/>
      <c r="Z379" s="809"/>
      <c r="AA379" s="809"/>
      <c r="AB379" s="809"/>
      <c r="AC379" s="809"/>
      <c r="AD379" s="809"/>
      <c r="AE379" s="809"/>
      <c r="AF379" s="809"/>
      <c r="AG379" s="809"/>
      <c r="AH379" s="809"/>
      <c r="AI379" s="809"/>
      <c r="AJ379" s="809"/>
      <c r="AK379" s="809"/>
      <c r="AL379" s="809"/>
      <c r="AM379" s="809"/>
      <c r="AN379" s="809"/>
      <c r="AO379" s="809"/>
      <c r="AP379" s="809"/>
      <c r="AQ379" s="809"/>
      <c r="AR379" s="809"/>
      <c r="AS379" s="809"/>
      <c r="AT379" s="809"/>
      <c r="AU379" s="809"/>
      <c r="AV379" s="809"/>
      <c r="AW379" s="809"/>
      <c r="AX379" s="809"/>
      <c r="AY379" s="809"/>
      <c r="AZ379" s="809"/>
      <c r="BA379" s="809"/>
      <c r="BB379" s="809"/>
      <c r="BC379" s="809"/>
      <c r="BD379" s="809"/>
      <c r="BE379" s="809"/>
      <c r="BF379" s="809"/>
      <c r="BG379" s="809"/>
      <c r="BH379" s="809"/>
      <c r="BI379" s="809"/>
      <c r="BJ379" s="809"/>
      <c r="BK379" s="809"/>
      <c r="BL379" s="809"/>
      <c r="BM379" s="809"/>
      <c r="BN379" s="809"/>
    </row>
    <row r="380" spans="1:66">
      <c r="A380" s="809"/>
      <c r="B380" s="809"/>
      <c r="C380" s="809"/>
      <c r="D380" s="809"/>
      <c r="E380" s="80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809"/>
      <c r="AF380" s="809"/>
      <c r="AG380" s="809"/>
      <c r="AH380" s="809"/>
      <c r="AI380" s="809"/>
      <c r="AJ380" s="809"/>
      <c r="AK380" s="809"/>
      <c r="AL380" s="809"/>
      <c r="AM380" s="809"/>
      <c r="AN380" s="809"/>
      <c r="AO380" s="809"/>
      <c r="AP380" s="809"/>
      <c r="AQ380" s="809"/>
      <c r="AR380" s="809"/>
      <c r="AS380" s="809"/>
      <c r="AT380" s="809"/>
      <c r="AU380" s="809"/>
      <c r="AV380" s="809"/>
      <c r="AW380" s="809"/>
      <c r="AX380" s="809"/>
      <c r="AY380" s="809"/>
      <c r="AZ380" s="809"/>
      <c r="BA380" s="809"/>
      <c r="BB380" s="809"/>
      <c r="BC380" s="809"/>
      <c r="BD380" s="809"/>
      <c r="BE380" s="809"/>
      <c r="BF380" s="809"/>
      <c r="BG380" s="809"/>
      <c r="BH380" s="809"/>
      <c r="BI380" s="809"/>
      <c r="BJ380" s="809"/>
      <c r="BK380" s="809"/>
      <c r="BL380" s="809"/>
      <c r="BM380" s="809"/>
      <c r="BN380" s="809"/>
    </row>
    <row r="381" spans="1:66">
      <c r="A381" s="809"/>
      <c r="B381" s="809"/>
      <c r="C381" s="809"/>
      <c r="D381" s="809"/>
      <c r="E381" s="809"/>
      <c r="F381" s="809"/>
      <c r="G381" s="809"/>
      <c r="H381" s="809"/>
      <c r="I381" s="809"/>
      <c r="J381" s="809"/>
      <c r="K381" s="809"/>
      <c r="L381" s="809"/>
      <c r="M381" s="809"/>
      <c r="N381" s="809"/>
      <c r="O381" s="809"/>
      <c r="P381" s="809"/>
      <c r="Q381" s="809"/>
      <c r="R381" s="809"/>
      <c r="S381" s="809"/>
      <c r="T381" s="809"/>
      <c r="U381" s="809"/>
      <c r="V381" s="809"/>
      <c r="W381" s="809"/>
      <c r="X381" s="809"/>
      <c r="Y381" s="809"/>
      <c r="Z381" s="809"/>
      <c r="AA381" s="809"/>
      <c r="AB381" s="809"/>
      <c r="AC381" s="809"/>
      <c r="AD381" s="809"/>
      <c r="AE381" s="809"/>
      <c r="AF381" s="809"/>
      <c r="AG381" s="809"/>
      <c r="AH381" s="809"/>
      <c r="AI381" s="809"/>
      <c r="AJ381" s="809"/>
      <c r="AK381" s="809"/>
      <c r="AL381" s="809"/>
      <c r="AM381" s="809"/>
      <c r="AN381" s="809"/>
      <c r="AO381" s="809"/>
      <c r="AP381" s="809"/>
      <c r="AQ381" s="809"/>
      <c r="AR381" s="809"/>
      <c r="AS381" s="809"/>
      <c r="AT381" s="809"/>
      <c r="AU381" s="809"/>
      <c r="AV381" s="809"/>
      <c r="AW381" s="809"/>
      <c r="AX381" s="809"/>
      <c r="AY381" s="809"/>
      <c r="AZ381" s="809"/>
      <c r="BA381" s="809"/>
      <c r="BB381" s="809"/>
      <c r="BC381" s="809"/>
      <c r="BD381" s="809"/>
      <c r="BE381" s="809"/>
      <c r="BF381" s="809"/>
      <c r="BG381" s="809"/>
      <c r="BH381" s="809"/>
      <c r="BI381" s="809"/>
      <c r="BJ381" s="809"/>
      <c r="BK381" s="809"/>
      <c r="BL381" s="809"/>
      <c r="BM381" s="809"/>
      <c r="BN381" s="809"/>
    </row>
    <row r="382" spans="1:66">
      <c r="A382" s="809"/>
      <c r="B382" s="809"/>
      <c r="C382" s="809"/>
      <c r="D382" s="809"/>
      <c r="E382" s="809"/>
      <c r="F382" s="809"/>
      <c r="G382" s="809"/>
      <c r="H382" s="809"/>
      <c r="I382" s="809"/>
      <c r="J382" s="809"/>
      <c r="K382" s="809"/>
      <c r="L382" s="809"/>
      <c r="M382" s="809"/>
      <c r="N382" s="809"/>
      <c r="O382" s="809"/>
      <c r="P382" s="809"/>
      <c r="Q382" s="809"/>
      <c r="R382" s="809"/>
      <c r="S382" s="809"/>
      <c r="T382" s="809"/>
      <c r="U382" s="809"/>
      <c r="V382" s="809"/>
      <c r="W382" s="809"/>
      <c r="X382" s="809"/>
      <c r="Y382" s="809"/>
      <c r="Z382" s="809"/>
      <c r="AA382" s="809"/>
      <c r="AB382" s="809"/>
      <c r="AC382" s="809"/>
      <c r="AD382" s="809"/>
      <c r="AE382" s="809"/>
      <c r="AF382" s="809"/>
      <c r="AG382" s="809"/>
      <c r="AH382" s="809"/>
      <c r="AI382" s="809"/>
      <c r="AJ382" s="809"/>
      <c r="AK382" s="809"/>
      <c r="AL382" s="809"/>
      <c r="AM382" s="809"/>
      <c r="AN382" s="809"/>
      <c r="AO382" s="809"/>
      <c r="AP382" s="809"/>
      <c r="AQ382" s="809"/>
      <c r="AR382" s="809"/>
      <c r="AS382" s="809"/>
      <c r="AT382" s="809"/>
      <c r="AU382" s="809"/>
      <c r="AV382" s="809"/>
      <c r="AW382" s="809"/>
      <c r="AX382" s="809"/>
      <c r="AY382" s="809"/>
      <c r="AZ382" s="809"/>
      <c r="BA382" s="809"/>
      <c r="BB382" s="809"/>
      <c r="BC382" s="809"/>
      <c r="BD382" s="809"/>
      <c r="BE382" s="809"/>
      <c r="BF382" s="809"/>
      <c r="BG382" s="809"/>
      <c r="BH382" s="809"/>
      <c r="BI382" s="809"/>
      <c r="BJ382" s="809"/>
      <c r="BK382" s="809"/>
      <c r="BL382" s="809"/>
      <c r="BM382" s="809"/>
      <c r="BN382" s="809"/>
    </row>
    <row r="383" spans="1:66">
      <c r="A383" s="809"/>
      <c r="B383" s="809"/>
      <c r="C383" s="809"/>
      <c r="D383" s="809"/>
      <c r="E383" s="809"/>
      <c r="F383" s="809"/>
      <c r="G383" s="809"/>
      <c r="H383" s="809"/>
      <c r="I383" s="809"/>
      <c r="J383" s="809"/>
      <c r="K383" s="809"/>
      <c r="L383" s="809"/>
      <c r="M383" s="809"/>
      <c r="N383" s="809"/>
      <c r="O383" s="809"/>
      <c r="P383" s="809"/>
      <c r="Q383" s="809"/>
      <c r="R383" s="809"/>
      <c r="S383" s="809"/>
      <c r="T383" s="809"/>
      <c r="U383" s="809"/>
      <c r="V383" s="809"/>
      <c r="W383" s="809"/>
      <c r="X383" s="809"/>
      <c r="Y383" s="809"/>
      <c r="Z383" s="809"/>
      <c r="AA383" s="809"/>
      <c r="AB383" s="809"/>
      <c r="AC383" s="809"/>
      <c r="AD383" s="809"/>
      <c r="AE383" s="809"/>
      <c r="AF383" s="809"/>
      <c r="AG383" s="809"/>
      <c r="AH383" s="809"/>
      <c r="AI383" s="809"/>
      <c r="AJ383" s="809"/>
      <c r="AK383" s="809"/>
      <c r="AL383" s="809"/>
      <c r="AM383" s="809"/>
      <c r="AN383" s="809"/>
      <c r="AO383" s="809"/>
      <c r="AP383" s="809"/>
      <c r="AQ383" s="809"/>
      <c r="AR383" s="809"/>
      <c r="AS383" s="809"/>
      <c r="AT383" s="809"/>
      <c r="AU383" s="809"/>
      <c r="AV383" s="809"/>
      <c r="AW383" s="809"/>
      <c r="AX383" s="809"/>
      <c r="AY383" s="809"/>
      <c r="AZ383" s="809"/>
      <c r="BA383" s="809"/>
      <c r="BB383" s="809"/>
      <c r="BC383" s="809"/>
      <c r="BD383" s="809"/>
      <c r="BE383" s="809"/>
      <c r="BF383" s="809"/>
      <c r="BG383" s="809"/>
      <c r="BH383" s="809"/>
      <c r="BI383" s="809"/>
      <c r="BJ383" s="809"/>
      <c r="BK383" s="809"/>
      <c r="BL383" s="809"/>
      <c r="BM383" s="809"/>
      <c r="BN383" s="809"/>
    </row>
    <row r="384" spans="1:66">
      <c r="A384" s="809"/>
      <c r="B384" s="809"/>
      <c r="C384" s="809"/>
      <c r="D384" s="809"/>
      <c r="E384" s="809"/>
      <c r="F384" s="809"/>
      <c r="G384" s="809"/>
      <c r="H384" s="809"/>
      <c r="I384" s="809"/>
      <c r="J384" s="809"/>
      <c r="K384" s="809"/>
      <c r="L384" s="809"/>
      <c r="M384" s="809"/>
      <c r="N384" s="809"/>
      <c r="O384" s="809"/>
      <c r="P384" s="809"/>
      <c r="Q384" s="809"/>
      <c r="R384" s="809"/>
      <c r="S384" s="809"/>
      <c r="T384" s="809"/>
      <c r="U384" s="809"/>
      <c r="V384" s="809"/>
      <c r="W384" s="809"/>
      <c r="X384" s="809"/>
      <c r="Y384" s="809"/>
      <c r="Z384" s="809"/>
      <c r="AA384" s="809"/>
      <c r="AB384" s="809"/>
      <c r="AC384" s="809"/>
      <c r="AD384" s="809"/>
      <c r="AE384" s="809"/>
      <c r="AF384" s="809"/>
      <c r="AG384" s="809"/>
      <c r="AH384" s="809"/>
      <c r="AI384" s="809"/>
      <c r="AJ384" s="809"/>
      <c r="AK384" s="809"/>
      <c r="AL384" s="809"/>
      <c r="AM384" s="809"/>
      <c r="AN384" s="809"/>
      <c r="AO384" s="809"/>
      <c r="AP384" s="809"/>
      <c r="AQ384" s="809"/>
      <c r="AR384" s="809"/>
      <c r="AS384" s="809"/>
      <c r="AT384" s="809"/>
      <c r="AU384" s="809"/>
      <c r="AV384" s="809"/>
      <c r="AW384" s="809"/>
      <c r="AX384" s="809"/>
      <c r="AY384" s="809"/>
      <c r="AZ384" s="809"/>
      <c r="BA384" s="809"/>
      <c r="BB384" s="809"/>
      <c r="BC384" s="809"/>
      <c r="BD384" s="809"/>
      <c r="BE384" s="809"/>
      <c r="BF384" s="809"/>
      <c r="BG384" s="809"/>
      <c r="BH384" s="809"/>
      <c r="BI384" s="809"/>
      <c r="BJ384" s="809"/>
      <c r="BK384" s="809"/>
      <c r="BL384" s="809"/>
      <c r="BM384" s="809"/>
      <c r="BN384" s="809"/>
    </row>
    <row r="385" spans="1:66">
      <c r="A385" s="809"/>
      <c r="B385" s="809"/>
      <c r="C385" s="809"/>
      <c r="D385" s="809"/>
      <c r="E385" s="809"/>
      <c r="F385" s="809"/>
      <c r="G385" s="809"/>
      <c r="H385" s="809"/>
      <c r="I385" s="809"/>
      <c r="J385" s="809"/>
      <c r="K385" s="809"/>
      <c r="L385" s="809"/>
      <c r="M385" s="809"/>
      <c r="N385" s="809"/>
      <c r="O385" s="809"/>
      <c r="P385" s="809"/>
      <c r="Q385" s="809"/>
      <c r="R385" s="809"/>
      <c r="S385" s="809"/>
      <c r="T385" s="809"/>
      <c r="U385" s="809"/>
      <c r="V385" s="809"/>
      <c r="W385" s="809"/>
      <c r="X385" s="809"/>
      <c r="Y385" s="809"/>
      <c r="Z385" s="809"/>
      <c r="AA385" s="809"/>
      <c r="AB385" s="809"/>
      <c r="AC385" s="809"/>
      <c r="AD385" s="809"/>
      <c r="AE385" s="809"/>
      <c r="AF385" s="809"/>
      <c r="AG385" s="809"/>
      <c r="AH385" s="809"/>
      <c r="AI385" s="809"/>
      <c r="AJ385" s="809"/>
      <c r="AK385" s="809"/>
      <c r="AL385" s="809"/>
      <c r="AM385" s="809"/>
      <c r="AN385" s="809"/>
      <c r="AO385" s="809"/>
      <c r="AP385" s="809"/>
      <c r="AQ385" s="809"/>
      <c r="AR385" s="809"/>
      <c r="AS385" s="809"/>
      <c r="AT385" s="809"/>
      <c r="AU385" s="809"/>
      <c r="AV385" s="809"/>
      <c r="AW385" s="809"/>
      <c r="AX385" s="809"/>
      <c r="AY385" s="809"/>
      <c r="AZ385" s="809"/>
      <c r="BA385" s="809"/>
      <c r="BB385" s="809"/>
      <c r="BC385" s="809"/>
      <c r="BD385" s="809"/>
      <c r="BE385" s="809"/>
      <c r="BF385" s="809"/>
      <c r="BG385" s="809"/>
      <c r="BH385" s="809"/>
      <c r="BI385" s="809"/>
      <c r="BJ385" s="809"/>
      <c r="BK385" s="809"/>
      <c r="BL385" s="809"/>
      <c r="BM385" s="809"/>
      <c r="BN385" s="809"/>
    </row>
    <row r="386" spans="1:66">
      <c r="A386" s="809"/>
      <c r="B386" s="809"/>
      <c r="C386" s="809"/>
      <c r="D386" s="809"/>
      <c r="E386" s="809"/>
      <c r="F386" s="809"/>
      <c r="G386" s="809"/>
      <c r="H386" s="809"/>
      <c r="I386" s="809"/>
      <c r="J386" s="809"/>
      <c r="K386" s="809"/>
      <c r="L386" s="809"/>
      <c r="M386" s="809"/>
      <c r="N386" s="809"/>
      <c r="O386" s="809"/>
      <c r="P386" s="809"/>
      <c r="Q386" s="809"/>
      <c r="R386" s="809"/>
      <c r="S386" s="809"/>
      <c r="T386" s="809"/>
      <c r="U386" s="809"/>
      <c r="V386" s="809"/>
      <c r="W386" s="809"/>
      <c r="X386" s="809"/>
      <c r="Y386" s="809"/>
      <c r="Z386" s="809"/>
      <c r="AA386" s="809"/>
      <c r="AB386" s="809"/>
      <c r="AC386" s="809"/>
      <c r="AD386" s="809"/>
      <c r="AE386" s="809"/>
      <c r="AF386" s="809"/>
      <c r="AG386" s="809"/>
      <c r="AH386" s="809"/>
      <c r="AI386" s="809"/>
      <c r="AJ386" s="809"/>
      <c r="AK386" s="809"/>
      <c r="AL386" s="809"/>
      <c r="AM386" s="809"/>
      <c r="AN386" s="809"/>
      <c r="AO386" s="809"/>
      <c r="AP386" s="809"/>
      <c r="AQ386" s="809"/>
      <c r="AR386" s="809"/>
      <c r="AS386" s="809"/>
      <c r="AT386" s="809"/>
      <c r="AU386" s="809"/>
      <c r="AV386" s="809"/>
      <c r="AW386" s="809"/>
      <c r="AX386" s="809"/>
      <c r="AY386" s="809"/>
      <c r="AZ386" s="809"/>
      <c r="BA386" s="809"/>
      <c r="BB386" s="809"/>
      <c r="BC386" s="809"/>
      <c r="BD386" s="809"/>
      <c r="BE386" s="809"/>
      <c r="BF386" s="809"/>
      <c r="BG386" s="809"/>
      <c r="BH386" s="809"/>
      <c r="BI386" s="809"/>
      <c r="BJ386" s="809"/>
      <c r="BK386" s="809"/>
      <c r="BL386" s="809"/>
      <c r="BM386" s="809"/>
      <c r="BN386" s="809"/>
    </row>
    <row r="387" spans="1:66">
      <c r="A387" s="809"/>
      <c r="B387" s="809"/>
      <c r="C387" s="809"/>
      <c r="D387" s="809"/>
      <c r="E387" s="809"/>
      <c r="F387" s="809"/>
      <c r="G387" s="809"/>
      <c r="H387" s="809"/>
      <c r="I387" s="809"/>
      <c r="J387" s="809"/>
      <c r="K387" s="809"/>
      <c r="L387" s="809"/>
      <c r="M387" s="809"/>
      <c r="N387" s="809"/>
      <c r="O387" s="809"/>
      <c r="P387" s="809"/>
      <c r="Q387" s="809"/>
      <c r="R387" s="809"/>
      <c r="S387" s="809"/>
      <c r="T387" s="809"/>
      <c r="U387" s="809"/>
      <c r="V387" s="809"/>
      <c r="W387" s="809"/>
      <c r="X387" s="809"/>
      <c r="Y387" s="809"/>
      <c r="Z387" s="809"/>
      <c r="AA387" s="809"/>
      <c r="AB387" s="809"/>
      <c r="AC387" s="809"/>
      <c r="AD387" s="809"/>
      <c r="AE387" s="809"/>
      <c r="AF387" s="809"/>
      <c r="AG387" s="809"/>
      <c r="AH387" s="809"/>
      <c r="AI387" s="809"/>
      <c r="AJ387" s="809"/>
      <c r="AK387" s="809"/>
      <c r="AL387" s="809"/>
      <c r="AM387" s="809"/>
      <c r="AN387" s="809"/>
      <c r="AO387" s="809"/>
      <c r="AP387" s="809"/>
      <c r="AQ387" s="809"/>
      <c r="AR387" s="809"/>
      <c r="AS387" s="809"/>
      <c r="AT387" s="809"/>
      <c r="AU387" s="809"/>
      <c r="AV387" s="809"/>
      <c r="AW387" s="809"/>
      <c r="AX387" s="809"/>
      <c r="AY387" s="809"/>
      <c r="AZ387" s="809"/>
      <c r="BA387" s="809"/>
      <c r="BB387" s="809"/>
      <c r="BC387" s="809"/>
      <c r="BD387" s="809"/>
      <c r="BE387" s="809"/>
      <c r="BF387" s="809"/>
      <c r="BG387" s="809"/>
      <c r="BH387" s="809"/>
      <c r="BI387" s="809"/>
      <c r="BJ387" s="809"/>
      <c r="BK387" s="809"/>
      <c r="BL387" s="809"/>
      <c r="BM387" s="809"/>
      <c r="BN387" s="809"/>
    </row>
    <row r="388" spans="1:66">
      <c r="A388" s="809"/>
      <c r="B388" s="809"/>
      <c r="C388" s="809"/>
      <c r="D388" s="809"/>
      <c r="E388" s="809"/>
      <c r="F388" s="809"/>
      <c r="G388" s="809"/>
      <c r="H388" s="809"/>
      <c r="I388" s="809"/>
      <c r="J388" s="809"/>
      <c r="K388" s="809"/>
      <c r="L388" s="809"/>
      <c r="M388" s="809"/>
      <c r="N388" s="809"/>
      <c r="O388" s="809"/>
      <c r="P388" s="809"/>
      <c r="Q388" s="809"/>
      <c r="R388" s="809"/>
      <c r="S388" s="809"/>
      <c r="T388" s="809"/>
      <c r="U388" s="809"/>
      <c r="V388" s="809"/>
      <c r="W388" s="809"/>
      <c r="X388" s="809"/>
      <c r="Y388" s="809"/>
      <c r="Z388" s="809"/>
      <c r="AA388" s="809"/>
      <c r="AB388" s="809"/>
      <c r="AC388" s="809"/>
      <c r="AD388" s="809"/>
      <c r="AE388" s="809"/>
      <c r="AF388" s="809"/>
      <c r="AG388" s="809"/>
      <c r="AH388" s="809"/>
      <c r="AI388" s="809"/>
      <c r="AJ388" s="809"/>
      <c r="AK388" s="809"/>
      <c r="AL388" s="809"/>
      <c r="AM388" s="809"/>
      <c r="AN388" s="809"/>
      <c r="AO388" s="809"/>
      <c r="AP388" s="809"/>
      <c r="AQ388" s="809"/>
      <c r="AR388" s="809"/>
      <c r="AS388" s="809"/>
      <c r="AT388" s="809"/>
      <c r="AU388" s="809"/>
      <c r="AV388" s="809"/>
      <c r="AW388" s="809"/>
      <c r="AX388" s="809"/>
      <c r="AY388" s="809"/>
      <c r="AZ388" s="809"/>
      <c r="BA388" s="809"/>
      <c r="BB388" s="809"/>
      <c r="BC388" s="809"/>
      <c r="BD388" s="809"/>
      <c r="BE388" s="809"/>
      <c r="BF388" s="809"/>
      <c r="BG388" s="809"/>
      <c r="BH388" s="809"/>
      <c r="BI388" s="809"/>
      <c r="BJ388" s="809"/>
      <c r="BK388" s="809"/>
      <c r="BL388" s="809"/>
      <c r="BM388" s="809"/>
      <c r="BN388" s="809"/>
    </row>
    <row r="389" spans="1:66">
      <c r="A389" s="809"/>
      <c r="B389" s="809"/>
      <c r="C389" s="809"/>
      <c r="D389" s="809"/>
      <c r="E389" s="809"/>
      <c r="F389" s="809"/>
      <c r="G389" s="809"/>
      <c r="H389" s="809"/>
      <c r="I389" s="809"/>
      <c r="J389" s="809"/>
      <c r="K389" s="809"/>
      <c r="L389" s="809"/>
      <c r="M389" s="809"/>
      <c r="N389" s="809"/>
      <c r="O389" s="809"/>
      <c r="P389" s="809"/>
      <c r="Q389" s="809"/>
      <c r="R389" s="809"/>
      <c r="S389" s="809"/>
      <c r="T389" s="809"/>
      <c r="U389" s="809"/>
      <c r="V389" s="809"/>
      <c r="W389" s="809"/>
      <c r="X389" s="809"/>
      <c r="Y389" s="809"/>
      <c r="Z389" s="809"/>
      <c r="AA389" s="809"/>
      <c r="AB389" s="809"/>
      <c r="AC389" s="809"/>
      <c r="AD389" s="809"/>
      <c r="AE389" s="809"/>
      <c r="AF389" s="809"/>
      <c r="AG389" s="809"/>
      <c r="AH389" s="809"/>
      <c r="AI389" s="809"/>
      <c r="AJ389" s="809"/>
      <c r="AK389" s="809"/>
      <c r="AL389" s="809"/>
      <c r="AM389" s="809"/>
      <c r="AN389" s="809"/>
      <c r="AO389" s="809"/>
      <c r="AP389" s="809"/>
      <c r="AQ389" s="809"/>
      <c r="AR389" s="809"/>
      <c r="AS389" s="809"/>
      <c r="AT389" s="809"/>
      <c r="AU389" s="809"/>
      <c r="AV389" s="809"/>
      <c r="AW389" s="809"/>
      <c r="AX389" s="809"/>
      <c r="AY389" s="809"/>
      <c r="AZ389" s="809"/>
      <c r="BA389" s="809"/>
      <c r="BB389" s="809"/>
      <c r="BC389" s="809"/>
      <c r="BD389" s="809"/>
      <c r="BE389" s="809"/>
      <c r="BF389" s="809"/>
      <c r="BG389" s="809"/>
      <c r="BH389" s="809"/>
      <c r="BI389" s="809"/>
      <c r="BJ389" s="809"/>
      <c r="BK389" s="809"/>
      <c r="BL389" s="809"/>
      <c r="BM389" s="809"/>
      <c r="BN389" s="809"/>
    </row>
    <row r="390" spans="1:66">
      <c r="A390" s="809"/>
      <c r="B390" s="809"/>
      <c r="C390" s="809"/>
      <c r="D390" s="809"/>
      <c r="E390" s="80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809"/>
      <c r="AF390" s="809"/>
      <c r="AG390" s="809"/>
      <c r="AH390" s="809"/>
      <c r="AI390" s="809"/>
      <c r="AJ390" s="809"/>
      <c r="AK390" s="809"/>
      <c r="AL390" s="809"/>
      <c r="AM390" s="809"/>
      <c r="AN390" s="809"/>
      <c r="AO390" s="809"/>
      <c r="AP390" s="809"/>
      <c r="AQ390" s="809"/>
      <c r="AR390" s="809"/>
      <c r="AS390" s="809"/>
      <c r="AT390" s="809"/>
      <c r="AU390" s="809"/>
      <c r="AV390" s="809"/>
      <c r="AW390" s="809"/>
      <c r="AX390" s="809"/>
      <c r="AY390" s="809"/>
      <c r="AZ390" s="809"/>
      <c r="BA390" s="809"/>
      <c r="BB390" s="809"/>
      <c r="BC390" s="809"/>
      <c r="BD390" s="809"/>
      <c r="BE390" s="809"/>
      <c r="BF390" s="809"/>
      <c r="BG390" s="809"/>
      <c r="BH390" s="809"/>
      <c r="BI390" s="809"/>
      <c r="BJ390" s="809"/>
      <c r="BK390" s="809"/>
      <c r="BL390" s="809"/>
      <c r="BM390" s="809"/>
      <c r="BN390" s="809"/>
    </row>
    <row r="391" spans="1:66">
      <c r="A391" s="809"/>
      <c r="B391" s="809"/>
      <c r="C391" s="809"/>
      <c r="D391" s="809"/>
      <c r="E391" s="809"/>
      <c r="F391" s="809"/>
      <c r="G391" s="809"/>
      <c r="H391" s="809"/>
      <c r="I391" s="809"/>
      <c r="J391" s="809"/>
      <c r="K391" s="809"/>
      <c r="L391" s="809"/>
      <c r="M391" s="809"/>
      <c r="N391" s="809"/>
      <c r="O391" s="809"/>
      <c r="P391" s="809"/>
      <c r="Q391" s="809"/>
      <c r="R391" s="809"/>
      <c r="S391" s="809"/>
      <c r="T391" s="809"/>
      <c r="U391" s="809"/>
      <c r="V391" s="809"/>
      <c r="W391" s="809"/>
      <c r="X391" s="809"/>
      <c r="Y391" s="809"/>
      <c r="Z391" s="809"/>
      <c r="AA391" s="809"/>
      <c r="AB391" s="809"/>
      <c r="AC391" s="809"/>
      <c r="AD391" s="809"/>
      <c r="AE391" s="809"/>
      <c r="AF391" s="809"/>
      <c r="AG391" s="809"/>
      <c r="AH391" s="809"/>
      <c r="AI391" s="809"/>
      <c r="AJ391" s="809"/>
      <c r="AK391" s="809"/>
      <c r="AL391" s="809"/>
      <c r="AM391" s="809"/>
      <c r="AN391" s="809"/>
      <c r="AO391" s="809"/>
      <c r="AP391" s="809"/>
      <c r="AQ391" s="809"/>
      <c r="AR391" s="809"/>
      <c r="AS391" s="809"/>
      <c r="AT391" s="809"/>
      <c r="AU391" s="809"/>
      <c r="AV391" s="809"/>
      <c r="AW391" s="809"/>
      <c r="AX391" s="809"/>
      <c r="AY391" s="809"/>
      <c r="AZ391" s="809"/>
      <c r="BA391" s="809"/>
      <c r="BB391" s="809"/>
      <c r="BC391" s="809"/>
      <c r="BD391" s="809"/>
      <c r="BE391" s="809"/>
      <c r="BF391" s="809"/>
      <c r="BG391" s="809"/>
      <c r="BH391" s="809"/>
      <c r="BI391" s="809"/>
      <c r="BJ391" s="809"/>
      <c r="BK391" s="809"/>
      <c r="BL391" s="809"/>
      <c r="BM391" s="809"/>
      <c r="BN391" s="809"/>
    </row>
    <row r="392" spans="1:66">
      <c r="A392" s="809"/>
      <c r="B392" s="809"/>
      <c r="C392" s="809"/>
      <c r="D392" s="809"/>
      <c r="E392" s="809"/>
      <c r="F392" s="809"/>
      <c r="G392" s="809"/>
      <c r="H392" s="809"/>
      <c r="I392" s="809"/>
      <c r="J392" s="809"/>
      <c r="K392" s="809"/>
      <c r="L392" s="809"/>
      <c r="M392" s="809"/>
      <c r="N392" s="809"/>
      <c r="O392" s="809"/>
      <c r="P392" s="809"/>
      <c r="Q392" s="809"/>
      <c r="R392" s="809"/>
      <c r="S392" s="809"/>
      <c r="T392" s="809"/>
      <c r="U392" s="809"/>
      <c r="V392" s="809"/>
      <c r="W392" s="809"/>
      <c r="X392" s="809"/>
      <c r="Y392" s="809"/>
      <c r="Z392" s="809"/>
      <c r="AA392" s="809"/>
      <c r="AB392" s="809"/>
      <c r="AC392" s="809"/>
      <c r="AD392" s="809"/>
      <c r="AE392" s="809"/>
      <c r="AF392" s="809"/>
      <c r="AG392" s="809"/>
      <c r="AH392" s="809"/>
      <c r="AI392" s="809"/>
      <c r="AJ392" s="809"/>
      <c r="AK392" s="809"/>
      <c r="AL392" s="809"/>
      <c r="AM392" s="809"/>
      <c r="AN392" s="809"/>
      <c r="AO392" s="809"/>
      <c r="AP392" s="809"/>
      <c r="AQ392" s="809"/>
      <c r="AR392" s="809"/>
      <c r="AS392" s="809"/>
      <c r="AT392" s="809"/>
      <c r="AU392" s="809"/>
      <c r="AV392" s="809"/>
      <c r="AW392" s="809"/>
      <c r="AX392" s="809"/>
      <c r="AY392" s="809"/>
      <c r="AZ392" s="809"/>
      <c r="BA392" s="809"/>
      <c r="BB392" s="809"/>
      <c r="BC392" s="809"/>
      <c r="BD392" s="809"/>
      <c r="BE392" s="809"/>
      <c r="BF392" s="809"/>
      <c r="BG392" s="809"/>
      <c r="BH392" s="809"/>
      <c r="BI392" s="809"/>
      <c r="BJ392" s="809"/>
      <c r="BK392" s="809"/>
      <c r="BL392" s="809"/>
      <c r="BM392" s="809"/>
      <c r="BN392" s="809"/>
    </row>
    <row r="393" spans="1:66">
      <c r="A393" s="809"/>
      <c r="B393" s="809"/>
      <c r="C393" s="809"/>
      <c r="D393" s="809"/>
      <c r="E393" s="809"/>
      <c r="F393" s="809"/>
      <c r="G393" s="809"/>
      <c r="H393" s="809"/>
      <c r="I393" s="809"/>
      <c r="J393" s="809"/>
      <c r="K393" s="809"/>
      <c r="L393" s="809"/>
      <c r="M393" s="809"/>
      <c r="N393" s="809"/>
      <c r="O393" s="809"/>
      <c r="P393" s="809"/>
      <c r="Q393" s="809"/>
      <c r="R393" s="809"/>
      <c r="S393" s="809"/>
      <c r="T393" s="809"/>
      <c r="U393" s="809"/>
      <c r="V393" s="809"/>
      <c r="W393" s="809"/>
      <c r="X393" s="809"/>
      <c r="Y393" s="809"/>
      <c r="Z393" s="809"/>
      <c r="AA393" s="809"/>
      <c r="AB393" s="809"/>
      <c r="AC393" s="809"/>
      <c r="AD393" s="809"/>
      <c r="AE393" s="809"/>
      <c r="AF393" s="809"/>
      <c r="AG393" s="809"/>
      <c r="AH393" s="809"/>
      <c r="AI393" s="809"/>
      <c r="AJ393" s="809"/>
      <c r="AK393" s="809"/>
      <c r="AL393" s="809"/>
      <c r="AM393" s="809"/>
      <c r="AN393" s="809"/>
      <c r="AO393" s="809"/>
      <c r="AP393" s="809"/>
      <c r="AQ393" s="809"/>
      <c r="AR393" s="809"/>
      <c r="AS393" s="809"/>
      <c r="AT393" s="809"/>
      <c r="AU393" s="809"/>
      <c r="AV393" s="809"/>
      <c r="AW393" s="809"/>
      <c r="AX393" s="809"/>
      <c r="AY393" s="809"/>
      <c r="AZ393" s="809"/>
      <c r="BA393" s="809"/>
      <c r="BB393" s="809"/>
      <c r="BC393" s="809"/>
      <c r="BD393" s="809"/>
      <c r="BE393" s="809"/>
      <c r="BF393" s="809"/>
      <c r="BG393" s="809"/>
      <c r="BH393" s="809"/>
      <c r="BI393" s="809"/>
      <c r="BJ393" s="809"/>
      <c r="BK393" s="809"/>
      <c r="BL393" s="809"/>
      <c r="BM393" s="809"/>
      <c r="BN393" s="809"/>
    </row>
    <row r="394" spans="1:66">
      <c r="A394" s="809"/>
      <c r="B394" s="809"/>
      <c r="C394" s="809"/>
      <c r="D394" s="809"/>
      <c r="E394" s="809"/>
      <c r="F394" s="809"/>
      <c r="G394" s="809"/>
      <c r="H394" s="809"/>
      <c r="I394" s="809"/>
      <c r="J394" s="809"/>
      <c r="K394" s="809"/>
      <c r="L394" s="809"/>
      <c r="M394" s="809"/>
      <c r="N394" s="809"/>
      <c r="O394" s="809"/>
      <c r="P394" s="809"/>
      <c r="Q394" s="809"/>
      <c r="R394" s="809"/>
      <c r="S394" s="809"/>
      <c r="T394" s="809"/>
      <c r="U394" s="809"/>
      <c r="V394" s="809"/>
      <c r="W394" s="809"/>
      <c r="X394" s="809"/>
      <c r="Y394" s="809"/>
      <c r="Z394" s="809"/>
      <c r="AA394" s="809"/>
      <c r="AB394" s="809"/>
      <c r="AC394" s="809"/>
      <c r="AD394" s="809"/>
      <c r="AE394" s="809"/>
      <c r="AF394" s="809"/>
      <c r="AG394" s="809"/>
      <c r="AH394" s="809"/>
      <c r="AI394" s="809"/>
      <c r="AJ394" s="809"/>
      <c r="AK394" s="809"/>
      <c r="AL394" s="809"/>
      <c r="AM394" s="809"/>
      <c r="AN394" s="809"/>
      <c r="AO394" s="809"/>
      <c r="AP394" s="809"/>
      <c r="AQ394" s="809"/>
      <c r="AR394" s="809"/>
      <c r="AS394" s="809"/>
      <c r="AT394" s="809"/>
      <c r="AU394" s="809"/>
      <c r="AV394" s="809"/>
      <c r="AW394" s="809"/>
      <c r="AX394" s="809"/>
      <c r="AY394" s="809"/>
      <c r="AZ394" s="809"/>
      <c r="BA394" s="809"/>
      <c r="BB394" s="809"/>
      <c r="BC394" s="809"/>
      <c r="BD394" s="809"/>
      <c r="BE394" s="809"/>
      <c r="BF394" s="809"/>
      <c r="BG394" s="809"/>
      <c r="BH394" s="809"/>
      <c r="BI394" s="809"/>
      <c r="BJ394" s="809"/>
      <c r="BK394" s="809"/>
      <c r="BL394" s="809"/>
      <c r="BM394" s="809"/>
      <c r="BN394" s="809"/>
    </row>
    <row r="395" spans="1:66">
      <c r="A395" s="809"/>
      <c r="B395" s="809"/>
      <c r="C395" s="809"/>
      <c r="D395" s="809"/>
      <c r="E395" s="809"/>
      <c r="F395" s="809"/>
      <c r="G395" s="809"/>
      <c r="H395" s="809"/>
      <c r="I395" s="809"/>
      <c r="J395" s="809"/>
      <c r="K395" s="809"/>
      <c r="L395" s="809"/>
      <c r="M395" s="809"/>
      <c r="N395" s="809"/>
      <c r="O395" s="809"/>
      <c r="P395" s="809"/>
      <c r="Q395" s="809"/>
      <c r="R395" s="809"/>
      <c r="S395" s="809"/>
      <c r="T395" s="809"/>
      <c r="U395" s="809"/>
      <c r="V395" s="809"/>
      <c r="W395" s="809"/>
      <c r="X395" s="809"/>
      <c r="Y395" s="809"/>
      <c r="Z395" s="809"/>
      <c r="AA395" s="809"/>
      <c r="AB395" s="809"/>
      <c r="AC395" s="809"/>
      <c r="AD395" s="809"/>
      <c r="AE395" s="809"/>
      <c r="AF395" s="809"/>
      <c r="AG395" s="809"/>
      <c r="AH395" s="809"/>
      <c r="AI395" s="809"/>
      <c r="AJ395" s="809"/>
      <c r="AK395" s="809"/>
      <c r="AL395" s="809"/>
      <c r="AM395" s="809"/>
      <c r="AN395" s="809"/>
      <c r="AO395" s="809"/>
      <c r="AP395" s="809"/>
      <c r="AQ395" s="809"/>
      <c r="AR395" s="809"/>
      <c r="AS395" s="809"/>
      <c r="AT395" s="809"/>
      <c r="AU395" s="809"/>
      <c r="AV395" s="809"/>
      <c r="AW395" s="809"/>
      <c r="AX395" s="809"/>
      <c r="AY395" s="809"/>
      <c r="AZ395" s="809"/>
      <c r="BA395" s="809"/>
      <c r="BB395" s="809"/>
      <c r="BC395" s="809"/>
      <c r="BD395" s="809"/>
      <c r="BE395" s="809"/>
      <c r="BF395" s="809"/>
      <c r="BG395" s="809"/>
      <c r="BH395" s="809"/>
      <c r="BI395" s="809"/>
      <c r="BJ395" s="809"/>
      <c r="BK395" s="809"/>
      <c r="BL395" s="809"/>
      <c r="BM395" s="809"/>
      <c r="BN395" s="809"/>
    </row>
    <row r="396" spans="1:66">
      <c r="A396" s="809"/>
      <c r="B396" s="809"/>
      <c r="C396" s="809"/>
      <c r="D396" s="809"/>
      <c r="E396" s="809"/>
      <c r="F396" s="809"/>
      <c r="G396" s="809"/>
      <c r="H396" s="809"/>
      <c r="I396" s="809"/>
      <c r="J396" s="809"/>
      <c r="K396" s="809"/>
      <c r="L396" s="809"/>
      <c r="M396" s="809"/>
      <c r="N396" s="809"/>
      <c r="O396" s="809"/>
      <c r="P396" s="809"/>
      <c r="Q396" s="809"/>
      <c r="R396" s="809"/>
      <c r="S396" s="809"/>
      <c r="T396" s="809"/>
      <c r="U396" s="809"/>
      <c r="V396" s="809"/>
      <c r="W396" s="809"/>
      <c r="X396" s="809"/>
      <c r="Y396" s="809"/>
      <c r="Z396" s="809"/>
      <c r="AA396" s="809"/>
      <c r="AB396" s="809"/>
      <c r="AC396" s="809"/>
      <c r="AD396" s="809"/>
      <c r="AE396" s="809"/>
      <c r="AF396" s="809"/>
      <c r="AG396" s="809"/>
      <c r="AH396" s="809"/>
      <c r="AI396" s="809"/>
      <c r="AJ396" s="809"/>
      <c r="AK396" s="809"/>
      <c r="AL396" s="809"/>
      <c r="AM396" s="809"/>
      <c r="AN396" s="809"/>
      <c r="AO396" s="809"/>
      <c r="AP396" s="809"/>
      <c r="AQ396" s="809"/>
      <c r="AR396" s="809"/>
      <c r="AS396" s="809"/>
      <c r="AT396" s="809"/>
      <c r="AU396" s="809"/>
      <c r="AV396" s="809"/>
      <c r="AW396" s="809"/>
      <c r="AX396" s="809"/>
      <c r="AY396" s="809"/>
      <c r="AZ396" s="809"/>
      <c r="BA396" s="809"/>
      <c r="BB396" s="809"/>
      <c r="BC396" s="809"/>
      <c r="BD396" s="809"/>
      <c r="BE396" s="809"/>
      <c r="BF396" s="809"/>
      <c r="BG396" s="809"/>
      <c r="BH396" s="809"/>
      <c r="BI396" s="809"/>
      <c r="BJ396" s="809"/>
      <c r="BK396" s="809"/>
      <c r="BL396" s="809"/>
      <c r="BM396" s="809"/>
      <c r="BN396" s="809"/>
    </row>
    <row r="397" spans="1:66">
      <c r="A397" s="809"/>
      <c r="B397" s="809"/>
      <c r="C397" s="809"/>
      <c r="D397" s="809"/>
      <c r="E397" s="809"/>
      <c r="F397" s="809"/>
      <c r="G397" s="809"/>
      <c r="H397" s="809"/>
      <c r="I397" s="809"/>
      <c r="J397" s="809"/>
      <c r="K397" s="809"/>
      <c r="L397" s="809"/>
      <c r="M397" s="809"/>
      <c r="N397" s="809"/>
      <c r="O397" s="809"/>
      <c r="P397" s="809"/>
      <c r="Q397" s="809"/>
      <c r="R397" s="809"/>
      <c r="S397" s="809"/>
      <c r="T397" s="809"/>
      <c r="U397" s="809"/>
      <c r="V397" s="809"/>
      <c r="W397" s="809"/>
      <c r="X397" s="809"/>
      <c r="Y397" s="809"/>
      <c r="Z397" s="809"/>
      <c r="AA397" s="809"/>
      <c r="AB397" s="809"/>
      <c r="AC397" s="809"/>
      <c r="AD397" s="809"/>
      <c r="AE397" s="809"/>
      <c r="AF397" s="809"/>
      <c r="AG397" s="809"/>
      <c r="AH397" s="809"/>
      <c r="AI397" s="809"/>
      <c r="AJ397" s="809"/>
      <c r="AK397" s="809"/>
      <c r="AL397" s="809"/>
      <c r="AM397" s="809"/>
      <c r="AN397" s="809"/>
      <c r="AO397" s="809"/>
      <c r="AP397" s="809"/>
      <c r="AQ397" s="809"/>
      <c r="AR397" s="809"/>
      <c r="AS397" s="809"/>
      <c r="AT397" s="809"/>
      <c r="AU397" s="809"/>
      <c r="AV397" s="809"/>
      <c r="AW397" s="809"/>
      <c r="AX397" s="809"/>
      <c r="AY397" s="809"/>
      <c r="AZ397" s="809"/>
      <c r="BA397" s="809"/>
      <c r="BB397" s="809"/>
      <c r="BC397" s="809"/>
      <c r="BD397" s="809"/>
      <c r="BE397" s="809"/>
      <c r="BF397" s="809"/>
      <c r="BG397" s="809"/>
      <c r="BH397" s="809"/>
      <c r="BI397" s="809"/>
      <c r="BJ397" s="809"/>
      <c r="BK397" s="809"/>
      <c r="BL397" s="809"/>
      <c r="BM397" s="809"/>
      <c r="BN397" s="809"/>
    </row>
    <row r="398" spans="1:66">
      <c r="A398" s="809"/>
      <c r="B398" s="809"/>
      <c r="C398" s="809"/>
      <c r="D398" s="809"/>
      <c r="E398" s="809"/>
      <c r="F398" s="809"/>
      <c r="G398" s="809"/>
      <c r="H398" s="809"/>
      <c r="I398" s="809"/>
      <c r="J398" s="809"/>
      <c r="K398" s="809"/>
      <c r="L398" s="809"/>
      <c r="M398" s="809"/>
      <c r="N398" s="809"/>
      <c r="O398" s="809"/>
      <c r="P398" s="809"/>
      <c r="Q398" s="809"/>
      <c r="R398" s="809"/>
      <c r="S398" s="809"/>
      <c r="T398" s="809"/>
      <c r="U398" s="809"/>
      <c r="V398" s="809"/>
      <c r="W398" s="809"/>
      <c r="X398" s="809"/>
      <c r="Y398" s="809"/>
      <c r="Z398" s="809"/>
      <c r="AA398" s="809"/>
      <c r="AB398" s="809"/>
      <c r="AC398" s="809"/>
      <c r="AD398" s="809"/>
      <c r="AE398" s="809"/>
      <c r="AF398" s="809"/>
      <c r="AG398" s="809"/>
      <c r="AH398" s="809"/>
      <c r="AI398" s="809"/>
      <c r="AJ398" s="809"/>
      <c r="AK398" s="809"/>
      <c r="AL398" s="809"/>
      <c r="AM398" s="809"/>
      <c r="AN398" s="809"/>
      <c r="AO398" s="809"/>
      <c r="AP398" s="809"/>
      <c r="AQ398" s="809"/>
      <c r="AR398" s="809"/>
      <c r="AS398" s="809"/>
      <c r="AT398" s="809"/>
      <c r="AU398" s="809"/>
      <c r="AV398" s="809"/>
      <c r="AW398" s="809"/>
      <c r="AX398" s="809"/>
      <c r="AY398" s="809"/>
      <c r="AZ398" s="809"/>
      <c r="BA398" s="809"/>
      <c r="BB398" s="809"/>
      <c r="BC398" s="809"/>
      <c r="BD398" s="809"/>
      <c r="BE398" s="809"/>
      <c r="BF398" s="809"/>
      <c r="BG398" s="809"/>
      <c r="BH398" s="809"/>
      <c r="BI398" s="809"/>
      <c r="BJ398" s="809"/>
      <c r="BK398" s="809"/>
      <c r="BL398" s="809"/>
      <c r="BM398" s="809"/>
      <c r="BN398" s="809"/>
    </row>
    <row r="399" spans="1:66">
      <c r="A399" s="809"/>
      <c r="B399" s="809"/>
      <c r="C399" s="809"/>
      <c r="D399" s="809"/>
      <c r="E399" s="809"/>
      <c r="F399" s="809"/>
      <c r="G399" s="809"/>
      <c r="H399" s="809"/>
      <c r="I399" s="809"/>
      <c r="J399" s="809"/>
      <c r="K399" s="809"/>
      <c r="L399" s="809"/>
      <c r="M399" s="809"/>
      <c r="N399" s="809"/>
      <c r="O399" s="809"/>
      <c r="P399" s="809"/>
      <c r="Q399" s="809"/>
      <c r="R399" s="809"/>
      <c r="S399" s="809"/>
      <c r="T399" s="809"/>
      <c r="U399" s="809"/>
      <c r="V399" s="809"/>
      <c r="W399" s="809"/>
      <c r="X399" s="809"/>
      <c r="Y399" s="809"/>
      <c r="Z399" s="809"/>
      <c r="AA399" s="809"/>
      <c r="AB399" s="809"/>
      <c r="AC399" s="809"/>
      <c r="AD399" s="809"/>
      <c r="AE399" s="809"/>
      <c r="AF399" s="809"/>
      <c r="AG399" s="809"/>
      <c r="AH399" s="809"/>
      <c r="AI399" s="809"/>
      <c r="AJ399" s="809"/>
      <c r="AK399" s="809"/>
      <c r="AL399" s="809"/>
      <c r="AM399" s="809"/>
      <c r="AN399" s="809"/>
      <c r="AO399" s="809"/>
      <c r="AP399" s="809"/>
      <c r="AQ399" s="809"/>
      <c r="AR399" s="809"/>
      <c r="AS399" s="809"/>
      <c r="AT399" s="809"/>
      <c r="AU399" s="809"/>
      <c r="AV399" s="809"/>
      <c r="AW399" s="809"/>
      <c r="AX399" s="809"/>
      <c r="AY399" s="809"/>
      <c r="AZ399" s="809"/>
      <c r="BA399" s="809"/>
      <c r="BB399" s="809"/>
      <c r="BC399" s="809"/>
      <c r="BD399" s="809"/>
      <c r="BE399" s="809"/>
      <c r="BF399" s="809"/>
      <c r="BG399" s="809"/>
      <c r="BH399" s="809"/>
      <c r="BI399" s="809"/>
      <c r="BJ399" s="809"/>
      <c r="BK399" s="809"/>
      <c r="BL399" s="809"/>
      <c r="BM399" s="809"/>
      <c r="BN399" s="809"/>
    </row>
    <row r="400" spans="1:66">
      <c r="A400" s="809"/>
      <c r="B400" s="809"/>
      <c r="C400" s="809"/>
      <c r="D400" s="809"/>
      <c r="E400" s="80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809"/>
      <c r="AF400" s="809"/>
      <c r="AG400" s="809"/>
      <c r="AH400" s="809"/>
      <c r="AI400" s="809"/>
      <c r="AJ400" s="809"/>
      <c r="AK400" s="809"/>
      <c r="AL400" s="809"/>
      <c r="AM400" s="809"/>
      <c r="AN400" s="809"/>
      <c r="AO400" s="809"/>
      <c r="AP400" s="809"/>
      <c r="AQ400" s="809"/>
      <c r="AR400" s="809"/>
      <c r="AS400" s="809"/>
      <c r="AT400" s="809"/>
      <c r="AU400" s="809"/>
      <c r="AV400" s="809"/>
      <c r="AW400" s="809"/>
      <c r="AX400" s="809"/>
      <c r="AY400" s="809"/>
      <c r="AZ400" s="809"/>
      <c r="BA400" s="809"/>
      <c r="BB400" s="809"/>
      <c r="BC400" s="809"/>
      <c r="BD400" s="809"/>
      <c r="BE400" s="809"/>
      <c r="BF400" s="809"/>
      <c r="BG400" s="809"/>
      <c r="BH400" s="809"/>
      <c r="BI400" s="809"/>
      <c r="BJ400" s="809"/>
      <c r="BK400" s="809"/>
      <c r="BL400" s="809"/>
      <c r="BM400" s="809"/>
      <c r="BN400" s="809"/>
    </row>
    <row r="401" spans="1:66">
      <c r="A401" s="809"/>
      <c r="B401" s="809"/>
      <c r="C401" s="809"/>
      <c r="D401" s="809"/>
      <c r="E401" s="809"/>
      <c r="F401" s="809"/>
      <c r="G401" s="809"/>
      <c r="H401" s="809"/>
      <c r="I401" s="809"/>
      <c r="J401" s="809"/>
      <c r="K401" s="809"/>
      <c r="L401" s="809"/>
      <c r="M401" s="809"/>
      <c r="N401" s="809"/>
      <c r="O401" s="809"/>
      <c r="P401" s="809"/>
      <c r="Q401" s="809"/>
      <c r="R401" s="809"/>
      <c r="S401" s="809"/>
      <c r="T401" s="809"/>
      <c r="U401" s="809"/>
      <c r="V401" s="809"/>
      <c r="W401" s="809"/>
      <c r="X401" s="809"/>
      <c r="Y401" s="809"/>
      <c r="Z401" s="809"/>
      <c r="AA401" s="809"/>
      <c r="AB401" s="809"/>
      <c r="AC401" s="809"/>
      <c r="AD401" s="809"/>
      <c r="AE401" s="809"/>
      <c r="AF401" s="809"/>
      <c r="AG401" s="809"/>
      <c r="AH401" s="809"/>
      <c r="AI401" s="809"/>
      <c r="AJ401" s="809"/>
      <c r="AK401" s="809"/>
      <c r="AL401" s="809"/>
      <c r="AM401" s="809"/>
      <c r="AN401" s="809"/>
      <c r="AO401" s="809"/>
      <c r="AP401" s="809"/>
      <c r="AQ401" s="809"/>
      <c r="AR401" s="809"/>
      <c r="AS401" s="809"/>
      <c r="AT401" s="809"/>
      <c r="AU401" s="809"/>
      <c r="AV401" s="809"/>
      <c r="AW401" s="809"/>
      <c r="AX401" s="809"/>
      <c r="AY401" s="809"/>
      <c r="AZ401" s="809"/>
      <c r="BA401" s="809"/>
      <c r="BB401" s="809"/>
      <c r="BC401" s="809"/>
      <c r="BD401" s="809"/>
      <c r="BE401" s="809"/>
      <c r="BF401" s="809"/>
      <c r="BG401" s="809"/>
      <c r="BH401" s="809"/>
      <c r="BI401" s="809"/>
      <c r="BJ401" s="809"/>
      <c r="BK401" s="809"/>
      <c r="BL401" s="809"/>
      <c r="BM401" s="809"/>
      <c r="BN401" s="809"/>
    </row>
    <row r="402" spans="1:66">
      <c r="A402" s="809"/>
      <c r="B402" s="809"/>
      <c r="C402" s="809"/>
      <c r="D402" s="809"/>
      <c r="E402" s="809"/>
      <c r="F402" s="809"/>
      <c r="G402" s="809"/>
      <c r="H402" s="809"/>
      <c r="I402" s="809"/>
      <c r="J402" s="809"/>
      <c r="K402" s="809"/>
      <c r="L402" s="809"/>
      <c r="M402" s="809"/>
      <c r="N402" s="809"/>
      <c r="O402" s="809"/>
      <c r="P402" s="809"/>
      <c r="Q402" s="809"/>
      <c r="R402" s="809"/>
      <c r="S402" s="809"/>
      <c r="T402" s="809"/>
      <c r="U402" s="809"/>
      <c r="V402" s="809"/>
      <c r="W402" s="809"/>
      <c r="X402" s="809"/>
      <c r="Y402" s="809"/>
      <c r="Z402" s="809"/>
      <c r="AA402" s="809"/>
      <c r="AB402" s="809"/>
      <c r="AC402" s="809"/>
      <c r="AD402" s="809"/>
      <c r="AE402" s="809"/>
      <c r="AF402" s="809"/>
      <c r="AG402" s="809"/>
      <c r="AH402" s="809"/>
      <c r="AI402" s="809"/>
      <c r="AJ402" s="809"/>
      <c r="AK402" s="809"/>
      <c r="AL402" s="809"/>
      <c r="AM402" s="809"/>
      <c r="AN402" s="809"/>
      <c r="AO402" s="809"/>
      <c r="AP402" s="809"/>
      <c r="AQ402" s="809"/>
      <c r="AR402" s="809"/>
      <c r="AS402" s="809"/>
      <c r="AT402" s="809"/>
      <c r="AU402" s="809"/>
      <c r="AV402" s="809"/>
      <c r="AW402" s="809"/>
      <c r="AX402" s="809"/>
      <c r="AY402" s="809"/>
      <c r="AZ402" s="809"/>
      <c r="BA402" s="809"/>
      <c r="BB402" s="809"/>
      <c r="BC402" s="809"/>
      <c r="BD402" s="809"/>
      <c r="BE402" s="809"/>
      <c r="BF402" s="809"/>
      <c r="BG402" s="809"/>
      <c r="BH402" s="809"/>
      <c r="BI402" s="809"/>
      <c r="BJ402" s="809"/>
      <c r="BK402" s="809"/>
      <c r="BL402" s="809"/>
      <c r="BM402" s="809"/>
      <c r="BN402" s="809"/>
    </row>
    <row r="403" spans="1:66">
      <c r="A403" s="809"/>
      <c r="B403" s="809"/>
      <c r="C403" s="809"/>
      <c r="D403" s="809"/>
      <c r="E403" s="809"/>
      <c r="F403" s="809"/>
      <c r="G403" s="809"/>
      <c r="H403" s="809"/>
      <c r="I403" s="809"/>
      <c r="J403" s="809"/>
      <c r="K403" s="809"/>
      <c r="L403" s="809"/>
      <c r="M403" s="809"/>
      <c r="N403" s="809"/>
      <c r="O403" s="809"/>
      <c r="P403" s="809"/>
      <c r="Q403" s="809"/>
      <c r="R403" s="809"/>
      <c r="S403" s="809"/>
      <c r="T403" s="809"/>
      <c r="U403" s="809"/>
      <c r="V403" s="809"/>
      <c r="W403" s="809"/>
      <c r="X403" s="809"/>
      <c r="Y403" s="809"/>
      <c r="Z403" s="809"/>
      <c r="AA403" s="809"/>
      <c r="AB403" s="809"/>
      <c r="AC403" s="809"/>
      <c r="AD403" s="809"/>
      <c r="AE403" s="809"/>
      <c r="AF403" s="809"/>
      <c r="AG403" s="809"/>
      <c r="AH403" s="809"/>
      <c r="AI403" s="809"/>
      <c r="AJ403" s="809"/>
      <c r="AK403" s="809"/>
      <c r="AL403" s="809"/>
      <c r="AM403" s="809"/>
      <c r="AN403" s="809"/>
      <c r="AO403" s="809"/>
      <c r="AP403" s="809"/>
      <c r="AQ403" s="809"/>
      <c r="AR403" s="809"/>
      <c r="AS403" s="809"/>
      <c r="AT403" s="809"/>
      <c r="AU403" s="809"/>
      <c r="AV403" s="809"/>
      <c r="AW403" s="809"/>
      <c r="AX403" s="809"/>
      <c r="AY403" s="809"/>
      <c r="AZ403" s="809"/>
      <c r="BA403" s="809"/>
      <c r="BB403" s="809"/>
      <c r="BC403" s="809"/>
      <c r="BD403" s="809"/>
      <c r="BE403" s="809"/>
      <c r="BF403" s="809"/>
      <c r="BG403" s="809"/>
      <c r="BH403" s="809"/>
      <c r="BI403" s="809"/>
      <c r="BJ403" s="809"/>
      <c r="BK403" s="809"/>
      <c r="BL403" s="809"/>
      <c r="BM403" s="809"/>
      <c r="BN403" s="809"/>
    </row>
    <row r="404" spans="1:66">
      <c r="A404" s="809"/>
      <c r="B404" s="809"/>
      <c r="C404" s="809"/>
      <c r="D404" s="809"/>
      <c r="E404" s="809"/>
      <c r="F404" s="809"/>
      <c r="G404" s="809"/>
      <c r="H404" s="809"/>
      <c r="I404" s="809"/>
      <c r="J404" s="809"/>
      <c r="K404" s="809"/>
      <c r="L404" s="809"/>
      <c r="M404" s="809"/>
      <c r="N404" s="809"/>
      <c r="O404" s="809"/>
      <c r="P404" s="809"/>
      <c r="Q404" s="809"/>
      <c r="R404" s="809"/>
      <c r="S404" s="809"/>
      <c r="T404" s="809"/>
      <c r="U404" s="809"/>
      <c r="V404" s="809"/>
      <c r="W404" s="809"/>
      <c r="X404" s="809"/>
      <c r="Y404" s="809"/>
      <c r="Z404" s="809"/>
      <c r="AA404" s="809"/>
      <c r="AB404" s="809"/>
      <c r="AC404" s="809"/>
      <c r="AD404" s="809"/>
      <c r="AE404" s="809"/>
      <c r="AF404" s="809"/>
      <c r="AG404" s="809"/>
      <c r="AH404" s="809"/>
      <c r="AI404" s="809"/>
      <c r="AJ404" s="809"/>
      <c r="AK404" s="809"/>
      <c r="AL404" s="809"/>
      <c r="AM404" s="809"/>
      <c r="AN404" s="809"/>
      <c r="AO404" s="809"/>
      <c r="AP404" s="809"/>
      <c r="AQ404" s="809"/>
      <c r="AR404" s="809"/>
      <c r="AS404" s="809"/>
      <c r="AT404" s="809"/>
      <c r="AU404" s="809"/>
      <c r="AV404" s="809"/>
      <c r="AW404" s="809"/>
      <c r="AX404" s="809"/>
      <c r="AY404" s="809"/>
      <c r="AZ404" s="809"/>
      <c r="BA404" s="809"/>
      <c r="BB404" s="809"/>
      <c r="BC404" s="809"/>
      <c r="BD404" s="809"/>
      <c r="BE404" s="809"/>
      <c r="BF404" s="809"/>
      <c r="BG404" s="809"/>
      <c r="BH404" s="809"/>
      <c r="BI404" s="809"/>
      <c r="BJ404" s="809"/>
      <c r="BK404" s="809"/>
      <c r="BL404" s="809"/>
      <c r="BM404" s="809"/>
      <c r="BN404" s="809"/>
    </row>
    <row r="405" spans="1:66">
      <c r="A405" s="809"/>
      <c r="B405" s="809"/>
      <c r="C405" s="809"/>
      <c r="D405" s="809"/>
      <c r="E405" s="809"/>
      <c r="F405" s="809"/>
      <c r="G405" s="809"/>
      <c r="H405" s="809"/>
      <c r="I405" s="809"/>
      <c r="J405" s="809"/>
      <c r="K405" s="809"/>
      <c r="L405" s="809"/>
      <c r="M405" s="809"/>
      <c r="N405" s="809"/>
      <c r="O405" s="809"/>
      <c r="P405" s="809"/>
      <c r="Q405" s="809"/>
      <c r="R405" s="809"/>
      <c r="S405" s="809"/>
      <c r="T405" s="809"/>
      <c r="U405" s="809"/>
      <c r="V405" s="809"/>
      <c r="W405" s="809"/>
      <c r="X405" s="809"/>
      <c r="Y405" s="809"/>
      <c r="Z405" s="809"/>
      <c r="AA405" s="809"/>
      <c r="AB405" s="809"/>
      <c r="AC405" s="809"/>
      <c r="AD405" s="809"/>
      <c r="AE405" s="809"/>
      <c r="AF405" s="809"/>
      <c r="AG405" s="809"/>
      <c r="AH405" s="809"/>
      <c r="AI405" s="809"/>
      <c r="AJ405" s="809"/>
      <c r="AK405" s="809"/>
      <c r="AL405" s="809"/>
      <c r="AM405" s="809"/>
      <c r="AN405" s="809"/>
      <c r="AO405" s="809"/>
      <c r="AP405" s="809"/>
      <c r="AQ405" s="809"/>
      <c r="AR405" s="809"/>
      <c r="AS405" s="809"/>
      <c r="AT405" s="809"/>
      <c r="AU405" s="809"/>
      <c r="AV405" s="809"/>
      <c r="AW405" s="809"/>
      <c r="AX405" s="809"/>
      <c r="AY405" s="809"/>
      <c r="AZ405" s="809"/>
      <c r="BA405" s="809"/>
      <c r="BB405" s="809"/>
      <c r="BC405" s="809"/>
      <c r="BD405" s="809"/>
      <c r="BE405" s="809"/>
      <c r="BF405" s="809"/>
      <c r="BG405" s="809"/>
      <c r="BH405" s="809"/>
      <c r="BI405" s="809"/>
      <c r="BJ405" s="809"/>
      <c r="BK405" s="809"/>
      <c r="BL405" s="809"/>
      <c r="BM405" s="809"/>
      <c r="BN405" s="809"/>
    </row>
    <row r="406" spans="1:66">
      <c r="A406" s="809"/>
      <c r="B406" s="809"/>
      <c r="C406" s="809"/>
      <c r="D406" s="809"/>
      <c r="E406" s="809"/>
      <c r="F406" s="809"/>
      <c r="G406" s="809"/>
      <c r="H406" s="809"/>
      <c r="I406" s="809"/>
      <c r="J406" s="809"/>
      <c r="K406" s="809"/>
      <c r="L406" s="809"/>
      <c r="M406" s="809"/>
      <c r="N406" s="809"/>
      <c r="O406" s="809"/>
      <c r="P406" s="809"/>
      <c r="Q406" s="809"/>
      <c r="R406" s="809"/>
      <c r="S406" s="809"/>
      <c r="T406" s="809"/>
      <c r="U406" s="809"/>
      <c r="V406" s="809"/>
      <c r="W406" s="809"/>
      <c r="X406" s="809"/>
      <c r="Y406" s="809"/>
      <c r="Z406" s="809"/>
      <c r="AA406" s="809"/>
      <c r="AB406" s="809"/>
      <c r="AC406" s="809"/>
      <c r="AD406" s="809"/>
      <c r="AE406" s="809"/>
      <c r="AF406" s="809"/>
      <c r="AG406" s="809"/>
      <c r="AH406" s="809"/>
      <c r="AI406" s="809"/>
      <c r="AJ406" s="809"/>
      <c r="AK406" s="809"/>
      <c r="AL406" s="809"/>
      <c r="AM406" s="809"/>
      <c r="AN406" s="809"/>
      <c r="AO406" s="809"/>
      <c r="AP406" s="809"/>
      <c r="AQ406" s="809"/>
      <c r="AR406" s="809"/>
      <c r="AS406" s="809"/>
      <c r="AT406" s="809"/>
      <c r="AU406" s="809"/>
      <c r="AV406" s="809"/>
      <c r="AW406" s="809"/>
      <c r="AX406" s="809"/>
      <c r="AY406" s="809"/>
      <c r="AZ406" s="809"/>
      <c r="BA406" s="809"/>
      <c r="BB406" s="809"/>
      <c r="BC406" s="809"/>
      <c r="BD406" s="809"/>
      <c r="BE406" s="809"/>
      <c r="BF406" s="809"/>
      <c r="BG406" s="809"/>
      <c r="BH406" s="809"/>
      <c r="BI406" s="809"/>
      <c r="BJ406" s="809"/>
      <c r="BK406" s="809"/>
      <c r="BL406" s="809"/>
      <c r="BM406" s="809"/>
      <c r="BN406" s="809"/>
    </row>
    <row r="407" spans="1:66">
      <c r="A407" s="809"/>
      <c r="B407" s="809"/>
      <c r="C407" s="809"/>
      <c r="D407" s="809"/>
      <c r="E407" s="809"/>
      <c r="F407" s="809"/>
      <c r="G407" s="809"/>
      <c r="H407" s="809"/>
      <c r="I407" s="809"/>
      <c r="J407" s="809"/>
      <c r="K407" s="809"/>
      <c r="L407" s="809"/>
      <c r="M407" s="809"/>
      <c r="N407" s="809"/>
      <c r="O407" s="809"/>
      <c r="P407" s="809"/>
      <c r="Q407" s="809"/>
      <c r="R407" s="809"/>
      <c r="S407" s="809"/>
      <c r="T407" s="809"/>
      <c r="U407" s="809"/>
      <c r="V407" s="809"/>
      <c r="W407" s="809"/>
      <c r="X407" s="809"/>
      <c r="Y407" s="809"/>
      <c r="Z407" s="809"/>
      <c r="AA407" s="809"/>
      <c r="AB407" s="809"/>
      <c r="AC407" s="809"/>
      <c r="AD407" s="809"/>
      <c r="AE407" s="809"/>
      <c r="AF407" s="809"/>
      <c r="AG407" s="809"/>
      <c r="AH407" s="809"/>
      <c r="AI407" s="809"/>
      <c r="AJ407" s="809"/>
      <c r="AK407" s="809"/>
      <c r="AL407" s="809"/>
      <c r="AM407" s="809"/>
      <c r="AN407" s="809"/>
      <c r="AO407" s="809"/>
      <c r="AP407" s="809"/>
      <c r="AQ407" s="809"/>
      <c r="AR407" s="809"/>
      <c r="AS407" s="809"/>
      <c r="AT407" s="809"/>
      <c r="AU407" s="809"/>
      <c r="AV407" s="809"/>
      <c r="AW407" s="809"/>
      <c r="AX407" s="809"/>
      <c r="AY407" s="809"/>
      <c r="AZ407" s="809"/>
      <c r="BA407" s="809"/>
      <c r="BB407" s="809"/>
      <c r="BC407" s="809"/>
      <c r="BD407" s="809"/>
      <c r="BE407" s="809"/>
      <c r="BF407" s="809"/>
      <c r="BG407" s="809"/>
      <c r="BH407" s="809"/>
      <c r="BI407" s="809"/>
      <c r="BJ407" s="809"/>
      <c r="BK407" s="809"/>
      <c r="BL407" s="809"/>
      <c r="BM407" s="809"/>
      <c r="BN407" s="809"/>
    </row>
    <row r="408" spans="1:66">
      <c r="A408" s="809"/>
      <c r="B408" s="809"/>
      <c r="C408" s="809"/>
      <c r="D408" s="809"/>
      <c r="E408" s="809"/>
      <c r="F408" s="809"/>
      <c r="G408" s="809"/>
      <c r="H408" s="809"/>
      <c r="I408" s="809"/>
      <c r="J408" s="809"/>
      <c r="K408" s="809"/>
      <c r="L408" s="809"/>
      <c r="M408" s="809"/>
      <c r="N408" s="809"/>
      <c r="O408" s="809"/>
      <c r="P408" s="809"/>
      <c r="Q408" s="809"/>
      <c r="R408" s="809"/>
      <c r="S408" s="809"/>
      <c r="T408" s="809"/>
      <c r="U408" s="809"/>
      <c r="V408" s="809"/>
      <c r="W408" s="809"/>
      <c r="X408" s="809"/>
      <c r="Y408" s="809"/>
      <c r="Z408" s="809"/>
      <c r="AA408" s="809"/>
      <c r="AB408" s="809"/>
      <c r="AC408" s="809"/>
      <c r="AD408" s="809"/>
      <c r="AE408" s="809"/>
      <c r="AF408" s="809"/>
      <c r="AG408" s="809"/>
      <c r="AH408" s="809"/>
      <c r="AI408" s="809"/>
      <c r="AJ408" s="809"/>
      <c r="AK408" s="809"/>
      <c r="AL408" s="809"/>
      <c r="AM408" s="809"/>
      <c r="AN408" s="809"/>
      <c r="AO408" s="809"/>
      <c r="AP408" s="809"/>
      <c r="AQ408" s="809"/>
      <c r="AR408" s="809"/>
      <c r="AS408" s="809"/>
      <c r="AT408" s="809"/>
      <c r="AU408" s="809"/>
      <c r="AV408" s="809"/>
      <c r="AW408" s="809"/>
      <c r="AX408" s="809"/>
      <c r="AY408" s="809"/>
      <c r="AZ408" s="809"/>
      <c r="BA408" s="809"/>
      <c r="BB408" s="809"/>
      <c r="BC408" s="809"/>
      <c r="BD408" s="809"/>
      <c r="BE408" s="809"/>
      <c r="BF408" s="809"/>
      <c r="BG408" s="809"/>
      <c r="BH408" s="809"/>
      <c r="BI408" s="809"/>
      <c r="BJ408" s="809"/>
      <c r="BK408" s="809"/>
      <c r="BL408" s="809"/>
      <c r="BM408" s="809"/>
      <c r="BN408" s="809"/>
    </row>
    <row r="409" spans="1:66">
      <c r="A409" s="809"/>
      <c r="B409" s="809"/>
      <c r="C409" s="809"/>
      <c r="D409" s="809"/>
      <c r="E409" s="809"/>
      <c r="F409" s="809"/>
      <c r="G409" s="809"/>
      <c r="H409" s="809"/>
      <c r="I409" s="809"/>
      <c r="J409" s="809"/>
      <c r="K409" s="809"/>
      <c r="L409" s="809"/>
      <c r="M409" s="809"/>
      <c r="N409" s="809"/>
      <c r="O409" s="809"/>
      <c r="P409" s="809"/>
      <c r="Q409" s="809"/>
      <c r="R409" s="809"/>
      <c r="S409" s="809"/>
      <c r="T409" s="809"/>
      <c r="U409" s="809"/>
      <c r="V409" s="809"/>
      <c r="W409" s="809"/>
      <c r="X409" s="809"/>
      <c r="Y409" s="809"/>
      <c r="Z409" s="809"/>
      <c r="AA409" s="809"/>
      <c r="AB409" s="809"/>
      <c r="AC409" s="809"/>
      <c r="AD409" s="809"/>
      <c r="AE409" s="809"/>
      <c r="AF409" s="809"/>
      <c r="AG409" s="809"/>
      <c r="AH409" s="809"/>
      <c r="AI409" s="809"/>
      <c r="AJ409" s="809"/>
      <c r="AK409" s="809"/>
      <c r="AL409" s="809"/>
      <c r="AM409" s="809"/>
      <c r="AN409" s="809"/>
      <c r="AO409" s="809"/>
      <c r="AP409" s="809"/>
      <c r="AQ409" s="809"/>
      <c r="AR409" s="809"/>
      <c r="AS409" s="809"/>
      <c r="AT409" s="809"/>
      <c r="AU409" s="809"/>
      <c r="AV409" s="809"/>
      <c r="AW409" s="809"/>
      <c r="AX409" s="809"/>
      <c r="AY409" s="809"/>
      <c r="AZ409" s="809"/>
      <c r="BA409" s="809"/>
      <c r="BB409" s="809"/>
      <c r="BC409" s="809"/>
      <c r="BD409" s="809"/>
      <c r="BE409" s="809"/>
      <c r="BF409" s="809"/>
      <c r="BG409" s="809"/>
      <c r="BH409" s="809"/>
      <c r="BI409" s="809"/>
      <c r="BJ409" s="809"/>
      <c r="BK409" s="809"/>
      <c r="BL409" s="809"/>
      <c r="BM409" s="809"/>
      <c r="BN409" s="809"/>
    </row>
    <row r="410" spans="1:66">
      <c r="A410" s="809"/>
      <c r="B410" s="809"/>
      <c r="C410" s="809"/>
      <c r="D410" s="809"/>
      <c r="E410" s="809"/>
      <c r="F410" s="809"/>
      <c r="G410" s="809"/>
      <c r="H410" s="809"/>
      <c r="I410" s="809"/>
      <c r="J410" s="809"/>
      <c r="K410" s="809"/>
      <c r="L410" s="809"/>
      <c r="M410" s="809"/>
      <c r="N410" s="809"/>
      <c r="O410" s="809"/>
      <c r="P410" s="809"/>
      <c r="Q410" s="809"/>
      <c r="R410" s="809"/>
      <c r="S410" s="809"/>
      <c r="T410" s="809"/>
      <c r="U410" s="809"/>
      <c r="V410" s="809"/>
      <c r="W410" s="809"/>
      <c r="X410" s="809"/>
      <c r="Y410" s="809"/>
      <c r="Z410" s="809"/>
      <c r="AA410" s="809"/>
      <c r="AB410" s="809"/>
      <c r="AC410" s="809"/>
      <c r="AD410" s="809"/>
      <c r="AE410" s="809"/>
      <c r="AF410" s="809"/>
      <c r="AG410" s="809"/>
      <c r="AH410" s="809"/>
      <c r="AI410" s="809"/>
      <c r="AJ410" s="809"/>
      <c r="AK410" s="809"/>
      <c r="AL410" s="809"/>
      <c r="AM410" s="809"/>
      <c r="AN410" s="809"/>
      <c r="AO410" s="809"/>
      <c r="AP410" s="809"/>
      <c r="AQ410" s="809"/>
      <c r="AR410" s="809"/>
      <c r="AS410" s="809"/>
      <c r="AT410" s="809"/>
      <c r="AU410" s="809"/>
      <c r="AV410" s="809"/>
      <c r="AW410" s="809"/>
      <c r="AX410" s="809"/>
      <c r="AY410" s="809"/>
      <c r="AZ410" s="809"/>
      <c r="BA410" s="809"/>
      <c r="BB410" s="809"/>
      <c r="BC410" s="809"/>
      <c r="BD410" s="809"/>
      <c r="BE410" s="809"/>
      <c r="BF410" s="809"/>
      <c r="BG410" s="809"/>
      <c r="BH410" s="809"/>
      <c r="BI410" s="809"/>
      <c r="BJ410" s="809"/>
      <c r="BK410" s="809"/>
      <c r="BL410" s="809"/>
      <c r="BM410" s="809"/>
      <c r="BN410" s="809"/>
    </row>
    <row r="411" spans="1:66">
      <c r="A411" s="809"/>
      <c r="B411" s="809"/>
      <c r="C411" s="809"/>
      <c r="D411" s="809"/>
      <c r="E411" s="809"/>
      <c r="F411" s="809"/>
      <c r="G411" s="809"/>
      <c r="H411" s="809"/>
      <c r="I411" s="809"/>
      <c r="J411" s="809"/>
      <c r="K411" s="809"/>
      <c r="L411" s="809"/>
      <c r="M411" s="809"/>
      <c r="N411" s="809"/>
      <c r="O411" s="809"/>
      <c r="P411" s="809"/>
      <c r="Q411" s="809"/>
      <c r="R411" s="809"/>
      <c r="S411" s="809"/>
      <c r="T411" s="809"/>
      <c r="U411" s="809"/>
      <c r="V411" s="809"/>
      <c r="W411" s="809"/>
      <c r="X411" s="809"/>
      <c r="Y411" s="809"/>
      <c r="Z411" s="809"/>
      <c r="AA411" s="809"/>
      <c r="AB411" s="809"/>
      <c r="AC411" s="809"/>
      <c r="AD411" s="809"/>
      <c r="AE411" s="809"/>
      <c r="AF411" s="809"/>
      <c r="AG411" s="809"/>
      <c r="AH411" s="809"/>
      <c r="AI411" s="809"/>
      <c r="AJ411" s="809"/>
      <c r="AK411" s="809"/>
      <c r="AL411" s="809"/>
      <c r="AM411" s="809"/>
      <c r="AN411" s="809"/>
      <c r="AO411" s="809"/>
      <c r="AP411" s="809"/>
      <c r="AQ411" s="809"/>
      <c r="AR411" s="809"/>
      <c r="AS411" s="809"/>
      <c r="AT411" s="809"/>
      <c r="AU411" s="809"/>
      <c r="AV411" s="809"/>
      <c r="AW411" s="809"/>
      <c r="AX411" s="809"/>
      <c r="AY411" s="809"/>
      <c r="AZ411" s="809"/>
      <c r="BA411" s="809"/>
      <c r="BB411" s="809"/>
      <c r="BC411" s="809"/>
      <c r="BD411" s="809"/>
      <c r="BE411" s="809"/>
      <c r="BF411" s="809"/>
      <c r="BG411" s="809"/>
      <c r="BH411" s="809"/>
      <c r="BI411" s="809"/>
      <c r="BJ411" s="809"/>
      <c r="BK411" s="809"/>
      <c r="BL411" s="809"/>
      <c r="BM411" s="809"/>
      <c r="BN411" s="809"/>
    </row>
    <row r="412" spans="1:66">
      <c r="A412" s="809"/>
      <c r="B412" s="809"/>
      <c r="C412" s="809"/>
      <c r="D412" s="809"/>
      <c r="E412" s="809"/>
      <c r="F412" s="809"/>
      <c r="G412" s="809"/>
      <c r="H412" s="809"/>
      <c r="I412" s="809"/>
      <c r="J412" s="809"/>
      <c r="K412" s="809"/>
      <c r="L412" s="809"/>
      <c r="M412" s="809"/>
      <c r="N412" s="809"/>
      <c r="O412" s="809"/>
      <c r="P412" s="809"/>
      <c r="Q412" s="809"/>
      <c r="R412" s="809"/>
      <c r="S412" s="809"/>
      <c r="T412" s="809"/>
      <c r="U412" s="809"/>
      <c r="V412" s="809"/>
      <c r="W412" s="809"/>
      <c r="X412" s="809"/>
      <c r="Y412" s="809"/>
      <c r="Z412" s="809"/>
      <c r="AA412" s="809"/>
      <c r="AB412" s="809"/>
      <c r="AC412" s="809"/>
      <c r="AD412" s="809"/>
      <c r="AE412" s="809"/>
      <c r="AF412" s="809"/>
      <c r="AG412" s="809"/>
      <c r="AH412" s="809"/>
      <c r="AI412" s="809"/>
      <c r="AJ412" s="809"/>
      <c r="AK412" s="809"/>
      <c r="AL412" s="809"/>
      <c r="AM412" s="809"/>
      <c r="AN412" s="809"/>
      <c r="AO412" s="809"/>
      <c r="AP412" s="809"/>
      <c r="AQ412" s="809"/>
      <c r="AR412" s="809"/>
      <c r="AS412" s="809"/>
      <c r="AT412" s="809"/>
      <c r="AU412" s="809"/>
      <c r="AV412" s="809"/>
      <c r="AW412" s="809"/>
      <c r="AX412" s="809"/>
      <c r="AY412" s="809"/>
      <c r="AZ412" s="809"/>
      <c r="BA412" s="809"/>
      <c r="BB412" s="809"/>
      <c r="BC412" s="809"/>
      <c r="BD412" s="809"/>
      <c r="BE412" s="809"/>
      <c r="BF412" s="809"/>
      <c r="BG412" s="809"/>
      <c r="BH412" s="809"/>
      <c r="BI412" s="809"/>
      <c r="BJ412" s="809"/>
      <c r="BK412" s="809"/>
      <c r="BL412" s="809"/>
      <c r="BM412" s="809"/>
      <c r="BN412" s="809"/>
    </row>
    <row r="413" spans="1:66">
      <c r="A413" s="809"/>
      <c r="B413" s="809"/>
      <c r="C413" s="809"/>
      <c r="D413" s="809"/>
      <c r="E413" s="809"/>
      <c r="F413" s="809"/>
      <c r="G413" s="809"/>
      <c r="H413" s="809"/>
      <c r="I413" s="809"/>
      <c r="J413" s="809"/>
      <c r="K413" s="809"/>
      <c r="L413" s="809"/>
      <c r="M413" s="809"/>
      <c r="N413" s="809"/>
      <c r="O413" s="809"/>
      <c r="P413" s="809"/>
      <c r="Q413" s="809"/>
      <c r="R413" s="809"/>
      <c r="S413" s="809"/>
      <c r="T413" s="809"/>
      <c r="U413" s="809"/>
      <c r="V413" s="809"/>
      <c r="W413" s="809"/>
      <c r="X413" s="809"/>
      <c r="Y413" s="809"/>
      <c r="Z413" s="809"/>
      <c r="AA413" s="809"/>
      <c r="AB413" s="809"/>
      <c r="AC413" s="809"/>
      <c r="AD413" s="809"/>
      <c r="AE413" s="809"/>
      <c r="AF413" s="809"/>
      <c r="AG413" s="809"/>
      <c r="AH413" s="809"/>
      <c r="AI413" s="809"/>
      <c r="AJ413" s="809"/>
      <c r="AK413" s="809"/>
      <c r="AL413" s="809"/>
      <c r="AM413" s="809"/>
      <c r="AN413" s="809"/>
      <c r="AO413" s="809"/>
      <c r="AP413" s="809"/>
      <c r="AQ413" s="809"/>
      <c r="AR413" s="809"/>
      <c r="AS413" s="809"/>
      <c r="AT413" s="809"/>
      <c r="AU413" s="809"/>
      <c r="AV413" s="809"/>
      <c r="AW413" s="809"/>
      <c r="AX413" s="809"/>
      <c r="AY413" s="809"/>
      <c r="AZ413" s="809"/>
      <c r="BA413" s="809"/>
      <c r="BB413" s="809"/>
      <c r="BC413" s="809"/>
      <c r="BD413" s="809"/>
      <c r="BE413" s="809"/>
      <c r="BF413" s="809"/>
      <c r="BG413" s="809"/>
      <c r="BH413" s="809"/>
      <c r="BI413" s="809"/>
      <c r="BJ413" s="809"/>
      <c r="BK413" s="809"/>
      <c r="BL413" s="809"/>
      <c r="BM413" s="809"/>
      <c r="BN413" s="809"/>
    </row>
    <row r="414" spans="1:66">
      <c r="A414" s="809"/>
      <c r="B414" s="809"/>
      <c r="C414" s="809"/>
      <c r="D414" s="809"/>
      <c r="E414" s="809"/>
      <c r="F414" s="809"/>
      <c r="G414" s="809"/>
      <c r="H414" s="809"/>
      <c r="I414" s="809"/>
      <c r="J414" s="809"/>
      <c r="K414" s="809"/>
      <c r="L414" s="809"/>
      <c r="M414" s="809"/>
      <c r="N414" s="809"/>
      <c r="O414" s="809"/>
      <c r="P414" s="809"/>
      <c r="Q414" s="809"/>
      <c r="R414" s="809"/>
      <c r="S414" s="809"/>
      <c r="T414" s="809"/>
      <c r="U414" s="809"/>
      <c r="V414" s="809"/>
      <c r="W414" s="809"/>
      <c r="X414" s="809"/>
      <c r="Y414" s="809"/>
      <c r="Z414" s="809"/>
      <c r="AA414" s="809"/>
      <c r="AB414" s="809"/>
      <c r="AC414" s="809"/>
      <c r="AD414" s="809"/>
      <c r="AE414" s="809"/>
      <c r="AF414" s="809"/>
      <c r="AG414" s="809"/>
      <c r="AH414" s="809"/>
      <c r="AI414" s="809"/>
      <c r="AJ414" s="809"/>
      <c r="AK414" s="809"/>
      <c r="AL414" s="809"/>
      <c r="AM414" s="809"/>
      <c r="AN414" s="809"/>
      <c r="AO414" s="809"/>
      <c r="AP414" s="809"/>
      <c r="AQ414" s="809"/>
      <c r="AR414" s="809"/>
      <c r="AS414" s="809"/>
      <c r="AT414" s="809"/>
      <c r="AU414" s="809"/>
      <c r="AV414" s="809"/>
      <c r="AW414" s="809"/>
      <c r="AX414" s="809"/>
      <c r="AY414" s="809"/>
      <c r="AZ414" s="809"/>
      <c r="BA414" s="809"/>
      <c r="BB414" s="809"/>
      <c r="BC414" s="809"/>
      <c r="BD414" s="809"/>
      <c r="BE414" s="809"/>
      <c r="BF414" s="809"/>
      <c r="BG414" s="809"/>
      <c r="BH414" s="809"/>
      <c r="BI414" s="809"/>
      <c r="BJ414" s="809"/>
      <c r="BK414" s="809"/>
      <c r="BL414" s="809"/>
      <c r="BM414" s="809"/>
      <c r="BN414" s="809"/>
    </row>
    <row r="415" spans="1:66">
      <c r="A415" s="809"/>
      <c r="B415" s="809"/>
      <c r="C415" s="809"/>
      <c r="D415" s="809"/>
      <c r="E415" s="809"/>
      <c r="F415" s="809"/>
      <c r="G415" s="809"/>
      <c r="H415" s="809"/>
      <c r="I415" s="809"/>
      <c r="J415" s="809"/>
      <c r="K415" s="809"/>
      <c r="L415" s="809"/>
      <c r="M415" s="809"/>
      <c r="N415" s="809"/>
      <c r="O415" s="809"/>
      <c r="P415" s="809"/>
      <c r="Q415" s="809"/>
      <c r="R415" s="809"/>
      <c r="S415" s="809"/>
      <c r="T415" s="809"/>
      <c r="U415" s="809"/>
      <c r="V415" s="809"/>
      <c r="W415" s="809"/>
      <c r="X415" s="809"/>
      <c r="Y415" s="809"/>
      <c r="Z415" s="809"/>
      <c r="AA415" s="809"/>
      <c r="AB415" s="809"/>
      <c r="AC415" s="809"/>
      <c r="AD415" s="809"/>
      <c r="AE415" s="809"/>
      <c r="AF415" s="809"/>
      <c r="AG415" s="809"/>
      <c r="AH415" s="809"/>
      <c r="AI415" s="809"/>
      <c r="AJ415" s="809"/>
      <c r="AK415" s="809"/>
      <c r="AL415" s="809"/>
      <c r="AM415" s="809"/>
      <c r="AN415" s="809"/>
      <c r="AO415" s="809"/>
      <c r="AP415" s="809"/>
      <c r="AQ415" s="809"/>
      <c r="AR415" s="809"/>
      <c r="AS415" s="809"/>
      <c r="AT415" s="809"/>
      <c r="AU415" s="809"/>
      <c r="AV415" s="809"/>
      <c r="AW415" s="809"/>
      <c r="AX415" s="809"/>
      <c r="AY415" s="809"/>
      <c r="AZ415" s="809"/>
      <c r="BA415" s="809"/>
      <c r="BB415" s="809"/>
      <c r="BC415" s="809"/>
      <c r="BD415" s="809"/>
      <c r="BE415" s="809"/>
      <c r="BF415" s="809"/>
      <c r="BG415" s="809"/>
      <c r="BH415" s="809"/>
      <c r="BI415" s="809"/>
      <c r="BJ415" s="809"/>
      <c r="BK415" s="809"/>
      <c r="BL415" s="809"/>
      <c r="BM415" s="809"/>
      <c r="BN415" s="809"/>
    </row>
    <row r="416" spans="1:66">
      <c r="A416" s="809"/>
      <c r="B416" s="809"/>
      <c r="C416" s="809"/>
      <c r="D416" s="809"/>
      <c r="E416" s="809"/>
      <c r="F416" s="809"/>
      <c r="G416" s="809"/>
      <c r="H416" s="809"/>
      <c r="I416" s="809"/>
      <c r="J416" s="809"/>
      <c r="K416" s="809"/>
      <c r="L416" s="809"/>
      <c r="M416" s="809"/>
      <c r="N416" s="809"/>
      <c r="O416" s="809"/>
      <c r="P416" s="809"/>
      <c r="Q416" s="809"/>
      <c r="R416" s="809"/>
      <c r="S416" s="809"/>
      <c r="T416" s="809"/>
      <c r="U416" s="809"/>
      <c r="V416" s="809"/>
      <c r="W416" s="809"/>
      <c r="X416" s="809"/>
      <c r="Y416" s="809"/>
      <c r="Z416" s="809"/>
      <c r="AA416" s="809"/>
      <c r="AB416" s="809"/>
      <c r="AC416" s="809"/>
      <c r="AD416" s="809"/>
      <c r="AE416" s="809"/>
      <c r="AF416" s="809"/>
      <c r="AG416" s="809"/>
      <c r="AH416" s="809"/>
      <c r="AI416" s="809"/>
      <c r="AJ416" s="809"/>
      <c r="AK416" s="809"/>
      <c r="AL416" s="809"/>
      <c r="AM416" s="809"/>
      <c r="AN416" s="809"/>
      <c r="AO416" s="809"/>
      <c r="AP416" s="809"/>
      <c r="AQ416" s="809"/>
      <c r="AR416" s="809"/>
      <c r="AS416" s="809"/>
      <c r="AT416" s="809"/>
      <c r="AU416" s="809"/>
      <c r="AV416" s="809"/>
      <c r="AW416" s="809"/>
      <c r="AX416" s="809"/>
      <c r="AY416" s="809"/>
      <c r="AZ416" s="809"/>
      <c r="BA416" s="809"/>
      <c r="BB416" s="809"/>
      <c r="BC416" s="809"/>
      <c r="BD416" s="809"/>
      <c r="BE416" s="809"/>
      <c r="BF416" s="809"/>
      <c r="BG416" s="809"/>
      <c r="BH416" s="809"/>
      <c r="BI416" s="809"/>
      <c r="BJ416" s="809"/>
      <c r="BK416" s="809"/>
      <c r="BL416" s="809"/>
      <c r="BM416" s="809"/>
      <c r="BN416" s="809"/>
    </row>
    <row r="417" spans="1:66">
      <c r="A417" s="809"/>
      <c r="B417" s="809"/>
      <c r="C417" s="809"/>
      <c r="D417" s="809"/>
      <c r="E417" s="809"/>
      <c r="F417" s="809"/>
      <c r="G417" s="809"/>
      <c r="H417" s="809"/>
      <c r="I417" s="809"/>
      <c r="J417" s="809"/>
      <c r="K417" s="809"/>
      <c r="L417" s="809"/>
      <c r="M417" s="809"/>
      <c r="N417" s="809"/>
      <c r="O417" s="809"/>
      <c r="P417" s="809"/>
      <c r="Q417" s="809"/>
      <c r="R417" s="809"/>
      <c r="S417" s="809"/>
      <c r="T417" s="809"/>
      <c r="U417" s="809"/>
      <c r="V417" s="809"/>
      <c r="W417" s="809"/>
      <c r="X417" s="809"/>
      <c r="Y417" s="809"/>
      <c r="Z417" s="809"/>
      <c r="AA417" s="809"/>
      <c r="AB417" s="809"/>
      <c r="AC417" s="809"/>
      <c r="AD417" s="809"/>
      <c r="AE417" s="809"/>
      <c r="AF417" s="809"/>
      <c r="AG417" s="809"/>
      <c r="AH417" s="809"/>
      <c r="AI417" s="809"/>
      <c r="AJ417" s="809"/>
      <c r="AK417" s="809"/>
      <c r="AL417" s="809"/>
      <c r="AM417" s="809"/>
      <c r="AN417" s="809"/>
      <c r="AO417" s="809"/>
      <c r="AP417" s="809"/>
      <c r="AQ417" s="809"/>
      <c r="AR417" s="809"/>
      <c r="AS417" s="809"/>
      <c r="AT417" s="809"/>
      <c r="AU417" s="809"/>
      <c r="AV417" s="809"/>
      <c r="AW417" s="809"/>
      <c r="AX417" s="809"/>
      <c r="AY417" s="809"/>
      <c r="AZ417" s="809"/>
      <c r="BA417" s="809"/>
      <c r="BB417" s="809"/>
      <c r="BC417" s="809"/>
      <c r="BD417" s="809"/>
      <c r="BE417" s="809"/>
      <c r="BF417" s="809"/>
      <c r="BG417" s="809"/>
      <c r="BH417" s="809"/>
      <c r="BI417" s="809"/>
      <c r="BJ417" s="809"/>
      <c r="BK417" s="809"/>
      <c r="BL417" s="809"/>
      <c r="BM417" s="809"/>
      <c r="BN417" s="809"/>
    </row>
    <row r="418" spans="1:66">
      <c r="A418" s="809"/>
      <c r="B418" s="809"/>
      <c r="C418" s="809"/>
      <c r="D418" s="809"/>
      <c r="E418" s="809"/>
      <c r="F418" s="809"/>
      <c r="G418" s="809"/>
      <c r="H418" s="809"/>
      <c r="I418" s="809"/>
      <c r="J418" s="809"/>
      <c r="K418" s="809"/>
      <c r="L418" s="809"/>
      <c r="M418" s="809"/>
      <c r="N418" s="809"/>
      <c r="O418" s="809"/>
      <c r="P418" s="809"/>
      <c r="Q418" s="809"/>
      <c r="R418" s="809"/>
      <c r="S418" s="809"/>
      <c r="T418" s="809"/>
      <c r="U418" s="809"/>
      <c r="V418" s="809"/>
      <c r="W418" s="809"/>
      <c r="X418" s="809"/>
      <c r="Y418" s="809"/>
      <c r="Z418" s="809"/>
      <c r="AA418" s="809"/>
      <c r="AB418" s="809"/>
      <c r="AC418" s="809"/>
      <c r="AD418" s="809"/>
      <c r="AE418" s="809"/>
      <c r="AF418" s="809"/>
      <c r="AG418" s="809"/>
      <c r="AH418" s="809"/>
      <c r="AI418" s="809"/>
      <c r="AJ418" s="809"/>
      <c r="AK418" s="809"/>
      <c r="AL418" s="809"/>
      <c r="AM418" s="809"/>
      <c r="AN418" s="809"/>
      <c r="AO418" s="809"/>
      <c r="AP418" s="809"/>
      <c r="AQ418" s="809"/>
      <c r="AR418" s="809"/>
      <c r="AS418" s="809"/>
      <c r="AT418" s="809"/>
      <c r="AU418" s="809"/>
      <c r="AV418" s="809"/>
      <c r="AW418" s="809"/>
      <c r="AX418" s="809"/>
      <c r="AY418" s="809"/>
      <c r="AZ418" s="809"/>
      <c r="BA418" s="809"/>
      <c r="BB418" s="809"/>
      <c r="BC418" s="809"/>
      <c r="BD418" s="809"/>
      <c r="BE418" s="809"/>
      <c r="BF418" s="809"/>
      <c r="BG418" s="809"/>
      <c r="BH418" s="809"/>
      <c r="BI418" s="809"/>
      <c r="BJ418" s="809"/>
      <c r="BK418" s="809"/>
      <c r="BL418" s="809"/>
      <c r="BM418" s="809"/>
      <c r="BN418" s="809"/>
    </row>
    <row r="419" spans="1:66">
      <c r="A419" s="809"/>
      <c r="B419" s="809"/>
      <c r="C419" s="809"/>
      <c r="D419" s="809"/>
      <c r="E419" s="809"/>
      <c r="F419" s="809"/>
      <c r="G419" s="809"/>
      <c r="H419" s="809"/>
      <c r="I419" s="809"/>
      <c r="J419" s="809"/>
      <c r="K419" s="809"/>
      <c r="L419" s="809"/>
      <c r="M419" s="809"/>
      <c r="N419" s="809"/>
      <c r="O419" s="809"/>
      <c r="P419" s="809"/>
      <c r="Q419" s="809"/>
      <c r="R419" s="809"/>
      <c r="S419" s="809"/>
      <c r="T419" s="809"/>
      <c r="U419" s="809"/>
      <c r="V419" s="809"/>
      <c r="W419" s="809"/>
      <c r="X419" s="809"/>
      <c r="Y419" s="809"/>
      <c r="Z419" s="809"/>
      <c r="AA419" s="809"/>
      <c r="AB419" s="809"/>
      <c r="AC419" s="809"/>
      <c r="AD419" s="809"/>
      <c r="AE419" s="809"/>
      <c r="AF419" s="809"/>
      <c r="AG419" s="809"/>
      <c r="AH419" s="809"/>
      <c r="AI419" s="809"/>
      <c r="AJ419" s="809"/>
      <c r="AK419" s="809"/>
      <c r="AL419" s="809"/>
      <c r="AM419" s="809"/>
      <c r="AN419" s="809"/>
      <c r="AO419" s="809"/>
      <c r="AP419" s="809"/>
      <c r="AQ419" s="809"/>
      <c r="AR419" s="809"/>
      <c r="AS419" s="809"/>
      <c r="AT419" s="809"/>
      <c r="AU419" s="809"/>
      <c r="AV419" s="809"/>
      <c r="AW419" s="809"/>
      <c r="AX419" s="809"/>
      <c r="AY419" s="809"/>
      <c r="AZ419" s="809"/>
      <c r="BA419" s="809"/>
      <c r="BB419" s="809"/>
      <c r="BC419" s="809"/>
      <c r="BD419" s="809"/>
      <c r="BE419" s="809"/>
      <c r="BF419" s="809"/>
      <c r="BG419" s="809"/>
      <c r="BH419" s="809"/>
      <c r="BI419" s="809"/>
      <c r="BJ419" s="809"/>
      <c r="BK419" s="809"/>
      <c r="BL419" s="809"/>
      <c r="BM419" s="809"/>
      <c r="BN419" s="809"/>
    </row>
    <row r="420" spans="1:66">
      <c r="A420" s="809"/>
      <c r="B420" s="809"/>
      <c r="C420" s="809"/>
      <c r="D420" s="809"/>
      <c r="E420" s="809"/>
      <c r="F420" s="809"/>
      <c r="G420" s="809"/>
      <c r="H420" s="809"/>
      <c r="I420" s="809"/>
      <c r="J420" s="809"/>
      <c r="K420" s="809"/>
      <c r="L420" s="809"/>
      <c r="M420" s="809"/>
      <c r="N420" s="809"/>
      <c r="O420" s="809"/>
      <c r="P420" s="809"/>
      <c r="Q420" s="809"/>
      <c r="R420" s="809"/>
      <c r="S420" s="809"/>
      <c r="T420" s="809"/>
      <c r="U420" s="809"/>
      <c r="V420" s="809"/>
      <c r="W420" s="809"/>
      <c r="X420" s="809"/>
      <c r="Y420" s="809"/>
      <c r="Z420" s="809"/>
      <c r="AA420" s="809"/>
      <c r="AB420" s="809"/>
      <c r="AC420" s="809"/>
      <c r="AD420" s="809"/>
      <c r="AE420" s="809"/>
      <c r="AF420" s="809"/>
      <c r="AG420" s="809"/>
      <c r="AH420" s="809"/>
      <c r="AI420" s="809"/>
      <c r="AJ420" s="809"/>
      <c r="AK420" s="809"/>
      <c r="AL420" s="809"/>
      <c r="AM420" s="809"/>
      <c r="AN420" s="809"/>
      <c r="AO420" s="809"/>
      <c r="AP420" s="809"/>
      <c r="AQ420" s="809"/>
      <c r="AR420" s="809"/>
      <c r="AS420" s="809"/>
      <c r="AT420" s="809"/>
      <c r="AU420" s="809"/>
      <c r="AV420" s="809"/>
      <c r="AW420" s="809"/>
      <c r="AX420" s="809"/>
      <c r="AY420" s="809"/>
      <c r="AZ420" s="809"/>
      <c r="BA420" s="809"/>
      <c r="BB420" s="809"/>
      <c r="BC420" s="809"/>
      <c r="BD420" s="809"/>
      <c r="BE420" s="809"/>
      <c r="BF420" s="809"/>
      <c r="BG420" s="809"/>
      <c r="BH420" s="809"/>
      <c r="BI420" s="809"/>
      <c r="BJ420" s="809"/>
      <c r="BK420" s="809"/>
      <c r="BL420" s="809"/>
      <c r="BM420" s="809"/>
      <c r="BN420" s="809"/>
    </row>
    <row r="421" spans="1:66">
      <c r="A421" s="809"/>
      <c r="B421" s="809"/>
      <c r="C421" s="809"/>
      <c r="D421" s="809"/>
      <c r="E421" s="809"/>
      <c r="F421" s="809"/>
      <c r="G421" s="809"/>
      <c r="H421" s="809"/>
      <c r="I421" s="809"/>
      <c r="J421" s="809"/>
      <c r="K421" s="809"/>
      <c r="L421" s="809"/>
      <c r="M421" s="809"/>
      <c r="N421" s="809"/>
      <c r="O421" s="809"/>
      <c r="P421" s="809"/>
      <c r="Q421" s="809"/>
      <c r="R421" s="809"/>
      <c r="S421" s="809"/>
      <c r="T421" s="809"/>
      <c r="U421" s="809"/>
      <c r="V421" s="809"/>
      <c r="W421" s="809"/>
      <c r="X421" s="809"/>
      <c r="Y421" s="809"/>
      <c r="Z421" s="809"/>
      <c r="AA421" s="809"/>
      <c r="AB421" s="809"/>
      <c r="AC421" s="809"/>
      <c r="AD421" s="809"/>
      <c r="AE421" s="809"/>
      <c r="AF421" s="809"/>
      <c r="AG421" s="809"/>
      <c r="AH421" s="809"/>
      <c r="AI421" s="809"/>
      <c r="AJ421" s="809"/>
      <c r="AK421" s="809"/>
      <c r="AL421" s="809"/>
      <c r="AM421" s="809"/>
      <c r="AN421" s="809"/>
      <c r="AO421" s="809"/>
      <c r="AP421" s="809"/>
      <c r="AQ421" s="809"/>
      <c r="AR421" s="809"/>
      <c r="AS421" s="809"/>
      <c r="AT421" s="809"/>
      <c r="AU421" s="809"/>
      <c r="AV421" s="809"/>
      <c r="AW421" s="809"/>
      <c r="AX421" s="809"/>
      <c r="AY421" s="809"/>
      <c r="AZ421" s="809"/>
      <c r="BA421" s="809"/>
      <c r="BB421" s="809"/>
      <c r="BC421" s="809"/>
      <c r="BD421" s="809"/>
      <c r="BE421" s="809"/>
      <c r="BF421" s="809"/>
      <c r="BG421" s="809"/>
      <c r="BH421" s="809"/>
      <c r="BI421" s="809"/>
      <c r="BJ421" s="809"/>
      <c r="BK421" s="809"/>
      <c r="BL421" s="809"/>
      <c r="BM421" s="809"/>
      <c r="BN421" s="809"/>
    </row>
    <row r="422" spans="1:66">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809"/>
      <c r="AB422" s="809"/>
      <c r="AC422" s="809"/>
      <c r="AD422" s="809"/>
      <c r="AE422" s="809"/>
      <c r="AF422" s="809"/>
      <c r="AG422" s="809"/>
      <c r="AH422" s="809"/>
      <c r="AI422" s="809"/>
      <c r="AJ422" s="809"/>
      <c r="AK422" s="809"/>
      <c r="AL422" s="809"/>
      <c r="AM422" s="809"/>
      <c r="AN422" s="809"/>
      <c r="AO422" s="809"/>
      <c r="AP422" s="809"/>
      <c r="AQ422" s="809"/>
      <c r="AR422" s="809"/>
      <c r="AS422" s="809"/>
      <c r="AT422" s="809"/>
      <c r="AU422" s="809"/>
      <c r="AV422" s="809"/>
      <c r="AW422" s="809"/>
      <c r="AX422" s="809"/>
      <c r="AY422" s="809"/>
      <c r="AZ422" s="809"/>
      <c r="BA422" s="809"/>
      <c r="BB422" s="809"/>
      <c r="BC422" s="809"/>
      <c r="BD422" s="809"/>
      <c r="BE422" s="809"/>
      <c r="BF422" s="809"/>
      <c r="BG422" s="809"/>
      <c r="BH422" s="809"/>
      <c r="BI422" s="809"/>
      <c r="BJ422" s="809"/>
      <c r="BK422" s="809"/>
      <c r="BL422" s="809"/>
      <c r="BM422" s="809"/>
      <c r="BN422" s="809"/>
    </row>
    <row r="423" spans="1:66">
      <c r="A423" s="809"/>
      <c r="B423" s="809"/>
      <c r="C423" s="809"/>
      <c r="D423" s="809"/>
      <c r="E423" s="809"/>
      <c r="F423" s="809"/>
      <c r="G423" s="809"/>
      <c r="H423" s="809"/>
      <c r="I423" s="809"/>
      <c r="J423" s="809"/>
      <c r="K423" s="809"/>
      <c r="L423" s="809"/>
      <c r="M423" s="809"/>
      <c r="N423" s="809"/>
      <c r="O423" s="809"/>
      <c r="P423" s="809"/>
      <c r="Q423" s="809"/>
      <c r="R423" s="809"/>
      <c r="S423" s="809"/>
      <c r="T423" s="809"/>
      <c r="U423" s="809"/>
      <c r="V423" s="809"/>
      <c r="W423" s="809"/>
      <c r="X423" s="809"/>
      <c r="Y423" s="809"/>
      <c r="Z423" s="809"/>
      <c r="AA423" s="809"/>
      <c r="AB423" s="809"/>
      <c r="AC423" s="809"/>
      <c r="AD423" s="809"/>
      <c r="AE423" s="809"/>
      <c r="AF423" s="809"/>
      <c r="AG423" s="809"/>
      <c r="AH423" s="809"/>
      <c r="AI423" s="809"/>
      <c r="AJ423" s="809"/>
      <c r="AK423" s="809"/>
      <c r="AL423" s="809"/>
      <c r="AM423" s="809"/>
      <c r="AN423" s="809"/>
      <c r="AO423" s="809"/>
      <c r="AP423" s="809"/>
      <c r="AQ423" s="809"/>
      <c r="AR423" s="809"/>
      <c r="AS423" s="809"/>
      <c r="AT423" s="809"/>
      <c r="AU423" s="809"/>
      <c r="AV423" s="809"/>
      <c r="AW423" s="809"/>
      <c r="AX423" s="809"/>
      <c r="AY423" s="809"/>
      <c r="AZ423" s="809"/>
      <c r="BA423" s="809"/>
      <c r="BB423" s="809"/>
      <c r="BC423" s="809"/>
      <c r="BD423" s="809"/>
      <c r="BE423" s="809"/>
      <c r="BF423" s="809"/>
      <c r="BG423" s="809"/>
      <c r="BH423" s="809"/>
      <c r="BI423" s="809"/>
      <c r="BJ423" s="809"/>
      <c r="BK423" s="809"/>
      <c r="BL423" s="809"/>
      <c r="BM423" s="809"/>
      <c r="BN423" s="809"/>
    </row>
    <row r="424" spans="1:66">
      <c r="A424" s="809"/>
      <c r="B424" s="809"/>
      <c r="C424" s="809"/>
      <c r="D424" s="809"/>
      <c r="E424" s="809"/>
      <c r="F424" s="809"/>
      <c r="G424" s="809"/>
      <c r="H424" s="809"/>
      <c r="I424" s="809"/>
      <c r="J424" s="809"/>
      <c r="K424" s="809"/>
      <c r="L424" s="809"/>
      <c r="M424" s="809"/>
      <c r="N424" s="809"/>
      <c r="O424" s="809"/>
      <c r="P424" s="809"/>
      <c r="Q424" s="809"/>
      <c r="R424" s="809"/>
      <c r="S424" s="809"/>
      <c r="T424" s="809"/>
      <c r="U424" s="809"/>
      <c r="V424" s="809"/>
      <c r="W424" s="809"/>
      <c r="X424" s="809"/>
      <c r="Y424" s="809"/>
      <c r="Z424" s="809"/>
      <c r="AA424" s="809"/>
      <c r="AB424" s="809"/>
      <c r="AC424" s="809"/>
      <c r="AD424" s="809"/>
      <c r="AE424" s="809"/>
      <c r="AF424" s="809"/>
      <c r="AG424" s="809"/>
      <c r="AH424" s="809"/>
      <c r="AI424" s="809"/>
      <c r="AJ424" s="809"/>
      <c r="AK424" s="809"/>
      <c r="AL424" s="809"/>
      <c r="AM424" s="809"/>
      <c r="AN424" s="809"/>
      <c r="AO424" s="809"/>
      <c r="AP424" s="809"/>
      <c r="AQ424" s="809"/>
      <c r="AR424" s="809"/>
      <c r="AS424" s="809"/>
      <c r="AT424" s="809"/>
      <c r="AU424" s="809"/>
      <c r="AV424" s="809"/>
      <c r="AW424" s="809"/>
      <c r="AX424" s="809"/>
      <c r="AY424" s="809"/>
      <c r="AZ424" s="809"/>
      <c r="BA424" s="809"/>
      <c r="BB424" s="809"/>
      <c r="BC424" s="809"/>
      <c r="BD424" s="809"/>
      <c r="BE424" s="809"/>
      <c r="BF424" s="809"/>
      <c r="BG424" s="809"/>
      <c r="BH424" s="809"/>
      <c r="BI424" s="809"/>
      <c r="BJ424" s="809"/>
      <c r="BK424" s="809"/>
      <c r="BL424" s="809"/>
      <c r="BM424" s="809"/>
      <c r="BN424" s="809"/>
    </row>
    <row r="425" spans="1:66">
      <c r="A425" s="809"/>
      <c r="B425" s="809"/>
      <c r="C425" s="809"/>
      <c r="D425" s="809"/>
      <c r="E425" s="809"/>
      <c r="F425" s="809"/>
      <c r="G425" s="809"/>
      <c r="H425" s="809"/>
      <c r="I425" s="809"/>
      <c r="J425" s="809"/>
      <c r="K425" s="809"/>
      <c r="L425" s="809"/>
      <c r="M425" s="809"/>
      <c r="N425" s="809"/>
      <c r="O425" s="809"/>
      <c r="P425" s="809"/>
      <c r="Q425" s="809"/>
      <c r="R425" s="809"/>
      <c r="S425" s="809"/>
      <c r="T425" s="809"/>
      <c r="U425" s="809"/>
      <c r="V425" s="809"/>
      <c r="W425" s="809"/>
      <c r="X425" s="809"/>
      <c r="Y425" s="809"/>
      <c r="Z425" s="809"/>
      <c r="AA425" s="809"/>
      <c r="AB425" s="809"/>
      <c r="AC425" s="809"/>
      <c r="AD425" s="809"/>
      <c r="AE425" s="809"/>
      <c r="AF425" s="809"/>
      <c r="AG425" s="809"/>
      <c r="AH425" s="809"/>
      <c r="AI425" s="809"/>
      <c r="AJ425" s="809"/>
      <c r="AK425" s="809"/>
      <c r="AL425" s="809"/>
      <c r="AM425" s="809"/>
      <c r="AN425" s="809"/>
      <c r="AO425" s="809"/>
      <c r="AP425" s="809"/>
      <c r="AQ425" s="809"/>
      <c r="AR425" s="809"/>
      <c r="AS425" s="809"/>
      <c r="AT425" s="809"/>
      <c r="AU425" s="809"/>
      <c r="AV425" s="809"/>
      <c r="AW425" s="809"/>
      <c r="AX425" s="809"/>
      <c r="AY425" s="809"/>
      <c r="AZ425" s="809"/>
      <c r="BA425" s="809"/>
      <c r="BB425" s="809"/>
      <c r="BC425" s="809"/>
      <c r="BD425" s="809"/>
      <c r="BE425" s="809"/>
      <c r="BF425" s="809"/>
      <c r="BG425" s="809"/>
      <c r="BH425" s="809"/>
      <c r="BI425" s="809"/>
      <c r="BJ425" s="809"/>
      <c r="BK425" s="809"/>
      <c r="BL425" s="809"/>
      <c r="BM425" s="809"/>
      <c r="BN425" s="809"/>
    </row>
    <row r="426" spans="1:66">
      <c r="A426" s="809"/>
      <c r="B426" s="809"/>
      <c r="C426" s="809"/>
      <c r="D426" s="809"/>
      <c r="E426" s="809"/>
      <c r="F426" s="809"/>
      <c r="G426" s="809"/>
      <c r="H426" s="809"/>
      <c r="I426" s="809"/>
      <c r="J426" s="809"/>
      <c r="K426" s="809"/>
      <c r="L426" s="809"/>
      <c r="M426" s="809"/>
      <c r="N426" s="809"/>
      <c r="O426" s="809"/>
      <c r="P426" s="809"/>
      <c r="Q426" s="809"/>
      <c r="R426" s="809"/>
      <c r="S426" s="809"/>
      <c r="T426" s="809"/>
      <c r="U426" s="809"/>
      <c r="V426" s="809"/>
      <c r="W426" s="809"/>
      <c r="X426" s="809"/>
      <c r="Y426" s="809"/>
      <c r="Z426" s="809"/>
      <c r="AA426" s="809"/>
      <c r="AB426" s="809"/>
      <c r="AC426" s="809"/>
      <c r="AD426" s="809"/>
      <c r="AE426" s="809"/>
      <c r="AF426" s="809"/>
      <c r="AG426" s="809"/>
      <c r="AH426" s="809"/>
      <c r="AI426" s="809"/>
      <c r="AJ426" s="809"/>
      <c r="AK426" s="809"/>
      <c r="AL426" s="809"/>
      <c r="AM426" s="809"/>
      <c r="AN426" s="809"/>
      <c r="AO426" s="809"/>
      <c r="AP426" s="809"/>
      <c r="AQ426" s="809"/>
      <c r="AR426" s="809"/>
      <c r="AS426" s="809"/>
      <c r="AT426" s="809"/>
      <c r="AU426" s="809"/>
      <c r="AV426" s="809"/>
      <c r="AW426" s="809"/>
      <c r="AX426" s="809"/>
      <c r="AY426" s="809"/>
      <c r="AZ426" s="809"/>
      <c r="BA426" s="809"/>
      <c r="BB426" s="809"/>
      <c r="BC426" s="809"/>
      <c r="BD426" s="809"/>
      <c r="BE426" s="809"/>
      <c r="BF426" s="809"/>
      <c r="BG426" s="809"/>
      <c r="BH426" s="809"/>
      <c r="BI426" s="809"/>
      <c r="BJ426" s="809"/>
      <c r="BK426" s="809"/>
      <c r="BL426" s="809"/>
      <c r="BM426" s="809"/>
      <c r="BN426" s="809"/>
    </row>
    <row r="427" spans="1:66">
      <c r="A427" s="809"/>
      <c r="B427" s="809"/>
      <c r="C427" s="809"/>
      <c r="D427" s="809"/>
      <c r="E427" s="809"/>
      <c r="F427" s="809"/>
      <c r="G427" s="809"/>
      <c r="H427" s="809"/>
      <c r="I427" s="809"/>
      <c r="J427" s="809"/>
      <c r="K427" s="809"/>
      <c r="L427" s="809"/>
      <c r="M427" s="809"/>
      <c r="N427" s="809"/>
      <c r="O427" s="809"/>
      <c r="P427" s="809"/>
      <c r="Q427" s="809"/>
      <c r="R427" s="809"/>
      <c r="S427" s="809"/>
      <c r="T427" s="809"/>
      <c r="U427" s="809"/>
      <c r="V427" s="809"/>
      <c r="W427" s="809"/>
      <c r="X427" s="809"/>
      <c r="Y427" s="809"/>
      <c r="Z427" s="809"/>
      <c r="AA427" s="809"/>
      <c r="AB427" s="809"/>
      <c r="AC427" s="809"/>
      <c r="AD427" s="809"/>
      <c r="AE427" s="809"/>
      <c r="AF427" s="809"/>
      <c r="AG427" s="809"/>
      <c r="AH427" s="809"/>
      <c r="AI427" s="809"/>
      <c r="AJ427" s="809"/>
      <c r="AK427" s="809"/>
      <c r="AL427" s="809"/>
      <c r="AM427" s="809"/>
      <c r="AN427" s="809"/>
      <c r="AO427" s="809"/>
      <c r="AP427" s="809"/>
      <c r="AQ427" s="809"/>
      <c r="AR427" s="809"/>
      <c r="AS427" s="809"/>
      <c r="AT427" s="809"/>
      <c r="AU427" s="809"/>
      <c r="AV427" s="809"/>
      <c r="AW427" s="809"/>
      <c r="AX427" s="809"/>
      <c r="AY427" s="809"/>
      <c r="AZ427" s="809"/>
      <c r="BA427" s="809"/>
      <c r="BB427" s="809"/>
      <c r="BC427" s="809"/>
      <c r="BD427" s="809"/>
      <c r="BE427" s="809"/>
      <c r="BF427" s="809"/>
      <c r="BG427" s="809"/>
      <c r="BH427" s="809"/>
      <c r="BI427" s="809"/>
      <c r="BJ427" s="809"/>
      <c r="BK427" s="809"/>
      <c r="BL427" s="809"/>
      <c r="BM427" s="809"/>
      <c r="BN427" s="809"/>
    </row>
    <row r="428" spans="1:66">
      <c r="A428" s="809"/>
      <c r="B428" s="809"/>
      <c r="C428" s="809"/>
      <c r="D428" s="809"/>
      <c r="E428" s="809"/>
      <c r="F428" s="809"/>
      <c r="G428" s="809"/>
      <c r="H428" s="809"/>
      <c r="I428" s="809"/>
      <c r="J428" s="809"/>
      <c r="K428" s="809"/>
      <c r="L428" s="809"/>
      <c r="M428" s="809"/>
      <c r="N428" s="809"/>
      <c r="O428" s="809"/>
      <c r="P428" s="809"/>
      <c r="Q428" s="809"/>
      <c r="R428" s="809"/>
      <c r="S428" s="809"/>
      <c r="T428" s="809"/>
      <c r="U428" s="809"/>
      <c r="V428" s="809"/>
      <c r="W428" s="809"/>
      <c r="X428" s="809"/>
      <c r="Y428" s="809"/>
      <c r="Z428" s="809"/>
      <c r="AA428" s="809"/>
      <c r="AB428" s="809"/>
      <c r="AC428" s="809"/>
      <c r="AD428" s="809"/>
      <c r="AE428" s="809"/>
      <c r="AF428" s="809"/>
      <c r="AG428" s="809"/>
      <c r="AH428" s="809"/>
      <c r="AI428" s="809"/>
      <c r="AJ428" s="809"/>
      <c r="AK428" s="809"/>
      <c r="AL428" s="809"/>
      <c r="AM428" s="809"/>
      <c r="AN428" s="809"/>
      <c r="AO428" s="809"/>
      <c r="AP428" s="809"/>
      <c r="AQ428" s="809"/>
      <c r="AR428" s="809"/>
      <c r="AS428" s="809"/>
      <c r="AT428" s="809"/>
      <c r="AU428" s="809"/>
      <c r="AV428" s="809"/>
      <c r="AW428" s="809"/>
      <c r="AX428" s="809"/>
      <c r="AY428" s="809"/>
      <c r="AZ428" s="809"/>
      <c r="BA428" s="809"/>
      <c r="BB428" s="809"/>
      <c r="BC428" s="809"/>
      <c r="BD428" s="809"/>
      <c r="BE428" s="809"/>
      <c r="BF428" s="809"/>
      <c r="BG428" s="809"/>
      <c r="BH428" s="809"/>
      <c r="BI428" s="809"/>
      <c r="BJ428" s="809"/>
      <c r="BK428" s="809"/>
      <c r="BL428" s="809"/>
      <c r="BM428" s="809"/>
      <c r="BN428" s="809"/>
    </row>
    <row r="429" spans="1:66">
      <c r="A429" s="809"/>
      <c r="B429" s="809"/>
      <c r="C429" s="809"/>
      <c r="D429" s="809"/>
      <c r="E429" s="809"/>
      <c r="F429" s="809"/>
      <c r="G429" s="809"/>
      <c r="H429" s="809"/>
      <c r="I429" s="809"/>
      <c r="J429" s="809"/>
      <c r="K429" s="809"/>
      <c r="L429" s="809"/>
      <c r="M429" s="809"/>
      <c r="N429" s="809"/>
      <c r="O429" s="809"/>
      <c r="P429" s="809"/>
      <c r="Q429" s="809"/>
      <c r="R429" s="809"/>
      <c r="S429" s="809"/>
      <c r="T429" s="809"/>
      <c r="U429" s="809"/>
      <c r="V429" s="809"/>
      <c r="W429" s="809"/>
      <c r="X429" s="809"/>
      <c r="Y429" s="809"/>
      <c r="Z429" s="809"/>
      <c r="AA429" s="809"/>
      <c r="AB429" s="809"/>
      <c r="AC429" s="809"/>
      <c r="AD429" s="809"/>
      <c r="AE429" s="809"/>
      <c r="AF429" s="809"/>
      <c r="AG429" s="809"/>
      <c r="AH429" s="809"/>
      <c r="AI429" s="809"/>
      <c r="AJ429" s="809"/>
      <c r="AK429" s="809"/>
      <c r="AL429" s="809"/>
      <c r="AM429" s="809"/>
      <c r="AN429" s="809"/>
      <c r="AO429" s="809"/>
      <c r="AP429" s="809"/>
      <c r="AQ429" s="809"/>
      <c r="AR429" s="809"/>
      <c r="AS429" s="809"/>
      <c r="AT429" s="809"/>
      <c r="AU429" s="809"/>
      <c r="AV429" s="809"/>
      <c r="AW429" s="809"/>
      <c r="AX429" s="809"/>
      <c r="AY429" s="809"/>
      <c r="AZ429" s="809"/>
      <c r="BA429" s="809"/>
      <c r="BB429" s="809"/>
      <c r="BC429" s="809"/>
      <c r="BD429" s="809"/>
      <c r="BE429" s="809"/>
      <c r="BF429" s="809"/>
      <c r="BG429" s="809"/>
      <c r="BH429" s="809"/>
      <c r="BI429" s="809"/>
      <c r="BJ429" s="809"/>
      <c r="BK429" s="809"/>
      <c r="BL429" s="809"/>
      <c r="BM429" s="809"/>
      <c r="BN429" s="809"/>
    </row>
    <row r="430" spans="1:66">
      <c r="A430" s="809"/>
      <c r="B430" s="809"/>
      <c r="C430" s="809"/>
      <c r="D430" s="809"/>
      <c r="E430" s="809"/>
      <c r="F430" s="809"/>
      <c r="G430" s="809"/>
      <c r="H430" s="809"/>
      <c r="I430" s="809"/>
      <c r="J430" s="809"/>
      <c r="K430" s="809"/>
      <c r="L430" s="809"/>
      <c r="M430" s="809"/>
      <c r="N430" s="809"/>
      <c r="O430" s="809"/>
      <c r="P430" s="809"/>
      <c r="Q430" s="809"/>
      <c r="R430" s="809"/>
      <c r="S430" s="809"/>
      <c r="T430" s="809"/>
      <c r="U430" s="809"/>
      <c r="V430" s="809"/>
      <c r="W430" s="809"/>
      <c r="X430" s="809"/>
      <c r="Y430" s="809"/>
      <c r="Z430" s="809"/>
      <c r="AA430" s="809"/>
      <c r="AB430" s="809"/>
      <c r="AC430" s="809"/>
      <c r="AD430" s="809"/>
      <c r="AE430" s="809"/>
      <c r="AF430" s="809"/>
      <c r="AG430" s="809"/>
      <c r="AH430" s="809"/>
      <c r="AI430" s="809"/>
      <c r="AJ430" s="809"/>
      <c r="AK430" s="809"/>
      <c r="AL430" s="809"/>
      <c r="AM430" s="809"/>
      <c r="AN430" s="809"/>
      <c r="AO430" s="809"/>
      <c r="AP430" s="809"/>
      <c r="AQ430" s="809"/>
      <c r="AR430" s="809"/>
      <c r="AS430" s="809"/>
      <c r="AT430" s="809"/>
      <c r="AU430" s="809"/>
      <c r="AV430" s="809"/>
      <c r="AW430" s="809"/>
      <c r="AX430" s="809"/>
      <c r="AY430" s="809"/>
      <c r="AZ430" s="809"/>
      <c r="BA430" s="809"/>
      <c r="BB430" s="809"/>
      <c r="BC430" s="809"/>
      <c r="BD430" s="809"/>
      <c r="BE430" s="809"/>
      <c r="BF430" s="809"/>
      <c r="BG430" s="809"/>
      <c r="BH430" s="809"/>
      <c r="BI430" s="809"/>
      <c r="BJ430" s="809"/>
      <c r="BK430" s="809"/>
      <c r="BL430" s="809"/>
      <c r="BM430" s="809"/>
      <c r="BN430" s="809"/>
    </row>
    <row r="431" spans="1:66">
      <c r="A431" s="809"/>
      <c r="B431" s="809"/>
      <c r="C431" s="809"/>
      <c r="D431" s="809"/>
      <c r="E431" s="809"/>
      <c r="F431" s="809"/>
      <c r="G431" s="809"/>
      <c r="H431" s="809"/>
      <c r="I431" s="809"/>
      <c r="J431" s="809"/>
      <c r="K431" s="809"/>
      <c r="L431" s="809"/>
      <c r="M431" s="809"/>
      <c r="N431" s="809"/>
      <c r="O431" s="809"/>
      <c r="P431" s="809"/>
      <c r="Q431" s="809"/>
      <c r="R431" s="809"/>
      <c r="S431" s="809"/>
      <c r="T431" s="809"/>
      <c r="U431" s="809"/>
      <c r="V431" s="809"/>
      <c r="W431" s="809"/>
      <c r="X431" s="809"/>
      <c r="Y431" s="809"/>
      <c r="Z431" s="809"/>
      <c r="AA431" s="809"/>
      <c r="AB431" s="809"/>
      <c r="AC431" s="809"/>
      <c r="AD431" s="809"/>
      <c r="AE431" s="809"/>
      <c r="AF431" s="809"/>
      <c r="AG431" s="809"/>
      <c r="AH431" s="809"/>
      <c r="AI431" s="809"/>
      <c r="AJ431" s="809"/>
      <c r="AK431" s="809"/>
      <c r="AL431" s="809"/>
      <c r="AM431" s="809"/>
      <c r="AN431" s="809"/>
      <c r="AO431" s="809"/>
      <c r="AP431" s="809"/>
      <c r="AQ431" s="809"/>
      <c r="AR431" s="809"/>
      <c r="AS431" s="809"/>
      <c r="AT431" s="809"/>
      <c r="AU431" s="809"/>
      <c r="AV431" s="809"/>
      <c r="AW431" s="809"/>
      <c r="AX431" s="809"/>
      <c r="AY431" s="809"/>
      <c r="AZ431" s="809"/>
      <c r="BA431" s="809"/>
      <c r="BB431" s="809"/>
      <c r="BC431" s="809"/>
      <c r="BD431" s="809"/>
      <c r="BE431" s="809"/>
      <c r="BF431" s="809"/>
      <c r="BG431" s="809"/>
      <c r="BH431" s="809"/>
      <c r="BI431" s="809"/>
      <c r="BJ431" s="809"/>
      <c r="BK431" s="809"/>
      <c r="BL431" s="809"/>
      <c r="BM431" s="809"/>
      <c r="BN431" s="809"/>
    </row>
    <row r="432" spans="1:66">
      <c r="A432" s="809"/>
      <c r="B432" s="809"/>
      <c r="C432" s="809"/>
      <c r="D432" s="809"/>
      <c r="E432" s="809"/>
      <c r="F432" s="809"/>
      <c r="G432" s="809"/>
      <c r="H432" s="809"/>
      <c r="I432" s="809"/>
      <c r="J432" s="809"/>
      <c r="K432" s="809"/>
      <c r="L432" s="809"/>
      <c r="M432" s="809"/>
      <c r="N432" s="809"/>
      <c r="O432" s="809"/>
      <c r="P432" s="809"/>
      <c r="Q432" s="809"/>
      <c r="R432" s="809"/>
      <c r="S432" s="809"/>
      <c r="T432" s="809"/>
      <c r="U432" s="809"/>
      <c r="V432" s="809"/>
      <c r="W432" s="809"/>
      <c r="X432" s="809"/>
      <c r="Y432" s="809"/>
      <c r="Z432" s="809"/>
      <c r="AA432" s="809"/>
      <c r="AB432" s="809"/>
      <c r="AC432" s="809"/>
      <c r="AD432" s="809"/>
      <c r="AE432" s="809"/>
      <c r="AF432" s="809"/>
      <c r="AG432" s="809"/>
      <c r="AH432" s="809"/>
      <c r="AI432" s="809"/>
      <c r="AJ432" s="809"/>
      <c r="AK432" s="809"/>
      <c r="AL432" s="809"/>
      <c r="AM432" s="809"/>
      <c r="AN432" s="809"/>
      <c r="AO432" s="809"/>
      <c r="AP432" s="809"/>
      <c r="AQ432" s="809"/>
      <c r="AR432" s="809"/>
      <c r="AS432" s="809"/>
      <c r="AT432" s="809"/>
      <c r="AU432" s="809"/>
      <c r="AV432" s="809"/>
      <c r="AW432" s="809"/>
      <c r="AX432" s="809"/>
      <c r="AY432" s="809"/>
      <c r="AZ432" s="809"/>
      <c r="BA432" s="809"/>
      <c r="BB432" s="809"/>
      <c r="BC432" s="809"/>
      <c r="BD432" s="809"/>
      <c r="BE432" s="809"/>
      <c r="BF432" s="809"/>
      <c r="BG432" s="809"/>
      <c r="BH432" s="809"/>
      <c r="BI432" s="809"/>
      <c r="BJ432" s="809"/>
      <c r="BK432" s="809"/>
      <c r="BL432" s="809"/>
      <c r="BM432" s="809"/>
      <c r="BN432" s="809"/>
    </row>
    <row r="433" spans="1:66">
      <c r="A433" s="809"/>
      <c r="B433" s="809"/>
      <c r="C433" s="809"/>
      <c r="D433" s="809"/>
      <c r="E433" s="809"/>
      <c r="F433" s="809"/>
      <c r="G433" s="809"/>
      <c r="H433" s="809"/>
      <c r="I433" s="809"/>
      <c r="J433" s="809"/>
      <c r="K433" s="809"/>
      <c r="L433" s="809"/>
      <c r="M433" s="809"/>
      <c r="N433" s="809"/>
      <c r="O433" s="809"/>
      <c r="P433" s="809"/>
      <c r="Q433" s="809"/>
      <c r="R433" s="809"/>
      <c r="S433" s="809"/>
      <c r="T433" s="809"/>
      <c r="U433" s="809"/>
      <c r="V433" s="809"/>
      <c r="W433" s="809"/>
      <c r="X433" s="809"/>
      <c r="Y433" s="809"/>
      <c r="Z433" s="809"/>
      <c r="AA433" s="809"/>
      <c r="AB433" s="809"/>
      <c r="AC433" s="809"/>
      <c r="AD433" s="809"/>
      <c r="AE433" s="809"/>
      <c r="AF433" s="809"/>
      <c r="AG433" s="809"/>
      <c r="AH433" s="809"/>
      <c r="AI433" s="809"/>
      <c r="AJ433" s="809"/>
      <c r="AK433" s="809"/>
      <c r="AL433" s="809"/>
      <c r="AM433" s="809"/>
      <c r="AN433" s="809"/>
      <c r="AO433" s="809"/>
      <c r="AP433" s="809"/>
      <c r="AQ433" s="809"/>
      <c r="AR433" s="809"/>
      <c r="AS433" s="809"/>
      <c r="AT433" s="809"/>
      <c r="AU433" s="809"/>
      <c r="AV433" s="809"/>
      <c r="AW433" s="809"/>
      <c r="AX433" s="809"/>
      <c r="AY433" s="809"/>
      <c r="AZ433" s="809"/>
      <c r="BA433" s="809"/>
      <c r="BB433" s="809"/>
      <c r="BC433" s="809"/>
      <c r="BD433" s="809"/>
      <c r="BE433" s="809"/>
      <c r="BF433" s="809"/>
      <c r="BG433" s="809"/>
      <c r="BH433" s="809"/>
      <c r="BI433" s="809"/>
      <c r="BJ433" s="809"/>
      <c r="BK433" s="809"/>
      <c r="BL433" s="809"/>
      <c r="BM433" s="809"/>
      <c r="BN433" s="809"/>
    </row>
    <row r="434" spans="1:66">
      <c r="A434" s="809"/>
      <c r="B434" s="809"/>
      <c r="C434" s="809"/>
      <c r="D434" s="809"/>
      <c r="E434" s="809"/>
      <c r="F434" s="809"/>
      <c r="G434" s="809"/>
      <c r="H434" s="809"/>
      <c r="I434" s="809"/>
      <c r="J434" s="809"/>
      <c r="K434" s="809"/>
      <c r="L434" s="809"/>
      <c r="M434" s="809"/>
      <c r="N434" s="809"/>
      <c r="O434" s="809"/>
      <c r="P434" s="809"/>
      <c r="Q434" s="809"/>
      <c r="R434" s="809"/>
      <c r="S434" s="809"/>
      <c r="T434" s="809"/>
      <c r="U434" s="809"/>
      <c r="V434" s="809"/>
      <c r="W434" s="809"/>
      <c r="X434" s="809"/>
      <c r="Y434" s="809"/>
      <c r="Z434" s="809"/>
      <c r="AA434" s="809"/>
      <c r="AB434" s="809"/>
      <c r="AC434" s="809"/>
      <c r="AD434" s="809"/>
      <c r="AE434" s="809"/>
      <c r="AF434" s="809"/>
      <c r="AG434" s="809"/>
      <c r="AH434" s="809"/>
      <c r="AI434" s="809"/>
      <c r="AJ434" s="809"/>
      <c r="AK434" s="809"/>
      <c r="AL434" s="809"/>
      <c r="AM434" s="809"/>
      <c r="AN434" s="809"/>
      <c r="AO434" s="809"/>
      <c r="AP434" s="809"/>
      <c r="AQ434" s="809"/>
      <c r="AR434" s="809"/>
      <c r="AS434" s="809"/>
      <c r="AT434" s="809"/>
      <c r="AU434" s="809"/>
      <c r="AV434" s="809"/>
      <c r="AW434" s="809"/>
      <c r="AX434" s="809"/>
      <c r="AY434" s="809"/>
      <c r="AZ434" s="809"/>
      <c r="BA434" s="809"/>
      <c r="BB434" s="809"/>
      <c r="BC434" s="809"/>
      <c r="BD434" s="809"/>
      <c r="BE434" s="809"/>
      <c r="BF434" s="809"/>
      <c r="BG434" s="809"/>
      <c r="BH434" s="809"/>
      <c r="BI434" s="809"/>
      <c r="BJ434" s="809"/>
      <c r="BK434" s="809"/>
      <c r="BL434" s="809"/>
      <c r="BM434" s="809"/>
      <c r="BN434" s="809"/>
    </row>
    <row r="435" spans="1:66">
      <c r="A435" s="809"/>
      <c r="B435" s="809"/>
      <c r="C435" s="809"/>
      <c r="D435" s="809"/>
      <c r="E435" s="809"/>
      <c r="F435" s="809"/>
      <c r="G435" s="809"/>
      <c r="H435" s="809"/>
      <c r="I435" s="809"/>
      <c r="J435" s="809"/>
      <c r="K435" s="809"/>
      <c r="L435" s="809"/>
      <c r="M435" s="809"/>
      <c r="N435" s="809"/>
      <c r="O435" s="809"/>
      <c r="P435" s="809"/>
      <c r="Q435" s="809"/>
      <c r="R435" s="809"/>
      <c r="S435" s="809"/>
      <c r="T435" s="809"/>
      <c r="U435" s="809"/>
      <c r="V435" s="809"/>
      <c r="W435" s="809"/>
      <c r="X435" s="809"/>
      <c r="Y435" s="809"/>
      <c r="Z435" s="809"/>
      <c r="AA435" s="809"/>
      <c r="AB435" s="809"/>
      <c r="AC435" s="809"/>
      <c r="AD435" s="809"/>
      <c r="AE435" s="809"/>
      <c r="AF435" s="809"/>
      <c r="AG435" s="809"/>
      <c r="AH435" s="809"/>
      <c r="AI435" s="809"/>
      <c r="AJ435" s="809"/>
      <c r="AK435" s="809"/>
      <c r="AL435" s="809"/>
      <c r="AM435" s="809"/>
      <c r="AN435" s="809"/>
      <c r="AO435" s="809"/>
      <c r="AP435" s="809"/>
      <c r="AQ435" s="809"/>
      <c r="AR435" s="809"/>
      <c r="AS435" s="809"/>
      <c r="AT435" s="809"/>
      <c r="AU435" s="809"/>
      <c r="AV435" s="809"/>
      <c r="AW435" s="809"/>
      <c r="AX435" s="809"/>
      <c r="AY435" s="809"/>
      <c r="AZ435" s="809"/>
      <c r="BA435" s="809"/>
      <c r="BB435" s="809"/>
      <c r="BC435" s="809"/>
      <c r="BD435" s="809"/>
      <c r="BE435" s="809"/>
      <c r="BF435" s="809"/>
      <c r="BG435" s="809"/>
      <c r="BH435" s="809"/>
      <c r="BI435" s="809"/>
      <c r="BJ435" s="809"/>
      <c r="BK435" s="809"/>
      <c r="BL435" s="809"/>
      <c r="BM435" s="809"/>
      <c r="BN435" s="809"/>
    </row>
    <row r="436" spans="1:66">
      <c r="A436" s="809"/>
      <c r="B436" s="809"/>
      <c r="C436" s="809"/>
      <c r="D436" s="809"/>
      <c r="E436" s="809"/>
      <c r="F436" s="809"/>
      <c r="G436" s="809"/>
      <c r="H436" s="809"/>
      <c r="I436" s="809"/>
      <c r="J436" s="809"/>
      <c r="K436" s="809"/>
      <c r="L436" s="809"/>
      <c r="M436" s="809"/>
      <c r="N436" s="809"/>
      <c r="O436" s="809"/>
      <c r="P436" s="809"/>
      <c r="Q436" s="809"/>
      <c r="R436" s="809"/>
      <c r="S436" s="809"/>
      <c r="T436" s="809"/>
      <c r="U436" s="809"/>
      <c r="V436" s="809"/>
      <c r="W436" s="809"/>
      <c r="X436" s="809"/>
      <c r="Y436" s="809"/>
      <c r="Z436" s="809"/>
      <c r="AA436" s="809"/>
      <c r="AB436" s="809"/>
      <c r="AC436" s="809"/>
      <c r="AD436" s="809"/>
      <c r="AE436" s="809"/>
      <c r="AF436" s="809"/>
      <c r="AG436" s="809"/>
      <c r="AH436" s="809"/>
      <c r="AI436" s="809"/>
      <c r="AJ436" s="809"/>
      <c r="AK436" s="809"/>
      <c r="AL436" s="809"/>
      <c r="AM436" s="809"/>
      <c r="AN436" s="809"/>
      <c r="AO436" s="809"/>
      <c r="AP436" s="809"/>
      <c r="AQ436" s="809"/>
      <c r="AR436" s="809"/>
      <c r="AS436" s="809"/>
      <c r="AT436" s="809"/>
      <c r="AU436" s="809"/>
      <c r="AV436" s="809"/>
      <c r="AW436" s="809"/>
      <c r="AX436" s="809"/>
      <c r="AY436" s="809"/>
      <c r="AZ436" s="809"/>
      <c r="BA436" s="809"/>
      <c r="BB436" s="809"/>
      <c r="BC436" s="809"/>
      <c r="BD436" s="809"/>
      <c r="BE436" s="809"/>
      <c r="BF436" s="809"/>
      <c r="BG436" s="809"/>
      <c r="BH436" s="809"/>
      <c r="BI436" s="809"/>
      <c r="BJ436" s="809"/>
      <c r="BK436" s="809"/>
      <c r="BL436" s="809"/>
      <c r="BM436" s="809"/>
      <c r="BN436" s="809"/>
    </row>
    <row r="437" spans="1:66">
      <c r="A437" s="809"/>
      <c r="B437" s="809"/>
      <c r="C437" s="809"/>
      <c r="D437" s="809"/>
      <c r="E437" s="809"/>
      <c r="F437" s="809"/>
      <c r="G437" s="809"/>
      <c r="H437" s="809"/>
      <c r="I437" s="809"/>
      <c r="J437" s="809"/>
      <c r="K437" s="809"/>
      <c r="L437" s="809"/>
      <c r="M437" s="809"/>
      <c r="N437" s="809"/>
      <c r="O437" s="809"/>
      <c r="P437" s="809"/>
      <c r="Q437" s="809"/>
      <c r="R437" s="809"/>
      <c r="S437" s="809"/>
      <c r="T437" s="809"/>
      <c r="U437" s="809"/>
      <c r="V437" s="809"/>
      <c r="W437" s="809"/>
      <c r="X437" s="809"/>
      <c r="Y437" s="809"/>
      <c r="Z437" s="809"/>
      <c r="AA437" s="809"/>
      <c r="AB437" s="809"/>
      <c r="AC437" s="809"/>
      <c r="AD437" s="809"/>
      <c r="AE437" s="809"/>
      <c r="AF437" s="809"/>
      <c r="AG437" s="809"/>
      <c r="AH437" s="809"/>
      <c r="AI437" s="809"/>
      <c r="AJ437" s="809"/>
      <c r="AK437" s="809"/>
      <c r="AL437" s="809"/>
      <c r="AM437" s="809"/>
      <c r="AN437" s="809"/>
      <c r="AO437" s="809"/>
      <c r="AP437" s="809"/>
      <c r="AQ437" s="809"/>
      <c r="AR437" s="809"/>
      <c r="AS437" s="809"/>
      <c r="AT437" s="809"/>
      <c r="AU437" s="809"/>
      <c r="AV437" s="809"/>
      <c r="AW437" s="809"/>
      <c r="AX437" s="809"/>
      <c r="AY437" s="809"/>
      <c r="AZ437" s="809"/>
      <c r="BA437" s="809"/>
      <c r="BB437" s="809"/>
      <c r="BC437" s="809"/>
      <c r="BD437" s="809"/>
      <c r="BE437" s="809"/>
      <c r="BF437" s="809"/>
      <c r="BG437" s="809"/>
      <c r="BH437" s="809"/>
      <c r="BI437" s="809"/>
      <c r="BJ437" s="809"/>
      <c r="BK437" s="809"/>
      <c r="BL437" s="809"/>
      <c r="BM437" s="809"/>
      <c r="BN437" s="809"/>
    </row>
    <row r="438" spans="1:66">
      <c r="A438" s="809"/>
      <c r="B438" s="809"/>
      <c r="C438" s="809"/>
      <c r="D438" s="809"/>
      <c r="E438" s="809"/>
      <c r="F438" s="809"/>
      <c r="G438" s="809"/>
      <c r="H438" s="809"/>
      <c r="I438" s="809"/>
      <c r="J438" s="809"/>
      <c r="K438" s="809"/>
      <c r="L438" s="809"/>
      <c r="M438" s="809"/>
      <c r="N438" s="809"/>
      <c r="O438" s="809"/>
      <c r="P438" s="809"/>
      <c r="Q438" s="809"/>
      <c r="R438" s="809"/>
      <c r="S438" s="809"/>
      <c r="T438" s="809"/>
      <c r="U438" s="809"/>
      <c r="V438" s="809"/>
      <c r="W438" s="809"/>
      <c r="X438" s="809"/>
      <c r="Y438" s="809"/>
      <c r="Z438" s="809"/>
      <c r="AA438" s="809"/>
      <c r="AB438" s="809"/>
      <c r="AC438" s="809"/>
      <c r="AD438" s="809"/>
      <c r="AE438" s="809"/>
      <c r="AF438" s="809"/>
      <c r="AG438" s="809"/>
      <c r="AH438" s="809"/>
      <c r="AI438" s="809"/>
      <c r="AJ438" s="809"/>
      <c r="AK438" s="809"/>
      <c r="AL438" s="809"/>
      <c r="AM438" s="809"/>
      <c r="AN438" s="809"/>
      <c r="AO438" s="809"/>
      <c r="AP438" s="809"/>
      <c r="AQ438" s="809"/>
      <c r="AR438" s="809"/>
      <c r="AS438" s="809"/>
      <c r="AT438" s="809"/>
      <c r="AU438" s="809"/>
      <c r="AV438" s="809"/>
      <c r="AW438" s="809"/>
      <c r="AX438" s="809"/>
      <c r="AY438" s="809"/>
      <c r="AZ438" s="809"/>
      <c r="BA438" s="809"/>
      <c r="BB438" s="809"/>
      <c r="BC438" s="809"/>
      <c r="BD438" s="809"/>
      <c r="BE438" s="809"/>
      <c r="BF438" s="809"/>
      <c r="BG438" s="809"/>
      <c r="BH438" s="809"/>
      <c r="BI438" s="809"/>
      <c r="BJ438" s="809"/>
      <c r="BK438" s="809"/>
      <c r="BL438" s="809"/>
      <c r="BM438" s="809"/>
      <c r="BN438" s="809"/>
    </row>
    <row r="439" spans="1:66">
      <c r="A439" s="809"/>
      <c r="B439" s="809"/>
      <c r="C439" s="809"/>
      <c r="D439" s="809"/>
      <c r="E439" s="809"/>
      <c r="F439" s="809"/>
      <c r="G439" s="809"/>
      <c r="H439" s="809"/>
      <c r="I439" s="809"/>
      <c r="J439" s="809"/>
      <c r="K439" s="809"/>
      <c r="L439" s="809"/>
      <c r="M439" s="809"/>
      <c r="N439" s="809"/>
      <c r="O439" s="809"/>
      <c r="P439" s="809"/>
      <c r="Q439" s="809"/>
      <c r="R439" s="809"/>
      <c r="S439" s="809"/>
      <c r="T439" s="809"/>
      <c r="U439" s="809"/>
      <c r="V439" s="809"/>
      <c r="W439" s="809"/>
      <c r="X439" s="809"/>
      <c r="Y439" s="809"/>
      <c r="Z439" s="809"/>
      <c r="AA439" s="809"/>
      <c r="AB439" s="809"/>
      <c r="AC439" s="809"/>
      <c r="AD439" s="809"/>
      <c r="AE439" s="809"/>
      <c r="AF439" s="809"/>
      <c r="AG439" s="809"/>
      <c r="AH439" s="809"/>
      <c r="AI439" s="809"/>
      <c r="AJ439" s="809"/>
      <c r="AK439" s="809"/>
      <c r="AL439" s="809"/>
      <c r="AM439" s="809"/>
      <c r="AN439" s="809"/>
      <c r="AO439" s="809"/>
      <c r="AP439" s="809"/>
      <c r="AQ439" s="809"/>
      <c r="AR439" s="809"/>
      <c r="AS439" s="809"/>
      <c r="AT439" s="809"/>
      <c r="AU439" s="809"/>
      <c r="AV439" s="809"/>
      <c r="AW439" s="809"/>
      <c r="AX439" s="809"/>
      <c r="AY439" s="809"/>
      <c r="AZ439" s="809"/>
      <c r="BA439" s="809"/>
      <c r="BB439" s="809"/>
      <c r="BC439" s="809"/>
      <c r="BD439" s="809"/>
      <c r="BE439" s="809"/>
      <c r="BF439" s="809"/>
      <c r="BG439" s="809"/>
      <c r="BH439" s="809"/>
      <c r="BI439" s="809"/>
      <c r="BJ439" s="809"/>
      <c r="BK439" s="809"/>
      <c r="BL439" s="809"/>
      <c r="BM439" s="809"/>
      <c r="BN439" s="809"/>
    </row>
    <row r="440" spans="1:66">
      <c r="A440" s="809"/>
      <c r="B440" s="809"/>
      <c r="C440" s="809"/>
      <c r="D440" s="809"/>
      <c r="E440" s="809"/>
      <c r="F440" s="809"/>
      <c r="G440" s="809"/>
      <c r="H440" s="809"/>
      <c r="I440" s="809"/>
      <c r="J440" s="809"/>
      <c r="K440" s="809"/>
      <c r="L440" s="809"/>
      <c r="M440" s="809"/>
      <c r="N440" s="809"/>
      <c r="O440" s="809"/>
      <c r="P440" s="809"/>
      <c r="Q440" s="809"/>
      <c r="R440" s="809"/>
      <c r="S440" s="809"/>
      <c r="T440" s="809"/>
      <c r="U440" s="809"/>
      <c r="V440" s="809"/>
      <c r="W440" s="809"/>
      <c r="X440" s="809"/>
      <c r="Y440" s="809"/>
      <c r="Z440" s="809"/>
      <c r="AA440" s="809"/>
      <c r="AB440" s="809"/>
      <c r="AC440" s="809"/>
      <c r="AD440" s="809"/>
      <c r="AE440" s="809"/>
      <c r="AF440" s="809"/>
      <c r="AG440" s="809"/>
      <c r="AH440" s="809"/>
      <c r="AI440" s="809"/>
      <c r="AJ440" s="809"/>
      <c r="AK440" s="809"/>
      <c r="AL440" s="809"/>
      <c r="AM440" s="809"/>
      <c r="AN440" s="809"/>
      <c r="AO440" s="809"/>
      <c r="AP440" s="809"/>
      <c r="AQ440" s="809"/>
      <c r="AR440" s="809"/>
      <c r="AS440" s="809"/>
      <c r="AT440" s="809"/>
      <c r="AU440" s="809"/>
      <c r="AV440" s="809"/>
      <c r="AW440" s="809"/>
      <c r="AX440" s="809"/>
      <c r="AY440" s="809"/>
      <c r="AZ440" s="809"/>
      <c r="BA440" s="809"/>
      <c r="BB440" s="809"/>
      <c r="BC440" s="809"/>
      <c r="BD440" s="809"/>
      <c r="BE440" s="809"/>
      <c r="BF440" s="809"/>
      <c r="BG440" s="809"/>
      <c r="BH440" s="809"/>
      <c r="BI440" s="809"/>
      <c r="BJ440" s="809"/>
      <c r="BK440" s="809"/>
      <c r="BL440" s="809"/>
      <c r="BM440" s="809"/>
      <c r="BN440" s="809"/>
    </row>
    <row r="441" spans="1:66">
      <c r="A441" s="809"/>
      <c r="B441" s="809"/>
      <c r="C441" s="809"/>
      <c r="D441" s="809"/>
      <c r="E441" s="809"/>
      <c r="F441" s="809"/>
      <c r="G441" s="809"/>
      <c r="H441" s="809"/>
      <c r="I441" s="809"/>
      <c r="J441" s="809"/>
      <c r="K441" s="809"/>
      <c r="L441" s="809"/>
      <c r="M441" s="809"/>
      <c r="N441" s="809"/>
      <c r="O441" s="809"/>
      <c r="P441" s="809"/>
      <c r="Q441" s="809"/>
      <c r="R441" s="809"/>
      <c r="S441" s="809"/>
      <c r="T441" s="809"/>
      <c r="U441" s="809"/>
      <c r="V441" s="809"/>
      <c r="W441" s="809"/>
      <c r="X441" s="809"/>
      <c r="Y441" s="809"/>
      <c r="Z441" s="809"/>
      <c r="AA441" s="809"/>
      <c r="AB441" s="809"/>
      <c r="AC441" s="809"/>
      <c r="AD441" s="809"/>
      <c r="AE441" s="809"/>
      <c r="AF441" s="809"/>
      <c r="AG441" s="809"/>
      <c r="AH441" s="809"/>
      <c r="AI441" s="809"/>
      <c r="AJ441" s="809"/>
      <c r="AK441" s="809"/>
      <c r="AL441" s="809"/>
      <c r="AM441" s="809"/>
      <c r="AN441" s="809"/>
      <c r="AO441" s="809"/>
      <c r="AP441" s="809"/>
      <c r="AQ441" s="809"/>
      <c r="AR441" s="809"/>
      <c r="AS441" s="809"/>
      <c r="AT441" s="809"/>
      <c r="AU441" s="809"/>
      <c r="AV441" s="809"/>
      <c r="AW441" s="809"/>
      <c r="AX441" s="809"/>
      <c r="AY441" s="809"/>
      <c r="AZ441" s="809"/>
      <c r="BA441" s="809"/>
      <c r="BB441" s="809"/>
      <c r="BC441" s="809"/>
      <c r="BD441" s="809"/>
      <c r="BE441" s="809"/>
      <c r="BF441" s="809"/>
      <c r="BG441" s="809"/>
      <c r="BH441" s="809"/>
      <c r="BI441" s="809"/>
      <c r="BJ441" s="809"/>
      <c r="BK441" s="809"/>
      <c r="BL441" s="809"/>
      <c r="BM441" s="809"/>
      <c r="BN441" s="809"/>
    </row>
    <row r="442" spans="1:66">
      <c r="A442" s="809"/>
      <c r="B442" s="809"/>
      <c r="C442" s="809"/>
      <c r="D442" s="809"/>
      <c r="E442" s="809"/>
      <c r="F442" s="809"/>
      <c r="G442" s="809"/>
      <c r="H442" s="809"/>
      <c r="I442" s="809"/>
      <c r="J442" s="809"/>
      <c r="K442" s="809"/>
      <c r="L442" s="809"/>
      <c r="M442" s="809"/>
      <c r="N442" s="809"/>
      <c r="O442" s="809"/>
      <c r="P442" s="809"/>
      <c r="Q442" s="809"/>
      <c r="R442" s="809"/>
      <c r="S442" s="809"/>
      <c r="T442" s="809"/>
      <c r="U442" s="809"/>
      <c r="V442" s="809"/>
      <c r="W442" s="809"/>
      <c r="X442" s="809"/>
      <c r="Y442" s="809"/>
      <c r="Z442" s="809"/>
      <c r="AA442" s="809"/>
      <c r="AB442" s="809"/>
      <c r="AC442" s="809"/>
      <c r="AD442" s="809"/>
      <c r="AE442" s="809"/>
      <c r="AF442" s="809"/>
      <c r="AG442" s="809"/>
      <c r="AH442" s="809"/>
      <c r="AI442" s="809"/>
      <c r="AJ442" s="809"/>
      <c r="AK442" s="809"/>
      <c r="AL442" s="809"/>
      <c r="AM442" s="809"/>
      <c r="AN442" s="809"/>
      <c r="AO442" s="809"/>
      <c r="AP442" s="809"/>
      <c r="AQ442" s="809"/>
      <c r="AR442" s="809"/>
      <c r="AS442" s="809"/>
      <c r="AT442" s="809"/>
      <c r="AU442" s="809"/>
      <c r="AV442" s="809"/>
      <c r="AW442" s="809"/>
      <c r="AX442" s="809"/>
      <c r="AY442" s="809"/>
      <c r="AZ442" s="809"/>
      <c r="BA442" s="809"/>
      <c r="BB442" s="809"/>
      <c r="BC442" s="809"/>
      <c r="BD442" s="809"/>
      <c r="BE442" s="809"/>
      <c r="BF442" s="809"/>
      <c r="BG442" s="809"/>
      <c r="BH442" s="809"/>
      <c r="BI442" s="809"/>
      <c r="BJ442" s="809"/>
      <c r="BK442" s="809"/>
      <c r="BL442" s="809"/>
      <c r="BM442" s="809"/>
      <c r="BN442" s="809"/>
    </row>
    <row r="443" spans="1:66">
      <c r="A443" s="809"/>
      <c r="B443" s="809"/>
      <c r="C443" s="809"/>
      <c r="D443" s="809"/>
      <c r="E443" s="809"/>
      <c r="F443" s="809"/>
      <c r="G443" s="809"/>
      <c r="H443" s="809"/>
      <c r="I443" s="809"/>
      <c r="J443" s="809"/>
      <c r="K443" s="809"/>
      <c r="L443" s="809"/>
      <c r="M443" s="809"/>
      <c r="N443" s="809"/>
      <c r="O443" s="809"/>
      <c r="P443" s="809"/>
      <c r="Q443" s="809"/>
      <c r="R443" s="809"/>
      <c r="S443" s="809"/>
      <c r="T443" s="809"/>
      <c r="U443" s="809"/>
      <c r="V443" s="809"/>
      <c r="W443" s="809"/>
      <c r="X443" s="809"/>
      <c r="Y443" s="809"/>
      <c r="Z443" s="809"/>
      <c r="AA443" s="809"/>
      <c r="AB443" s="809"/>
      <c r="AC443" s="809"/>
      <c r="AD443" s="809"/>
      <c r="AE443" s="809"/>
      <c r="AF443" s="809"/>
      <c r="AG443" s="809"/>
      <c r="AH443" s="809"/>
      <c r="AI443" s="809"/>
      <c r="AJ443" s="809"/>
      <c r="AK443" s="809"/>
      <c r="AL443" s="809"/>
      <c r="AM443" s="809"/>
      <c r="AN443" s="809"/>
      <c r="AO443" s="809"/>
      <c r="AP443" s="809"/>
      <c r="AQ443" s="809"/>
      <c r="AR443" s="809"/>
      <c r="AS443" s="809"/>
      <c r="AT443" s="809"/>
      <c r="AU443" s="809"/>
      <c r="AV443" s="809"/>
      <c r="AW443" s="809"/>
      <c r="AX443" s="809"/>
      <c r="AY443" s="809"/>
      <c r="AZ443" s="809"/>
      <c r="BA443" s="809"/>
      <c r="BB443" s="809"/>
      <c r="BC443" s="809"/>
      <c r="BD443" s="809"/>
      <c r="BE443" s="809"/>
      <c r="BF443" s="809"/>
      <c r="BG443" s="809"/>
      <c r="BH443" s="809"/>
      <c r="BI443" s="809"/>
      <c r="BJ443" s="809"/>
      <c r="BK443" s="809"/>
      <c r="BL443" s="809"/>
      <c r="BM443" s="809"/>
      <c r="BN443" s="809"/>
    </row>
    <row r="444" spans="1:66">
      <c r="A444" s="809"/>
      <c r="B444" s="809"/>
      <c r="C444" s="809"/>
      <c r="D444" s="809"/>
      <c r="E444" s="809"/>
      <c r="F444" s="809"/>
      <c r="G444" s="809"/>
      <c r="H444" s="809"/>
      <c r="I444" s="809"/>
      <c r="J444" s="809"/>
      <c r="K444" s="809"/>
      <c r="L444" s="809"/>
      <c r="M444" s="809"/>
      <c r="N444" s="809"/>
      <c r="O444" s="809"/>
      <c r="P444" s="809"/>
      <c r="Q444" s="809"/>
      <c r="R444" s="809"/>
      <c r="S444" s="809"/>
      <c r="T444" s="809"/>
      <c r="U444" s="809"/>
      <c r="V444" s="809"/>
      <c r="W444" s="809"/>
      <c r="X444" s="809"/>
      <c r="Y444" s="809"/>
      <c r="Z444" s="809"/>
      <c r="AA444" s="809"/>
      <c r="AB444" s="809"/>
      <c r="AC444" s="809"/>
      <c r="AD444" s="809"/>
      <c r="AE444" s="809"/>
      <c r="AF444" s="809"/>
      <c r="AG444" s="809"/>
      <c r="AH444" s="809"/>
      <c r="AI444" s="809"/>
      <c r="AJ444" s="809"/>
      <c r="AK444" s="809"/>
      <c r="AL444" s="809"/>
      <c r="AM444" s="809"/>
      <c r="AN444" s="809"/>
      <c r="AO444" s="809"/>
      <c r="AP444" s="809"/>
      <c r="AQ444" s="809"/>
      <c r="AR444" s="809"/>
      <c r="AS444" s="809"/>
      <c r="AT444" s="809"/>
      <c r="AU444" s="809"/>
      <c r="AV444" s="809"/>
      <c r="AW444" s="809"/>
      <c r="AX444" s="809"/>
      <c r="AY444" s="809"/>
      <c r="AZ444" s="809"/>
      <c r="BA444" s="809"/>
      <c r="BB444" s="809"/>
      <c r="BC444" s="809"/>
      <c r="BD444" s="809"/>
      <c r="BE444" s="809"/>
      <c r="BF444" s="809"/>
      <c r="BG444" s="809"/>
      <c r="BH444" s="809"/>
      <c r="BI444" s="809"/>
      <c r="BJ444" s="809"/>
      <c r="BK444" s="809"/>
      <c r="BL444" s="809"/>
      <c r="BM444" s="809"/>
      <c r="BN444" s="809"/>
    </row>
    <row r="445" spans="1:66">
      <c r="A445" s="809"/>
      <c r="B445" s="809"/>
      <c r="C445" s="809"/>
      <c r="D445" s="809"/>
      <c r="E445" s="809"/>
      <c r="F445" s="809"/>
      <c r="G445" s="809"/>
      <c r="H445" s="809"/>
      <c r="I445" s="809"/>
      <c r="J445" s="809"/>
      <c r="K445" s="809"/>
      <c r="L445" s="809"/>
      <c r="M445" s="809"/>
      <c r="N445" s="809"/>
      <c r="O445" s="809"/>
      <c r="P445" s="809"/>
      <c r="Q445" s="809"/>
      <c r="R445" s="809"/>
      <c r="S445" s="809"/>
      <c r="T445" s="809"/>
      <c r="U445" s="809"/>
      <c r="V445" s="809"/>
      <c r="W445" s="809"/>
      <c r="X445" s="809"/>
      <c r="Y445" s="809"/>
      <c r="Z445" s="809"/>
      <c r="AA445" s="809"/>
      <c r="AB445" s="809"/>
      <c r="AC445" s="809"/>
      <c r="AD445" s="809"/>
      <c r="AE445" s="809"/>
      <c r="AF445" s="809"/>
      <c r="AG445" s="809"/>
      <c r="AH445" s="809"/>
      <c r="AI445" s="809"/>
      <c r="AJ445" s="809"/>
      <c r="AK445" s="809"/>
      <c r="AL445" s="809"/>
      <c r="AM445" s="809"/>
      <c r="AN445" s="809"/>
      <c r="AO445" s="809"/>
      <c r="AP445" s="809"/>
      <c r="AQ445" s="809"/>
      <c r="AR445" s="809"/>
      <c r="AS445" s="809"/>
      <c r="AT445" s="809"/>
      <c r="AU445" s="809"/>
      <c r="AV445" s="809"/>
      <c r="AW445" s="809"/>
      <c r="AX445" s="809"/>
      <c r="AY445" s="809"/>
      <c r="AZ445" s="809"/>
      <c r="BA445" s="809"/>
      <c r="BB445" s="809"/>
      <c r="BC445" s="809"/>
      <c r="BD445" s="809"/>
      <c r="BE445" s="809"/>
      <c r="BF445" s="809"/>
      <c r="BG445" s="809"/>
      <c r="BH445" s="809"/>
      <c r="BI445" s="809"/>
      <c r="BJ445" s="809"/>
      <c r="BK445" s="809"/>
      <c r="BL445" s="809"/>
      <c r="BM445" s="809"/>
      <c r="BN445" s="809"/>
    </row>
    <row r="446" spans="1:66">
      <c r="A446" s="809"/>
      <c r="B446" s="809"/>
      <c r="C446" s="809"/>
      <c r="D446" s="809"/>
      <c r="E446" s="809"/>
      <c r="F446" s="809"/>
      <c r="G446" s="809"/>
      <c r="H446" s="809"/>
      <c r="I446" s="809"/>
      <c r="J446" s="809"/>
      <c r="K446" s="809"/>
      <c r="L446" s="809"/>
      <c r="M446" s="809"/>
      <c r="N446" s="809"/>
      <c r="O446" s="809"/>
      <c r="P446" s="809"/>
      <c r="Q446" s="809"/>
      <c r="R446" s="809"/>
      <c r="S446" s="809"/>
      <c r="T446" s="809"/>
      <c r="U446" s="809"/>
      <c r="V446" s="809"/>
      <c r="W446" s="809"/>
      <c r="X446" s="809"/>
      <c r="Y446" s="809"/>
      <c r="Z446" s="809"/>
      <c r="AA446" s="809"/>
      <c r="AB446" s="809"/>
      <c r="AC446" s="809"/>
      <c r="AD446" s="809"/>
      <c r="AE446" s="809"/>
      <c r="AF446" s="809"/>
      <c r="AG446" s="809"/>
      <c r="AH446" s="809"/>
      <c r="AI446" s="809"/>
      <c r="AJ446" s="809"/>
      <c r="AK446" s="809"/>
      <c r="AL446" s="809"/>
      <c r="AM446" s="809"/>
      <c r="AN446" s="809"/>
      <c r="AO446" s="809"/>
      <c r="AP446" s="809"/>
      <c r="AQ446" s="809"/>
      <c r="AR446" s="809"/>
      <c r="AS446" s="809"/>
      <c r="AT446" s="809"/>
      <c r="AU446" s="809"/>
      <c r="AV446" s="809"/>
      <c r="AW446" s="809"/>
      <c r="AX446" s="809"/>
      <c r="AY446" s="809"/>
      <c r="AZ446" s="809"/>
      <c r="BA446" s="809"/>
      <c r="BB446" s="809"/>
      <c r="BC446" s="809"/>
      <c r="BD446" s="809"/>
      <c r="BE446" s="809"/>
      <c r="BF446" s="809"/>
      <c r="BG446" s="809"/>
      <c r="BH446" s="809"/>
      <c r="BI446" s="809"/>
      <c r="BJ446" s="809"/>
      <c r="BK446" s="809"/>
      <c r="BL446" s="809"/>
      <c r="BM446" s="809"/>
      <c r="BN446" s="809"/>
    </row>
    <row r="447" spans="1:66">
      <c r="A447" s="809"/>
      <c r="B447" s="809"/>
      <c r="C447" s="809"/>
      <c r="D447" s="809"/>
      <c r="E447" s="809"/>
      <c r="F447" s="809"/>
      <c r="G447" s="809"/>
      <c r="H447" s="809"/>
      <c r="I447" s="809"/>
      <c r="J447" s="809"/>
      <c r="K447" s="809"/>
      <c r="L447" s="809"/>
      <c r="M447" s="809"/>
      <c r="N447" s="809"/>
      <c r="O447" s="809"/>
      <c r="P447" s="809"/>
      <c r="Q447" s="809"/>
      <c r="R447" s="809"/>
      <c r="S447" s="809"/>
      <c r="T447" s="809"/>
      <c r="U447" s="809"/>
      <c r="V447" s="809"/>
      <c r="W447" s="809"/>
      <c r="X447" s="809"/>
      <c r="Y447" s="809"/>
      <c r="Z447" s="809"/>
      <c r="AA447" s="809"/>
      <c r="AB447" s="809"/>
      <c r="AC447" s="809"/>
      <c r="AD447" s="809"/>
      <c r="AE447" s="809"/>
      <c r="AF447" s="809"/>
      <c r="AG447" s="809"/>
      <c r="AH447" s="809"/>
      <c r="AI447" s="809"/>
      <c r="AJ447" s="809"/>
      <c r="AK447" s="809"/>
      <c r="AL447" s="809"/>
      <c r="AM447" s="809"/>
      <c r="AN447" s="809"/>
      <c r="AO447" s="809"/>
      <c r="AP447" s="809"/>
      <c r="AQ447" s="809"/>
      <c r="AR447" s="809"/>
      <c r="AS447" s="809"/>
      <c r="AT447" s="809"/>
      <c r="AU447" s="809"/>
      <c r="AV447" s="809"/>
      <c r="AW447" s="809"/>
      <c r="AX447" s="809"/>
      <c r="AY447" s="809"/>
      <c r="AZ447" s="809"/>
      <c r="BA447" s="809"/>
      <c r="BB447" s="809"/>
      <c r="BC447" s="809"/>
      <c r="BD447" s="809"/>
      <c r="BE447" s="809"/>
      <c r="BF447" s="809"/>
      <c r="BG447" s="809"/>
      <c r="BH447" s="809"/>
      <c r="BI447" s="809"/>
      <c r="BJ447" s="809"/>
      <c r="BK447" s="809"/>
      <c r="BL447" s="809"/>
      <c r="BM447" s="809"/>
      <c r="BN447" s="809"/>
    </row>
    <row r="448" spans="1:66">
      <c r="A448" s="809"/>
      <c r="B448" s="809"/>
      <c r="C448" s="809"/>
      <c r="D448" s="809"/>
      <c r="E448" s="809"/>
      <c r="F448" s="809"/>
      <c r="G448" s="809"/>
      <c r="H448" s="809"/>
      <c r="I448" s="809"/>
      <c r="J448" s="809"/>
      <c r="K448" s="809"/>
      <c r="L448" s="809"/>
      <c r="M448" s="809"/>
      <c r="N448" s="809"/>
      <c r="O448" s="809"/>
      <c r="P448" s="809"/>
      <c r="Q448" s="809"/>
      <c r="R448" s="809"/>
      <c r="S448" s="809"/>
      <c r="T448" s="809"/>
      <c r="U448" s="809"/>
      <c r="V448" s="809"/>
      <c r="W448" s="809"/>
      <c r="X448" s="809"/>
      <c r="Y448" s="809"/>
      <c r="Z448" s="809"/>
      <c r="AA448" s="809"/>
      <c r="AB448" s="809"/>
      <c r="AC448" s="809"/>
      <c r="AD448" s="809"/>
      <c r="AE448" s="809"/>
      <c r="AF448" s="809"/>
      <c r="AG448" s="809"/>
      <c r="AH448" s="809"/>
      <c r="AI448" s="809"/>
      <c r="AJ448" s="809"/>
      <c r="AK448" s="809"/>
      <c r="AL448" s="809"/>
      <c r="AM448" s="809"/>
      <c r="AN448" s="809"/>
      <c r="AO448" s="809"/>
      <c r="AP448" s="809"/>
      <c r="AQ448" s="809"/>
      <c r="AR448" s="809"/>
      <c r="AS448" s="809"/>
      <c r="AT448" s="809"/>
      <c r="AU448" s="809"/>
      <c r="AV448" s="809"/>
      <c r="AW448" s="809"/>
      <c r="AX448" s="809"/>
      <c r="AY448" s="809"/>
      <c r="AZ448" s="809"/>
      <c r="BA448" s="809"/>
      <c r="BB448" s="809"/>
      <c r="BC448" s="809"/>
      <c r="BD448" s="809"/>
      <c r="BE448" s="809"/>
      <c r="BF448" s="809"/>
      <c r="BG448" s="809"/>
      <c r="BH448" s="809"/>
      <c r="BI448" s="809"/>
      <c r="BJ448" s="809"/>
      <c r="BK448" s="809"/>
      <c r="BL448" s="809"/>
      <c r="BM448" s="809"/>
      <c r="BN448" s="809"/>
    </row>
    <row r="449" spans="1:66">
      <c r="A449" s="809"/>
      <c r="B449" s="809"/>
      <c r="C449" s="809"/>
      <c r="D449" s="809"/>
      <c r="E449" s="809"/>
      <c r="F449" s="809"/>
      <c r="G449" s="809"/>
      <c r="H449" s="809"/>
      <c r="I449" s="809"/>
      <c r="J449" s="809"/>
      <c r="K449" s="809"/>
      <c r="L449" s="809"/>
      <c r="M449" s="809"/>
      <c r="N449" s="809"/>
      <c r="O449" s="809"/>
      <c r="P449" s="809"/>
      <c r="Q449" s="809"/>
      <c r="R449" s="809"/>
      <c r="S449" s="809"/>
      <c r="T449" s="809"/>
      <c r="U449" s="809"/>
      <c r="V449" s="809"/>
      <c r="W449" s="809"/>
      <c r="X449" s="809"/>
      <c r="Y449" s="809"/>
      <c r="Z449" s="809"/>
      <c r="AA449" s="809"/>
      <c r="AB449" s="809"/>
      <c r="AC449" s="809"/>
      <c r="AD449" s="809"/>
      <c r="AE449" s="809"/>
      <c r="AF449" s="809"/>
      <c r="AG449" s="809"/>
      <c r="AH449" s="809"/>
      <c r="AI449" s="809"/>
      <c r="AJ449" s="809"/>
      <c r="AK449" s="809"/>
      <c r="AL449" s="809"/>
      <c r="AM449" s="809"/>
      <c r="AN449" s="809"/>
      <c r="AO449" s="809"/>
      <c r="AP449" s="809"/>
      <c r="AQ449" s="809"/>
      <c r="AR449" s="809"/>
      <c r="AS449" s="809"/>
      <c r="AT449" s="809"/>
      <c r="AU449" s="809"/>
      <c r="AV449" s="809"/>
      <c r="AW449" s="809"/>
      <c r="AX449" s="809"/>
      <c r="AY449" s="809"/>
      <c r="AZ449" s="809"/>
      <c r="BA449" s="809"/>
      <c r="BB449" s="809"/>
      <c r="BC449" s="809"/>
      <c r="BD449" s="809"/>
      <c r="BE449" s="809"/>
      <c r="BF449" s="809"/>
      <c r="BG449" s="809"/>
      <c r="BH449" s="809"/>
      <c r="BI449" s="809"/>
      <c r="BJ449" s="809"/>
      <c r="BK449" s="809"/>
      <c r="BL449" s="809"/>
      <c r="BM449" s="809"/>
      <c r="BN449" s="809"/>
    </row>
    <row r="450" spans="1:66">
      <c r="A450" s="809"/>
      <c r="B450" s="809"/>
      <c r="C450" s="809"/>
      <c r="D450" s="809"/>
      <c r="E450" s="809"/>
      <c r="F450" s="809"/>
      <c r="G450" s="809"/>
      <c r="H450" s="809"/>
      <c r="I450" s="809"/>
      <c r="J450" s="809"/>
      <c r="K450" s="809"/>
      <c r="L450" s="809"/>
      <c r="M450" s="809"/>
      <c r="N450" s="809"/>
      <c r="O450" s="809"/>
      <c r="P450" s="809"/>
      <c r="Q450" s="809"/>
      <c r="R450" s="809"/>
      <c r="S450" s="809"/>
      <c r="T450" s="809"/>
      <c r="U450" s="809"/>
      <c r="V450" s="809"/>
      <c r="W450" s="809"/>
      <c r="X450" s="809"/>
      <c r="Y450" s="809"/>
      <c r="Z450" s="809"/>
      <c r="AA450" s="809"/>
      <c r="AB450" s="809"/>
      <c r="AC450" s="809"/>
      <c r="AD450" s="809"/>
      <c r="AE450" s="809"/>
      <c r="AF450" s="809"/>
      <c r="AG450" s="809"/>
      <c r="AH450" s="809"/>
      <c r="AI450" s="809"/>
      <c r="AJ450" s="809"/>
      <c r="AK450" s="809"/>
      <c r="AL450" s="809"/>
      <c r="AM450" s="809"/>
      <c r="AN450" s="809"/>
      <c r="AO450" s="809"/>
      <c r="AP450" s="809"/>
      <c r="AQ450" s="809"/>
      <c r="AR450" s="809"/>
      <c r="AS450" s="809"/>
      <c r="AT450" s="809"/>
      <c r="AU450" s="809"/>
      <c r="AV450" s="809"/>
      <c r="AW450" s="809"/>
      <c r="AX450" s="809"/>
      <c r="AY450" s="809"/>
      <c r="AZ450" s="809"/>
      <c r="BA450" s="809"/>
      <c r="BB450" s="809"/>
      <c r="BC450" s="809"/>
      <c r="BD450" s="809"/>
      <c r="BE450" s="809"/>
      <c r="BF450" s="809"/>
      <c r="BG450" s="809"/>
      <c r="BH450" s="809"/>
      <c r="BI450" s="809"/>
      <c r="BJ450" s="809"/>
      <c r="BK450" s="809"/>
      <c r="BL450" s="809"/>
      <c r="BM450" s="809"/>
      <c r="BN450" s="809"/>
    </row>
    <row r="451" spans="1:66">
      <c r="A451" s="809"/>
      <c r="B451" s="809"/>
      <c r="C451" s="809"/>
      <c r="D451" s="809"/>
      <c r="E451" s="809"/>
      <c r="F451" s="809"/>
      <c r="G451" s="809"/>
      <c r="H451" s="809"/>
      <c r="I451" s="809"/>
      <c r="J451" s="809"/>
      <c r="K451" s="809"/>
      <c r="L451" s="809"/>
      <c r="M451" s="809"/>
      <c r="N451" s="809"/>
      <c r="O451" s="809"/>
      <c r="P451" s="809"/>
      <c r="Q451" s="809"/>
      <c r="R451" s="809"/>
      <c r="S451" s="809"/>
      <c r="T451" s="809"/>
      <c r="U451" s="809"/>
      <c r="V451" s="809"/>
      <c r="W451" s="809"/>
      <c r="X451" s="809"/>
      <c r="Y451" s="809"/>
      <c r="Z451" s="809"/>
      <c r="AA451" s="809"/>
      <c r="AB451" s="809"/>
      <c r="AC451" s="809"/>
      <c r="AD451" s="809"/>
      <c r="AE451" s="809"/>
      <c r="AF451" s="809"/>
      <c r="AG451" s="809"/>
      <c r="AH451" s="809"/>
      <c r="AI451" s="809"/>
      <c r="AJ451" s="809"/>
      <c r="AK451" s="809"/>
      <c r="AL451" s="809"/>
      <c r="AM451" s="809"/>
      <c r="AN451" s="809"/>
      <c r="AO451" s="809"/>
      <c r="AP451" s="809"/>
      <c r="AQ451" s="809"/>
      <c r="AR451" s="809"/>
      <c r="AS451" s="809"/>
      <c r="AT451" s="809"/>
      <c r="AU451" s="809"/>
      <c r="AV451" s="809"/>
      <c r="AW451" s="809"/>
      <c r="AX451" s="809"/>
      <c r="AY451" s="809"/>
      <c r="AZ451" s="809"/>
      <c r="BA451" s="809"/>
      <c r="BB451" s="809"/>
      <c r="BC451" s="809"/>
      <c r="BD451" s="809"/>
      <c r="BE451" s="809"/>
      <c r="BF451" s="809"/>
      <c r="BG451" s="809"/>
      <c r="BH451" s="809"/>
      <c r="BI451" s="809"/>
      <c r="BJ451" s="809"/>
      <c r="BK451" s="809"/>
      <c r="BL451" s="809"/>
      <c r="BM451" s="809"/>
      <c r="BN451" s="809"/>
    </row>
    <row r="452" spans="1:66">
      <c r="A452" s="809"/>
      <c r="B452" s="809"/>
      <c r="C452" s="809"/>
      <c r="D452" s="809"/>
      <c r="E452" s="809"/>
      <c r="F452" s="809"/>
      <c r="G452" s="809"/>
      <c r="H452" s="809"/>
      <c r="I452" s="809"/>
      <c r="J452" s="809"/>
      <c r="K452" s="809"/>
      <c r="L452" s="809"/>
      <c r="M452" s="809"/>
      <c r="N452" s="809"/>
      <c r="O452" s="809"/>
      <c r="P452" s="809"/>
      <c r="Q452" s="809"/>
      <c r="R452" s="809"/>
      <c r="S452" s="809"/>
      <c r="T452" s="809"/>
      <c r="U452" s="809"/>
      <c r="V452" s="809"/>
      <c r="W452" s="809"/>
      <c r="X452" s="809"/>
      <c r="Y452" s="809"/>
      <c r="Z452" s="809"/>
      <c r="AA452" s="809"/>
      <c r="AB452" s="809"/>
      <c r="AC452" s="809"/>
      <c r="AD452" s="809"/>
      <c r="AE452" s="809"/>
      <c r="AF452" s="809"/>
      <c r="AG452" s="809"/>
      <c r="AH452" s="809"/>
      <c r="AI452" s="809"/>
      <c r="AJ452" s="809"/>
      <c r="AK452" s="809"/>
      <c r="AL452" s="809"/>
      <c r="AM452" s="809"/>
      <c r="AN452" s="809"/>
      <c r="AO452" s="809"/>
      <c r="AP452" s="809"/>
      <c r="AQ452" s="809"/>
      <c r="AR452" s="809"/>
      <c r="AS452" s="809"/>
      <c r="AT452" s="809"/>
      <c r="AU452" s="809"/>
      <c r="AV452" s="809"/>
      <c r="AW452" s="809"/>
      <c r="AX452" s="809"/>
      <c r="AY452" s="809"/>
      <c r="AZ452" s="809"/>
      <c r="BA452" s="809"/>
      <c r="BB452" s="809"/>
      <c r="BC452" s="809"/>
      <c r="BD452" s="809"/>
      <c r="BE452" s="809"/>
      <c r="BF452" s="809"/>
      <c r="BG452" s="809"/>
      <c r="BH452" s="809"/>
      <c r="BI452" s="809"/>
      <c r="BJ452" s="809"/>
      <c r="BK452" s="809"/>
      <c r="BL452" s="809"/>
      <c r="BM452" s="809"/>
      <c r="BN452" s="809"/>
    </row>
    <row r="453" spans="1:66">
      <c r="A453" s="809"/>
      <c r="B453" s="809"/>
      <c r="C453" s="809"/>
      <c r="D453" s="809"/>
      <c r="E453" s="809"/>
      <c r="F453" s="809"/>
      <c r="G453" s="809"/>
      <c r="H453" s="809"/>
      <c r="I453" s="809"/>
      <c r="J453" s="809"/>
      <c r="K453" s="809"/>
      <c r="L453" s="809"/>
      <c r="M453" s="809"/>
      <c r="N453" s="809"/>
      <c r="O453" s="809"/>
      <c r="P453" s="809"/>
      <c r="Q453" s="809"/>
      <c r="R453" s="809"/>
      <c r="S453" s="809"/>
      <c r="T453" s="809"/>
      <c r="U453" s="809"/>
      <c r="V453" s="809"/>
      <c r="W453" s="809"/>
      <c r="X453" s="809"/>
      <c r="Y453" s="809"/>
      <c r="Z453" s="809"/>
      <c r="AA453" s="809"/>
      <c r="AB453" s="809"/>
      <c r="AC453" s="809"/>
      <c r="AD453" s="809"/>
      <c r="AE453" s="809"/>
      <c r="AF453" s="809"/>
      <c r="AG453" s="809"/>
      <c r="AH453" s="809"/>
      <c r="AI453" s="809"/>
      <c r="AJ453" s="809"/>
      <c r="AK453" s="809"/>
      <c r="AL453" s="809"/>
      <c r="AM453" s="809"/>
      <c r="AN453" s="809"/>
      <c r="AO453" s="809"/>
      <c r="AP453" s="809"/>
      <c r="AQ453" s="809"/>
      <c r="AR453" s="809"/>
      <c r="AS453" s="809"/>
      <c r="AT453" s="809"/>
      <c r="AU453" s="809"/>
      <c r="AV453" s="809"/>
      <c r="AW453" s="809"/>
      <c r="AX453" s="809"/>
      <c r="AY453" s="809"/>
      <c r="AZ453" s="809"/>
      <c r="BA453" s="809"/>
      <c r="BB453" s="809"/>
      <c r="BC453" s="809"/>
      <c r="BD453" s="809"/>
      <c r="BE453" s="809"/>
      <c r="BF453" s="809"/>
      <c r="BG453" s="809"/>
      <c r="BH453" s="809"/>
      <c r="BI453" s="809"/>
      <c r="BJ453" s="809"/>
      <c r="BK453" s="809"/>
      <c r="BL453" s="809"/>
      <c r="BM453" s="809"/>
      <c r="BN453" s="809"/>
    </row>
    <row r="454" spans="1:66">
      <c r="A454" s="809"/>
      <c r="B454" s="809"/>
      <c r="C454" s="809"/>
      <c r="D454" s="809"/>
      <c r="E454" s="809"/>
      <c r="F454" s="809"/>
      <c r="G454" s="809"/>
      <c r="H454" s="809"/>
      <c r="I454" s="809"/>
      <c r="J454" s="809"/>
      <c r="K454" s="809"/>
      <c r="L454" s="809"/>
      <c r="M454" s="809"/>
      <c r="N454" s="809"/>
      <c r="O454" s="809"/>
      <c r="P454" s="809"/>
      <c r="Q454" s="809"/>
      <c r="R454" s="809"/>
      <c r="S454" s="809"/>
      <c r="T454" s="809"/>
      <c r="U454" s="809"/>
      <c r="V454" s="809"/>
      <c r="W454" s="809"/>
      <c r="X454" s="809"/>
      <c r="Y454" s="809"/>
      <c r="Z454" s="809"/>
      <c r="AA454" s="809"/>
      <c r="AB454" s="809"/>
      <c r="AC454" s="809"/>
      <c r="AD454" s="809"/>
      <c r="AE454" s="809"/>
      <c r="AF454" s="809"/>
      <c r="AG454" s="809"/>
      <c r="AH454" s="809"/>
      <c r="AI454" s="809"/>
      <c r="AJ454" s="809"/>
      <c r="AK454" s="809"/>
      <c r="AL454" s="809"/>
      <c r="AM454" s="809"/>
      <c r="AN454" s="809"/>
      <c r="AO454" s="809"/>
      <c r="AP454" s="809"/>
      <c r="AQ454" s="809"/>
      <c r="AR454" s="809"/>
      <c r="AS454" s="809"/>
      <c r="AT454" s="809"/>
      <c r="AU454" s="809"/>
      <c r="AV454" s="809"/>
      <c r="AW454" s="809"/>
      <c r="AX454" s="809"/>
      <c r="AY454" s="809"/>
      <c r="AZ454" s="809"/>
      <c r="BA454" s="809"/>
      <c r="BB454" s="809"/>
      <c r="BC454" s="809"/>
      <c r="BD454" s="809"/>
      <c r="BE454" s="809"/>
      <c r="BF454" s="809"/>
      <c r="BG454" s="809"/>
      <c r="BH454" s="809"/>
      <c r="BI454" s="809"/>
      <c r="BJ454" s="809"/>
      <c r="BK454" s="809"/>
      <c r="BL454" s="809"/>
      <c r="BM454" s="809"/>
      <c r="BN454" s="809"/>
    </row>
    <row r="455" spans="1:66">
      <c r="A455" s="809"/>
      <c r="B455" s="809"/>
      <c r="C455" s="809"/>
      <c r="D455" s="809"/>
      <c r="E455" s="809"/>
      <c r="F455" s="809"/>
      <c r="G455" s="809"/>
      <c r="H455" s="809"/>
      <c r="I455" s="809"/>
      <c r="J455" s="809"/>
      <c r="K455" s="809"/>
      <c r="L455" s="809"/>
      <c r="M455" s="809"/>
      <c r="N455" s="809"/>
      <c r="O455" s="809"/>
      <c r="P455" s="809"/>
      <c r="Q455" s="809"/>
      <c r="R455" s="809"/>
      <c r="S455" s="809"/>
      <c r="T455" s="809"/>
      <c r="U455" s="809"/>
      <c r="V455" s="809"/>
      <c r="W455" s="809"/>
      <c r="X455" s="809"/>
      <c r="Y455" s="809"/>
      <c r="Z455" s="809"/>
      <c r="AA455" s="809"/>
      <c r="AB455" s="809"/>
      <c r="AC455" s="809"/>
      <c r="AD455" s="809"/>
      <c r="AE455" s="809"/>
      <c r="AF455" s="809"/>
      <c r="AG455" s="809"/>
      <c r="AH455" s="809"/>
      <c r="AI455" s="809"/>
      <c r="AJ455" s="809"/>
      <c r="AK455" s="809"/>
      <c r="AL455" s="809"/>
      <c r="AM455" s="809"/>
      <c r="AN455" s="809"/>
      <c r="AO455" s="809"/>
      <c r="AP455" s="809"/>
      <c r="AQ455" s="809"/>
      <c r="AR455" s="809"/>
      <c r="AS455" s="809"/>
      <c r="AT455" s="809"/>
      <c r="AU455" s="809"/>
      <c r="AV455" s="809"/>
      <c r="AW455" s="809"/>
      <c r="AX455" s="809"/>
      <c r="AY455" s="809"/>
      <c r="AZ455" s="809"/>
      <c r="BA455" s="809"/>
      <c r="BB455" s="809"/>
      <c r="BC455" s="809"/>
      <c r="BD455" s="809"/>
      <c r="BE455" s="809"/>
      <c r="BF455" s="809"/>
      <c r="BG455" s="809"/>
      <c r="BH455" s="809"/>
      <c r="BI455" s="809"/>
      <c r="BJ455" s="809"/>
      <c r="BK455" s="809"/>
      <c r="BL455" s="809"/>
      <c r="BM455" s="809"/>
      <c r="BN455" s="809"/>
    </row>
    <row r="456" spans="1:66">
      <c r="A456" s="809"/>
      <c r="B456" s="809"/>
      <c r="C456" s="809"/>
      <c r="D456" s="809"/>
      <c r="E456" s="809"/>
      <c r="F456" s="809"/>
      <c r="G456" s="809"/>
      <c r="H456" s="809"/>
      <c r="I456" s="809"/>
      <c r="J456" s="809"/>
      <c r="K456" s="809"/>
      <c r="L456" s="809"/>
      <c r="M456" s="809"/>
      <c r="N456" s="809"/>
      <c r="O456" s="809"/>
      <c r="P456" s="809"/>
      <c r="Q456" s="809"/>
      <c r="R456" s="809"/>
      <c r="S456" s="809"/>
      <c r="T456" s="809"/>
      <c r="U456" s="809"/>
      <c r="V456" s="809"/>
      <c r="W456" s="809"/>
      <c r="X456" s="809"/>
      <c r="Y456" s="809"/>
      <c r="Z456" s="809"/>
      <c r="AA456" s="809"/>
      <c r="AB456" s="809"/>
      <c r="AC456" s="809"/>
      <c r="AD456" s="809"/>
      <c r="AE456" s="809"/>
      <c r="AF456" s="809"/>
      <c r="AG456" s="809"/>
      <c r="AH456" s="809"/>
      <c r="AI456" s="809"/>
      <c r="AJ456" s="809"/>
      <c r="AK456" s="809"/>
      <c r="AL456" s="809"/>
      <c r="AM456" s="809"/>
      <c r="AN456" s="809"/>
      <c r="AO456" s="809"/>
      <c r="AP456" s="809"/>
      <c r="AQ456" s="809"/>
      <c r="AR456" s="809"/>
      <c r="AS456" s="809"/>
      <c r="AT456" s="809"/>
      <c r="AU456" s="809"/>
      <c r="AV456" s="809"/>
      <c r="AW456" s="809"/>
      <c r="AX456" s="809"/>
      <c r="AY456" s="809"/>
      <c r="AZ456" s="809"/>
      <c r="BA456" s="809"/>
      <c r="BB456" s="809"/>
      <c r="BC456" s="809"/>
      <c r="BD456" s="809"/>
      <c r="BE456" s="809"/>
      <c r="BF456" s="809"/>
      <c r="BG456" s="809"/>
      <c r="BH456" s="809"/>
      <c r="BI456" s="809"/>
      <c r="BJ456" s="809"/>
      <c r="BK456" s="809"/>
      <c r="BL456" s="809"/>
      <c r="BM456" s="809"/>
      <c r="BN456" s="809"/>
    </row>
    <row r="457" spans="1:66">
      <c r="A457" s="809"/>
      <c r="B457" s="809"/>
      <c r="C457" s="809"/>
      <c r="D457" s="809"/>
      <c r="E457" s="809"/>
      <c r="F457" s="809"/>
      <c r="G457" s="809"/>
      <c r="H457" s="809"/>
      <c r="I457" s="809"/>
      <c r="J457" s="809"/>
      <c r="K457" s="809"/>
      <c r="L457" s="809"/>
      <c r="M457" s="809"/>
      <c r="N457" s="809"/>
      <c r="O457" s="809"/>
      <c r="P457" s="809"/>
      <c r="Q457" s="809"/>
      <c r="R457" s="809"/>
      <c r="S457" s="809"/>
      <c r="T457" s="809"/>
      <c r="U457" s="809"/>
      <c r="V457" s="809"/>
      <c r="W457" s="809"/>
      <c r="X457" s="809"/>
      <c r="Y457" s="809"/>
      <c r="Z457" s="809"/>
      <c r="AA457" s="809"/>
      <c r="AB457" s="809"/>
      <c r="AC457" s="809"/>
      <c r="AD457" s="809"/>
      <c r="AE457" s="809"/>
      <c r="AF457" s="809"/>
      <c r="AG457" s="809"/>
      <c r="AH457" s="809"/>
      <c r="AI457" s="809"/>
      <c r="AJ457" s="809"/>
      <c r="AK457" s="809"/>
      <c r="AL457" s="809"/>
      <c r="AM457" s="809"/>
      <c r="AN457" s="809"/>
      <c r="AO457" s="809"/>
      <c r="AP457" s="809"/>
      <c r="AQ457" s="809"/>
      <c r="AR457" s="809"/>
      <c r="AS457" s="809"/>
      <c r="AT457" s="809"/>
      <c r="AU457" s="809"/>
      <c r="AV457" s="809"/>
      <c r="AW457" s="809"/>
      <c r="AX457" s="809"/>
      <c r="AY457" s="809"/>
      <c r="AZ457" s="809"/>
      <c r="BA457" s="809"/>
      <c r="BB457" s="809"/>
      <c r="BC457" s="809"/>
      <c r="BD457" s="809"/>
      <c r="BE457" s="809"/>
      <c r="BF457" s="809"/>
      <c r="BG457" s="809"/>
      <c r="BH457" s="809"/>
      <c r="BI457" s="809"/>
      <c r="BJ457" s="809"/>
      <c r="BK457" s="809"/>
      <c r="BL457" s="809"/>
      <c r="BM457" s="809"/>
      <c r="BN457" s="809"/>
    </row>
    <row r="458" spans="1:66">
      <c r="A458" s="809"/>
      <c r="B458" s="809"/>
      <c r="C458" s="809"/>
      <c r="D458" s="809"/>
      <c r="E458" s="809"/>
      <c r="F458" s="809"/>
      <c r="G458" s="809"/>
      <c r="H458" s="809"/>
      <c r="I458" s="809"/>
      <c r="J458" s="809"/>
      <c r="K458" s="809"/>
      <c r="L458" s="809"/>
      <c r="M458" s="809"/>
      <c r="N458" s="809"/>
      <c r="O458" s="809"/>
      <c r="P458" s="809"/>
      <c r="Q458" s="809"/>
      <c r="R458" s="809"/>
      <c r="S458" s="809"/>
      <c r="T458" s="809"/>
      <c r="U458" s="809"/>
      <c r="V458" s="809"/>
      <c r="W458" s="809"/>
      <c r="X458" s="809"/>
      <c r="Y458" s="809"/>
      <c r="Z458" s="809"/>
      <c r="AA458" s="809"/>
      <c r="AB458" s="809"/>
      <c r="AC458" s="809"/>
      <c r="AD458" s="809"/>
      <c r="AE458" s="809"/>
      <c r="AF458" s="809"/>
      <c r="AG458" s="809"/>
      <c r="AH458" s="809"/>
      <c r="AI458" s="809"/>
      <c r="AJ458" s="809"/>
      <c r="AK458" s="809"/>
      <c r="AL458" s="809"/>
      <c r="AM458" s="809"/>
      <c r="AN458" s="809"/>
      <c r="AO458" s="809"/>
      <c r="AP458" s="809"/>
      <c r="AQ458" s="809"/>
      <c r="AR458" s="809"/>
      <c r="AS458" s="809"/>
      <c r="AT458" s="809"/>
      <c r="AU458" s="809"/>
      <c r="AV458" s="809"/>
      <c r="AW458" s="809"/>
      <c r="AX458" s="809"/>
      <c r="AY458" s="809"/>
      <c r="AZ458" s="809"/>
      <c r="BA458" s="809"/>
      <c r="BB458" s="809"/>
      <c r="BC458" s="809"/>
      <c r="BD458" s="809"/>
      <c r="BE458" s="809"/>
      <c r="BF458" s="809"/>
      <c r="BG458" s="809"/>
      <c r="BH458" s="809"/>
      <c r="BI458" s="809"/>
      <c r="BJ458" s="809"/>
      <c r="BK458" s="809"/>
      <c r="BL458" s="809"/>
      <c r="BM458" s="809"/>
      <c r="BN458" s="809"/>
    </row>
    <row r="459" spans="1:66">
      <c r="A459" s="809"/>
      <c r="B459" s="809"/>
      <c r="C459" s="809"/>
      <c r="D459" s="809"/>
      <c r="E459" s="809"/>
      <c r="F459" s="809"/>
      <c r="G459" s="809"/>
      <c r="H459" s="809"/>
      <c r="I459" s="809"/>
      <c r="J459" s="809"/>
      <c r="K459" s="809"/>
      <c r="L459" s="809"/>
      <c r="M459" s="809"/>
      <c r="N459" s="809"/>
      <c r="O459" s="809"/>
      <c r="P459" s="809"/>
      <c r="Q459" s="809"/>
      <c r="R459" s="809"/>
      <c r="S459" s="809"/>
      <c r="T459" s="809"/>
      <c r="U459" s="809"/>
      <c r="V459" s="809"/>
      <c r="W459" s="809"/>
      <c r="X459" s="809"/>
      <c r="Y459" s="809"/>
      <c r="Z459" s="809"/>
      <c r="AA459" s="809"/>
      <c r="AB459" s="809"/>
      <c r="AC459" s="809"/>
      <c r="AD459" s="809"/>
      <c r="AE459" s="809"/>
      <c r="AF459" s="809"/>
      <c r="AG459" s="809"/>
      <c r="AH459" s="809"/>
      <c r="AI459" s="809"/>
      <c r="AJ459" s="809"/>
      <c r="AK459" s="809"/>
      <c r="AL459" s="809"/>
      <c r="AM459" s="809"/>
      <c r="AN459" s="809"/>
      <c r="AO459" s="809"/>
      <c r="AP459" s="809"/>
      <c r="AQ459" s="809"/>
      <c r="AR459" s="809"/>
      <c r="AS459" s="809"/>
      <c r="AT459" s="809"/>
      <c r="AU459" s="809"/>
      <c r="AV459" s="809"/>
      <c r="AW459" s="809"/>
      <c r="AX459" s="809"/>
      <c r="AY459" s="809"/>
      <c r="AZ459" s="809"/>
      <c r="BA459" s="809"/>
      <c r="BB459" s="809"/>
      <c r="BC459" s="809"/>
      <c r="BD459" s="809"/>
      <c r="BE459" s="809"/>
      <c r="BF459" s="809"/>
      <c r="BG459" s="809"/>
      <c r="BH459" s="809"/>
      <c r="BI459" s="809"/>
      <c r="BJ459" s="809"/>
      <c r="BK459" s="809"/>
      <c r="BL459" s="809"/>
      <c r="BM459" s="809"/>
      <c r="BN459" s="809"/>
    </row>
    <row r="460" spans="1:66">
      <c r="A460" s="809"/>
      <c r="B460" s="809"/>
      <c r="C460" s="809"/>
      <c r="D460" s="809"/>
      <c r="E460" s="809"/>
      <c r="F460" s="809"/>
      <c r="G460" s="809"/>
      <c r="H460" s="809"/>
      <c r="I460" s="809"/>
      <c r="J460" s="809"/>
      <c r="K460" s="809"/>
      <c r="L460" s="809"/>
      <c r="M460" s="809"/>
      <c r="N460" s="809"/>
      <c r="O460" s="809"/>
      <c r="P460" s="809"/>
      <c r="Q460" s="809"/>
      <c r="R460" s="809"/>
      <c r="S460" s="809"/>
      <c r="T460" s="809"/>
      <c r="U460" s="809"/>
      <c r="V460" s="809"/>
      <c r="W460" s="809"/>
      <c r="X460" s="809"/>
      <c r="Y460" s="809"/>
      <c r="Z460" s="809"/>
      <c r="AA460" s="809"/>
      <c r="AB460" s="809"/>
      <c r="AC460" s="809"/>
      <c r="AD460" s="809"/>
      <c r="AE460" s="809"/>
      <c r="AF460" s="809"/>
      <c r="AG460" s="809"/>
      <c r="AH460" s="809"/>
      <c r="AI460" s="809"/>
      <c r="AJ460" s="809"/>
      <c r="AK460" s="809"/>
      <c r="AL460" s="809"/>
      <c r="AM460" s="809"/>
      <c r="AN460" s="809"/>
      <c r="AO460" s="809"/>
      <c r="AP460" s="809"/>
      <c r="AQ460" s="809"/>
      <c r="AR460" s="809"/>
      <c r="AS460" s="809"/>
      <c r="AT460" s="809"/>
      <c r="AU460" s="809"/>
      <c r="AV460" s="809"/>
      <c r="AW460" s="809"/>
      <c r="AX460" s="809"/>
      <c r="AY460" s="809"/>
      <c r="AZ460" s="809"/>
      <c r="BA460" s="809"/>
      <c r="BB460" s="809"/>
      <c r="BC460" s="809"/>
      <c r="BD460" s="809"/>
      <c r="BE460" s="809"/>
      <c r="BF460" s="809"/>
      <c r="BG460" s="809"/>
      <c r="BH460" s="809"/>
      <c r="BI460" s="809"/>
      <c r="BJ460" s="809"/>
      <c r="BK460" s="809"/>
      <c r="BL460" s="809"/>
      <c r="BM460" s="809"/>
      <c r="BN460" s="809"/>
    </row>
    <row r="461" spans="1:66">
      <c r="A461" s="809"/>
      <c r="B461" s="809"/>
      <c r="C461" s="809"/>
      <c r="D461" s="809"/>
      <c r="E461" s="809"/>
      <c r="F461" s="809"/>
      <c r="G461" s="809"/>
      <c r="H461" s="809"/>
      <c r="I461" s="809"/>
      <c r="J461" s="809"/>
      <c r="K461" s="809"/>
      <c r="L461" s="809"/>
      <c r="M461" s="809"/>
      <c r="N461" s="809"/>
      <c r="O461" s="809"/>
      <c r="P461" s="809"/>
      <c r="Q461" s="809"/>
      <c r="R461" s="809"/>
      <c r="S461" s="809"/>
      <c r="T461" s="809"/>
      <c r="U461" s="809"/>
      <c r="V461" s="809"/>
      <c r="W461" s="809"/>
      <c r="X461" s="809"/>
      <c r="Y461" s="809"/>
      <c r="Z461" s="809"/>
      <c r="AA461" s="809"/>
      <c r="AB461" s="809"/>
      <c r="AC461" s="809"/>
      <c r="AD461" s="809"/>
      <c r="AE461" s="809"/>
      <c r="AF461" s="809"/>
      <c r="AG461" s="809"/>
      <c r="AH461" s="809"/>
      <c r="AI461" s="809"/>
      <c r="AJ461" s="809"/>
      <c r="AK461" s="809"/>
      <c r="AL461" s="809"/>
      <c r="AM461" s="809"/>
      <c r="AN461" s="809"/>
      <c r="AO461" s="809"/>
      <c r="AP461" s="809"/>
      <c r="AQ461" s="809"/>
      <c r="AR461" s="809"/>
      <c r="AS461" s="809"/>
      <c r="AT461" s="809"/>
      <c r="AU461" s="809"/>
      <c r="AV461" s="809"/>
      <c r="AW461" s="809"/>
      <c r="AX461" s="809"/>
      <c r="AY461" s="809"/>
      <c r="AZ461" s="809"/>
      <c r="BA461" s="809"/>
      <c r="BB461" s="809"/>
      <c r="BC461" s="809"/>
      <c r="BD461" s="809"/>
      <c r="BE461" s="809"/>
      <c r="BF461" s="809"/>
      <c r="BG461" s="809"/>
      <c r="BH461" s="809"/>
      <c r="BI461" s="809"/>
      <c r="BJ461" s="809"/>
      <c r="BK461" s="809"/>
      <c r="BL461" s="809"/>
      <c r="BM461" s="809"/>
      <c r="BN461" s="809"/>
    </row>
    <row r="462" spans="1:66">
      <c r="A462" s="809"/>
      <c r="B462" s="809"/>
      <c r="C462" s="809"/>
      <c r="D462" s="809"/>
      <c r="E462" s="809"/>
      <c r="F462" s="809"/>
      <c r="G462" s="809"/>
      <c r="H462" s="809"/>
      <c r="I462" s="809"/>
      <c r="J462" s="809"/>
      <c r="K462" s="809"/>
      <c r="L462" s="809"/>
      <c r="M462" s="809"/>
      <c r="N462" s="809"/>
      <c r="O462" s="809"/>
      <c r="P462" s="809"/>
      <c r="Q462" s="809"/>
      <c r="R462" s="809"/>
      <c r="S462" s="809"/>
      <c r="T462" s="809"/>
      <c r="U462" s="809"/>
      <c r="V462" s="809"/>
      <c r="W462" s="809"/>
      <c r="X462" s="809"/>
      <c r="Y462" s="809"/>
      <c r="Z462" s="809"/>
      <c r="AA462" s="809"/>
      <c r="AB462" s="809"/>
      <c r="AC462" s="809"/>
      <c r="AD462" s="809"/>
      <c r="AE462" s="809"/>
      <c r="AF462" s="809"/>
      <c r="AG462" s="809"/>
      <c r="AH462" s="809"/>
      <c r="AI462" s="809"/>
      <c r="AJ462" s="809"/>
      <c r="AK462" s="809"/>
      <c r="AL462" s="809"/>
      <c r="AM462" s="809"/>
      <c r="AN462" s="809"/>
      <c r="AO462" s="809"/>
      <c r="AP462" s="809"/>
      <c r="AQ462" s="809"/>
      <c r="AR462" s="809"/>
      <c r="AS462" s="809"/>
      <c r="AT462" s="809"/>
      <c r="AU462" s="809"/>
      <c r="AV462" s="809"/>
      <c r="AW462" s="809"/>
      <c r="AX462" s="809"/>
      <c r="AY462" s="809"/>
      <c r="AZ462" s="809"/>
      <c r="BA462" s="809"/>
      <c r="BB462" s="809"/>
      <c r="BC462" s="809"/>
      <c r="BD462" s="809"/>
      <c r="BE462" s="809"/>
      <c r="BF462" s="809"/>
      <c r="BG462" s="809"/>
      <c r="BH462" s="809"/>
      <c r="BI462" s="809"/>
      <c r="BJ462" s="809"/>
      <c r="BK462" s="809"/>
      <c r="BL462" s="809"/>
      <c r="BM462" s="809"/>
      <c r="BN462" s="809"/>
    </row>
    <row r="463" spans="1:66">
      <c r="A463" s="809"/>
      <c r="B463" s="809"/>
      <c r="C463" s="809"/>
      <c r="D463" s="809"/>
      <c r="E463" s="809"/>
      <c r="F463" s="809"/>
      <c r="G463" s="809"/>
      <c r="H463" s="809"/>
      <c r="I463" s="809"/>
      <c r="J463" s="809"/>
      <c r="K463" s="809"/>
      <c r="L463" s="809"/>
      <c r="M463" s="809"/>
      <c r="N463" s="809"/>
      <c r="O463" s="809"/>
      <c r="P463" s="809"/>
      <c r="Q463" s="809"/>
      <c r="R463" s="809"/>
      <c r="S463" s="809"/>
      <c r="T463" s="809"/>
      <c r="U463" s="809"/>
      <c r="V463" s="809"/>
      <c r="W463" s="809"/>
      <c r="X463" s="809"/>
      <c r="Y463" s="809"/>
      <c r="Z463" s="809"/>
      <c r="AA463" s="809"/>
      <c r="AB463" s="809"/>
      <c r="AC463" s="809"/>
      <c r="AD463" s="809"/>
      <c r="AE463" s="809"/>
      <c r="AF463" s="809"/>
      <c r="AG463" s="809"/>
      <c r="AH463" s="809"/>
      <c r="AI463" s="809"/>
      <c r="AJ463" s="809"/>
      <c r="AK463" s="809"/>
      <c r="AL463" s="809"/>
      <c r="AM463" s="809"/>
      <c r="AN463" s="809"/>
      <c r="AO463" s="809"/>
      <c r="AP463" s="809"/>
      <c r="AQ463" s="809"/>
      <c r="AR463" s="809"/>
      <c r="AS463" s="809"/>
      <c r="AT463" s="809"/>
      <c r="AU463" s="809"/>
      <c r="AV463" s="809"/>
      <c r="AW463" s="809"/>
      <c r="AX463" s="809"/>
      <c r="AY463" s="809"/>
      <c r="AZ463" s="809"/>
      <c r="BA463" s="809"/>
      <c r="BB463" s="809"/>
      <c r="BC463" s="809"/>
      <c r="BD463" s="809"/>
      <c r="BE463" s="809"/>
      <c r="BF463" s="809"/>
      <c r="BG463" s="809"/>
      <c r="BH463" s="809"/>
      <c r="BI463" s="809"/>
      <c r="BJ463" s="809"/>
      <c r="BK463" s="809"/>
      <c r="BL463" s="809"/>
      <c r="BM463" s="809"/>
      <c r="BN463" s="809"/>
    </row>
    <row r="464" spans="1:66">
      <c r="A464" s="809"/>
      <c r="B464" s="809"/>
      <c r="C464" s="809"/>
      <c r="D464" s="809"/>
      <c r="E464" s="809"/>
      <c r="F464" s="809"/>
      <c r="G464" s="809"/>
      <c r="H464" s="809"/>
      <c r="I464" s="809"/>
      <c r="J464" s="809"/>
      <c r="K464" s="809"/>
      <c r="L464" s="809"/>
      <c r="M464" s="809"/>
      <c r="N464" s="809"/>
      <c r="O464" s="809"/>
      <c r="P464" s="809"/>
      <c r="Q464" s="809"/>
      <c r="R464" s="809"/>
      <c r="S464" s="809"/>
      <c r="T464" s="809"/>
      <c r="U464" s="809"/>
      <c r="V464" s="809"/>
      <c r="W464" s="809"/>
      <c r="X464" s="809"/>
      <c r="Y464" s="809"/>
      <c r="Z464" s="809"/>
      <c r="AA464" s="809"/>
      <c r="AB464" s="809"/>
      <c r="AC464" s="809"/>
      <c r="AD464" s="809"/>
      <c r="AE464" s="809"/>
      <c r="AF464" s="809"/>
      <c r="AG464" s="809"/>
      <c r="AH464" s="809"/>
      <c r="AI464" s="809"/>
      <c r="AJ464" s="809"/>
      <c r="AK464" s="809"/>
      <c r="AL464" s="809"/>
      <c r="AM464" s="809"/>
      <c r="AN464" s="809"/>
      <c r="AO464" s="809"/>
      <c r="AP464" s="809"/>
      <c r="AQ464" s="809"/>
      <c r="AR464" s="809"/>
      <c r="AS464" s="809"/>
      <c r="AT464" s="809"/>
      <c r="AU464" s="809"/>
      <c r="AV464" s="809"/>
      <c r="AW464" s="809"/>
      <c r="AX464" s="809"/>
      <c r="AY464" s="809"/>
      <c r="AZ464" s="809"/>
      <c r="BA464" s="809"/>
      <c r="BB464" s="809"/>
      <c r="BC464" s="809"/>
      <c r="BD464" s="809"/>
      <c r="BE464" s="809"/>
      <c r="BF464" s="809"/>
      <c r="BG464" s="809"/>
      <c r="BH464" s="809"/>
      <c r="BI464" s="809"/>
      <c r="BJ464" s="809"/>
      <c r="BK464" s="809"/>
      <c r="BL464" s="809"/>
      <c r="BM464" s="809"/>
      <c r="BN464" s="809"/>
    </row>
    <row r="465" spans="1:66">
      <c r="A465" s="809"/>
      <c r="B465" s="809"/>
      <c r="C465" s="809"/>
      <c r="D465" s="809"/>
      <c r="E465" s="809"/>
      <c r="F465" s="809"/>
      <c r="G465" s="809"/>
      <c r="H465" s="809"/>
      <c r="I465" s="809"/>
      <c r="J465" s="809"/>
      <c r="K465" s="809"/>
      <c r="L465" s="809"/>
      <c r="M465" s="809"/>
      <c r="N465" s="809"/>
      <c r="O465" s="809"/>
      <c r="P465" s="809"/>
      <c r="Q465" s="809"/>
      <c r="R465" s="809"/>
      <c r="S465" s="809"/>
      <c r="T465" s="809"/>
      <c r="U465" s="809"/>
      <c r="V465" s="809"/>
      <c r="W465" s="809"/>
      <c r="X465" s="809"/>
      <c r="Y465" s="809"/>
      <c r="Z465" s="809"/>
      <c r="AA465" s="809"/>
      <c r="AB465" s="809"/>
      <c r="AC465" s="809"/>
      <c r="AD465" s="809"/>
      <c r="AE465" s="809"/>
      <c r="AF465" s="809"/>
      <c r="AG465" s="809"/>
      <c r="AH465" s="809"/>
      <c r="AI465" s="809"/>
      <c r="AJ465" s="809"/>
      <c r="AK465" s="809"/>
      <c r="AL465" s="809"/>
      <c r="AM465" s="809"/>
      <c r="AN465" s="809"/>
      <c r="AO465" s="809"/>
      <c r="AP465" s="809"/>
      <c r="AQ465" s="809"/>
      <c r="AR465" s="809"/>
      <c r="AS465" s="809"/>
      <c r="AT465" s="809"/>
      <c r="AU465" s="809"/>
      <c r="AV465" s="809"/>
      <c r="AW465" s="809"/>
      <c r="AX465" s="809"/>
      <c r="AY465" s="809"/>
      <c r="AZ465" s="809"/>
      <c r="BA465" s="809"/>
      <c r="BB465" s="809"/>
      <c r="BC465" s="809"/>
      <c r="BD465" s="809"/>
      <c r="BE465" s="809"/>
      <c r="BF465" s="809"/>
      <c r="BG465" s="809"/>
      <c r="BH465" s="809"/>
      <c r="BI465" s="809"/>
      <c r="BJ465" s="809"/>
      <c r="BK465" s="809"/>
      <c r="BL465" s="809"/>
      <c r="BM465" s="809"/>
      <c r="BN465" s="809"/>
    </row>
    <row r="466" spans="1:66">
      <c r="A466" s="809"/>
      <c r="B466" s="809"/>
      <c r="C466" s="809"/>
      <c r="D466" s="809"/>
      <c r="E466" s="809"/>
      <c r="F466" s="809"/>
      <c r="G466" s="809"/>
      <c r="H466" s="809"/>
      <c r="I466" s="809"/>
      <c r="J466" s="809"/>
      <c r="K466" s="809"/>
      <c r="L466" s="809"/>
      <c r="M466" s="809"/>
      <c r="N466" s="809"/>
      <c r="O466" s="809"/>
      <c r="P466" s="809"/>
      <c r="Q466" s="809"/>
      <c r="R466" s="809"/>
      <c r="S466" s="809"/>
      <c r="T466" s="809"/>
      <c r="U466" s="809"/>
      <c r="V466" s="809"/>
      <c r="W466" s="809"/>
      <c r="X466" s="809"/>
      <c r="Y466" s="809"/>
      <c r="Z466" s="809"/>
      <c r="AA466" s="809"/>
      <c r="AB466" s="809"/>
      <c r="AC466" s="809"/>
      <c r="AD466" s="809"/>
      <c r="AE466" s="809"/>
      <c r="AF466" s="809"/>
      <c r="AG466" s="809"/>
      <c r="AH466" s="809"/>
      <c r="AI466" s="809"/>
      <c r="AJ466" s="809"/>
      <c r="AK466" s="809"/>
      <c r="AL466" s="809"/>
      <c r="AM466" s="809"/>
      <c r="AN466" s="809"/>
      <c r="AO466" s="809"/>
      <c r="AP466" s="809"/>
      <c r="AQ466" s="809"/>
      <c r="AR466" s="809"/>
      <c r="AS466" s="809"/>
      <c r="AT466" s="809"/>
      <c r="AU466" s="809"/>
      <c r="AV466" s="809"/>
      <c r="AW466" s="809"/>
      <c r="AX466" s="809"/>
      <c r="AY466" s="809"/>
      <c r="AZ466" s="809"/>
      <c r="BA466" s="809"/>
      <c r="BB466" s="809"/>
      <c r="BC466" s="809"/>
      <c r="BD466" s="809"/>
      <c r="BE466" s="809"/>
      <c r="BF466" s="809"/>
      <c r="BG466" s="809"/>
      <c r="BH466" s="809"/>
      <c r="BI466" s="809"/>
      <c r="BJ466" s="809"/>
      <c r="BK466" s="809"/>
      <c r="BL466" s="809"/>
      <c r="BM466" s="809"/>
      <c r="BN466" s="809"/>
    </row>
    <row r="467" spans="1:66">
      <c r="A467" s="809"/>
      <c r="B467" s="809"/>
      <c r="C467" s="809"/>
      <c r="D467" s="809"/>
      <c r="E467" s="809"/>
      <c r="F467" s="809"/>
      <c r="G467" s="809"/>
      <c r="H467" s="809"/>
      <c r="I467" s="809"/>
      <c r="J467" s="809"/>
      <c r="K467" s="809"/>
      <c r="L467" s="809"/>
      <c r="M467" s="809"/>
      <c r="N467" s="809"/>
      <c r="O467" s="809"/>
      <c r="P467" s="809"/>
      <c r="Q467" s="809"/>
      <c r="R467" s="809"/>
      <c r="S467" s="809"/>
      <c r="T467" s="809"/>
      <c r="U467" s="809"/>
      <c r="V467" s="809"/>
      <c r="W467" s="809"/>
      <c r="X467" s="809"/>
      <c r="Y467" s="809"/>
      <c r="Z467" s="809"/>
      <c r="AA467" s="809"/>
      <c r="AB467" s="809"/>
      <c r="AC467" s="809"/>
      <c r="AD467" s="809"/>
      <c r="AE467" s="809"/>
      <c r="AF467" s="809"/>
      <c r="AG467" s="809"/>
      <c r="AH467" s="809"/>
      <c r="AI467" s="809"/>
      <c r="AJ467" s="809"/>
      <c r="AK467" s="809"/>
      <c r="AL467" s="809"/>
      <c r="AM467" s="809"/>
      <c r="AN467" s="809"/>
      <c r="AO467" s="809"/>
      <c r="AP467" s="809"/>
      <c r="AQ467" s="809"/>
      <c r="AR467" s="809"/>
      <c r="AS467" s="809"/>
      <c r="AT467" s="809"/>
      <c r="AU467" s="809"/>
      <c r="AV467" s="809"/>
      <c r="AW467" s="809"/>
      <c r="AX467" s="809"/>
      <c r="AY467" s="809"/>
      <c r="AZ467" s="809"/>
      <c r="BA467" s="809"/>
      <c r="BB467" s="809"/>
      <c r="BC467" s="809"/>
      <c r="BD467" s="809"/>
      <c r="BE467" s="809"/>
      <c r="BF467" s="809"/>
      <c r="BG467" s="809"/>
      <c r="BH467" s="809"/>
      <c r="BI467" s="809"/>
      <c r="BJ467" s="809"/>
      <c r="BK467" s="809"/>
      <c r="BL467" s="809"/>
      <c r="BM467" s="809"/>
      <c r="BN467" s="809"/>
    </row>
    <row r="468" spans="1:66">
      <c r="A468" s="809"/>
      <c r="B468" s="809"/>
      <c r="C468" s="809"/>
      <c r="D468" s="809"/>
      <c r="E468" s="809"/>
      <c r="F468" s="809"/>
      <c r="G468" s="809"/>
      <c r="H468" s="809"/>
      <c r="I468" s="809"/>
      <c r="J468" s="809"/>
      <c r="K468" s="809"/>
      <c r="L468" s="809"/>
      <c r="M468" s="809"/>
      <c r="N468" s="809"/>
      <c r="O468" s="809"/>
      <c r="P468" s="809"/>
      <c r="Q468" s="809"/>
      <c r="R468" s="809"/>
      <c r="S468" s="809"/>
      <c r="T468" s="809"/>
      <c r="U468" s="809"/>
      <c r="V468" s="809"/>
      <c r="W468" s="809"/>
      <c r="X468" s="809"/>
      <c r="Y468" s="809"/>
      <c r="Z468" s="809"/>
      <c r="AA468" s="809"/>
      <c r="AB468" s="809"/>
      <c r="AC468" s="809"/>
      <c r="AD468" s="809"/>
      <c r="AE468" s="809"/>
      <c r="AF468" s="809"/>
      <c r="AG468" s="809"/>
      <c r="AH468" s="809"/>
      <c r="AI468" s="809"/>
      <c r="AJ468" s="809"/>
      <c r="AK468" s="809"/>
      <c r="AL468" s="809"/>
      <c r="AM468" s="809"/>
      <c r="AN468" s="809"/>
      <c r="AO468" s="809"/>
      <c r="AP468" s="809"/>
      <c r="AQ468" s="809"/>
      <c r="AR468" s="809"/>
      <c r="AS468" s="809"/>
      <c r="AT468" s="809"/>
      <c r="AU468" s="809"/>
      <c r="AV468" s="809"/>
      <c r="AW468" s="809"/>
      <c r="AX468" s="809"/>
      <c r="AY468" s="809"/>
      <c r="AZ468" s="809"/>
      <c r="BA468" s="809"/>
      <c r="BB468" s="809"/>
      <c r="BC468" s="809"/>
      <c r="BD468" s="809"/>
      <c r="BE468" s="809"/>
      <c r="BF468" s="809"/>
      <c r="BG468" s="809"/>
      <c r="BH468" s="809"/>
      <c r="BI468" s="809"/>
      <c r="BJ468" s="809"/>
      <c r="BK468" s="809"/>
      <c r="BL468" s="809"/>
      <c r="BM468" s="809"/>
      <c r="BN468" s="809"/>
    </row>
    <row r="469" spans="1:66">
      <c r="A469" s="809"/>
      <c r="B469" s="809"/>
      <c r="C469" s="809"/>
      <c r="D469" s="809"/>
      <c r="E469" s="809"/>
      <c r="F469" s="809"/>
      <c r="G469" s="809"/>
      <c r="H469" s="809"/>
      <c r="I469" s="809"/>
      <c r="J469" s="809"/>
      <c r="K469" s="809"/>
      <c r="L469" s="809"/>
      <c r="M469" s="809"/>
      <c r="N469" s="809"/>
      <c r="O469" s="809"/>
      <c r="P469" s="809"/>
      <c r="Q469" s="809"/>
      <c r="R469" s="809"/>
      <c r="S469" s="809"/>
      <c r="T469" s="809"/>
      <c r="U469" s="809"/>
      <c r="V469" s="809"/>
      <c r="W469" s="809"/>
      <c r="X469" s="809"/>
      <c r="Y469" s="809"/>
      <c r="Z469" s="809"/>
      <c r="AA469" s="809"/>
      <c r="AB469" s="809"/>
      <c r="AC469" s="809"/>
      <c r="AD469" s="809"/>
      <c r="AE469" s="809"/>
      <c r="AF469" s="809"/>
      <c r="AG469" s="809"/>
      <c r="AH469" s="809"/>
      <c r="AI469" s="809"/>
      <c r="AJ469" s="809"/>
      <c r="AK469" s="809"/>
      <c r="AL469" s="809"/>
      <c r="AM469" s="809"/>
      <c r="AN469" s="809"/>
      <c r="AO469" s="809"/>
      <c r="AP469" s="809"/>
      <c r="AQ469" s="809"/>
      <c r="AR469" s="809"/>
      <c r="AS469" s="809"/>
      <c r="AT469" s="809"/>
      <c r="AU469" s="809"/>
      <c r="AV469" s="809"/>
      <c r="AW469" s="809"/>
      <c r="AX469" s="809"/>
      <c r="AY469" s="809"/>
      <c r="AZ469" s="809"/>
      <c r="BA469" s="809"/>
      <c r="BB469" s="809"/>
      <c r="BC469" s="809"/>
      <c r="BD469" s="809"/>
      <c r="BE469" s="809"/>
      <c r="BF469" s="809"/>
      <c r="BG469" s="809"/>
      <c r="BH469" s="809"/>
      <c r="BI469" s="809"/>
      <c r="BJ469" s="809"/>
      <c r="BK469" s="809"/>
      <c r="BL469" s="809"/>
      <c r="BM469" s="809"/>
      <c r="BN469" s="809"/>
    </row>
    <row r="470" spans="1:66">
      <c r="A470" s="809"/>
      <c r="B470" s="809"/>
      <c r="C470" s="809"/>
      <c r="D470" s="809"/>
      <c r="E470" s="809"/>
      <c r="F470" s="809"/>
      <c r="G470" s="809"/>
      <c r="H470" s="809"/>
      <c r="I470" s="809"/>
      <c r="J470" s="809"/>
      <c r="K470" s="809"/>
      <c r="L470" s="809"/>
      <c r="M470" s="809"/>
      <c r="N470" s="809"/>
      <c r="O470" s="809"/>
      <c r="P470" s="809"/>
      <c r="Q470" s="809"/>
      <c r="R470" s="809"/>
      <c r="S470" s="809"/>
      <c r="T470" s="809"/>
      <c r="U470" s="809"/>
      <c r="V470" s="809"/>
      <c r="W470" s="809"/>
      <c r="X470" s="809"/>
      <c r="Y470" s="809"/>
      <c r="Z470" s="809"/>
      <c r="AA470" s="809"/>
      <c r="AB470" s="809"/>
      <c r="AC470" s="809"/>
      <c r="AD470" s="809"/>
      <c r="AE470" s="809"/>
      <c r="AF470" s="809"/>
      <c r="AG470" s="809"/>
      <c r="AH470" s="809"/>
      <c r="AI470" s="809"/>
      <c r="AJ470" s="809"/>
      <c r="AK470" s="809"/>
      <c r="AL470" s="809"/>
      <c r="AM470" s="809"/>
      <c r="AN470" s="809"/>
      <c r="AO470" s="809"/>
      <c r="AP470" s="809"/>
      <c r="AQ470" s="809"/>
      <c r="AR470" s="809"/>
      <c r="AS470" s="809"/>
      <c r="AT470" s="809"/>
      <c r="AU470" s="809"/>
      <c r="AV470" s="809"/>
      <c r="AW470" s="809"/>
      <c r="AX470" s="809"/>
      <c r="AY470" s="809"/>
      <c r="AZ470" s="809"/>
      <c r="BA470" s="809"/>
      <c r="BB470" s="809"/>
      <c r="BC470" s="809"/>
      <c r="BD470" s="809"/>
      <c r="BE470" s="809"/>
      <c r="BF470" s="809"/>
      <c r="BG470" s="809"/>
      <c r="BH470" s="809"/>
      <c r="BI470" s="809"/>
      <c r="BJ470" s="809"/>
      <c r="BK470" s="809"/>
      <c r="BL470" s="809"/>
      <c r="BM470" s="809"/>
      <c r="BN470" s="809"/>
    </row>
    <row r="471" spans="1:66">
      <c r="A471" s="809"/>
      <c r="B471" s="809"/>
      <c r="C471" s="809"/>
      <c r="D471" s="809"/>
      <c r="E471" s="809"/>
      <c r="F471" s="809"/>
      <c r="G471" s="809"/>
      <c r="H471" s="809"/>
      <c r="I471" s="809"/>
      <c r="J471" s="809"/>
      <c r="K471" s="809"/>
      <c r="L471" s="809"/>
      <c r="M471" s="809"/>
      <c r="N471" s="809"/>
      <c r="O471" s="809"/>
      <c r="P471" s="809"/>
      <c r="Q471" s="809"/>
      <c r="R471" s="809"/>
      <c r="S471" s="809"/>
      <c r="T471" s="809"/>
      <c r="U471" s="809"/>
      <c r="V471" s="809"/>
      <c r="W471" s="809"/>
      <c r="X471" s="809"/>
      <c r="Y471" s="809"/>
      <c r="Z471" s="809"/>
      <c r="AA471" s="809"/>
      <c r="AB471" s="809"/>
      <c r="AC471" s="809"/>
      <c r="AD471" s="809"/>
      <c r="AE471" s="809"/>
      <c r="AF471" s="809"/>
      <c r="AG471" s="809"/>
      <c r="AH471" s="809"/>
      <c r="AI471" s="809"/>
      <c r="AJ471" s="809"/>
      <c r="AK471" s="809"/>
      <c r="AL471" s="809"/>
      <c r="AM471" s="809"/>
      <c r="AN471" s="809"/>
      <c r="AO471" s="809"/>
      <c r="AP471" s="809"/>
      <c r="AQ471" s="809"/>
      <c r="AR471" s="809"/>
      <c r="AS471" s="809"/>
      <c r="AT471" s="809"/>
      <c r="AU471" s="809"/>
      <c r="AV471" s="809"/>
      <c r="AW471" s="809"/>
      <c r="AX471" s="809"/>
      <c r="AY471" s="809"/>
      <c r="AZ471" s="809"/>
      <c r="BA471" s="809"/>
      <c r="BB471" s="809"/>
      <c r="BC471" s="809"/>
      <c r="BD471" s="809"/>
      <c r="BE471" s="809"/>
      <c r="BF471" s="809"/>
      <c r="BG471" s="809"/>
      <c r="BH471" s="809"/>
      <c r="BI471" s="809"/>
      <c r="BJ471" s="809"/>
      <c r="BK471" s="809"/>
      <c r="BL471" s="809"/>
      <c r="BM471" s="809"/>
      <c r="BN471" s="809"/>
    </row>
    <row r="472" spans="1:66">
      <c r="A472" s="809"/>
      <c r="B472" s="809"/>
      <c r="C472" s="809"/>
      <c r="D472" s="809"/>
      <c r="E472" s="809"/>
      <c r="F472" s="809"/>
      <c r="G472" s="809"/>
      <c r="H472" s="809"/>
      <c r="I472" s="809"/>
      <c r="J472" s="809"/>
      <c r="K472" s="809"/>
      <c r="L472" s="809"/>
      <c r="M472" s="809"/>
      <c r="N472" s="809"/>
      <c r="O472" s="809"/>
      <c r="P472" s="809"/>
      <c r="Q472" s="809"/>
      <c r="R472" s="809"/>
      <c r="S472" s="809"/>
      <c r="T472" s="809"/>
      <c r="U472" s="809"/>
      <c r="V472" s="809"/>
      <c r="W472" s="809"/>
      <c r="X472" s="809"/>
      <c r="Y472" s="809"/>
      <c r="Z472" s="809"/>
      <c r="AA472" s="809"/>
      <c r="AB472" s="809"/>
      <c r="AC472" s="809"/>
      <c r="AD472" s="809"/>
      <c r="AE472" s="809"/>
      <c r="AF472" s="809"/>
      <c r="AG472" s="809"/>
      <c r="AH472" s="809"/>
      <c r="AI472" s="809"/>
      <c r="AJ472" s="809"/>
      <c r="AK472" s="809"/>
      <c r="AL472" s="809"/>
      <c r="AM472" s="809"/>
      <c r="AN472" s="809"/>
      <c r="AO472" s="809"/>
      <c r="AP472" s="809"/>
      <c r="AQ472" s="809"/>
      <c r="AR472" s="809"/>
      <c r="AS472" s="809"/>
      <c r="AT472" s="809"/>
      <c r="AU472" s="809"/>
      <c r="AV472" s="809"/>
      <c r="AW472" s="809"/>
      <c r="AX472" s="809"/>
      <c r="AY472" s="809"/>
      <c r="AZ472" s="809"/>
      <c r="BA472" s="809"/>
      <c r="BB472" s="809"/>
      <c r="BC472" s="809"/>
      <c r="BD472" s="809"/>
      <c r="BE472" s="809"/>
      <c r="BF472" s="809"/>
      <c r="BG472" s="809"/>
      <c r="BH472" s="809"/>
      <c r="BI472" s="809"/>
      <c r="BJ472" s="809"/>
      <c r="BK472" s="809"/>
      <c r="BL472" s="809"/>
      <c r="BM472" s="809"/>
      <c r="BN472" s="809"/>
    </row>
    <row r="473" spans="1:66">
      <c r="A473" s="809"/>
      <c r="B473" s="809"/>
      <c r="C473" s="809"/>
      <c r="D473" s="809"/>
      <c r="E473" s="809"/>
      <c r="F473" s="809"/>
      <c r="G473" s="809"/>
      <c r="H473" s="809"/>
      <c r="I473" s="809"/>
      <c r="J473" s="809"/>
      <c r="K473" s="809"/>
      <c r="L473" s="809"/>
      <c r="M473" s="809"/>
      <c r="N473" s="809"/>
      <c r="O473" s="809"/>
      <c r="P473" s="809"/>
      <c r="Q473" s="809"/>
      <c r="R473" s="809"/>
      <c r="S473" s="809"/>
      <c r="T473" s="809"/>
      <c r="U473" s="809"/>
      <c r="V473" s="809"/>
      <c r="W473" s="809"/>
      <c r="X473" s="809"/>
      <c r="Y473" s="809"/>
      <c r="Z473" s="809"/>
      <c r="AA473" s="809"/>
      <c r="AB473" s="809"/>
      <c r="AC473" s="809"/>
      <c r="AD473" s="809"/>
      <c r="AE473" s="809"/>
      <c r="AF473" s="809"/>
      <c r="AG473" s="809"/>
      <c r="AH473" s="809"/>
      <c r="AI473" s="809"/>
      <c r="AJ473" s="809"/>
      <c r="AK473" s="809"/>
      <c r="AL473" s="809"/>
      <c r="AM473" s="809"/>
      <c r="AN473" s="809"/>
      <c r="AO473" s="809"/>
      <c r="AP473" s="809"/>
      <c r="AQ473" s="809"/>
      <c r="AR473" s="809"/>
      <c r="AS473" s="809"/>
      <c r="AT473" s="809"/>
      <c r="AU473" s="809"/>
      <c r="AV473" s="809"/>
      <c r="AW473" s="809"/>
      <c r="AX473" s="809"/>
      <c r="AY473" s="809"/>
      <c r="AZ473" s="809"/>
      <c r="BA473" s="809"/>
      <c r="BB473" s="809"/>
      <c r="BC473" s="809"/>
      <c r="BD473" s="809"/>
      <c r="BE473" s="809"/>
      <c r="BF473" s="809"/>
      <c r="BG473" s="809"/>
      <c r="BH473" s="809"/>
      <c r="BI473" s="809"/>
      <c r="BJ473" s="809"/>
      <c r="BK473" s="809"/>
      <c r="BL473" s="809"/>
      <c r="BM473" s="809"/>
      <c r="BN473" s="809"/>
    </row>
    <row r="474" spans="1:66">
      <c r="A474" s="809"/>
      <c r="B474" s="809"/>
      <c r="C474" s="809"/>
      <c r="D474" s="809"/>
      <c r="E474" s="809"/>
      <c r="F474" s="809"/>
      <c r="G474" s="809"/>
      <c r="H474" s="809"/>
      <c r="I474" s="809"/>
      <c r="J474" s="809"/>
      <c r="K474" s="809"/>
      <c r="L474" s="809"/>
      <c r="M474" s="809"/>
      <c r="N474" s="809"/>
      <c r="O474" s="809"/>
      <c r="P474" s="809"/>
      <c r="Q474" s="809"/>
      <c r="R474" s="809"/>
      <c r="S474" s="809"/>
      <c r="T474" s="809"/>
      <c r="U474" s="809"/>
      <c r="V474" s="809"/>
      <c r="W474" s="809"/>
      <c r="X474" s="809"/>
      <c r="Y474" s="809"/>
      <c r="Z474" s="809"/>
      <c r="AA474" s="809"/>
      <c r="AB474" s="809"/>
      <c r="AC474" s="809"/>
      <c r="AD474" s="809"/>
      <c r="AE474" s="809"/>
      <c r="AF474" s="809"/>
      <c r="AG474" s="809"/>
      <c r="AH474" s="809"/>
      <c r="AI474" s="809"/>
      <c r="AJ474" s="809"/>
      <c r="AK474" s="809"/>
      <c r="AL474" s="809"/>
      <c r="AM474" s="809"/>
      <c r="AN474" s="809"/>
      <c r="AO474" s="809"/>
      <c r="AP474" s="809"/>
      <c r="AQ474" s="809"/>
      <c r="AR474" s="809"/>
      <c r="AS474" s="809"/>
      <c r="AT474" s="809"/>
      <c r="AU474" s="809"/>
      <c r="AV474" s="809"/>
      <c r="AW474" s="809"/>
      <c r="AX474" s="809"/>
      <c r="AY474" s="809"/>
      <c r="AZ474" s="809"/>
      <c r="BA474" s="809"/>
      <c r="BB474" s="809"/>
      <c r="BC474" s="809"/>
      <c r="BD474" s="809"/>
      <c r="BE474" s="809"/>
      <c r="BF474" s="809"/>
      <c r="BG474" s="809"/>
      <c r="BH474" s="809"/>
      <c r="BI474" s="809"/>
      <c r="BJ474" s="809"/>
      <c r="BK474" s="809"/>
      <c r="BL474" s="809"/>
      <c r="BM474" s="809"/>
      <c r="BN474" s="809"/>
    </row>
    <row r="475" spans="1:66">
      <c r="A475" s="809"/>
      <c r="B475" s="809"/>
      <c r="C475" s="809"/>
      <c r="D475" s="809"/>
      <c r="E475" s="809"/>
      <c r="F475" s="809"/>
      <c r="G475" s="809"/>
      <c r="H475" s="809"/>
      <c r="I475" s="809"/>
      <c r="J475" s="809"/>
      <c r="K475" s="809"/>
      <c r="L475" s="809"/>
      <c r="M475" s="809"/>
      <c r="N475" s="809"/>
      <c r="O475" s="809"/>
      <c r="P475" s="809"/>
      <c r="Q475" s="809"/>
      <c r="R475" s="809"/>
      <c r="S475" s="809"/>
      <c r="T475" s="809"/>
      <c r="U475" s="809"/>
      <c r="V475" s="809"/>
      <c r="W475" s="809"/>
      <c r="X475" s="809"/>
      <c r="Y475" s="809"/>
      <c r="Z475" s="809"/>
      <c r="AA475" s="809"/>
      <c r="AB475" s="809"/>
      <c r="AC475" s="809"/>
      <c r="AD475" s="809"/>
      <c r="AE475" s="809"/>
      <c r="AF475" s="809"/>
      <c r="AG475" s="809"/>
      <c r="AH475" s="809"/>
      <c r="AI475" s="809"/>
      <c r="AJ475" s="809"/>
      <c r="AK475" s="809"/>
      <c r="AL475" s="809"/>
      <c r="AM475" s="809"/>
      <c r="AN475" s="809"/>
      <c r="AO475" s="809"/>
      <c r="AP475" s="809"/>
      <c r="AQ475" s="809"/>
      <c r="AR475" s="809"/>
      <c r="AS475" s="809"/>
      <c r="AT475" s="809"/>
      <c r="AU475" s="809"/>
      <c r="AV475" s="809"/>
      <c r="AW475" s="809"/>
      <c r="AX475" s="809"/>
      <c r="AY475" s="809"/>
      <c r="AZ475" s="809"/>
      <c r="BA475" s="809"/>
      <c r="BB475" s="809"/>
      <c r="BC475" s="809"/>
      <c r="BD475" s="809"/>
      <c r="BE475" s="809"/>
      <c r="BF475" s="809"/>
      <c r="BG475" s="809"/>
      <c r="BH475" s="809"/>
      <c r="BI475" s="809"/>
      <c r="BJ475" s="809"/>
      <c r="BK475" s="809"/>
      <c r="BL475" s="809"/>
      <c r="BM475" s="809"/>
      <c r="BN475" s="809"/>
    </row>
    <row r="476" spans="1:66">
      <c r="A476" s="809"/>
      <c r="B476" s="809"/>
      <c r="C476" s="809"/>
      <c r="D476" s="809"/>
      <c r="E476" s="809"/>
      <c r="F476" s="809"/>
      <c r="G476" s="809"/>
      <c r="H476" s="809"/>
      <c r="I476" s="809"/>
      <c r="J476" s="809"/>
      <c r="K476" s="809"/>
      <c r="L476" s="809"/>
      <c r="M476" s="809"/>
      <c r="N476" s="809"/>
      <c r="O476" s="809"/>
      <c r="P476" s="809"/>
      <c r="Q476" s="809"/>
      <c r="R476" s="809"/>
      <c r="S476" s="809"/>
      <c r="T476" s="809"/>
      <c r="U476" s="809"/>
      <c r="V476" s="809"/>
      <c r="W476" s="809"/>
      <c r="X476" s="809"/>
      <c r="Y476" s="809"/>
      <c r="Z476" s="809"/>
      <c r="AA476" s="809"/>
      <c r="AB476" s="809"/>
      <c r="AC476" s="809"/>
      <c r="AD476" s="809"/>
      <c r="AE476" s="809"/>
      <c r="AF476" s="809"/>
      <c r="AG476" s="809"/>
      <c r="AH476" s="809"/>
      <c r="AI476" s="809"/>
      <c r="AJ476" s="809"/>
      <c r="AK476" s="809"/>
      <c r="AL476" s="809"/>
      <c r="AM476" s="809"/>
      <c r="AN476" s="809"/>
      <c r="AO476" s="809"/>
      <c r="AP476" s="809"/>
      <c r="AQ476" s="809"/>
      <c r="AR476" s="809"/>
      <c r="AS476" s="809"/>
      <c r="AT476" s="809"/>
      <c r="AU476" s="809"/>
      <c r="AV476" s="809"/>
      <c r="AW476" s="809"/>
      <c r="AX476" s="809"/>
      <c r="AY476" s="809"/>
      <c r="AZ476" s="809"/>
      <c r="BA476" s="809"/>
      <c r="BB476" s="809"/>
      <c r="BC476" s="809"/>
      <c r="BD476" s="809"/>
      <c r="BE476" s="809"/>
      <c r="BF476" s="809"/>
      <c r="BG476" s="809"/>
      <c r="BH476" s="809"/>
      <c r="BI476" s="809"/>
      <c r="BJ476" s="809"/>
      <c r="BK476" s="809"/>
      <c r="BL476" s="809"/>
      <c r="BM476" s="809"/>
      <c r="BN476" s="809"/>
    </row>
    <row r="477" spans="1:66">
      <c r="A477" s="809"/>
      <c r="B477" s="809"/>
      <c r="C477" s="809"/>
      <c r="D477" s="809"/>
      <c r="E477" s="809"/>
      <c r="F477" s="809"/>
      <c r="G477" s="809"/>
      <c r="H477" s="809"/>
      <c r="I477" s="809"/>
      <c r="J477" s="809"/>
      <c r="K477" s="809"/>
      <c r="L477" s="809"/>
      <c r="M477" s="809"/>
      <c r="N477" s="809"/>
      <c r="O477" s="809"/>
      <c r="P477" s="809"/>
      <c r="Q477" s="809"/>
      <c r="R477" s="809"/>
      <c r="S477" s="809"/>
      <c r="T477" s="809"/>
      <c r="U477" s="809"/>
      <c r="V477" s="809"/>
      <c r="W477" s="809"/>
      <c r="X477" s="809"/>
      <c r="Y477" s="809"/>
      <c r="Z477" s="809"/>
      <c r="AA477" s="809"/>
      <c r="AB477" s="809"/>
      <c r="AC477" s="809"/>
      <c r="AD477" s="809"/>
      <c r="AE477" s="809"/>
      <c r="AF477" s="809"/>
      <c r="AG477" s="809"/>
      <c r="AH477" s="809"/>
      <c r="AI477" s="809"/>
      <c r="AJ477" s="809"/>
      <c r="AK477" s="809"/>
      <c r="AL477" s="809"/>
      <c r="AM477" s="809"/>
      <c r="AN477" s="809"/>
      <c r="AO477" s="809"/>
      <c r="AP477" s="809"/>
      <c r="AQ477" s="809"/>
      <c r="AR477" s="809"/>
      <c r="AS477" s="809"/>
      <c r="AT477" s="809"/>
      <c r="AU477" s="809"/>
      <c r="AV477" s="809"/>
      <c r="AW477" s="809"/>
      <c r="AX477" s="809"/>
      <c r="AY477" s="809"/>
      <c r="AZ477" s="809"/>
      <c r="BA477" s="809"/>
      <c r="BB477" s="809"/>
      <c r="BC477" s="809"/>
      <c r="BD477" s="809"/>
      <c r="BE477" s="809"/>
      <c r="BF477" s="809"/>
      <c r="BG477" s="809"/>
      <c r="BH477" s="809"/>
      <c r="BI477" s="809"/>
      <c r="BJ477" s="809"/>
      <c r="BK477" s="809"/>
      <c r="BL477" s="809"/>
      <c r="BM477" s="809"/>
      <c r="BN477" s="809"/>
    </row>
    <row r="478" spans="1:66">
      <c r="A478" s="809"/>
      <c r="B478" s="809"/>
      <c r="C478" s="809"/>
      <c r="D478" s="809"/>
      <c r="E478" s="809"/>
      <c r="F478" s="809"/>
      <c r="G478" s="809"/>
      <c r="H478" s="809"/>
      <c r="I478" s="809"/>
      <c r="J478" s="809"/>
      <c r="K478" s="809"/>
      <c r="L478" s="809"/>
      <c r="M478" s="809"/>
      <c r="N478" s="809"/>
      <c r="O478" s="809"/>
      <c r="P478" s="809"/>
      <c r="Q478" s="809"/>
      <c r="R478" s="809"/>
      <c r="S478" s="809"/>
      <c r="T478" s="809"/>
      <c r="U478" s="809"/>
      <c r="V478" s="809"/>
      <c r="W478" s="809"/>
      <c r="X478" s="809"/>
      <c r="Y478" s="809"/>
      <c r="Z478" s="809"/>
      <c r="AA478" s="809"/>
      <c r="AB478" s="809"/>
      <c r="AC478" s="809"/>
      <c r="AD478" s="809"/>
      <c r="AE478" s="809"/>
      <c r="AF478" s="809"/>
      <c r="AG478" s="809"/>
      <c r="AH478" s="809"/>
      <c r="AI478" s="809"/>
      <c r="AJ478" s="809"/>
      <c r="AK478" s="809"/>
      <c r="AL478" s="809"/>
      <c r="AM478" s="809"/>
      <c r="AN478" s="809"/>
      <c r="AO478" s="809"/>
      <c r="AP478" s="809"/>
      <c r="AQ478" s="809"/>
      <c r="AR478" s="809"/>
      <c r="AS478" s="809"/>
      <c r="AT478" s="809"/>
      <c r="AU478" s="809"/>
      <c r="AV478" s="809"/>
      <c r="AW478" s="809"/>
      <c r="AX478" s="809"/>
      <c r="AY478" s="809"/>
      <c r="AZ478" s="809"/>
      <c r="BA478" s="809"/>
      <c r="BB478" s="809"/>
      <c r="BC478" s="809"/>
      <c r="BD478" s="809"/>
      <c r="BE478" s="809"/>
      <c r="BF478" s="809"/>
      <c r="BG478" s="809"/>
      <c r="BH478" s="809"/>
      <c r="BI478" s="809"/>
      <c r="BJ478" s="809"/>
      <c r="BK478" s="809"/>
      <c r="BL478" s="809"/>
      <c r="BM478" s="809"/>
      <c r="BN478" s="809"/>
    </row>
    <row r="479" spans="1:66">
      <c r="A479" s="809"/>
      <c r="B479" s="809"/>
      <c r="C479" s="809"/>
      <c r="D479" s="809"/>
      <c r="E479" s="809"/>
      <c r="F479" s="809"/>
      <c r="G479" s="809"/>
      <c r="H479" s="809"/>
      <c r="I479" s="809"/>
      <c r="J479" s="809"/>
      <c r="K479" s="809"/>
      <c r="L479" s="809"/>
      <c r="M479" s="809"/>
      <c r="N479" s="809"/>
      <c r="O479" s="809"/>
      <c r="P479" s="809"/>
      <c r="Q479" s="809"/>
      <c r="R479" s="809"/>
      <c r="S479" s="809"/>
      <c r="T479" s="809"/>
      <c r="U479" s="809"/>
      <c r="V479" s="809"/>
      <c r="W479" s="809"/>
      <c r="X479" s="809"/>
      <c r="Y479" s="809"/>
      <c r="Z479" s="809"/>
      <c r="AA479" s="809"/>
      <c r="AB479" s="809"/>
      <c r="AC479" s="809"/>
      <c r="AD479" s="809"/>
      <c r="AE479" s="809"/>
      <c r="AF479" s="809"/>
      <c r="AG479" s="809"/>
      <c r="AH479" s="809"/>
      <c r="AI479" s="809"/>
      <c r="AJ479" s="809"/>
      <c r="AK479" s="809"/>
      <c r="AL479" s="809"/>
      <c r="AM479" s="809"/>
      <c r="AN479" s="809"/>
      <c r="AO479" s="809"/>
      <c r="AP479" s="809"/>
      <c r="AQ479" s="809"/>
      <c r="AR479" s="809"/>
      <c r="AS479" s="809"/>
      <c r="AT479" s="809"/>
      <c r="AU479" s="809"/>
      <c r="AV479" s="809"/>
      <c r="AW479" s="809"/>
      <c r="AX479" s="809"/>
      <c r="AY479" s="809"/>
      <c r="AZ479" s="809"/>
      <c r="BA479" s="809"/>
      <c r="BB479" s="809"/>
      <c r="BC479" s="809"/>
      <c r="BD479" s="809"/>
      <c r="BE479" s="809"/>
      <c r="BF479" s="809"/>
      <c r="BG479" s="809"/>
      <c r="BH479" s="809"/>
      <c r="BI479" s="809"/>
      <c r="BJ479" s="809"/>
      <c r="BK479" s="809"/>
      <c r="BL479" s="809"/>
      <c r="BM479" s="809"/>
      <c r="BN479" s="809"/>
    </row>
    <row r="480" spans="1:66">
      <c r="A480" s="809"/>
      <c r="B480" s="809"/>
      <c r="C480" s="809"/>
      <c r="D480" s="809"/>
      <c r="E480" s="809"/>
      <c r="F480" s="809"/>
      <c r="G480" s="809"/>
      <c r="H480" s="809"/>
      <c r="I480" s="809"/>
      <c r="J480" s="809"/>
      <c r="K480" s="809"/>
      <c r="L480" s="809"/>
      <c r="M480" s="809"/>
      <c r="N480" s="809"/>
      <c r="O480" s="809"/>
      <c r="P480" s="809"/>
      <c r="Q480" s="809"/>
      <c r="R480" s="809"/>
      <c r="S480" s="809"/>
      <c r="T480" s="809"/>
      <c r="U480" s="809"/>
      <c r="V480" s="809"/>
      <c r="W480" s="809"/>
      <c r="X480" s="809"/>
      <c r="Y480" s="809"/>
      <c r="Z480" s="809"/>
      <c r="AA480" s="809"/>
      <c r="AB480" s="809"/>
      <c r="AC480" s="809"/>
      <c r="AD480" s="809"/>
      <c r="AE480" s="809"/>
      <c r="AF480" s="809"/>
      <c r="AG480" s="809"/>
      <c r="AH480" s="809"/>
      <c r="AI480" s="809"/>
      <c r="AJ480" s="809"/>
      <c r="AK480" s="809"/>
      <c r="AL480" s="809"/>
      <c r="AM480" s="809"/>
      <c r="AN480" s="809"/>
      <c r="AO480" s="809"/>
      <c r="AP480" s="809"/>
      <c r="AQ480" s="809"/>
      <c r="AR480" s="809"/>
      <c r="AS480" s="809"/>
      <c r="AT480" s="809"/>
      <c r="AU480" s="809"/>
      <c r="AV480" s="809"/>
      <c r="AW480" s="809"/>
      <c r="AX480" s="809"/>
      <c r="AY480" s="809"/>
      <c r="AZ480" s="809"/>
      <c r="BA480" s="809"/>
      <c r="BB480" s="809"/>
      <c r="BC480" s="809"/>
      <c r="BD480" s="809"/>
      <c r="BE480" s="809"/>
      <c r="BF480" s="809"/>
      <c r="BG480" s="809"/>
      <c r="BH480" s="809"/>
      <c r="BI480" s="809"/>
      <c r="BJ480" s="809"/>
      <c r="BK480" s="809"/>
      <c r="BL480" s="809"/>
      <c r="BM480" s="809"/>
      <c r="BN480" s="809"/>
    </row>
    <row r="481" spans="1:66">
      <c r="A481" s="809"/>
      <c r="B481" s="809"/>
      <c r="C481" s="809"/>
      <c r="D481" s="809"/>
      <c r="E481" s="809"/>
      <c r="F481" s="809"/>
      <c r="G481" s="809"/>
      <c r="H481" s="809"/>
      <c r="I481" s="809"/>
      <c r="J481" s="809"/>
      <c r="K481" s="809"/>
      <c r="L481" s="809"/>
      <c r="M481" s="809"/>
      <c r="N481" s="809"/>
      <c r="O481" s="809"/>
      <c r="P481" s="809"/>
      <c r="Q481" s="809"/>
      <c r="R481" s="809"/>
      <c r="S481" s="809"/>
      <c r="T481" s="809"/>
      <c r="U481" s="809"/>
      <c r="V481" s="809"/>
      <c r="W481" s="809"/>
      <c r="X481" s="809"/>
      <c r="Y481" s="809"/>
      <c r="Z481" s="809"/>
      <c r="AA481" s="809"/>
      <c r="AB481" s="809"/>
      <c r="AC481" s="809"/>
      <c r="AD481" s="809"/>
      <c r="AE481" s="809"/>
      <c r="AF481" s="809"/>
      <c r="AG481" s="809"/>
      <c r="AH481" s="809"/>
      <c r="AI481" s="809"/>
      <c r="AJ481" s="809"/>
      <c r="AK481" s="809"/>
      <c r="AL481" s="809"/>
      <c r="AM481" s="809"/>
      <c r="AN481" s="809"/>
      <c r="AO481" s="809"/>
      <c r="AP481" s="809"/>
      <c r="AQ481" s="809"/>
      <c r="AR481" s="809"/>
      <c r="AS481" s="809"/>
      <c r="AT481" s="809"/>
      <c r="AU481" s="809"/>
      <c r="AV481" s="809"/>
      <c r="AW481" s="809"/>
      <c r="AX481" s="809"/>
      <c r="AY481" s="809"/>
      <c r="AZ481" s="809"/>
      <c r="BA481" s="809"/>
      <c r="BB481" s="809"/>
      <c r="BC481" s="809"/>
      <c r="BD481" s="809"/>
      <c r="BE481" s="809"/>
      <c r="BF481" s="809"/>
      <c r="BG481" s="809"/>
      <c r="BH481" s="809"/>
      <c r="BI481" s="809"/>
      <c r="BJ481" s="809"/>
      <c r="BK481" s="809"/>
      <c r="BL481" s="809"/>
      <c r="BM481" s="809"/>
      <c r="BN481" s="809"/>
    </row>
    <row r="482" spans="1:66">
      <c r="A482" s="809"/>
      <c r="B482" s="809"/>
      <c r="C482" s="809"/>
      <c r="D482" s="809"/>
      <c r="E482" s="809"/>
      <c r="F482" s="809"/>
      <c r="G482" s="809"/>
      <c r="H482" s="809"/>
      <c r="I482" s="809"/>
      <c r="J482" s="809"/>
      <c r="K482" s="809"/>
      <c r="L482" s="809"/>
      <c r="M482" s="809"/>
      <c r="N482" s="809"/>
      <c r="O482" s="809"/>
      <c r="P482" s="809"/>
      <c r="Q482" s="809"/>
      <c r="R482" s="809"/>
      <c r="S482" s="809"/>
      <c r="T482" s="809"/>
      <c r="U482" s="809"/>
      <c r="V482" s="809"/>
      <c r="W482" s="809"/>
      <c r="X482" s="809"/>
      <c r="Y482" s="809"/>
      <c r="Z482" s="809"/>
      <c r="AA482" s="809"/>
      <c r="AB482" s="809"/>
      <c r="AC482" s="809"/>
      <c r="AD482" s="809"/>
      <c r="AE482" s="809"/>
      <c r="AF482" s="809"/>
      <c r="AG482" s="809"/>
      <c r="AH482" s="809"/>
      <c r="AI482" s="809"/>
      <c r="AJ482" s="809"/>
      <c r="AK482" s="809"/>
      <c r="AL482" s="809"/>
      <c r="AM482" s="809"/>
      <c r="AN482" s="809"/>
      <c r="AO482" s="809"/>
      <c r="AP482" s="809"/>
      <c r="AQ482" s="809"/>
      <c r="AR482" s="809"/>
      <c r="AS482" s="809"/>
      <c r="AT482" s="809"/>
      <c r="AU482" s="809"/>
      <c r="AV482" s="809"/>
      <c r="AW482" s="809"/>
      <c r="AX482" s="809"/>
      <c r="AY482" s="809"/>
      <c r="AZ482" s="809"/>
      <c r="BA482" s="809"/>
      <c r="BB482" s="809"/>
      <c r="BC482" s="809"/>
      <c r="BD482" s="809"/>
      <c r="BE482" s="809"/>
      <c r="BF482" s="809"/>
      <c r="BG482" s="809"/>
      <c r="BH482" s="809"/>
      <c r="BI482" s="809"/>
      <c r="BJ482" s="809"/>
      <c r="BK482" s="809"/>
      <c r="BL482" s="809"/>
      <c r="BM482" s="809"/>
      <c r="BN482" s="809"/>
    </row>
    <row r="483" spans="1:66">
      <c r="A483" s="809"/>
      <c r="B483" s="809"/>
      <c r="C483" s="809"/>
      <c r="D483" s="809"/>
      <c r="E483" s="809"/>
      <c r="F483" s="809"/>
      <c r="G483" s="809"/>
      <c r="H483" s="809"/>
      <c r="I483" s="809"/>
      <c r="J483" s="809"/>
      <c r="K483" s="809"/>
      <c r="L483" s="809"/>
      <c r="M483" s="809"/>
      <c r="N483" s="809"/>
      <c r="O483" s="809"/>
      <c r="P483" s="809"/>
      <c r="Q483" s="809"/>
      <c r="R483" s="809"/>
      <c r="S483" s="809"/>
      <c r="T483" s="809"/>
      <c r="U483" s="809"/>
      <c r="V483" s="809"/>
      <c r="W483" s="809"/>
      <c r="X483" s="809"/>
      <c r="Y483" s="809"/>
      <c r="Z483" s="809"/>
      <c r="AA483" s="809"/>
      <c r="AB483" s="809"/>
      <c r="AC483" s="809"/>
      <c r="AD483" s="809"/>
      <c r="AE483" s="809"/>
      <c r="AF483" s="809"/>
      <c r="AG483" s="809"/>
      <c r="AH483" s="809"/>
      <c r="AI483" s="809"/>
      <c r="AJ483" s="809"/>
      <c r="AK483" s="809"/>
      <c r="AL483" s="809"/>
      <c r="AM483" s="809"/>
      <c r="AN483" s="809"/>
      <c r="AO483" s="809"/>
      <c r="AP483" s="809"/>
      <c r="AQ483" s="809"/>
      <c r="AR483" s="809"/>
      <c r="AS483" s="809"/>
      <c r="AT483" s="809"/>
      <c r="AU483" s="809"/>
      <c r="AV483" s="809"/>
      <c r="AW483" s="809"/>
      <c r="AX483" s="809"/>
      <c r="AY483" s="809"/>
      <c r="AZ483" s="809"/>
      <c r="BA483" s="809"/>
      <c r="BB483" s="809"/>
      <c r="BC483" s="809"/>
      <c r="BD483" s="809"/>
      <c r="BE483" s="809"/>
      <c r="BF483" s="809"/>
      <c r="BG483" s="809"/>
      <c r="BH483" s="809"/>
      <c r="BI483" s="809"/>
      <c r="BJ483" s="809"/>
      <c r="BK483" s="809"/>
      <c r="BL483" s="809"/>
      <c r="BM483" s="809"/>
      <c r="BN483" s="809"/>
    </row>
    <row r="484" spans="1:66">
      <c r="A484" s="809"/>
      <c r="B484" s="809"/>
      <c r="C484" s="809"/>
      <c r="D484" s="809"/>
      <c r="E484" s="809"/>
      <c r="F484" s="809"/>
      <c r="G484" s="809"/>
      <c r="H484" s="809"/>
      <c r="I484" s="809"/>
      <c r="J484" s="809"/>
      <c r="K484" s="809"/>
      <c r="L484" s="809"/>
      <c r="M484" s="809"/>
      <c r="N484" s="809"/>
      <c r="O484" s="809"/>
      <c r="P484" s="809"/>
      <c r="Q484" s="809"/>
      <c r="R484" s="809"/>
      <c r="S484" s="809"/>
      <c r="T484" s="809"/>
      <c r="U484" s="809"/>
      <c r="V484" s="809"/>
      <c r="W484" s="809"/>
      <c r="X484" s="809"/>
      <c r="Y484" s="809"/>
      <c r="Z484" s="809"/>
      <c r="AA484" s="809"/>
      <c r="AB484" s="809"/>
      <c r="AC484" s="809"/>
      <c r="AD484" s="809"/>
      <c r="AE484" s="809"/>
      <c r="AF484" s="809"/>
      <c r="AG484" s="809"/>
      <c r="AH484" s="809"/>
      <c r="AI484" s="809"/>
      <c r="AJ484" s="809"/>
      <c r="AK484" s="809"/>
      <c r="AL484" s="809"/>
      <c r="AM484" s="809"/>
      <c r="AN484" s="809"/>
      <c r="AO484" s="809"/>
      <c r="AP484" s="809"/>
      <c r="AQ484" s="809"/>
      <c r="AR484" s="809"/>
      <c r="AS484" s="809"/>
      <c r="AT484" s="809"/>
      <c r="AU484" s="809"/>
      <c r="AV484" s="809"/>
      <c r="AW484" s="809"/>
      <c r="AX484" s="809"/>
      <c r="AY484" s="809"/>
      <c r="AZ484" s="809"/>
      <c r="BA484" s="809"/>
      <c r="BB484" s="809"/>
      <c r="BC484" s="809"/>
      <c r="BD484" s="809"/>
      <c r="BE484" s="809"/>
      <c r="BF484" s="809"/>
      <c r="BG484" s="809"/>
      <c r="BH484" s="809"/>
      <c r="BI484" s="809"/>
      <c r="BJ484" s="809"/>
      <c r="BK484" s="809"/>
      <c r="BL484" s="809"/>
      <c r="BM484" s="809"/>
      <c r="BN484" s="809"/>
    </row>
    <row r="485" spans="1:66">
      <c r="A485" s="809"/>
      <c r="B485" s="809"/>
      <c r="C485" s="809"/>
      <c r="D485" s="809"/>
      <c r="E485" s="809"/>
      <c r="F485" s="809"/>
      <c r="G485" s="809"/>
      <c r="H485" s="809"/>
      <c r="I485" s="809"/>
      <c r="J485" s="809"/>
      <c r="K485" s="809"/>
      <c r="L485" s="809"/>
      <c r="M485" s="809"/>
      <c r="N485" s="809"/>
      <c r="O485" s="809"/>
      <c r="P485" s="809"/>
      <c r="Q485" s="809"/>
      <c r="R485" s="809"/>
      <c r="S485" s="809"/>
      <c r="T485" s="809"/>
      <c r="U485" s="809"/>
      <c r="V485" s="809"/>
      <c r="W485" s="809"/>
      <c r="X485" s="809"/>
      <c r="Y485" s="809"/>
      <c r="Z485" s="809"/>
      <c r="AA485" s="809"/>
      <c r="AB485" s="809"/>
      <c r="AC485" s="809"/>
      <c r="AD485" s="809"/>
      <c r="AE485" s="809"/>
      <c r="AF485" s="809"/>
      <c r="AG485" s="809"/>
      <c r="AH485" s="809"/>
      <c r="AI485" s="809"/>
      <c r="AJ485" s="809"/>
      <c r="AK485" s="809"/>
      <c r="AL485" s="809"/>
      <c r="AM485" s="809"/>
      <c r="AN485" s="809"/>
      <c r="AO485" s="809"/>
      <c r="AP485" s="809"/>
      <c r="AQ485" s="809"/>
      <c r="AR485" s="809"/>
      <c r="AS485" s="809"/>
      <c r="AT485" s="809"/>
      <c r="AU485" s="809"/>
      <c r="AV485" s="809"/>
      <c r="AW485" s="809"/>
      <c r="AX485" s="809"/>
      <c r="AY485" s="809"/>
      <c r="AZ485" s="809"/>
      <c r="BA485" s="809"/>
      <c r="BB485" s="809"/>
      <c r="BC485" s="809"/>
      <c r="BD485" s="809"/>
      <c r="BE485" s="809"/>
      <c r="BF485" s="809"/>
      <c r="BG485" s="809"/>
      <c r="BH485" s="809"/>
      <c r="BI485" s="809"/>
      <c r="BJ485" s="809"/>
      <c r="BK485" s="809"/>
      <c r="BL485" s="809"/>
      <c r="BM485" s="809"/>
      <c r="BN485" s="809"/>
    </row>
    <row r="486" spans="1:66">
      <c r="A486" s="809"/>
      <c r="B486" s="809"/>
      <c r="C486" s="809"/>
      <c r="D486" s="809"/>
      <c r="E486" s="809"/>
      <c r="F486" s="809"/>
      <c r="G486" s="809"/>
      <c r="H486" s="809"/>
      <c r="I486" s="809"/>
      <c r="J486" s="809"/>
      <c r="K486" s="809"/>
      <c r="L486" s="809"/>
      <c r="M486" s="809"/>
      <c r="N486" s="809"/>
      <c r="O486" s="809"/>
      <c r="P486" s="809"/>
      <c r="Q486" s="809"/>
      <c r="R486" s="809"/>
      <c r="S486" s="809"/>
      <c r="T486" s="809"/>
      <c r="U486" s="809"/>
      <c r="V486" s="809"/>
      <c r="W486" s="809"/>
      <c r="X486" s="809"/>
      <c r="Y486" s="809"/>
      <c r="Z486" s="809"/>
      <c r="AA486" s="809"/>
      <c r="AB486" s="809"/>
      <c r="AC486" s="809"/>
      <c r="AD486" s="809"/>
      <c r="AE486" s="809"/>
      <c r="AF486" s="809"/>
      <c r="AG486" s="809"/>
      <c r="AH486" s="809"/>
      <c r="AI486" s="809"/>
      <c r="AJ486" s="809"/>
      <c r="AK486" s="809"/>
      <c r="AL486" s="809"/>
      <c r="AM486" s="809"/>
      <c r="AN486" s="809"/>
      <c r="AO486" s="809"/>
      <c r="AP486" s="809"/>
      <c r="AQ486" s="809"/>
      <c r="AR486" s="809"/>
      <c r="AS486" s="809"/>
      <c r="AT486" s="809"/>
      <c r="AU486" s="809"/>
      <c r="AV486" s="809"/>
      <c r="AW486" s="809"/>
      <c r="AX486" s="809"/>
      <c r="AY486" s="809"/>
      <c r="AZ486" s="809"/>
      <c r="BA486" s="809"/>
      <c r="BB486" s="809"/>
      <c r="BC486" s="809"/>
      <c r="BD486" s="809"/>
      <c r="BE486" s="809"/>
      <c r="BF486" s="809"/>
      <c r="BG486" s="809"/>
      <c r="BH486" s="809"/>
      <c r="BI486" s="809"/>
      <c r="BJ486" s="809"/>
      <c r="BK486" s="809"/>
      <c r="BL486" s="809"/>
      <c r="BM486" s="809"/>
      <c r="BN486" s="809"/>
    </row>
    <row r="487" spans="1:66">
      <c r="A487" s="809"/>
      <c r="B487" s="809"/>
      <c r="C487" s="809"/>
      <c r="D487" s="809"/>
      <c r="E487" s="809"/>
      <c r="F487" s="809"/>
      <c r="G487" s="809"/>
      <c r="H487" s="809"/>
      <c r="I487" s="809"/>
      <c r="J487" s="809"/>
      <c r="K487" s="809"/>
      <c r="L487" s="809"/>
      <c r="M487" s="809"/>
      <c r="N487" s="809"/>
      <c r="O487" s="809"/>
      <c r="P487" s="809"/>
      <c r="Q487" s="809"/>
      <c r="R487" s="809"/>
      <c r="S487" s="809"/>
      <c r="T487" s="809"/>
      <c r="U487" s="809"/>
      <c r="V487" s="809"/>
      <c r="W487" s="809"/>
      <c r="X487" s="809"/>
      <c r="Y487" s="809"/>
      <c r="Z487" s="809"/>
      <c r="AA487" s="809"/>
      <c r="AB487" s="809"/>
      <c r="AC487" s="809"/>
      <c r="AD487" s="809"/>
      <c r="AE487" s="809"/>
      <c r="AF487" s="809"/>
      <c r="AG487" s="809"/>
      <c r="AH487" s="809"/>
      <c r="AI487" s="809"/>
      <c r="AJ487" s="809"/>
      <c r="AK487" s="809"/>
      <c r="AL487" s="809"/>
      <c r="AM487" s="809"/>
      <c r="AN487" s="809"/>
      <c r="AO487" s="809"/>
      <c r="AP487" s="809"/>
      <c r="AQ487" s="809"/>
      <c r="AR487" s="809"/>
      <c r="AS487" s="809"/>
      <c r="AT487" s="809"/>
      <c r="AU487" s="809"/>
      <c r="AV487" s="809"/>
      <c r="AW487" s="809"/>
      <c r="AX487" s="809"/>
      <c r="AY487" s="809"/>
      <c r="AZ487" s="809"/>
      <c r="BA487" s="809"/>
      <c r="BB487" s="809"/>
      <c r="BC487" s="809"/>
      <c r="BD487" s="809"/>
      <c r="BE487" s="809"/>
      <c r="BF487" s="809"/>
      <c r="BG487" s="809"/>
      <c r="BH487" s="809"/>
      <c r="BI487" s="809"/>
      <c r="BJ487" s="809"/>
      <c r="BK487" s="809"/>
      <c r="BL487" s="809"/>
      <c r="BM487" s="809"/>
      <c r="BN487" s="809"/>
    </row>
    <row r="488" spans="1:66">
      <c r="A488" s="809"/>
      <c r="B488" s="809"/>
      <c r="C488" s="809"/>
      <c r="D488" s="809"/>
      <c r="E488" s="809"/>
      <c r="F488" s="809"/>
      <c r="G488" s="809"/>
      <c r="H488" s="809"/>
      <c r="I488" s="809"/>
      <c r="J488" s="809"/>
      <c r="K488" s="809"/>
      <c r="L488" s="809"/>
      <c r="M488" s="809"/>
      <c r="N488" s="809"/>
      <c r="O488" s="809"/>
      <c r="P488" s="809"/>
      <c r="Q488" s="809"/>
      <c r="R488" s="809"/>
      <c r="S488" s="809"/>
      <c r="T488" s="809"/>
      <c r="U488" s="809"/>
      <c r="V488" s="809"/>
      <c r="W488" s="809"/>
      <c r="X488" s="809"/>
      <c r="Y488" s="809"/>
      <c r="Z488" s="809"/>
      <c r="AA488" s="809"/>
      <c r="AB488" s="809"/>
      <c r="AC488" s="809"/>
      <c r="AD488" s="809"/>
      <c r="AE488" s="809"/>
      <c r="AF488" s="809"/>
      <c r="AG488" s="809"/>
      <c r="AH488" s="809"/>
      <c r="AI488" s="809"/>
      <c r="AJ488" s="809"/>
      <c r="AK488" s="809"/>
      <c r="AL488" s="809"/>
      <c r="AM488" s="809"/>
      <c r="AN488" s="809"/>
      <c r="AO488" s="809"/>
      <c r="AP488" s="809"/>
      <c r="AQ488" s="809"/>
      <c r="AR488" s="809"/>
      <c r="AS488" s="809"/>
      <c r="AT488" s="809"/>
      <c r="AU488" s="809"/>
      <c r="AV488" s="809"/>
      <c r="AW488" s="809"/>
      <c r="AX488" s="809"/>
      <c r="AY488" s="809"/>
      <c r="AZ488" s="809"/>
      <c r="BA488" s="809"/>
      <c r="BB488" s="809"/>
      <c r="BC488" s="809"/>
      <c r="BD488" s="809"/>
      <c r="BE488" s="809"/>
      <c r="BF488" s="809"/>
      <c r="BG488" s="809"/>
      <c r="BH488" s="809"/>
      <c r="BI488" s="809"/>
      <c r="BJ488" s="809"/>
      <c r="BK488" s="809"/>
      <c r="BL488" s="809"/>
      <c r="BM488" s="809"/>
      <c r="BN488" s="809"/>
    </row>
    <row r="489" spans="1:66">
      <c r="A489" s="809"/>
      <c r="B489" s="809"/>
      <c r="C489" s="809"/>
      <c r="D489" s="809"/>
      <c r="E489" s="809"/>
      <c r="F489" s="809"/>
      <c r="G489" s="809"/>
      <c r="H489" s="809"/>
      <c r="I489" s="809"/>
      <c r="J489" s="809"/>
      <c r="K489" s="809"/>
      <c r="L489" s="809"/>
      <c r="M489" s="809"/>
      <c r="N489" s="809"/>
      <c r="O489" s="809"/>
      <c r="P489" s="809"/>
      <c r="Q489" s="809"/>
      <c r="R489" s="809"/>
      <c r="S489" s="809"/>
      <c r="T489" s="809"/>
      <c r="U489" s="809"/>
      <c r="V489" s="809"/>
      <c r="W489" s="809"/>
      <c r="X489" s="809"/>
      <c r="Y489" s="809"/>
      <c r="Z489" s="809"/>
      <c r="AA489" s="809"/>
      <c r="AB489" s="809"/>
      <c r="AC489" s="809"/>
      <c r="AD489" s="809"/>
      <c r="AE489" s="809"/>
      <c r="AF489" s="809"/>
      <c r="AG489" s="809"/>
      <c r="AH489" s="809"/>
      <c r="AI489" s="809"/>
      <c r="AJ489" s="809"/>
      <c r="AK489" s="809"/>
      <c r="AL489" s="809"/>
      <c r="AM489" s="809"/>
      <c r="AN489" s="809"/>
      <c r="AO489" s="809"/>
      <c r="AP489" s="809"/>
      <c r="AQ489" s="809"/>
      <c r="AR489" s="809"/>
      <c r="AS489" s="809"/>
      <c r="AT489" s="809"/>
      <c r="AU489" s="809"/>
      <c r="AV489" s="809"/>
      <c r="AW489" s="809"/>
      <c r="AX489" s="809"/>
      <c r="AY489" s="809"/>
      <c r="AZ489" s="809"/>
      <c r="BA489" s="809"/>
      <c r="BB489" s="809"/>
      <c r="BC489" s="809"/>
      <c r="BD489" s="809"/>
      <c r="BE489" s="809"/>
      <c r="BF489" s="809"/>
      <c r="BG489" s="809"/>
      <c r="BH489" s="809"/>
      <c r="BI489" s="809"/>
      <c r="BJ489" s="809"/>
      <c r="BK489" s="809"/>
      <c r="BL489" s="809"/>
      <c r="BM489" s="809"/>
      <c r="BN489" s="809"/>
    </row>
    <row r="490" spans="1:66">
      <c r="A490" s="809"/>
      <c r="B490" s="809"/>
      <c r="C490" s="809"/>
      <c r="D490" s="809"/>
      <c r="E490" s="809"/>
      <c r="F490" s="809"/>
      <c r="G490" s="809"/>
      <c r="H490" s="809"/>
      <c r="I490" s="809"/>
      <c r="J490" s="809"/>
      <c r="K490" s="809"/>
      <c r="L490" s="809"/>
      <c r="M490" s="809"/>
      <c r="N490" s="809"/>
      <c r="O490" s="809"/>
      <c r="P490" s="809"/>
      <c r="Q490" s="809"/>
      <c r="R490" s="809"/>
      <c r="S490" s="809"/>
      <c r="T490" s="809"/>
      <c r="U490" s="809"/>
      <c r="V490" s="809"/>
      <c r="W490" s="809"/>
      <c r="X490" s="809"/>
      <c r="Y490" s="809"/>
      <c r="Z490" s="809"/>
      <c r="AA490" s="809"/>
      <c r="AB490" s="809"/>
      <c r="AC490" s="809"/>
      <c r="AD490" s="809"/>
      <c r="AE490" s="809"/>
      <c r="AF490" s="809"/>
      <c r="AG490" s="809"/>
      <c r="AH490" s="809"/>
      <c r="AI490" s="809"/>
      <c r="AJ490" s="809"/>
      <c r="AK490" s="809"/>
      <c r="AL490" s="809"/>
      <c r="AM490" s="809"/>
      <c r="AN490" s="809"/>
      <c r="AO490" s="809"/>
      <c r="AP490" s="809"/>
      <c r="AQ490" s="809"/>
      <c r="AR490" s="809"/>
      <c r="AS490" s="809"/>
      <c r="AT490" s="809"/>
      <c r="AU490" s="809"/>
      <c r="AV490" s="809"/>
      <c r="AW490" s="809"/>
      <c r="AX490" s="809"/>
      <c r="AY490" s="809"/>
      <c r="AZ490" s="809"/>
      <c r="BA490" s="809"/>
      <c r="BB490" s="809"/>
      <c r="BC490" s="809"/>
      <c r="BD490" s="809"/>
      <c r="BE490" s="809"/>
      <c r="BF490" s="809"/>
      <c r="BG490" s="809"/>
      <c r="BH490" s="809"/>
      <c r="BI490" s="809"/>
      <c r="BJ490" s="809"/>
      <c r="BK490" s="809"/>
      <c r="BL490" s="809"/>
      <c r="BM490" s="809"/>
      <c r="BN490" s="809"/>
    </row>
    <row r="491" spans="1:66">
      <c r="A491" s="809"/>
      <c r="B491" s="809"/>
      <c r="C491" s="809"/>
      <c r="D491" s="809"/>
      <c r="E491" s="809"/>
      <c r="F491" s="809"/>
      <c r="G491" s="809"/>
      <c r="H491" s="809"/>
      <c r="I491" s="809"/>
      <c r="J491" s="809"/>
      <c r="K491" s="809"/>
      <c r="L491" s="809"/>
      <c r="M491" s="809"/>
      <c r="N491" s="809"/>
      <c r="O491" s="809"/>
      <c r="P491" s="809"/>
      <c r="Q491" s="809"/>
      <c r="R491" s="809"/>
      <c r="S491" s="809"/>
      <c r="T491" s="809"/>
      <c r="U491" s="809"/>
      <c r="V491" s="809"/>
      <c r="W491" s="809"/>
      <c r="X491" s="809"/>
      <c r="Y491" s="809"/>
      <c r="Z491" s="809"/>
      <c r="AA491" s="809"/>
      <c r="AB491" s="809"/>
      <c r="AC491" s="809"/>
      <c r="AD491" s="809"/>
      <c r="AE491" s="809"/>
      <c r="AF491" s="809"/>
      <c r="AG491" s="809"/>
      <c r="AH491" s="809"/>
      <c r="AI491" s="809"/>
      <c r="AJ491" s="809"/>
      <c r="AK491" s="809"/>
      <c r="AL491" s="809"/>
      <c r="AM491" s="809"/>
      <c r="AN491" s="809"/>
      <c r="AO491" s="809"/>
      <c r="AP491" s="809"/>
      <c r="AQ491" s="809"/>
      <c r="AR491" s="809"/>
      <c r="AS491" s="809"/>
      <c r="AT491" s="809"/>
      <c r="AU491" s="809"/>
      <c r="AV491" s="809"/>
      <c r="AW491" s="809"/>
      <c r="AX491" s="809"/>
      <c r="AY491" s="809"/>
      <c r="AZ491" s="809"/>
      <c r="BA491" s="809"/>
      <c r="BB491" s="809"/>
      <c r="BC491" s="809"/>
      <c r="BD491" s="809"/>
      <c r="BE491" s="809"/>
      <c r="BF491" s="809"/>
      <c r="BG491" s="809"/>
      <c r="BH491" s="809"/>
      <c r="BI491" s="809"/>
      <c r="BJ491" s="809"/>
      <c r="BK491" s="809"/>
      <c r="BL491" s="809"/>
      <c r="BM491" s="809"/>
      <c r="BN491" s="809"/>
    </row>
    <row r="492" spans="1:66">
      <c r="A492" s="809"/>
      <c r="B492" s="809"/>
      <c r="C492" s="809"/>
      <c r="D492" s="809"/>
      <c r="E492" s="809"/>
      <c r="F492" s="809"/>
      <c r="G492" s="809"/>
      <c r="H492" s="809"/>
      <c r="I492" s="809"/>
      <c r="J492" s="809"/>
      <c r="K492" s="809"/>
      <c r="L492" s="809"/>
      <c r="M492" s="809"/>
      <c r="N492" s="809"/>
      <c r="O492" s="809"/>
      <c r="P492" s="809"/>
      <c r="Q492" s="809"/>
      <c r="R492" s="809"/>
      <c r="S492" s="809"/>
      <c r="T492" s="809"/>
      <c r="U492" s="809"/>
      <c r="V492" s="809"/>
      <c r="W492" s="809"/>
      <c r="X492" s="809"/>
      <c r="Y492" s="809"/>
      <c r="Z492" s="809"/>
      <c r="AA492" s="809"/>
      <c r="AB492" s="809"/>
      <c r="AC492" s="809"/>
      <c r="AD492" s="809"/>
      <c r="AE492" s="809"/>
      <c r="AF492" s="809"/>
      <c r="AG492" s="809"/>
      <c r="AH492" s="809"/>
      <c r="AI492" s="809"/>
      <c r="AJ492" s="809"/>
      <c r="AK492" s="809"/>
      <c r="AL492" s="809"/>
      <c r="AM492" s="809"/>
      <c r="AN492" s="809"/>
      <c r="AO492" s="809"/>
      <c r="AP492" s="809"/>
      <c r="AQ492" s="809"/>
      <c r="AR492" s="809"/>
      <c r="AS492" s="809"/>
      <c r="AT492" s="809"/>
      <c r="AU492" s="809"/>
      <c r="AV492" s="809"/>
      <c r="AW492" s="809"/>
      <c r="AX492" s="809"/>
      <c r="AY492" s="809"/>
      <c r="AZ492" s="809"/>
      <c r="BA492" s="809"/>
      <c r="BB492" s="809"/>
      <c r="BC492" s="809"/>
      <c r="BD492" s="809"/>
      <c r="BE492" s="809"/>
      <c r="BF492" s="809"/>
      <c r="BG492" s="809"/>
      <c r="BH492" s="809"/>
      <c r="BI492" s="809"/>
      <c r="BJ492" s="809"/>
      <c r="BK492" s="809"/>
      <c r="BL492" s="809"/>
      <c r="BM492" s="809"/>
      <c r="BN492" s="809"/>
    </row>
    <row r="493" spans="1:66">
      <c r="A493" s="809"/>
      <c r="B493" s="809"/>
      <c r="C493" s="809"/>
      <c r="D493" s="809"/>
      <c r="E493" s="809"/>
      <c r="F493" s="809"/>
      <c r="G493" s="809"/>
      <c r="H493" s="809"/>
      <c r="I493" s="809"/>
      <c r="J493" s="809"/>
      <c r="K493" s="809"/>
      <c r="L493" s="809"/>
      <c r="M493" s="809"/>
      <c r="N493" s="809"/>
      <c r="O493" s="809"/>
      <c r="P493" s="809"/>
      <c r="Q493" s="809"/>
      <c r="R493" s="809"/>
      <c r="S493" s="809"/>
      <c r="T493" s="809"/>
      <c r="U493" s="809"/>
      <c r="V493" s="809"/>
      <c r="W493" s="809"/>
      <c r="X493" s="809"/>
      <c r="Y493" s="809"/>
      <c r="Z493" s="809"/>
      <c r="AA493" s="809"/>
      <c r="AB493" s="809"/>
      <c r="AC493" s="809"/>
      <c r="AD493" s="809"/>
      <c r="AE493" s="809"/>
      <c r="AF493" s="809"/>
      <c r="AG493" s="809"/>
      <c r="AH493" s="809"/>
      <c r="AI493" s="809"/>
      <c r="AJ493" s="809"/>
      <c r="AK493" s="809"/>
      <c r="AL493" s="809"/>
      <c r="AM493" s="809"/>
      <c r="AN493" s="809"/>
      <c r="AO493" s="809"/>
      <c r="AP493" s="809"/>
      <c r="AQ493" s="809"/>
      <c r="AR493" s="809"/>
      <c r="AS493" s="809"/>
      <c r="AT493" s="809"/>
      <c r="AU493" s="809"/>
      <c r="AV493" s="809"/>
      <c r="AW493" s="809"/>
      <c r="AX493" s="809"/>
      <c r="AY493" s="809"/>
      <c r="AZ493" s="809"/>
      <c r="BA493" s="809"/>
      <c r="BB493" s="809"/>
      <c r="BC493" s="809"/>
      <c r="BD493" s="809"/>
      <c r="BE493" s="809"/>
      <c r="BF493" s="809"/>
      <c r="BG493" s="809"/>
      <c r="BH493" s="809"/>
      <c r="BI493" s="809"/>
      <c r="BJ493" s="809"/>
      <c r="BK493" s="809"/>
      <c r="BL493" s="809"/>
      <c r="BM493" s="809"/>
      <c r="BN493" s="809"/>
    </row>
    <row r="494" spans="1:66">
      <c r="A494" s="809"/>
      <c r="B494" s="809"/>
      <c r="C494" s="809"/>
      <c r="D494" s="809"/>
      <c r="E494" s="809"/>
      <c r="F494" s="809"/>
      <c r="G494" s="809"/>
      <c r="H494" s="809"/>
      <c r="I494" s="809"/>
      <c r="J494" s="809"/>
      <c r="K494" s="809"/>
      <c r="L494" s="809"/>
      <c r="M494" s="809"/>
      <c r="N494" s="809"/>
      <c r="O494" s="809"/>
      <c r="P494" s="809"/>
      <c r="Q494" s="809"/>
      <c r="R494" s="809"/>
      <c r="S494" s="809"/>
      <c r="T494" s="809"/>
      <c r="U494" s="809"/>
      <c r="V494" s="809"/>
      <c r="W494" s="809"/>
      <c r="X494" s="809"/>
      <c r="Y494" s="809"/>
      <c r="Z494" s="809"/>
      <c r="AA494" s="809"/>
      <c r="AB494" s="809"/>
      <c r="AC494" s="809"/>
      <c r="AD494" s="809"/>
      <c r="AE494" s="809"/>
      <c r="AF494" s="809"/>
      <c r="AG494" s="809"/>
      <c r="AH494" s="809"/>
      <c r="AI494" s="809"/>
      <c r="AJ494" s="809"/>
      <c r="AK494" s="809"/>
      <c r="AL494" s="809"/>
      <c r="AM494" s="809"/>
      <c r="AN494" s="809"/>
      <c r="AO494" s="809"/>
      <c r="AP494" s="809"/>
      <c r="AQ494" s="809"/>
      <c r="AR494" s="809"/>
      <c r="AS494" s="809"/>
      <c r="AT494" s="809"/>
      <c r="AU494" s="809"/>
      <c r="AV494" s="809"/>
      <c r="AW494" s="809"/>
      <c r="AX494" s="809"/>
      <c r="AY494" s="809"/>
      <c r="AZ494" s="809"/>
      <c r="BA494" s="809"/>
      <c r="BB494" s="809"/>
      <c r="BC494" s="809"/>
      <c r="BD494" s="809"/>
      <c r="BE494" s="809"/>
      <c r="BF494" s="809"/>
      <c r="BG494" s="809"/>
      <c r="BH494" s="809"/>
      <c r="BI494" s="809"/>
      <c r="BJ494" s="809"/>
      <c r="BK494" s="809"/>
      <c r="BL494" s="809"/>
      <c r="BM494" s="809"/>
      <c r="BN494" s="809"/>
    </row>
    <row r="495" spans="1:66">
      <c r="A495" s="809"/>
      <c r="B495" s="809"/>
      <c r="C495" s="809"/>
      <c r="D495" s="809"/>
      <c r="E495" s="809"/>
      <c r="F495" s="809"/>
      <c r="G495" s="809"/>
      <c r="H495" s="809"/>
      <c r="I495" s="809"/>
      <c r="J495" s="809"/>
      <c r="K495" s="809"/>
      <c r="L495" s="809"/>
      <c r="M495" s="809"/>
      <c r="N495" s="809"/>
      <c r="O495" s="809"/>
      <c r="P495" s="809"/>
      <c r="Q495" s="809"/>
      <c r="R495" s="809"/>
      <c r="S495" s="809"/>
      <c r="T495" s="809"/>
      <c r="U495" s="809"/>
      <c r="V495" s="809"/>
      <c r="W495" s="809"/>
      <c r="X495" s="809"/>
      <c r="Y495" s="809"/>
      <c r="Z495" s="809"/>
      <c r="AA495" s="809"/>
      <c r="AB495" s="809"/>
      <c r="AC495" s="809"/>
      <c r="AD495" s="809"/>
      <c r="AE495" s="809"/>
      <c r="AF495" s="809"/>
      <c r="AG495" s="809"/>
      <c r="AH495" s="809"/>
      <c r="AI495" s="809"/>
      <c r="AJ495" s="809"/>
      <c r="AK495" s="809"/>
      <c r="AL495" s="809"/>
      <c r="AM495" s="809"/>
      <c r="AN495" s="809"/>
      <c r="AO495" s="809"/>
      <c r="AP495" s="809"/>
      <c r="AQ495" s="809"/>
      <c r="AR495" s="809"/>
      <c r="AS495" s="809"/>
      <c r="AT495" s="809"/>
      <c r="AU495" s="809"/>
      <c r="AV495" s="809"/>
      <c r="AW495" s="809"/>
      <c r="AX495" s="809"/>
      <c r="AY495" s="809"/>
      <c r="AZ495" s="809"/>
      <c r="BA495" s="809"/>
      <c r="BB495" s="809"/>
      <c r="BC495" s="809"/>
      <c r="BD495" s="809"/>
      <c r="BE495" s="809"/>
      <c r="BF495" s="809"/>
      <c r="BG495" s="809"/>
      <c r="BH495" s="809"/>
      <c r="BI495" s="809"/>
      <c r="BJ495" s="809"/>
      <c r="BK495" s="809"/>
      <c r="BL495" s="809"/>
      <c r="BM495" s="809"/>
      <c r="BN495" s="809"/>
    </row>
    <row r="496" spans="1:66">
      <c r="A496" s="809"/>
      <c r="B496" s="809"/>
      <c r="C496" s="809"/>
      <c r="D496" s="809"/>
      <c r="E496" s="809"/>
      <c r="F496" s="809"/>
      <c r="G496" s="809"/>
      <c r="H496" s="809"/>
      <c r="I496" s="809"/>
      <c r="J496" s="809"/>
      <c r="K496" s="809"/>
      <c r="L496" s="809"/>
      <c r="M496" s="809"/>
      <c r="N496" s="809"/>
      <c r="O496" s="809"/>
      <c r="P496" s="809"/>
      <c r="Q496" s="809"/>
      <c r="R496" s="809"/>
      <c r="S496" s="809"/>
      <c r="T496" s="809"/>
      <c r="U496" s="809"/>
      <c r="V496" s="809"/>
      <c r="W496" s="809"/>
      <c r="X496" s="809"/>
      <c r="Y496" s="809"/>
      <c r="Z496" s="809"/>
      <c r="AA496" s="809"/>
      <c r="AB496" s="809"/>
      <c r="AC496" s="809"/>
      <c r="AD496" s="809"/>
      <c r="AE496" s="809"/>
      <c r="AF496" s="809"/>
      <c r="AG496" s="809"/>
      <c r="AH496" s="809"/>
      <c r="AI496" s="809"/>
      <c r="AJ496" s="809"/>
      <c r="AK496" s="809"/>
      <c r="AL496" s="809"/>
      <c r="AM496" s="809"/>
      <c r="AN496" s="809"/>
      <c r="AO496" s="809"/>
      <c r="AP496" s="809"/>
      <c r="AQ496" s="809"/>
      <c r="AR496" s="809"/>
      <c r="AS496" s="809"/>
      <c r="AT496" s="809"/>
      <c r="AU496" s="809"/>
      <c r="AV496" s="809"/>
      <c r="AW496" s="809"/>
      <c r="AX496" s="809"/>
      <c r="AY496" s="809"/>
      <c r="AZ496" s="809"/>
      <c r="BA496" s="809"/>
      <c r="BB496" s="809"/>
      <c r="BC496" s="809"/>
      <c r="BD496" s="809"/>
      <c r="BE496" s="809"/>
      <c r="BF496" s="809"/>
      <c r="BG496" s="809"/>
      <c r="BH496" s="809"/>
      <c r="BI496" s="809"/>
      <c r="BJ496" s="809"/>
      <c r="BK496" s="809"/>
      <c r="BL496" s="809"/>
      <c r="BM496" s="809"/>
      <c r="BN496" s="809"/>
    </row>
    <row r="497" spans="1:66">
      <c r="A497" s="809"/>
      <c r="B497" s="809"/>
      <c r="C497" s="809"/>
      <c r="D497" s="809"/>
      <c r="E497" s="809"/>
      <c r="F497" s="809"/>
      <c r="G497" s="809"/>
      <c r="H497" s="809"/>
      <c r="I497" s="809"/>
      <c r="J497" s="809"/>
      <c r="K497" s="809"/>
      <c r="L497" s="809"/>
      <c r="M497" s="809"/>
      <c r="N497" s="809"/>
      <c r="O497" s="809"/>
      <c r="P497" s="809"/>
      <c r="Q497" s="809"/>
      <c r="R497" s="809"/>
      <c r="S497" s="809"/>
      <c r="T497" s="809"/>
      <c r="U497" s="809"/>
      <c r="V497" s="809"/>
      <c r="W497" s="809"/>
      <c r="X497" s="809"/>
      <c r="Y497" s="809"/>
      <c r="Z497" s="809"/>
      <c r="AA497" s="809"/>
      <c r="AB497" s="809"/>
      <c r="AC497" s="809"/>
      <c r="AD497" s="809"/>
      <c r="AE497" s="809"/>
      <c r="AF497" s="809"/>
      <c r="AG497" s="809"/>
      <c r="AH497" s="809"/>
      <c r="AI497" s="809"/>
      <c r="AJ497" s="809"/>
      <c r="AK497" s="809"/>
      <c r="AL497" s="809"/>
      <c r="AM497" s="809"/>
      <c r="AN497" s="809"/>
      <c r="AO497" s="809"/>
      <c r="AP497" s="809"/>
      <c r="AQ497" s="809"/>
      <c r="AR497" s="809"/>
      <c r="AS497" s="809"/>
      <c r="AT497" s="809"/>
      <c r="AU497" s="809"/>
      <c r="AV497" s="809"/>
      <c r="AW497" s="809"/>
      <c r="AX497" s="809"/>
      <c r="AY497" s="809"/>
      <c r="AZ497" s="809"/>
      <c r="BA497" s="809"/>
      <c r="BB497" s="809"/>
      <c r="BC497" s="809"/>
      <c r="BD497" s="809"/>
      <c r="BE497" s="809"/>
      <c r="BF497" s="809"/>
      <c r="BG497" s="809"/>
      <c r="BH497" s="809"/>
      <c r="BI497" s="809"/>
      <c r="BJ497" s="809"/>
      <c r="BK497" s="809"/>
      <c r="BL497" s="809"/>
      <c r="BM497" s="809"/>
      <c r="BN497" s="809"/>
    </row>
    <row r="498" spans="1:66">
      <c r="A498" s="809"/>
      <c r="B498" s="809"/>
      <c r="C498" s="809"/>
      <c r="D498" s="809"/>
      <c r="E498" s="809"/>
      <c r="F498" s="809"/>
      <c r="G498" s="809"/>
      <c r="H498" s="809"/>
      <c r="I498" s="809"/>
      <c r="J498" s="809"/>
      <c r="K498" s="809"/>
      <c r="L498" s="809"/>
      <c r="M498" s="809"/>
      <c r="N498" s="809"/>
      <c r="O498" s="809"/>
      <c r="P498" s="809"/>
      <c r="Q498" s="809"/>
      <c r="R498" s="809"/>
      <c r="S498" s="809"/>
      <c r="T498" s="809"/>
      <c r="U498" s="809"/>
      <c r="V498" s="809"/>
      <c r="W498" s="809"/>
      <c r="X498" s="809"/>
      <c r="Y498" s="809"/>
      <c r="Z498" s="809"/>
      <c r="AA498" s="809"/>
      <c r="AB498" s="809"/>
      <c r="AC498" s="809"/>
      <c r="AD498" s="809"/>
      <c r="AE498" s="809"/>
      <c r="AF498" s="809"/>
      <c r="AG498" s="809"/>
      <c r="AH498" s="809"/>
      <c r="AI498" s="809"/>
      <c r="AJ498" s="809"/>
      <c r="AK498" s="809"/>
      <c r="AL498" s="809"/>
      <c r="AM498" s="809"/>
      <c r="AN498" s="809"/>
      <c r="AO498" s="809"/>
      <c r="AP498" s="809"/>
      <c r="AQ498" s="809"/>
      <c r="AR498" s="809"/>
      <c r="AS498" s="809"/>
      <c r="AT498" s="809"/>
      <c r="AU498" s="809"/>
      <c r="AV498" s="809"/>
      <c r="AW498" s="809"/>
      <c r="AX498" s="809"/>
      <c r="AY498" s="809"/>
      <c r="AZ498" s="809"/>
      <c r="BA498" s="809"/>
      <c r="BB498" s="809"/>
      <c r="BC498" s="809"/>
      <c r="BD498" s="809"/>
      <c r="BE498" s="809"/>
      <c r="BF498" s="809"/>
      <c r="BG498" s="809"/>
      <c r="BH498" s="809"/>
      <c r="BI498" s="809"/>
      <c r="BJ498" s="809"/>
      <c r="BK498" s="809"/>
      <c r="BL498" s="809"/>
      <c r="BM498" s="809"/>
      <c r="BN498" s="809"/>
    </row>
    <row r="499" spans="1:66">
      <c r="A499" s="809"/>
      <c r="B499" s="809"/>
      <c r="C499" s="809"/>
      <c r="D499" s="809"/>
      <c r="E499" s="809"/>
      <c r="F499" s="809"/>
      <c r="G499" s="809"/>
      <c r="H499" s="809"/>
      <c r="I499" s="809"/>
      <c r="J499" s="809"/>
      <c r="K499" s="809"/>
      <c r="L499" s="809"/>
      <c r="M499" s="809"/>
      <c r="N499" s="809"/>
      <c r="O499" s="809"/>
      <c r="P499" s="809"/>
      <c r="Q499" s="809"/>
      <c r="R499" s="809"/>
      <c r="S499" s="809"/>
      <c r="T499" s="809"/>
      <c r="U499" s="809"/>
      <c r="V499" s="809"/>
      <c r="W499" s="809"/>
      <c r="X499" s="809"/>
      <c r="Y499" s="809"/>
      <c r="Z499" s="809"/>
      <c r="AA499" s="809"/>
      <c r="AB499" s="809"/>
      <c r="AC499" s="809"/>
      <c r="AD499" s="809"/>
      <c r="AE499" s="809"/>
      <c r="AF499" s="809"/>
      <c r="AG499" s="809"/>
      <c r="AH499" s="809"/>
      <c r="AI499" s="809"/>
      <c r="AJ499" s="809"/>
      <c r="AK499" s="809"/>
      <c r="AL499" s="809"/>
      <c r="AM499" s="809"/>
      <c r="AN499" s="809"/>
      <c r="AO499" s="809"/>
      <c r="AP499" s="809"/>
      <c r="AQ499" s="809"/>
      <c r="AR499" s="809"/>
      <c r="AS499" s="809"/>
      <c r="AT499" s="809"/>
      <c r="AU499" s="809"/>
      <c r="AV499" s="809"/>
      <c r="AW499" s="809"/>
      <c r="AX499" s="809"/>
      <c r="AY499" s="809"/>
      <c r="AZ499" s="809"/>
      <c r="BA499" s="809"/>
      <c r="BB499" s="809"/>
      <c r="BC499" s="809"/>
      <c r="BD499" s="809"/>
      <c r="BE499" s="809"/>
      <c r="BF499" s="809"/>
      <c r="BG499" s="809"/>
      <c r="BH499" s="809"/>
      <c r="BI499" s="809"/>
      <c r="BJ499" s="809"/>
      <c r="BK499" s="809"/>
      <c r="BL499" s="809"/>
      <c r="BM499" s="809"/>
      <c r="BN499" s="809"/>
    </row>
    <row r="500" spans="1:66">
      <c r="A500" s="809"/>
      <c r="B500" s="809"/>
      <c r="C500" s="809"/>
      <c r="D500" s="809"/>
      <c r="E500" s="809"/>
      <c r="F500" s="809"/>
      <c r="G500" s="809"/>
      <c r="H500" s="809"/>
      <c r="I500" s="809"/>
      <c r="J500" s="809"/>
      <c r="K500" s="809"/>
      <c r="L500" s="809"/>
      <c r="M500" s="809"/>
      <c r="N500" s="809"/>
      <c r="O500" s="809"/>
      <c r="P500" s="809"/>
      <c r="Q500" s="809"/>
      <c r="R500" s="809"/>
      <c r="S500" s="809"/>
      <c r="T500" s="809"/>
      <c r="U500" s="809"/>
      <c r="V500" s="809"/>
      <c r="W500" s="809"/>
      <c r="X500" s="809"/>
      <c r="Y500" s="809"/>
      <c r="Z500" s="809"/>
      <c r="AA500" s="809"/>
      <c r="AB500" s="809"/>
      <c r="AC500" s="809"/>
      <c r="AD500" s="809"/>
      <c r="AE500" s="809"/>
      <c r="AF500" s="809"/>
      <c r="AG500" s="809"/>
      <c r="AH500" s="809"/>
      <c r="AI500" s="809"/>
      <c r="AJ500" s="809"/>
      <c r="AK500" s="809"/>
      <c r="AL500" s="809"/>
      <c r="AM500" s="809"/>
      <c r="AN500" s="809"/>
      <c r="AO500" s="809"/>
      <c r="AP500" s="809"/>
      <c r="AQ500" s="809"/>
      <c r="AR500" s="809"/>
      <c r="AS500" s="809"/>
      <c r="AT500" s="809"/>
      <c r="AU500" s="809"/>
      <c r="AV500" s="809"/>
      <c r="AW500" s="809"/>
      <c r="AX500" s="809"/>
      <c r="AY500" s="809"/>
      <c r="AZ500" s="809"/>
      <c r="BA500" s="809"/>
      <c r="BB500" s="809"/>
      <c r="BC500" s="809"/>
      <c r="BD500" s="809"/>
      <c r="BE500" s="809"/>
      <c r="BF500" s="809"/>
      <c r="BG500" s="809"/>
      <c r="BH500" s="809"/>
      <c r="BI500" s="809"/>
      <c r="BJ500" s="809"/>
      <c r="BK500" s="809"/>
      <c r="BL500" s="809"/>
      <c r="BM500" s="809"/>
      <c r="BN500" s="809"/>
    </row>
    <row r="501" spans="1:66">
      <c r="A501" s="809"/>
      <c r="B501" s="809"/>
      <c r="C501" s="809"/>
      <c r="D501" s="809"/>
      <c r="E501" s="809"/>
      <c r="F501" s="809"/>
      <c r="G501" s="809"/>
      <c r="H501" s="809"/>
      <c r="I501" s="809"/>
      <c r="J501" s="809"/>
      <c r="K501" s="809"/>
      <c r="L501" s="809"/>
      <c r="M501" s="809"/>
      <c r="N501" s="809"/>
      <c r="O501" s="809"/>
      <c r="P501" s="809"/>
      <c r="Q501" s="809"/>
      <c r="R501" s="809"/>
      <c r="S501" s="809"/>
      <c r="T501" s="809"/>
      <c r="U501" s="809"/>
      <c r="V501" s="809"/>
      <c r="W501" s="809"/>
      <c r="X501" s="809"/>
      <c r="Y501" s="809"/>
      <c r="Z501" s="809"/>
      <c r="AA501" s="809"/>
      <c r="AB501" s="809"/>
      <c r="AC501" s="809"/>
      <c r="AD501" s="809"/>
      <c r="AE501" s="809"/>
      <c r="AF501" s="809"/>
      <c r="AG501" s="809"/>
      <c r="AH501" s="809"/>
      <c r="AI501" s="809"/>
      <c r="AJ501" s="809"/>
      <c r="AK501" s="809"/>
      <c r="AL501" s="809"/>
      <c r="AM501" s="809"/>
      <c r="AN501" s="809"/>
      <c r="AO501" s="809"/>
      <c r="AP501" s="809"/>
      <c r="AQ501" s="809"/>
      <c r="AR501" s="809"/>
      <c r="AS501" s="809"/>
      <c r="AT501" s="809"/>
      <c r="AU501" s="809"/>
      <c r="AV501" s="809"/>
      <c r="AW501" s="809"/>
      <c r="AX501" s="809"/>
      <c r="AY501" s="809"/>
      <c r="AZ501" s="809"/>
      <c r="BA501" s="809"/>
      <c r="BB501" s="809"/>
      <c r="BC501" s="809"/>
      <c r="BD501" s="809"/>
      <c r="BE501" s="809"/>
      <c r="BF501" s="809"/>
      <c r="BG501" s="809"/>
      <c r="BH501" s="809"/>
      <c r="BI501" s="809"/>
      <c r="BJ501" s="809"/>
      <c r="BK501" s="809"/>
      <c r="BL501" s="809"/>
      <c r="BM501" s="809"/>
      <c r="BN501" s="809"/>
    </row>
    <row r="502" spans="1:66">
      <c r="A502" s="809"/>
      <c r="B502" s="809"/>
      <c r="C502" s="809"/>
      <c r="D502" s="809"/>
      <c r="E502" s="809"/>
      <c r="F502" s="809"/>
      <c r="G502" s="809"/>
      <c r="H502" s="809"/>
      <c r="I502" s="809"/>
      <c r="J502" s="809"/>
      <c r="K502" s="809"/>
      <c r="L502" s="809"/>
      <c r="M502" s="809"/>
      <c r="N502" s="809"/>
      <c r="O502" s="809"/>
      <c r="P502" s="809"/>
      <c r="Q502" s="809"/>
      <c r="R502" s="809"/>
      <c r="S502" s="809"/>
      <c r="T502" s="809"/>
      <c r="U502" s="809"/>
      <c r="V502" s="809"/>
      <c r="W502" s="809"/>
      <c r="X502" s="809"/>
      <c r="Y502" s="809"/>
      <c r="Z502" s="809"/>
      <c r="AA502" s="809"/>
      <c r="AB502" s="809"/>
      <c r="AC502" s="809"/>
      <c r="AD502" s="809"/>
      <c r="AE502" s="809"/>
      <c r="AF502" s="809"/>
      <c r="AG502" s="809"/>
      <c r="AH502" s="809"/>
      <c r="AI502" s="809"/>
      <c r="AJ502" s="809"/>
      <c r="AK502" s="809"/>
      <c r="AL502" s="809"/>
      <c r="AM502" s="809"/>
      <c r="AN502" s="809"/>
      <c r="AO502" s="809"/>
      <c r="AP502" s="809"/>
      <c r="AQ502" s="809"/>
      <c r="AR502" s="809"/>
      <c r="AS502" s="809"/>
      <c r="AT502" s="809"/>
      <c r="AU502" s="809"/>
      <c r="AV502" s="809"/>
      <c r="AW502" s="809"/>
      <c r="AX502" s="809"/>
      <c r="AY502" s="809"/>
      <c r="AZ502" s="809"/>
      <c r="BA502" s="809"/>
      <c r="BB502" s="809"/>
      <c r="BC502" s="809"/>
      <c r="BD502" s="809"/>
      <c r="BE502" s="809"/>
      <c r="BF502" s="809"/>
      <c r="BG502" s="809"/>
      <c r="BH502" s="809"/>
      <c r="BI502" s="809"/>
      <c r="BJ502" s="809"/>
      <c r="BK502" s="809"/>
      <c r="BL502" s="809"/>
      <c r="BM502" s="809"/>
      <c r="BN502" s="809"/>
    </row>
    <row r="503" spans="1:66">
      <c r="A503" s="809"/>
      <c r="B503" s="809"/>
      <c r="C503" s="809"/>
      <c r="D503" s="809"/>
      <c r="E503" s="809"/>
      <c r="F503" s="809"/>
      <c r="G503" s="809"/>
      <c r="H503" s="809"/>
      <c r="I503" s="809"/>
      <c r="J503" s="809"/>
      <c r="K503" s="809"/>
      <c r="L503" s="809"/>
      <c r="M503" s="809"/>
      <c r="N503" s="809"/>
      <c r="O503" s="809"/>
      <c r="P503" s="809"/>
      <c r="Q503" s="809"/>
      <c r="R503" s="809"/>
      <c r="S503" s="809"/>
      <c r="T503" s="809"/>
      <c r="U503" s="809"/>
      <c r="V503" s="809"/>
      <c r="W503" s="809"/>
      <c r="X503" s="809"/>
      <c r="Y503" s="809"/>
      <c r="Z503" s="809"/>
      <c r="AA503" s="809"/>
      <c r="AB503" s="809"/>
      <c r="AC503" s="809"/>
      <c r="AD503" s="809"/>
      <c r="AE503" s="809"/>
      <c r="AF503" s="809"/>
      <c r="AG503" s="809"/>
      <c r="AH503" s="809"/>
      <c r="AI503" s="809"/>
      <c r="AJ503" s="809"/>
      <c r="AK503" s="809"/>
      <c r="AL503" s="809"/>
      <c r="AM503" s="809"/>
      <c r="AN503" s="809"/>
      <c r="AO503" s="809"/>
      <c r="AP503" s="809"/>
      <c r="AQ503" s="809"/>
      <c r="AR503" s="809"/>
      <c r="AS503" s="809"/>
      <c r="AT503" s="809"/>
      <c r="AU503" s="809"/>
      <c r="AV503" s="809"/>
      <c r="AW503" s="809"/>
      <c r="AX503" s="809"/>
      <c r="AY503" s="809"/>
      <c r="AZ503" s="809"/>
      <c r="BA503" s="809"/>
      <c r="BB503" s="809"/>
      <c r="BC503" s="809"/>
      <c r="BD503" s="809"/>
      <c r="BE503" s="809"/>
      <c r="BF503" s="809"/>
      <c r="BG503" s="809"/>
      <c r="BH503" s="809"/>
      <c r="BI503" s="809"/>
      <c r="BJ503" s="809"/>
      <c r="BK503" s="809"/>
      <c r="BL503" s="809"/>
      <c r="BM503" s="809"/>
      <c r="BN503" s="809"/>
    </row>
    <row r="504" spans="1:66">
      <c r="A504" s="809"/>
      <c r="B504" s="809"/>
      <c r="C504" s="809"/>
      <c r="D504" s="809"/>
      <c r="E504" s="809"/>
      <c r="F504" s="809"/>
      <c r="G504" s="809"/>
      <c r="H504" s="809"/>
      <c r="I504" s="809"/>
      <c r="J504" s="809"/>
      <c r="K504" s="809"/>
      <c r="L504" s="809"/>
      <c r="M504" s="809"/>
      <c r="N504" s="809"/>
      <c r="O504" s="809"/>
      <c r="P504" s="809"/>
      <c r="Q504" s="809"/>
      <c r="R504" s="809"/>
      <c r="S504" s="809"/>
      <c r="T504" s="809"/>
      <c r="U504" s="809"/>
      <c r="V504" s="809"/>
      <c r="W504" s="809"/>
      <c r="X504" s="809"/>
      <c r="Y504" s="809"/>
      <c r="Z504" s="809"/>
      <c r="AA504" s="809"/>
      <c r="AB504" s="809"/>
      <c r="AC504" s="809"/>
      <c r="AD504" s="809"/>
      <c r="AE504" s="809"/>
      <c r="AF504" s="809"/>
      <c r="AG504" s="809"/>
      <c r="AH504" s="809"/>
      <c r="AI504" s="809"/>
      <c r="AJ504" s="809"/>
      <c r="AK504" s="809"/>
      <c r="AL504" s="809"/>
      <c r="AM504" s="809"/>
      <c r="AN504" s="809"/>
      <c r="AO504" s="809"/>
      <c r="AP504" s="809"/>
      <c r="AQ504" s="809"/>
      <c r="AR504" s="809"/>
      <c r="AS504" s="809"/>
      <c r="AT504" s="809"/>
      <c r="AU504" s="809"/>
      <c r="AV504" s="809"/>
      <c r="AW504" s="809"/>
      <c r="AX504" s="809"/>
      <c r="AY504" s="809"/>
      <c r="AZ504" s="809"/>
      <c r="BA504" s="809"/>
      <c r="BB504" s="809"/>
      <c r="BC504" s="809"/>
      <c r="BD504" s="809"/>
      <c r="BE504" s="809"/>
      <c r="BF504" s="809"/>
      <c r="BG504" s="809"/>
      <c r="BH504" s="809"/>
      <c r="BI504" s="809"/>
      <c r="BJ504" s="809"/>
      <c r="BK504" s="809"/>
      <c r="BL504" s="809"/>
      <c r="BM504" s="809"/>
      <c r="BN504" s="809"/>
    </row>
    <row r="505" spans="1:66">
      <c r="A505" s="809"/>
      <c r="B505" s="809"/>
      <c r="C505" s="809"/>
      <c r="D505" s="809"/>
      <c r="E505" s="809"/>
      <c r="F505" s="809"/>
      <c r="G505" s="809"/>
      <c r="H505" s="809"/>
      <c r="I505" s="809"/>
      <c r="J505" s="809"/>
      <c r="K505" s="809"/>
      <c r="L505" s="809"/>
      <c r="M505" s="809"/>
      <c r="N505" s="809"/>
      <c r="O505" s="809"/>
      <c r="P505" s="809"/>
      <c r="Q505" s="809"/>
      <c r="R505" s="809"/>
      <c r="S505" s="809"/>
      <c r="T505" s="809"/>
      <c r="U505" s="809"/>
      <c r="V505" s="809"/>
      <c r="W505" s="809"/>
      <c r="X505" s="809"/>
      <c r="Y505" s="809"/>
      <c r="Z505" s="809"/>
      <c r="AA505" s="809"/>
      <c r="AB505" s="809"/>
      <c r="AC505" s="809"/>
      <c r="AD505" s="809"/>
      <c r="AE505" s="809"/>
      <c r="AF505" s="809"/>
      <c r="AG505" s="809"/>
      <c r="AH505" s="809"/>
      <c r="AI505" s="809"/>
      <c r="AJ505" s="809"/>
      <c r="AK505" s="809"/>
      <c r="AL505" s="809"/>
      <c r="AM505" s="809"/>
      <c r="AN505" s="809"/>
      <c r="AO505" s="809"/>
      <c r="AP505" s="809"/>
      <c r="AQ505" s="809"/>
      <c r="AR505" s="809"/>
      <c r="AS505" s="809"/>
      <c r="AT505" s="809"/>
      <c r="AU505" s="809"/>
      <c r="AV505" s="809"/>
      <c r="AW505" s="809"/>
      <c r="AX505" s="809"/>
      <c r="AY505" s="809"/>
      <c r="AZ505" s="809"/>
      <c r="BA505" s="809"/>
      <c r="BB505" s="809"/>
      <c r="BC505" s="809"/>
      <c r="BD505" s="809"/>
      <c r="BE505" s="809"/>
      <c r="BF505" s="809"/>
      <c r="BG505" s="809"/>
      <c r="BH505" s="809"/>
      <c r="BI505" s="809"/>
      <c r="BJ505" s="809"/>
      <c r="BK505" s="809"/>
      <c r="BL505" s="809"/>
      <c r="BM505" s="809"/>
      <c r="BN505" s="809"/>
    </row>
    <row r="506" spans="1:66">
      <c r="A506" s="809"/>
      <c r="B506" s="809"/>
      <c r="C506" s="809"/>
      <c r="D506" s="809"/>
      <c r="E506" s="809"/>
      <c r="F506" s="809"/>
      <c r="G506" s="809"/>
      <c r="H506" s="809"/>
      <c r="I506" s="809"/>
      <c r="J506" s="809"/>
      <c r="K506" s="809"/>
      <c r="L506" s="809"/>
      <c r="M506" s="809"/>
      <c r="N506" s="809"/>
      <c r="O506" s="809"/>
      <c r="P506" s="809"/>
      <c r="Q506" s="809"/>
      <c r="R506" s="809"/>
      <c r="S506" s="809"/>
      <c r="T506" s="809"/>
      <c r="U506" s="809"/>
      <c r="V506" s="809"/>
      <c r="W506" s="809"/>
      <c r="X506" s="809"/>
      <c r="Y506" s="809"/>
      <c r="Z506" s="809"/>
      <c r="AA506" s="809"/>
      <c r="AB506" s="809"/>
      <c r="AC506" s="809"/>
      <c r="AD506" s="809"/>
      <c r="AE506" s="809"/>
      <c r="AF506" s="809"/>
      <c r="AG506" s="809"/>
      <c r="AH506" s="809"/>
      <c r="AI506" s="809"/>
      <c r="AJ506" s="809"/>
      <c r="AK506" s="809"/>
      <c r="AL506" s="809"/>
      <c r="AM506" s="809"/>
      <c r="AN506" s="809"/>
      <c r="AO506" s="809"/>
      <c r="AP506" s="809"/>
      <c r="AQ506" s="809"/>
      <c r="AR506" s="809"/>
      <c r="AS506" s="809"/>
      <c r="AT506" s="809"/>
      <c r="AU506" s="809"/>
      <c r="AV506" s="809"/>
      <c r="AW506" s="809"/>
      <c r="AX506" s="809"/>
      <c r="AY506" s="809"/>
      <c r="AZ506" s="809"/>
      <c r="BA506" s="809"/>
      <c r="BB506" s="809"/>
      <c r="BC506" s="809"/>
      <c r="BD506" s="809"/>
      <c r="BE506" s="809"/>
      <c r="BF506" s="809"/>
      <c r="BG506" s="809"/>
      <c r="BH506" s="809"/>
      <c r="BI506" s="809"/>
      <c r="BJ506" s="809"/>
      <c r="BK506" s="809"/>
      <c r="BL506" s="809"/>
      <c r="BM506" s="809"/>
      <c r="BN506" s="809"/>
    </row>
    <row r="507" spans="1:66">
      <c r="A507" s="809"/>
      <c r="B507" s="809"/>
      <c r="C507" s="809"/>
      <c r="D507" s="809"/>
      <c r="E507" s="809"/>
      <c r="F507" s="809"/>
      <c r="G507" s="809"/>
      <c r="H507" s="809"/>
      <c r="I507" s="809"/>
      <c r="J507" s="809"/>
      <c r="K507" s="809"/>
      <c r="L507" s="809"/>
      <c r="M507" s="809"/>
      <c r="N507" s="809"/>
      <c r="O507" s="809"/>
      <c r="P507" s="809"/>
      <c r="Q507" s="809"/>
      <c r="R507" s="809"/>
      <c r="S507" s="809"/>
      <c r="T507" s="809"/>
      <c r="U507" s="809"/>
      <c r="V507" s="809"/>
      <c r="W507" s="809"/>
      <c r="X507" s="809"/>
      <c r="Y507" s="809"/>
      <c r="Z507" s="809"/>
      <c r="AA507" s="809"/>
      <c r="AB507" s="809"/>
      <c r="AC507" s="809"/>
      <c r="AD507" s="809"/>
      <c r="AE507" s="809"/>
      <c r="AF507" s="809"/>
      <c r="AG507" s="809"/>
      <c r="AH507" s="809"/>
      <c r="AI507" s="809"/>
      <c r="AJ507" s="809"/>
      <c r="AK507" s="809"/>
      <c r="AL507" s="809"/>
      <c r="AM507" s="809"/>
      <c r="AN507" s="809"/>
      <c r="AO507" s="809"/>
      <c r="AP507" s="809"/>
      <c r="AQ507" s="809"/>
      <c r="AR507" s="809"/>
      <c r="AS507" s="809"/>
      <c r="AT507" s="809"/>
      <c r="AU507" s="809"/>
      <c r="AV507" s="809"/>
      <c r="AW507" s="809"/>
      <c r="AX507" s="809"/>
      <c r="AY507" s="809"/>
      <c r="AZ507" s="809"/>
      <c r="BA507" s="809"/>
      <c r="BB507" s="809"/>
      <c r="BC507" s="809"/>
      <c r="BD507" s="809"/>
      <c r="BE507" s="809"/>
      <c r="BF507" s="809"/>
      <c r="BG507" s="809"/>
      <c r="BH507" s="809"/>
      <c r="BI507" s="809"/>
      <c r="BJ507" s="809"/>
      <c r="BK507" s="809"/>
      <c r="BL507" s="809"/>
      <c r="BM507" s="809"/>
      <c r="BN507" s="809"/>
    </row>
    <row r="508" spans="1:66">
      <c r="A508" s="809"/>
      <c r="B508" s="809"/>
      <c r="C508" s="809"/>
      <c r="D508" s="809"/>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09"/>
      <c r="AL508" s="809"/>
      <c r="AM508" s="809"/>
      <c r="AN508" s="809"/>
      <c r="AO508" s="809"/>
      <c r="AP508" s="809"/>
      <c r="AQ508" s="809"/>
      <c r="AR508" s="809"/>
      <c r="AS508" s="809"/>
      <c r="AT508" s="809"/>
      <c r="AU508" s="809"/>
      <c r="AV508" s="809"/>
      <c r="AW508" s="809"/>
      <c r="AX508" s="809"/>
      <c r="AY508" s="809"/>
      <c r="AZ508" s="809"/>
      <c r="BA508" s="809"/>
      <c r="BB508" s="809"/>
      <c r="BC508" s="809"/>
      <c r="BD508" s="809"/>
      <c r="BE508" s="809"/>
      <c r="BF508" s="809"/>
      <c r="BG508" s="809"/>
      <c r="BH508" s="809"/>
      <c r="BI508" s="809"/>
      <c r="BJ508" s="809"/>
      <c r="BK508" s="809"/>
      <c r="BL508" s="809"/>
      <c r="BM508" s="809"/>
      <c r="BN508" s="809"/>
    </row>
    <row r="509" spans="1:66">
      <c r="A509" s="809"/>
      <c r="B509" s="809"/>
      <c r="C509" s="809"/>
      <c r="D509" s="809"/>
      <c r="E509" s="809"/>
      <c r="F509" s="809"/>
      <c r="G509" s="809"/>
      <c r="H509" s="809"/>
      <c r="I509" s="809"/>
      <c r="J509" s="809"/>
      <c r="K509" s="809"/>
      <c r="L509" s="809"/>
      <c r="M509" s="809"/>
      <c r="N509" s="809"/>
      <c r="O509" s="809"/>
      <c r="P509" s="809"/>
      <c r="Q509" s="809"/>
      <c r="R509" s="809"/>
      <c r="S509" s="809"/>
      <c r="T509" s="809"/>
      <c r="U509" s="809"/>
      <c r="V509" s="809"/>
      <c r="W509" s="809"/>
      <c r="X509" s="809"/>
      <c r="Y509" s="809"/>
      <c r="Z509" s="809"/>
      <c r="AA509" s="809"/>
      <c r="AB509" s="809"/>
      <c r="AC509" s="809"/>
      <c r="AD509" s="809"/>
      <c r="AE509" s="809"/>
      <c r="AF509" s="809"/>
      <c r="AG509" s="809"/>
      <c r="AH509" s="809"/>
      <c r="AI509" s="809"/>
      <c r="AJ509" s="809"/>
      <c r="AK509" s="809"/>
      <c r="AL509" s="809"/>
      <c r="AM509" s="809"/>
      <c r="AN509" s="809"/>
      <c r="AO509" s="809"/>
      <c r="AP509" s="809"/>
      <c r="AQ509" s="809"/>
      <c r="AR509" s="809"/>
      <c r="AS509" s="809"/>
      <c r="AT509" s="809"/>
      <c r="AU509" s="809"/>
      <c r="AV509" s="809"/>
      <c r="AW509" s="809"/>
      <c r="AX509" s="809"/>
      <c r="AY509" s="809"/>
      <c r="AZ509" s="809"/>
      <c r="BA509" s="809"/>
      <c r="BB509" s="809"/>
      <c r="BC509" s="809"/>
      <c r="BD509" s="809"/>
      <c r="BE509" s="809"/>
      <c r="BF509" s="809"/>
      <c r="BG509" s="809"/>
      <c r="BH509" s="809"/>
      <c r="BI509" s="809"/>
      <c r="BJ509" s="809"/>
      <c r="BK509" s="809"/>
      <c r="BL509" s="809"/>
      <c r="BM509" s="809"/>
      <c r="BN509" s="809"/>
    </row>
    <row r="510" spans="1:66">
      <c r="A510" s="809"/>
      <c r="B510" s="809"/>
      <c r="C510" s="809"/>
      <c r="D510" s="809"/>
      <c r="E510" s="809"/>
      <c r="F510" s="809"/>
      <c r="G510" s="809"/>
      <c r="H510" s="809"/>
      <c r="I510" s="809"/>
      <c r="J510" s="809"/>
      <c r="K510" s="809"/>
      <c r="L510" s="809"/>
      <c r="M510" s="809"/>
      <c r="N510" s="809"/>
      <c r="O510" s="809"/>
      <c r="P510" s="809"/>
      <c r="Q510" s="809"/>
      <c r="R510" s="809"/>
      <c r="S510" s="809"/>
      <c r="T510" s="809"/>
      <c r="U510" s="809"/>
      <c r="V510" s="809"/>
      <c r="W510" s="809"/>
      <c r="X510" s="809"/>
      <c r="Y510" s="809"/>
      <c r="Z510" s="809"/>
      <c r="AA510" s="809"/>
      <c r="AB510" s="809"/>
      <c r="AC510" s="809"/>
      <c r="AD510" s="809"/>
      <c r="AE510" s="809"/>
      <c r="AF510" s="809"/>
      <c r="AG510" s="809"/>
      <c r="AH510" s="809"/>
      <c r="AI510" s="809"/>
      <c r="AJ510" s="809"/>
      <c r="AK510" s="809"/>
      <c r="AL510" s="809"/>
      <c r="AM510" s="809"/>
      <c r="AN510" s="809"/>
      <c r="AO510" s="809"/>
      <c r="AP510" s="809"/>
      <c r="AQ510" s="809"/>
      <c r="AR510" s="809"/>
      <c r="AS510" s="809"/>
      <c r="AT510" s="809"/>
      <c r="AU510" s="809"/>
      <c r="AV510" s="809"/>
      <c r="AW510" s="809"/>
      <c r="AX510" s="809"/>
      <c r="AY510" s="809"/>
      <c r="AZ510" s="809"/>
      <c r="BA510" s="809"/>
      <c r="BB510" s="809"/>
      <c r="BC510" s="809"/>
      <c r="BD510" s="809"/>
      <c r="BE510" s="809"/>
      <c r="BF510" s="809"/>
      <c r="BG510" s="809"/>
      <c r="BH510" s="809"/>
      <c r="BI510" s="809"/>
      <c r="BJ510" s="809"/>
      <c r="BK510" s="809"/>
      <c r="BL510" s="809"/>
      <c r="BM510" s="809"/>
      <c r="BN510" s="809"/>
    </row>
    <row r="511" spans="1:66">
      <c r="A511" s="809"/>
      <c r="B511" s="809"/>
      <c r="C511" s="809"/>
      <c r="D511" s="809"/>
      <c r="E511" s="809"/>
      <c r="F511" s="809"/>
      <c r="G511" s="809"/>
      <c r="H511" s="809"/>
      <c r="I511" s="809"/>
      <c r="J511" s="809"/>
      <c r="K511" s="809"/>
      <c r="L511" s="809"/>
      <c r="M511" s="809"/>
      <c r="N511" s="809"/>
      <c r="O511" s="809"/>
      <c r="P511" s="809"/>
      <c r="Q511" s="809"/>
      <c r="R511" s="809"/>
      <c r="S511" s="809"/>
      <c r="T511" s="809"/>
      <c r="U511" s="809"/>
      <c r="V511" s="809"/>
      <c r="W511" s="809"/>
      <c r="X511" s="809"/>
      <c r="Y511" s="809"/>
      <c r="Z511" s="809"/>
      <c r="AA511" s="809"/>
      <c r="AB511" s="809"/>
      <c r="AC511" s="809"/>
      <c r="AD511" s="809"/>
      <c r="AE511" s="809"/>
      <c r="AF511" s="809"/>
      <c r="AG511" s="809"/>
      <c r="AH511" s="809"/>
      <c r="AI511" s="809"/>
      <c r="AJ511" s="809"/>
      <c r="AK511" s="809"/>
      <c r="AL511" s="809"/>
      <c r="AM511" s="809"/>
      <c r="AN511" s="809"/>
      <c r="AO511" s="809"/>
      <c r="AP511" s="809"/>
      <c r="AQ511" s="809"/>
      <c r="AR511" s="809"/>
      <c r="AS511" s="809"/>
      <c r="AT511" s="809"/>
      <c r="AU511" s="809"/>
      <c r="AV511" s="809"/>
      <c r="AW511" s="809"/>
      <c r="AX511" s="809"/>
      <c r="AY511" s="809"/>
      <c r="AZ511" s="809"/>
      <c r="BA511" s="809"/>
      <c r="BB511" s="809"/>
      <c r="BC511" s="809"/>
      <c r="BD511" s="809"/>
      <c r="BE511" s="809"/>
      <c r="BF511" s="809"/>
      <c r="BG511" s="809"/>
      <c r="BH511" s="809"/>
      <c r="BI511" s="809"/>
      <c r="BJ511" s="809"/>
      <c r="BK511" s="809"/>
      <c r="BL511" s="809"/>
      <c r="BM511" s="809"/>
      <c r="BN511" s="809"/>
    </row>
    <row r="512" spans="1:66">
      <c r="A512" s="809"/>
      <c r="B512" s="809"/>
      <c r="C512" s="809"/>
      <c r="D512" s="809"/>
      <c r="E512" s="809"/>
      <c r="F512" s="809"/>
      <c r="G512" s="809"/>
      <c r="H512" s="809"/>
      <c r="I512" s="809"/>
      <c r="J512" s="809"/>
      <c r="K512" s="809"/>
      <c r="L512" s="809"/>
      <c r="M512" s="809"/>
      <c r="N512" s="809"/>
      <c r="O512" s="809"/>
      <c r="P512" s="809"/>
      <c r="Q512" s="809"/>
      <c r="R512" s="809"/>
      <c r="S512" s="809"/>
      <c r="T512" s="809"/>
      <c r="U512" s="809"/>
      <c r="V512" s="809"/>
      <c r="W512" s="809"/>
      <c r="X512" s="809"/>
      <c r="Y512" s="809"/>
      <c r="Z512" s="809"/>
      <c r="AA512" s="809"/>
      <c r="AB512" s="809"/>
      <c r="AC512" s="809"/>
      <c r="AD512" s="809"/>
      <c r="AE512" s="809"/>
      <c r="AF512" s="809"/>
      <c r="AG512" s="809"/>
      <c r="AH512" s="809"/>
      <c r="AI512" s="809"/>
      <c r="AJ512" s="809"/>
      <c r="AK512" s="809"/>
      <c r="AL512" s="809"/>
      <c r="AM512" s="809"/>
      <c r="AN512" s="809"/>
      <c r="AO512" s="809"/>
      <c r="AP512" s="809"/>
      <c r="AQ512" s="809"/>
      <c r="AR512" s="809"/>
      <c r="AS512" s="809"/>
      <c r="AT512" s="809"/>
      <c r="AU512" s="809"/>
      <c r="AV512" s="809"/>
      <c r="AW512" s="809"/>
      <c r="AX512" s="809"/>
      <c r="AY512" s="809"/>
      <c r="AZ512" s="809"/>
      <c r="BA512" s="809"/>
      <c r="BB512" s="809"/>
      <c r="BC512" s="809"/>
      <c r="BD512" s="809"/>
      <c r="BE512" s="809"/>
      <c r="BF512" s="809"/>
      <c r="BG512" s="809"/>
      <c r="BH512" s="809"/>
      <c r="BI512" s="809"/>
      <c r="BJ512" s="809"/>
      <c r="BK512" s="809"/>
      <c r="BL512" s="809"/>
      <c r="BM512" s="809"/>
      <c r="BN512" s="809"/>
    </row>
    <row r="513" spans="1:66">
      <c r="A513" s="809"/>
      <c r="B513" s="809"/>
      <c r="C513" s="809"/>
      <c r="D513" s="809"/>
      <c r="E513" s="809"/>
      <c r="F513" s="809"/>
      <c r="G513" s="809"/>
      <c r="H513" s="809"/>
      <c r="I513" s="809"/>
      <c r="J513" s="809"/>
      <c r="K513" s="809"/>
      <c r="L513" s="809"/>
      <c r="M513" s="809"/>
      <c r="N513" s="809"/>
      <c r="O513" s="809"/>
      <c r="P513" s="809"/>
      <c r="Q513" s="809"/>
      <c r="R513" s="809"/>
      <c r="S513" s="809"/>
      <c r="T513" s="809"/>
      <c r="U513" s="809"/>
      <c r="V513" s="809"/>
      <c r="W513" s="809"/>
      <c r="X513" s="809"/>
      <c r="Y513" s="809"/>
      <c r="Z513" s="809"/>
      <c r="AA513" s="809"/>
      <c r="AB513" s="809"/>
      <c r="AC513" s="809"/>
      <c r="AD513" s="809"/>
      <c r="AE513" s="809"/>
      <c r="AF513" s="809"/>
      <c r="AG513" s="809"/>
      <c r="AH513" s="809"/>
      <c r="AI513" s="809"/>
      <c r="AJ513" s="809"/>
      <c r="AK513" s="809"/>
      <c r="AL513" s="809"/>
      <c r="AM513" s="809"/>
      <c r="AN513" s="809"/>
      <c r="AO513" s="809"/>
      <c r="AP513" s="809"/>
      <c r="AQ513" s="809"/>
      <c r="AR513" s="809"/>
      <c r="AS513" s="809"/>
      <c r="AT513" s="809"/>
      <c r="AU513" s="809"/>
      <c r="AV513" s="809"/>
      <c r="AW513" s="809"/>
      <c r="AX513" s="809"/>
      <c r="AY513" s="809"/>
      <c r="AZ513" s="809"/>
      <c r="BA513" s="809"/>
      <c r="BB513" s="809"/>
      <c r="BC513" s="809"/>
      <c r="BD513" s="809"/>
      <c r="BE513" s="809"/>
      <c r="BF513" s="809"/>
      <c r="BG513" s="809"/>
      <c r="BH513" s="809"/>
      <c r="BI513" s="809"/>
      <c r="BJ513" s="809"/>
      <c r="BK513" s="809"/>
      <c r="BL513" s="809"/>
      <c r="BM513" s="809"/>
      <c r="BN513" s="809"/>
    </row>
    <row r="514" spans="1:66">
      <c r="A514" s="809"/>
      <c r="B514" s="809"/>
      <c r="C514" s="809"/>
      <c r="D514" s="809"/>
      <c r="E514" s="809"/>
      <c r="F514" s="809"/>
      <c r="G514" s="809"/>
      <c r="H514" s="809"/>
      <c r="I514" s="809"/>
      <c r="J514" s="809"/>
      <c r="K514" s="809"/>
      <c r="L514" s="809"/>
      <c r="M514" s="809"/>
      <c r="N514" s="809"/>
      <c r="O514" s="809"/>
      <c r="P514" s="809"/>
      <c r="Q514" s="809"/>
      <c r="R514" s="809"/>
      <c r="S514" s="809"/>
      <c r="T514" s="809"/>
      <c r="U514" s="809"/>
      <c r="V514" s="809"/>
      <c r="W514" s="809"/>
      <c r="X514" s="809"/>
      <c r="Y514" s="809"/>
      <c r="Z514" s="809"/>
      <c r="AA514" s="809"/>
      <c r="AB514" s="809"/>
      <c r="AC514" s="809"/>
      <c r="AD514" s="809"/>
      <c r="AE514" s="809"/>
      <c r="AF514" s="809"/>
      <c r="AG514" s="809"/>
      <c r="AH514" s="809"/>
      <c r="AI514" s="809"/>
      <c r="AJ514" s="809"/>
      <c r="AK514" s="809"/>
      <c r="AL514" s="809"/>
      <c r="AM514" s="809"/>
      <c r="AN514" s="809"/>
      <c r="AO514" s="809"/>
      <c r="AP514" s="809"/>
      <c r="AQ514" s="809"/>
      <c r="AR514" s="809"/>
      <c r="AS514" s="809"/>
      <c r="AT514" s="809"/>
      <c r="AU514" s="809"/>
      <c r="AV514" s="809"/>
      <c r="AW514" s="809"/>
      <c r="AX514" s="809"/>
      <c r="AY514" s="809"/>
      <c r="AZ514" s="809"/>
      <c r="BA514" s="809"/>
      <c r="BB514" s="809"/>
      <c r="BC514" s="809"/>
      <c r="BD514" s="809"/>
      <c r="BE514" s="809"/>
      <c r="BF514" s="809"/>
      <c r="BG514" s="809"/>
      <c r="BH514" s="809"/>
      <c r="BI514" s="809"/>
      <c r="BJ514" s="809"/>
      <c r="BK514" s="809"/>
      <c r="BL514" s="809"/>
      <c r="BM514" s="809"/>
      <c r="BN514" s="809"/>
    </row>
    <row r="515" spans="1:66">
      <c r="A515" s="809"/>
      <c r="B515" s="809"/>
      <c r="C515" s="809"/>
      <c r="D515" s="809"/>
      <c r="E515" s="809"/>
      <c r="F515" s="809"/>
      <c r="G515" s="809"/>
      <c r="H515" s="809"/>
      <c r="I515" s="809"/>
      <c r="J515" s="809"/>
      <c r="K515" s="809"/>
      <c r="L515" s="809"/>
      <c r="M515" s="809"/>
      <c r="N515" s="809"/>
      <c r="O515" s="809"/>
      <c r="P515" s="809"/>
      <c r="Q515" s="809"/>
      <c r="R515" s="809"/>
      <c r="S515" s="809"/>
      <c r="T515" s="809"/>
      <c r="U515" s="809"/>
      <c r="V515" s="809"/>
      <c r="W515" s="809"/>
      <c r="X515" s="809"/>
      <c r="Y515" s="809"/>
      <c r="Z515" s="809"/>
      <c r="AA515" s="809"/>
      <c r="AB515" s="809"/>
      <c r="AC515" s="809"/>
      <c r="AD515" s="809"/>
      <c r="AE515" s="809"/>
      <c r="AF515" s="809"/>
      <c r="AG515" s="809"/>
      <c r="AH515" s="809"/>
      <c r="AI515" s="809"/>
      <c r="AJ515" s="809"/>
      <c r="AK515" s="809"/>
      <c r="AL515" s="809"/>
      <c r="AM515" s="809"/>
      <c r="AN515" s="809"/>
      <c r="AO515" s="809"/>
      <c r="AP515" s="809"/>
      <c r="AQ515" s="809"/>
      <c r="AR515" s="809"/>
      <c r="AS515" s="809"/>
      <c r="AT515" s="809"/>
      <c r="AU515" s="809"/>
      <c r="AV515" s="809"/>
      <c r="AW515" s="809"/>
      <c r="AX515" s="809"/>
      <c r="AY515" s="809"/>
      <c r="AZ515" s="809"/>
      <c r="BA515" s="809"/>
      <c r="BB515" s="809"/>
      <c r="BC515" s="809"/>
      <c r="BD515" s="809"/>
      <c r="BE515" s="809"/>
      <c r="BF515" s="809"/>
      <c r="BG515" s="809"/>
      <c r="BH515" s="809"/>
      <c r="BI515" s="809"/>
      <c r="BJ515" s="809"/>
      <c r="BK515" s="809"/>
      <c r="BL515" s="809"/>
      <c r="BM515" s="809"/>
      <c r="BN515" s="809"/>
    </row>
    <row r="516" spans="1:66">
      <c r="A516" s="809"/>
      <c r="B516" s="809"/>
      <c r="C516" s="809"/>
      <c r="D516" s="809"/>
      <c r="E516" s="809"/>
      <c r="F516" s="809"/>
      <c r="G516" s="809"/>
      <c r="H516" s="809"/>
      <c r="I516" s="809"/>
      <c r="J516" s="809"/>
      <c r="K516" s="809"/>
      <c r="L516" s="809"/>
      <c r="M516" s="809"/>
      <c r="N516" s="809"/>
      <c r="O516" s="809"/>
      <c r="P516" s="809"/>
      <c r="Q516" s="809"/>
      <c r="R516" s="809"/>
      <c r="S516" s="809"/>
      <c r="T516" s="809"/>
      <c r="U516" s="809"/>
      <c r="V516" s="809"/>
      <c r="W516" s="809"/>
      <c r="X516" s="809"/>
      <c r="Y516" s="809"/>
      <c r="Z516" s="809"/>
      <c r="AA516" s="809"/>
      <c r="AB516" s="809"/>
      <c r="AC516" s="809"/>
      <c r="AD516" s="809"/>
      <c r="AE516" s="809"/>
      <c r="AF516" s="809"/>
      <c r="AG516" s="809"/>
      <c r="AH516" s="809"/>
      <c r="AI516" s="809"/>
      <c r="AJ516" s="809"/>
      <c r="AK516" s="809"/>
      <c r="AL516" s="809"/>
      <c r="AM516" s="809"/>
      <c r="AN516" s="809"/>
      <c r="AO516" s="809"/>
      <c r="AP516" s="809"/>
      <c r="AQ516" s="809"/>
      <c r="AR516" s="809"/>
      <c r="AS516" s="809"/>
      <c r="AT516" s="809"/>
      <c r="AU516" s="809"/>
      <c r="AV516" s="809"/>
      <c r="AW516" s="809"/>
      <c r="AX516" s="809"/>
      <c r="AY516" s="809"/>
      <c r="AZ516" s="809"/>
      <c r="BA516" s="809"/>
      <c r="BB516" s="809"/>
      <c r="BC516" s="809"/>
      <c r="BD516" s="809"/>
      <c r="BE516" s="809"/>
      <c r="BF516" s="809"/>
      <c r="BG516" s="809"/>
      <c r="BH516" s="809"/>
      <c r="BI516" s="809"/>
      <c r="BJ516" s="809"/>
      <c r="BK516" s="809"/>
      <c r="BL516" s="809"/>
      <c r="BM516" s="809"/>
      <c r="BN516" s="809"/>
    </row>
    <row r="517" spans="1:66">
      <c r="A517" s="809"/>
      <c r="B517" s="809"/>
      <c r="C517" s="809"/>
      <c r="D517" s="809"/>
      <c r="E517" s="809"/>
      <c r="F517" s="809"/>
      <c r="G517" s="809"/>
      <c r="H517" s="809"/>
      <c r="I517" s="809"/>
      <c r="J517" s="809"/>
      <c r="K517" s="809"/>
      <c r="L517" s="809"/>
      <c r="M517" s="809"/>
      <c r="N517" s="809"/>
      <c r="O517" s="809"/>
      <c r="P517" s="809"/>
      <c r="Q517" s="809"/>
      <c r="R517" s="809"/>
      <c r="S517" s="809"/>
      <c r="T517" s="809"/>
      <c r="U517" s="809"/>
      <c r="V517" s="809"/>
      <c r="W517" s="809"/>
      <c r="X517" s="809"/>
      <c r="Y517" s="809"/>
      <c r="Z517" s="809"/>
      <c r="AA517" s="809"/>
      <c r="AB517" s="809"/>
      <c r="AC517" s="809"/>
      <c r="AD517" s="809"/>
      <c r="AE517" s="809"/>
      <c r="AF517" s="809"/>
      <c r="AG517" s="809"/>
      <c r="AH517" s="809"/>
      <c r="AI517" s="809"/>
      <c r="AJ517" s="809"/>
      <c r="AK517" s="809"/>
      <c r="AL517" s="809"/>
      <c r="AM517" s="809"/>
      <c r="AN517" s="809"/>
      <c r="AO517" s="809"/>
      <c r="AP517" s="809"/>
      <c r="AQ517" s="809"/>
      <c r="AR517" s="809"/>
      <c r="AS517" s="809"/>
      <c r="AT517" s="809"/>
      <c r="AU517" s="809"/>
      <c r="AV517" s="809"/>
      <c r="AW517" s="809"/>
      <c r="AX517" s="809"/>
      <c r="AY517" s="809"/>
      <c r="AZ517" s="809"/>
      <c r="BA517" s="809"/>
      <c r="BB517" s="809"/>
      <c r="BC517" s="809"/>
      <c r="BD517" s="809"/>
      <c r="BE517" s="809"/>
      <c r="BF517" s="809"/>
      <c r="BG517" s="809"/>
      <c r="BH517" s="809"/>
      <c r="BI517" s="809"/>
      <c r="BJ517" s="809"/>
      <c r="BK517" s="809"/>
      <c r="BL517" s="809"/>
      <c r="BM517" s="809"/>
      <c r="BN517" s="809"/>
    </row>
    <row r="518" spans="1:66">
      <c r="A518" s="809"/>
      <c r="B518" s="809"/>
      <c r="C518" s="809"/>
      <c r="D518" s="809"/>
      <c r="E518" s="809"/>
      <c r="F518" s="809"/>
      <c r="G518" s="809"/>
      <c r="H518" s="809"/>
      <c r="I518" s="809"/>
      <c r="J518" s="809"/>
      <c r="K518" s="809"/>
      <c r="L518" s="809"/>
      <c r="M518" s="809"/>
      <c r="N518" s="809"/>
      <c r="O518" s="809"/>
      <c r="P518" s="809"/>
      <c r="Q518" s="809"/>
      <c r="R518" s="809"/>
      <c r="S518" s="809"/>
      <c r="T518" s="809"/>
      <c r="U518" s="809"/>
      <c r="V518" s="809"/>
      <c r="W518" s="809"/>
      <c r="X518" s="809"/>
      <c r="Y518" s="809"/>
      <c r="Z518" s="809"/>
      <c r="AA518" s="809"/>
      <c r="AB518" s="809"/>
      <c r="AC518" s="809"/>
      <c r="AD518" s="809"/>
      <c r="AE518" s="809"/>
      <c r="AF518" s="809"/>
      <c r="AG518" s="809"/>
      <c r="AH518" s="809"/>
      <c r="AI518" s="809"/>
      <c r="AJ518" s="809"/>
      <c r="AK518" s="809"/>
      <c r="AL518" s="809"/>
      <c r="AM518" s="809"/>
      <c r="AN518" s="809"/>
      <c r="AO518" s="809"/>
      <c r="AP518" s="809"/>
      <c r="AQ518" s="809"/>
      <c r="AR518" s="809"/>
      <c r="AS518" s="809"/>
      <c r="AT518" s="809"/>
      <c r="AU518" s="809"/>
      <c r="AV518" s="809"/>
      <c r="AW518" s="809"/>
      <c r="AX518" s="809"/>
      <c r="AY518" s="809"/>
      <c r="AZ518" s="809"/>
      <c r="BA518" s="809"/>
      <c r="BB518" s="809"/>
      <c r="BC518" s="809"/>
      <c r="BD518" s="809"/>
      <c r="BE518" s="809"/>
      <c r="BF518" s="809"/>
      <c r="BG518" s="809"/>
      <c r="BH518" s="809"/>
      <c r="BI518" s="809"/>
      <c r="BJ518" s="809"/>
      <c r="BK518" s="809"/>
      <c r="BL518" s="809"/>
      <c r="BM518" s="809"/>
      <c r="BN518" s="809"/>
    </row>
    <row r="519" spans="1:66">
      <c r="A519" s="809"/>
      <c r="B519" s="809"/>
      <c r="C519" s="809"/>
      <c r="D519" s="809"/>
      <c r="E519" s="809"/>
      <c r="F519" s="809"/>
      <c r="G519" s="809"/>
      <c r="H519" s="809"/>
      <c r="I519" s="809"/>
      <c r="J519" s="809"/>
      <c r="K519" s="809"/>
      <c r="L519" s="809"/>
      <c r="M519" s="809"/>
      <c r="N519" s="809"/>
      <c r="O519" s="809"/>
      <c r="P519" s="809"/>
      <c r="Q519" s="809"/>
      <c r="R519" s="809"/>
      <c r="S519" s="809"/>
      <c r="T519" s="809"/>
      <c r="U519" s="809"/>
      <c r="V519" s="809"/>
      <c r="W519" s="809"/>
      <c r="X519" s="809"/>
      <c r="Y519" s="809"/>
      <c r="Z519" s="809"/>
      <c r="AA519" s="809"/>
      <c r="AB519" s="809"/>
      <c r="AC519" s="809"/>
      <c r="AD519" s="809"/>
      <c r="AE519" s="809"/>
      <c r="AF519" s="809"/>
      <c r="AG519" s="809"/>
      <c r="AH519" s="809"/>
      <c r="AI519" s="809"/>
      <c r="AJ519" s="809"/>
      <c r="AK519" s="809"/>
      <c r="AL519" s="809"/>
      <c r="AM519" s="809"/>
      <c r="AN519" s="809"/>
      <c r="AO519" s="809"/>
      <c r="AP519" s="809"/>
      <c r="AQ519" s="809"/>
      <c r="AR519" s="809"/>
      <c r="AS519" s="809"/>
      <c r="AT519" s="809"/>
      <c r="AU519" s="809"/>
      <c r="AV519" s="809"/>
      <c r="AW519" s="809"/>
      <c r="AX519" s="809"/>
      <c r="AY519" s="809"/>
      <c r="AZ519" s="809"/>
      <c r="BA519" s="809"/>
      <c r="BB519" s="809"/>
      <c r="BC519" s="809"/>
      <c r="BD519" s="809"/>
      <c r="BE519" s="809"/>
      <c r="BF519" s="809"/>
      <c r="BG519" s="809"/>
      <c r="BH519" s="809"/>
      <c r="BI519" s="809"/>
      <c r="BJ519" s="809"/>
      <c r="BK519" s="809"/>
      <c r="BL519" s="809"/>
      <c r="BM519" s="809"/>
      <c r="BN519" s="809"/>
    </row>
    <row r="520" spans="1:66">
      <c r="A520" s="809"/>
      <c r="B520" s="809"/>
      <c r="C520" s="809"/>
      <c r="D520" s="809"/>
      <c r="E520" s="809"/>
      <c r="F520" s="809"/>
      <c r="G520" s="809"/>
      <c r="H520" s="809"/>
      <c r="I520" s="809"/>
      <c r="J520" s="809"/>
      <c r="K520" s="809"/>
      <c r="L520" s="809"/>
      <c r="M520" s="809"/>
      <c r="N520" s="809"/>
      <c r="O520" s="809"/>
      <c r="P520" s="809"/>
      <c r="Q520" s="809"/>
      <c r="R520" s="809"/>
      <c r="S520" s="809"/>
      <c r="T520" s="809"/>
      <c r="U520" s="809"/>
      <c r="V520" s="809"/>
      <c r="W520" s="809"/>
      <c r="X520" s="809"/>
      <c r="Y520" s="809"/>
      <c r="Z520" s="809"/>
      <c r="AA520" s="809"/>
      <c r="AB520" s="809"/>
      <c r="AC520" s="809"/>
      <c r="AD520" s="809"/>
      <c r="AE520" s="809"/>
      <c r="AF520" s="809"/>
      <c r="AG520" s="809"/>
      <c r="AH520" s="809"/>
      <c r="AI520" s="809"/>
      <c r="AJ520" s="809"/>
      <c r="AK520" s="809"/>
      <c r="AL520" s="809"/>
      <c r="AM520" s="809"/>
      <c r="AN520" s="809"/>
      <c r="AO520" s="809"/>
      <c r="AP520" s="809"/>
      <c r="AQ520" s="809"/>
      <c r="AR520" s="809"/>
      <c r="AS520" s="809"/>
      <c r="AT520" s="809"/>
      <c r="AU520" s="809"/>
      <c r="AV520" s="809"/>
      <c r="AW520" s="809"/>
      <c r="AX520" s="809"/>
      <c r="AY520" s="809"/>
      <c r="AZ520" s="809"/>
      <c r="BA520" s="809"/>
      <c r="BB520" s="809"/>
      <c r="BC520" s="809"/>
      <c r="BD520" s="809"/>
      <c r="BE520" s="809"/>
      <c r="BF520" s="809"/>
      <c r="BG520" s="809"/>
      <c r="BH520" s="809"/>
      <c r="BI520" s="809"/>
      <c r="BJ520" s="809"/>
      <c r="BK520" s="809"/>
      <c r="BL520" s="809"/>
      <c r="BM520" s="809"/>
      <c r="BN520" s="809"/>
    </row>
    <row r="521" spans="1:66">
      <c r="A521" s="809"/>
      <c r="B521" s="809"/>
      <c r="C521" s="809"/>
      <c r="D521" s="809"/>
      <c r="E521" s="809"/>
      <c r="F521" s="809"/>
      <c r="G521" s="809"/>
      <c r="H521" s="809"/>
      <c r="I521" s="809"/>
      <c r="J521" s="809"/>
      <c r="K521" s="809"/>
      <c r="L521" s="809"/>
      <c r="M521" s="809"/>
      <c r="N521" s="809"/>
      <c r="O521" s="809"/>
      <c r="P521" s="809"/>
      <c r="Q521" s="809"/>
      <c r="R521" s="809"/>
      <c r="S521" s="809"/>
      <c r="T521" s="809"/>
      <c r="U521" s="809"/>
      <c r="V521" s="809"/>
      <c r="W521" s="809"/>
      <c r="X521" s="809"/>
      <c r="Y521" s="809"/>
      <c r="Z521" s="809"/>
      <c r="AA521" s="809"/>
      <c r="AB521" s="809"/>
      <c r="AC521" s="809"/>
      <c r="AD521" s="809"/>
      <c r="AE521" s="809"/>
      <c r="AF521" s="809"/>
      <c r="AG521" s="809"/>
      <c r="AH521" s="809"/>
      <c r="AI521" s="809"/>
      <c r="AJ521" s="809"/>
      <c r="AK521" s="809"/>
      <c r="AL521" s="809"/>
      <c r="AM521" s="809"/>
      <c r="AN521" s="809"/>
      <c r="AO521" s="809"/>
      <c r="AP521" s="809"/>
      <c r="AQ521" s="809"/>
      <c r="AR521" s="809"/>
      <c r="AS521" s="809"/>
      <c r="AT521" s="809"/>
      <c r="AU521" s="809"/>
      <c r="AV521" s="809"/>
      <c r="AW521" s="809"/>
      <c r="AX521" s="809"/>
      <c r="AY521" s="809"/>
      <c r="AZ521" s="809"/>
      <c r="BA521" s="809"/>
      <c r="BB521" s="809"/>
      <c r="BC521" s="809"/>
      <c r="BD521" s="809"/>
      <c r="BE521" s="809"/>
      <c r="BF521" s="809"/>
      <c r="BG521" s="809"/>
      <c r="BH521" s="809"/>
      <c r="BI521" s="809"/>
      <c r="BJ521" s="809"/>
      <c r="BK521" s="809"/>
      <c r="BL521" s="809"/>
      <c r="BM521" s="809"/>
      <c r="BN521" s="809"/>
    </row>
    <row r="522" spans="1:66">
      <c r="A522" s="809"/>
      <c r="B522" s="809"/>
      <c r="C522" s="809"/>
      <c r="D522" s="809"/>
      <c r="E522" s="809"/>
      <c r="F522" s="809"/>
      <c r="G522" s="809"/>
      <c r="H522" s="809"/>
      <c r="I522" s="809"/>
      <c r="J522" s="809"/>
      <c r="K522" s="809"/>
      <c r="L522" s="809"/>
      <c r="M522" s="809"/>
      <c r="N522" s="809"/>
      <c r="O522" s="809"/>
      <c r="P522" s="809"/>
      <c r="Q522" s="809"/>
      <c r="R522" s="809"/>
      <c r="S522" s="809"/>
      <c r="T522" s="809"/>
      <c r="U522" s="809"/>
      <c r="V522" s="809"/>
      <c r="W522" s="809"/>
      <c r="X522" s="809"/>
      <c r="Y522" s="809"/>
      <c r="Z522" s="809"/>
      <c r="AA522" s="809"/>
      <c r="AB522" s="809"/>
      <c r="AC522" s="809"/>
      <c r="AD522" s="809"/>
      <c r="AE522" s="809"/>
      <c r="AF522" s="809"/>
      <c r="AG522" s="809"/>
      <c r="AH522" s="809"/>
      <c r="AI522" s="809"/>
      <c r="AJ522" s="809"/>
      <c r="AK522" s="809"/>
      <c r="AL522" s="809"/>
      <c r="AM522" s="809"/>
      <c r="AN522" s="809"/>
      <c r="AO522" s="809"/>
      <c r="AP522" s="809"/>
      <c r="AQ522" s="809"/>
      <c r="AR522" s="809"/>
      <c r="AS522" s="809"/>
      <c r="AT522" s="809"/>
      <c r="AU522" s="809"/>
      <c r="AV522" s="809"/>
      <c r="AW522" s="809"/>
      <c r="AX522" s="809"/>
      <c r="AY522" s="809"/>
      <c r="AZ522" s="809"/>
      <c r="BA522" s="809"/>
      <c r="BB522" s="809"/>
      <c r="BC522" s="809"/>
      <c r="BD522" s="809"/>
      <c r="BE522" s="809"/>
      <c r="BF522" s="809"/>
      <c r="BG522" s="809"/>
      <c r="BH522" s="809"/>
      <c r="BI522" s="809"/>
      <c r="BJ522" s="809"/>
      <c r="BK522" s="809"/>
      <c r="BL522" s="809"/>
      <c r="BM522" s="809"/>
      <c r="BN522" s="809"/>
    </row>
    <row r="523" spans="1:66">
      <c r="A523" s="809"/>
      <c r="B523" s="809"/>
      <c r="C523" s="809"/>
      <c r="D523" s="809"/>
      <c r="E523" s="809"/>
      <c r="F523" s="809"/>
      <c r="G523" s="809"/>
      <c r="H523" s="809"/>
      <c r="I523" s="809"/>
      <c r="J523" s="809"/>
      <c r="K523" s="809"/>
      <c r="L523" s="809"/>
      <c r="M523" s="809"/>
      <c r="N523" s="809"/>
      <c r="O523" s="809"/>
      <c r="P523" s="809"/>
      <c r="Q523" s="809"/>
      <c r="R523" s="809"/>
      <c r="S523" s="809"/>
      <c r="T523" s="809"/>
      <c r="U523" s="809"/>
      <c r="V523" s="809"/>
      <c r="W523" s="809"/>
      <c r="X523" s="809"/>
      <c r="Y523" s="809"/>
      <c r="Z523" s="809"/>
      <c r="AA523" s="809"/>
      <c r="AB523" s="809"/>
      <c r="AC523" s="809"/>
      <c r="AD523" s="809"/>
      <c r="AE523" s="809"/>
      <c r="AF523" s="809"/>
      <c r="AG523" s="809"/>
      <c r="AH523" s="809"/>
      <c r="AI523" s="809"/>
      <c r="AJ523" s="809"/>
      <c r="AK523" s="809"/>
      <c r="AL523" s="809"/>
      <c r="AM523" s="809"/>
      <c r="AN523" s="809"/>
      <c r="AO523" s="809"/>
      <c r="AP523" s="809"/>
      <c r="AQ523" s="809"/>
      <c r="AR523" s="809"/>
      <c r="AS523" s="809"/>
      <c r="AT523" s="809"/>
      <c r="AU523" s="809"/>
      <c r="AV523" s="809"/>
      <c r="AW523" s="809"/>
      <c r="AX523" s="809"/>
      <c r="AY523" s="809"/>
      <c r="AZ523" s="809"/>
      <c r="BA523" s="809"/>
      <c r="BB523" s="809"/>
      <c r="BC523" s="809"/>
      <c r="BD523" s="809"/>
      <c r="BE523" s="809"/>
      <c r="BF523" s="809"/>
      <c r="BG523" s="809"/>
      <c r="BH523" s="809"/>
      <c r="BI523" s="809"/>
      <c r="BJ523" s="809"/>
      <c r="BK523" s="809"/>
      <c r="BL523" s="809"/>
      <c r="BM523" s="809"/>
      <c r="BN523" s="809"/>
    </row>
    <row r="524" spans="1:66">
      <c r="A524" s="809"/>
      <c r="B524" s="809"/>
      <c r="C524" s="809"/>
      <c r="D524" s="809"/>
      <c r="E524" s="809"/>
      <c r="F524" s="809"/>
      <c r="G524" s="809"/>
      <c r="H524" s="809"/>
      <c r="I524" s="809"/>
      <c r="J524" s="809"/>
      <c r="K524" s="809"/>
      <c r="L524" s="809"/>
      <c r="M524" s="809"/>
      <c r="N524" s="809"/>
      <c r="O524" s="809"/>
      <c r="P524" s="809"/>
      <c r="Q524" s="809"/>
      <c r="R524" s="809"/>
      <c r="S524" s="809"/>
      <c r="T524" s="809"/>
      <c r="U524" s="809"/>
      <c r="V524" s="809"/>
      <c r="W524" s="809"/>
      <c r="X524" s="809"/>
      <c r="Y524" s="809"/>
      <c r="Z524" s="809"/>
      <c r="AA524" s="809"/>
      <c r="AB524" s="809"/>
      <c r="AC524" s="809"/>
      <c r="AD524" s="809"/>
      <c r="AE524" s="809"/>
      <c r="AF524" s="809"/>
      <c r="AG524" s="809"/>
      <c r="AH524" s="809"/>
      <c r="AI524" s="809"/>
      <c r="AJ524" s="809"/>
      <c r="AK524" s="809"/>
      <c r="AL524" s="809"/>
      <c r="AM524" s="809"/>
      <c r="AN524" s="809"/>
      <c r="AO524" s="809"/>
      <c r="AP524" s="809"/>
      <c r="AQ524" s="809"/>
      <c r="AR524" s="809"/>
      <c r="AS524" s="809"/>
      <c r="AT524" s="809"/>
      <c r="AU524" s="809"/>
      <c r="AV524" s="809"/>
      <c r="AW524" s="809"/>
      <c r="AX524" s="809"/>
      <c r="AY524" s="809"/>
      <c r="AZ524" s="809"/>
      <c r="BA524" s="809"/>
      <c r="BB524" s="809"/>
      <c r="BC524" s="809"/>
      <c r="BD524" s="809"/>
      <c r="BE524" s="809"/>
      <c r="BF524" s="809"/>
      <c r="BG524" s="809"/>
      <c r="BH524" s="809"/>
      <c r="BI524" s="809"/>
      <c r="BJ524" s="809"/>
      <c r="BK524" s="809"/>
      <c r="BL524" s="809"/>
      <c r="BM524" s="809"/>
      <c r="BN524" s="809"/>
    </row>
    <row r="525" spans="1:66">
      <c r="A525" s="809"/>
      <c r="B525" s="809"/>
      <c r="C525" s="809"/>
      <c r="D525" s="809"/>
      <c r="E525" s="809"/>
      <c r="F525" s="809"/>
      <c r="G525" s="809"/>
      <c r="H525" s="809"/>
      <c r="I525" s="809"/>
      <c r="J525" s="809"/>
      <c r="K525" s="809"/>
      <c r="L525" s="809"/>
      <c r="M525" s="809"/>
      <c r="N525" s="809"/>
      <c r="O525" s="809"/>
      <c r="P525" s="809"/>
      <c r="Q525" s="809"/>
      <c r="R525" s="809"/>
      <c r="S525" s="809"/>
      <c r="T525" s="809"/>
      <c r="U525" s="809"/>
      <c r="V525" s="809"/>
      <c r="W525" s="809"/>
      <c r="X525" s="809"/>
      <c r="Y525" s="809"/>
      <c r="Z525" s="809"/>
      <c r="AA525" s="809"/>
      <c r="AB525" s="809"/>
      <c r="AC525" s="809"/>
      <c r="AD525" s="809"/>
      <c r="AE525" s="809"/>
      <c r="AF525" s="809"/>
      <c r="AG525" s="809"/>
      <c r="AH525" s="809"/>
      <c r="AI525" s="809"/>
      <c r="AJ525" s="809"/>
      <c r="AK525" s="809"/>
      <c r="AL525" s="809"/>
      <c r="AM525" s="809"/>
      <c r="AN525" s="809"/>
      <c r="AO525" s="809"/>
      <c r="AP525" s="809"/>
      <c r="AQ525" s="809"/>
      <c r="AR525" s="809"/>
      <c r="AS525" s="809"/>
      <c r="AT525" s="809"/>
      <c r="AU525" s="809"/>
      <c r="AV525" s="809"/>
      <c r="AW525" s="809"/>
      <c r="AX525" s="809"/>
      <c r="AY525" s="809"/>
      <c r="AZ525" s="809"/>
      <c r="BA525" s="809"/>
      <c r="BB525" s="809"/>
      <c r="BC525" s="809"/>
      <c r="BD525" s="809"/>
      <c r="BE525" s="809"/>
      <c r="BF525" s="809"/>
      <c r="BG525" s="809"/>
      <c r="BH525" s="809"/>
      <c r="BI525" s="809"/>
      <c r="BJ525" s="809"/>
      <c r="BK525" s="809"/>
      <c r="BL525" s="809"/>
      <c r="BM525" s="809"/>
      <c r="BN525" s="809"/>
    </row>
    <row r="526" spans="1:66">
      <c r="A526" s="809"/>
      <c r="B526" s="809"/>
      <c r="C526" s="809"/>
      <c r="D526" s="809"/>
      <c r="E526" s="809"/>
      <c r="F526" s="809"/>
      <c r="G526" s="809"/>
      <c r="H526" s="809"/>
      <c r="I526" s="809"/>
      <c r="J526" s="809"/>
      <c r="K526" s="809"/>
      <c r="L526" s="809"/>
      <c r="M526" s="809"/>
      <c r="N526" s="809"/>
      <c r="O526" s="809"/>
      <c r="P526" s="809"/>
      <c r="Q526" s="809"/>
      <c r="R526" s="809"/>
      <c r="S526" s="809"/>
      <c r="T526" s="809"/>
      <c r="U526" s="809"/>
      <c r="V526" s="809"/>
      <c r="W526" s="809"/>
      <c r="X526" s="809"/>
      <c r="Y526" s="809"/>
      <c r="Z526" s="809"/>
      <c r="AA526" s="809"/>
      <c r="AB526" s="809"/>
      <c r="AC526" s="809"/>
      <c r="AD526" s="809"/>
      <c r="AE526" s="809"/>
      <c r="AF526" s="809"/>
      <c r="AG526" s="809"/>
      <c r="AH526" s="809"/>
      <c r="AI526" s="809"/>
      <c r="AJ526" s="809"/>
      <c r="AK526" s="809"/>
      <c r="AL526" s="809"/>
      <c r="AM526" s="809"/>
      <c r="AN526" s="809"/>
      <c r="AO526" s="809"/>
      <c r="AP526" s="809"/>
      <c r="AQ526" s="809"/>
      <c r="AR526" s="809"/>
      <c r="AS526" s="809"/>
      <c r="AT526" s="809"/>
      <c r="AU526" s="809"/>
      <c r="AV526" s="809"/>
      <c r="AW526" s="809"/>
      <c r="AX526" s="809"/>
      <c r="AY526" s="809"/>
      <c r="AZ526" s="809"/>
      <c r="BA526" s="809"/>
      <c r="BB526" s="809"/>
      <c r="BC526" s="809"/>
      <c r="BD526" s="809"/>
      <c r="BE526" s="809"/>
      <c r="BF526" s="809"/>
      <c r="BG526" s="809"/>
      <c r="BH526" s="809"/>
      <c r="BI526" s="809"/>
      <c r="BJ526" s="809"/>
      <c r="BK526" s="809"/>
      <c r="BL526" s="809"/>
      <c r="BM526" s="809"/>
      <c r="BN526" s="809"/>
    </row>
    <row r="527" spans="1:66">
      <c r="A527" s="809"/>
      <c r="B527" s="809"/>
      <c r="C527" s="809"/>
      <c r="D527" s="809"/>
      <c r="E527" s="809"/>
      <c r="F527" s="809"/>
      <c r="G527" s="809"/>
      <c r="H527" s="809"/>
      <c r="I527" s="809"/>
      <c r="J527" s="809"/>
      <c r="K527" s="809"/>
      <c r="L527" s="809"/>
      <c r="M527" s="809"/>
      <c r="N527" s="809"/>
      <c r="O527" s="809"/>
      <c r="P527" s="809"/>
      <c r="Q527" s="809"/>
      <c r="R527" s="809"/>
      <c r="S527" s="809"/>
      <c r="T527" s="809"/>
      <c r="U527" s="809"/>
      <c r="V527" s="809"/>
      <c r="W527" s="809"/>
      <c r="X527" s="809"/>
      <c r="Y527" s="809"/>
      <c r="Z527" s="809"/>
      <c r="AA527" s="809"/>
      <c r="AB527" s="809"/>
      <c r="AC527" s="809"/>
      <c r="AD527" s="809"/>
      <c r="AE527" s="809"/>
      <c r="AF527" s="809"/>
      <c r="AG527" s="809"/>
      <c r="AH527" s="809"/>
      <c r="AI527" s="809"/>
      <c r="AJ527" s="809"/>
      <c r="AK527" s="809"/>
      <c r="AL527" s="809"/>
      <c r="AM527" s="809"/>
      <c r="AN527" s="809"/>
      <c r="AO527" s="809"/>
      <c r="AP527" s="809"/>
      <c r="AQ527" s="809"/>
      <c r="AR527" s="809"/>
      <c r="AS527" s="809"/>
      <c r="AT527" s="809"/>
      <c r="AU527" s="809"/>
      <c r="AV527" s="809"/>
      <c r="AW527" s="809"/>
      <c r="AX527" s="809"/>
      <c r="AY527" s="809"/>
      <c r="AZ527" s="809"/>
      <c r="BA527" s="809"/>
      <c r="BB527" s="809"/>
      <c r="BC527" s="809"/>
      <c r="BD527" s="809"/>
      <c r="BE527" s="809"/>
      <c r="BF527" s="809"/>
      <c r="BG527" s="809"/>
      <c r="BH527" s="809"/>
      <c r="BI527" s="809"/>
      <c r="BJ527" s="809"/>
      <c r="BK527" s="809"/>
      <c r="BL527" s="809"/>
      <c r="BM527" s="809"/>
      <c r="BN527" s="809"/>
    </row>
    <row r="528" spans="1:66">
      <c r="A528" s="809"/>
      <c r="B528" s="809"/>
      <c r="C528" s="809"/>
      <c r="D528" s="809"/>
      <c r="E528" s="809"/>
      <c r="F528" s="809"/>
      <c r="G528" s="809"/>
      <c r="H528" s="809"/>
      <c r="I528" s="809"/>
      <c r="J528" s="809"/>
      <c r="K528" s="809"/>
      <c r="L528" s="809"/>
      <c r="M528" s="809"/>
      <c r="N528" s="809"/>
      <c r="O528" s="809"/>
      <c r="P528" s="809"/>
      <c r="Q528" s="809"/>
      <c r="R528" s="809"/>
      <c r="S528" s="809"/>
      <c r="T528" s="809"/>
      <c r="U528" s="809"/>
      <c r="V528" s="809"/>
      <c r="W528" s="809"/>
      <c r="X528" s="809"/>
      <c r="Y528" s="809"/>
      <c r="Z528" s="809"/>
      <c r="AA528" s="809"/>
      <c r="AB528" s="809"/>
      <c r="AC528" s="809"/>
      <c r="AD528" s="809"/>
      <c r="AE528" s="809"/>
      <c r="AF528" s="809"/>
      <c r="AG528" s="809"/>
      <c r="AH528" s="809"/>
      <c r="AI528" s="809"/>
      <c r="AJ528" s="809"/>
      <c r="AK528" s="809"/>
      <c r="AL528" s="809"/>
      <c r="AM528" s="809"/>
      <c r="AN528" s="809"/>
      <c r="AO528" s="809"/>
      <c r="AP528" s="809"/>
      <c r="AQ528" s="809"/>
      <c r="AR528" s="809"/>
      <c r="AS528" s="809"/>
      <c r="AT528" s="809"/>
      <c r="AU528" s="809"/>
      <c r="AV528" s="809"/>
      <c r="AW528" s="809"/>
      <c r="AX528" s="809"/>
      <c r="AY528" s="809"/>
      <c r="AZ528" s="809"/>
      <c r="BA528" s="809"/>
      <c r="BB528" s="809"/>
      <c r="BC528" s="809"/>
      <c r="BD528" s="809"/>
      <c r="BE528" s="809"/>
      <c r="BF528" s="809"/>
      <c r="BG528" s="809"/>
      <c r="BH528" s="809"/>
      <c r="BI528" s="809"/>
      <c r="BJ528" s="809"/>
      <c r="BK528" s="809"/>
      <c r="BL528" s="809"/>
      <c r="BM528" s="809"/>
      <c r="BN528" s="809"/>
    </row>
    <row r="529" spans="1:66">
      <c r="A529" s="809"/>
      <c r="B529" s="809"/>
      <c r="C529" s="809"/>
      <c r="D529" s="809"/>
      <c r="E529" s="809"/>
      <c r="F529" s="809"/>
      <c r="G529" s="809"/>
      <c r="H529" s="809"/>
      <c r="I529" s="809"/>
      <c r="J529" s="809"/>
      <c r="K529" s="809"/>
      <c r="L529" s="809"/>
      <c r="M529" s="809"/>
      <c r="N529" s="809"/>
      <c r="O529" s="809"/>
      <c r="P529" s="809"/>
      <c r="Q529" s="809"/>
      <c r="R529" s="809"/>
      <c r="S529" s="809"/>
      <c r="T529" s="809"/>
      <c r="U529" s="809"/>
      <c r="V529" s="809"/>
      <c r="W529" s="809"/>
      <c r="X529" s="809"/>
      <c r="Y529" s="809"/>
      <c r="Z529" s="809"/>
      <c r="AA529" s="809"/>
      <c r="AB529" s="809"/>
      <c r="AC529" s="809"/>
      <c r="AD529" s="809"/>
      <c r="AE529" s="809"/>
      <c r="AF529" s="809"/>
      <c r="AG529" s="809"/>
      <c r="AH529" s="809"/>
      <c r="AI529" s="809"/>
      <c r="AJ529" s="809"/>
      <c r="AK529" s="809"/>
      <c r="AL529" s="809"/>
      <c r="AM529" s="809"/>
      <c r="AN529" s="809"/>
      <c r="AO529" s="809"/>
      <c r="AP529" s="809"/>
      <c r="AQ529" s="809"/>
      <c r="AR529" s="809"/>
      <c r="AS529" s="809"/>
      <c r="AT529" s="809"/>
      <c r="AU529" s="809"/>
      <c r="AV529" s="809"/>
      <c r="AW529" s="809"/>
      <c r="AX529" s="809"/>
      <c r="AY529" s="809"/>
      <c r="AZ529" s="809"/>
      <c r="BA529" s="809"/>
      <c r="BB529" s="809"/>
      <c r="BC529" s="809"/>
      <c r="BD529" s="809"/>
      <c r="BE529" s="809"/>
      <c r="BF529" s="809"/>
      <c r="BG529" s="809"/>
      <c r="BH529" s="809"/>
      <c r="BI529" s="809"/>
      <c r="BJ529" s="809"/>
      <c r="BK529" s="809"/>
      <c r="BL529" s="809"/>
      <c r="BM529" s="809"/>
      <c r="BN529" s="809"/>
    </row>
    <row r="530" spans="1:66">
      <c r="A530" s="809"/>
      <c r="B530" s="809"/>
      <c r="C530" s="809"/>
      <c r="D530" s="809"/>
      <c r="E530" s="809"/>
      <c r="F530" s="809"/>
      <c r="G530" s="809"/>
      <c r="H530" s="809"/>
      <c r="I530" s="809"/>
      <c r="J530" s="809"/>
      <c r="K530" s="809"/>
      <c r="L530" s="809"/>
      <c r="M530" s="809"/>
      <c r="N530" s="809"/>
      <c r="O530" s="809"/>
      <c r="P530" s="809"/>
      <c r="Q530" s="809"/>
      <c r="R530" s="809"/>
      <c r="S530" s="809"/>
      <c r="T530" s="809"/>
      <c r="U530" s="809"/>
      <c r="V530" s="809"/>
      <c r="W530" s="809"/>
      <c r="X530" s="809"/>
      <c r="Y530" s="809"/>
      <c r="Z530" s="809"/>
      <c r="AA530" s="809"/>
      <c r="AB530" s="809"/>
      <c r="AC530" s="809"/>
      <c r="AD530" s="809"/>
      <c r="AE530" s="809"/>
      <c r="AF530" s="809"/>
      <c r="AG530" s="809"/>
      <c r="AH530" s="809"/>
      <c r="AI530" s="809"/>
      <c r="AJ530" s="809"/>
      <c r="AK530" s="809"/>
      <c r="AL530" s="809"/>
      <c r="AM530" s="809"/>
      <c r="AN530" s="809"/>
      <c r="AO530" s="809"/>
      <c r="AP530" s="809"/>
      <c r="AQ530" s="809"/>
      <c r="AR530" s="809"/>
      <c r="AS530" s="809"/>
      <c r="AT530" s="809"/>
      <c r="AU530" s="809"/>
      <c r="AV530" s="809"/>
      <c r="AW530" s="809"/>
      <c r="AX530" s="809"/>
      <c r="AY530" s="809"/>
      <c r="AZ530" s="809"/>
      <c r="BA530" s="809"/>
      <c r="BB530" s="809"/>
      <c r="BC530" s="809"/>
      <c r="BD530" s="809"/>
      <c r="BE530" s="809"/>
      <c r="BF530" s="809"/>
      <c r="BG530" s="809"/>
      <c r="BH530" s="809"/>
      <c r="BI530" s="809"/>
      <c r="BJ530" s="809"/>
      <c r="BK530" s="809"/>
      <c r="BL530" s="809"/>
      <c r="BM530" s="809"/>
      <c r="BN530" s="809"/>
    </row>
    <row r="531" spans="1:66">
      <c r="A531" s="809"/>
      <c r="B531" s="809"/>
      <c r="C531" s="809"/>
      <c r="D531" s="809"/>
      <c r="E531" s="809"/>
      <c r="F531" s="809"/>
      <c r="G531" s="809"/>
      <c r="H531" s="809"/>
      <c r="I531" s="809"/>
      <c r="J531" s="809"/>
      <c r="K531" s="809"/>
      <c r="L531" s="809"/>
      <c r="M531" s="809"/>
      <c r="N531" s="809"/>
      <c r="O531" s="809"/>
      <c r="P531" s="809"/>
      <c r="Q531" s="809"/>
      <c r="R531" s="809"/>
      <c r="S531" s="809"/>
      <c r="T531" s="809"/>
      <c r="U531" s="809"/>
      <c r="V531" s="809"/>
      <c r="W531" s="809"/>
      <c r="X531" s="809"/>
      <c r="Y531" s="809"/>
      <c r="Z531" s="809"/>
      <c r="AA531" s="809"/>
      <c r="AB531" s="809"/>
      <c r="AC531" s="809"/>
      <c r="AD531" s="809"/>
      <c r="AE531" s="809"/>
      <c r="AF531" s="809"/>
      <c r="AG531" s="809"/>
      <c r="AH531" s="809"/>
      <c r="AI531" s="809"/>
      <c r="AJ531" s="809"/>
      <c r="AK531" s="809"/>
      <c r="AL531" s="809"/>
      <c r="AM531" s="809"/>
      <c r="AN531" s="809"/>
      <c r="AO531" s="809"/>
      <c r="AP531" s="809"/>
      <c r="AQ531" s="809"/>
      <c r="AR531" s="809"/>
      <c r="AS531" s="809"/>
      <c r="AT531" s="809"/>
      <c r="AU531" s="809"/>
      <c r="AV531" s="809"/>
      <c r="AW531" s="809"/>
      <c r="AX531" s="809"/>
      <c r="AY531" s="809"/>
      <c r="AZ531" s="809"/>
      <c r="BA531" s="809"/>
      <c r="BB531" s="809"/>
      <c r="BC531" s="809"/>
      <c r="BD531" s="809"/>
      <c r="BE531" s="809"/>
      <c r="BF531" s="809"/>
      <c r="BG531" s="809"/>
      <c r="BH531" s="809"/>
      <c r="BI531" s="809"/>
      <c r="BJ531" s="809"/>
      <c r="BK531" s="809"/>
      <c r="BL531" s="809"/>
      <c r="BM531" s="809"/>
      <c r="BN531" s="809"/>
    </row>
    <row r="532" spans="1:66">
      <c r="A532" s="809"/>
      <c r="B532" s="809"/>
      <c r="C532" s="809"/>
      <c r="D532" s="809"/>
      <c r="E532" s="809"/>
      <c r="F532" s="809"/>
      <c r="G532" s="809"/>
      <c r="H532" s="809"/>
      <c r="I532" s="809"/>
      <c r="J532" s="809"/>
      <c r="K532" s="809"/>
      <c r="L532" s="809"/>
      <c r="M532" s="809"/>
      <c r="N532" s="809"/>
      <c r="O532" s="809"/>
      <c r="P532" s="809"/>
      <c r="Q532" s="809"/>
      <c r="R532" s="809"/>
      <c r="S532" s="809"/>
      <c r="T532" s="809"/>
      <c r="U532" s="809"/>
      <c r="V532" s="809"/>
      <c r="W532" s="809"/>
      <c r="X532" s="809"/>
      <c r="Y532" s="809"/>
      <c r="Z532" s="809"/>
      <c r="AA532" s="809"/>
      <c r="AB532" s="809"/>
      <c r="AC532" s="809"/>
      <c r="AD532" s="809"/>
      <c r="AE532" s="809"/>
      <c r="AF532" s="809"/>
      <c r="AG532" s="809"/>
      <c r="AH532" s="809"/>
      <c r="AI532" s="809"/>
      <c r="AJ532" s="809"/>
      <c r="AK532" s="809"/>
      <c r="AL532" s="809"/>
      <c r="AM532" s="809"/>
      <c r="AN532" s="809"/>
      <c r="AO532" s="809"/>
      <c r="AP532" s="809"/>
      <c r="AQ532" s="809"/>
      <c r="AR532" s="809"/>
      <c r="AS532" s="809"/>
      <c r="AT532" s="809"/>
      <c r="AU532" s="809"/>
      <c r="AV532" s="809"/>
      <c r="AW532" s="809"/>
      <c r="AX532" s="809"/>
      <c r="AY532" s="809"/>
      <c r="AZ532" s="809"/>
      <c r="BA532" s="809"/>
      <c r="BB532" s="809"/>
      <c r="BC532" s="809"/>
      <c r="BD532" s="809"/>
      <c r="BE532" s="809"/>
      <c r="BF532" s="809"/>
      <c r="BG532" s="809"/>
      <c r="BH532" s="809"/>
      <c r="BI532" s="809"/>
      <c r="BJ532" s="809"/>
      <c r="BK532" s="809"/>
      <c r="BL532" s="809"/>
      <c r="BM532" s="809"/>
      <c r="BN532" s="809"/>
    </row>
    <row r="533" spans="1:66">
      <c r="A533" s="809"/>
      <c r="B533" s="809"/>
      <c r="C533" s="809"/>
      <c r="D533" s="809"/>
      <c r="E533" s="809"/>
      <c r="F533" s="809"/>
      <c r="G533" s="809"/>
      <c r="H533" s="809"/>
      <c r="I533" s="809"/>
      <c r="J533" s="809"/>
      <c r="K533" s="809"/>
      <c r="L533" s="809"/>
      <c r="M533" s="809"/>
      <c r="N533" s="809"/>
      <c r="O533" s="809"/>
      <c r="P533" s="809"/>
      <c r="Q533" s="809"/>
      <c r="R533" s="809"/>
      <c r="S533" s="809"/>
      <c r="T533" s="809"/>
      <c r="U533" s="809"/>
      <c r="V533" s="809"/>
      <c r="W533" s="809"/>
      <c r="X533" s="809"/>
      <c r="Y533" s="809"/>
      <c r="Z533" s="809"/>
      <c r="AA533" s="809"/>
      <c r="AB533" s="809"/>
      <c r="AC533" s="809"/>
      <c r="AD533" s="809"/>
      <c r="AE533" s="809"/>
      <c r="AF533" s="809"/>
      <c r="AG533" s="809"/>
      <c r="AH533" s="809"/>
      <c r="AI533" s="809"/>
      <c r="AJ533" s="809"/>
      <c r="AK533" s="809"/>
      <c r="AL533" s="809"/>
      <c r="AM533" s="809"/>
      <c r="AN533" s="809"/>
      <c r="AO533" s="809"/>
      <c r="AP533" s="809"/>
      <c r="AQ533" s="809"/>
      <c r="AR533" s="809"/>
      <c r="AS533" s="809"/>
      <c r="AT533" s="809"/>
      <c r="AU533" s="809"/>
      <c r="AV533" s="809"/>
      <c r="AW533" s="809"/>
      <c r="AX533" s="809"/>
      <c r="AY533" s="809"/>
      <c r="AZ533" s="809"/>
      <c r="BA533" s="809"/>
      <c r="BB533" s="809"/>
      <c r="BC533" s="809"/>
      <c r="BD533" s="809"/>
      <c r="BE533" s="809"/>
      <c r="BF533" s="809"/>
      <c r="BG533" s="809"/>
      <c r="BH533" s="809"/>
      <c r="BI533" s="809"/>
      <c r="BJ533" s="809"/>
      <c r="BK533" s="809"/>
      <c r="BL533" s="809"/>
      <c r="BM533" s="809"/>
      <c r="BN533" s="809"/>
    </row>
    <row r="534" spans="1:66">
      <c r="A534" s="809"/>
      <c r="B534" s="809"/>
      <c r="C534" s="809"/>
      <c r="D534" s="809"/>
      <c r="E534" s="809"/>
      <c r="F534" s="809"/>
      <c r="G534" s="809"/>
      <c r="H534" s="809"/>
      <c r="I534" s="809"/>
      <c r="J534" s="809"/>
      <c r="K534" s="809"/>
      <c r="L534" s="809"/>
      <c r="M534" s="809"/>
      <c r="N534" s="809"/>
      <c r="O534" s="809"/>
      <c r="P534" s="809"/>
      <c r="Q534" s="809"/>
      <c r="R534" s="809"/>
      <c r="S534" s="809"/>
      <c r="T534" s="809"/>
      <c r="U534" s="809"/>
      <c r="V534" s="809"/>
      <c r="W534" s="809"/>
      <c r="X534" s="809"/>
      <c r="Y534" s="809"/>
      <c r="Z534" s="809"/>
      <c r="AA534" s="809"/>
      <c r="AB534" s="809"/>
      <c r="AC534" s="809"/>
      <c r="AD534" s="809"/>
      <c r="AE534" s="809"/>
      <c r="AF534" s="809"/>
      <c r="AG534" s="809"/>
      <c r="AH534" s="809"/>
      <c r="AI534" s="809"/>
      <c r="AJ534" s="809"/>
      <c r="AK534" s="809"/>
      <c r="AL534" s="809"/>
      <c r="AM534" s="809"/>
      <c r="AN534" s="809"/>
      <c r="AO534" s="809"/>
      <c r="AP534" s="809"/>
      <c r="AQ534" s="809"/>
      <c r="AR534" s="809"/>
      <c r="AS534" s="809"/>
      <c r="AT534" s="809"/>
      <c r="AU534" s="809"/>
      <c r="AV534" s="809"/>
      <c r="AW534" s="809"/>
      <c r="AX534" s="809"/>
      <c r="AY534" s="809"/>
      <c r="AZ534" s="809"/>
      <c r="BA534" s="809"/>
      <c r="BB534" s="809"/>
      <c r="BC534" s="809"/>
      <c r="BD534" s="809"/>
      <c r="BE534" s="809"/>
      <c r="BF534" s="809"/>
      <c r="BG534" s="809"/>
      <c r="BH534" s="809"/>
      <c r="BI534" s="809"/>
      <c r="BJ534" s="809"/>
      <c r="BK534" s="809"/>
      <c r="BL534" s="809"/>
      <c r="BM534" s="809"/>
      <c r="BN534" s="809"/>
    </row>
    <row r="535" spans="1:66">
      <c r="A535" s="809"/>
      <c r="B535" s="809"/>
      <c r="C535" s="809"/>
      <c r="D535" s="809"/>
      <c r="E535" s="809"/>
      <c r="F535" s="809"/>
      <c r="G535" s="809"/>
      <c r="H535" s="809"/>
      <c r="I535" s="809"/>
      <c r="J535" s="809"/>
      <c r="K535" s="809"/>
      <c r="L535" s="809"/>
      <c r="M535" s="809"/>
      <c r="N535" s="809"/>
      <c r="O535" s="809"/>
      <c r="P535" s="809"/>
      <c r="Q535" s="809"/>
      <c r="R535" s="809"/>
      <c r="S535" s="809"/>
      <c r="T535" s="809"/>
      <c r="U535" s="809"/>
      <c r="V535" s="809"/>
      <c r="W535" s="809"/>
      <c r="X535" s="809"/>
      <c r="Y535" s="809"/>
      <c r="Z535" s="809"/>
      <c r="AA535" s="809"/>
      <c r="AB535" s="809"/>
      <c r="AC535" s="809"/>
      <c r="AD535" s="809"/>
      <c r="AE535" s="809"/>
      <c r="AF535" s="809"/>
      <c r="AG535" s="809"/>
      <c r="AH535" s="809"/>
      <c r="AI535" s="809"/>
      <c r="AJ535" s="809"/>
      <c r="AK535" s="809"/>
      <c r="AL535" s="809"/>
      <c r="AM535" s="809"/>
      <c r="AN535" s="809"/>
      <c r="AO535" s="809"/>
      <c r="AP535" s="809"/>
      <c r="AQ535" s="809"/>
      <c r="AR535" s="809"/>
      <c r="AS535" s="809"/>
      <c r="AT535" s="809"/>
      <c r="AU535" s="809"/>
      <c r="AV535" s="809"/>
      <c r="AW535" s="809"/>
      <c r="AX535" s="809"/>
      <c r="AY535" s="809"/>
      <c r="AZ535" s="809"/>
      <c r="BA535" s="809"/>
      <c r="BB535" s="809"/>
      <c r="BC535" s="809"/>
      <c r="BD535" s="809"/>
      <c r="BE535" s="809"/>
      <c r="BF535" s="809"/>
      <c r="BG535" s="809"/>
      <c r="BH535" s="809"/>
      <c r="BI535" s="809"/>
      <c r="BJ535" s="809"/>
      <c r="BK535" s="809"/>
      <c r="BL535" s="809"/>
      <c r="BM535" s="809"/>
      <c r="BN535" s="809"/>
    </row>
    <row r="536" spans="1:66">
      <c r="A536" s="809"/>
      <c r="B536" s="809"/>
      <c r="C536" s="809"/>
      <c r="D536" s="809"/>
      <c r="E536" s="809"/>
      <c r="F536" s="809"/>
      <c r="G536" s="809"/>
      <c r="H536" s="809"/>
      <c r="I536" s="809"/>
      <c r="J536" s="809"/>
      <c r="K536" s="809"/>
      <c r="L536" s="809"/>
      <c r="M536" s="809"/>
      <c r="N536" s="809"/>
      <c r="O536" s="809"/>
      <c r="P536" s="809"/>
      <c r="Q536" s="809"/>
      <c r="R536" s="809"/>
      <c r="S536" s="809"/>
      <c r="T536" s="809"/>
      <c r="U536" s="809"/>
      <c r="V536" s="809"/>
      <c r="W536" s="809"/>
      <c r="X536" s="809"/>
      <c r="Y536" s="809"/>
      <c r="Z536" s="809"/>
      <c r="AA536" s="809"/>
      <c r="AB536" s="809"/>
      <c r="AC536" s="809"/>
      <c r="AD536" s="809"/>
      <c r="AE536" s="809"/>
      <c r="AF536" s="809"/>
      <c r="AG536" s="809"/>
      <c r="AH536" s="809"/>
      <c r="AI536" s="809"/>
      <c r="AJ536" s="809"/>
      <c r="AK536" s="809"/>
      <c r="AL536" s="809"/>
      <c r="AM536" s="809"/>
      <c r="AN536" s="809"/>
      <c r="AO536" s="809"/>
      <c r="AP536" s="809"/>
      <c r="AQ536" s="809"/>
      <c r="AR536" s="809"/>
      <c r="AS536" s="809"/>
      <c r="AT536" s="809"/>
      <c r="AU536" s="809"/>
      <c r="AV536" s="809"/>
      <c r="AW536" s="809"/>
      <c r="AX536" s="809"/>
      <c r="AY536" s="809"/>
      <c r="AZ536" s="809"/>
      <c r="BA536" s="809"/>
      <c r="BB536" s="809"/>
      <c r="BC536" s="809"/>
      <c r="BD536" s="809"/>
      <c r="BE536" s="809"/>
      <c r="BF536" s="809"/>
      <c r="BG536" s="809"/>
      <c r="BH536" s="809"/>
      <c r="BI536" s="809"/>
      <c r="BJ536" s="809"/>
      <c r="BK536" s="809"/>
      <c r="BL536" s="809"/>
      <c r="BM536" s="809"/>
      <c r="BN536" s="809"/>
    </row>
    <row r="537" spans="1:66">
      <c r="A537" s="809"/>
      <c r="B537" s="809"/>
      <c r="C537" s="809"/>
      <c r="D537" s="809"/>
      <c r="E537" s="809"/>
      <c r="F537" s="809"/>
      <c r="G537" s="809"/>
      <c r="H537" s="809"/>
      <c r="I537" s="809"/>
      <c r="J537" s="809"/>
      <c r="K537" s="809"/>
      <c r="L537" s="809"/>
      <c r="M537" s="809"/>
      <c r="N537" s="809"/>
      <c r="O537" s="809"/>
      <c r="P537" s="809"/>
      <c r="Q537" s="809"/>
      <c r="R537" s="809"/>
      <c r="S537" s="809"/>
      <c r="T537" s="809"/>
      <c r="U537" s="809"/>
      <c r="V537" s="809"/>
      <c r="W537" s="809"/>
      <c r="X537" s="809"/>
      <c r="Y537" s="809"/>
      <c r="Z537" s="809"/>
      <c r="AA537" s="809"/>
      <c r="AB537" s="809"/>
      <c r="AC537" s="809"/>
      <c r="AD537" s="809"/>
      <c r="AE537" s="809"/>
      <c r="AF537" s="809"/>
      <c r="AG537" s="809"/>
      <c r="AH537" s="809"/>
      <c r="AI537" s="809"/>
      <c r="AJ537" s="809"/>
      <c r="AK537" s="809"/>
      <c r="AL537" s="809"/>
      <c r="AM537" s="809"/>
      <c r="AN537" s="809"/>
      <c r="AO537" s="809"/>
      <c r="AP537" s="809"/>
      <c r="AQ537" s="809"/>
      <c r="AR537" s="809"/>
      <c r="AS537" s="809"/>
      <c r="AT537" s="809"/>
      <c r="AU537" s="809"/>
      <c r="AV537" s="809"/>
      <c r="AW537" s="809"/>
      <c r="AX537" s="809"/>
      <c r="AY537" s="809"/>
      <c r="AZ537" s="809"/>
      <c r="BA537" s="809"/>
      <c r="BB537" s="809"/>
      <c r="BC537" s="809"/>
      <c r="BD537" s="809"/>
      <c r="BE537" s="809"/>
      <c r="BF537" s="809"/>
      <c r="BG537" s="809"/>
      <c r="BH537" s="809"/>
      <c r="BI537" s="809"/>
      <c r="BJ537" s="809"/>
      <c r="BK537" s="809"/>
      <c r="BL537" s="809"/>
      <c r="BM537" s="809"/>
      <c r="BN537" s="809"/>
    </row>
    <row r="538" spans="1:66">
      <c r="A538" s="809"/>
      <c r="B538" s="809"/>
      <c r="C538" s="809"/>
      <c r="D538" s="809"/>
      <c r="E538" s="809"/>
      <c r="F538" s="809"/>
      <c r="G538" s="809"/>
      <c r="H538" s="809"/>
      <c r="I538" s="809"/>
      <c r="J538" s="809"/>
      <c r="K538" s="809"/>
      <c r="L538" s="809"/>
      <c r="M538" s="809"/>
      <c r="N538" s="809"/>
      <c r="O538" s="809"/>
      <c r="P538" s="809"/>
      <c r="Q538" s="809"/>
      <c r="R538" s="809"/>
      <c r="S538" s="809"/>
      <c r="T538" s="809"/>
      <c r="U538" s="809"/>
      <c r="V538" s="809"/>
      <c r="W538" s="809"/>
      <c r="X538" s="809"/>
      <c r="Y538" s="809"/>
      <c r="Z538" s="809"/>
      <c r="AA538" s="809"/>
      <c r="AB538" s="809"/>
      <c r="AC538" s="809"/>
      <c r="AD538" s="809"/>
      <c r="AE538" s="809"/>
      <c r="AF538" s="809"/>
      <c r="AG538" s="809"/>
      <c r="AH538" s="809"/>
      <c r="AI538" s="809"/>
      <c r="AJ538" s="809"/>
      <c r="AK538" s="809"/>
      <c r="AL538" s="809"/>
      <c r="AM538" s="809"/>
      <c r="AN538" s="809"/>
      <c r="AO538" s="809"/>
      <c r="AP538" s="809"/>
      <c r="AQ538" s="809"/>
      <c r="AR538" s="809"/>
      <c r="AS538" s="809"/>
      <c r="AT538" s="809"/>
      <c r="AU538" s="809"/>
      <c r="AV538" s="809"/>
      <c r="AW538" s="809"/>
      <c r="AX538" s="809"/>
      <c r="AY538" s="809"/>
      <c r="AZ538" s="809"/>
      <c r="BA538" s="809"/>
      <c r="BB538" s="809"/>
      <c r="BC538" s="809"/>
      <c r="BD538" s="809"/>
      <c r="BE538" s="809"/>
      <c r="BF538" s="809"/>
      <c r="BG538" s="809"/>
      <c r="BH538" s="809"/>
      <c r="BI538" s="809"/>
      <c r="BJ538" s="809"/>
      <c r="BK538" s="809"/>
      <c r="BL538" s="809"/>
      <c r="BM538" s="809"/>
      <c r="BN538" s="809"/>
    </row>
    <row r="539" spans="1:66">
      <c r="A539" s="809"/>
      <c r="B539" s="809"/>
      <c r="C539" s="809"/>
      <c r="D539" s="809"/>
      <c r="E539" s="809"/>
      <c r="F539" s="809"/>
      <c r="G539" s="809"/>
      <c r="H539" s="809"/>
      <c r="I539" s="809"/>
      <c r="J539" s="809"/>
      <c r="K539" s="809"/>
      <c r="L539" s="809"/>
      <c r="M539" s="809"/>
      <c r="N539" s="809"/>
      <c r="O539" s="809"/>
      <c r="P539" s="809"/>
      <c r="Q539" s="809"/>
      <c r="R539" s="809"/>
      <c r="S539" s="809"/>
      <c r="T539" s="809"/>
      <c r="U539" s="809"/>
      <c r="V539" s="809"/>
      <c r="W539" s="809"/>
      <c r="X539" s="809"/>
      <c r="Y539" s="809"/>
      <c r="Z539" s="809"/>
      <c r="AA539" s="809"/>
      <c r="AB539" s="809"/>
      <c r="AC539" s="809"/>
      <c r="AD539" s="809"/>
      <c r="AE539" s="809"/>
      <c r="AF539" s="809"/>
      <c r="AG539" s="809"/>
      <c r="AH539" s="809"/>
      <c r="AI539" s="809"/>
      <c r="AJ539" s="809"/>
      <c r="AK539" s="809"/>
      <c r="AL539" s="809"/>
      <c r="AM539" s="809"/>
      <c r="AN539" s="809"/>
      <c r="AO539" s="809"/>
      <c r="AP539" s="809"/>
      <c r="AQ539" s="809"/>
      <c r="AR539" s="809"/>
      <c r="AS539" s="809"/>
      <c r="AT539" s="809"/>
      <c r="AU539" s="809"/>
      <c r="AV539" s="809"/>
      <c r="AW539" s="809"/>
      <c r="AX539" s="809"/>
      <c r="AY539" s="809"/>
      <c r="AZ539" s="809"/>
      <c r="BA539" s="809"/>
      <c r="BB539" s="809"/>
      <c r="BC539" s="809"/>
      <c r="BD539" s="809"/>
      <c r="BE539" s="809"/>
      <c r="BF539" s="809"/>
      <c r="BG539" s="809"/>
      <c r="BH539" s="809"/>
      <c r="BI539" s="809"/>
      <c r="BJ539" s="809"/>
      <c r="BK539" s="809"/>
      <c r="BL539" s="809"/>
      <c r="BM539" s="809"/>
      <c r="BN539" s="809"/>
    </row>
    <row r="540" spans="1:66">
      <c r="A540" s="809"/>
      <c r="B540" s="809"/>
      <c r="C540" s="809"/>
      <c r="D540" s="809"/>
      <c r="E540" s="809"/>
      <c r="F540" s="809"/>
      <c r="G540" s="809"/>
      <c r="H540" s="809"/>
      <c r="I540" s="809"/>
      <c r="J540" s="809"/>
      <c r="K540" s="809"/>
      <c r="L540" s="809"/>
      <c r="M540" s="809"/>
      <c r="N540" s="809"/>
      <c r="O540" s="809"/>
      <c r="P540" s="809"/>
      <c r="Q540" s="809"/>
      <c r="R540" s="809"/>
      <c r="S540" s="809"/>
      <c r="T540" s="809"/>
      <c r="U540" s="809"/>
      <c r="V540" s="809"/>
      <c r="W540" s="809"/>
      <c r="X540" s="809"/>
      <c r="Y540" s="809"/>
      <c r="Z540" s="809"/>
      <c r="AA540" s="809"/>
      <c r="AB540" s="809"/>
      <c r="AC540" s="809"/>
      <c r="AD540" s="809"/>
      <c r="AE540" s="809"/>
      <c r="AF540" s="809"/>
      <c r="AG540" s="809"/>
      <c r="AH540" s="809"/>
      <c r="AI540" s="809"/>
      <c r="AJ540" s="809"/>
      <c r="AK540" s="809"/>
      <c r="AL540" s="809"/>
      <c r="AM540" s="809"/>
      <c r="AN540" s="809"/>
      <c r="AO540" s="809"/>
      <c r="AP540" s="809"/>
      <c r="AQ540" s="809"/>
      <c r="AR540" s="809"/>
      <c r="AS540" s="809"/>
      <c r="AT540" s="809"/>
      <c r="AU540" s="809"/>
      <c r="AV540" s="809"/>
      <c r="AW540" s="809"/>
      <c r="AX540" s="809"/>
      <c r="AY540" s="809"/>
      <c r="AZ540" s="809"/>
      <c r="BA540" s="809"/>
      <c r="BB540" s="809"/>
      <c r="BC540" s="809"/>
      <c r="BD540" s="809"/>
      <c r="BE540" s="809"/>
      <c r="BF540" s="809"/>
      <c r="BG540" s="809"/>
      <c r="BH540" s="809"/>
      <c r="BI540" s="809"/>
      <c r="BJ540" s="809"/>
      <c r="BK540" s="809"/>
      <c r="BL540" s="809"/>
      <c r="BM540" s="809"/>
      <c r="BN540" s="809"/>
    </row>
    <row r="541" spans="1:66">
      <c r="A541" s="809"/>
      <c r="B541" s="809"/>
      <c r="C541" s="809"/>
      <c r="D541" s="809"/>
      <c r="E541" s="809"/>
      <c r="F541" s="809"/>
      <c r="G541" s="809"/>
      <c r="H541" s="809"/>
      <c r="I541" s="809"/>
      <c r="J541" s="809"/>
      <c r="K541" s="809"/>
      <c r="L541" s="809"/>
      <c r="M541" s="809"/>
      <c r="N541" s="809"/>
      <c r="O541" s="809"/>
      <c r="P541" s="809"/>
      <c r="Q541" s="809"/>
      <c r="R541" s="809"/>
      <c r="S541" s="809"/>
      <c r="T541" s="809"/>
      <c r="U541" s="809"/>
      <c r="V541" s="809"/>
      <c r="W541" s="809"/>
      <c r="X541" s="809"/>
      <c r="Y541" s="809"/>
      <c r="Z541" s="809"/>
      <c r="AA541" s="809"/>
      <c r="AB541" s="809"/>
      <c r="AC541" s="809"/>
      <c r="AD541" s="809"/>
      <c r="AE541" s="809"/>
      <c r="AF541" s="809"/>
      <c r="AG541" s="809"/>
      <c r="AH541" s="809"/>
      <c r="AI541" s="809"/>
      <c r="AJ541" s="809"/>
      <c r="AK541" s="809"/>
      <c r="AL541" s="809"/>
      <c r="AM541" s="809"/>
      <c r="AN541" s="809"/>
      <c r="AO541" s="809"/>
      <c r="AP541" s="809"/>
      <c r="AQ541" s="809"/>
      <c r="AR541" s="809"/>
      <c r="AS541" s="809"/>
      <c r="AT541" s="809"/>
      <c r="AU541" s="809"/>
      <c r="AV541" s="809"/>
      <c r="AW541" s="809"/>
      <c r="AX541" s="809"/>
      <c r="AY541" s="809"/>
      <c r="AZ541" s="809"/>
      <c r="BA541" s="809"/>
      <c r="BB541" s="809"/>
      <c r="BC541" s="809"/>
      <c r="BD541" s="809"/>
      <c r="BE541" s="809"/>
      <c r="BF541" s="809"/>
      <c r="BG541" s="809"/>
      <c r="BH541" s="809"/>
      <c r="BI541" s="809"/>
      <c r="BJ541" s="809"/>
      <c r="BK541" s="809"/>
      <c r="BL541" s="809"/>
      <c r="BM541" s="809"/>
      <c r="BN541" s="809"/>
    </row>
    <row r="542" spans="1:66">
      <c r="A542" s="809"/>
      <c r="B542" s="809"/>
      <c r="C542" s="809"/>
      <c r="D542" s="809"/>
      <c r="E542" s="809"/>
      <c r="F542" s="809"/>
      <c r="G542" s="809"/>
      <c r="H542" s="809"/>
      <c r="I542" s="809"/>
      <c r="J542" s="809"/>
      <c r="K542" s="809"/>
      <c r="L542" s="809"/>
      <c r="M542" s="809"/>
      <c r="N542" s="809"/>
      <c r="O542" s="809"/>
      <c r="P542" s="809"/>
      <c r="Q542" s="809"/>
      <c r="R542" s="809"/>
      <c r="S542" s="809"/>
      <c r="T542" s="809"/>
      <c r="U542" s="809"/>
      <c r="V542" s="809"/>
      <c r="W542" s="809"/>
      <c r="X542" s="809"/>
      <c r="Y542" s="809"/>
      <c r="Z542" s="809"/>
      <c r="AA542" s="809"/>
      <c r="AB542" s="809"/>
      <c r="AC542" s="809"/>
      <c r="AD542" s="809"/>
      <c r="AE542" s="809"/>
      <c r="AF542" s="809"/>
      <c r="AG542" s="809"/>
      <c r="AH542" s="809"/>
      <c r="AI542" s="809"/>
      <c r="AJ542" s="809"/>
      <c r="AK542" s="809"/>
      <c r="AL542" s="809"/>
      <c r="AM542" s="809"/>
      <c r="AN542" s="809"/>
      <c r="AO542" s="809"/>
      <c r="AP542" s="809"/>
      <c r="AQ542" s="809"/>
      <c r="AR542" s="809"/>
      <c r="AS542" s="809"/>
      <c r="AT542" s="809"/>
      <c r="AU542" s="809"/>
      <c r="AV542" s="809"/>
      <c r="AW542" s="809"/>
      <c r="AX542" s="809"/>
      <c r="AY542" s="809"/>
      <c r="AZ542" s="809"/>
      <c r="BA542" s="809"/>
      <c r="BB542" s="809"/>
      <c r="BC542" s="809"/>
      <c r="BD542" s="809"/>
      <c r="BE542" s="809"/>
      <c r="BF542" s="809"/>
      <c r="BG542" s="809"/>
      <c r="BH542" s="809"/>
      <c r="BI542" s="809"/>
      <c r="BJ542" s="809"/>
      <c r="BK542" s="809"/>
      <c r="BL542" s="809"/>
      <c r="BM542" s="809"/>
      <c r="BN542" s="809"/>
    </row>
    <row r="543" spans="1:66">
      <c r="A543" s="809"/>
      <c r="B543" s="809"/>
      <c r="C543" s="809"/>
      <c r="D543" s="809"/>
      <c r="E543" s="809"/>
      <c r="F543" s="809"/>
      <c r="G543" s="809"/>
      <c r="H543" s="809"/>
      <c r="I543" s="809"/>
      <c r="J543" s="809"/>
      <c r="K543" s="809"/>
      <c r="L543" s="809"/>
      <c r="M543" s="809"/>
      <c r="N543" s="809"/>
      <c r="O543" s="809"/>
      <c r="P543" s="809"/>
      <c r="Q543" s="809"/>
      <c r="R543" s="809"/>
      <c r="S543" s="809"/>
      <c r="T543" s="809"/>
      <c r="U543" s="809"/>
      <c r="V543" s="809"/>
      <c r="W543" s="809"/>
      <c r="X543" s="809"/>
      <c r="Y543" s="809"/>
      <c r="Z543" s="809"/>
      <c r="AA543" s="809"/>
      <c r="AB543" s="809"/>
      <c r="AC543" s="809"/>
      <c r="AD543" s="809"/>
      <c r="AE543" s="809"/>
      <c r="AF543" s="809"/>
      <c r="AG543" s="809"/>
      <c r="AH543" s="809"/>
      <c r="AI543" s="809"/>
      <c r="AJ543" s="809"/>
      <c r="AK543" s="809"/>
      <c r="AL543" s="809"/>
      <c r="AM543" s="809"/>
      <c r="AN543" s="809"/>
      <c r="AO543" s="809"/>
      <c r="AP543" s="809"/>
      <c r="AQ543" s="809"/>
      <c r="AR543" s="809"/>
      <c r="AS543" s="809"/>
      <c r="AT543" s="809"/>
      <c r="AU543" s="809"/>
      <c r="AV543" s="809"/>
      <c r="AW543" s="809"/>
      <c r="AX543" s="809"/>
      <c r="AY543" s="809"/>
      <c r="AZ543" s="809"/>
      <c r="BA543" s="809"/>
      <c r="BB543" s="809"/>
      <c r="BC543" s="809"/>
      <c r="BD543" s="809"/>
      <c r="BE543" s="809"/>
      <c r="BF543" s="809"/>
      <c r="BG543" s="809"/>
      <c r="BH543" s="809"/>
      <c r="BI543" s="809"/>
      <c r="BJ543" s="809"/>
      <c r="BK543" s="809"/>
      <c r="BL543" s="809"/>
      <c r="BM543" s="809"/>
      <c r="BN543" s="809"/>
    </row>
    <row r="544" spans="1:66">
      <c r="A544" s="809"/>
      <c r="B544" s="809"/>
      <c r="C544" s="809"/>
      <c r="D544" s="809"/>
      <c r="E544" s="809"/>
      <c r="F544" s="809"/>
      <c r="G544" s="809"/>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09"/>
      <c r="AL544" s="809"/>
      <c r="AM544" s="809"/>
      <c r="AN544" s="809"/>
      <c r="AO544" s="809"/>
      <c r="AP544" s="809"/>
      <c r="AQ544" s="809"/>
      <c r="AR544" s="809"/>
      <c r="AS544" s="809"/>
      <c r="AT544" s="809"/>
      <c r="AU544" s="809"/>
      <c r="AV544" s="809"/>
      <c r="AW544" s="809"/>
      <c r="AX544" s="809"/>
      <c r="AY544" s="809"/>
      <c r="AZ544" s="809"/>
      <c r="BA544" s="809"/>
      <c r="BB544" s="809"/>
      <c r="BC544" s="809"/>
      <c r="BD544" s="809"/>
      <c r="BE544" s="809"/>
      <c r="BF544" s="809"/>
      <c r="BG544" s="809"/>
      <c r="BH544" s="809"/>
      <c r="BI544" s="809"/>
      <c r="BJ544" s="809"/>
      <c r="BK544" s="809"/>
      <c r="BL544" s="809"/>
      <c r="BM544" s="809"/>
      <c r="BN544" s="809"/>
    </row>
    <row r="545" spans="1:66">
      <c r="A545" s="809"/>
      <c r="B545" s="809"/>
      <c r="C545" s="809"/>
      <c r="D545" s="809"/>
      <c r="E545" s="809"/>
      <c r="F545" s="809"/>
      <c r="G545" s="809"/>
      <c r="H545" s="809"/>
      <c r="I545" s="809"/>
      <c r="J545" s="809"/>
      <c r="K545" s="809"/>
      <c r="L545" s="809"/>
      <c r="M545" s="809"/>
      <c r="N545" s="809"/>
      <c r="O545" s="809"/>
      <c r="P545" s="809"/>
      <c r="Q545" s="809"/>
      <c r="R545" s="809"/>
      <c r="S545" s="809"/>
      <c r="T545" s="809"/>
      <c r="U545" s="809"/>
      <c r="V545" s="809"/>
      <c r="W545" s="809"/>
      <c r="X545" s="809"/>
      <c r="Y545" s="809"/>
      <c r="Z545" s="809"/>
      <c r="AA545" s="809"/>
      <c r="AB545" s="809"/>
      <c r="AC545" s="809"/>
      <c r="AD545" s="809"/>
      <c r="AE545" s="809"/>
      <c r="AF545" s="809"/>
      <c r="AG545" s="809"/>
      <c r="AH545" s="809"/>
      <c r="AI545" s="809"/>
      <c r="AJ545" s="809"/>
      <c r="AK545" s="809"/>
      <c r="AL545" s="809"/>
      <c r="AM545" s="809"/>
      <c r="AN545" s="809"/>
      <c r="AO545" s="809"/>
      <c r="AP545" s="809"/>
      <c r="AQ545" s="809"/>
      <c r="AR545" s="809"/>
      <c r="AS545" s="809"/>
      <c r="AT545" s="809"/>
      <c r="AU545" s="809"/>
      <c r="AV545" s="809"/>
      <c r="AW545" s="809"/>
      <c r="AX545" s="809"/>
      <c r="AY545" s="809"/>
      <c r="AZ545" s="809"/>
      <c r="BA545" s="809"/>
      <c r="BB545" s="809"/>
      <c r="BC545" s="809"/>
      <c r="BD545" s="809"/>
      <c r="BE545" s="809"/>
      <c r="BF545" s="809"/>
      <c r="BG545" s="809"/>
      <c r="BH545" s="809"/>
      <c r="BI545" s="809"/>
      <c r="BJ545" s="809"/>
      <c r="BK545" s="809"/>
      <c r="BL545" s="809"/>
      <c r="BM545" s="809"/>
      <c r="BN545" s="809"/>
    </row>
    <row r="546" spans="1:66">
      <c r="A546" s="809"/>
      <c r="B546" s="809"/>
      <c r="C546" s="809"/>
      <c r="D546" s="809"/>
      <c r="E546" s="809"/>
      <c r="F546" s="809"/>
      <c r="G546" s="809"/>
      <c r="H546" s="809"/>
      <c r="I546" s="809"/>
      <c r="J546" s="809"/>
      <c r="K546" s="809"/>
      <c r="L546" s="809"/>
      <c r="M546" s="809"/>
      <c r="N546" s="809"/>
      <c r="O546" s="809"/>
      <c r="P546" s="809"/>
      <c r="Q546" s="809"/>
      <c r="R546" s="809"/>
      <c r="S546" s="809"/>
      <c r="T546" s="809"/>
      <c r="U546" s="809"/>
      <c r="V546" s="809"/>
      <c r="W546" s="809"/>
      <c r="X546" s="809"/>
      <c r="Y546" s="809"/>
      <c r="Z546" s="809"/>
      <c r="AA546" s="809"/>
      <c r="AB546" s="809"/>
      <c r="AC546" s="809"/>
      <c r="AD546" s="809"/>
      <c r="AE546" s="809"/>
      <c r="AF546" s="809"/>
      <c r="AG546" s="809"/>
      <c r="AH546" s="809"/>
      <c r="AI546" s="809"/>
      <c r="AJ546" s="809"/>
      <c r="AK546" s="809"/>
      <c r="AL546" s="809"/>
      <c r="AM546" s="809"/>
      <c r="AN546" s="809"/>
      <c r="AO546" s="809"/>
      <c r="AP546" s="809"/>
      <c r="AQ546" s="809"/>
      <c r="AR546" s="809"/>
      <c r="AS546" s="809"/>
      <c r="AT546" s="809"/>
      <c r="AU546" s="809"/>
      <c r="AV546" s="809"/>
      <c r="AW546" s="809"/>
      <c r="AX546" s="809"/>
      <c r="AY546" s="809"/>
      <c r="AZ546" s="809"/>
      <c r="BA546" s="809"/>
      <c r="BB546" s="809"/>
      <c r="BC546" s="809"/>
      <c r="BD546" s="809"/>
      <c r="BE546" s="809"/>
      <c r="BF546" s="809"/>
      <c r="BG546" s="809"/>
      <c r="BH546" s="809"/>
      <c r="BI546" s="809"/>
      <c r="BJ546" s="809"/>
      <c r="BK546" s="809"/>
      <c r="BL546" s="809"/>
      <c r="BM546" s="809"/>
      <c r="BN546" s="809"/>
    </row>
    <row r="547" spans="1:66">
      <c r="A547" s="809"/>
      <c r="B547" s="809"/>
      <c r="C547" s="809"/>
      <c r="D547" s="809"/>
      <c r="E547" s="809"/>
      <c r="F547" s="809"/>
      <c r="G547" s="809"/>
      <c r="H547" s="809"/>
      <c r="I547" s="809"/>
      <c r="J547" s="809"/>
      <c r="K547" s="809"/>
      <c r="L547" s="809"/>
      <c r="M547" s="809"/>
      <c r="N547" s="809"/>
      <c r="O547" s="809"/>
      <c r="P547" s="809"/>
      <c r="Q547" s="809"/>
      <c r="R547" s="809"/>
      <c r="S547" s="809"/>
      <c r="T547" s="809"/>
      <c r="U547" s="809"/>
      <c r="V547" s="809"/>
      <c r="W547" s="809"/>
      <c r="X547" s="809"/>
      <c r="Y547" s="809"/>
      <c r="Z547" s="809"/>
      <c r="AA547" s="809"/>
      <c r="AB547" s="809"/>
      <c r="AC547" s="809"/>
      <c r="AD547" s="809"/>
      <c r="AE547" s="809"/>
      <c r="AF547" s="809"/>
      <c r="AG547" s="809"/>
      <c r="AH547" s="809"/>
      <c r="AI547" s="809"/>
      <c r="AJ547" s="809"/>
      <c r="AK547" s="809"/>
      <c r="AL547" s="809"/>
      <c r="AM547" s="809"/>
      <c r="AN547" s="809"/>
      <c r="AO547" s="809"/>
      <c r="AP547" s="809"/>
      <c r="AQ547" s="809"/>
      <c r="AR547" s="809"/>
      <c r="AS547" s="809"/>
      <c r="AT547" s="809"/>
      <c r="AU547" s="809"/>
      <c r="AV547" s="809"/>
      <c r="AW547" s="809"/>
      <c r="AX547" s="809"/>
      <c r="AY547" s="809"/>
      <c r="AZ547" s="809"/>
      <c r="BA547" s="809"/>
      <c r="BB547" s="809"/>
      <c r="BC547" s="809"/>
      <c r="BD547" s="809"/>
      <c r="BE547" s="809"/>
      <c r="BF547" s="809"/>
      <c r="BG547" s="809"/>
      <c r="BH547" s="809"/>
      <c r="BI547" s="809"/>
      <c r="BJ547" s="809"/>
      <c r="BK547" s="809"/>
      <c r="BL547" s="809"/>
      <c r="BM547" s="809"/>
      <c r="BN547" s="809"/>
    </row>
    <row r="548" spans="1:66">
      <c r="A548" s="809"/>
      <c r="B548" s="809"/>
      <c r="C548" s="809"/>
      <c r="D548" s="809"/>
      <c r="E548" s="809"/>
      <c r="F548" s="809"/>
      <c r="G548" s="809"/>
      <c r="H548" s="809"/>
      <c r="I548" s="809"/>
      <c r="J548" s="809"/>
      <c r="K548" s="809"/>
      <c r="L548" s="809"/>
      <c r="M548" s="809"/>
      <c r="N548" s="809"/>
      <c r="O548" s="809"/>
      <c r="P548" s="809"/>
      <c r="Q548" s="809"/>
      <c r="R548" s="809"/>
      <c r="S548" s="809"/>
      <c r="T548" s="809"/>
      <c r="U548" s="809"/>
      <c r="V548" s="809"/>
      <c r="W548" s="809"/>
      <c r="X548" s="809"/>
      <c r="Y548" s="809"/>
      <c r="Z548" s="809"/>
      <c r="AA548" s="809"/>
      <c r="AB548" s="809"/>
      <c r="AC548" s="809"/>
      <c r="AD548" s="809"/>
      <c r="AE548" s="809"/>
      <c r="AF548" s="809"/>
      <c r="AG548" s="809"/>
      <c r="AH548" s="809"/>
      <c r="AI548" s="809"/>
      <c r="AJ548" s="809"/>
      <c r="AK548" s="809"/>
      <c r="AL548" s="809"/>
      <c r="AM548" s="809"/>
      <c r="AN548" s="809"/>
      <c r="AO548" s="809"/>
      <c r="AP548" s="809"/>
      <c r="AQ548" s="809"/>
      <c r="AR548" s="809"/>
      <c r="AS548" s="809"/>
      <c r="AT548" s="809"/>
      <c r="AU548" s="809"/>
      <c r="AV548" s="809"/>
      <c r="AW548" s="809"/>
      <c r="AX548" s="809"/>
      <c r="AY548" s="809"/>
      <c r="AZ548" s="809"/>
      <c r="BA548" s="809"/>
      <c r="BB548" s="809"/>
      <c r="BC548" s="809"/>
      <c r="BD548" s="809"/>
      <c r="BE548" s="809"/>
      <c r="BF548" s="809"/>
      <c r="BG548" s="809"/>
      <c r="BH548" s="809"/>
      <c r="BI548" s="809"/>
      <c r="BJ548" s="809"/>
      <c r="BK548" s="809"/>
      <c r="BL548" s="809"/>
      <c r="BM548" s="809"/>
      <c r="BN548" s="809"/>
    </row>
    <row r="549" spans="1:66">
      <c r="A549" s="809"/>
      <c r="B549" s="809"/>
      <c r="C549" s="809"/>
      <c r="D549" s="809"/>
      <c r="E549" s="809"/>
      <c r="F549" s="809"/>
      <c r="G549" s="809"/>
      <c r="H549" s="809"/>
      <c r="I549" s="809"/>
      <c r="J549" s="809"/>
      <c r="K549" s="809"/>
      <c r="L549" s="809"/>
      <c r="M549" s="809"/>
      <c r="N549" s="809"/>
      <c r="O549" s="809"/>
      <c r="P549" s="809"/>
      <c r="Q549" s="809"/>
      <c r="R549" s="809"/>
      <c r="S549" s="809"/>
      <c r="T549" s="809"/>
      <c r="U549" s="809"/>
      <c r="V549" s="809"/>
      <c r="W549" s="809"/>
      <c r="X549" s="809"/>
      <c r="Y549" s="809"/>
      <c r="Z549" s="809"/>
      <c r="AA549" s="809"/>
      <c r="AB549" s="809"/>
      <c r="AC549" s="809"/>
      <c r="AD549" s="809"/>
      <c r="AE549" s="809"/>
      <c r="AF549" s="809"/>
      <c r="AG549" s="809"/>
      <c r="AH549" s="809"/>
      <c r="AI549" s="809"/>
      <c r="AJ549" s="809"/>
      <c r="AK549" s="809"/>
      <c r="AL549" s="809"/>
      <c r="AM549" s="809"/>
      <c r="AN549" s="809"/>
      <c r="AO549" s="809"/>
      <c r="AP549" s="809"/>
      <c r="AQ549" s="809"/>
      <c r="AR549" s="809"/>
      <c r="AS549" s="809"/>
      <c r="AT549" s="809"/>
      <c r="AU549" s="809"/>
      <c r="AV549" s="809"/>
      <c r="AW549" s="809"/>
      <c r="AX549" s="809"/>
      <c r="AY549" s="809"/>
      <c r="AZ549" s="809"/>
      <c r="BA549" s="809"/>
      <c r="BB549" s="809"/>
      <c r="BC549" s="809"/>
      <c r="BD549" s="809"/>
      <c r="BE549" s="809"/>
      <c r="BF549" s="809"/>
      <c r="BG549" s="809"/>
      <c r="BH549" s="809"/>
      <c r="BI549" s="809"/>
      <c r="BJ549" s="809"/>
      <c r="BK549" s="809"/>
      <c r="BL549" s="809"/>
      <c r="BM549" s="809"/>
      <c r="BN549" s="809"/>
    </row>
    <row r="550" spans="1:66">
      <c r="A550" s="809"/>
      <c r="B550" s="809"/>
      <c r="C550" s="809"/>
      <c r="D550" s="809"/>
      <c r="E550" s="809"/>
      <c r="F550" s="809"/>
      <c r="G550" s="809"/>
      <c r="H550" s="809"/>
      <c r="I550" s="809"/>
      <c r="J550" s="809"/>
      <c r="K550" s="809"/>
      <c r="L550" s="809"/>
      <c r="M550" s="809"/>
      <c r="N550" s="809"/>
      <c r="O550" s="809"/>
      <c r="P550" s="809"/>
      <c r="Q550" s="809"/>
      <c r="R550" s="809"/>
      <c r="S550" s="809"/>
      <c r="T550" s="809"/>
      <c r="U550" s="809"/>
      <c r="V550" s="809"/>
      <c r="W550" s="809"/>
      <c r="X550" s="809"/>
      <c r="Y550" s="809"/>
      <c r="Z550" s="809"/>
      <c r="AA550" s="809"/>
      <c r="AB550" s="809"/>
      <c r="AC550" s="809"/>
      <c r="AD550" s="809"/>
      <c r="AE550" s="809"/>
      <c r="AF550" s="809"/>
      <c r="AG550" s="809"/>
      <c r="AH550" s="809"/>
      <c r="AI550" s="809"/>
      <c r="AJ550" s="809"/>
      <c r="AK550" s="809"/>
      <c r="AL550" s="809"/>
      <c r="AM550" s="809"/>
      <c r="AN550" s="809"/>
      <c r="AO550" s="809"/>
      <c r="AP550" s="809"/>
      <c r="AQ550" s="809"/>
      <c r="AR550" s="809"/>
      <c r="AS550" s="809"/>
      <c r="AT550" s="809"/>
      <c r="AU550" s="809"/>
      <c r="AV550" s="809"/>
      <c r="AW550" s="809"/>
      <c r="AX550" s="809"/>
      <c r="AY550" s="809"/>
      <c r="AZ550" s="809"/>
      <c r="BA550" s="809"/>
      <c r="BB550" s="809"/>
      <c r="BC550" s="809"/>
      <c r="BD550" s="809"/>
      <c r="BE550" s="809"/>
      <c r="BF550" s="809"/>
      <c r="BG550" s="809"/>
      <c r="BH550" s="809"/>
      <c r="BI550" s="809"/>
      <c r="BJ550" s="809"/>
      <c r="BK550" s="809"/>
      <c r="BL550" s="809"/>
      <c r="BM550" s="809"/>
      <c r="BN550" s="809"/>
    </row>
    <row r="551" spans="1:66">
      <c r="A551" s="809"/>
      <c r="B551" s="809"/>
      <c r="C551" s="809"/>
      <c r="D551" s="809"/>
      <c r="E551" s="809"/>
      <c r="F551" s="809"/>
      <c r="G551" s="809"/>
      <c r="H551" s="809"/>
      <c r="I551" s="809"/>
      <c r="J551" s="809"/>
      <c r="K551" s="809"/>
      <c r="L551" s="809"/>
      <c r="M551" s="809"/>
      <c r="N551" s="809"/>
      <c r="O551" s="809"/>
      <c r="P551" s="809"/>
      <c r="Q551" s="809"/>
      <c r="R551" s="809"/>
      <c r="S551" s="809"/>
      <c r="T551" s="809"/>
      <c r="U551" s="809"/>
      <c r="V551" s="809"/>
      <c r="W551" s="809"/>
      <c r="X551" s="809"/>
      <c r="Y551" s="809"/>
      <c r="Z551" s="809"/>
      <c r="AA551" s="809"/>
      <c r="AB551" s="809"/>
      <c r="AC551" s="809"/>
      <c r="AD551" s="809"/>
      <c r="AE551" s="809"/>
      <c r="AF551" s="809"/>
      <c r="AG551" s="809"/>
      <c r="AH551" s="809"/>
      <c r="AI551" s="809"/>
      <c r="AJ551" s="809"/>
      <c r="AK551" s="809"/>
      <c r="AL551" s="809"/>
      <c r="AM551" s="809"/>
      <c r="AN551" s="809"/>
      <c r="AO551" s="809"/>
      <c r="AP551" s="809"/>
      <c r="AQ551" s="809"/>
      <c r="AR551" s="809"/>
      <c r="AS551" s="809"/>
      <c r="AT551" s="809"/>
      <c r="AU551" s="809"/>
      <c r="AV551" s="809"/>
      <c r="AW551" s="809"/>
      <c r="AX551" s="809"/>
      <c r="AY551" s="809"/>
      <c r="AZ551" s="809"/>
      <c r="BA551" s="809"/>
      <c r="BB551" s="809"/>
      <c r="BC551" s="809"/>
      <c r="BD551" s="809"/>
      <c r="BE551" s="809"/>
      <c r="BF551" s="809"/>
      <c r="BG551" s="809"/>
      <c r="BH551" s="809"/>
      <c r="BI551" s="809"/>
      <c r="BJ551" s="809"/>
      <c r="BK551" s="809"/>
      <c r="BL551" s="809"/>
      <c r="BM551" s="809"/>
      <c r="BN551" s="809"/>
    </row>
    <row r="552" spans="1:66">
      <c r="A552" s="809"/>
      <c r="B552" s="809"/>
      <c r="C552" s="809"/>
      <c r="D552" s="809"/>
      <c r="E552" s="809"/>
      <c r="F552" s="809"/>
      <c r="G552" s="809"/>
      <c r="H552" s="809"/>
      <c r="I552" s="809"/>
      <c r="J552" s="809"/>
      <c r="K552" s="809"/>
      <c r="L552" s="809"/>
      <c r="M552" s="809"/>
      <c r="N552" s="809"/>
      <c r="O552" s="809"/>
      <c r="P552" s="809"/>
      <c r="Q552" s="809"/>
      <c r="R552" s="809"/>
      <c r="S552" s="809"/>
      <c r="T552" s="809"/>
      <c r="U552" s="809"/>
      <c r="V552" s="809"/>
      <c r="W552" s="809"/>
      <c r="X552" s="809"/>
      <c r="Y552" s="809"/>
      <c r="Z552" s="809"/>
      <c r="AA552" s="809"/>
      <c r="AB552" s="809"/>
      <c r="AC552" s="809"/>
      <c r="AD552" s="809"/>
      <c r="AE552" s="809"/>
      <c r="AF552" s="809"/>
      <c r="AG552" s="809"/>
      <c r="AH552" s="809"/>
      <c r="AI552" s="809"/>
      <c r="AJ552" s="809"/>
      <c r="AK552" s="809"/>
      <c r="AL552" s="809"/>
      <c r="AM552" s="809"/>
      <c r="AN552" s="809"/>
      <c r="AO552" s="809"/>
      <c r="AP552" s="809"/>
      <c r="AQ552" s="809"/>
      <c r="AR552" s="809"/>
      <c r="AS552" s="809"/>
      <c r="AT552" s="809"/>
      <c r="AU552" s="809"/>
      <c r="AV552" s="809"/>
      <c r="AW552" s="809"/>
      <c r="AX552" s="809"/>
      <c r="AY552" s="809"/>
      <c r="AZ552" s="809"/>
      <c r="BA552" s="809"/>
      <c r="BB552" s="809"/>
      <c r="BC552" s="809"/>
      <c r="BD552" s="809"/>
      <c r="BE552" s="809"/>
      <c r="BF552" s="809"/>
      <c r="BG552" s="809"/>
      <c r="BH552" s="809"/>
      <c r="BI552" s="809"/>
      <c r="BJ552" s="809"/>
      <c r="BK552" s="809"/>
      <c r="BL552" s="809"/>
      <c r="BM552" s="809"/>
      <c r="BN552" s="809"/>
    </row>
    <row r="553" spans="1:66">
      <c r="A553" s="809"/>
      <c r="B553" s="809"/>
      <c r="C553" s="809"/>
      <c r="D553" s="809"/>
      <c r="E553" s="809"/>
      <c r="F553" s="809"/>
      <c r="G553" s="809"/>
      <c r="H553" s="809"/>
      <c r="I553" s="809"/>
      <c r="J553" s="809"/>
      <c r="K553" s="809"/>
      <c r="L553" s="809"/>
      <c r="M553" s="809"/>
      <c r="N553" s="809"/>
      <c r="O553" s="809"/>
      <c r="P553" s="809"/>
      <c r="Q553" s="809"/>
      <c r="R553" s="809"/>
      <c r="S553" s="809"/>
      <c r="T553" s="809"/>
      <c r="U553" s="809"/>
      <c r="V553" s="809"/>
      <c r="W553" s="809"/>
      <c r="X553" s="809"/>
      <c r="Y553" s="809"/>
      <c r="Z553" s="809"/>
      <c r="AA553" s="809"/>
      <c r="AB553" s="809"/>
      <c r="AC553" s="809"/>
      <c r="AD553" s="809"/>
      <c r="AE553" s="809"/>
      <c r="AF553" s="809"/>
      <c r="AG553" s="809"/>
      <c r="AH553" s="809"/>
      <c r="AI553" s="809"/>
      <c r="AJ553" s="809"/>
      <c r="AK553" s="809"/>
      <c r="AL553" s="809"/>
      <c r="AM553" s="809"/>
      <c r="AN553" s="809"/>
      <c r="AO553" s="809"/>
      <c r="AP553" s="809"/>
      <c r="AQ553" s="809"/>
      <c r="AR553" s="809"/>
      <c r="AS553" s="809"/>
      <c r="AT553" s="809"/>
      <c r="AU553" s="809"/>
      <c r="AV553" s="809"/>
      <c r="AW553" s="809"/>
      <c r="AX553" s="809"/>
      <c r="AY553" s="809"/>
      <c r="AZ553" s="809"/>
      <c r="BA553" s="809"/>
      <c r="BB553" s="809"/>
      <c r="BC553" s="809"/>
      <c r="BD553" s="809"/>
      <c r="BE553" s="809"/>
      <c r="BF553" s="809"/>
      <c r="BG553" s="809"/>
      <c r="BH553" s="809"/>
      <c r="BI553" s="809"/>
      <c r="BJ553" s="809"/>
      <c r="BK553" s="809"/>
      <c r="BL553" s="809"/>
      <c r="BM553" s="809"/>
      <c r="BN553" s="809"/>
    </row>
    <row r="554" spans="1:66">
      <c r="A554" s="809"/>
      <c r="B554" s="809"/>
      <c r="C554" s="809"/>
      <c r="D554" s="809"/>
      <c r="E554" s="809"/>
      <c r="F554" s="809"/>
      <c r="G554" s="809"/>
      <c r="H554" s="809"/>
      <c r="I554" s="809"/>
      <c r="J554" s="809"/>
      <c r="K554" s="809"/>
      <c r="L554" s="809"/>
      <c r="M554" s="809"/>
      <c r="N554" s="809"/>
      <c r="O554" s="809"/>
      <c r="P554" s="809"/>
      <c r="Q554" s="809"/>
      <c r="R554" s="809"/>
      <c r="S554" s="809"/>
      <c r="T554" s="809"/>
      <c r="U554" s="809"/>
      <c r="V554" s="809"/>
      <c r="W554" s="809"/>
      <c r="X554" s="809"/>
      <c r="Y554" s="809"/>
      <c r="Z554" s="809"/>
      <c r="AA554" s="809"/>
      <c r="AB554" s="809"/>
      <c r="AC554" s="809"/>
      <c r="AD554" s="809"/>
      <c r="AE554" s="809"/>
      <c r="AF554" s="809"/>
      <c r="AG554" s="809"/>
      <c r="AH554" s="809"/>
      <c r="AI554" s="809"/>
      <c r="AJ554" s="809"/>
      <c r="AK554" s="809"/>
      <c r="AL554" s="809"/>
      <c r="AM554" s="809"/>
      <c r="AN554" s="809"/>
      <c r="AO554" s="809"/>
      <c r="AP554" s="809"/>
      <c r="AQ554" s="809"/>
      <c r="AR554" s="809"/>
      <c r="AS554" s="809"/>
      <c r="AT554" s="809"/>
      <c r="AU554" s="809"/>
      <c r="AV554" s="809"/>
      <c r="AW554" s="809"/>
      <c r="AX554" s="809"/>
      <c r="AY554" s="809"/>
      <c r="AZ554" s="809"/>
      <c r="BA554" s="809"/>
      <c r="BB554" s="809"/>
      <c r="BC554" s="809"/>
      <c r="BD554" s="809"/>
      <c r="BE554" s="809"/>
      <c r="BF554" s="809"/>
      <c r="BG554" s="809"/>
      <c r="BH554" s="809"/>
      <c r="BI554" s="809"/>
      <c r="BJ554" s="809"/>
      <c r="BK554" s="809"/>
      <c r="BL554" s="809"/>
      <c r="BM554" s="809"/>
      <c r="BN554" s="809"/>
    </row>
    <row r="555" spans="1:66">
      <c r="A555" s="809"/>
      <c r="B555" s="809"/>
      <c r="C555" s="809"/>
      <c r="D555" s="809"/>
      <c r="E555" s="809"/>
      <c r="F555" s="809"/>
      <c r="G555" s="809"/>
      <c r="H555" s="809"/>
      <c r="I555" s="809"/>
      <c r="J555" s="809"/>
      <c r="K555" s="809"/>
      <c r="L555" s="809"/>
      <c r="M555" s="809"/>
      <c r="N555" s="809"/>
      <c r="O555" s="809"/>
      <c r="P555" s="809"/>
      <c r="Q555" s="809"/>
      <c r="R555" s="809"/>
      <c r="S555" s="809"/>
      <c r="T555" s="809"/>
      <c r="U555" s="809"/>
      <c r="V555" s="809"/>
      <c r="W555" s="809"/>
      <c r="X555" s="809"/>
      <c r="Y555" s="809"/>
      <c r="Z555" s="809"/>
      <c r="AA555" s="809"/>
      <c r="AB555" s="809"/>
      <c r="AC555" s="809"/>
      <c r="AD555" s="809"/>
      <c r="AE555" s="809"/>
      <c r="AF555" s="809"/>
      <c r="AG555" s="809"/>
      <c r="AH555" s="809"/>
      <c r="AI555" s="809"/>
      <c r="AJ555" s="809"/>
      <c r="AK555" s="809"/>
      <c r="AL555" s="809"/>
      <c r="AM555" s="809"/>
      <c r="AN555" s="809"/>
      <c r="AO555" s="809"/>
      <c r="AP555" s="809"/>
      <c r="AQ555" s="809"/>
      <c r="AR555" s="809"/>
      <c r="AS555" s="809"/>
      <c r="AT555" s="809"/>
      <c r="AU555" s="809"/>
      <c r="AV555" s="809"/>
      <c r="AW555" s="809"/>
      <c r="AX555" s="809"/>
      <c r="AY555" s="809"/>
      <c r="AZ555" s="809"/>
      <c r="BA555" s="809"/>
      <c r="BB555" s="809"/>
      <c r="BC555" s="809"/>
      <c r="BD555" s="809"/>
      <c r="BE555" s="809"/>
      <c r="BF555" s="809"/>
      <c r="BG555" s="809"/>
      <c r="BH555" s="809"/>
      <c r="BI555" s="809"/>
      <c r="BJ555" s="809"/>
      <c r="BK555" s="809"/>
      <c r="BL555" s="809"/>
      <c r="BM555" s="809"/>
      <c r="BN555" s="809"/>
    </row>
    <row r="556" spans="1:66">
      <c r="A556" s="809"/>
      <c r="B556" s="809"/>
      <c r="C556" s="809"/>
      <c r="D556" s="809"/>
      <c r="E556" s="809"/>
      <c r="F556" s="809"/>
      <c r="G556" s="809"/>
      <c r="H556" s="809"/>
      <c r="I556" s="809"/>
      <c r="J556" s="809"/>
      <c r="K556" s="809"/>
      <c r="L556" s="809"/>
      <c r="M556" s="809"/>
      <c r="N556" s="809"/>
      <c r="O556" s="809"/>
      <c r="P556" s="809"/>
      <c r="Q556" s="809"/>
      <c r="R556" s="809"/>
      <c r="S556" s="809"/>
      <c r="T556" s="809"/>
      <c r="U556" s="809"/>
      <c r="V556" s="809"/>
      <c r="W556" s="809"/>
      <c r="X556" s="809"/>
      <c r="Y556" s="809"/>
      <c r="Z556" s="809"/>
      <c r="AA556" s="809"/>
      <c r="AB556" s="809"/>
      <c r="AC556" s="809"/>
      <c r="AD556" s="809"/>
      <c r="AE556" s="809"/>
      <c r="AF556" s="809"/>
      <c r="AG556" s="809"/>
      <c r="AH556" s="809"/>
      <c r="AI556" s="809"/>
      <c r="AJ556" s="809"/>
      <c r="AK556" s="809"/>
      <c r="AL556" s="809"/>
      <c r="AM556" s="809"/>
      <c r="AN556" s="809"/>
      <c r="AO556" s="809"/>
      <c r="AP556" s="809"/>
      <c r="AQ556" s="809"/>
      <c r="AR556" s="809"/>
      <c r="AS556" s="809"/>
      <c r="AT556" s="809"/>
      <c r="AU556" s="809"/>
      <c r="AV556" s="809"/>
      <c r="AW556" s="809"/>
      <c r="AX556" s="809"/>
      <c r="AY556" s="809"/>
      <c r="AZ556" s="809"/>
      <c r="BA556" s="809"/>
      <c r="BB556" s="809"/>
      <c r="BC556" s="809"/>
      <c r="BD556" s="809"/>
      <c r="BE556" s="809"/>
      <c r="BF556" s="809"/>
      <c r="BG556" s="809"/>
      <c r="BH556" s="809"/>
      <c r="BI556" s="809"/>
      <c r="BJ556" s="809"/>
      <c r="BK556" s="809"/>
      <c r="BL556" s="809"/>
      <c r="BM556" s="809"/>
      <c r="BN556" s="809"/>
    </row>
    <row r="557" spans="1:66">
      <c r="A557" s="809"/>
      <c r="B557" s="809"/>
      <c r="C557" s="809"/>
      <c r="D557" s="809"/>
      <c r="E557" s="809"/>
      <c r="F557" s="809"/>
      <c r="G557" s="809"/>
      <c r="H557" s="809"/>
      <c r="I557" s="809"/>
      <c r="J557" s="809"/>
      <c r="K557" s="809"/>
      <c r="L557" s="809"/>
      <c r="M557" s="809"/>
      <c r="N557" s="809"/>
      <c r="O557" s="809"/>
      <c r="P557" s="809"/>
      <c r="Q557" s="809"/>
      <c r="R557" s="809"/>
      <c r="S557" s="809"/>
      <c r="T557" s="809"/>
      <c r="U557" s="809"/>
      <c r="V557" s="809"/>
      <c r="W557" s="809"/>
      <c r="X557" s="809"/>
      <c r="Y557" s="809"/>
      <c r="Z557" s="809"/>
      <c r="AA557" s="809"/>
      <c r="AB557" s="809"/>
      <c r="AC557" s="809"/>
      <c r="AD557" s="809"/>
      <c r="AE557" s="809"/>
      <c r="AF557" s="809"/>
      <c r="AG557" s="809"/>
      <c r="AH557" s="809"/>
      <c r="AI557" s="809"/>
      <c r="AJ557" s="809"/>
      <c r="AK557" s="809"/>
      <c r="AL557" s="809"/>
      <c r="AM557" s="809"/>
      <c r="AN557" s="809"/>
      <c r="AO557" s="809"/>
      <c r="AP557" s="809"/>
      <c r="AQ557" s="809"/>
      <c r="AR557" s="809"/>
      <c r="AS557" s="809"/>
      <c r="AT557" s="809"/>
      <c r="AU557" s="809"/>
      <c r="AV557" s="809"/>
      <c r="AW557" s="809"/>
      <c r="AX557" s="809"/>
      <c r="AY557" s="809"/>
      <c r="AZ557" s="809"/>
      <c r="BA557" s="809"/>
      <c r="BB557" s="809"/>
      <c r="BC557" s="809"/>
      <c r="BD557" s="809"/>
      <c r="BE557" s="809"/>
      <c r="BF557" s="809"/>
      <c r="BG557" s="809"/>
      <c r="BH557" s="809"/>
      <c r="BI557" s="809"/>
      <c r="BJ557" s="809"/>
      <c r="BK557" s="809"/>
      <c r="BL557" s="809"/>
      <c r="BM557" s="809"/>
      <c r="BN557" s="809"/>
    </row>
    <row r="558" spans="1:66">
      <c r="A558" s="809"/>
      <c r="B558" s="809"/>
      <c r="C558" s="809"/>
      <c r="D558" s="809"/>
      <c r="E558" s="809"/>
      <c r="F558" s="809"/>
      <c r="G558" s="809"/>
      <c r="H558" s="809"/>
      <c r="I558" s="809"/>
      <c r="J558" s="809"/>
      <c r="K558" s="809"/>
      <c r="L558" s="809"/>
      <c r="M558" s="809"/>
      <c r="N558" s="809"/>
      <c r="O558" s="809"/>
      <c r="P558" s="809"/>
      <c r="Q558" s="809"/>
      <c r="R558" s="809"/>
      <c r="S558" s="809"/>
      <c r="T558" s="809"/>
      <c r="U558" s="809"/>
      <c r="V558" s="809"/>
      <c r="W558" s="809"/>
      <c r="X558" s="809"/>
      <c r="Y558" s="809"/>
      <c r="Z558" s="809"/>
      <c r="AA558" s="809"/>
      <c r="AB558" s="809"/>
      <c r="AC558" s="809"/>
      <c r="AD558" s="809"/>
      <c r="AE558" s="809"/>
      <c r="AF558" s="809"/>
      <c r="AG558" s="809"/>
      <c r="AH558" s="809"/>
      <c r="AI558" s="809"/>
      <c r="AJ558" s="809"/>
      <c r="AK558" s="809"/>
      <c r="AL558" s="809"/>
      <c r="AM558" s="809"/>
      <c r="AN558" s="809"/>
      <c r="AO558" s="809"/>
      <c r="AP558" s="809"/>
      <c r="AQ558" s="809"/>
      <c r="AR558" s="809"/>
      <c r="AS558" s="809"/>
      <c r="AT558" s="809"/>
      <c r="AU558" s="809"/>
      <c r="AV558" s="809"/>
      <c r="AW558" s="809"/>
      <c r="AX558" s="809"/>
      <c r="AY558" s="809"/>
      <c r="AZ558" s="809"/>
      <c r="BA558" s="809"/>
      <c r="BB558" s="809"/>
      <c r="BC558" s="809"/>
      <c r="BD558" s="809"/>
      <c r="BE558" s="809"/>
      <c r="BF558" s="809"/>
      <c r="BG558" s="809"/>
      <c r="BH558" s="809"/>
      <c r="BI558" s="809"/>
      <c r="BJ558" s="809"/>
      <c r="BK558" s="809"/>
      <c r="BL558" s="809"/>
      <c r="BM558" s="809"/>
      <c r="BN558" s="809"/>
    </row>
    <row r="559" spans="1:66">
      <c r="A559" s="809"/>
      <c r="B559" s="809"/>
      <c r="C559" s="809"/>
      <c r="D559" s="809"/>
      <c r="E559" s="809"/>
      <c r="F559" s="809"/>
      <c r="G559" s="809"/>
      <c r="H559" s="809"/>
      <c r="I559" s="809"/>
      <c r="J559" s="809"/>
      <c r="K559" s="809"/>
      <c r="L559" s="809"/>
      <c r="M559" s="809"/>
      <c r="N559" s="809"/>
      <c r="O559" s="809"/>
      <c r="P559" s="809"/>
      <c r="Q559" s="809"/>
      <c r="R559" s="809"/>
      <c r="S559" s="809"/>
      <c r="T559" s="809"/>
      <c r="U559" s="809"/>
      <c r="V559" s="809"/>
      <c r="W559" s="809"/>
      <c r="X559" s="809"/>
      <c r="Y559" s="809"/>
      <c r="Z559" s="809"/>
      <c r="AA559" s="809"/>
      <c r="AB559" s="809"/>
      <c r="AC559" s="809"/>
      <c r="AD559" s="809"/>
      <c r="AE559" s="809"/>
      <c r="AF559" s="809"/>
      <c r="AG559" s="809"/>
      <c r="AH559" s="809"/>
      <c r="AI559" s="809"/>
      <c r="AJ559" s="809"/>
      <c r="AK559" s="809"/>
      <c r="AL559" s="809"/>
      <c r="AM559" s="809"/>
      <c r="AN559" s="809"/>
      <c r="AO559" s="809"/>
      <c r="AP559" s="809"/>
      <c r="AQ559" s="809"/>
      <c r="AR559" s="809"/>
      <c r="AS559" s="809"/>
      <c r="AT559" s="809"/>
      <c r="AU559" s="809"/>
      <c r="AV559" s="809"/>
      <c r="AW559" s="809"/>
      <c r="AX559" s="809"/>
      <c r="AY559" s="809"/>
      <c r="AZ559" s="809"/>
      <c r="BA559" s="809"/>
      <c r="BB559" s="809"/>
      <c r="BC559" s="809"/>
      <c r="BD559" s="809"/>
      <c r="BE559" s="809"/>
      <c r="BF559" s="809"/>
      <c r="BG559" s="809"/>
      <c r="BH559" s="809"/>
      <c r="BI559" s="809"/>
      <c r="BJ559" s="809"/>
      <c r="BK559" s="809"/>
      <c r="BL559" s="809"/>
      <c r="BM559" s="809"/>
      <c r="BN559" s="809"/>
    </row>
    <row r="560" spans="1:66">
      <c r="A560" s="809"/>
      <c r="B560" s="809"/>
      <c r="C560" s="809"/>
      <c r="D560" s="809"/>
      <c r="E560" s="809"/>
      <c r="F560" s="809"/>
      <c r="G560" s="809"/>
      <c r="H560" s="809"/>
      <c r="I560" s="809"/>
      <c r="J560" s="809"/>
      <c r="K560" s="809"/>
      <c r="L560" s="809"/>
      <c r="M560" s="809"/>
      <c r="N560" s="809"/>
      <c r="O560" s="809"/>
      <c r="P560" s="809"/>
      <c r="Q560" s="809"/>
      <c r="R560" s="809"/>
      <c r="S560" s="809"/>
      <c r="T560" s="809"/>
      <c r="U560" s="809"/>
      <c r="V560" s="809"/>
      <c r="W560" s="809"/>
      <c r="X560" s="809"/>
      <c r="Y560" s="809"/>
      <c r="Z560" s="809"/>
      <c r="AA560" s="809"/>
      <c r="AB560" s="809"/>
      <c r="AC560" s="809"/>
      <c r="AD560" s="809"/>
      <c r="AE560" s="809"/>
      <c r="AF560" s="809"/>
      <c r="AG560" s="809"/>
      <c r="AH560" s="809"/>
      <c r="AI560" s="809"/>
      <c r="AJ560" s="809"/>
      <c r="AK560" s="809"/>
      <c r="AL560" s="809"/>
      <c r="AM560" s="809"/>
      <c r="AN560" s="809"/>
      <c r="AO560" s="809"/>
      <c r="AP560" s="809"/>
      <c r="AQ560" s="809"/>
      <c r="AR560" s="809"/>
      <c r="AS560" s="809"/>
      <c r="AT560" s="809"/>
      <c r="AU560" s="809"/>
      <c r="AV560" s="809"/>
      <c r="AW560" s="809"/>
      <c r="AX560" s="809"/>
      <c r="AY560" s="809"/>
      <c r="AZ560" s="809"/>
      <c r="BA560" s="809"/>
      <c r="BB560" s="809"/>
      <c r="BC560" s="809"/>
      <c r="BD560" s="809"/>
      <c r="BE560" s="809"/>
      <c r="BF560" s="809"/>
      <c r="BG560" s="809"/>
      <c r="BH560" s="809"/>
      <c r="BI560" s="809"/>
      <c r="BJ560" s="809"/>
      <c r="BK560" s="809"/>
      <c r="BL560" s="809"/>
      <c r="BM560" s="809"/>
      <c r="BN560" s="809"/>
    </row>
    <row r="561" spans="1:66">
      <c r="A561" s="809"/>
      <c r="B561" s="809"/>
      <c r="C561" s="809"/>
      <c r="D561" s="809"/>
      <c r="E561" s="809"/>
      <c r="F561" s="809"/>
      <c r="G561" s="809"/>
      <c r="H561" s="809"/>
      <c r="I561" s="809"/>
      <c r="J561" s="809"/>
      <c r="K561" s="809"/>
      <c r="L561" s="809"/>
      <c r="M561" s="809"/>
      <c r="N561" s="809"/>
      <c r="O561" s="809"/>
      <c r="P561" s="809"/>
      <c r="Q561" s="809"/>
      <c r="R561" s="809"/>
      <c r="S561" s="809"/>
      <c r="T561" s="809"/>
      <c r="U561" s="809"/>
      <c r="V561" s="809"/>
      <c r="W561" s="809"/>
      <c r="X561" s="809"/>
      <c r="Y561" s="809"/>
      <c r="Z561" s="809"/>
      <c r="AA561" s="809"/>
      <c r="AB561" s="809"/>
      <c r="AC561" s="809"/>
      <c r="AD561" s="809"/>
      <c r="AE561" s="809"/>
      <c r="AF561" s="809"/>
      <c r="AG561" s="809"/>
      <c r="AH561" s="809"/>
      <c r="AI561" s="809"/>
      <c r="AJ561" s="809"/>
      <c r="AK561" s="809"/>
      <c r="AL561" s="809"/>
      <c r="AM561" s="809"/>
      <c r="AN561" s="809"/>
      <c r="AO561" s="809"/>
      <c r="AP561" s="809"/>
      <c r="AQ561" s="809"/>
      <c r="AR561" s="809"/>
      <c r="AS561" s="809"/>
      <c r="AT561" s="809"/>
      <c r="AU561" s="809"/>
      <c r="AV561" s="809"/>
      <c r="AW561" s="809"/>
      <c r="AX561" s="809"/>
      <c r="AY561" s="809"/>
      <c r="AZ561" s="809"/>
      <c r="BA561" s="809"/>
      <c r="BB561" s="809"/>
      <c r="BC561" s="809"/>
      <c r="BD561" s="809"/>
      <c r="BE561" s="809"/>
      <c r="BF561" s="809"/>
      <c r="BG561" s="809"/>
      <c r="BH561" s="809"/>
      <c r="BI561" s="809"/>
      <c r="BJ561" s="809"/>
      <c r="BK561" s="809"/>
      <c r="BL561" s="809"/>
      <c r="BM561" s="809"/>
      <c r="BN561" s="809"/>
    </row>
    <row r="562" spans="1:66">
      <c r="A562" s="809"/>
      <c r="B562" s="809"/>
      <c r="C562" s="809"/>
      <c r="D562" s="809"/>
      <c r="E562" s="809"/>
      <c r="F562" s="809"/>
      <c r="G562" s="809"/>
      <c r="H562" s="809"/>
      <c r="I562" s="809"/>
      <c r="J562" s="809"/>
      <c r="K562" s="809"/>
      <c r="L562" s="809"/>
      <c r="M562" s="809"/>
      <c r="N562" s="809"/>
      <c r="O562" s="809"/>
      <c r="P562" s="809"/>
      <c r="Q562" s="809"/>
      <c r="R562" s="809"/>
      <c r="S562" s="809"/>
      <c r="T562" s="809"/>
      <c r="U562" s="809"/>
      <c r="V562" s="809"/>
      <c r="W562" s="809"/>
      <c r="X562" s="809"/>
      <c r="Y562" s="809"/>
      <c r="Z562" s="809"/>
      <c r="AA562" s="809"/>
      <c r="AB562" s="809"/>
      <c r="AC562" s="809"/>
      <c r="AD562" s="809"/>
      <c r="AE562" s="809"/>
      <c r="AF562" s="809"/>
      <c r="AG562" s="809"/>
      <c r="AH562" s="809"/>
      <c r="AI562" s="809"/>
      <c r="AJ562" s="809"/>
      <c r="AK562" s="809"/>
      <c r="AL562" s="809"/>
      <c r="AM562" s="809"/>
      <c r="AN562" s="809"/>
      <c r="AO562" s="809"/>
      <c r="AP562" s="809"/>
      <c r="AQ562" s="809"/>
      <c r="AR562" s="809"/>
      <c r="AS562" s="809"/>
      <c r="AT562" s="809"/>
      <c r="AU562" s="809"/>
      <c r="AV562" s="809"/>
      <c r="AW562" s="809"/>
      <c r="AX562" s="809"/>
      <c r="AY562" s="809"/>
      <c r="AZ562" s="809"/>
      <c r="BA562" s="809"/>
      <c r="BB562" s="809"/>
      <c r="BC562" s="809"/>
      <c r="BD562" s="809"/>
      <c r="BE562" s="809"/>
      <c r="BF562" s="809"/>
      <c r="BG562" s="809"/>
      <c r="BH562" s="809"/>
      <c r="BI562" s="809"/>
      <c r="BJ562" s="809"/>
      <c r="BK562" s="809"/>
      <c r="BL562" s="809"/>
      <c r="BM562" s="809"/>
      <c r="BN562" s="809"/>
    </row>
    <row r="563" spans="1:66">
      <c r="A563" s="809"/>
      <c r="B563" s="809"/>
      <c r="C563" s="809"/>
      <c r="D563" s="809"/>
      <c r="E563" s="809"/>
      <c r="F563" s="809"/>
      <c r="G563" s="809"/>
      <c r="H563" s="809"/>
      <c r="I563" s="809"/>
      <c r="J563" s="809"/>
      <c r="K563" s="809"/>
      <c r="L563" s="809"/>
      <c r="M563" s="809"/>
      <c r="N563" s="809"/>
      <c r="O563" s="809"/>
      <c r="P563" s="809"/>
      <c r="Q563" s="809"/>
      <c r="R563" s="809"/>
      <c r="S563" s="809"/>
      <c r="T563" s="809"/>
      <c r="U563" s="809"/>
      <c r="V563" s="809"/>
      <c r="W563" s="809"/>
      <c r="X563" s="809"/>
      <c r="Y563" s="809"/>
      <c r="Z563" s="809"/>
      <c r="AA563" s="809"/>
      <c r="AB563" s="809"/>
      <c r="AC563" s="809"/>
      <c r="AD563" s="809"/>
      <c r="AE563" s="809"/>
      <c r="AF563" s="809"/>
      <c r="AG563" s="809"/>
      <c r="AH563" s="809"/>
      <c r="AI563" s="809"/>
      <c r="AJ563" s="809"/>
      <c r="AK563" s="809"/>
      <c r="AL563" s="809"/>
      <c r="AM563" s="809"/>
      <c r="AN563" s="809"/>
      <c r="AO563" s="809"/>
      <c r="AP563" s="809"/>
      <c r="AQ563" s="809"/>
      <c r="AR563" s="809"/>
      <c r="AS563" s="809"/>
      <c r="AT563" s="809"/>
      <c r="AU563" s="809"/>
      <c r="AV563" s="809"/>
      <c r="AW563" s="809"/>
      <c r="AX563" s="809"/>
      <c r="AY563" s="809"/>
      <c r="AZ563" s="809"/>
      <c r="BA563" s="809"/>
      <c r="BB563" s="809"/>
      <c r="BC563" s="809"/>
      <c r="BD563" s="809"/>
      <c r="BE563" s="809"/>
      <c r="BF563" s="809"/>
      <c r="BG563" s="809"/>
      <c r="BH563" s="809"/>
      <c r="BI563" s="809"/>
      <c r="BJ563" s="809"/>
      <c r="BK563" s="809"/>
      <c r="BL563" s="809"/>
      <c r="BM563" s="809"/>
      <c r="BN563" s="809"/>
    </row>
    <row r="564" spans="1:66">
      <c r="A564" s="809"/>
      <c r="B564" s="809"/>
      <c r="C564" s="809"/>
      <c r="D564" s="809"/>
      <c r="E564" s="809"/>
      <c r="F564" s="809"/>
      <c r="G564" s="809"/>
      <c r="H564" s="809"/>
      <c r="I564" s="809"/>
      <c r="J564" s="809"/>
      <c r="K564" s="809"/>
      <c r="L564" s="809"/>
      <c r="M564" s="809"/>
      <c r="N564" s="809"/>
      <c r="O564" s="809"/>
      <c r="P564" s="809"/>
      <c r="Q564" s="809"/>
      <c r="R564" s="809"/>
      <c r="S564" s="809"/>
      <c r="T564" s="809"/>
      <c r="U564" s="809"/>
      <c r="V564" s="809"/>
      <c r="W564" s="809"/>
      <c r="X564" s="809"/>
      <c r="Y564" s="809"/>
      <c r="Z564" s="809"/>
      <c r="AA564" s="809"/>
      <c r="AB564" s="809"/>
      <c r="AC564" s="809"/>
      <c r="AD564" s="809"/>
      <c r="AE564" s="809"/>
      <c r="AF564" s="809"/>
      <c r="AG564" s="809"/>
      <c r="AH564" s="809"/>
      <c r="AI564" s="809"/>
      <c r="AJ564" s="809"/>
      <c r="AK564" s="809"/>
      <c r="AL564" s="809"/>
      <c r="AM564" s="809"/>
      <c r="AN564" s="809"/>
      <c r="AO564" s="809"/>
      <c r="AP564" s="809"/>
      <c r="AQ564" s="809"/>
      <c r="AR564" s="809"/>
      <c r="AS564" s="809"/>
      <c r="AT564" s="809"/>
      <c r="AU564" s="809"/>
      <c r="AV564" s="809"/>
      <c r="AW564" s="809"/>
      <c r="AX564" s="809"/>
      <c r="AY564" s="809"/>
      <c r="AZ564" s="809"/>
      <c r="BA564" s="809"/>
      <c r="BB564" s="809"/>
      <c r="BC564" s="809"/>
      <c r="BD564" s="809"/>
      <c r="BE564" s="809"/>
      <c r="BF564" s="809"/>
      <c r="BG564" s="809"/>
      <c r="BH564" s="809"/>
      <c r="BI564" s="809"/>
      <c r="BJ564" s="809"/>
      <c r="BK564" s="809"/>
      <c r="BL564" s="809"/>
      <c r="BM564" s="809"/>
      <c r="BN564" s="809"/>
    </row>
    <row r="565" spans="1:66">
      <c r="A565" s="809"/>
      <c r="B565" s="809"/>
      <c r="C565" s="809"/>
      <c r="D565" s="809"/>
      <c r="E565" s="809"/>
      <c r="F565" s="809"/>
      <c r="G565" s="809"/>
      <c r="H565" s="809"/>
      <c r="I565" s="809"/>
      <c r="J565" s="809"/>
      <c r="K565" s="809"/>
      <c r="L565" s="809"/>
      <c r="M565" s="809"/>
      <c r="N565" s="809"/>
      <c r="O565" s="809"/>
      <c r="P565" s="809"/>
      <c r="Q565" s="809"/>
      <c r="R565" s="809"/>
      <c r="S565" s="809"/>
      <c r="T565" s="809"/>
      <c r="U565" s="809"/>
      <c r="V565" s="809"/>
      <c r="W565" s="809"/>
      <c r="X565" s="809"/>
      <c r="Y565" s="809"/>
      <c r="Z565" s="809"/>
      <c r="AA565" s="809"/>
      <c r="AB565" s="809"/>
      <c r="AC565" s="809"/>
      <c r="AD565" s="809"/>
      <c r="AE565" s="809"/>
      <c r="AF565" s="809"/>
      <c r="AG565" s="809"/>
      <c r="AH565" s="809"/>
      <c r="AI565" s="809"/>
      <c r="AJ565" s="809"/>
      <c r="AK565" s="809"/>
      <c r="AL565" s="809"/>
      <c r="AM565" s="809"/>
      <c r="AN565" s="809"/>
      <c r="AO565" s="809"/>
      <c r="AP565" s="809"/>
      <c r="AQ565" s="809"/>
      <c r="AR565" s="809"/>
      <c r="AS565" s="809"/>
      <c r="AT565" s="809"/>
      <c r="AU565" s="809"/>
      <c r="AV565" s="809"/>
      <c r="AW565" s="809"/>
      <c r="AX565" s="809"/>
      <c r="AY565" s="809"/>
      <c r="AZ565" s="809"/>
      <c r="BA565" s="809"/>
      <c r="BB565" s="809"/>
      <c r="BC565" s="809"/>
      <c r="BD565" s="809"/>
      <c r="BE565" s="809"/>
      <c r="BF565" s="809"/>
      <c r="BG565" s="809"/>
      <c r="BH565" s="809"/>
      <c r="BI565" s="809"/>
      <c r="BJ565" s="809"/>
      <c r="BK565" s="809"/>
      <c r="BL565" s="809"/>
      <c r="BM565" s="809"/>
      <c r="BN565" s="809"/>
    </row>
    <row r="566" spans="1:66">
      <c r="A566" s="809"/>
      <c r="B566" s="809"/>
      <c r="C566" s="809"/>
      <c r="D566" s="809"/>
      <c r="E566" s="809"/>
      <c r="F566" s="809"/>
      <c r="G566" s="809"/>
      <c r="H566" s="809"/>
      <c r="I566" s="809"/>
      <c r="J566" s="809"/>
      <c r="K566" s="809"/>
      <c r="L566" s="809"/>
      <c r="M566" s="809"/>
      <c r="N566" s="809"/>
      <c r="O566" s="809"/>
      <c r="P566" s="809"/>
      <c r="Q566" s="809"/>
      <c r="R566" s="809"/>
      <c r="S566" s="809"/>
      <c r="T566" s="809"/>
      <c r="U566" s="809"/>
      <c r="V566" s="809"/>
      <c r="W566" s="809"/>
      <c r="X566" s="809"/>
      <c r="Y566" s="809"/>
      <c r="Z566" s="809"/>
      <c r="AA566" s="809"/>
      <c r="AB566" s="809"/>
      <c r="AC566" s="809"/>
      <c r="AD566" s="809"/>
      <c r="AE566" s="809"/>
      <c r="AF566" s="809"/>
      <c r="AG566" s="809"/>
      <c r="AH566" s="809"/>
      <c r="AI566" s="809"/>
      <c r="AJ566" s="809"/>
      <c r="AK566" s="809"/>
      <c r="AL566" s="809"/>
      <c r="AM566" s="809"/>
      <c r="AN566" s="809"/>
      <c r="AO566" s="809"/>
      <c r="AP566" s="809"/>
      <c r="AQ566" s="809"/>
      <c r="AR566" s="809"/>
      <c r="AS566" s="809"/>
      <c r="AT566" s="809"/>
      <c r="AU566" s="809"/>
      <c r="AV566" s="809"/>
      <c r="AW566" s="809"/>
      <c r="AX566" s="809"/>
      <c r="AY566" s="809"/>
      <c r="AZ566" s="809"/>
      <c r="BA566" s="809"/>
      <c r="BB566" s="809"/>
      <c r="BC566" s="809"/>
      <c r="BD566" s="809"/>
      <c r="BE566" s="809"/>
      <c r="BF566" s="809"/>
      <c r="BG566" s="809"/>
      <c r="BH566" s="809"/>
      <c r="BI566" s="809"/>
      <c r="BJ566" s="809"/>
      <c r="BK566" s="809"/>
      <c r="BL566" s="809"/>
      <c r="BM566" s="809"/>
      <c r="BN566" s="809"/>
    </row>
    <row r="567" spans="1:66">
      <c r="A567" s="809"/>
      <c r="B567" s="809"/>
      <c r="C567" s="809"/>
      <c r="D567" s="809"/>
      <c r="E567" s="809"/>
      <c r="F567" s="809"/>
      <c r="G567" s="809"/>
      <c r="H567" s="809"/>
      <c r="I567" s="809"/>
      <c r="J567" s="809"/>
      <c r="K567" s="809"/>
      <c r="L567" s="809"/>
      <c r="M567" s="809"/>
      <c r="N567" s="809"/>
      <c r="O567" s="809"/>
      <c r="P567" s="809"/>
      <c r="Q567" s="809"/>
      <c r="R567" s="809"/>
      <c r="S567" s="809"/>
      <c r="T567" s="809"/>
      <c r="U567" s="809"/>
      <c r="V567" s="809"/>
      <c r="W567" s="809"/>
      <c r="X567" s="809"/>
      <c r="Y567" s="809"/>
      <c r="Z567" s="809"/>
      <c r="AA567" s="809"/>
      <c r="AB567" s="809"/>
      <c r="AC567" s="809"/>
      <c r="AD567" s="809"/>
      <c r="AE567" s="809"/>
      <c r="AF567" s="809"/>
      <c r="AG567" s="809"/>
      <c r="AH567" s="809"/>
      <c r="AI567" s="809"/>
      <c r="AJ567" s="809"/>
      <c r="AK567" s="809"/>
      <c r="AL567" s="809"/>
      <c r="AM567" s="809"/>
      <c r="AN567" s="809"/>
      <c r="AO567" s="809"/>
      <c r="AP567" s="809"/>
      <c r="AQ567" s="809"/>
      <c r="AR567" s="809"/>
      <c r="AS567" s="809"/>
      <c r="AT567" s="809"/>
      <c r="AU567" s="809"/>
      <c r="AV567" s="809"/>
      <c r="AW567" s="809"/>
      <c r="AX567" s="809"/>
      <c r="AY567" s="809"/>
      <c r="AZ567" s="809"/>
      <c r="BA567" s="809"/>
      <c r="BB567" s="809"/>
      <c r="BC567" s="809"/>
      <c r="BD567" s="809"/>
      <c r="BE567" s="809"/>
      <c r="BF567" s="809"/>
      <c r="BG567" s="809"/>
      <c r="BH567" s="809"/>
      <c r="BI567" s="809"/>
      <c r="BJ567" s="809"/>
      <c r="BK567" s="809"/>
      <c r="BL567" s="809"/>
      <c r="BM567" s="809"/>
      <c r="BN567" s="809"/>
    </row>
    <row r="568" spans="1:66">
      <c r="A568" s="809"/>
      <c r="B568" s="809"/>
      <c r="C568" s="809"/>
      <c r="D568" s="809"/>
      <c r="E568" s="809"/>
      <c r="F568" s="809"/>
      <c r="G568" s="809"/>
      <c r="H568" s="809"/>
      <c r="I568" s="809"/>
      <c r="J568" s="809"/>
      <c r="K568" s="809"/>
      <c r="L568" s="809"/>
      <c r="M568" s="809"/>
      <c r="N568" s="809"/>
      <c r="O568" s="809"/>
      <c r="P568" s="809"/>
      <c r="Q568" s="809"/>
      <c r="R568" s="809"/>
      <c r="S568" s="809"/>
      <c r="T568" s="809"/>
      <c r="U568" s="809"/>
      <c r="V568" s="809"/>
      <c r="W568" s="809"/>
      <c r="X568" s="809"/>
      <c r="Y568" s="809"/>
      <c r="Z568" s="809"/>
      <c r="AA568" s="809"/>
      <c r="AB568" s="809"/>
      <c r="AC568" s="809"/>
      <c r="AD568" s="809"/>
      <c r="AE568" s="809"/>
      <c r="AF568" s="809"/>
      <c r="AG568" s="809"/>
      <c r="AH568" s="809"/>
      <c r="AI568" s="809"/>
      <c r="AJ568" s="809"/>
      <c r="AK568" s="809"/>
      <c r="AL568" s="809"/>
      <c r="AM568" s="809"/>
      <c r="AN568" s="809"/>
      <c r="AO568" s="809"/>
      <c r="AP568" s="809"/>
      <c r="AQ568" s="809"/>
      <c r="AR568" s="809"/>
      <c r="AS568" s="809"/>
      <c r="AT568" s="809"/>
      <c r="AU568" s="809"/>
      <c r="AV568" s="809"/>
      <c r="AW568" s="809"/>
      <c r="AX568" s="809"/>
      <c r="AY568" s="809"/>
      <c r="AZ568" s="809"/>
      <c r="BA568" s="809"/>
      <c r="BB568" s="809"/>
      <c r="BC568" s="809"/>
      <c r="BD568" s="809"/>
      <c r="BE568" s="809"/>
      <c r="BF568" s="809"/>
      <c r="BG568" s="809"/>
      <c r="BH568" s="809"/>
      <c r="BI568" s="809"/>
      <c r="BJ568" s="809"/>
      <c r="BK568" s="809"/>
      <c r="BL568" s="809"/>
      <c r="BM568" s="809"/>
      <c r="BN568" s="809"/>
    </row>
    <row r="569" spans="1:66">
      <c r="A569" s="809"/>
      <c r="B569" s="809"/>
      <c r="C569" s="809"/>
      <c r="D569" s="809"/>
      <c r="E569" s="809"/>
      <c r="F569" s="809"/>
      <c r="G569" s="809"/>
      <c r="H569" s="809"/>
      <c r="I569" s="809"/>
      <c r="J569" s="809"/>
      <c r="K569" s="809"/>
      <c r="L569" s="809"/>
      <c r="M569" s="809"/>
      <c r="N569" s="809"/>
      <c r="O569" s="809"/>
      <c r="P569" s="809"/>
      <c r="Q569" s="809"/>
      <c r="R569" s="809"/>
      <c r="S569" s="809"/>
      <c r="T569" s="809"/>
      <c r="U569" s="809"/>
      <c r="V569" s="809"/>
      <c r="W569" s="809"/>
      <c r="X569" s="809"/>
      <c r="Y569" s="809"/>
      <c r="Z569" s="809"/>
      <c r="AA569" s="809"/>
      <c r="AB569" s="809"/>
      <c r="AC569" s="809"/>
      <c r="AD569" s="809"/>
      <c r="AE569" s="809"/>
      <c r="AF569" s="809"/>
      <c r="AG569" s="809"/>
      <c r="AH569" s="809"/>
      <c r="AI569" s="809"/>
      <c r="AJ569" s="809"/>
      <c r="AK569" s="809"/>
      <c r="AL569" s="809"/>
      <c r="AM569" s="809"/>
      <c r="AN569" s="809"/>
      <c r="AO569" s="809"/>
      <c r="AP569" s="809"/>
      <c r="AQ569" s="809"/>
      <c r="AR569" s="809"/>
      <c r="AS569" s="809"/>
      <c r="AT569" s="809"/>
      <c r="AU569" s="809"/>
      <c r="AV569" s="809"/>
      <c r="AW569" s="809"/>
      <c r="AX569" s="809"/>
      <c r="AY569" s="809"/>
      <c r="AZ569" s="809"/>
      <c r="BA569" s="809"/>
      <c r="BB569" s="809"/>
      <c r="BC569" s="809"/>
      <c r="BD569" s="809"/>
      <c r="BE569" s="809"/>
      <c r="BF569" s="809"/>
      <c r="BG569" s="809"/>
      <c r="BH569" s="809"/>
      <c r="BI569" s="809"/>
      <c r="BJ569" s="809"/>
      <c r="BK569" s="809"/>
      <c r="BL569" s="809"/>
      <c r="BM569" s="809"/>
      <c r="BN569" s="809"/>
    </row>
    <row r="570" spans="1:66">
      <c r="A570" s="809"/>
      <c r="B570" s="809"/>
      <c r="C570" s="809"/>
      <c r="D570" s="809"/>
      <c r="E570" s="809"/>
      <c r="F570" s="809"/>
      <c r="G570" s="809"/>
      <c r="H570" s="809"/>
      <c r="I570" s="809"/>
      <c r="J570" s="809"/>
      <c r="K570" s="809"/>
      <c r="L570" s="809"/>
      <c r="M570" s="809"/>
      <c r="N570" s="809"/>
      <c r="O570" s="809"/>
      <c r="P570" s="809"/>
      <c r="Q570" s="809"/>
      <c r="R570" s="809"/>
      <c r="S570" s="809"/>
      <c r="T570" s="809"/>
      <c r="U570" s="809"/>
      <c r="V570" s="809"/>
      <c r="W570" s="809"/>
      <c r="X570" s="809"/>
      <c r="Y570" s="809"/>
      <c r="Z570" s="809"/>
      <c r="AA570" s="809"/>
      <c r="AB570" s="809"/>
      <c r="AC570" s="809"/>
      <c r="AD570" s="809"/>
      <c r="AE570" s="809"/>
      <c r="AF570" s="809"/>
      <c r="AG570" s="809"/>
      <c r="AH570" s="809"/>
      <c r="AI570" s="809"/>
      <c r="AJ570" s="809"/>
      <c r="AK570" s="809"/>
      <c r="AL570" s="809"/>
      <c r="AM570" s="809"/>
      <c r="AN570" s="809"/>
      <c r="AO570" s="809"/>
      <c r="AP570" s="809"/>
      <c r="AQ570" s="809"/>
      <c r="AR570" s="809"/>
      <c r="AS570" s="809"/>
      <c r="AT570" s="809"/>
      <c r="AU570" s="809"/>
      <c r="AV570" s="809"/>
      <c r="AW570" s="809"/>
      <c r="AX570" s="809"/>
      <c r="AY570" s="809"/>
      <c r="AZ570" s="809"/>
      <c r="BA570" s="809"/>
      <c r="BB570" s="809"/>
      <c r="BC570" s="809"/>
      <c r="BD570" s="809"/>
      <c r="BE570" s="809"/>
      <c r="BF570" s="809"/>
      <c r="BG570" s="809"/>
      <c r="BH570" s="809"/>
      <c r="BI570" s="809"/>
      <c r="BJ570" s="809"/>
      <c r="BK570" s="809"/>
      <c r="BL570" s="809"/>
      <c r="BM570" s="809"/>
      <c r="BN570" s="809"/>
    </row>
    <row r="571" spans="1:66">
      <c r="A571" s="809"/>
      <c r="B571" s="809"/>
      <c r="C571" s="809"/>
      <c r="D571" s="809"/>
      <c r="E571" s="809"/>
      <c r="F571" s="809"/>
      <c r="G571" s="809"/>
      <c r="H571" s="809"/>
      <c r="I571" s="809"/>
      <c r="J571" s="809"/>
      <c r="K571" s="809"/>
      <c r="L571" s="809"/>
      <c r="M571" s="809"/>
      <c r="N571" s="809"/>
      <c r="O571" s="809"/>
      <c r="P571" s="809"/>
      <c r="Q571" s="809"/>
      <c r="R571" s="809"/>
      <c r="S571" s="809"/>
      <c r="T571" s="809"/>
      <c r="U571" s="809"/>
      <c r="V571" s="809"/>
      <c r="W571" s="809"/>
      <c r="X571" s="809"/>
      <c r="Y571" s="809"/>
      <c r="Z571" s="809"/>
      <c r="AA571" s="809"/>
      <c r="AB571" s="809"/>
      <c r="AC571" s="809"/>
      <c r="AD571" s="809"/>
      <c r="AE571" s="809"/>
      <c r="AF571" s="809"/>
      <c r="AG571" s="809"/>
      <c r="AH571" s="809"/>
      <c r="AI571" s="809"/>
      <c r="AJ571" s="809"/>
      <c r="AK571" s="809"/>
      <c r="AL571" s="809"/>
      <c r="AM571" s="809"/>
      <c r="AN571" s="809"/>
      <c r="AO571" s="809"/>
      <c r="AP571" s="809"/>
      <c r="AQ571" s="809"/>
      <c r="AR571" s="809"/>
      <c r="AS571" s="809"/>
      <c r="AT571" s="809"/>
      <c r="AU571" s="809"/>
      <c r="AV571" s="809"/>
      <c r="AW571" s="809"/>
      <c r="AX571" s="809"/>
      <c r="AY571" s="809"/>
      <c r="AZ571" s="809"/>
      <c r="BA571" s="809"/>
      <c r="BB571" s="809"/>
      <c r="BC571" s="809"/>
      <c r="BD571" s="809"/>
      <c r="BE571" s="809"/>
      <c r="BF571" s="809"/>
      <c r="BG571" s="809"/>
      <c r="BH571" s="809"/>
      <c r="BI571" s="809"/>
      <c r="BJ571" s="809"/>
      <c r="BK571" s="809"/>
      <c r="BL571" s="809"/>
      <c r="BM571" s="809"/>
      <c r="BN571" s="809"/>
    </row>
    <row r="572" spans="1:66">
      <c r="A572" s="809"/>
      <c r="B572" s="809"/>
      <c r="C572" s="809"/>
      <c r="D572" s="809"/>
      <c r="E572" s="809"/>
      <c r="F572" s="809"/>
      <c r="G572" s="809"/>
      <c r="H572" s="809"/>
      <c r="I572" s="809"/>
      <c r="J572" s="809"/>
      <c r="K572" s="809"/>
      <c r="L572" s="809"/>
      <c r="M572" s="809"/>
      <c r="N572" s="809"/>
      <c r="O572" s="809"/>
      <c r="P572" s="809"/>
      <c r="Q572" s="809"/>
      <c r="R572" s="809"/>
      <c r="S572" s="809"/>
      <c r="T572" s="809"/>
      <c r="U572" s="809"/>
      <c r="V572" s="809"/>
      <c r="W572" s="809"/>
      <c r="X572" s="809"/>
      <c r="Y572" s="809"/>
      <c r="Z572" s="809"/>
      <c r="AA572" s="809"/>
      <c r="AB572" s="809"/>
      <c r="AC572" s="809"/>
      <c r="AD572" s="809"/>
      <c r="AE572" s="809"/>
      <c r="AF572" s="809"/>
      <c r="AG572" s="809"/>
      <c r="AH572" s="809"/>
      <c r="AI572" s="809"/>
      <c r="AJ572" s="809"/>
      <c r="AK572" s="809"/>
      <c r="AL572" s="809"/>
      <c r="AM572" s="809"/>
      <c r="AN572" s="809"/>
      <c r="AO572" s="809"/>
      <c r="AP572" s="809"/>
      <c r="AQ572" s="809"/>
      <c r="AR572" s="809"/>
      <c r="AS572" s="809"/>
      <c r="AT572" s="809"/>
      <c r="AU572" s="809"/>
      <c r="AV572" s="809"/>
      <c r="AW572" s="809"/>
      <c r="AX572" s="809"/>
      <c r="AY572" s="809"/>
      <c r="AZ572" s="809"/>
      <c r="BA572" s="809"/>
      <c r="BB572" s="809"/>
      <c r="BC572" s="809"/>
      <c r="BD572" s="809"/>
      <c r="BE572" s="809"/>
      <c r="BF572" s="809"/>
      <c r="BG572" s="809"/>
      <c r="BH572" s="809"/>
      <c r="BI572" s="809"/>
      <c r="BJ572" s="809"/>
      <c r="BK572" s="809"/>
      <c r="BL572" s="809"/>
      <c r="BM572" s="809"/>
      <c r="BN572" s="809"/>
    </row>
    <row r="573" spans="1:66">
      <c r="A573" s="809"/>
      <c r="B573" s="809"/>
      <c r="C573" s="809"/>
      <c r="D573" s="809"/>
      <c r="E573" s="809"/>
      <c r="F573" s="809"/>
      <c r="G573" s="809"/>
      <c r="H573" s="809"/>
      <c r="I573" s="809"/>
      <c r="J573" s="809"/>
      <c r="K573" s="809"/>
      <c r="L573" s="809"/>
      <c r="M573" s="809"/>
      <c r="N573" s="809"/>
      <c r="O573" s="809"/>
      <c r="P573" s="809"/>
      <c r="Q573" s="809"/>
      <c r="R573" s="809"/>
      <c r="S573" s="809"/>
      <c r="T573" s="809"/>
      <c r="U573" s="809"/>
      <c r="V573" s="809"/>
      <c r="W573" s="809"/>
      <c r="X573" s="809"/>
      <c r="Y573" s="809"/>
      <c r="Z573" s="809"/>
      <c r="AA573" s="809"/>
      <c r="AB573" s="809"/>
      <c r="AC573" s="809"/>
      <c r="AD573" s="809"/>
      <c r="AE573" s="809"/>
      <c r="AF573" s="809"/>
      <c r="AG573" s="809"/>
      <c r="AH573" s="809"/>
      <c r="AI573" s="809"/>
      <c r="AJ573" s="809"/>
      <c r="AK573" s="809"/>
      <c r="AL573" s="809"/>
      <c r="AM573" s="809"/>
      <c r="AN573" s="809"/>
      <c r="AO573" s="809"/>
      <c r="AP573" s="809"/>
      <c r="AQ573" s="809"/>
      <c r="AR573" s="809"/>
      <c r="AS573" s="809"/>
      <c r="AT573" s="809"/>
      <c r="AU573" s="809"/>
      <c r="AV573" s="809"/>
      <c r="AW573" s="809"/>
      <c r="AX573" s="809"/>
      <c r="AY573" s="809"/>
      <c r="AZ573" s="809"/>
      <c r="BA573" s="809"/>
      <c r="BB573" s="809"/>
      <c r="BC573" s="809"/>
      <c r="BD573" s="809"/>
      <c r="BE573" s="809"/>
      <c r="BF573" s="809"/>
      <c r="BG573" s="809"/>
      <c r="BH573" s="809"/>
      <c r="BI573" s="809"/>
      <c r="BJ573" s="809"/>
      <c r="BK573" s="809"/>
      <c r="BL573" s="809"/>
      <c r="BM573" s="809"/>
      <c r="BN573" s="809"/>
    </row>
    <row r="574" spans="1:66">
      <c r="A574" s="809"/>
      <c r="B574" s="809"/>
      <c r="C574" s="809"/>
      <c r="D574" s="809"/>
      <c r="E574" s="809"/>
      <c r="F574" s="809"/>
      <c r="G574" s="809"/>
      <c r="H574" s="809"/>
      <c r="I574" s="809"/>
      <c r="J574" s="809"/>
      <c r="K574" s="809"/>
      <c r="L574" s="809"/>
      <c r="M574" s="809"/>
      <c r="N574" s="809"/>
      <c r="O574" s="809"/>
      <c r="P574" s="809"/>
      <c r="Q574" s="809"/>
      <c r="R574" s="809"/>
      <c r="S574" s="809"/>
      <c r="T574" s="809"/>
      <c r="U574" s="809"/>
      <c r="V574" s="809"/>
      <c r="W574" s="809"/>
      <c r="X574" s="809"/>
      <c r="Y574" s="809"/>
      <c r="Z574" s="809"/>
      <c r="AA574" s="809"/>
      <c r="AB574" s="809"/>
      <c r="AC574" s="809"/>
      <c r="AD574" s="809"/>
      <c r="AE574" s="809"/>
      <c r="AF574" s="809"/>
      <c r="AG574" s="809"/>
      <c r="AH574" s="809"/>
      <c r="AI574" s="809"/>
      <c r="AJ574" s="809"/>
      <c r="AK574" s="809"/>
      <c r="AL574" s="809"/>
      <c r="AM574" s="809"/>
      <c r="AN574" s="809"/>
      <c r="AO574" s="809"/>
      <c r="AP574" s="809"/>
      <c r="AQ574" s="809"/>
      <c r="AR574" s="809"/>
      <c r="AS574" s="809"/>
      <c r="AT574" s="809"/>
      <c r="AU574" s="809"/>
      <c r="AV574" s="809"/>
      <c r="AW574" s="809"/>
      <c r="AX574" s="809"/>
      <c r="AY574" s="809"/>
      <c r="AZ574" s="809"/>
      <c r="BA574" s="809"/>
      <c r="BB574" s="809"/>
      <c r="BC574" s="809"/>
      <c r="BD574" s="809"/>
      <c r="BE574" s="809"/>
      <c r="BF574" s="809"/>
      <c r="BG574" s="809"/>
      <c r="BH574" s="809"/>
      <c r="BI574" s="809"/>
      <c r="BJ574" s="809"/>
      <c r="BK574" s="809"/>
      <c r="BL574" s="809"/>
      <c r="BM574" s="809"/>
      <c r="BN574" s="809"/>
    </row>
    <row r="575" spans="1:66">
      <c r="A575" s="809"/>
      <c r="B575" s="809"/>
      <c r="C575" s="809"/>
      <c r="D575" s="809"/>
      <c r="E575" s="809"/>
      <c r="F575" s="809"/>
      <c r="G575" s="809"/>
      <c r="H575" s="809"/>
      <c r="I575" s="809"/>
      <c r="J575" s="809"/>
      <c r="K575" s="809"/>
      <c r="L575" s="809"/>
      <c r="M575" s="809"/>
      <c r="N575" s="809"/>
      <c r="O575" s="809"/>
      <c r="P575" s="809"/>
      <c r="Q575" s="809"/>
      <c r="R575" s="809"/>
      <c r="S575" s="809"/>
      <c r="T575" s="809"/>
      <c r="U575" s="809"/>
      <c r="V575" s="809"/>
      <c r="W575" s="809"/>
      <c r="X575" s="809"/>
      <c r="Y575" s="809"/>
      <c r="Z575" s="809"/>
      <c r="AA575" s="809"/>
      <c r="AB575" s="809"/>
      <c r="AC575" s="809"/>
      <c r="AD575" s="809"/>
      <c r="AE575" s="809"/>
      <c r="AF575" s="809"/>
      <c r="AG575" s="809"/>
      <c r="AH575" s="809"/>
      <c r="AI575" s="809"/>
      <c r="AJ575" s="809"/>
      <c r="AK575" s="809"/>
      <c r="AL575" s="809"/>
      <c r="AM575" s="809"/>
      <c r="AN575" s="809"/>
      <c r="AO575" s="809"/>
      <c r="AP575" s="809"/>
      <c r="AQ575" s="809"/>
      <c r="AR575" s="809"/>
      <c r="AS575" s="809"/>
      <c r="AT575" s="809"/>
      <c r="AU575" s="809"/>
      <c r="AV575" s="809"/>
      <c r="AW575" s="809"/>
      <c r="AX575" s="809"/>
      <c r="AY575" s="809"/>
      <c r="AZ575" s="809"/>
      <c r="BA575" s="809"/>
      <c r="BB575" s="809"/>
      <c r="BC575" s="809"/>
      <c r="BD575" s="809"/>
      <c r="BE575" s="809"/>
      <c r="BF575" s="809"/>
      <c r="BG575" s="809"/>
      <c r="BH575" s="809"/>
      <c r="BI575" s="809"/>
      <c r="BJ575" s="809"/>
      <c r="BK575" s="809"/>
      <c r="BL575" s="809"/>
      <c r="BM575" s="809"/>
      <c r="BN575" s="809"/>
    </row>
    <row r="576" spans="1:66">
      <c r="A576" s="809"/>
      <c r="B576" s="809"/>
      <c r="C576" s="809"/>
      <c r="D576" s="809"/>
      <c r="E576" s="809"/>
      <c r="F576" s="809"/>
      <c r="G576" s="809"/>
      <c r="H576" s="809"/>
      <c r="I576" s="809"/>
      <c r="J576" s="809"/>
      <c r="K576" s="809"/>
      <c r="L576" s="809"/>
      <c r="M576" s="809"/>
      <c r="N576" s="809"/>
      <c r="O576" s="809"/>
      <c r="P576" s="809"/>
      <c r="Q576" s="809"/>
      <c r="R576" s="809"/>
      <c r="S576" s="809"/>
      <c r="T576" s="809"/>
      <c r="U576" s="809"/>
      <c r="V576" s="809"/>
      <c r="W576" s="809"/>
      <c r="X576" s="809"/>
      <c r="Y576" s="809"/>
      <c r="Z576" s="809"/>
      <c r="AA576" s="809"/>
      <c r="AB576" s="809"/>
      <c r="AC576" s="809"/>
      <c r="AD576" s="809"/>
      <c r="AE576" s="809"/>
      <c r="AF576" s="809"/>
      <c r="AG576" s="809"/>
      <c r="AH576" s="809"/>
      <c r="AI576" s="809"/>
      <c r="AJ576" s="809"/>
      <c r="AK576" s="809"/>
      <c r="AL576" s="809"/>
      <c r="AM576" s="809"/>
      <c r="AN576" s="809"/>
      <c r="AO576" s="809"/>
      <c r="AP576" s="809"/>
      <c r="AQ576" s="809"/>
      <c r="AR576" s="809"/>
      <c r="AS576" s="809"/>
      <c r="AT576" s="809"/>
      <c r="AU576" s="809"/>
      <c r="AV576" s="809"/>
      <c r="AW576" s="809"/>
      <c r="AX576" s="809"/>
      <c r="AY576" s="809"/>
      <c r="AZ576" s="809"/>
      <c r="BA576" s="809"/>
      <c r="BB576" s="809"/>
      <c r="BC576" s="809"/>
      <c r="BD576" s="809"/>
      <c r="BE576" s="809"/>
      <c r="BF576" s="809"/>
      <c r="BG576" s="809"/>
      <c r="BH576" s="809"/>
      <c r="BI576" s="809"/>
      <c r="BJ576" s="809"/>
      <c r="BK576" s="809"/>
      <c r="BL576" s="809"/>
      <c r="BM576" s="809"/>
      <c r="BN576" s="809"/>
    </row>
    <row r="577" spans="1:66">
      <c r="A577" s="809"/>
      <c r="B577" s="809"/>
      <c r="C577" s="809"/>
      <c r="D577" s="809"/>
      <c r="E577" s="809"/>
      <c r="F577" s="809"/>
      <c r="G577" s="809"/>
      <c r="H577" s="809"/>
      <c r="I577" s="809"/>
      <c r="J577" s="809"/>
      <c r="K577" s="809"/>
      <c r="L577" s="809"/>
      <c r="M577" s="809"/>
      <c r="N577" s="809"/>
      <c r="O577" s="809"/>
      <c r="P577" s="809"/>
      <c r="Q577" s="809"/>
      <c r="R577" s="809"/>
      <c r="S577" s="809"/>
      <c r="T577" s="809"/>
      <c r="U577" s="809"/>
      <c r="V577" s="809"/>
      <c r="W577" s="809"/>
      <c r="X577" s="809"/>
      <c r="Y577" s="809"/>
      <c r="Z577" s="809"/>
      <c r="AA577" s="809"/>
      <c r="AB577" s="809"/>
      <c r="AC577" s="809"/>
      <c r="AD577" s="809"/>
      <c r="AE577" s="809"/>
      <c r="AF577" s="809"/>
      <c r="AG577" s="809"/>
      <c r="AH577" s="809"/>
      <c r="AI577" s="809"/>
      <c r="AJ577" s="809"/>
      <c r="AK577" s="809"/>
      <c r="AL577" s="809"/>
      <c r="AM577" s="809"/>
      <c r="AN577" s="809"/>
      <c r="AO577" s="809"/>
      <c r="AP577" s="809"/>
      <c r="AQ577" s="809"/>
      <c r="AR577" s="809"/>
      <c r="AS577" s="809"/>
      <c r="AT577" s="809"/>
      <c r="AU577" s="809"/>
      <c r="AV577" s="809"/>
      <c r="AW577" s="809"/>
      <c r="AX577" s="809"/>
      <c r="AY577" s="809"/>
      <c r="AZ577" s="809"/>
      <c r="BA577" s="809"/>
      <c r="BB577" s="809"/>
      <c r="BC577" s="809"/>
      <c r="BD577" s="809"/>
      <c r="BE577" s="809"/>
      <c r="BF577" s="809"/>
      <c r="BG577" s="809"/>
      <c r="BH577" s="809"/>
      <c r="BI577" s="809"/>
      <c r="BJ577" s="809"/>
      <c r="BK577" s="809"/>
      <c r="BL577" s="809"/>
      <c r="BM577" s="809"/>
      <c r="BN577" s="809"/>
    </row>
    <row r="578" spans="1:66">
      <c r="A578" s="809"/>
      <c r="B578" s="809"/>
      <c r="C578" s="809"/>
      <c r="D578" s="809"/>
      <c r="E578" s="809"/>
      <c r="F578" s="809"/>
      <c r="G578" s="809"/>
      <c r="H578" s="809"/>
      <c r="I578" s="809"/>
      <c r="J578" s="809"/>
      <c r="K578" s="809"/>
      <c r="L578" s="809"/>
      <c r="M578" s="809"/>
      <c r="N578" s="809"/>
      <c r="O578" s="809"/>
      <c r="P578" s="809"/>
      <c r="Q578" s="809"/>
      <c r="R578" s="809"/>
      <c r="S578" s="809"/>
      <c r="T578" s="809"/>
      <c r="U578" s="809"/>
      <c r="V578" s="809"/>
      <c r="W578" s="809"/>
      <c r="X578" s="809"/>
      <c r="Y578" s="809"/>
      <c r="Z578" s="809"/>
      <c r="AA578" s="809"/>
      <c r="AB578" s="809"/>
      <c r="AC578" s="809"/>
      <c r="AD578" s="809"/>
      <c r="AE578" s="809"/>
      <c r="AF578" s="809"/>
      <c r="AG578" s="809"/>
      <c r="AH578" s="809"/>
      <c r="AI578" s="809"/>
      <c r="AJ578" s="809"/>
      <c r="AK578" s="809"/>
      <c r="AL578" s="809"/>
      <c r="AM578" s="809"/>
      <c r="AN578" s="809"/>
      <c r="AO578" s="809"/>
      <c r="AP578" s="809"/>
      <c r="AQ578" s="809"/>
      <c r="AR578" s="809"/>
      <c r="AS578" s="809"/>
      <c r="AT578" s="809"/>
      <c r="AU578" s="809"/>
      <c r="AV578" s="809"/>
      <c r="AW578" s="809"/>
      <c r="AX578" s="809"/>
      <c r="AY578" s="809"/>
      <c r="AZ578" s="809"/>
      <c r="BA578" s="809"/>
      <c r="BB578" s="809"/>
      <c r="BC578" s="809"/>
      <c r="BD578" s="809"/>
      <c r="BE578" s="809"/>
      <c r="BF578" s="809"/>
      <c r="BG578" s="809"/>
      <c r="BH578" s="809"/>
      <c r="BI578" s="809"/>
      <c r="BJ578" s="809"/>
      <c r="BK578" s="809"/>
      <c r="BL578" s="809"/>
      <c r="BM578" s="809"/>
      <c r="BN578" s="809"/>
    </row>
    <row r="579" spans="1:66">
      <c r="A579" s="809"/>
      <c r="B579" s="809"/>
      <c r="C579" s="809"/>
      <c r="D579" s="809"/>
      <c r="E579" s="809"/>
      <c r="F579" s="809"/>
      <c r="G579" s="809"/>
      <c r="H579" s="809"/>
      <c r="I579" s="809"/>
      <c r="J579" s="809"/>
      <c r="K579" s="809"/>
      <c r="L579" s="809"/>
      <c r="M579" s="809"/>
      <c r="N579" s="809"/>
      <c r="O579" s="809"/>
      <c r="P579" s="809"/>
      <c r="Q579" s="809"/>
      <c r="R579" s="809"/>
      <c r="S579" s="809"/>
      <c r="T579" s="809"/>
      <c r="U579" s="809"/>
      <c r="V579" s="809"/>
      <c r="W579" s="809"/>
      <c r="X579" s="809"/>
      <c r="Y579" s="809"/>
      <c r="Z579" s="809"/>
      <c r="AA579" s="809"/>
      <c r="AB579" s="809"/>
      <c r="AC579" s="809"/>
      <c r="AD579" s="809"/>
      <c r="AE579" s="809"/>
      <c r="AF579" s="809"/>
      <c r="AG579" s="809"/>
      <c r="AH579" s="809"/>
      <c r="AI579" s="809"/>
      <c r="AJ579" s="809"/>
      <c r="AK579" s="809"/>
      <c r="AL579" s="809"/>
      <c r="AM579" s="809"/>
      <c r="AN579" s="809"/>
      <c r="AO579" s="809"/>
      <c r="AP579" s="809"/>
      <c r="AQ579" s="809"/>
      <c r="AR579" s="809"/>
      <c r="AS579" s="809"/>
      <c r="AT579" s="809"/>
      <c r="AU579" s="809"/>
      <c r="AV579" s="809"/>
      <c r="AW579" s="809"/>
      <c r="AX579" s="809"/>
      <c r="AY579" s="809"/>
      <c r="AZ579" s="809"/>
      <c r="BA579" s="809"/>
      <c r="BB579" s="809"/>
      <c r="BC579" s="809"/>
      <c r="BD579" s="809"/>
      <c r="BE579" s="809"/>
      <c r="BF579" s="809"/>
      <c r="BG579" s="809"/>
      <c r="BH579" s="809"/>
      <c r="BI579" s="809"/>
      <c r="BJ579" s="809"/>
      <c r="BK579" s="809"/>
      <c r="BL579" s="809"/>
      <c r="BM579" s="809"/>
      <c r="BN579" s="809"/>
    </row>
    <row r="580" spans="1:66">
      <c r="A580" s="809"/>
      <c r="B580" s="809"/>
      <c r="C580" s="809"/>
      <c r="D580" s="809"/>
      <c r="E580" s="809"/>
      <c r="F580" s="809"/>
      <c r="G580" s="809"/>
      <c r="H580" s="809"/>
      <c r="I580" s="809"/>
      <c r="J580" s="809"/>
      <c r="K580" s="809"/>
      <c r="L580" s="809"/>
      <c r="M580" s="809"/>
      <c r="N580" s="809"/>
      <c r="O580" s="809"/>
      <c r="P580" s="809"/>
      <c r="Q580" s="809"/>
      <c r="R580" s="809"/>
      <c r="S580" s="809"/>
      <c r="T580" s="809"/>
      <c r="U580" s="809"/>
      <c r="V580" s="809"/>
      <c r="W580" s="809"/>
      <c r="X580" s="809"/>
      <c r="Y580" s="809"/>
      <c r="Z580" s="809"/>
      <c r="AA580" s="809"/>
      <c r="AB580" s="809"/>
      <c r="AC580" s="809"/>
      <c r="AD580" s="809"/>
      <c r="AE580" s="809"/>
      <c r="AF580" s="809"/>
      <c r="AG580" s="809"/>
      <c r="AH580" s="809"/>
      <c r="AI580" s="809"/>
      <c r="AJ580" s="809"/>
      <c r="AK580" s="809"/>
      <c r="AL580" s="809"/>
      <c r="AM580" s="809"/>
      <c r="AN580" s="809"/>
      <c r="AO580" s="809"/>
      <c r="AP580" s="809"/>
      <c r="AQ580" s="809"/>
      <c r="AR580" s="809"/>
      <c r="AS580" s="809"/>
      <c r="AT580" s="809"/>
      <c r="AU580" s="809"/>
      <c r="AV580" s="809"/>
      <c r="AW580" s="809"/>
      <c r="AX580" s="809"/>
      <c r="AY580" s="809"/>
      <c r="AZ580" s="809"/>
      <c r="BA580" s="809"/>
      <c r="BB580" s="809"/>
      <c r="BC580" s="809"/>
      <c r="BD580" s="809"/>
      <c r="BE580" s="809"/>
      <c r="BF580" s="809"/>
      <c r="BG580" s="809"/>
      <c r="BH580" s="809"/>
      <c r="BI580" s="809"/>
      <c r="BJ580" s="809"/>
      <c r="BK580" s="809"/>
      <c r="BL580" s="809"/>
      <c r="BM580" s="809"/>
      <c r="BN580" s="809"/>
    </row>
    <row r="581" spans="1:66">
      <c r="A581" s="809"/>
      <c r="B581" s="809"/>
      <c r="C581" s="809"/>
      <c r="D581" s="809"/>
      <c r="E581" s="809"/>
      <c r="F581" s="809"/>
      <c r="G581" s="809"/>
      <c r="H581" s="809"/>
      <c r="I581" s="809"/>
      <c r="J581" s="809"/>
      <c r="K581" s="809"/>
      <c r="L581" s="809"/>
      <c r="M581" s="809"/>
      <c r="N581" s="809"/>
      <c r="O581" s="809"/>
      <c r="P581" s="809"/>
      <c r="Q581" s="809"/>
      <c r="R581" s="809"/>
      <c r="S581" s="809"/>
      <c r="T581" s="809"/>
      <c r="U581" s="809"/>
      <c r="V581" s="809"/>
      <c r="W581" s="809"/>
      <c r="X581" s="809"/>
      <c r="Y581" s="809"/>
      <c r="Z581" s="809"/>
      <c r="AA581" s="809"/>
      <c r="AB581" s="809"/>
      <c r="AC581" s="809"/>
      <c r="AD581" s="809"/>
      <c r="AE581" s="809"/>
      <c r="AF581" s="809"/>
      <c r="AG581" s="809"/>
      <c r="AH581" s="809"/>
      <c r="AI581" s="809"/>
      <c r="AJ581" s="809"/>
      <c r="AK581" s="809"/>
      <c r="AL581" s="809"/>
      <c r="AM581" s="809"/>
      <c r="AN581" s="809"/>
      <c r="AO581" s="809"/>
      <c r="AP581" s="809"/>
      <c r="AQ581" s="809"/>
      <c r="AR581" s="809"/>
      <c r="AS581" s="809"/>
      <c r="AT581" s="809"/>
      <c r="AU581" s="809"/>
      <c r="AV581" s="809"/>
      <c r="AW581" s="809"/>
      <c r="AX581" s="809"/>
      <c r="AY581" s="809"/>
      <c r="AZ581" s="809"/>
      <c r="BA581" s="809"/>
      <c r="BB581" s="809"/>
      <c r="BC581" s="809"/>
      <c r="BD581" s="809"/>
      <c r="BE581" s="809"/>
      <c r="BF581" s="809"/>
      <c r="BG581" s="809"/>
      <c r="BH581" s="809"/>
      <c r="BI581" s="809"/>
      <c r="BJ581" s="809"/>
      <c r="BK581" s="809"/>
      <c r="BL581" s="809"/>
      <c r="BM581" s="809"/>
      <c r="BN581" s="809"/>
    </row>
    <row r="582" spans="1:66">
      <c r="A582" s="809"/>
      <c r="B582" s="809"/>
      <c r="C582" s="809"/>
      <c r="D582" s="809"/>
      <c r="E582" s="809"/>
      <c r="F582" s="809"/>
      <c r="G582" s="809"/>
      <c r="H582" s="809"/>
      <c r="I582" s="809"/>
      <c r="J582" s="809"/>
      <c r="K582" s="809"/>
      <c r="L582" s="809"/>
      <c r="M582" s="809"/>
      <c r="N582" s="809"/>
      <c r="O582" s="809"/>
      <c r="P582" s="809"/>
      <c r="Q582" s="809"/>
      <c r="R582" s="809"/>
      <c r="S582" s="809"/>
      <c r="T582" s="809"/>
      <c r="U582" s="809"/>
      <c r="V582" s="809"/>
      <c r="W582" s="809"/>
      <c r="X582" s="809"/>
      <c r="Y582" s="809"/>
      <c r="Z582" s="809"/>
      <c r="AA582" s="809"/>
      <c r="AB582" s="809"/>
      <c r="AC582" s="809"/>
      <c r="AD582" s="809"/>
      <c r="AE582" s="809"/>
      <c r="AF582" s="809"/>
      <c r="AG582" s="809"/>
      <c r="AH582" s="809"/>
      <c r="AI582" s="809"/>
      <c r="AJ582" s="809"/>
      <c r="AK582" s="809"/>
      <c r="AL582" s="809"/>
      <c r="AM582" s="809"/>
      <c r="AN582" s="809"/>
      <c r="AO582" s="809"/>
      <c r="AP582" s="809"/>
      <c r="AQ582" s="809"/>
      <c r="AR582" s="809"/>
      <c r="AS582" s="809"/>
      <c r="AT582" s="809"/>
      <c r="AU582" s="809"/>
      <c r="AV582" s="809"/>
      <c r="AW582" s="809"/>
      <c r="AX582" s="809"/>
      <c r="AY582" s="809"/>
      <c r="AZ582" s="809"/>
      <c r="BA582" s="809"/>
      <c r="BB582" s="809"/>
      <c r="BC582" s="809"/>
      <c r="BD582" s="809"/>
      <c r="BE582" s="809"/>
      <c r="BF582" s="809"/>
      <c r="BG582" s="809"/>
      <c r="BH582" s="809"/>
      <c r="BI582" s="809"/>
      <c r="BJ582" s="809"/>
      <c r="BK582" s="809"/>
      <c r="BL582" s="809"/>
      <c r="BM582" s="809"/>
      <c r="BN582" s="809"/>
    </row>
    <row r="583" spans="1:66">
      <c r="A583" s="809"/>
      <c r="B583" s="809"/>
      <c r="C583" s="809"/>
      <c r="D583" s="809"/>
      <c r="E583" s="809"/>
      <c r="F583" s="809"/>
      <c r="G583" s="809"/>
      <c r="H583" s="809"/>
      <c r="I583" s="809"/>
      <c r="J583" s="809"/>
      <c r="K583" s="809"/>
      <c r="L583" s="809"/>
      <c r="M583" s="809"/>
      <c r="N583" s="809"/>
      <c r="O583" s="809"/>
      <c r="P583" s="809"/>
      <c r="Q583" s="809"/>
      <c r="R583" s="809"/>
      <c r="S583" s="809"/>
      <c r="T583" s="809"/>
      <c r="U583" s="809"/>
      <c r="V583" s="809"/>
      <c r="W583" s="809"/>
      <c r="X583" s="809"/>
      <c r="Y583" s="809"/>
      <c r="Z583" s="809"/>
      <c r="AA583" s="809"/>
      <c r="AB583" s="809"/>
      <c r="AC583" s="809"/>
      <c r="AD583" s="809"/>
      <c r="AE583" s="809"/>
      <c r="AF583" s="809"/>
      <c r="AG583" s="809"/>
      <c r="AH583" s="809"/>
      <c r="AI583" s="809"/>
      <c r="AJ583" s="809"/>
      <c r="AK583" s="809"/>
      <c r="AL583" s="809"/>
      <c r="AM583" s="809"/>
      <c r="AN583" s="809"/>
      <c r="AO583" s="809"/>
      <c r="AP583" s="809"/>
      <c r="AQ583" s="809"/>
      <c r="AR583" s="809"/>
      <c r="AS583" s="809"/>
      <c r="AT583" s="809"/>
      <c r="AU583" s="809"/>
      <c r="AV583" s="809"/>
      <c r="AW583" s="809"/>
      <c r="AX583" s="809"/>
      <c r="AY583" s="809"/>
      <c r="AZ583" s="809"/>
      <c r="BA583" s="809"/>
      <c r="BB583" s="809"/>
      <c r="BC583" s="809"/>
      <c r="BD583" s="809"/>
      <c r="BE583" s="809"/>
      <c r="BF583" s="809"/>
      <c r="BG583" s="809"/>
      <c r="BH583" s="809"/>
      <c r="BI583" s="809"/>
      <c r="BJ583" s="809"/>
      <c r="BK583" s="809"/>
      <c r="BL583" s="809"/>
      <c r="BM583" s="809"/>
      <c r="BN583" s="809"/>
    </row>
    <row r="584" spans="1:66">
      <c r="A584" s="809"/>
      <c r="B584" s="809"/>
      <c r="C584" s="809"/>
      <c r="D584" s="809"/>
      <c r="E584" s="809"/>
      <c r="F584" s="809"/>
      <c r="G584" s="809"/>
      <c r="H584" s="809"/>
      <c r="I584" s="809"/>
      <c r="J584" s="809"/>
      <c r="K584" s="809"/>
      <c r="L584" s="809"/>
      <c r="M584" s="809"/>
      <c r="N584" s="809"/>
      <c r="O584" s="809"/>
      <c r="P584" s="809"/>
      <c r="Q584" s="809"/>
      <c r="R584" s="809"/>
      <c r="S584" s="809"/>
      <c r="T584" s="809"/>
      <c r="U584" s="809"/>
      <c r="V584" s="809"/>
      <c r="W584" s="809"/>
      <c r="X584" s="809"/>
      <c r="Y584" s="809"/>
      <c r="Z584" s="809"/>
      <c r="AA584" s="809"/>
      <c r="AB584" s="809"/>
      <c r="AC584" s="809"/>
      <c r="AD584" s="809"/>
      <c r="AE584" s="809"/>
      <c r="AF584" s="809"/>
      <c r="AG584" s="809"/>
      <c r="AH584" s="809"/>
      <c r="AI584" s="809"/>
      <c r="AJ584" s="809"/>
      <c r="AK584" s="809"/>
      <c r="AL584" s="809"/>
      <c r="AM584" s="809"/>
      <c r="AN584" s="809"/>
      <c r="AO584" s="809"/>
      <c r="AP584" s="809"/>
      <c r="AQ584" s="809"/>
      <c r="AR584" s="809"/>
      <c r="AS584" s="809"/>
      <c r="AT584" s="809"/>
      <c r="AU584" s="809"/>
      <c r="AV584" s="809"/>
      <c r="AW584" s="809"/>
      <c r="AX584" s="809"/>
      <c r="AY584" s="809"/>
      <c r="AZ584" s="809"/>
      <c r="BA584" s="809"/>
      <c r="BB584" s="809"/>
      <c r="BC584" s="809"/>
      <c r="BD584" s="809"/>
      <c r="BE584" s="809"/>
      <c r="BF584" s="809"/>
      <c r="BG584" s="809"/>
      <c r="BH584" s="809"/>
      <c r="BI584" s="809"/>
      <c r="BJ584" s="809"/>
      <c r="BK584" s="809"/>
      <c r="BL584" s="809"/>
      <c r="BM584" s="809"/>
      <c r="BN584" s="809"/>
    </row>
    <row r="585" spans="1:66">
      <c r="A585" s="809"/>
      <c r="B585" s="809"/>
      <c r="C585" s="809"/>
      <c r="D585" s="809"/>
      <c r="E585" s="809"/>
      <c r="F585" s="809"/>
      <c r="G585" s="809"/>
      <c r="H585" s="809"/>
      <c r="I585" s="809"/>
      <c r="J585" s="809"/>
      <c r="K585" s="809"/>
      <c r="L585" s="809"/>
      <c r="M585" s="809"/>
      <c r="N585" s="809"/>
      <c r="O585" s="809"/>
      <c r="P585" s="809"/>
      <c r="Q585" s="809"/>
      <c r="R585" s="809"/>
      <c r="S585" s="809"/>
      <c r="T585" s="809"/>
      <c r="U585" s="809"/>
      <c r="V585" s="809"/>
      <c r="W585" s="809"/>
      <c r="X585" s="809"/>
      <c r="Y585" s="809"/>
      <c r="Z585" s="809"/>
      <c r="AA585" s="809"/>
      <c r="AB585" s="809"/>
      <c r="AC585" s="809"/>
      <c r="AD585" s="809"/>
      <c r="AE585" s="809"/>
      <c r="AF585" s="809"/>
      <c r="AG585" s="809"/>
      <c r="AH585" s="809"/>
      <c r="AI585" s="809"/>
      <c r="AJ585" s="809"/>
      <c r="AK585" s="809"/>
      <c r="AL585" s="809"/>
      <c r="AM585" s="809"/>
      <c r="AN585" s="809"/>
      <c r="AO585" s="809"/>
      <c r="AP585" s="809"/>
      <c r="AQ585" s="809"/>
      <c r="AR585" s="809"/>
      <c r="AS585" s="809"/>
      <c r="AT585" s="809"/>
      <c r="AU585" s="809"/>
      <c r="AV585" s="809"/>
      <c r="AW585" s="809"/>
      <c r="AX585" s="809"/>
      <c r="AY585" s="809"/>
      <c r="AZ585" s="809"/>
      <c r="BA585" s="809"/>
      <c r="BB585" s="809"/>
      <c r="BC585" s="809"/>
      <c r="BD585" s="809"/>
      <c r="BE585" s="809"/>
      <c r="BF585" s="809"/>
      <c r="BG585" s="809"/>
      <c r="BH585" s="809"/>
      <c r="BI585" s="809"/>
      <c r="BJ585" s="809"/>
      <c r="BK585" s="809"/>
      <c r="BL585" s="809"/>
      <c r="BM585" s="809"/>
      <c r="BN585" s="809"/>
    </row>
    <row r="586" spans="1:66">
      <c r="A586" s="809"/>
      <c r="B586" s="809"/>
      <c r="C586" s="809"/>
      <c r="D586" s="809"/>
      <c r="E586" s="809"/>
      <c r="F586" s="809"/>
      <c r="G586" s="809"/>
      <c r="H586" s="809"/>
      <c r="I586" s="809"/>
      <c r="J586" s="809"/>
      <c r="K586" s="809"/>
      <c r="L586" s="809"/>
      <c r="M586" s="809"/>
      <c r="N586" s="809"/>
      <c r="O586" s="809"/>
      <c r="P586" s="809"/>
      <c r="Q586" s="809"/>
      <c r="R586" s="809"/>
      <c r="S586" s="809"/>
      <c r="T586" s="809"/>
      <c r="U586" s="809"/>
      <c r="V586" s="809"/>
      <c r="W586" s="809"/>
      <c r="X586" s="809"/>
      <c r="Y586" s="809"/>
      <c r="Z586" s="809"/>
      <c r="AA586" s="809"/>
      <c r="AB586" s="809"/>
      <c r="AC586" s="809"/>
      <c r="AD586" s="809"/>
      <c r="AE586" s="809"/>
      <c r="AF586" s="809"/>
      <c r="AG586" s="809"/>
      <c r="AH586" s="809"/>
      <c r="AI586" s="809"/>
      <c r="AJ586" s="809"/>
      <c r="AK586" s="809"/>
      <c r="AL586" s="809"/>
      <c r="AM586" s="809"/>
      <c r="AN586" s="809"/>
      <c r="AO586" s="809"/>
      <c r="AP586" s="809"/>
      <c r="AQ586" s="809"/>
      <c r="AR586" s="809"/>
      <c r="AS586" s="809"/>
      <c r="AT586" s="809"/>
      <c r="AU586" s="809"/>
      <c r="AV586" s="809"/>
      <c r="AW586" s="809"/>
      <c r="AX586" s="809"/>
      <c r="AY586" s="809"/>
      <c r="AZ586" s="809"/>
      <c r="BA586" s="809"/>
      <c r="BB586" s="809"/>
      <c r="BC586" s="809"/>
      <c r="BD586" s="809"/>
      <c r="BE586" s="809"/>
      <c r="BF586" s="809"/>
      <c r="BG586" s="809"/>
      <c r="BH586" s="809"/>
      <c r="BI586" s="809"/>
      <c r="BJ586" s="809"/>
      <c r="BK586" s="809"/>
      <c r="BL586" s="809"/>
      <c r="BM586" s="809"/>
      <c r="BN586" s="809"/>
    </row>
    <row r="587" spans="1:66">
      <c r="A587" s="809"/>
      <c r="B587" s="809"/>
      <c r="C587" s="809"/>
      <c r="D587" s="809"/>
      <c r="E587" s="809"/>
      <c r="F587" s="809"/>
      <c r="G587" s="809"/>
      <c r="H587" s="809"/>
      <c r="I587" s="809"/>
      <c r="J587" s="809"/>
      <c r="K587" s="809"/>
      <c r="L587" s="809"/>
      <c r="M587" s="809"/>
      <c r="N587" s="809"/>
      <c r="O587" s="809"/>
      <c r="P587" s="809"/>
      <c r="Q587" s="809"/>
      <c r="R587" s="809"/>
      <c r="S587" s="809"/>
      <c r="T587" s="809"/>
      <c r="U587" s="809"/>
      <c r="V587" s="809"/>
      <c r="W587" s="809"/>
      <c r="X587" s="809"/>
      <c r="Y587" s="809"/>
      <c r="Z587" s="809"/>
      <c r="AA587" s="809"/>
      <c r="AB587" s="809"/>
      <c r="AC587" s="809"/>
      <c r="AD587" s="809"/>
      <c r="AE587" s="809"/>
      <c r="AF587" s="809"/>
      <c r="AG587" s="809"/>
      <c r="AH587" s="809"/>
      <c r="AI587" s="809"/>
      <c r="AJ587" s="809"/>
      <c r="AK587" s="809"/>
      <c r="AL587" s="809"/>
      <c r="AM587" s="809"/>
      <c r="AN587" s="809"/>
      <c r="AO587" s="809"/>
      <c r="AP587" s="809"/>
      <c r="AQ587" s="809"/>
      <c r="AR587" s="809"/>
      <c r="AS587" s="809"/>
      <c r="AT587" s="809"/>
      <c r="AU587" s="809"/>
      <c r="AV587" s="809"/>
      <c r="AW587" s="809"/>
      <c r="AX587" s="809"/>
      <c r="AY587" s="809"/>
      <c r="AZ587" s="809"/>
      <c r="BA587" s="809"/>
      <c r="BB587" s="809"/>
      <c r="BC587" s="809"/>
      <c r="BD587" s="809"/>
      <c r="BE587" s="809"/>
      <c r="BF587" s="809"/>
      <c r="BG587" s="809"/>
      <c r="BH587" s="809"/>
      <c r="BI587" s="809"/>
      <c r="BJ587" s="809"/>
      <c r="BK587" s="809"/>
      <c r="BL587" s="809"/>
      <c r="BM587" s="809"/>
      <c r="BN587" s="809"/>
    </row>
    <row r="588" spans="1:66">
      <c r="A588" s="809"/>
      <c r="B588" s="809"/>
      <c r="C588" s="809"/>
      <c r="D588" s="809"/>
      <c r="E588" s="809"/>
      <c r="F588" s="809"/>
      <c r="G588" s="809"/>
      <c r="H588" s="809"/>
      <c r="I588" s="809"/>
      <c r="J588" s="809"/>
      <c r="K588" s="809"/>
      <c r="L588" s="809"/>
      <c r="M588" s="809"/>
      <c r="N588" s="809"/>
      <c r="O588" s="809"/>
      <c r="P588" s="809"/>
      <c r="Q588" s="809"/>
      <c r="R588" s="809"/>
      <c r="S588" s="809"/>
      <c r="T588" s="809"/>
      <c r="U588" s="809"/>
      <c r="V588" s="809"/>
      <c r="W588" s="809"/>
      <c r="X588" s="809"/>
      <c r="Y588" s="809"/>
      <c r="Z588" s="809"/>
      <c r="AA588" s="809"/>
      <c r="AB588" s="809"/>
      <c r="AC588" s="809"/>
      <c r="AD588" s="809"/>
      <c r="AE588" s="809"/>
      <c r="AF588" s="809"/>
      <c r="AG588" s="809"/>
      <c r="AH588" s="809"/>
      <c r="AI588" s="809"/>
      <c r="AJ588" s="809"/>
      <c r="AK588" s="809"/>
      <c r="AL588" s="809"/>
      <c r="AM588" s="809"/>
      <c r="AN588" s="809"/>
      <c r="AO588" s="809"/>
      <c r="AP588" s="809"/>
      <c r="AQ588" s="809"/>
      <c r="AR588" s="809"/>
      <c r="AS588" s="809"/>
      <c r="AT588" s="809"/>
      <c r="AU588" s="809"/>
      <c r="AV588" s="809"/>
      <c r="AW588" s="809"/>
      <c r="AX588" s="809"/>
      <c r="AY588" s="809"/>
      <c r="AZ588" s="809"/>
      <c r="BA588" s="809"/>
      <c r="BB588" s="809"/>
      <c r="BC588" s="809"/>
      <c r="BD588" s="809"/>
      <c r="BE588" s="809"/>
      <c r="BF588" s="809"/>
      <c r="BG588" s="809"/>
      <c r="BH588" s="809"/>
      <c r="BI588" s="809"/>
      <c r="BJ588" s="809"/>
      <c r="BK588" s="809"/>
      <c r="BL588" s="809"/>
      <c r="BM588" s="809"/>
      <c r="BN588" s="809"/>
    </row>
    <row r="589" spans="1:66">
      <c r="A589" s="809"/>
      <c r="B589" s="809"/>
      <c r="C589" s="809"/>
      <c r="D589" s="809"/>
      <c r="E589" s="809"/>
      <c r="F589" s="809"/>
      <c r="G589" s="809"/>
      <c r="H589" s="809"/>
      <c r="I589" s="809"/>
      <c r="J589" s="809"/>
      <c r="K589" s="809"/>
      <c r="L589" s="809"/>
      <c r="M589" s="809"/>
      <c r="N589" s="809"/>
      <c r="O589" s="809"/>
      <c r="P589" s="809"/>
      <c r="Q589" s="809"/>
      <c r="R589" s="809"/>
      <c r="S589" s="809"/>
      <c r="T589" s="809"/>
      <c r="U589" s="809"/>
      <c r="V589" s="809"/>
      <c r="W589" s="809"/>
      <c r="X589" s="809"/>
      <c r="Y589" s="809"/>
      <c r="Z589" s="809"/>
      <c r="AA589" s="809"/>
      <c r="AB589" s="809"/>
      <c r="AC589" s="809"/>
      <c r="AD589" s="809"/>
      <c r="AE589" s="809"/>
      <c r="AF589" s="809"/>
      <c r="AG589" s="809"/>
      <c r="AH589" s="809"/>
      <c r="AI589" s="809"/>
      <c r="AJ589" s="809"/>
      <c r="AK589" s="809"/>
      <c r="AL589" s="809"/>
      <c r="AM589" s="809"/>
      <c r="AN589" s="809"/>
      <c r="AO589" s="809"/>
      <c r="AP589" s="809"/>
      <c r="AQ589" s="809"/>
      <c r="AR589" s="809"/>
      <c r="AS589" s="809"/>
      <c r="AT589" s="809"/>
      <c r="AU589" s="809"/>
      <c r="AV589" s="809"/>
      <c r="AW589" s="809"/>
      <c r="AX589" s="809"/>
      <c r="AY589" s="809"/>
      <c r="AZ589" s="809"/>
      <c r="BA589" s="809"/>
      <c r="BB589" s="809"/>
      <c r="BC589" s="809"/>
      <c r="BD589" s="809"/>
      <c r="BE589" s="809"/>
      <c r="BF589" s="809"/>
      <c r="BG589" s="809"/>
      <c r="BH589" s="809"/>
      <c r="BI589" s="809"/>
      <c r="BJ589" s="809"/>
      <c r="BK589" s="809"/>
      <c r="BL589" s="809"/>
      <c r="BM589" s="809"/>
      <c r="BN589" s="809"/>
    </row>
    <row r="590" spans="1:66">
      <c r="A590" s="809"/>
      <c r="B590" s="809"/>
      <c r="C590" s="809"/>
      <c r="D590" s="809"/>
      <c r="E590" s="809"/>
      <c r="F590" s="809"/>
      <c r="G590" s="809"/>
      <c r="H590" s="809"/>
      <c r="I590" s="809"/>
      <c r="J590" s="809"/>
      <c r="K590" s="809"/>
      <c r="L590" s="809"/>
      <c r="M590" s="809"/>
      <c r="N590" s="809"/>
      <c r="O590" s="809"/>
      <c r="P590" s="809"/>
      <c r="Q590" s="809"/>
      <c r="R590" s="809"/>
      <c r="S590" s="809"/>
      <c r="T590" s="809"/>
      <c r="U590" s="809"/>
      <c r="V590" s="809"/>
      <c r="W590" s="809"/>
      <c r="X590" s="809"/>
      <c r="Y590" s="809"/>
      <c r="Z590" s="809"/>
      <c r="AA590" s="809"/>
      <c r="AB590" s="809"/>
      <c r="AC590" s="809"/>
      <c r="AD590" s="809"/>
      <c r="AE590" s="809"/>
      <c r="AF590" s="809"/>
      <c r="AG590" s="809"/>
      <c r="AH590" s="809"/>
      <c r="AI590" s="809"/>
      <c r="AJ590" s="809"/>
      <c r="AK590" s="809"/>
      <c r="AL590" s="809"/>
      <c r="AM590" s="809"/>
      <c r="AN590" s="809"/>
      <c r="AO590" s="809"/>
      <c r="AP590" s="809"/>
      <c r="AQ590" s="809"/>
      <c r="AR590" s="809"/>
      <c r="AS590" s="809"/>
      <c r="AT590" s="809"/>
      <c r="AU590" s="809"/>
      <c r="AV590" s="809"/>
      <c r="AW590" s="809"/>
      <c r="AX590" s="809"/>
      <c r="AY590" s="809"/>
      <c r="AZ590" s="809"/>
      <c r="BA590" s="809"/>
      <c r="BB590" s="809"/>
      <c r="BC590" s="809"/>
      <c r="BD590" s="809"/>
      <c r="BE590" s="809"/>
      <c r="BF590" s="809"/>
      <c r="BG590" s="809"/>
      <c r="BH590" s="809"/>
      <c r="BI590" s="809"/>
      <c r="BJ590" s="809"/>
      <c r="BK590" s="809"/>
      <c r="BL590" s="809"/>
      <c r="BM590" s="809"/>
      <c r="BN590" s="809"/>
    </row>
    <row r="591" spans="1:66">
      <c r="A591" s="809"/>
      <c r="B591" s="809"/>
      <c r="C591" s="809"/>
      <c r="D591" s="809"/>
      <c r="E591" s="809"/>
      <c r="F591" s="809"/>
      <c r="G591" s="809"/>
      <c r="H591" s="809"/>
      <c r="I591" s="809"/>
      <c r="J591" s="809"/>
      <c r="K591" s="809"/>
      <c r="L591" s="809"/>
      <c r="M591" s="809"/>
      <c r="N591" s="809"/>
      <c r="O591" s="809"/>
      <c r="P591" s="809"/>
      <c r="Q591" s="809"/>
      <c r="R591" s="809"/>
      <c r="S591" s="809"/>
      <c r="T591" s="809"/>
      <c r="U591" s="809"/>
      <c r="V591" s="809"/>
      <c r="W591" s="809"/>
      <c r="X591" s="809"/>
      <c r="Y591" s="809"/>
      <c r="Z591" s="809"/>
      <c r="AA591" s="809"/>
      <c r="AB591" s="809"/>
      <c r="AC591" s="809"/>
      <c r="AD591" s="809"/>
      <c r="AE591" s="809"/>
      <c r="AF591" s="809"/>
      <c r="AG591" s="809"/>
      <c r="AH591" s="809"/>
      <c r="AI591" s="809"/>
      <c r="AJ591" s="809"/>
      <c r="AK591" s="809"/>
      <c r="AL591" s="809"/>
      <c r="AM591" s="809"/>
      <c r="AN591" s="809"/>
      <c r="AO591" s="809"/>
      <c r="AP591" s="809"/>
      <c r="AQ591" s="809"/>
      <c r="AR591" s="809"/>
      <c r="AS591" s="809"/>
      <c r="AT591" s="809"/>
      <c r="AU591" s="809"/>
      <c r="AV591" s="809"/>
      <c r="AW591" s="809"/>
      <c r="AX591" s="809"/>
      <c r="AY591" s="809"/>
      <c r="AZ591" s="809"/>
      <c r="BA591" s="809"/>
      <c r="BB591" s="809"/>
      <c r="BC591" s="809"/>
      <c r="BD591" s="809"/>
      <c r="BE591" s="809"/>
      <c r="BF591" s="809"/>
      <c r="BG591" s="809"/>
      <c r="BH591" s="809"/>
      <c r="BI591" s="809"/>
      <c r="BJ591" s="809"/>
      <c r="BK591" s="809"/>
      <c r="BL591" s="809"/>
      <c r="BM591" s="809"/>
      <c r="BN591" s="809"/>
    </row>
    <row r="592" spans="1:66">
      <c r="A592" s="809"/>
      <c r="B592" s="809"/>
      <c r="C592" s="809"/>
      <c r="D592" s="809"/>
      <c r="E592" s="809"/>
      <c r="F592" s="809"/>
      <c r="G592" s="809"/>
      <c r="H592" s="809"/>
      <c r="I592" s="809"/>
      <c r="J592" s="809"/>
      <c r="K592" s="809"/>
      <c r="L592" s="809"/>
      <c r="M592" s="809"/>
      <c r="N592" s="809"/>
      <c r="O592" s="809"/>
      <c r="P592" s="809"/>
      <c r="Q592" s="809"/>
      <c r="R592" s="809"/>
      <c r="S592" s="809"/>
      <c r="T592" s="809"/>
      <c r="U592" s="809"/>
      <c r="V592" s="809"/>
      <c r="W592" s="809"/>
      <c r="X592" s="809"/>
      <c r="Y592" s="809"/>
      <c r="Z592" s="809"/>
      <c r="AA592" s="809"/>
      <c r="AB592" s="809"/>
      <c r="AC592" s="809"/>
      <c r="AD592" s="809"/>
      <c r="AE592" s="809"/>
      <c r="AF592" s="809"/>
      <c r="AG592" s="809"/>
      <c r="AH592" s="809"/>
      <c r="AI592" s="809"/>
      <c r="AJ592" s="809"/>
      <c r="AK592" s="809"/>
      <c r="AL592" s="809"/>
      <c r="AM592" s="809"/>
      <c r="AN592" s="809"/>
      <c r="AO592" s="809"/>
      <c r="AP592" s="809"/>
      <c r="AQ592" s="809"/>
      <c r="AR592" s="809"/>
      <c r="AS592" s="809"/>
      <c r="AT592" s="809"/>
      <c r="AU592" s="809"/>
      <c r="AV592" s="809"/>
      <c r="AW592" s="809"/>
      <c r="AX592" s="809"/>
      <c r="AY592" s="809"/>
      <c r="AZ592" s="809"/>
      <c r="BA592" s="809"/>
      <c r="BB592" s="809"/>
      <c r="BC592" s="809"/>
      <c r="BD592" s="809"/>
      <c r="BE592" s="809"/>
      <c r="BF592" s="809"/>
      <c r="BG592" s="809"/>
      <c r="BH592" s="809"/>
      <c r="BI592" s="809"/>
      <c r="BJ592" s="809"/>
      <c r="BK592" s="809"/>
      <c r="BL592" s="809"/>
      <c r="BM592" s="809"/>
      <c r="BN592" s="809"/>
    </row>
    <row r="593" spans="1:66">
      <c r="A593" s="809"/>
      <c r="B593" s="809"/>
      <c r="C593" s="809"/>
      <c r="D593" s="809"/>
      <c r="E593" s="809"/>
      <c r="F593" s="809"/>
      <c r="G593" s="809"/>
      <c r="H593" s="809"/>
      <c r="I593" s="809"/>
      <c r="J593" s="809"/>
      <c r="K593" s="809"/>
      <c r="L593" s="809"/>
      <c r="M593" s="809"/>
      <c r="N593" s="809"/>
      <c r="O593" s="809"/>
      <c r="P593" s="809"/>
      <c r="Q593" s="809"/>
      <c r="R593" s="809"/>
      <c r="S593" s="809"/>
      <c r="T593" s="809"/>
      <c r="U593" s="809"/>
      <c r="V593" s="809"/>
      <c r="W593" s="809"/>
      <c r="X593" s="809"/>
      <c r="Y593" s="809"/>
      <c r="Z593" s="809"/>
      <c r="AA593" s="809"/>
      <c r="AB593" s="809"/>
      <c r="AC593" s="809"/>
      <c r="AD593" s="809"/>
      <c r="AE593" s="809"/>
      <c r="AF593" s="809"/>
      <c r="AG593" s="809"/>
      <c r="AH593" s="809"/>
      <c r="AI593" s="809"/>
      <c r="AJ593" s="809"/>
      <c r="AK593" s="809"/>
      <c r="AL593" s="809"/>
      <c r="AM593" s="809"/>
      <c r="AN593" s="809"/>
      <c r="AO593" s="809"/>
      <c r="AP593" s="809"/>
      <c r="AQ593" s="809"/>
      <c r="AR593" s="809"/>
      <c r="AS593" s="809"/>
      <c r="AT593" s="809"/>
      <c r="AU593" s="809"/>
      <c r="AV593" s="809"/>
      <c r="AW593" s="809"/>
      <c r="AX593" s="809"/>
      <c r="AY593" s="809"/>
      <c r="AZ593" s="809"/>
      <c r="BA593" s="809"/>
      <c r="BB593" s="809"/>
      <c r="BC593" s="809"/>
      <c r="BD593" s="809"/>
      <c r="BE593" s="809"/>
      <c r="BF593" s="809"/>
      <c r="BG593" s="809"/>
      <c r="BH593" s="809"/>
      <c r="BI593" s="809"/>
      <c r="BJ593" s="809"/>
      <c r="BK593" s="809"/>
      <c r="BL593" s="809"/>
      <c r="BM593" s="809"/>
      <c r="BN593" s="809"/>
    </row>
    <row r="594" spans="1:66">
      <c r="A594" s="809"/>
      <c r="B594" s="809"/>
      <c r="C594" s="809"/>
      <c r="D594" s="809"/>
      <c r="E594" s="809"/>
      <c r="F594" s="809"/>
      <c r="G594" s="809"/>
      <c r="H594" s="809"/>
      <c r="I594" s="809"/>
      <c r="J594" s="809"/>
      <c r="K594" s="809"/>
      <c r="L594" s="809"/>
      <c r="M594" s="809"/>
      <c r="N594" s="809"/>
      <c r="O594" s="809"/>
      <c r="P594" s="809"/>
      <c r="Q594" s="809"/>
      <c r="R594" s="809"/>
      <c r="S594" s="809"/>
      <c r="T594" s="809"/>
      <c r="U594" s="809"/>
      <c r="V594" s="809"/>
      <c r="W594" s="809"/>
      <c r="X594" s="809"/>
      <c r="Y594" s="809"/>
      <c r="Z594" s="809"/>
      <c r="AA594" s="809"/>
      <c r="AB594" s="809"/>
      <c r="AC594" s="809"/>
      <c r="AD594" s="809"/>
      <c r="AE594" s="809"/>
      <c r="AF594" s="809"/>
      <c r="AG594" s="809"/>
      <c r="AH594" s="809"/>
      <c r="AI594" s="809"/>
      <c r="AJ594" s="809"/>
      <c r="AK594" s="809"/>
      <c r="AL594" s="809"/>
      <c r="AM594" s="809"/>
      <c r="AN594" s="809"/>
      <c r="AO594" s="809"/>
      <c r="AP594" s="809"/>
      <c r="AQ594" s="809"/>
      <c r="AR594" s="809"/>
      <c r="AS594" s="809"/>
      <c r="AT594" s="809"/>
      <c r="AU594" s="809"/>
      <c r="AV594" s="809"/>
      <c r="AW594" s="809"/>
      <c r="AX594" s="809"/>
      <c r="AY594" s="809"/>
      <c r="AZ594" s="809"/>
      <c r="BA594" s="809"/>
      <c r="BB594" s="809"/>
      <c r="BC594" s="809"/>
      <c r="BD594" s="809"/>
      <c r="BE594" s="809"/>
      <c r="BF594" s="809"/>
      <c r="BG594" s="809"/>
      <c r="BH594" s="809"/>
      <c r="BI594" s="809"/>
      <c r="BJ594" s="809"/>
      <c r="BK594" s="809"/>
      <c r="BL594" s="809"/>
      <c r="BM594" s="809"/>
      <c r="BN594" s="809"/>
    </row>
    <row r="595" spans="1:66">
      <c r="A595" s="809"/>
      <c r="B595" s="809"/>
      <c r="C595" s="809"/>
      <c r="D595" s="809"/>
      <c r="E595" s="809"/>
      <c r="F595" s="809"/>
      <c r="G595" s="809"/>
      <c r="H595" s="809"/>
      <c r="I595" s="809"/>
      <c r="J595" s="809"/>
      <c r="K595" s="809"/>
      <c r="L595" s="809"/>
      <c r="M595" s="809"/>
      <c r="N595" s="809"/>
      <c r="O595" s="809"/>
      <c r="P595" s="809"/>
      <c r="Q595" s="809"/>
      <c r="R595" s="809"/>
      <c r="S595" s="809"/>
      <c r="T595" s="809"/>
      <c r="U595" s="809"/>
      <c r="V595" s="809"/>
      <c r="W595" s="809"/>
      <c r="X595" s="809"/>
      <c r="Y595" s="809"/>
      <c r="Z595" s="809"/>
      <c r="AA595" s="809"/>
      <c r="AB595" s="809"/>
      <c r="AC595" s="809"/>
      <c r="AD595" s="809"/>
      <c r="AE595" s="809"/>
      <c r="AF595" s="809"/>
      <c r="AG595" s="809"/>
      <c r="AH595" s="809"/>
      <c r="AI595" s="809"/>
      <c r="AJ595" s="809"/>
      <c r="AK595" s="809"/>
      <c r="AL595" s="809"/>
      <c r="AM595" s="809"/>
      <c r="AN595" s="809"/>
      <c r="AO595" s="809"/>
      <c r="AP595" s="809"/>
      <c r="AQ595" s="809"/>
      <c r="AR595" s="809"/>
      <c r="AS595" s="809"/>
      <c r="AT595" s="809"/>
      <c r="AU595" s="809"/>
      <c r="AV595" s="809"/>
      <c r="AW595" s="809"/>
      <c r="AX595" s="809"/>
      <c r="AY595" s="809"/>
      <c r="AZ595" s="809"/>
      <c r="BA595" s="809"/>
      <c r="BB595" s="809"/>
      <c r="BC595" s="809"/>
      <c r="BD595" s="809"/>
      <c r="BE595" s="809"/>
      <c r="BF595" s="809"/>
      <c r="BG595" s="809"/>
      <c r="BH595" s="809"/>
      <c r="BI595" s="809"/>
      <c r="BJ595" s="809"/>
      <c r="BK595" s="809"/>
      <c r="BL595" s="809"/>
      <c r="BM595" s="809"/>
      <c r="BN595" s="809"/>
    </row>
    <row r="596" spans="1:66">
      <c r="A596" s="809"/>
      <c r="B596" s="809"/>
      <c r="C596" s="809"/>
      <c r="D596" s="809"/>
      <c r="E596" s="809"/>
      <c r="F596" s="809"/>
      <c r="G596" s="809"/>
      <c r="H596" s="809"/>
      <c r="I596" s="809"/>
      <c r="J596" s="809"/>
      <c r="K596" s="809"/>
      <c r="L596" s="809"/>
      <c r="M596" s="809"/>
      <c r="N596" s="809"/>
      <c r="O596" s="809"/>
      <c r="P596" s="809"/>
      <c r="Q596" s="809"/>
      <c r="R596" s="809"/>
      <c r="S596" s="809"/>
      <c r="T596" s="809"/>
      <c r="U596" s="809"/>
      <c r="V596" s="809"/>
      <c r="W596" s="809"/>
      <c r="X596" s="809"/>
      <c r="Y596" s="809"/>
      <c r="Z596" s="809"/>
      <c r="AA596" s="809"/>
      <c r="AB596" s="809"/>
      <c r="AC596" s="809"/>
      <c r="AD596" s="809"/>
      <c r="AE596" s="809"/>
      <c r="AF596" s="809"/>
      <c r="AG596" s="809"/>
      <c r="AH596" s="809"/>
      <c r="AI596" s="809"/>
      <c r="AJ596" s="809"/>
      <c r="AK596" s="809"/>
      <c r="AL596" s="809"/>
      <c r="AM596" s="809"/>
      <c r="AN596" s="809"/>
      <c r="AO596" s="809"/>
      <c r="AP596" s="809"/>
      <c r="AQ596" s="809"/>
      <c r="AR596" s="809"/>
      <c r="AS596" s="809"/>
      <c r="AT596" s="809"/>
      <c r="AU596" s="809"/>
      <c r="AV596" s="809"/>
      <c r="AW596" s="809"/>
      <c r="AX596" s="809"/>
      <c r="AY596" s="809"/>
      <c r="AZ596" s="809"/>
      <c r="BA596" s="809"/>
      <c r="BB596" s="809"/>
      <c r="BC596" s="809"/>
      <c r="BD596" s="809"/>
      <c r="BE596" s="809"/>
      <c r="BF596" s="809"/>
      <c r="BG596" s="809"/>
      <c r="BH596" s="809"/>
      <c r="BI596" s="809"/>
      <c r="BJ596" s="809"/>
      <c r="BK596" s="809"/>
      <c r="BL596" s="809"/>
      <c r="BM596" s="809"/>
      <c r="BN596" s="809"/>
    </row>
    <row r="597" spans="1:66">
      <c r="A597" s="809"/>
      <c r="B597" s="809"/>
      <c r="C597" s="809"/>
      <c r="D597" s="809"/>
      <c r="E597" s="809"/>
      <c r="F597" s="809"/>
      <c r="G597" s="809"/>
      <c r="H597" s="809"/>
      <c r="I597" s="809"/>
      <c r="J597" s="809"/>
      <c r="K597" s="809"/>
      <c r="L597" s="809"/>
      <c r="M597" s="809"/>
      <c r="N597" s="809"/>
      <c r="O597" s="809"/>
      <c r="P597" s="809"/>
      <c r="Q597" s="809"/>
      <c r="R597" s="809"/>
      <c r="S597" s="809"/>
      <c r="T597" s="809"/>
      <c r="U597" s="809"/>
      <c r="V597" s="809"/>
      <c r="W597" s="809"/>
      <c r="X597" s="809"/>
      <c r="Y597" s="809"/>
      <c r="Z597" s="809"/>
      <c r="AA597" s="809"/>
      <c r="AB597" s="809"/>
      <c r="AC597" s="809"/>
      <c r="AD597" s="809"/>
      <c r="AE597" s="809"/>
      <c r="AF597" s="809"/>
      <c r="AG597" s="809"/>
      <c r="AH597" s="809"/>
      <c r="AI597" s="809"/>
      <c r="AJ597" s="809"/>
      <c r="AK597" s="809"/>
      <c r="AL597" s="809"/>
      <c r="AM597" s="809"/>
      <c r="AN597" s="809"/>
      <c r="AO597" s="809"/>
      <c r="AP597" s="809"/>
      <c r="AQ597" s="809"/>
      <c r="AR597" s="809"/>
      <c r="AS597" s="809"/>
      <c r="AT597" s="809"/>
      <c r="AU597" s="809"/>
      <c r="AV597" s="809"/>
      <c r="AW597" s="809"/>
      <c r="AX597" s="809"/>
      <c r="AY597" s="809"/>
      <c r="AZ597" s="809"/>
      <c r="BA597" s="809"/>
      <c r="BB597" s="809"/>
      <c r="BC597" s="809"/>
      <c r="BD597" s="809"/>
      <c r="BE597" s="809"/>
      <c r="BF597" s="809"/>
      <c r="BG597" s="809"/>
      <c r="BH597" s="809"/>
      <c r="BI597" s="809"/>
      <c r="BJ597" s="809"/>
      <c r="BK597" s="809"/>
      <c r="BL597" s="809"/>
      <c r="BM597" s="809"/>
      <c r="BN597" s="809"/>
    </row>
    <row r="598" spans="1:66">
      <c r="A598" s="809"/>
      <c r="B598" s="809"/>
      <c r="C598" s="809"/>
      <c r="D598" s="809"/>
      <c r="E598" s="809"/>
      <c r="F598" s="809"/>
      <c r="G598" s="809"/>
      <c r="H598" s="809"/>
      <c r="I598" s="809"/>
      <c r="J598" s="809"/>
      <c r="K598" s="809"/>
      <c r="L598" s="809"/>
      <c r="M598" s="809"/>
      <c r="N598" s="809"/>
      <c r="O598" s="809"/>
      <c r="P598" s="809"/>
      <c r="Q598" s="809"/>
      <c r="R598" s="809"/>
      <c r="S598" s="809"/>
      <c r="T598" s="809"/>
      <c r="U598" s="809"/>
      <c r="V598" s="809"/>
      <c r="W598" s="809"/>
      <c r="X598" s="809"/>
      <c r="Y598" s="809"/>
      <c r="Z598" s="809"/>
      <c r="AA598" s="809"/>
      <c r="AB598" s="809"/>
      <c r="AC598" s="809"/>
      <c r="AD598" s="809"/>
      <c r="AE598" s="809"/>
      <c r="AF598" s="809"/>
      <c r="AG598" s="809"/>
      <c r="AH598" s="809"/>
      <c r="AI598" s="809"/>
      <c r="AJ598" s="809"/>
      <c r="AK598" s="809"/>
      <c r="AL598" s="809"/>
      <c r="AM598" s="809"/>
      <c r="AN598" s="809"/>
      <c r="AO598" s="809"/>
      <c r="AP598" s="809"/>
      <c r="AQ598" s="809"/>
      <c r="AR598" s="809"/>
      <c r="AS598" s="809"/>
      <c r="AT598" s="809"/>
      <c r="AU598" s="809"/>
      <c r="AV598" s="809"/>
      <c r="AW598" s="809"/>
      <c r="AX598" s="809"/>
      <c r="AY598" s="809"/>
      <c r="AZ598" s="809"/>
      <c r="BA598" s="809"/>
      <c r="BB598" s="809"/>
      <c r="BC598" s="809"/>
      <c r="BD598" s="809"/>
      <c r="BE598" s="809"/>
      <c r="BF598" s="809"/>
      <c r="BG598" s="809"/>
      <c r="BH598" s="809"/>
      <c r="BI598" s="809"/>
      <c r="BJ598" s="809"/>
      <c r="BK598" s="809"/>
      <c r="BL598" s="809"/>
      <c r="BM598" s="809"/>
      <c r="BN598" s="809"/>
    </row>
    <row r="599" spans="1:66">
      <c r="A599" s="809"/>
      <c r="B599" s="809"/>
      <c r="C599" s="809"/>
      <c r="D599" s="809"/>
      <c r="E599" s="809"/>
      <c r="F599" s="809"/>
      <c r="G599" s="809"/>
      <c r="H599" s="809"/>
      <c r="I599" s="809"/>
      <c r="J599" s="809"/>
      <c r="K599" s="809"/>
      <c r="L599" s="809"/>
      <c r="M599" s="809"/>
      <c r="N599" s="809"/>
      <c r="O599" s="809"/>
      <c r="P599" s="809"/>
      <c r="Q599" s="809"/>
      <c r="R599" s="809"/>
      <c r="S599" s="809"/>
      <c r="T599" s="809"/>
      <c r="U599" s="809"/>
      <c r="V599" s="809"/>
      <c r="W599" s="809"/>
      <c r="X599" s="809"/>
      <c r="Y599" s="809"/>
      <c r="Z599" s="809"/>
      <c r="AA599" s="809"/>
      <c r="AB599" s="809"/>
      <c r="AC599" s="809"/>
      <c r="AD599" s="809"/>
      <c r="AE599" s="809"/>
      <c r="AF599" s="809"/>
      <c r="AG599" s="809"/>
      <c r="AH599" s="809"/>
      <c r="AI599" s="809"/>
      <c r="AJ599" s="809"/>
      <c r="AK599" s="809"/>
      <c r="AL599" s="809"/>
      <c r="AM599" s="809"/>
      <c r="AN599" s="809"/>
      <c r="AO599" s="809"/>
      <c r="AP599" s="809"/>
      <c r="AQ599" s="809"/>
      <c r="AR599" s="809"/>
      <c r="AS599" s="809"/>
      <c r="AT599" s="809"/>
      <c r="AU599" s="809"/>
      <c r="AV599" s="809"/>
      <c r="AW599" s="809"/>
      <c r="AX599" s="809"/>
      <c r="AY599" s="809"/>
      <c r="AZ599" s="809"/>
      <c r="BA599" s="809"/>
      <c r="BB599" s="809"/>
      <c r="BC599" s="809"/>
      <c r="BD599" s="809"/>
      <c r="BE599" s="809"/>
      <c r="BF599" s="809"/>
      <c r="BG599" s="809"/>
      <c r="BH599" s="809"/>
      <c r="BI599" s="809"/>
      <c r="BJ599" s="809"/>
      <c r="BK599" s="809"/>
      <c r="BL599" s="809"/>
      <c r="BM599" s="809"/>
      <c r="BN599" s="809"/>
    </row>
    <row r="600" spans="1:66">
      <c r="A600" s="809"/>
      <c r="B600" s="809"/>
      <c r="C600" s="809"/>
      <c r="D600" s="809"/>
      <c r="E600" s="809"/>
      <c r="F600" s="809"/>
      <c r="G600" s="809"/>
      <c r="H600" s="809"/>
      <c r="I600" s="809"/>
      <c r="J600" s="809"/>
      <c r="K600" s="809"/>
      <c r="L600" s="809"/>
      <c r="M600" s="809"/>
      <c r="N600" s="809"/>
      <c r="O600" s="809"/>
      <c r="P600" s="809"/>
      <c r="Q600" s="809"/>
      <c r="R600" s="809"/>
      <c r="S600" s="809"/>
      <c r="T600" s="809"/>
      <c r="U600" s="809"/>
      <c r="V600" s="809"/>
      <c r="W600" s="809"/>
      <c r="X600" s="809"/>
      <c r="Y600" s="809"/>
      <c r="Z600" s="809"/>
      <c r="AA600" s="809"/>
      <c r="AB600" s="809"/>
      <c r="AC600" s="809"/>
      <c r="AD600" s="809"/>
      <c r="AE600" s="809"/>
      <c r="AF600" s="809"/>
      <c r="AG600" s="809"/>
      <c r="AH600" s="809"/>
      <c r="AI600" s="809"/>
      <c r="AJ600" s="809"/>
      <c r="AK600" s="809"/>
      <c r="AL600" s="809"/>
      <c r="AM600" s="809"/>
      <c r="AN600" s="809"/>
      <c r="AO600" s="809"/>
      <c r="AP600" s="809"/>
      <c r="AQ600" s="809"/>
      <c r="AR600" s="809"/>
      <c r="AS600" s="809"/>
      <c r="AT600" s="809"/>
      <c r="AU600" s="809"/>
      <c r="AV600" s="809"/>
      <c r="AW600" s="809"/>
      <c r="AX600" s="809"/>
      <c r="AY600" s="809"/>
      <c r="AZ600" s="809"/>
      <c r="BA600" s="809"/>
      <c r="BB600" s="809"/>
      <c r="BC600" s="809"/>
      <c r="BD600" s="809"/>
      <c r="BE600" s="809"/>
      <c r="BF600" s="809"/>
      <c r="BG600" s="809"/>
      <c r="BH600" s="809"/>
      <c r="BI600" s="809"/>
      <c r="BJ600" s="809"/>
      <c r="BK600" s="809"/>
      <c r="BL600" s="809"/>
      <c r="BM600" s="809"/>
      <c r="BN600" s="809"/>
    </row>
    <row r="601" spans="1:66">
      <c r="A601" s="809"/>
      <c r="B601" s="809"/>
      <c r="C601" s="809"/>
      <c r="D601" s="809"/>
      <c r="E601" s="809"/>
      <c r="F601" s="809"/>
      <c r="G601" s="809"/>
      <c r="H601" s="809"/>
      <c r="I601" s="809"/>
      <c r="J601" s="809"/>
      <c r="K601" s="809"/>
      <c r="L601" s="809"/>
      <c r="M601" s="809"/>
      <c r="N601" s="809"/>
      <c r="O601" s="809"/>
      <c r="P601" s="809"/>
      <c r="Q601" s="809"/>
      <c r="R601" s="809"/>
      <c r="S601" s="809"/>
      <c r="T601" s="809"/>
      <c r="U601" s="809"/>
      <c r="V601" s="809"/>
      <c r="W601" s="809"/>
      <c r="X601" s="809"/>
      <c r="Y601" s="809"/>
      <c r="Z601" s="809"/>
      <c r="AA601" s="809"/>
      <c r="AB601" s="809"/>
      <c r="AC601" s="809"/>
      <c r="AD601" s="809"/>
      <c r="AE601" s="809"/>
      <c r="AF601" s="809"/>
      <c r="AG601" s="809"/>
      <c r="AH601" s="809"/>
      <c r="AI601" s="809"/>
      <c r="AJ601" s="809"/>
      <c r="AK601" s="809"/>
      <c r="AL601" s="809"/>
      <c r="AM601" s="809"/>
      <c r="AN601" s="809"/>
      <c r="AO601" s="809"/>
      <c r="AP601" s="809"/>
      <c r="AQ601" s="809"/>
      <c r="AR601" s="809"/>
      <c r="AS601" s="809"/>
      <c r="AT601" s="809"/>
      <c r="AU601" s="809"/>
      <c r="AV601" s="809"/>
      <c r="AW601" s="809"/>
      <c r="AX601" s="809"/>
      <c r="AY601" s="809"/>
      <c r="AZ601" s="809"/>
      <c r="BA601" s="809"/>
      <c r="BB601" s="809"/>
      <c r="BC601" s="809"/>
      <c r="BD601" s="809"/>
      <c r="BE601" s="809"/>
      <c r="BF601" s="809"/>
      <c r="BG601" s="809"/>
      <c r="BH601" s="809"/>
      <c r="BI601" s="809"/>
      <c r="BJ601" s="809"/>
      <c r="BK601" s="809"/>
      <c r="BL601" s="809"/>
      <c r="BM601" s="809"/>
      <c r="BN601" s="809"/>
    </row>
    <row r="602" spans="1:66">
      <c r="A602" s="809"/>
      <c r="B602" s="809"/>
      <c r="C602" s="809"/>
      <c r="D602" s="809"/>
      <c r="E602" s="809"/>
      <c r="F602" s="809"/>
      <c r="G602" s="809"/>
      <c r="H602" s="809"/>
      <c r="I602" s="809"/>
      <c r="J602" s="809"/>
      <c r="K602" s="809"/>
      <c r="L602" s="809"/>
      <c r="M602" s="809"/>
      <c r="N602" s="809"/>
      <c r="O602" s="809"/>
      <c r="P602" s="809"/>
      <c r="Q602" s="809"/>
      <c r="R602" s="809"/>
      <c r="S602" s="809"/>
      <c r="T602" s="809"/>
      <c r="U602" s="809"/>
      <c r="V602" s="809"/>
      <c r="W602" s="809"/>
      <c r="X602" s="809"/>
      <c r="Y602" s="809"/>
      <c r="Z602" s="809"/>
      <c r="AA602" s="809"/>
      <c r="AB602" s="809"/>
      <c r="AC602" s="809"/>
      <c r="AD602" s="809"/>
      <c r="AE602" s="809"/>
      <c r="AF602" s="809"/>
      <c r="AG602" s="809"/>
      <c r="AH602" s="809"/>
      <c r="AI602" s="809"/>
      <c r="AJ602" s="809"/>
      <c r="AK602" s="809"/>
      <c r="AL602" s="809"/>
      <c r="AM602" s="809"/>
      <c r="AN602" s="809"/>
      <c r="AO602" s="809"/>
      <c r="AP602" s="809"/>
      <c r="AQ602" s="809"/>
      <c r="AR602" s="809"/>
      <c r="AS602" s="809"/>
      <c r="AT602" s="809"/>
      <c r="AU602" s="809"/>
      <c r="AV602" s="809"/>
      <c r="AW602" s="809"/>
      <c r="AX602" s="809"/>
      <c r="AY602" s="809"/>
      <c r="AZ602" s="809"/>
      <c r="BA602" s="809"/>
      <c r="BB602" s="809"/>
      <c r="BC602" s="809"/>
      <c r="BD602" s="809"/>
      <c r="BE602" s="809"/>
      <c r="BF602" s="809"/>
      <c r="BG602" s="809"/>
      <c r="BH602" s="809"/>
      <c r="BI602" s="809"/>
      <c r="BJ602" s="809"/>
      <c r="BK602" s="809"/>
      <c r="BL602" s="809"/>
      <c r="BM602" s="809"/>
      <c r="BN602" s="809"/>
    </row>
    <row r="603" spans="1:66">
      <c r="A603" s="809"/>
      <c r="B603" s="809"/>
      <c r="C603" s="809"/>
      <c r="D603" s="809"/>
      <c r="E603" s="809"/>
      <c r="F603" s="809"/>
      <c r="G603" s="809"/>
      <c r="H603" s="809"/>
      <c r="I603" s="809"/>
      <c r="J603" s="809"/>
      <c r="K603" s="809"/>
      <c r="L603" s="809"/>
      <c r="M603" s="809"/>
      <c r="N603" s="809"/>
      <c r="O603" s="809"/>
      <c r="P603" s="809"/>
      <c r="Q603" s="809"/>
      <c r="R603" s="809"/>
      <c r="S603" s="809"/>
      <c r="T603" s="809"/>
      <c r="U603" s="809"/>
      <c r="V603" s="809"/>
      <c r="W603" s="809"/>
      <c r="X603" s="809"/>
      <c r="Y603" s="809"/>
      <c r="Z603" s="809"/>
      <c r="AA603" s="809"/>
      <c r="AB603" s="809"/>
      <c r="AC603" s="809"/>
      <c r="AD603" s="809"/>
      <c r="AE603" s="809"/>
      <c r="AF603" s="809"/>
      <c r="AG603" s="809"/>
      <c r="AH603" s="809"/>
      <c r="AI603" s="809"/>
      <c r="AJ603" s="809"/>
      <c r="AK603" s="809"/>
      <c r="AL603" s="809"/>
      <c r="AM603" s="809"/>
      <c r="AN603" s="809"/>
      <c r="AO603" s="809"/>
      <c r="AP603" s="809"/>
      <c r="AQ603" s="809"/>
      <c r="AR603" s="809"/>
      <c r="AS603" s="809"/>
      <c r="AT603" s="809"/>
      <c r="AU603" s="809"/>
      <c r="AV603" s="809"/>
      <c r="AW603" s="809"/>
      <c r="AX603" s="809"/>
      <c r="AY603" s="809"/>
      <c r="AZ603" s="809"/>
      <c r="BA603" s="809"/>
      <c r="BB603" s="809"/>
      <c r="BC603" s="809"/>
      <c r="BD603" s="809"/>
      <c r="BE603" s="809"/>
      <c r="BF603" s="809"/>
      <c r="BG603" s="809"/>
      <c r="BH603" s="809"/>
      <c r="BI603" s="809"/>
      <c r="BJ603" s="809"/>
      <c r="BK603" s="809"/>
      <c r="BL603" s="809"/>
      <c r="BM603" s="809"/>
      <c r="BN603" s="809"/>
    </row>
    <row r="604" spans="1:66">
      <c r="A604" s="809"/>
      <c r="B604" s="809"/>
      <c r="C604" s="809"/>
      <c r="D604" s="809"/>
      <c r="E604" s="809"/>
      <c r="F604" s="809"/>
      <c r="G604" s="809"/>
      <c r="H604" s="809"/>
      <c r="I604" s="809"/>
      <c r="J604" s="809"/>
      <c r="K604" s="809"/>
      <c r="L604" s="809"/>
      <c r="M604" s="809"/>
      <c r="N604" s="809"/>
      <c r="O604" s="809"/>
      <c r="P604" s="809"/>
      <c r="Q604" s="809"/>
      <c r="R604" s="809"/>
      <c r="S604" s="809"/>
      <c r="T604" s="809"/>
      <c r="U604" s="809"/>
      <c r="V604" s="809"/>
      <c r="W604" s="809"/>
      <c r="X604" s="809"/>
      <c r="Y604" s="809"/>
      <c r="Z604" s="809"/>
      <c r="AA604" s="809"/>
      <c r="AB604" s="809"/>
      <c r="AC604" s="809"/>
      <c r="AD604" s="809"/>
      <c r="AE604" s="809"/>
      <c r="AF604" s="809"/>
      <c r="AG604" s="809"/>
      <c r="AH604" s="809"/>
      <c r="AI604" s="809"/>
      <c r="AJ604" s="809"/>
      <c r="AK604" s="809"/>
      <c r="AL604" s="809"/>
      <c r="AM604" s="809"/>
      <c r="AN604" s="809"/>
      <c r="AO604" s="809"/>
      <c r="AP604" s="809"/>
      <c r="AQ604" s="809"/>
      <c r="AR604" s="809"/>
      <c r="AS604" s="809"/>
      <c r="AT604" s="809"/>
      <c r="AU604" s="809"/>
      <c r="AV604" s="809"/>
      <c r="AW604" s="809"/>
      <c r="AX604" s="809"/>
      <c r="AY604" s="809"/>
      <c r="AZ604" s="809"/>
      <c r="BA604" s="809"/>
      <c r="BB604" s="809"/>
      <c r="BC604" s="809"/>
      <c r="BD604" s="809"/>
      <c r="BE604" s="809"/>
      <c r="BF604" s="809"/>
      <c r="BG604" s="809"/>
      <c r="BH604" s="809"/>
      <c r="BI604" s="809"/>
      <c r="BJ604" s="809"/>
      <c r="BK604" s="809"/>
      <c r="BL604" s="809"/>
      <c r="BM604" s="809"/>
      <c r="BN604" s="809"/>
    </row>
    <row r="605" spans="1:66">
      <c r="A605" s="809"/>
      <c r="B605" s="809"/>
      <c r="C605" s="809"/>
      <c r="D605" s="809"/>
      <c r="E605" s="809"/>
      <c r="F605" s="809"/>
      <c r="G605" s="809"/>
      <c r="H605" s="809"/>
      <c r="I605" s="809"/>
      <c r="J605" s="809"/>
      <c r="K605" s="809"/>
      <c r="L605" s="809"/>
      <c r="M605" s="809"/>
      <c r="N605" s="809"/>
      <c r="O605" s="809"/>
      <c r="P605" s="809"/>
      <c r="Q605" s="809"/>
      <c r="R605" s="809"/>
      <c r="S605" s="809"/>
      <c r="T605" s="809"/>
      <c r="U605" s="809"/>
      <c r="V605" s="809"/>
      <c r="W605" s="809"/>
      <c r="X605" s="809"/>
      <c r="Y605" s="809"/>
      <c r="Z605" s="809"/>
      <c r="AA605" s="809"/>
      <c r="AB605" s="809"/>
      <c r="AC605" s="809"/>
      <c r="AD605" s="809"/>
      <c r="AE605" s="809"/>
      <c r="AF605" s="809"/>
      <c r="AG605" s="809"/>
      <c r="AH605" s="809"/>
      <c r="AI605" s="809"/>
      <c r="AJ605" s="809"/>
      <c r="AK605" s="809"/>
      <c r="AL605" s="809"/>
      <c r="AM605" s="809"/>
      <c r="AN605" s="809"/>
      <c r="AO605" s="809"/>
      <c r="AP605" s="809"/>
      <c r="AQ605" s="809"/>
      <c r="AR605" s="809"/>
      <c r="AS605" s="809"/>
      <c r="AT605" s="809"/>
      <c r="AU605" s="809"/>
      <c r="AV605" s="809"/>
      <c r="AW605" s="809"/>
      <c r="AX605" s="809"/>
      <c r="AY605" s="809"/>
      <c r="AZ605" s="809"/>
      <c r="BA605" s="809"/>
      <c r="BB605" s="809"/>
      <c r="BC605" s="809"/>
      <c r="BD605" s="809"/>
      <c r="BE605" s="809"/>
      <c r="BF605" s="809"/>
      <c r="BG605" s="809"/>
      <c r="BH605" s="809"/>
      <c r="BI605" s="809"/>
      <c r="BJ605" s="809"/>
      <c r="BK605" s="809"/>
      <c r="BL605" s="809"/>
      <c r="BM605" s="809"/>
      <c r="BN605" s="809"/>
    </row>
    <row r="606" spans="1:66">
      <c r="A606" s="809"/>
      <c r="B606" s="809"/>
      <c r="C606" s="809"/>
      <c r="D606" s="809"/>
      <c r="E606" s="809"/>
      <c r="F606" s="809"/>
      <c r="G606" s="809"/>
      <c r="H606" s="809"/>
      <c r="I606" s="809"/>
      <c r="J606" s="809"/>
      <c r="K606" s="809"/>
      <c r="L606" s="809"/>
      <c r="M606" s="809"/>
      <c r="N606" s="809"/>
      <c r="O606" s="809"/>
      <c r="P606" s="809"/>
      <c r="Q606" s="809"/>
      <c r="R606" s="809"/>
      <c r="S606" s="809"/>
      <c r="T606" s="809"/>
      <c r="U606" s="809"/>
      <c r="V606" s="809"/>
      <c r="W606" s="809"/>
      <c r="X606" s="809"/>
      <c r="Y606" s="809"/>
      <c r="Z606" s="809"/>
      <c r="AA606" s="809"/>
      <c r="AB606" s="809"/>
      <c r="AC606" s="809"/>
      <c r="AD606" s="809"/>
      <c r="AE606" s="809"/>
      <c r="AF606" s="809"/>
      <c r="AG606" s="809"/>
      <c r="AH606" s="809"/>
      <c r="AI606" s="809"/>
      <c r="AJ606" s="809"/>
      <c r="AK606" s="809"/>
      <c r="AL606" s="809"/>
      <c r="AM606" s="809"/>
      <c r="AN606" s="809"/>
      <c r="AO606" s="809"/>
      <c r="AP606" s="809"/>
      <c r="AQ606" s="809"/>
      <c r="AR606" s="809"/>
      <c r="AS606" s="809"/>
      <c r="AT606" s="809"/>
      <c r="AU606" s="809"/>
      <c r="AV606" s="809"/>
      <c r="AW606" s="809"/>
      <c r="AX606" s="809"/>
      <c r="AY606" s="809"/>
      <c r="AZ606" s="809"/>
      <c r="BA606" s="809"/>
      <c r="BB606" s="809"/>
      <c r="BC606" s="809"/>
      <c r="BD606" s="809"/>
      <c r="BE606" s="809"/>
      <c r="BF606" s="809"/>
      <c r="BG606" s="809"/>
      <c r="BH606" s="809"/>
      <c r="BI606" s="809"/>
      <c r="BJ606" s="809"/>
      <c r="BK606" s="809"/>
      <c r="BL606" s="809"/>
      <c r="BM606" s="809"/>
      <c r="BN606" s="809"/>
    </row>
    <row r="607" spans="1:66">
      <c r="A607" s="809"/>
      <c r="B607" s="809"/>
      <c r="C607" s="809"/>
      <c r="D607" s="809"/>
      <c r="E607" s="809"/>
      <c r="F607" s="809"/>
      <c r="G607" s="809"/>
      <c r="H607" s="809"/>
      <c r="I607" s="809"/>
      <c r="J607" s="809"/>
      <c r="K607" s="809"/>
      <c r="L607" s="809"/>
      <c r="M607" s="809"/>
      <c r="N607" s="809"/>
      <c r="O607" s="809"/>
      <c r="P607" s="809"/>
      <c r="Q607" s="809"/>
      <c r="R607" s="809"/>
      <c r="S607" s="809"/>
      <c r="T607" s="809"/>
      <c r="U607" s="809"/>
      <c r="V607" s="809"/>
      <c r="W607" s="809"/>
      <c r="X607" s="809"/>
      <c r="Y607" s="809"/>
      <c r="Z607" s="809"/>
      <c r="AA607" s="809"/>
      <c r="AB607" s="809"/>
      <c r="AC607" s="809"/>
      <c r="AD607" s="809"/>
      <c r="AE607" s="809"/>
      <c r="AF607" s="809"/>
      <c r="AG607" s="809"/>
      <c r="AH607" s="809"/>
      <c r="AI607" s="809"/>
      <c r="AJ607" s="809"/>
      <c r="AK607" s="809"/>
      <c r="AL607" s="809"/>
      <c r="AM607" s="809"/>
      <c r="AN607" s="809"/>
      <c r="AO607" s="809"/>
      <c r="AP607" s="809"/>
      <c r="AQ607" s="809"/>
      <c r="AR607" s="809"/>
      <c r="AS607" s="809"/>
      <c r="AT607" s="809"/>
      <c r="AU607" s="809"/>
      <c r="AV607" s="809"/>
      <c r="AW607" s="809"/>
      <c r="AX607" s="809"/>
      <c r="AY607" s="809"/>
      <c r="AZ607" s="809"/>
      <c r="BA607" s="809"/>
      <c r="BB607" s="809"/>
      <c r="BC607" s="809"/>
      <c r="BD607" s="809"/>
      <c r="BE607" s="809"/>
      <c r="BF607" s="809"/>
      <c r="BG607" s="809"/>
      <c r="BH607" s="809"/>
      <c r="BI607" s="809"/>
      <c r="BJ607" s="809"/>
      <c r="BK607" s="809"/>
      <c r="BL607" s="809"/>
      <c r="BM607" s="809"/>
      <c r="BN607" s="809"/>
    </row>
    <row r="608" spans="1:66">
      <c r="A608" s="809"/>
      <c r="B608" s="809"/>
      <c r="C608" s="809"/>
      <c r="D608" s="809"/>
      <c r="E608" s="809"/>
      <c r="F608" s="809"/>
      <c r="G608" s="809"/>
      <c r="H608" s="809"/>
      <c r="I608" s="809"/>
      <c r="J608" s="809"/>
      <c r="K608" s="809"/>
      <c r="L608" s="809"/>
      <c r="M608" s="809"/>
      <c r="N608" s="809"/>
      <c r="O608" s="809"/>
      <c r="P608" s="809"/>
      <c r="Q608" s="809"/>
      <c r="R608" s="809"/>
      <c r="S608" s="809"/>
      <c r="T608" s="809"/>
      <c r="U608" s="809"/>
      <c r="V608" s="809"/>
      <c r="W608" s="809"/>
      <c r="X608" s="809"/>
      <c r="Y608" s="809"/>
      <c r="Z608" s="809"/>
      <c r="AA608" s="809"/>
      <c r="AB608" s="809"/>
      <c r="AC608" s="809"/>
      <c r="AD608" s="809"/>
      <c r="AE608" s="809"/>
      <c r="AF608" s="809"/>
      <c r="AG608" s="809"/>
      <c r="AH608" s="809"/>
      <c r="AI608" s="809"/>
      <c r="AJ608" s="809"/>
      <c r="AK608" s="809"/>
      <c r="AL608" s="809"/>
      <c r="AM608" s="809"/>
      <c r="AN608" s="809"/>
      <c r="AO608" s="809"/>
      <c r="AP608" s="809"/>
      <c r="AQ608" s="809"/>
      <c r="AR608" s="809"/>
      <c r="AS608" s="809"/>
      <c r="AT608" s="809"/>
      <c r="AU608" s="809"/>
      <c r="AV608" s="809"/>
      <c r="AW608" s="809"/>
      <c r="AX608" s="809"/>
      <c r="AY608" s="809"/>
      <c r="AZ608" s="809"/>
      <c r="BA608" s="809"/>
      <c r="BB608" s="809"/>
      <c r="BC608" s="809"/>
      <c r="BD608" s="809"/>
      <c r="BE608" s="809"/>
      <c r="BF608" s="809"/>
      <c r="BG608" s="809"/>
      <c r="BH608" s="809"/>
      <c r="BI608" s="809"/>
      <c r="BJ608" s="809"/>
      <c r="BK608" s="809"/>
      <c r="BL608" s="809"/>
      <c r="BM608" s="809"/>
      <c r="BN608" s="809"/>
    </row>
    <row r="609" spans="1:66">
      <c r="A609" s="809"/>
      <c r="B609" s="809"/>
      <c r="C609" s="809"/>
      <c r="D609" s="809"/>
      <c r="E609" s="809"/>
      <c r="F609" s="809"/>
      <c r="G609" s="809"/>
      <c r="H609" s="809"/>
      <c r="I609" s="809"/>
      <c r="J609" s="809"/>
      <c r="K609" s="809"/>
      <c r="L609" s="809"/>
      <c r="M609" s="809"/>
      <c r="N609" s="809"/>
      <c r="O609" s="809"/>
      <c r="P609" s="809"/>
      <c r="Q609" s="809"/>
      <c r="R609" s="809"/>
      <c r="S609" s="809"/>
      <c r="T609" s="809"/>
      <c r="U609" s="809"/>
      <c r="V609" s="809"/>
      <c r="W609" s="809"/>
      <c r="X609" s="809"/>
      <c r="Y609" s="809"/>
      <c r="Z609" s="809"/>
      <c r="AA609" s="809"/>
      <c r="AB609" s="809"/>
      <c r="AC609" s="809"/>
      <c r="AD609" s="809"/>
      <c r="AE609" s="809"/>
      <c r="AF609" s="809"/>
      <c r="AG609" s="809"/>
      <c r="AH609" s="809"/>
      <c r="AI609" s="809"/>
      <c r="AJ609" s="809"/>
      <c r="AK609" s="809"/>
      <c r="AL609" s="809"/>
      <c r="AM609" s="809"/>
      <c r="AN609" s="809"/>
      <c r="AO609" s="809"/>
      <c r="AP609" s="809"/>
      <c r="AQ609" s="809"/>
      <c r="AR609" s="809"/>
      <c r="AS609" s="809"/>
      <c r="AT609" s="809"/>
      <c r="AU609" s="809"/>
      <c r="AV609" s="809"/>
      <c r="AW609" s="809"/>
      <c r="AX609" s="809"/>
      <c r="AY609" s="809"/>
      <c r="AZ609" s="809"/>
      <c r="BA609" s="809"/>
      <c r="BB609" s="809"/>
      <c r="BC609" s="809"/>
      <c r="BD609" s="809"/>
      <c r="BE609" s="809"/>
      <c r="BF609" s="809"/>
      <c r="BG609" s="809"/>
      <c r="BH609" s="809"/>
      <c r="BI609" s="809"/>
      <c r="BJ609" s="809"/>
      <c r="BK609" s="809"/>
      <c r="BL609" s="809"/>
      <c r="BM609" s="809"/>
      <c r="BN609" s="809"/>
    </row>
    <row r="610" spans="1:66">
      <c r="A610" s="809"/>
      <c r="B610" s="809"/>
      <c r="C610" s="809"/>
      <c r="D610" s="809"/>
      <c r="E610" s="809"/>
      <c r="F610" s="809"/>
      <c r="G610" s="809"/>
      <c r="H610" s="809"/>
      <c r="I610" s="809"/>
      <c r="J610" s="809"/>
      <c r="K610" s="809"/>
      <c r="L610" s="809"/>
      <c r="M610" s="809"/>
      <c r="N610" s="809"/>
      <c r="O610" s="809"/>
      <c r="P610" s="809"/>
      <c r="Q610" s="809"/>
      <c r="R610" s="809"/>
      <c r="S610" s="809"/>
      <c r="T610" s="809"/>
      <c r="U610" s="809"/>
      <c r="V610" s="809"/>
      <c r="W610" s="809"/>
      <c r="X610" s="809"/>
      <c r="Y610" s="809"/>
      <c r="Z610" s="809"/>
      <c r="AA610" s="809"/>
      <c r="AB610" s="809"/>
      <c r="AC610" s="809"/>
      <c r="AD610" s="809"/>
      <c r="AE610" s="809"/>
      <c r="AF610" s="809"/>
      <c r="AG610" s="809"/>
      <c r="AH610" s="809"/>
      <c r="AI610" s="809"/>
      <c r="AJ610" s="809"/>
      <c r="AK610" s="809"/>
      <c r="AL610" s="809"/>
      <c r="AM610" s="809"/>
      <c r="AN610" s="809"/>
      <c r="AO610" s="809"/>
      <c r="AP610" s="809"/>
      <c r="AQ610" s="809"/>
      <c r="AR610" s="809"/>
      <c r="AS610" s="809"/>
      <c r="AT610" s="809"/>
      <c r="AU610" s="809"/>
      <c r="AV610" s="809"/>
      <c r="AW610" s="809"/>
      <c r="AX610" s="809"/>
      <c r="AY610" s="809"/>
      <c r="AZ610" s="809"/>
      <c r="BA610" s="809"/>
      <c r="BB610" s="809"/>
      <c r="BC610" s="809"/>
      <c r="BD610" s="809"/>
      <c r="BE610" s="809"/>
      <c r="BF610" s="809"/>
      <c r="BG610" s="809"/>
      <c r="BH610" s="809"/>
      <c r="BI610" s="809"/>
      <c r="BJ610" s="809"/>
      <c r="BK610" s="809"/>
      <c r="BL610" s="809"/>
      <c r="BM610" s="809"/>
      <c r="BN610" s="809"/>
    </row>
    <row r="611" spans="1:66">
      <c r="A611" s="809"/>
      <c r="B611" s="809"/>
      <c r="C611" s="809"/>
      <c r="D611" s="809"/>
      <c r="E611" s="809"/>
      <c r="F611" s="809"/>
      <c r="G611" s="809"/>
      <c r="H611" s="809"/>
      <c r="I611" s="809"/>
      <c r="J611" s="809"/>
      <c r="K611" s="809"/>
      <c r="L611" s="809"/>
      <c r="M611" s="809"/>
      <c r="N611" s="809"/>
      <c r="O611" s="809"/>
      <c r="P611" s="809"/>
      <c r="Q611" s="809"/>
      <c r="R611" s="809"/>
      <c r="S611" s="809"/>
      <c r="T611" s="809"/>
      <c r="U611" s="809"/>
      <c r="V611" s="809"/>
      <c r="W611" s="809"/>
      <c r="X611" s="809"/>
      <c r="Y611" s="809"/>
      <c r="Z611" s="809"/>
      <c r="AA611" s="809"/>
      <c r="AB611" s="809"/>
      <c r="AC611" s="809"/>
      <c r="AD611" s="809"/>
      <c r="AE611" s="809"/>
      <c r="AF611" s="809"/>
      <c r="AG611" s="809"/>
      <c r="AH611" s="809"/>
      <c r="AI611" s="809"/>
      <c r="AJ611" s="809"/>
      <c r="AK611" s="809"/>
      <c r="AL611" s="809"/>
      <c r="AM611" s="809"/>
      <c r="AN611" s="809"/>
      <c r="AO611" s="809"/>
      <c r="AP611" s="809"/>
      <c r="AQ611" s="809"/>
      <c r="AR611" s="809"/>
      <c r="AS611" s="809"/>
      <c r="AT611" s="809"/>
      <c r="AU611" s="809"/>
      <c r="AV611" s="809"/>
      <c r="AW611" s="809"/>
      <c r="AX611" s="809"/>
      <c r="AY611" s="809"/>
      <c r="AZ611" s="809"/>
      <c r="BA611" s="809"/>
      <c r="BB611" s="809"/>
      <c r="BC611" s="809"/>
      <c r="BD611" s="809"/>
      <c r="BE611" s="809"/>
      <c r="BF611" s="809"/>
      <c r="BG611" s="809"/>
      <c r="BH611" s="809"/>
      <c r="BI611" s="809"/>
      <c r="BJ611" s="809"/>
      <c r="BK611" s="809"/>
      <c r="BL611" s="809"/>
      <c r="BM611" s="809"/>
      <c r="BN611" s="809"/>
    </row>
    <row r="612" spans="1:66">
      <c r="A612" s="809"/>
      <c r="B612" s="809"/>
      <c r="C612" s="809"/>
      <c r="D612" s="809"/>
      <c r="E612" s="809"/>
      <c r="F612" s="809"/>
      <c r="G612" s="809"/>
      <c r="H612" s="809"/>
      <c r="I612" s="809"/>
      <c r="J612" s="809"/>
      <c r="K612" s="809"/>
      <c r="L612" s="809"/>
      <c r="M612" s="809"/>
      <c r="N612" s="809"/>
      <c r="O612" s="809"/>
      <c r="P612" s="809"/>
      <c r="Q612" s="809"/>
      <c r="R612" s="809"/>
      <c r="S612" s="809"/>
      <c r="T612" s="809"/>
      <c r="U612" s="809"/>
      <c r="V612" s="809"/>
      <c r="W612" s="809"/>
      <c r="X612" s="809"/>
      <c r="Y612" s="809"/>
      <c r="Z612" s="809"/>
      <c r="AA612" s="809"/>
      <c r="AB612" s="809"/>
      <c r="AC612" s="809"/>
      <c r="AD612" s="809"/>
      <c r="AE612" s="809"/>
      <c r="AF612" s="809"/>
      <c r="AG612" s="809"/>
      <c r="AH612" s="809"/>
      <c r="AI612" s="809"/>
      <c r="AJ612" s="809"/>
      <c r="AK612" s="809"/>
      <c r="AL612" s="809"/>
      <c r="AM612" s="809"/>
      <c r="AN612" s="809"/>
      <c r="AO612" s="809"/>
      <c r="AP612" s="809"/>
      <c r="AQ612" s="809"/>
      <c r="AR612" s="809"/>
      <c r="AS612" s="809"/>
      <c r="AT612" s="809"/>
      <c r="AU612" s="809"/>
      <c r="AV612" s="809"/>
      <c r="AW612" s="809"/>
      <c r="AX612" s="809"/>
      <c r="AY612" s="809"/>
      <c r="AZ612" s="809"/>
      <c r="BA612" s="809"/>
      <c r="BB612" s="809"/>
      <c r="BC612" s="809"/>
      <c r="BD612" s="809"/>
      <c r="BE612" s="809"/>
      <c r="BF612" s="809"/>
      <c r="BG612" s="809"/>
      <c r="BH612" s="809"/>
      <c r="BI612" s="809"/>
      <c r="BJ612" s="809"/>
      <c r="BK612" s="809"/>
      <c r="BL612" s="809"/>
      <c r="BM612" s="809"/>
      <c r="BN612" s="809"/>
    </row>
    <row r="613" spans="1:66">
      <c r="A613" s="809"/>
      <c r="B613" s="809"/>
      <c r="C613" s="809"/>
      <c r="D613" s="809"/>
      <c r="E613" s="809"/>
      <c r="F613" s="809"/>
      <c r="G613" s="809"/>
      <c r="H613" s="809"/>
      <c r="I613" s="809"/>
      <c r="J613" s="809"/>
      <c r="K613" s="809"/>
      <c r="L613" s="809"/>
      <c r="M613" s="809"/>
      <c r="N613" s="809"/>
      <c r="O613" s="809"/>
      <c r="P613" s="809"/>
      <c r="Q613" s="809"/>
      <c r="R613" s="809"/>
      <c r="S613" s="809"/>
      <c r="T613" s="809"/>
      <c r="U613" s="809"/>
      <c r="V613" s="809"/>
      <c r="W613" s="809"/>
      <c r="X613" s="809"/>
      <c r="Y613" s="809"/>
      <c r="Z613" s="809"/>
      <c r="AA613" s="809"/>
      <c r="AB613" s="809"/>
      <c r="AC613" s="809"/>
      <c r="AD613" s="809"/>
      <c r="AE613" s="809"/>
      <c r="AF613" s="809"/>
      <c r="AG613" s="809"/>
      <c r="AH613" s="809"/>
      <c r="AI613" s="809"/>
      <c r="AJ613" s="809"/>
      <c r="AK613" s="809"/>
      <c r="AL613" s="809"/>
      <c r="AM613" s="809"/>
      <c r="AN613" s="809"/>
      <c r="AO613" s="809"/>
      <c r="AP613" s="809"/>
      <c r="AQ613" s="809"/>
      <c r="AR613" s="809"/>
      <c r="AS613" s="809"/>
      <c r="AT613" s="809"/>
      <c r="AU613" s="809"/>
      <c r="AV613" s="809"/>
      <c r="AW613" s="809"/>
      <c r="AX613" s="809"/>
      <c r="AY613" s="809"/>
      <c r="AZ613" s="809"/>
      <c r="BA613" s="809"/>
      <c r="BB613" s="809"/>
      <c r="BC613" s="809"/>
      <c r="BD613" s="809"/>
      <c r="BE613" s="809"/>
      <c r="BF613" s="809"/>
      <c r="BG613" s="809"/>
      <c r="BH613" s="809"/>
      <c r="BI613" s="809"/>
      <c r="BJ613" s="809"/>
      <c r="BK613" s="809"/>
      <c r="BL613" s="809"/>
      <c r="BM613" s="809"/>
      <c r="BN613" s="809"/>
    </row>
    <row r="614" spans="1:66">
      <c r="A614" s="809"/>
      <c r="B614" s="809"/>
      <c r="C614" s="809"/>
      <c r="D614" s="809"/>
      <c r="E614" s="809"/>
      <c r="F614" s="809"/>
      <c r="G614" s="809"/>
      <c r="H614" s="809"/>
      <c r="I614" s="809"/>
      <c r="J614" s="809"/>
      <c r="K614" s="809"/>
      <c r="L614" s="809"/>
      <c r="M614" s="809"/>
      <c r="N614" s="809"/>
      <c r="O614" s="809"/>
      <c r="P614" s="809"/>
      <c r="Q614" s="809"/>
      <c r="R614" s="809"/>
      <c r="S614" s="809"/>
      <c r="T614" s="809"/>
      <c r="U614" s="809"/>
      <c r="V614" s="809"/>
      <c r="W614" s="809"/>
      <c r="X614" s="809"/>
      <c r="Y614" s="809"/>
      <c r="Z614" s="809"/>
      <c r="AA614" s="809"/>
      <c r="AB614" s="809"/>
      <c r="AC614" s="809"/>
      <c r="AD614" s="809"/>
      <c r="AE614" s="809"/>
      <c r="AF614" s="809"/>
      <c r="AG614" s="809"/>
      <c r="AH614" s="809"/>
      <c r="AI614" s="809"/>
      <c r="AJ614" s="809"/>
      <c r="AK614" s="809"/>
      <c r="AL614" s="809"/>
      <c r="AM614" s="809"/>
      <c r="AN614" s="809"/>
      <c r="AO614" s="809"/>
      <c r="AP614" s="809"/>
      <c r="AQ614" s="809"/>
      <c r="AR614" s="809"/>
      <c r="AS614" s="809"/>
      <c r="AT614" s="809"/>
      <c r="AU614" s="809"/>
      <c r="AV614" s="809"/>
      <c r="AW614" s="809"/>
      <c r="AX614" s="809"/>
      <c r="AY614" s="809"/>
      <c r="AZ614" s="809"/>
      <c r="BA614" s="809"/>
      <c r="BB614" s="809"/>
      <c r="BC614" s="809"/>
      <c r="BD614" s="809"/>
      <c r="BE614" s="809"/>
      <c r="BF614" s="809"/>
      <c r="BG614" s="809"/>
      <c r="BH614" s="809"/>
      <c r="BI614" s="809"/>
      <c r="BJ614" s="809"/>
      <c r="BK614" s="809"/>
      <c r="BL614" s="809"/>
      <c r="BM614" s="809"/>
      <c r="BN614" s="809"/>
    </row>
    <row r="615" spans="1:66">
      <c r="A615" s="809"/>
      <c r="B615" s="809"/>
      <c r="C615" s="809"/>
      <c r="D615" s="809"/>
      <c r="E615" s="809"/>
      <c r="F615" s="809"/>
      <c r="G615" s="809"/>
      <c r="H615" s="809"/>
      <c r="I615" s="809"/>
      <c r="J615" s="809"/>
      <c r="K615" s="809"/>
      <c r="L615" s="809"/>
      <c r="M615" s="809"/>
      <c r="N615" s="809"/>
      <c r="O615" s="809"/>
      <c r="P615" s="809"/>
      <c r="Q615" s="809"/>
      <c r="R615" s="809"/>
      <c r="S615" s="809"/>
      <c r="T615" s="809"/>
      <c r="U615" s="809"/>
      <c r="V615" s="809"/>
      <c r="W615" s="809"/>
      <c r="X615" s="809"/>
      <c r="Y615" s="809"/>
      <c r="Z615" s="809"/>
      <c r="AA615" s="809"/>
      <c r="AB615" s="809"/>
      <c r="AC615" s="809"/>
      <c r="AD615" s="809"/>
      <c r="AE615" s="809"/>
      <c r="AF615" s="809"/>
      <c r="AG615" s="809"/>
      <c r="AH615" s="809"/>
      <c r="AI615" s="809"/>
      <c r="AJ615" s="809"/>
      <c r="AK615" s="809"/>
      <c r="AL615" s="809"/>
      <c r="AM615" s="809"/>
      <c r="AN615" s="809"/>
      <c r="AO615" s="809"/>
      <c r="AP615" s="809"/>
      <c r="AQ615" s="809"/>
      <c r="AR615" s="809"/>
      <c r="AS615" s="809"/>
      <c r="AT615" s="809"/>
      <c r="AU615" s="809"/>
      <c r="AV615" s="809"/>
      <c r="AW615" s="809"/>
      <c r="AX615" s="809"/>
      <c r="AY615" s="809"/>
      <c r="AZ615" s="809"/>
      <c r="BA615" s="809"/>
      <c r="BB615" s="809"/>
      <c r="BC615" s="809"/>
      <c r="BD615" s="809"/>
      <c r="BE615" s="809"/>
      <c r="BF615" s="809"/>
      <c r="BG615" s="809"/>
      <c r="BH615" s="809"/>
      <c r="BI615" s="809"/>
      <c r="BJ615" s="809"/>
      <c r="BK615" s="809"/>
      <c r="BL615" s="809"/>
      <c r="BM615" s="809"/>
      <c r="BN615" s="809"/>
    </row>
    <row r="616" spans="1:66">
      <c r="A616" s="809"/>
      <c r="B616" s="809"/>
      <c r="C616" s="809"/>
      <c r="D616" s="809"/>
      <c r="E616" s="809"/>
      <c r="F616" s="809"/>
      <c r="G616" s="809"/>
      <c r="H616" s="809"/>
      <c r="I616" s="809"/>
      <c r="J616" s="809"/>
      <c r="K616" s="809"/>
      <c r="L616" s="809"/>
      <c r="M616" s="809"/>
      <c r="N616" s="809"/>
      <c r="O616" s="809"/>
      <c r="P616" s="809"/>
      <c r="Q616" s="809"/>
      <c r="R616" s="809"/>
      <c r="S616" s="809"/>
      <c r="T616" s="809"/>
      <c r="U616" s="809"/>
      <c r="V616" s="809"/>
      <c r="W616" s="809"/>
      <c r="X616" s="809"/>
      <c r="Y616" s="809"/>
      <c r="Z616" s="809"/>
      <c r="AA616" s="809"/>
      <c r="AB616" s="809"/>
      <c r="AC616" s="809"/>
      <c r="AD616" s="809"/>
      <c r="AE616" s="809"/>
      <c r="AF616" s="809"/>
      <c r="AG616" s="809"/>
      <c r="AH616" s="809"/>
      <c r="AI616" s="809"/>
      <c r="AJ616" s="809"/>
      <c r="AK616" s="809"/>
      <c r="AL616" s="809"/>
      <c r="AM616" s="809"/>
      <c r="AN616" s="809"/>
      <c r="AO616" s="809"/>
      <c r="AP616" s="809"/>
      <c r="AQ616" s="809"/>
      <c r="AR616" s="809"/>
      <c r="AS616" s="809"/>
      <c r="AT616" s="809"/>
      <c r="AU616" s="809"/>
      <c r="AV616" s="809"/>
      <c r="AW616" s="809"/>
      <c r="AX616" s="809"/>
      <c r="AY616" s="809"/>
      <c r="AZ616" s="809"/>
      <c r="BA616" s="809"/>
      <c r="BB616" s="809"/>
      <c r="BC616" s="809"/>
      <c r="BD616" s="809"/>
      <c r="BE616" s="809"/>
      <c r="BF616" s="809"/>
      <c r="BG616" s="809"/>
      <c r="BH616" s="809"/>
      <c r="BI616" s="809"/>
      <c r="BJ616" s="809"/>
      <c r="BK616" s="809"/>
      <c r="BL616" s="809"/>
      <c r="BM616" s="809"/>
      <c r="BN616" s="809"/>
    </row>
    <row r="617" spans="1:66">
      <c r="A617" s="809"/>
      <c r="B617" s="809"/>
      <c r="C617" s="809"/>
      <c r="D617" s="809"/>
      <c r="E617" s="809"/>
      <c r="F617" s="809"/>
      <c r="G617" s="809"/>
      <c r="H617" s="809"/>
      <c r="I617" s="809"/>
      <c r="J617" s="809"/>
      <c r="K617" s="809"/>
      <c r="L617" s="809"/>
      <c r="M617" s="809"/>
      <c r="N617" s="809"/>
      <c r="O617" s="809"/>
      <c r="P617" s="809"/>
      <c r="Q617" s="809"/>
      <c r="R617" s="809"/>
      <c r="S617" s="809"/>
      <c r="T617" s="809"/>
      <c r="U617" s="809"/>
      <c r="V617" s="809"/>
      <c r="W617" s="809"/>
      <c r="X617" s="809"/>
      <c r="Y617" s="809"/>
      <c r="Z617" s="809"/>
      <c r="AA617" s="809"/>
      <c r="AB617" s="809"/>
      <c r="AC617" s="809"/>
      <c r="AD617" s="809"/>
      <c r="AE617" s="809"/>
      <c r="AF617" s="809"/>
      <c r="AG617" s="809"/>
      <c r="AH617" s="809"/>
      <c r="AI617" s="809"/>
      <c r="AJ617" s="809"/>
      <c r="AK617" s="809"/>
      <c r="AL617" s="809"/>
      <c r="AM617" s="809"/>
      <c r="AN617" s="809"/>
      <c r="AO617" s="809"/>
      <c r="AP617" s="809"/>
      <c r="AQ617" s="809"/>
      <c r="AR617" s="809"/>
      <c r="AS617" s="809"/>
      <c r="AT617" s="809"/>
      <c r="AU617" s="809"/>
      <c r="AV617" s="809"/>
      <c r="AW617" s="809"/>
      <c r="AX617" s="809"/>
      <c r="AY617" s="809"/>
      <c r="AZ617" s="809"/>
      <c r="BA617" s="809"/>
      <c r="BB617" s="809"/>
      <c r="BC617" s="809"/>
      <c r="BD617" s="809"/>
      <c r="BE617" s="809"/>
      <c r="BF617" s="809"/>
      <c r="BG617" s="809"/>
      <c r="BH617" s="809"/>
      <c r="BI617" s="809"/>
      <c r="BJ617" s="809"/>
      <c r="BK617" s="809"/>
      <c r="BL617" s="809"/>
      <c r="BM617" s="809"/>
      <c r="BN617" s="809"/>
    </row>
    <row r="618" spans="1:66">
      <c r="A618" s="809"/>
      <c r="B618" s="809"/>
      <c r="C618" s="809"/>
      <c r="D618" s="809"/>
      <c r="E618" s="809"/>
      <c r="F618" s="809"/>
      <c r="G618" s="809"/>
      <c r="H618" s="809"/>
      <c r="I618" s="809"/>
      <c r="J618" s="809"/>
      <c r="K618" s="809"/>
      <c r="L618" s="809"/>
      <c r="M618" s="809"/>
      <c r="N618" s="809"/>
      <c r="O618" s="809"/>
      <c r="P618" s="809"/>
      <c r="Q618" s="809"/>
      <c r="R618" s="809"/>
      <c r="S618" s="809"/>
      <c r="T618" s="809"/>
      <c r="U618" s="809"/>
      <c r="V618" s="809"/>
      <c r="W618" s="809"/>
      <c r="X618" s="809"/>
      <c r="Y618" s="809"/>
      <c r="Z618" s="809"/>
      <c r="AA618" s="809"/>
      <c r="AB618" s="809"/>
      <c r="AC618" s="809"/>
      <c r="AD618" s="809"/>
      <c r="AE618" s="809"/>
      <c r="AF618" s="809"/>
      <c r="AG618" s="809"/>
      <c r="AH618" s="809"/>
      <c r="AI618" s="809"/>
      <c r="AJ618" s="809"/>
      <c r="AK618" s="809"/>
      <c r="AL618" s="809"/>
      <c r="AM618" s="809"/>
      <c r="AN618" s="809"/>
      <c r="AO618" s="809"/>
      <c r="AP618" s="809"/>
      <c r="AQ618" s="809"/>
      <c r="AR618" s="809"/>
      <c r="AS618" s="809"/>
      <c r="AT618" s="809"/>
      <c r="AU618" s="809"/>
      <c r="AV618" s="809"/>
      <c r="AW618" s="809"/>
      <c r="AX618" s="809"/>
      <c r="AY618" s="809"/>
      <c r="AZ618" s="809"/>
      <c r="BA618" s="809"/>
      <c r="BB618" s="809"/>
      <c r="BC618" s="809"/>
      <c r="BD618" s="809"/>
      <c r="BE618" s="809"/>
      <c r="BF618" s="809"/>
      <c r="BG618" s="809"/>
      <c r="BH618" s="809"/>
      <c r="BI618" s="809"/>
      <c r="BJ618" s="809"/>
      <c r="BK618" s="809"/>
      <c r="BL618" s="809"/>
      <c r="BM618" s="809"/>
      <c r="BN618" s="809"/>
    </row>
    <row r="619" spans="1:66">
      <c r="A619" s="809"/>
      <c r="B619" s="809"/>
      <c r="C619" s="809"/>
      <c r="D619" s="809"/>
      <c r="E619" s="809"/>
      <c r="F619" s="809"/>
      <c r="G619" s="809"/>
      <c r="H619" s="809"/>
      <c r="I619" s="809"/>
      <c r="J619" s="809"/>
      <c r="K619" s="809"/>
      <c r="L619" s="809"/>
      <c r="M619" s="809"/>
      <c r="N619" s="809"/>
      <c r="O619" s="809"/>
      <c r="P619" s="809"/>
      <c r="Q619" s="809"/>
      <c r="R619" s="809"/>
      <c r="S619" s="809"/>
      <c r="T619" s="809"/>
      <c r="U619" s="809"/>
      <c r="V619" s="809"/>
      <c r="W619" s="809"/>
      <c r="X619" s="809"/>
      <c r="Y619" s="809"/>
      <c r="Z619" s="809"/>
      <c r="AA619" s="809"/>
      <c r="AB619" s="809"/>
      <c r="AC619" s="809"/>
      <c r="AD619" s="809"/>
      <c r="AE619" s="809"/>
      <c r="AF619" s="809"/>
      <c r="AG619" s="809"/>
      <c r="AH619" s="809"/>
      <c r="AI619" s="809"/>
      <c r="AJ619" s="809"/>
      <c r="AK619" s="809"/>
      <c r="AL619" s="809"/>
      <c r="AM619" s="809"/>
      <c r="AN619" s="809"/>
      <c r="AO619" s="809"/>
      <c r="AP619" s="809"/>
      <c r="AQ619" s="809"/>
      <c r="AR619" s="809"/>
      <c r="AS619" s="809"/>
      <c r="AT619" s="809"/>
      <c r="AU619" s="809"/>
      <c r="AV619" s="809"/>
      <c r="AW619" s="809"/>
      <c r="AX619" s="809"/>
      <c r="AY619" s="809"/>
      <c r="AZ619" s="809"/>
      <c r="BA619" s="809"/>
      <c r="BB619" s="809"/>
      <c r="BC619" s="809"/>
      <c r="BD619" s="809"/>
      <c r="BE619" s="809"/>
      <c r="BF619" s="809"/>
      <c r="BG619" s="809"/>
      <c r="BH619" s="809"/>
      <c r="BI619" s="809"/>
      <c r="BJ619" s="809"/>
      <c r="BK619" s="809"/>
      <c r="BL619" s="809"/>
      <c r="BM619" s="809"/>
      <c r="BN619" s="809"/>
    </row>
    <row r="620" spans="1:66">
      <c r="A620" s="809"/>
      <c r="B620" s="809"/>
      <c r="C620" s="809"/>
      <c r="D620" s="809"/>
      <c r="E620" s="809"/>
      <c r="F620" s="809"/>
      <c r="G620" s="809"/>
      <c r="H620" s="809"/>
      <c r="I620" s="809"/>
      <c r="J620" s="809"/>
      <c r="K620" s="809"/>
      <c r="L620" s="809"/>
      <c r="M620" s="809"/>
      <c r="N620" s="809"/>
      <c r="O620" s="809"/>
      <c r="P620" s="809"/>
      <c r="Q620" s="809"/>
      <c r="R620" s="809"/>
      <c r="S620" s="809"/>
      <c r="T620" s="809"/>
      <c r="U620" s="809"/>
      <c r="V620" s="809"/>
      <c r="W620" s="809"/>
      <c r="X620" s="809"/>
      <c r="Y620" s="809"/>
      <c r="Z620" s="809"/>
      <c r="AA620" s="809"/>
      <c r="AB620" s="809"/>
      <c r="AC620" s="809"/>
      <c r="AD620" s="809"/>
      <c r="AE620" s="809"/>
      <c r="AF620" s="809"/>
      <c r="AG620" s="809"/>
      <c r="AH620" s="809"/>
      <c r="AI620" s="809"/>
      <c r="AJ620" s="809"/>
      <c r="AK620" s="809"/>
      <c r="AL620" s="809"/>
      <c r="AM620" s="809"/>
      <c r="AN620" s="809"/>
      <c r="AO620" s="809"/>
      <c r="AP620" s="809"/>
      <c r="AQ620" s="809"/>
      <c r="AR620" s="809"/>
      <c r="AS620" s="809"/>
      <c r="AT620" s="809"/>
      <c r="AU620" s="809"/>
      <c r="AV620" s="809"/>
      <c r="AW620" s="809"/>
      <c r="AX620" s="809"/>
      <c r="AY620" s="809"/>
      <c r="AZ620" s="809"/>
      <c r="BA620" s="809"/>
      <c r="BB620" s="809"/>
      <c r="BC620" s="809"/>
      <c r="BD620" s="809"/>
      <c r="BE620" s="809"/>
      <c r="BF620" s="809"/>
      <c r="BG620" s="809"/>
      <c r="BH620" s="809"/>
      <c r="BI620" s="809"/>
      <c r="BJ620" s="809"/>
      <c r="BK620" s="809"/>
      <c r="BL620" s="809"/>
      <c r="BM620" s="809"/>
      <c r="BN620" s="809"/>
    </row>
    <row r="621" spans="1:66">
      <c r="A621" s="809"/>
      <c r="B621" s="809"/>
      <c r="C621" s="809"/>
      <c r="D621" s="809"/>
      <c r="E621" s="809"/>
      <c r="F621" s="809"/>
      <c r="G621" s="809"/>
      <c r="H621" s="809"/>
      <c r="I621" s="809"/>
      <c r="J621" s="809"/>
      <c r="K621" s="809"/>
      <c r="L621" s="809"/>
      <c r="M621" s="809"/>
      <c r="N621" s="809"/>
      <c r="O621" s="809"/>
      <c r="P621" s="809"/>
      <c r="Q621" s="809"/>
      <c r="R621" s="809"/>
      <c r="S621" s="809"/>
      <c r="T621" s="809"/>
      <c r="U621" s="809"/>
      <c r="V621" s="809"/>
      <c r="W621" s="809"/>
      <c r="X621" s="809"/>
      <c r="Y621" s="809"/>
      <c r="Z621" s="809"/>
      <c r="AA621" s="809"/>
      <c r="AB621" s="809"/>
      <c r="AC621" s="809"/>
      <c r="AD621" s="809"/>
      <c r="AE621" s="809"/>
      <c r="AF621" s="809"/>
      <c r="AG621" s="809"/>
      <c r="AH621" s="809"/>
      <c r="AI621" s="809"/>
      <c r="AJ621" s="809"/>
      <c r="AK621" s="809"/>
      <c r="AL621" s="809"/>
      <c r="AM621" s="809"/>
      <c r="AN621" s="809"/>
      <c r="AO621" s="809"/>
      <c r="AP621" s="809"/>
      <c r="AQ621" s="809"/>
      <c r="AR621" s="809"/>
      <c r="AS621" s="809"/>
      <c r="AT621" s="809"/>
      <c r="AU621" s="809"/>
      <c r="AV621" s="809"/>
      <c r="AW621" s="809"/>
      <c r="AX621" s="809"/>
      <c r="AY621" s="809"/>
      <c r="AZ621" s="809"/>
      <c r="BA621" s="809"/>
      <c r="BB621" s="809"/>
      <c r="BC621" s="809"/>
      <c r="BD621" s="809"/>
      <c r="BE621" s="809"/>
      <c r="BF621" s="809"/>
      <c r="BG621" s="809"/>
      <c r="BH621" s="809"/>
      <c r="BI621" s="809"/>
      <c r="BJ621" s="809"/>
      <c r="BK621" s="809"/>
      <c r="BL621" s="809"/>
      <c r="BM621" s="809"/>
      <c r="BN621" s="809"/>
    </row>
    <row r="622" spans="1:66">
      <c r="A622" s="809"/>
      <c r="B622" s="809"/>
      <c r="C622" s="809"/>
      <c r="D622" s="809"/>
      <c r="E622" s="809"/>
      <c r="F622" s="809"/>
      <c r="G622" s="809"/>
      <c r="H622" s="809"/>
      <c r="I622" s="809"/>
      <c r="J622" s="809"/>
      <c r="K622" s="809"/>
      <c r="L622" s="809"/>
      <c r="M622" s="809"/>
      <c r="N622" s="809"/>
      <c r="O622" s="809"/>
      <c r="P622" s="809"/>
      <c r="Q622" s="809"/>
      <c r="R622" s="809"/>
      <c r="S622" s="809"/>
      <c r="T622" s="809"/>
      <c r="U622" s="809"/>
      <c r="V622" s="809"/>
      <c r="W622" s="809"/>
      <c r="X622" s="809"/>
      <c r="Y622" s="809"/>
      <c r="Z622" s="809"/>
      <c r="AA622" s="809"/>
      <c r="AB622" s="809"/>
      <c r="AC622" s="809"/>
      <c r="AD622" s="809"/>
      <c r="AE622" s="809"/>
      <c r="AF622" s="809"/>
      <c r="AG622" s="809"/>
      <c r="AH622" s="809"/>
      <c r="AI622" s="809"/>
      <c r="AJ622" s="809"/>
      <c r="AK622" s="809"/>
      <c r="AL622" s="809"/>
      <c r="AM622" s="809"/>
      <c r="AN622" s="809"/>
      <c r="AO622" s="809"/>
      <c r="AP622" s="809"/>
      <c r="AQ622" s="809"/>
      <c r="AR622" s="809"/>
      <c r="AS622" s="809"/>
      <c r="AT622" s="809"/>
      <c r="AU622" s="809"/>
      <c r="AV622" s="809"/>
      <c r="AW622" s="809"/>
      <c r="AX622" s="809"/>
      <c r="AY622" s="809"/>
      <c r="AZ622" s="809"/>
      <c r="BA622" s="809"/>
      <c r="BB622" s="809"/>
      <c r="BC622" s="809"/>
      <c r="BD622" s="809"/>
      <c r="BE622" s="809"/>
      <c r="BF622" s="809"/>
      <c r="BG622" s="809"/>
      <c r="BH622" s="809"/>
      <c r="BI622" s="809"/>
      <c r="BJ622" s="809"/>
      <c r="BK622" s="809"/>
      <c r="BL622" s="809"/>
      <c r="BM622" s="809"/>
      <c r="BN622" s="809"/>
    </row>
    <row r="623" spans="1:66">
      <c r="A623" s="809"/>
      <c r="B623" s="809"/>
      <c r="C623" s="809"/>
      <c r="D623" s="809"/>
      <c r="E623" s="809"/>
      <c r="F623" s="809"/>
      <c r="G623" s="809"/>
      <c r="H623" s="809"/>
      <c r="I623" s="809"/>
      <c r="J623" s="809"/>
      <c r="K623" s="809"/>
      <c r="L623" s="809"/>
      <c r="M623" s="809"/>
      <c r="N623" s="809"/>
      <c r="O623" s="809"/>
      <c r="P623" s="809"/>
      <c r="Q623" s="809"/>
      <c r="R623" s="809"/>
      <c r="S623" s="809"/>
      <c r="T623" s="809"/>
      <c r="U623" s="809"/>
      <c r="V623" s="809"/>
      <c r="W623" s="809"/>
      <c r="X623" s="809"/>
      <c r="Y623" s="809"/>
      <c r="Z623" s="809"/>
      <c r="AA623" s="809"/>
      <c r="AB623" s="809"/>
      <c r="AC623" s="809"/>
      <c r="AD623" s="809"/>
      <c r="AE623" s="809"/>
      <c r="AF623" s="809"/>
      <c r="AG623" s="809"/>
      <c r="AH623" s="809"/>
      <c r="AI623" s="809"/>
      <c r="AJ623" s="809"/>
      <c r="AK623" s="809"/>
      <c r="AL623" s="809"/>
      <c r="AM623" s="809"/>
      <c r="AN623" s="809"/>
      <c r="AO623" s="809"/>
      <c r="AP623" s="809"/>
      <c r="AQ623" s="809"/>
      <c r="AR623" s="809"/>
      <c r="AS623" s="809"/>
      <c r="AT623" s="809"/>
      <c r="AU623" s="809"/>
      <c r="AV623" s="809"/>
      <c r="AW623" s="809"/>
      <c r="AX623" s="809"/>
      <c r="AY623" s="809"/>
      <c r="AZ623" s="809"/>
      <c r="BA623" s="809"/>
      <c r="BB623" s="809"/>
      <c r="BC623" s="809"/>
      <c r="BD623" s="809"/>
      <c r="BE623" s="809"/>
      <c r="BF623" s="809"/>
      <c r="BG623" s="809"/>
      <c r="BH623" s="809"/>
      <c r="BI623" s="809"/>
      <c r="BJ623" s="809"/>
      <c r="BK623" s="809"/>
      <c r="BL623" s="809"/>
      <c r="BM623" s="809"/>
      <c r="BN623" s="809"/>
    </row>
    <row r="624" spans="1:66">
      <c r="A624" s="809"/>
      <c r="B624" s="809"/>
      <c r="C624" s="809"/>
      <c r="D624" s="809"/>
      <c r="E624" s="809"/>
      <c r="F624" s="809"/>
      <c r="G624" s="809"/>
      <c r="H624" s="809"/>
      <c r="I624" s="809"/>
      <c r="J624" s="809"/>
      <c r="K624" s="809"/>
      <c r="L624" s="809"/>
      <c r="M624" s="809"/>
      <c r="N624" s="809"/>
      <c r="O624" s="809"/>
      <c r="P624" s="809"/>
      <c r="Q624" s="809"/>
      <c r="R624" s="809"/>
      <c r="S624" s="809"/>
      <c r="T624" s="809"/>
      <c r="U624" s="809"/>
      <c r="V624" s="809"/>
      <c r="W624" s="809"/>
      <c r="X624" s="809"/>
      <c r="Y624" s="809"/>
      <c r="Z624" s="809"/>
      <c r="AA624" s="809"/>
      <c r="AB624" s="809"/>
      <c r="AC624" s="809"/>
      <c r="AD624" s="809"/>
      <c r="AE624" s="809"/>
      <c r="AF624" s="809"/>
      <c r="AG624" s="809"/>
      <c r="AH624" s="809"/>
      <c r="AI624" s="809"/>
      <c r="AJ624" s="809"/>
      <c r="AK624" s="809"/>
      <c r="AL624" s="809"/>
      <c r="AM624" s="809"/>
      <c r="AN624" s="809"/>
      <c r="AO624" s="809"/>
      <c r="AP624" s="809"/>
      <c r="AQ624" s="809"/>
      <c r="AR624" s="809"/>
      <c r="AS624" s="809"/>
      <c r="AT624" s="809"/>
      <c r="AU624" s="809"/>
      <c r="AV624" s="809"/>
      <c r="AW624" s="809"/>
      <c r="AX624" s="809"/>
      <c r="AY624" s="809"/>
      <c r="AZ624" s="809"/>
      <c r="BA624" s="809"/>
      <c r="BB624" s="809"/>
      <c r="BC624" s="809"/>
      <c r="BD624" s="809"/>
      <c r="BE624" s="809"/>
      <c r="BF624" s="809"/>
      <c r="BG624" s="809"/>
      <c r="BH624" s="809"/>
      <c r="BI624" s="809"/>
      <c r="BJ624" s="809"/>
      <c r="BK624" s="809"/>
      <c r="BL624" s="809"/>
      <c r="BM624" s="809"/>
      <c r="BN624" s="809"/>
    </row>
    <row r="625" spans="1:66">
      <c r="A625" s="809"/>
      <c r="B625" s="809"/>
      <c r="C625" s="809"/>
      <c r="D625" s="809"/>
      <c r="E625" s="809"/>
      <c r="F625" s="809"/>
      <c r="G625" s="809"/>
      <c r="H625" s="809"/>
      <c r="I625" s="809"/>
      <c r="J625" s="809"/>
      <c r="K625" s="809"/>
      <c r="L625" s="809"/>
      <c r="M625" s="809"/>
      <c r="N625" s="809"/>
      <c r="O625" s="809"/>
      <c r="P625" s="809"/>
      <c r="Q625" s="809"/>
      <c r="R625" s="809"/>
      <c r="S625" s="809"/>
      <c r="T625" s="809"/>
      <c r="U625" s="809"/>
      <c r="V625" s="809"/>
      <c r="W625" s="809"/>
      <c r="X625" s="809"/>
      <c r="Y625" s="809"/>
      <c r="Z625" s="809"/>
      <c r="AA625" s="809"/>
      <c r="AB625" s="809"/>
      <c r="AC625" s="809"/>
      <c r="AD625" s="809"/>
      <c r="AE625" s="809"/>
      <c r="AF625" s="809"/>
      <c r="AG625" s="809"/>
      <c r="AH625" s="809"/>
      <c r="AI625" s="809"/>
      <c r="AJ625" s="809"/>
      <c r="AK625" s="809"/>
      <c r="AL625" s="809"/>
      <c r="AM625" s="809"/>
      <c r="AN625" s="809"/>
      <c r="AO625" s="809"/>
      <c r="AP625" s="809"/>
      <c r="AQ625" s="809"/>
      <c r="AR625" s="809"/>
      <c r="AS625" s="809"/>
      <c r="AT625" s="809"/>
      <c r="AU625" s="809"/>
      <c r="AV625" s="809"/>
      <c r="AW625" s="809"/>
      <c r="AX625" s="809"/>
      <c r="AY625" s="809"/>
      <c r="AZ625" s="809"/>
      <c r="BA625" s="809"/>
      <c r="BB625" s="809"/>
      <c r="BC625" s="809"/>
      <c r="BD625" s="809"/>
      <c r="BE625" s="809"/>
      <c r="BF625" s="809"/>
      <c r="BG625" s="809"/>
      <c r="BH625" s="809"/>
      <c r="BI625" s="809"/>
      <c r="BJ625" s="809"/>
      <c r="BK625" s="809"/>
      <c r="BL625" s="809"/>
      <c r="BM625" s="809"/>
      <c r="BN625" s="809"/>
    </row>
    <row r="626" spans="1:66">
      <c r="A626" s="809"/>
      <c r="B626" s="809"/>
      <c r="C626" s="809"/>
      <c r="D626" s="809"/>
      <c r="E626" s="809"/>
      <c r="F626" s="809"/>
      <c r="G626" s="809"/>
      <c r="H626" s="809"/>
      <c r="I626" s="809"/>
      <c r="J626" s="809"/>
      <c r="K626" s="809"/>
      <c r="L626" s="809"/>
      <c r="M626" s="809"/>
      <c r="N626" s="809"/>
      <c r="O626" s="809"/>
      <c r="P626" s="809"/>
      <c r="Q626" s="809"/>
      <c r="R626" s="809"/>
      <c r="S626" s="809"/>
      <c r="T626" s="809"/>
      <c r="U626" s="809"/>
      <c r="V626" s="809"/>
      <c r="W626" s="809"/>
      <c r="X626" s="809"/>
      <c r="Y626" s="809"/>
      <c r="Z626" s="809"/>
      <c r="AA626" s="809"/>
      <c r="AB626" s="809"/>
      <c r="AC626" s="809"/>
      <c r="AD626" s="809"/>
      <c r="AE626" s="809"/>
      <c r="AF626" s="809"/>
      <c r="AG626" s="809"/>
      <c r="AH626" s="809"/>
      <c r="AI626" s="809"/>
      <c r="AJ626" s="809"/>
      <c r="AK626" s="809"/>
      <c r="AL626" s="809"/>
      <c r="AM626" s="809"/>
      <c r="AN626" s="809"/>
      <c r="AO626" s="809"/>
      <c r="AP626" s="809"/>
      <c r="AQ626" s="809"/>
      <c r="AR626" s="809"/>
      <c r="AS626" s="809"/>
      <c r="AT626" s="809"/>
      <c r="AU626" s="809"/>
      <c r="AV626" s="809"/>
      <c r="AW626" s="809"/>
      <c r="AX626" s="809"/>
      <c r="AY626" s="809"/>
      <c r="AZ626" s="809"/>
      <c r="BA626" s="809"/>
      <c r="BB626" s="809"/>
      <c r="BC626" s="809"/>
      <c r="BD626" s="809"/>
      <c r="BE626" s="809"/>
      <c r="BF626" s="809"/>
      <c r="BG626" s="809"/>
      <c r="BH626" s="809"/>
      <c r="BI626" s="809"/>
      <c r="BJ626" s="809"/>
      <c r="BK626" s="809"/>
      <c r="BL626" s="809"/>
      <c r="BM626" s="809"/>
      <c r="BN626" s="809"/>
    </row>
    <row r="627" spans="1:66">
      <c r="A627" s="809"/>
      <c r="B627" s="809"/>
      <c r="C627" s="809"/>
      <c r="D627" s="809"/>
      <c r="E627" s="809"/>
      <c r="F627" s="809"/>
      <c r="G627" s="809"/>
      <c r="H627" s="809"/>
      <c r="I627" s="809"/>
      <c r="J627" s="809"/>
      <c r="K627" s="809"/>
      <c r="L627" s="809"/>
      <c r="M627" s="809"/>
      <c r="N627" s="809"/>
      <c r="O627" s="809"/>
      <c r="P627" s="809"/>
      <c r="Q627" s="809"/>
      <c r="R627" s="809"/>
      <c r="S627" s="809"/>
      <c r="T627" s="809"/>
      <c r="U627" s="809"/>
      <c r="V627" s="809"/>
      <c r="W627" s="809"/>
      <c r="X627" s="809"/>
      <c r="Y627" s="809"/>
      <c r="Z627" s="809"/>
      <c r="AA627" s="809"/>
      <c r="AB627" s="809"/>
      <c r="AC627" s="809"/>
      <c r="AD627" s="809"/>
      <c r="AE627" s="809"/>
      <c r="AF627" s="809"/>
      <c r="AG627" s="809"/>
      <c r="AH627" s="809"/>
      <c r="AI627" s="809"/>
      <c r="AJ627" s="809"/>
      <c r="AK627" s="809"/>
      <c r="AL627" s="809"/>
      <c r="AM627" s="809"/>
      <c r="AN627" s="809"/>
      <c r="AO627" s="809"/>
      <c r="AP627" s="809"/>
      <c r="AQ627" s="809"/>
      <c r="AR627" s="809"/>
      <c r="AS627" s="809"/>
      <c r="AT627" s="809"/>
      <c r="AU627" s="809"/>
      <c r="AV627" s="809"/>
      <c r="AW627" s="809"/>
      <c r="AX627" s="809"/>
      <c r="AY627" s="809"/>
      <c r="AZ627" s="809"/>
      <c r="BA627" s="809"/>
      <c r="BB627" s="809"/>
      <c r="BC627" s="809"/>
      <c r="BD627" s="809"/>
      <c r="BE627" s="809"/>
      <c r="BF627" s="809"/>
      <c r="BG627" s="809"/>
      <c r="BH627" s="809"/>
      <c r="BI627" s="809"/>
      <c r="BJ627" s="809"/>
      <c r="BK627" s="809"/>
      <c r="BL627" s="809"/>
      <c r="BM627" s="809"/>
      <c r="BN627" s="809"/>
    </row>
    <row r="628" spans="1:66">
      <c r="A628" s="809"/>
      <c r="B628" s="809"/>
      <c r="C628" s="809"/>
      <c r="D628" s="809"/>
      <c r="E628" s="809"/>
      <c r="F628" s="809"/>
      <c r="G628" s="809"/>
      <c r="H628" s="809"/>
      <c r="I628" s="809"/>
      <c r="J628" s="809"/>
      <c r="K628" s="809"/>
      <c r="L628" s="809"/>
      <c r="M628" s="809"/>
      <c r="N628" s="809"/>
      <c r="O628" s="809"/>
      <c r="P628" s="809"/>
      <c r="Q628" s="809"/>
      <c r="R628" s="809"/>
      <c r="S628" s="809"/>
      <c r="T628" s="809"/>
      <c r="U628" s="809"/>
      <c r="V628" s="809"/>
      <c r="W628" s="809"/>
      <c r="X628" s="809"/>
      <c r="Y628" s="809"/>
      <c r="Z628" s="809"/>
      <c r="AA628" s="809"/>
      <c r="AB628" s="809"/>
      <c r="AC628" s="809"/>
      <c r="AD628" s="809"/>
      <c r="AE628" s="809"/>
      <c r="AF628" s="809"/>
      <c r="AG628" s="809"/>
      <c r="AH628" s="809"/>
      <c r="AI628" s="809"/>
      <c r="AJ628" s="809"/>
      <c r="AK628" s="809"/>
      <c r="AL628" s="809"/>
      <c r="AM628" s="809"/>
      <c r="AN628" s="809"/>
      <c r="AO628" s="809"/>
      <c r="AP628" s="809"/>
      <c r="AQ628" s="809"/>
      <c r="AR628" s="809"/>
      <c r="AS628" s="809"/>
      <c r="AT628" s="809"/>
      <c r="AU628" s="809"/>
      <c r="AV628" s="809"/>
      <c r="AW628" s="809"/>
      <c r="AX628" s="809"/>
      <c r="AY628" s="809"/>
      <c r="AZ628" s="809"/>
      <c r="BA628" s="809"/>
      <c r="BB628" s="809"/>
      <c r="BC628" s="809"/>
      <c r="BD628" s="809"/>
      <c r="BE628" s="809"/>
      <c r="BF628" s="809"/>
      <c r="BG628" s="809"/>
      <c r="BH628" s="809"/>
      <c r="BI628" s="809"/>
      <c r="BJ628" s="809"/>
      <c r="BK628" s="809"/>
      <c r="BL628" s="809"/>
      <c r="BM628" s="809"/>
      <c r="BN628" s="809"/>
    </row>
    <row r="629" spans="1:66">
      <c r="A629" s="809"/>
      <c r="B629" s="809"/>
      <c r="C629" s="809"/>
      <c r="D629" s="809"/>
      <c r="E629" s="809"/>
      <c r="F629" s="809"/>
      <c r="G629" s="809"/>
      <c r="H629" s="809"/>
      <c r="I629" s="809"/>
      <c r="J629" s="809"/>
      <c r="K629" s="809"/>
      <c r="L629" s="809"/>
      <c r="M629" s="809"/>
      <c r="N629" s="809"/>
      <c r="O629" s="809"/>
      <c r="P629" s="809"/>
      <c r="Q629" s="809"/>
      <c r="R629" s="809"/>
      <c r="S629" s="809"/>
      <c r="T629" s="809"/>
      <c r="U629" s="809"/>
      <c r="V629" s="809"/>
      <c r="W629" s="809"/>
      <c r="X629" s="809"/>
      <c r="Y629" s="809"/>
      <c r="Z629" s="809"/>
      <c r="AA629" s="809"/>
      <c r="AB629" s="809"/>
      <c r="AC629" s="809"/>
      <c r="AD629" s="809"/>
      <c r="AE629" s="809"/>
      <c r="AF629" s="809"/>
      <c r="AG629" s="809"/>
      <c r="AH629" s="809"/>
      <c r="AI629" s="809"/>
      <c r="AJ629" s="809"/>
      <c r="AK629" s="809"/>
      <c r="AL629" s="809"/>
      <c r="AM629" s="809"/>
      <c r="AN629" s="809"/>
      <c r="AO629" s="809"/>
      <c r="AP629" s="809"/>
      <c r="AQ629" s="809"/>
      <c r="AR629" s="809"/>
      <c r="AS629" s="809"/>
      <c r="AT629" s="809"/>
      <c r="AU629" s="809"/>
      <c r="AV629" s="809"/>
      <c r="AW629" s="809"/>
      <c r="AX629" s="809"/>
      <c r="AY629" s="809"/>
      <c r="AZ629" s="809"/>
      <c r="BA629" s="809"/>
      <c r="BB629" s="809"/>
      <c r="BC629" s="809"/>
      <c r="BD629" s="809"/>
      <c r="BE629" s="809"/>
      <c r="BF629" s="809"/>
      <c r="BG629" s="809"/>
      <c r="BH629" s="809"/>
      <c r="BI629" s="809"/>
      <c r="BJ629" s="809"/>
      <c r="BK629" s="809"/>
      <c r="BL629" s="809"/>
      <c r="BM629" s="809"/>
      <c r="BN629" s="809"/>
    </row>
    <row r="630" spans="1:66">
      <c r="A630" s="809"/>
      <c r="B630" s="809"/>
      <c r="C630" s="809"/>
      <c r="D630" s="809"/>
      <c r="E630" s="809"/>
      <c r="F630" s="809"/>
      <c r="G630" s="809"/>
      <c r="H630" s="809"/>
      <c r="I630" s="809"/>
      <c r="J630" s="809"/>
      <c r="K630" s="809"/>
      <c r="L630" s="809"/>
      <c r="M630" s="809"/>
      <c r="N630" s="809"/>
      <c r="O630" s="809"/>
      <c r="P630" s="809"/>
      <c r="Q630" s="809"/>
      <c r="R630" s="809"/>
      <c r="S630" s="809"/>
      <c r="T630" s="809"/>
      <c r="U630" s="809"/>
      <c r="V630" s="809"/>
      <c r="W630" s="809"/>
      <c r="X630" s="809"/>
      <c r="Y630" s="809"/>
      <c r="Z630" s="809"/>
      <c r="AA630" s="809"/>
      <c r="AB630" s="809"/>
      <c r="AC630" s="809"/>
      <c r="AD630" s="809"/>
      <c r="AE630" s="809"/>
      <c r="AF630" s="809"/>
      <c r="AG630" s="809"/>
      <c r="AH630" s="809"/>
      <c r="AI630" s="809"/>
      <c r="AJ630" s="809"/>
      <c r="AK630" s="809"/>
      <c r="AL630" s="809"/>
      <c r="AM630" s="809"/>
      <c r="AN630" s="809"/>
      <c r="AO630" s="809"/>
      <c r="AP630" s="809"/>
      <c r="AQ630" s="809"/>
      <c r="AR630" s="809"/>
      <c r="AS630" s="809"/>
      <c r="AT630" s="809"/>
      <c r="AU630" s="809"/>
      <c r="AV630" s="809"/>
      <c r="AW630" s="809"/>
      <c r="AX630" s="809"/>
      <c r="AY630" s="809"/>
      <c r="AZ630" s="809"/>
      <c r="BA630" s="809"/>
      <c r="BB630" s="809"/>
      <c r="BC630" s="809"/>
      <c r="BD630" s="809"/>
      <c r="BE630" s="809"/>
      <c r="BF630" s="809"/>
      <c r="BG630" s="809"/>
      <c r="BH630" s="809"/>
      <c r="BI630" s="809"/>
      <c r="BJ630" s="809"/>
      <c r="BK630" s="809"/>
      <c r="BL630" s="809"/>
      <c r="BM630" s="809"/>
      <c r="BN630" s="809"/>
    </row>
    <row r="631" spans="1:66">
      <c r="A631" s="809"/>
      <c r="B631" s="809"/>
      <c r="C631" s="809"/>
      <c r="D631" s="809"/>
      <c r="E631" s="809"/>
      <c r="F631" s="809"/>
      <c r="G631" s="809"/>
      <c r="H631" s="809"/>
      <c r="I631" s="809"/>
      <c r="J631" s="809"/>
      <c r="K631" s="809"/>
      <c r="L631" s="809"/>
      <c r="M631" s="809"/>
      <c r="N631" s="809"/>
      <c r="O631" s="809"/>
      <c r="P631" s="809"/>
      <c r="Q631" s="809"/>
      <c r="R631" s="809"/>
      <c r="S631" s="809"/>
      <c r="T631" s="809"/>
      <c r="U631" s="809"/>
      <c r="V631" s="809"/>
      <c r="W631" s="809"/>
      <c r="X631" s="809"/>
      <c r="Y631" s="809"/>
      <c r="Z631" s="809"/>
      <c r="AA631" s="809"/>
      <c r="AB631" s="809"/>
      <c r="AC631" s="809"/>
      <c r="AD631" s="809"/>
      <c r="AE631" s="809"/>
      <c r="AF631" s="809"/>
      <c r="AG631" s="809"/>
      <c r="AH631" s="809"/>
      <c r="AI631" s="809"/>
      <c r="AJ631" s="809"/>
      <c r="AK631" s="809"/>
      <c r="AL631" s="809"/>
      <c r="AM631" s="809"/>
      <c r="AN631" s="809"/>
      <c r="AO631" s="809"/>
      <c r="AP631" s="809"/>
      <c r="AQ631" s="809"/>
      <c r="AR631" s="809"/>
      <c r="AS631" s="809"/>
      <c r="AT631" s="809"/>
      <c r="AU631" s="809"/>
      <c r="AV631" s="809"/>
      <c r="AW631" s="809"/>
      <c r="AX631" s="809"/>
      <c r="AY631" s="809"/>
      <c r="AZ631" s="809"/>
      <c r="BA631" s="809"/>
      <c r="BB631" s="809"/>
      <c r="BC631" s="809"/>
      <c r="BD631" s="809"/>
      <c r="BE631" s="809"/>
      <c r="BF631" s="809"/>
      <c r="BG631" s="809"/>
      <c r="BH631" s="809"/>
      <c r="BI631" s="809"/>
      <c r="BJ631" s="809"/>
      <c r="BK631" s="809"/>
      <c r="BL631" s="809"/>
      <c r="BM631" s="809"/>
      <c r="BN631" s="809"/>
    </row>
    <row r="632" spans="1:66">
      <c r="A632" s="809"/>
      <c r="B632" s="809"/>
      <c r="C632" s="809"/>
      <c r="D632" s="809"/>
      <c r="E632" s="809"/>
      <c r="F632" s="809"/>
      <c r="G632" s="809"/>
      <c r="H632" s="809"/>
      <c r="I632" s="809"/>
      <c r="J632" s="809"/>
      <c r="K632" s="809"/>
      <c r="L632" s="809"/>
      <c r="M632" s="809"/>
      <c r="N632" s="809"/>
      <c r="O632" s="809"/>
      <c r="P632" s="809"/>
      <c r="Q632" s="809"/>
      <c r="R632" s="809"/>
      <c r="S632" s="809"/>
      <c r="T632" s="809"/>
      <c r="U632" s="809"/>
      <c r="V632" s="809"/>
      <c r="W632" s="809"/>
      <c r="X632" s="809"/>
      <c r="Y632" s="809"/>
      <c r="Z632" s="809"/>
      <c r="AA632" s="809"/>
      <c r="AB632" s="809"/>
      <c r="AC632" s="809"/>
      <c r="AD632" s="809"/>
      <c r="AE632" s="809"/>
      <c r="AF632" s="809"/>
      <c r="AG632" s="809"/>
      <c r="AH632" s="809"/>
      <c r="AI632" s="809"/>
      <c r="AJ632" s="809"/>
      <c r="AK632" s="809"/>
      <c r="AL632" s="809"/>
      <c r="AM632" s="809"/>
      <c r="AN632" s="809"/>
      <c r="AO632" s="809"/>
      <c r="AP632" s="809"/>
      <c r="AQ632" s="809"/>
      <c r="AR632" s="809"/>
      <c r="AS632" s="809"/>
      <c r="AT632" s="809"/>
      <c r="AU632" s="809"/>
      <c r="AV632" s="809"/>
      <c r="AW632" s="809"/>
      <c r="AX632" s="809"/>
      <c r="AY632" s="809"/>
      <c r="AZ632" s="809"/>
      <c r="BA632" s="809"/>
      <c r="BB632" s="809"/>
      <c r="BC632" s="809"/>
      <c r="BD632" s="809"/>
      <c r="BE632" s="809"/>
      <c r="BF632" s="809"/>
      <c r="BG632" s="809"/>
      <c r="BH632" s="809"/>
      <c r="BI632" s="809"/>
      <c r="BJ632" s="809"/>
      <c r="BK632" s="809"/>
      <c r="BL632" s="809"/>
      <c r="BM632" s="809"/>
      <c r="BN632" s="809"/>
    </row>
    <row r="633" spans="1:66">
      <c r="A633" s="809"/>
      <c r="B633" s="809"/>
      <c r="C633" s="809"/>
      <c r="D633" s="809"/>
      <c r="E633" s="809"/>
      <c r="F633" s="809"/>
      <c r="G633" s="809"/>
      <c r="H633" s="809"/>
      <c r="I633" s="809"/>
      <c r="J633" s="809"/>
      <c r="K633" s="809"/>
      <c r="L633" s="809"/>
      <c r="M633" s="809"/>
      <c r="N633" s="809"/>
      <c r="O633" s="809"/>
      <c r="P633" s="809"/>
      <c r="Q633" s="809"/>
      <c r="R633" s="809"/>
      <c r="S633" s="809"/>
      <c r="T633" s="809"/>
      <c r="U633" s="809"/>
      <c r="V633" s="809"/>
      <c r="W633" s="809"/>
      <c r="X633" s="809"/>
      <c r="Y633" s="809"/>
      <c r="Z633" s="809"/>
      <c r="AA633" s="809"/>
      <c r="AB633" s="809"/>
      <c r="AC633" s="809"/>
      <c r="AD633" s="809"/>
      <c r="AE633" s="809"/>
      <c r="AF633" s="809"/>
      <c r="AG633" s="809"/>
      <c r="AH633" s="809"/>
      <c r="AI633" s="809"/>
      <c r="AJ633" s="809"/>
      <c r="AK633" s="809"/>
      <c r="AL633" s="809"/>
      <c r="AM633" s="809"/>
      <c r="AN633" s="809"/>
      <c r="AO633" s="809"/>
      <c r="AP633" s="809"/>
      <c r="AQ633" s="809"/>
      <c r="AR633" s="809"/>
      <c r="AS633" s="809"/>
      <c r="AT633" s="809"/>
      <c r="AU633" s="809"/>
      <c r="AV633" s="809"/>
      <c r="AW633" s="809"/>
      <c r="AX633" s="809"/>
      <c r="AY633" s="809"/>
      <c r="AZ633" s="809"/>
      <c r="BA633" s="809"/>
      <c r="BB633" s="809"/>
      <c r="BC633" s="809"/>
      <c r="BD633" s="809"/>
      <c r="BE633" s="809"/>
      <c r="BF633" s="809"/>
      <c r="BG633" s="809"/>
      <c r="BH633" s="809"/>
      <c r="BI633" s="809"/>
      <c r="BJ633" s="809"/>
      <c r="BK633" s="809"/>
      <c r="BL633" s="809"/>
      <c r="BM633" s="809"/>
      <c r="BN633" s="809"/>
    </row>
    <row r="634" spans="1:66">
      <c r="A634" s="809"/>
      <c r="B634" s="809"/>
      <c r="C634" s="809"/>
      <c r="D634" s="809"/>
      <c r="E634" s="809"/>
      <c r="F634" s="809"/>
      <c r="G634" s="809"/>
      <c r="H634" s="809"/>
      <c r="I634" s="809"/>
      <c r="J634" s="809"/>
      <c r="K634" s="809"/>
      <c r="L634" s="809"/>
      <c r="M634" s="809"/>
      <c r="N634" s="809"/>
      <c r="O634" s="809"/>
      <c r="P634" s="809"/>
      <c r="Q634" s="809"/>
      <c r="R634" s="809"/>
      <c r="S634" s="809"/>
      <c r="T634" s="809"/>
      <c r="U634" s="809"/>
      <c r="V634" s="809"/>
      <c r="W634" s="809"/>
      <c r="X634" s="809"/>
      <c r="Y634" s="809"/>
      <c r="Z634" s="809"/>
      <c r="AA634" s="809"/>
      <c r="AB634" s="809"/>
      <c r="AC634" s="809"/>
      <c r="AD634" s="809"/>
      <c r="AE634" s="809"/>
      <c r="AF634" s="809"/>
      <c r="AG634" s="809"/>
      <c r="AH634" s="809"/>
      <c r="AI634" s="809"/>
      <c r="AJ634" s="809"/>
      <c r="AK634" s="809"/>
      <c r="AL634" s="809"/>
      <c r="AM634" s="809"/>
      <c r="AN634" s="809"/>
      <c r="AO634" s="809"/>
      <c r="AP634" s="809"/>
      <c r="AQ634" s="809"/>
      <c r="AR634" s="809"/>
      <c r="AS634" s="809"/>
      <c r="AT634" s="809"/>
      <c r="AU634" s="809"/>
      <c r="AV634" s="809"/>
      <c r="AW634" s="809"/>
      <c r="AX634" s="809"/>
      <c r="AY634" s="809"/>
      <c r="AZ634" s="809"/>
      <c r="BA634" s="809"/>
      <c r="BB634" s="809"/>
      <c r="BC634" s="809"/>
      <c r="BD634" s="809"/>
      <c r="BE634" s="809"/>
      <c r="BF634" s="809"/>
      <c r="BG634" s="809"/>
      <c r="BH634" s="809"/>
      <c r="BI634" s="809"/>
      <c r="BJ634" s="809"/>
      <c r="BK634" s="809"/>
      <c r="BL634" s="809"/>
      <c r="BM634" s="809"/>
      <c r="BN634" s="809"/>
    </row>
    <row r="635" spans="1:66">
      <c r="A635" s="809"/>
      <c r="B635" s="809"/>
      <c r="C635" s="809"/>
      <c r="D635" s="809"/>
      <c r="E635" s="809"/>
      <c r="F635" s="809"/>
      <c r="G635" s="809"/>
      <c r="H635" s="809"/>
      <c r="I635" s="809"/>
      <c r="J635" s="809"/>
      <c r="K635" s="809"/>
      <c r="L635" s="809"/>
      <c r="M635" s="809"/>
      <c r="N635" s="809"/>
      <c r="O635" s="809"/>
      <c r="P635" s="809"/>
      <c r="Q635" s="809"/>
      <c r="R635" s="809"/>
      <c r="S635" s="809"/>
      <c r="T635" s="809"/>
      <c r="U635" s="809"/>
      <c r="V635" s="809"/>
      <c r="W635" s="809"/>
      <c r="X635" s="809"/>
      <c r="Y635" s="809"/>
      <c r="Z635" s="809"/>
      <c r="AA635" s="809"/>
      <c r="AB635" s="809"/>
      <c r="AC635" s="809"/>
      <c r="AD635" s="809"/>
      <c r="AE635" s="809"/>
      <c r="AF635" s="809"/>
      <c r="AG635" s="809"/>
      <c r="AH635" s="809"/>
      <c r="AI635" s="809"/>
      <c r="AJ635" s="809"/>
      <c r="AK635" s="809"/>
      <c r="AL635" s="809"/>
      <c r="AM635" s="809"/>
      <c r="AN635" s="809"/>
      <c r="AO635" s="809"/>
      <c r="AP635" s="809"/>
      <c r="AQ635" s="809"/>
      <c r="AR635" s="809"/>
      <c r="AS635" s="809"/>
      <c r="AT635" s="809"/>
      <c r="AU635" s="809"/>
      <c r="AV635" s="809"/>
      <c r="AW635" s="809"/>
      <c r="AX635" s="809"/>
      <c r="AY635" s="809"/>
      <c r="AZ635" s="809"/>
      <c r="BA635" s="809"/>
      <c r="BB635" s="809"/>
      <c r="BC635" s="809"/>
      <c r="BD635" s="809"/>
      <c r="BE635" s="809"/>
      <c r="BF635" s="809"/>
      <c r="BG635" s="809"/>
      <c r="BH635" s="809"/>
      <c r="BI635" s="809"/>
      <c r="BJ635" s="809"/>
      <c r="BK635" s="809"/>
      <c r="BL635" s="809"/>
      <c r="BM635" s="809"/>
      <c r="BN635" s="809"/>
    </row>
    <row r="636" spans="1:66">
      <c r="A636" s="809"/>
      <c r="B636" s="809"/>
      <c r="C636" s="809"/>
      <c r="D636" s="809"/>
      <c r="E636" s="809"/>
      <c r="F636" s="809"/>
      <c r="G636" s="809"/>
      <c r="H636" s="809"/>
      <c r="I636" s="809"/>
      <c r="J636" s="809"/>
      <c r="K636" s="809"/>
      <c r="L636" s="809"/>
      <c r="M636" s="809"/>
      <c r="N636" s="809"/>
      <c r="O636" s="809"/>
      <c r="P636" s="809"/>
      <c r="Q636" s="809"/>
      <c r="R636" s="809"/>
      <c r="S636" s="809"/>
      <c r="T636" s="809"/>
      <c r="U636" s="809"/>
      <c r="V636" s="809"/>
      <c r="W636" s="809"/>
      <c r="X636" s="809"/>
      <c r="Y636" s="809"/>
      <c r="Z636" s="809"/>
      <c r="AA636" s="809"/>
      <c r="AB636" s="809"/>
      <c r="AC636" s="809"/>
      <c r="AD636" s="809"/>
      <c r="AE636" s="809"/>
      <c r="AF636" s="809"/>
      <c r="AG636" s="809"/>
      <c r="AH636" s="809"/>
      <c r="AI636" s="809"/>
      <c r="AJ636" s="809"/>
      <c r="AK636" s="809"/>
      <c r="AL636" s="809"/>
      <c r="AM636" s="809"/>
      <c r="AN636" s="809"/>
      <c r="AO636" s="809"/>
      <c r="AP636" s="809"/>
      <c r="AQ636" s="809"/>
      <c r="AR636" s="809"/>
      <c r="AS636" s="809"/>
      <c r="AT636" s="809"/>
      <c r="AU636" s="809"/>
      <c r="AV636" s="809"/>
      <c r="AW636" s="809"/>
      <c r="AX636" s="809"/>
      <c r="AY636" s="809"/>
      <c r="AZ636" s="809"/>
      <c r="BA636" s="809"/>
      <c r="BB636" s="809"/>
      <c r="BC636" s="809"/>
      <c r="BD636" s="809"/>
      <c r="BE636" s="809"/>
      <c r="BF636" s="809"/>
      <c r="BG636" s="809"/>
      <c r="BH636" s="809"/>
      <c r="BI636" s="809"/>
      <c r="BJ636" s="809"/>
      <c r="BK636" s="809"/>
      <c r="BL636" s="809"/>
      <c r="BM636" s="809"/>
      <c r="BN636" s="809"/>
    </row>
    <row r="637" spans="1:66">
      <c r="A637" s="809"/>
      <c r="B637" s="809"/>
      <c r="C637" s="809"/>
      <c r="D637" s="809"/>
      <c r="E637" s="809"/>
      <c r="F637" s="809"/>
      <c r="G637" s="809"/>
      <c r="H637" s="809"/>
      <c r="I637" s="809"/>
      <c r="J637" s="809"/>
      <c r="K637" s="809"/>
      <c r="L637" s="809"/>
      <c r="M637" s="809"/>
      <c r="N637" s="809"/>
      <c r="O637" s="809"/>
      <c r="P637" s="809"/>
      <c r="Q637" s="809"/>
      <c r="R637" s="809"/>
      <c r="S637" s="809"/>
      <c r="T637" s="809"/>
      <c r="U637" s="809"/>
      <c r="V637" s="809"/>
      <c r="W637" s="809"/>
      <c r="X637" s="809"/>
      <c r="Y637" s="809"/>
      <c r="Z637" s="809"/>
      <c r="AA637" s="809"/>
      <c r="AB637" s="809"/>
      <c r="AC637" s="809"/>
      <c r="AD637" s="809"/>
      <c r="AE637" s="809"/>
      <c r="AF637" s="809"/>
      <c r="AG637" s="809"/>
      <c r="AH637" s="809"/>
      <c r="AI637" s="809"/>
      <c r="AJ637" s="809"/>
      <c r="AK637" s="809"/>
      <c r="AL637" s="809"/>
      <c r="AM637" s="809"/>
      <c r="AN637" s="809"/>
      <c r="AO637" s="809"/>
      <c r="AP637" s="809"/>
      <c r="AQ637" s="809"/>
      <c r="AR637" s="809"/>
      <c r="AS637" s="809"/>
      <c r="AT637" s="809"/>
      <c r="AU637" s="809"/>
      <c r="AV637" s="809"/>
      <c r="AW637" s="809"/>
      <c r="AX637" s="809"/>
      <c r="AY637" s="809"/>
      <c r="AZ637" s="809"/>
      <c r="BA637" s="809"/>
      <c r="BB637" s="809"/>
      <c r="BC637" s="809"/>
      <c r="BD637" s="809"/>
      <c r="BE637" s="809"/>
      <c r="BF637" s="809"/>
      <c r="BG637" s="809"/>
      <c r="BH637" s="809"/>
      <c r="BI637" s="809"/>
      <c r="BJ637" s="809"/>
      <c r="BK637" s="809"/>
      <c r="BL637" s="809"/>
      <c r="BM637" s="809"/>
      <c r="BN637" s="809"/>
    </row>
    <row r="638" spans="1:66">
      <c r="A638" s="809"/>
      <c r="B638" s="809"/>
      <c r="C638" s="809"/>
      <c r="D638" s="809"/>
      <c r="E638" s="809"/>
      <c r="F638" s="809"/>
      <c r="G638" s="809"/>
      <c r="H638" s="809"/>
      <c r="I638" s="809"/>
      <c r="J638" s="809"/>
      <c r="K638" s="809"/>
      <c r="L638" s="809"/>
      <c r="M638" s="809"/>
      <c r="N638" s="809"/>
      <c r="O638" s="809"/>
      <c r="P638" s="809"/>
      <c r="Q638" s="809"/>
      <c r="R638" s="809"/>
      <c r="S638" s="809"/>
      <c r="T638" s="809"/>
      <c r="U638" s="809"/>
      <c r="V638" s="809"/>
      <c r="W638" s="809"/>
      <c r="X638" s="809"/>
      <c r="Y638" s="809"/>
      <c r="Z638" s="809"/>
      <c r="AA638" s="809"/>
      <c r="AB638" s="809"/>
      <c r="AC638" s="809"/>
      <c r="AD638" s="809"/>
      <c r="AE638" s="809"/>
      <c r="AF638" s="809"/>
      <c r="AG638" s="809"/>
      <c r="AH638" s="809"/>
      <c r="AI638" s="809"/>
      <c r="AJ638" s="809"/>
      <c r="AK638" s="809"/>
      <c r="AL638" s="809"/>
      <c r="AM638" s="809"/>
      <c r="AN638" s="809"/>
      <c r="AO638" s="809"/>
      <c r="AP638" s="809"/>
      <c r="AQ638" s="809"/>
      <c r="AR638" s="809"/>
      <c r="AS638" s="809"/>
      <c r="AT638" s="809"/>
      <c r="AU638" s="809"/>
      <c r="AV638" s="809"/>
      <c r="AW638" s="809"/>
      <c r="AX638" s="809"/>
      <c r="AY638" s="809"/>
      <c r="AZ638" s="809"/>
      <c r="BA638" s="809"/>
      <c r="BB638" s="809"/>
      <c r="BC638" s="809"/>
      <c r="BD638" s="809"/>
      <c r="BE638" s="809"/>
      <c r="BF638" s="809"/>
      <c r="BG638" s="809"/>
      <c r="BH638" s="809"/>
      <c r="BI638" s="809"/>
      <c r="BJ638" s="809"/>
      <c r="BK638" s="809"/>
      <c r="BL638" s="809"/>
      <c r="BM638" s="809"/>
      <c r="BN638" s="809"/>
    </row>
    <row r="639" spans="1:66">
      <c r="A639" s="809"/>
      <c r="B639" s="809"/>
      <c r="C639" s="809"/>
      <c r="D639" s="809"/>
      <c r="E639" s="809"/>
      <c r="F639" s="809"/>
      <c r="G639" s="809"/>
      <c r="H639" s="809"/>
      <c r="I639" s="809"/>
      <c r="J639" s="809"/>
      <c r="K639" s="809"/>
      <c r="L639" s="809"/>
      <c r="M639" s="809"/>
      <c r="N639" s="809"/>
      <c r="O639" s="809"/>
      <c r="P639" s="809"/>
      <c r="Q639" s="809"/>
      <c r="R639" s="809"/>
      <c r="S639" s="809"/>
      <c r="T639" s="809"/>
      <c r="U639" s="809"/>
      <c r="V639" s="809"/>
      <c r="W639" s="809"/>
      <c r="X639" s="809"/>
      <c r="Y639" s="809"/>
      <c r="Z639" s="809"/>
      <c r="AA639" s="809"/>
      <c r="AB639" s="809"/>
      <c r="AC639" s="809"/>
      <c r="AD639" s="809"/>
      <c r="AE639" s="809"/>
      <c r="AF639" s="809"/>
      <c r="AG639" s="809"/>
      <c r="AH639" s="809"/>
      <c r="AI639" s="809"/>
      <c r="AJ639" s="809"/>
      <c r="AK639" s="809"/>
      <c r="AL639" s="809"/>
      <c r="AM639" s="809"/>
      <c r="AN639" s="809"/>
      <c r="AO639" s="809"/>
      <c r="AP639" s="809"/>
      <c r="AQ639" s="809"/>
      <c r="AR639" s="809"/>
      <c r="AS639" s="809"/>
      <c r="AT639" s="809"/>
      <c r="AU639" s="809"/>
      <c r="AV639" s="809"/>
      <c r="AW639" s="809"/>
      <c r="AX639" s="809"/>
      <c r="AY639" s="809"/>
      <c r="AZ639" s="809"/>
      <c r="BA639" s="809"/>
      <c r="BB639" s="809"/>
      <c r="BC639" s="809"/>
      <c r="BD639" s="809"/>
      <c r="BE639" s="809"/>
      <c r="BF639" s="809"/>
      <c r="BG639" s="809"/>
      <c r="BH639" s="809"/>
      <c r="BI639" s="809"/>
      <c r="BJ639" s="809"/>
      <c r="BK639" s="809"/>
      <c r="BL639" s="809"/>
      <c r="BM639" s="809"/>
      <c r="BN639" s="809"/>
    </row>
    <row r="640" spans="1:66">
      <c r="A640" s="809"/>
      <c r="B640" s="809"/>
      <c r="C640" s="809"/>
      <c r="D640" s="809"/>
      <c r="E640" s="809"/>
      <c r="F640" s="809"/>
      <c r="G640" s="809"/>
      <c r="H640" s="809"/>
      <c r="I640" s="809"/>
      <c r="J640" s="809"/>
      <c r="K640" s="809"/>
      <c r="L640" s="809"/>
      <c r="M640" s="809"/>
      <c r="N640" s="809"/>
      <c r="O640" s="809"/>
      <c r="P640" s="809"/>
      <c r="Q640" s="809"/>
      <c r="R640" s="809"/>
      <c r="S640" s="809"/>
      <c r="T640" s="809"/>
      <c r="U640" s="809"/>
      <c r="V640" s="809"/>
      <c r="W640" s="809"/>
      <c r="X640" s="809"/>
      <c r="Y640" s="809"/>
      <c r="Z640" s="809"/>
      <c r="AA640" s="809"/>
      <c r="AB640" s="809"/>
      <c r="AC640" s="809"/>
      <c r="AD640" s="809"/>
      <c r="AE640" s="809"/>
      <c r="AF640" s="809"/>
      <c r="AG640" s="809"/>
      <c r="AH640" s="809"/>
      <c r="AI640" s="809"/>
      <c r="AJ640" s="809"/>
      <c r="AK640" s="809"/>
      <c r="AL640" s="809"/>
      <c r="AM640" s="809"/>
      <c r="AN640" s="809"/>
      <c r="AO640" s="809"/>
      <c r="AP640" s="809"/>
      <c r="AQ640" s="809"/>
      <c r="AR640" s="809"/>
      <c r="AS640" s="809"/>
      <c r="AT640" s="809"/>
      <c r="AU640" s="809"/>
      <c r="AV640" s="809"/>
      <c r="AW640" s="809"/>
      <c r="AX640" s="809"/>
      <c r="AY640" s="809"/>
      <c r="AZ640" s="809"/>
      <c r="BA640" s="809"/>
      <c r="BB640" s="809"/>
      <c r="BC640" s="809"/>
      <c r="BD640" s="809"/>
      <c r="BE640" s="809"/>
      <c r="BF640" s="809"/>
      <c r="BG640" s="809"/>
      <c r="BH640" s="809"/>
      <c r="BI640" s="809"/>
      <c r="BJ640" s="809"/>
      <c r="BK640" s="809"/>
      <c r="BL640" s="809"/>
      <c r="BM640" s="809"/>
      <c r="BN640" s="809"/>
    </row>
    <row r="641" spans="1:66">
      <c r="A641" s="809"/>
      <c r="B641" s="809"/>
      <c r="C641" s="809"/>
      <c r="D641" s="809"/>
      <c r="E641" s="809"/>
      <c r="F641" s="809"/>
      <c r="G641" s="809"/>
      <c r="H641" s="809"/>
      <c r="I641" s="809"/>
      <c r="J641" s="809"/>
      <c r="K641" s="809"/>
      <c r="L641" s="809"/>
      <c r="M641" s="809"/>
      <c r="N641" s="809"/>
      <c r="O641" s="809"/>
      <c r="P641" s="809"/>
      <c r="Q641" s="809"/>
      <c r="R641" s="809"/>
      <c r="S641" s="809"/>
      <c r="T641" s="809"/>
      <c r="U641" s="809"/>
      <c r="V641" s="809"/>
      <c r="W641" s="809"/>
      <c r="X641" s="809"/>
      <c r="Y641" s="809"/>
      <c r="Z641" s="809"/>
      <c r="AA641" s="809"/>
      <c r="AB641" s="809"/>
      <c r="AC641" s="809"/>
      <c r="AD641" s="809"/>
      <c r="AE641" s="809"/>
      <c r="AF641" s="809"/>
      <c r="AG641" s="809"/>
      <c r="AH641" s="809"/>
      <c r="AI641" s="809"/>
      <c r="AJ641" s="809"/>
      <c r="AK641" s="809"/>
      <c r="AL641" s="809"/>
      <c r="AM641" s="809"/>
      <c r="AN641" s="809"/>
      <c r="AO641" s="809"/>
      <c r="AP641" s="809"/>
      <c r="AQ641" s="809"/>
      <c r="AR641" s="809"/>
      <c r="AS641" s="809"/>
      <c r="AT641" s="809"/>
      <c r="AU641" s="809"/>
      <c r="AV641" s="809"/>
      <c r="AW641" s="809"/>
      <c r="AX641" s="809"/>
      <c r="AY641" s="809"/>
      <c r="AZ641" s="809"/>
      <c r="BA641" s="809"/>
      <c r="BB641" s="809"/>
      <c r="BC641" s="809"/>
      <c r="BD641" s="809"/>
      <c r="BE641" s="809"/>
      <c r="BF641" s="809"/>
      <c r="BG641" s="809"/>
      <c r="BH641" s="809"/>
      <c r="BI641" s="809"/>
      <c r="BJ641" s="809"/>
      <c r="BK641" s="809"/>
      <c r="BL641" s="809"/>
      <c r="BM641" s="809"/>
      <c r="BN641" s="809"/>
    </row>
    <row r="642" spans="1:66">
      <c r="A642" s="809"/>
      <c r="B642" s="809"/>
      <c r="C642" s="809"/>
      <c r="D642" s="809"/>
      <c r="E642" s="809"/>
      <c r="F642" s="809"/>
      <c r="G642" s="809"/>
      <c r="H642" s="809"/>
      <c r="I642" s="809"/>
      <c r="J642" s="809"/>
      <c r="K642" s="809"/>
      <c r="L642" s="809"/>
      <c r="M642" s="809"/>
      <c r="N642" s="809"/>
      <c r="O642" s="809"/>
      <c r="P642" s="809"/>
      <c r="Q642" s="809"/>
      <c r="R642" s="809"/>
      <c r="S642" s="809"/>
      <c r="T642" s="809"/>
      <c r="U642" s="809"/>
      <c r="V642" s="809"/>
      <c r="W642" s="809"/>
      <c r="X642" s="809"/>
      <c r="Y642" s="809"/>
      <c r="Z642" s="809"/>
      <c r="AA642" s="809"/>
      <c r="AB642" s="809"/>
      <c r="AC642" s="809"/>
      <c r="AD642" s="809"/>
      <c r="AE642" s="809"/>
      <c r="AF642" s="809"/>
      <c r="AG642" s="809"/>
      <c r="AH642" s="809"/>
      <c r="AI642" s="809"/>
      <c r="AJ642" s="809"/>
      <c r="AK642" s="809"/>
      <c r="AL642" s="809"/>
      <c r="AM642" s="809"/>
      <c r="AN642" s="809"/>
      <c r="AO642" s="809"/>
      <c r="AP642" s="809"/>
      <c r="AQ642" s="809"/>
      <c r="AR642" s="809"/>
      <c r="AS642" s="809"/>
      <c r="AT642" s="809"/>
      <c r="AU642" s="809"/>
      <c r="AV642" s="809"/>
      <c r="AW642" s="809"/>
      <c r="AX642" s="809"/>
      <c r="AY642" s="809"/>
      <c r="AZ642" s="809"/>
      <c r="BA642" s="809"/>
      <c r="BB642" s="809"/>
      <c r="BC642" s="809"/>
      <c r="BD642" s="809"/>
      <c r="BE642" s="809"/>
      <c r="BF642" s="809"/>
      <c r="BG642" s="809"/>
      <c r="BH642" s="809"/>
      <c r="BI642" s="809"/>
      <c r="BJ642" s="809"/>
      <c r="BK642" s="809"/>
      <c r="BL642" s="809"/>
      <c r="BM642" s="809"/>
      <c r="BN642" s="809"/>
    </row>
    <row r="643" spans="1:66">
      <c r="A643" s="809"/>
      <c r="B643" s="809"/>
      <c r="C643" s="809"/>
      <c r="D643" s="809"/>
      <c r="E643" s="809"/>
      <c r="F643" s="809"/>
      <c r="G643" s="809"/>
      <c r="H643" s="809"/>
      <c r="I643" s="809"/>
      <c r="J643" s="809"/>
      <c r="K643" s="809"/>
      <c r="L643" s="809"/>
      <c r="M643" s="809"/>
      <c r="N643" s="809"/>
      <c r="O643" s="809"/>
      <c r="P643" s="809"/>
      <c r="Q643" s="809"/>
      <c r="R643" s="809"/>
      <c r="S643" s="809"/>
      <c r="T643" s="809"/>
      <c r="U643" s="809"/>
      <c r="V643" s="809"/>
      <c r="W643" s="809"/>
      <c r="X643" s="809"/>
      <c r="Y643" s="809"/>
      <c r="Z643" s="809"/>
      <c r="AA643" s="809"/>
      <c r="AB643" s="809"/>
      <c r="AC643" s="809"/>
      <c r="AD643" s="809"/>
      <c r="AE643" s="809"/>
      <c r="AF643" s="809"/>
      <c r="AG643" s="809"/>
      <c r="AH643" s="809"/>
      <c r="AI643" s="809"/>
      <c r="AJ643" s="809"/>
      <c r="AK643" s="809"/>
      <c r="AL643" s="809"/>
      <c r="AM643" s="809"/>
      <c r="AN643" s="809"/>
      <c r="AO643" s="809"/>
      <c r="AP643" s="809"/>
      <c r="AQ643" s="809"/>
      <c r="AR643" s="809"/>
      <c r="AS643" s="809"/>
      <c r="AT643" s="809"/>
      <c r="AU643" s="809"/>
      <c r="AV643" s="809"/>
      <c r="AW643" s="809"/>
      <c r="AX643" s="809"/>
      <c r="AY643" s="809"/>
      <c r="AZ643" s="809"/>
      <c r="BA643" s="809"/>
      <c r="BB643" s="809"/>
      <c r="BC643" s="809"/>
      <c r="BD643" s="809"/>
      <c r="BE643" s="809"/>
      <c r="BF643" s="809"/>
      <c r="BG643" s="809"/>
      <c r="BH643" s="809"/>
      <c r="BI643" s="809"/>
      <c r="BJ643" s="809"/>
      <c r="BK643" s="809"/>
      <c r="BL643" s="809"/>
      <c r="BM643" s="809"/>
      <c r="BN643" s="809"/>
    </row>
    <row r="644" spans="1:66">
      <c r="A644" s="809"/>
      <c r="B644" s="809"/>
      <c r="C644" s="809"/>
      <c r="D644" s="809"/>
      <c r="E644" s="809"/>
      <c r="F644" s="809"/>
      <c r="G644" s="809"/>
      <c r="H644" s="809"/>
      <c r="I644" s="809"/>
      <c r="J644" s="809"/>
      <c r="K644" s="809"/>
      <c r="L644" s="809"/>
      <c r="M644" s="809"/>
      <c r="N644" s="809"/>
      <c r="O644" s="809"/>
      <c r="P644" s="809"/>
      <c r="Q644" s="809"/>
      <c r="R644" s="809"/>
      <c r="S644" s="809"/>
      <c r="T644" s="809"/>
      <c r="U644" s="809"/>
      <c r="V644" s="809"/>
      <c r="W644" s="809"/>
      <c r="X644" s="809"/>
      <c r="Y644" s="809"/>
      <c r="Z644" s="809"/>
      <c r="AA644" s="809"/>
      <c r="AB644" s="809"/>
      <c r="AC644" s="809"/>
      <c r="AD644" s="809"/>
      <c r="AE644" s="809"/>
      <c r="AF644" s="809"/>
      <c r="AG644" s="809"/>
      <c r="AH644" s="809"/>
      <c r="AI644" s="809"/>
      <c r="AJ644" s="809"/>
      <c r="AK644" s="809"/>
      <c r="AL644" s="809"/>
      <c r="AM644" s="809"/>
      <c r="AN644" s="809"/>
      <c r="AO644" s="809"/>
      <c r="AP644" s="809"/>
      <c r="AQ644" s="809"/>
      <c r="AR644" s="809"/>
      <c r="AS644" s="809"/>
      <c r="AT644" s="809"/>
      <c r="AU644" s="809"/>
      <c r="AV644" s="809"/>
      <c r="AW644" s="809"/>
      <c r="AX644" s="809"/>
      <c r="AY644" s="809"/>
      <c r="AZ644" s="809"/>
      <c r="BA644" s="809"/>
      <c r="BB644" s="809"/>
      <c r="BC644" s="809"/>
      <c r="BD644" s="809"/>
      <c r="BE644" s="809"/>
      <c r="BF644" s="809"/>
      <c r="BG644" s="809"/>
      <c r="BH644" s="809"/>
      <c r="BI644" s="809"/>
      <c r="BJ644" s="809"/>
      <c r="BK644" s="809"/>
      <c r="BL644" s="809"/>
      <c r="BM644" s="809"/>
      <c r="BN644" s="809"/>
    </row>
    <row r="645" spans="1:66">
      <c r="A645" s="809"/>
      <c r="B645" s="809"/>
      <c r="C645" s="809"/>
      <c r="D645" s="809"/>
      <c r="E645" s="809"/>
      <c r="F645" s="809"/>
      <c r="G645" s="809"/>
      <c r="H645" s="809"/>
      <c r="I645" s="809"/>
      <c r="J645" s="809"/>
      <c r="K645" s="809"/>
      <c r="L645" s="809"/>
      <c r="M645" s="809"/>
      <c r="N645" s="809"/>
      <c r="O645" s="809"/>
      <c r="P645" s="809"/>
      <c r="Q645" s="809"/>
      <c r="R645" s="809"/>
      <c r="S645" s="809"/>
      <c r="T645" s="809"/>
      <c r="U645" s="809"/>
      <c r="V645" s="809"/>
      <c r="W645" s="809"/>
      <c r="X645" s="809"/>
      <c r="Y645" s="809"/>
      <c r="Z645" s="809"/>
      <c r="AA645" s="809"/>
      <c r="AB645" s="809"/>
      <c r="AC645" s="809"/>
      <c r="AD645" s="809"/>
      <c r="AE645" s="809"/>
      <c r="AF645" s="809"/>
      <c r="AG645" s="809"/>
      <c r="AH645" s="809"/>
      <c r="AI645" s="809"/>
      <c r="AJ645" s="809"/>
      <c r="AK645" s="809"/>
      <c r="AL645" s="809"/>
      <c r="AM645" s="809"/>
      <c r="AN645" s="809"/>
      <c r="AO645" s="809"/>
      <c r="AP645" s="809"/>
      <c r="AQ645" s="809"/>
      <c r="AR645" s="809"/>
      <c r="AS645" s="809"/>
      <c r="AT645" s="809"/>
      <c r="AU645" s="809"/>
      <c r="AV645" s="809"/>
      <c r="AW645" s="809"/>
      <c r="AX645" s="809"/>
      <c r="AY645" s="809"/>
      <c r="AZ645" s="809"/>
      <c r="BA645" s="809"/>
      <c r="BB645" s="809"/>
      <c r="BC645" s="809"/>
      <c r="BD645" s="809"/>
      <c r="BE645" s="809"/>
      <c r="BF645" s="809"/>
      <c r="BG645" s="809"/>
      <c r="BH645" s="809"/>
      <c r="BI645" s="809"/>
      <c r="BJ645" s="809"/>
      <c r="BK645" s="809"/>
      <c r="BL645" s="809"/>
      <c r="BM645" s="809"/>
      <c r="BN645" s="809"/>
    </row>
    <row r="646" spans="1:66">
      <c r="A646" s="809"/>
      <c r="B646" s="809"/>
      <c r="C646" s="809"/>
      <c r="D646" s="809"/>
      <c r="E646" s="809"/>
      <c r="F646" s="809"/>
      <c r="G646" s="809"/>
      <c r="H646" s="809"/>
      <c r="I646" s="809"/>
      <c r="J646" s="809"/>
      <c r="K646" s="809"/>
      <c r="L646" s="809"/>
      <c r="M646" s="809"/>
      <c r="N646" s="809"/>
      <c r="O646" s="809"/>
      <c r="P646" s="809"/>
      <c r="Q646" s="809"/>
      <c r="R646" s="809"/>
      <c r="S646" s="809"/>
      <c r="T646" s="809"/>
      <c r="U646" s="809"/>
      <c r="V646" s="809"/>
      <c r="W646" s="809"/>
      <c r="X646" s="809"/>
      <c r="Y646" s="809"/>
      <c r="Z646" s="809"/>
      <c r="AA646" s="809"/>
      <c r="AB646" s="809"/>
      <c r="AC646" s="809"/>
      <c r="AD646" s="809"/>
      <c r="AE646" s="809"/>
      <c r="AF646" s="809"/>
      <c r="AG646" s="809"/>
      <c r="AH646" s="809"/>
      <c r="AI646" s="809"/>
      <c r="AJ646" s="809"/>
      <c r="AK646" s="809"/>
      <c r="AL646" s="809"/>
      <c r="AM646" s="809"/>
      <c r="AN646" s="809"/>
      <c r="AO646" s="809"/>
      <c r="AP646" s="809"/>
      <c r="AQ646" s="809"/>
      <c r="AR646" s="809"/>
      <c r="AS646" s="809"/>
      <c r="AT646" s="809"/>
      <c r="AU646" s="809"/>
      <c r="AV646" s="809"/>
      <c r="AW646" s="809"/>
      <c r="AX646" s="809"/>
      <c r="AY646" s="809"/>
      <c r="AZ646" s="809"/>
      <c r="BA646" s="809"/>
      <c r="BB646" s="809"/>
      <c r="BC646" s="809"/>
      <c r="BD646" s="809"/>
      <c r="BE646" s="809"/>
      <c r="BF646" s="809"/>
      <c r="BG646" s="809"/>
      <c r="BH646" s="809"/>
      <c r="BI646" s="809"/>
      <c r="BJ646" s="809"/>
      <c r="BK646" s="809"/>
      <c r="BL646" s="809"/>
      <c r="BM646" s="809"/>
      <c r="BN646" s="809"/>
    </row>
    <row r="647" spans="1:66">
      <c r="A647" s="809"/>
      <c r="B647" s="809"/>
      <c r="C647" s="809"/>
      <c r="D647" s="809"/>
      <c r="E647" s="809"/>
      <c r="F647" s="809"/>
      <c r="G647" s="809"/>
      <c r="H647" s="809"/>
      <c r="I647" s="809"/>
      <c r="J647" s="809"/>
      <c r="K647" s="809"/>
      <c r="L647" s="809"/>
      <c r="M647" s="809"/>
      <c r="N647" s="809"/>
      <c r="O647" s="809"/>
      <c r="P647" s="809"/>
      <c r="Q647" s="809"/>
      <c r="R647" s="809"/>
      <c r="S647" s="809"/>
      <c r="T647" s="809"/>
      <c r="U647" s="809"/>
      <c r="V647" s="809"/>
      <c r="W647" s="809"/>
      <c r="X647" s="809"/>
      <c r="Y647" s="809"/>
      <c r="Z647" s="809"/>
      <c r="AA647" s="809"/>
      <c r="AB647" s="809"/>
      <c r="AC647" s="809"/>
      <c r="AD647" s="809"/>
      <c r="AE647" s="809"/>
      <c r="AF647" s="809"/>
      <c r="AG647" s="809"/>
      <c r="AH647" s="809"/>
      <c r="AI647" s="809"/>
      <c r="AJ647" s="809"/>
      <c r="AK647" s="809"/>
      <c r="AL647" s="809"/>
      <c r="AM647" s="809"/>
      <c r="AN647" s="809"/>
      <c r="AO647" s="809"/>
      <c r="AP647" s="809"/>
      <c r="AQ647" s="809"/>
      <c r="AR647" s="809"/>
      <c r="AS647" s="809"/>
      <c r="AT647" s="809"/>
      <c r="AU647" s="809"/>
      <c r="AV647" s="809"/>
      <c r="AW647" s="809"/>
      <c r="AX647" s="809"/>
      <c r="AY647" s="809"/>
      <c r="AZ647" s="809"/>
      <c r="BA647" s="809"/>
      <c r="BB647" s="809"/>
      <c r="BC647" s="809"/>
      <c r="BD647" s="809"/>
      <c r="BE647" s="809"/>
      <c r="BF647" s="809"/>
      <c r="BG647" s="809"/>
      <c r="BH647" s="809"/>
      <c r="BI647" s="809"/>
      <c r="BJ647" s="809"/>
      <c r="BK647" s="809"/>
      <c r="BL647" s="809"/>
      <c r="BM647" s="809"/>
      <c r="BN647" s="809"/>
    </row>
    <row r="648" spans="1:66">
      <c r="A648" s="809"/>
      <c r="B648" s="809"/>
      <c r="C648" s="809"/>
      <c r="D648" s="809"/>
      <c r="E648" s="809"/>
      <c r="F648" s="809"/>
      <c r="G648" s="809"/>
      <c r="H648" s="809"/>
      <c r="I648" s="809"/>
      <c r="J648" s="809"/>
      <c r="K648" s="809"/>
      <c r="L648" s="809"/>
      <c r="M648" s="809"/>
      <c r="N648" s="809"/>
      <c r="O648" s="809"/>
      <c r="P648" s="809"/>
      <c r="Q648" s="809"/>
      <c r="R648" s="809"/>
      <c r="S648" s="809"/>
      <c r="T648" s="809"/>
      <c r="U648" s="809"/>
      <c r="V648" s="809"/>
      <c r="W648" s="809"/>
      <c r="X648" s="809"/>
      <c r="Y648" s="809"/>
      <c r="Z648" s="809"/>
      <c r="AA648" s="809"/>
      <c r="AB648" s="809"/>
      <c r="AC648" s="809"/>
      <c r="AD648" s="809"/>
      <c r="AE648" s="809"/>
      <c r="AF648" s="809"/>
      <c r="AG648" s="809"/>
      <c r="AH648" s="809"/>
      <c r="AI648" s="809"/>
      <c r="AJ648" s="809"/>
      <c r="AK648" s="809"/>
      <c r="AL648" s="809"/>
      <c r="AM648" s="809"/>
      <c r="AN648" s="809"/>
      <c r="AO648" s="809"/>
      <c r="AP648" s="809"/>
      <c r="AQ648" s="809"/>
      <c r="AR648" s="809"/>
      <c r="AS648" s="809"/>
      <c r="AT648" s="809"/>
      <c r="AU648" s="809"/>
      <c r="AV648" s="809"/>
      <c r="AW648" s="809"/>
      <c r="AX648" s="809"/>
      <c r="AY648" s="809"/>
      <c r="AZ648" s="809"/>
      <c r="BA648" s="809"/>
      <c r="BB648" s="809"/>
      <c r="BC648" s="809"/>
      <c r="BD648" s="809"/>
      <c r="BE648" s="809"/>
      <c r="BF648" s="809"/>
      <c r="BG648" s="809"/>
      <c r="BH648" s="809"/>
      <c r="BI648" s="809"/>
      <c r="BJ648" s="809"/>
      <c r="BK648" s="809"/>
      <c r="BL648" s="809"/>
      <c r="BM648" s="809"/>
      <c r="BN648" s="809"/>
    </row>
    <row r="649" spans="1:66">
      <c r="A649" s="809"/>
      <c r="B649" s="809"/>
      <c r="C649" s="809"/>
      <c r="D649" s="809"/>
      <c r="E649" s="809"/>
      <c r="F649" s="809"/>
      <c r="G649" s="809"/>
      <c r="H649" s="809"/>
      <c r="I649" s="809"/>
      <c r="J649" s="809"/>
      <c r="K649" s="809"/>
      <c r="L649" s="809"/>
      <c r="M649" s="809"/>
      <c r="N649" s="809"/>
      <c r="O649" s="809"/>
      <c r="P649" s="809"/>
      <c r="Q649" s="809"/>
      <c r="R649" s="809"/>
      <c r="S649" s="809"/>
      <c r="T649" s="809"/>
      <c r="U649" s="809"/>
      <c r="V649" s="809"/>
      <c r="W649" s="809"/>
      <c r="X649" s="809"/>
      <c r="Y649" s="809"/>
      <c r="Z649" s="809"/>
      <c r="AA649" s="809"/>
      <c r="AB649" s="809"/>
      <c r="AC649" s="809"/>
      <c r="AD649" s="809"/>
      <c r="AE649" s="809"/>
      <c r="AF649" s="809"/>
      <c r="AG649" s="809"/>
      <c r="AH649" s="809"/>
      <c r="AI649" s="809"/>
      <c r="AJ649" s="809"/>
      <c r="AK649" s="809"/>
      <c r="AL649" s="809"/>
      <c r="AM649" s="809"/>
      <c r="AN649" s="809"/>
      <c r="AO649" s="809"/>
      <c r="AP649" s="809"/>
      <c r="AQ649" s="809"/>
      <c r="AR649" s="809"/>
      <c r="AS649" s="809"/>
      <c r="AT649" s="809"/>
      <c r="AU649" s="809"/>
      <c r="AV649" s="809"/>
      <c r="AW649" s="809"/>
      <c r="AX649" s="809"/>
      <c r="AY649" s="809"/>
      <c r="AZ649" s="809"/>
      <c r="BA649" s="809"/>
      <c r="BB649" s="809"/>
      <c r="BC649" s="809"/>
      <c r="BD649" s="809"/>
      <c r="BE649" s="809"/>
      <c r="BF649" s="809"/>
      <c r="BG649" s="809"/>
      <c r="BH649" s="809"/>
      <c r="BI649" s="809"/>
      <c r="BJ649" s="809"/>
      <c r="BK649" s="809"/>
      <c r="BL649" s="809"/>
      <c r="BM649" s="809"/>
      <c r="BN649" s="809"/>
    </row>
    <row r="650" spans="1:66">
      <c r="A650" s="809"/>
      <c r="B650" s="809"/>
      <c r="C650" s="809"/>
      <c r="D650" s="809"/>
      <c r="E650" s="809"/>
      <c r="F650" s="809"/>
      <c r="G650" s="809"/>
      <c r="H650" s="809"/>
      <c r="I650" s="809"/>
      <c r="J650" s="809"/>
      <c r="K650" s="809"/>
      <c r="L650" s="809"/>
      <c r="M650" s="809"/>
      <c r="N650" s="809"/>
      <c r="O650" s="809"/>
      <c r="P650" s="809"/>
      <c r="Q650" s="809"/>
      <c r="R650" s="809"/>
      <c r="S650" s="809"/>
      <c r="T650" s="809"/>
      <c r="U650" s="809"/>
      <c r="V650" s="809"/>
      <c r="W650" s="809"/>
      <c r="X650" s="809"/>
      <c r="Y650" s="809"/>
      <c r="Z650" s="809"/>
      <c r="AA650" s="809"/>
      <c r="AB650" s="809"/>
      <c r="AC650" s="809"/>
      <c r="AD650" s="809"/>
      <c r="AE650" s="809"/>
      <c r="AF650" s="809"/>
      <c r="AG650" s="809"/>
      <c r="AH650" s="809"/>
      <c r="AI650" s="809"/>
      <c r="AJ650" s="809"/>
      <c r="AK650" s="809"/>
      <c r="AL650" s="809"/>
      <c r="AM650" s="809"/>
      <c r="AN650" s="809"/>
      <c r="AO650" s="809"/>
      <c r="AP650" s="809"/>
      <c r="AQ650" s="809"/>
      <c r="AR650" s="809"/>
      <c r="AS650" s="809"/>
      <c r="AT650" s="809"/>
      <c r="AU650" s="809"/>
      <c r="AV650" s="809"/>
      <c r="AW650" s="809"/>
      <c r="AX650" s="809"/>
      <c r="AY650" s="809"/>
      <c r="AZ650" s="809"/>
      <c r="BA650" s="809"/>
      <c r="BB650" s="809"/>
      <c r="BC650" s="809"/>
      <c r="BD650" s="809"/>
      <c r="BE650" s="809"/>
      <c r="BF650" s="809"/>
      <c r="BG650" s="809"/>
      <c r="BH650" s="809"/>
      <c r="BI650" s="809"/>
      <c r="BJ650" s="809"/>
      <c r="BK650" s="809"/>
      <c r="BL650" s="809"/>
      <c r="BM650" s="809"/>
      <c r="BN650" s="809"/>
    </row>
    <row r="651" spans="1:66">
      <c r="A651" s="809"/>
      <c r="B651" s="809"/>
      <c r="C651" s="809"/>
      <c r="D651" s="809"/>
      <c r="E651" s="809"/>
      <c r="F651" s="809"/>
      <c r="G651" s="809"/>
      <c r="H651" s="809"/>
      <c r="I651" s="809"/>
      <c r="J651" s="809"/>
      <c r="K651" s="809"/>
      <c r="L651" s="809"/>
      <c r="M651" s="809"/>
      <c r="N651" s="809"/>
      <c r="O651" s="809"/>
      <c r="P651" s="809"/>
      <c r="Q651" s="809"/>
      <c r="R651" s="809"/>
      <c r="S651" s="809"/>
      <c r="T651" s="809"/>
      <c r="U651" s="809"/>
      <c r="V651" s="809"/>
      <c r="W651" s="809"/>
      <c r="X651" s="809"/>
      <c r="Y651" s="809"/>
      <c r="Z651" s="809"/>
      <c r="AA651" s="809"/>
      <c r="AB651" s="809"/>
      <c r="AC651" s="809"/>
      <c r="AD651" s="809"/>
      <c r="AE651" s="809"/>
      <c r="AF651" s="809"/>
      <c r="AG651" s="809"/>
      <c r="AH651" s="809"/>
      <c r="AI651" s="809"/>
      <c r="AJ651" s="809"/>
      <c r="AK651" s="809"/>
      <c r="AL651" s="809"/>
      <c r="AM651" s="809"/>
      <c r="AN651" s="809"/>
      <c r="AO651" s="809"/>
      <c r="AP651" s="809"/>
      <c r="AQ651" s="809"/>
      <c r="AR651" s="809"/>
      <c r="AS651" s="809"/>
      <c r="AT651" s="809"/>
      <c r="AU651" s="809"/>
      <c r="AV651" s="809"/>
      <c r="AW651" s="809"/>
      <c r="AX651" s="809"/>
      <c r="AY651" s="809"/>
      <c r="AZ651" s="809"/>
      <c r="BA651" s="809"/>
      <c r="BB651" s="809"/>
      <c r="BC651" s="809"/>
      <c r="BD651" s="809"/>
      <c r="BE651" s="809"/>
      <c r="BF651" s="809"/>
      <c r="BG651" s="809"/>
      <c r="BH651" s="809"/>
      <c r="BI651" s="809"/>
      <c r="BJ651" s="809"/>
      <c r="BK651" s="809"/>
      <c r="BL651" s="809"/>
      <c r="BM651" s="809"/>
      <c r="BN651" s="809"/>
    </row>
    <row r="652" spans="1:66">
      <c r="A652" s="809"/>
      <c r="B652" s="809"/>
      <c r="C652" s="809"/>
      <c r="D652" s="809"/>
      <c r="E652" s="809"/>
      <c r="F652" s="809"/>
      <c r="G652" s="809"/>
      <c r="H652" s="809"/>
      <c r="I652" s="809"/>
      <c r="J652" s="809"/>
      <c r="K652" s="809"/>
      <c r="L652" s="809"/>
      <c r="M652" s="809"/>
      <c r="N652" s="809"/>
      <c r="O652" s="809"/>
      <c r="P652" s="809"/>
      <c r="Q652" s="809"/>
      <c r="R652" s="809"/>
      <c r="S652" s="809"/>
      <c r="T652" s="809"/>
      <c r="U652" s="809"/>
      <c r="V652" s="809"/>
      <c r="W652" s="809"/>
      <c r="X652" s="809"/>
      <c r="Y652" s="809"/>
      <c r="Z652" s="809"/>
      <c r="AA652" s="809"/>
      <c r="AB652" s="809"/>
      <c r="AC652" s="809"/>
      <c r="AD652" s="809"/>
      <c r="AE652" s="809"/>
      <c r="AF652" s="809"/>
      <c r="AG652" s="809"/>
      <c r="AH652" s="809"/>
      <c r="AI652" s="809"/>
      <c r="AJ652" s="809"/>
      <c r="AK652" s="809"/>
      <c r="AL652" s="809"/>
      <c r="AM652" s="809"/>
      <c r="AN652" s="809"/>
      <c r="AO652" s="809"/>
      <c r="AP652" s="809"/>
      <c r="AQ652" s="809"/>
      <c r="AR652" s="809"/>
      <c r="AS652" s="809"/>
      <c r="AT652" s="809"/>
      <c r="AU652" s="809"/>
      <c r="AV652" s="809"/>
      <c r="AW652" s="809"/>
      <c r="AX652" s="809"/>
      <c r="AY652" s="809"/>
      <c r="AZ652" s="809"/>
      <c r="BA652" s="809"/>
      <c r="BB652" s="809"/>
      <c r="BC652" s="809"/>
      <c r="BD652" s="809"/>
      <c r="BE652" s="809"/>
      <c r="BF652" s="809"/>
      <c r="BG652" s="809"/>
      <c r="BH652" s="809"/>
      <c r="BI652" s="809"/>
      <c r="BJ652" s="809"/>
      <c r="BK652" s="809"/>
      <c r="BL652" s="809"/>
      <c r="BM652" s="809"/>
      <c r="BN652" s="809"/>
    </row>
    <row r="653" spans="1:66">
      <c r="A653" s="809"/>
      <c r="B653" s="809"/>
      <c r="C653" s="809"/>
      <c r="D653" s="809"/>
      <c r="E653" s="809"/>
      <c r="F653" s="809"/>
      <c r="G653" s="809"/>
      <c r="H653" s="809"/>
      <c r="I653" s="809"/>
      <c r="J653" s="809"/>
      <c r="K653" s="809"/>
      <c r="L653" s="809"/>
      <c r="M653" s="809"/>
      <c r="N653" s="809"/>
      <c r="O653" s="809"/>
      <c r="P653" s="809"/>
      <c r="Q653" s="809"/>
      <c r="R653" s="809"/>
      <c r="S653" s="809"/>
      <c r="T653" s="809"/>
      <c r="U653" s="809"/>
      <c r="V653" s="809"/>
      <c r="W653" s="809"/>
      <c r="X653" s="809"/>
      <c r="Y653" s="809"/>
      <c r="Z653" s="809"/>
      <c r="AA653" s="809"/>
      <c r="AB653" s="809"/>
      <c r="AC653" s="809"/>
      <c r="AD653" s="809"/>
      <c r="AE653" s="809"/>
      <c r="AF653" s="809"/>
      <c r="AG653" s="809"/>
      <c r="AH653" s="809"/>
      <c r="AI653" s="809"/>
      <c r="AJ653" s="809"/>
      <c r="AK653" s="809"/>
      <c r="AL653" s="809"/>
      <c r="AM653" s="809"/>
      <c r="AN653" s="809"/>
      <c r="AO653" s="809"/>
      <c r="AP653" s="809"/>
      <c r="AQ653" s="809"/>
      <c r="AR653" s="809"/>
      <c r="AS653" s="809"/>
      <c r="AT653" s="809"/>
      <c r="AU653" s="809"/>
      <c r="AV653" s="809"/>
      <c r="AW653" s="809"/>
      <c r="AX653" s="809"/>
      <c r="AY653" s="809"/>
      <c r="AZ653" s="809"/>
      <c r="BA653" s="809"/>
      <c r="BB653" s="809"/>
      <c r="BC653" s="809"/>
      <c r="BD653" s="809"/>
      <c r="BE653" s="809"/>
      <c r="BF653" s="809"/>
      <c r="BG653" s="809"/>
      <c r="BH653" s="809"/>
      <c r="BI653" s="809"/>
      <c r="BJ653" s="809"/>
      <c r="BK653" s="809"/>
      <c r="BL653" s="809"/>
      <c r="BM653" s="809"/>
      <c r="BN653" s="809"/>
    </row>
    <row r="654" spans="1:66">
      <c r="A654" s="809"/>
      <c r="B654" s="809"/>
      <c r="C654" s="809"/>
      <c r="D654" s="809"/>
      <c r="E654" s="809"/>
      <c r="F654" s="809"/>
      <c r="G654" s="809"/>
      <c r="H654" s="809"/>
      <c r="I654" s="809"/>
      <c r="J654" s="809"/>
      <c r="K654" s="809"/>
      <c r="L654" s="809"/>
      <c r="M654" s="809"/>
      <c r="N654" s="809"/>
      <c r="O654" s="809"/>
      <c r="P654" s="809"/>
      <c r="Q654" s="809"/>
      <c r="R654" s="809"/>
      <c r="S654" s="809"/>
      <c r="T654" s="809"/>
      <c r="U654" s="809"/>
      <c r="V654" s="809"/>
      <c r="W654" s="809"/>
      <c r="X654" s="809"/>
      <c r="Y654" s="809"/>
      <c r="Z654" s="809"/>
      <c r="AA654" s="809"/>
      <c r="AB654" s="809"/>
      <c r="AC654" s="809"/>
      <c r="AD654" s="809"/>
      <c r="AE654" s="809"/>
      <c r="AF654" s="809"/>
      <c r="AG654" s="809"/>
      <c r="AH654" s="809"/>
      <c r="AI654" s="809"/>
      <c r="AJ654" s="809"/>
      <c r="AK654" s="809"/>
      <c r="AL654" s="809"/>
      <c r="AM654" s="809"/>
      <c r="AN654" s="809"/>
      <c r="AO654" s="809"/>
      <c r="AP654" s="809"/>
      <c r="AQ654" s="809"/>
      <c r="AR654" s="809"/>
      <c r="AS654" s="809"/>
      <c r="AT654" s="809"/>
      <c r="AU654" s="809"/>
      <c r="AV654" s="809"/>
      <c r="AW654" s="809"/>
      <c r="AX654" s="809"/>
      <c r="AY654" s="809"/>
      <c r="AZ654" s="809"/>
      <c r="BA654" s="809"/>
      <c r="BB654" s="809"/>
      <c r="BC654" s="809"/>
      <c r="BD654" s="809"/>
      <c r="BE654" s="809"/>
      <c r="BF654" s="809"/>
      <c r="BG654" s="809"/>
      <c r="BH654" s="809"/>
      <c r="BI654" s="809"/>
      <c r="BJ654" s="809"/>
      <c r="BK654" s="809"/>
      <c r="BL654" s="809"/>
      <c r="BM654" s="809"/>
      <c r="BN654" s="809"/>
    </row>
    <row r="655" spans="1:66">
      <c r="A655" s="809"/>
      <c r="B655" s="809"/>
      <c r="C655" s="809"/>
      <c r="D655" s="809"/>
      <c r="E655" s="809"/>
      <c r="F655" s="809"/>
      <c r="G655" s="809"/>
      <c r="H655" s="809"/>
      <c r="I655" s="809"/>
      <c r="J655" s="809"/>
      <c r="K655" s="809"/>
      <c r="L655" s="809"/>
      <c r="M655" s="809"/>
      <c r="N655" s="809"/>
      <c r="O655" s="809"/>
      <c r="P655" s="809"/>
      <c r="Q655" s="809"/>
      <c r="R655" s="809"/>
      <c r="S655" s="809"/>
      <c r="T655" s="809"/>
      <c r="U655" s="809"/>
      <c r="V655" s="809"/>
      <c r="W655" s="809"/>
      <c r="X655" s="809"/>
      <c r="Y655" s="809"/>
      <c r="Z655" s="809"/>
      <c r="AA655" s="809"/>
      <c r="AB655" s="809"/>
      <c r="AC655" s="809"/>
      <c r="AD655" s="809"/>
      <c r="AE655" s="809"/>
      <c r="AF655" s="809"/>
      <c r="AG655" s="809"/>
      <c r="AH655" s="809"/>
      <c r="AI655" s="809"/>
      <c r="AJ655" s="809"/>
      <c r="AK655" s="809"/>
      <c r="AL655" s="809"/>
      <c r="AM655" s="809"/>
      <c r="AN655" s="809"/>
      <c r="AO655" s="809"/>
      <c r="AP655" s="809"/>
      <c r="AQ655" s="809"/>
      <c r="AR655" s="809"/>
      <c r="AS655" s="809"/>
      <c r="AT655" s="809"/>
      <c r="AU655" s="809"/>
      <c r="AV655" s="809"/>
      <c r="AW655" s="809"/>
      <c r="AX655" s="809"/>
      <c r="AY655" s="809"/>
      <c r="AZ655" s="809"/>
      <c r="BA655" s="809"/>
      <c r="BB655" s="809"/>
      <c r="BC655" s="809"/>
      <c r="BD655" s="809"/>
      <c r="BE655" s="809"/>
      <c r="BF655" s="809"/>
      <c r="BG655" s="809"/>
      <c r="BH655" s="809"/>
      <c r="BI655" s="809"/>
      <c r="BJ655" s="809"/>
      <c r="BK655" s="809"/>
      <c r="BL655" s="809"/>
      <c r="BM655" s="809"/>
      <c r="BN655" s="809"/>
    </row>
    <row r="656" spans="1:66">
      <c r="A656" s="809"/>
      <c r="B656" s="809"/>
      <c r="C656" s="809"/>
      <c r="D656" s="809"/>
      <c r="E656" s="809"/>
      <c r="F656" s="809"/>
      <c r="G656" s="809"/>
      <c r="H656" s="809"/>
      <c r="I656" s="809"/>
      <c r="J656" s="809"/>
      <c r="K656" s="809"/>
      <c r="L656" s="809"/>
      <c r="M656" s="809"/>
      <c r="N656" s="809"/>
      <c r="O656" s="809"/>
      <c r="P656" s="809"/>
      <c r="Q656" s="809"/>
      <c r="R656" s="809"/>
      <c r="S656" s="809"/>
      <c r="T656" s="809"/>
      <c r="U656" s="809"/>
      <c r="V656" s="809"/>
      <c r="W656" s="809"/>
      <c r="X656" s="809"/>
      <c r="Y656" s="809"/>
      <c r="Z656" s="809"/>
      <c r="AA656" s="809"/>
      <c r="AB656" s="809"/>
      <c r="AC656" s="809"/>
      <c r="AD656" s="809"/>
      <c r="AE656" s="809"/>
      <c r="AF656" s="809"/>
      <c r="AG656" s="809"/>
      <c r="AH656" s="809"/>
      <c r="AI656" s="809"/>
      <c r="AJ656" s="809"/>
      <c r="AK656" s="809"/>
      <c r="AL656" s="809"/>
      <c r="AM656" s="809"/>
      <c r="AN656" s="809"/>
      <c r="AO656" s="809"/>
      <c r="AP656" s="809"/>
      <c r="AQ656" s="809"/>
      <c r="AR656" s="809"/>
      <c r="AS656" s="809"/>
      <c r="AT656" s="809"/>
      <c r="AU656" s="809"/>
      <c r="AV656" s="809"/>
      <c r="AW656" s="809"/>
      <c r="AX656" s="809"/>
      <c r="AY656" s="809"/>
      <c r="AZ656" s="809"/>
      <c r="BA656" s="809"/>
      <c r="BB656" s="809"/>
      <c r="BC656" s="809"/>
      <c r="BD656" s="809"/>
      <c r="BE656" s="809"/>
      <c r="BF656" s="809"/>
      <c r="BG656" s="809"/>
      <c r="BH656" s="809"/>
      <c r="BI656" s="809"/>
      <c r="BJ656" s="809"/>
      <c r="BK656" s="809"/>
      <c r="BL656" s="809"/>
      <c r="BM656" s="809"/>
      <c r="BN656" s="809"/>
    </row>
    <row r="657" spans="1:66">
      <c r="A657" s="809"/>
      <c r="B657" s="809"/>
      <c r="C657" s="809"/>
      <c r="D657" s="809"/>
      <c r="E657" s="809"/>
      <c r="F657" s="809"/>
      <c r="G657" s="809"/>
      <c r="H657" s="809"/>
      <c r="I657" s="809"/>
      <c r="J657" s="809"/>
      <c r="K657" s="809"/>
      <c r="L657" s="809"/>
      <c r="M657" s="809"/>
      <c r="N657" s="809"/>
      <c r="O657" s="809"/>
      <c r="P657" s="809"/>
      <c r="Q657" s="809"/>
      <c r="R657" s="809"/>
      <c r="S657" s="809"/>
      <c r="T657" s="809"/>
      <c r="U657" s="809"/>
      <c r="V657" s="809"/>
      <c r="W657" s="809"/>
      <c r="X657" s="809"/>
      <c r="Y657" s="809"/>
      <c r="Z657" s="809"/>
      <c r="AA657" s="809"/>
      <c r="AB657" s="809"/>
      <c r="AC657" s="809"/>
      <c r="AD657" s="809"/>
      <c r="AE657" s="809"/>
      <c r="AF657" s="809"/>
      <c r="AG657" s="809"/>
      <c r="AH657" s="809"/>
      <c r="AI657" s="809"/>
      <c r="AJ657" s="809"/>
      <c r="AK657" s="809"/>
      <c r="AL657" s="809"/>
      <c r="AM657" s="809"/>
      <c r="AN657" s="809"/>
      <c r="AO657" s="809"/>
      <c r="AP657" s="809"/>
      <c r="AQ657" s="809"/>
      <c r="AR657" s="809"/>
      <c r="AS657" s="809"/>
      <c r="AT657" s="809"/>
      <c r="AU657" s="809"/>
      <c r="AV657" s="809"/>
      <c r="AW657" s="809"/>
      <c r="AX657" s="809"/>
      <c r="AY657" s="809"/>
      <c r="AZ657" s="809"/>
      <c r="BA657" s="809"/>
      <c r="BB657" s="809"/>
      <c r="BC657" s="809"/>
      <c r="BD657" s="809"/>
      <c r="BE657" s="809"/>
      <c r="BF657" s="809"/>
      <c r="BG657" s="809"/>
      <c r="BH657" s="809"/>
      <c r="BI657" s="809"/>
      <c r="BJ657" s="809"/>
      <c r="BK657" s="809"/>
      <c r="BL657" s="809"/>
      <c r="BM657" s="809"/>
      <c r="BN657" s="809"/>
    </row>
    <row r="658" spans="1:66">
      <c r="A658" s="809"/>
      <c r="B658" s="809"/>
      <c r="C658" s="809"/>
      <c r="D658" s="809"/>
      <c r="E658" s="809"/>
      <c r="F658" s="809"/>
      <c r="G658" s="809"/>
      <c r="H658" s="809"/>
      <c r="I658" s="809"/>
      <c r="J658" s="809"/>
      <c r="K658" s="809"/>
      <c r="L658" s="809"/>
      <c r="M658" s="809"/>
      <c r="N658" s="809"/>
      <c r="O658" s="809"/>
      <c r="P658" s="809"/>
      <c r="Q658" s="809"/>
      <c r="R658" s="809"/>
      <c r="S658" s="809"/>
      <c r="T658" s="809"/>
      <c r="U658" s="809"/>
      <c r="V658" s="809"/>
      <c r="W658" s="809"/>
      <c r="X658" s="809"/>
      <c r="Y658" s="809"/>
      <c r="Z658" s="809"/>
      <c r="AA658" s="809"/>
      <c r="AB658" s="809"/>
      <c r="AC658" s="809"/>
      <c r="AD658" s="809"/>
      <c r="AE658" s="809"/>
      <c r="AF658" s="809"/>
      <c r="AG658" s="809"/>
      <c r="AH658" s="809"/>
      <c r="AI658" s="809"/>
      <c r="AJ658" s="809"/>
      <c r="AK658" s="809"/>
      <c r="AL658" s="809"/>
      <c r="AM658" s="809"/>
      <c r="AN658" s="809"/>
      <c r="AO658" s="809"/>
      <c r="AP658" s="809"/>
      <c r="AQ658" s="809"/>
      <c r="AR658" s="809"/>
      <c r="AS658" s="809"/>
      <c r="AT658" s="809"/>
      <c r="AU658" s="809"/>
      <c r="AV658" s="809"/>
      <c r="AW658" s="809"/>
      <c r="AX658" s="809"/>
      <c r="AY658" s="809"/>
      <c r="AZ658" s="809"/>
      <c r="BA658" s="809"/>
      <c r="BB658" s="809"/>
      <c r="BC658" s="809"/>
      <c r="BD658" s="809"/>
      <c r="BE658" s="809"/>
      <c r="BF658" s="809"/>
      <c r="BG658" s="809"/>
      <c r="BH658" s="809"/>
      <c r="BI658" s="809"/>
      <c r="BJ658" s="809"/>
      <c r="BK658" s="809"/>
      <c r="BL658" s="809"/>
      <c r="BM658" s="809"/>
      <c r="BN658" s="809"/>
    </row>
    <row r="659" spans="1:66">
      <c r="A659" s="809"/>
      <c r="B659" s="809"/>
      <c r="C659" s="809"/>
      <c r="D659" s="809"/>
      <c r="E659" s="809"/>
      <c r="F659" s="809"/>
      <c r="G659" s="809"/>
      <c r="H659" s="809"/>
      <c r="I659" s="809"/>
      <c r="J659" s="809"/>
      <c r="K659" s="809"/>
      <c r="L659" s="809"/>
      <c r="M659" s="809"/>
      <c r="N659" s="809"/>
      <c r="O659" s="809"/>
      <c r="P659" s="809"/>
      <c r="Q659" s="809"/>
      <c r="R659" s="809"/>
      <c r="S659" s="809"/>
      <c r="T659" s="809"/>
      <c r="U659" s="809"/>
      <c r="V659" s="809"/>
      <c r="W659" s="809"/>
      <c r="X659" s="809"/>
      <c r="Y659" s="809"/>
      <c r="Z659" s="809"/>
      <c r="AA659" s="809"/>
      <c r="AB659" s="809"/>
      <c r="AC659" s="809"/>
      <c r="AD659" s="809"/>
      <c r="AE659" s="809"/>
      <c r="AF659" s="809"/>
      <c r="AG659" s="809"/>
      <c r="AH659" s="809"/>
      <c r="AI659" s="809"/>
      <c r="AJ659" s="809"/>
      <c r="AK659" s="809"/>
      <c r="AL659" s="809"/>
      <c r="AM659" s="809"/>
      <c r="AN659" s="809"/>
      <c r="AO659" s="809"/>
      <c r="AP659" s="809"/>
      <c r="AQ659" s="809"/>
      <c r="AR659" s="809"/>
      <c r="AS659" s="809"/>
      <c r="AT659" s="809"/>
      <c r="AU659" s="809"/>
      <c r="AV659" s="809"/>
      <c r="AW659" s="809"/>
      <c r="AX659" s="809"/>
      <c r="AY659" s="809"/>
      <c r="AZ659" s="809"/>
      <c r="BA659" s="809"/>
      <c r="BB659" s="809"/>
      <c r="BC659" s="809"/>
      <c r="BD659" s="809"/>
      <c r="BE659" s="809"/>
      <c r="BF659" s="809"/>
      <c r="BG659" s="809"/>
      <c r="BH659" s="809"/>
      <c r="BI659" s="809"/>
      <c r="BJ659" s="809"/>
      <c r="BK659" s="809"/>
      <c r="BL659" s="809"/>
      <c r="BM659" s="809"/>
      <c r="BN659" s="809"/>
    </row>
    <row r="660" spans="1:66">
      <c r="A660" s="809"/>
      <c r="B660" s="809"/>
      <c r="C660" s="809"/>
      <c r="D660" s="809"/>
      <c r="E660" s="809"/>
      <c r="F660" s="809"/>
      <c r="G660" s="809"/>
      <c r="H660" s="809"/>
      <c r="I660" s="809"/>
      <c r="J660" s="809"/>
      <c r="K660" s="809"/>
      <c r="L660" s="809"/>
      <c r="M660" s="809"/>
      <c r="N660" s="809"/>
      <c r="O660" s="809"/>
      <c r="P660" s="809"/>
      <c r="Q660" s="809"/>
      <c r="R660" s="809"/>
      <c r="S660" s="809"/>
      <c r="T660" s="809"/>
      <c r="U660" s="809"/>
      <c r="V660" s="809"/>
      <c r="W660" s="809"/>
      <c r="X660" s="809"/>
      <c r="Y660" s="809"/>
      <c r="Z660" s="809"/>
      <c r="AA660" s="809"/>
      <c r="AB660" s="809"/>
      <c r="AC660" s="809"/>
      <c r="AD660" s="809"/>
      <c r="AE660" s="809"/>
      <c r="AF660" s="809"/>
      <c r="AG660" s="809"/>
      <c r="AH660" s="809"/>
      <c r="AI660" s="809"/>
      <c r="AJ660" s="809"/>
      <c r="AK660" s="809"/>
      <c r="AL660" s="809"/>
      <c r="AM660" s="809"/>
      <c r="AN660" s="809"/>
      <c r="AO660" s="809"/>
      <c r="AP660" s="809"/>
      <c r="AQ660" s="809"/>
      <c r="AR660" s="809"/>
      <c r="AS660" s="809"/>
      <c r="AT660" s="809"/>
      <c r="AU660" s="809"/>
      <c r="AV660" s="809"/>
      <c r="AW660" s="809"/>
      <c r="AX660" s="809"/>
      <c r="AY660" s="809"/>
      <c r="AZ660" s="809"/>
      <c r="BA660" s="809"/>
      <c r="BB660" s="809"/>
      <c r="BC660" s="809"/>
      <c r="BD660" s="809"/>
      <c r="BE660" s="809"/>
      <c r="BF660" s="809"/>
      <c r="BG660" s="809"/>
      <c r="BH660" s="809"/>
      <c r="BI660" s="809"/>
      <c r="BJ660" s="809"/>
      <c r="BK660" s="809"/>
      <c r="BL660" s="809"/>
      <c r="BM660" s="809"/>
      <c r="BN660" s="809"/>
    </row>
    <row r="661" spans="1:66">
      <c r="A661" s="809"/>
      <c r="B661" s="809"/>
      <c r="C661" s="809"/>
      <c r="D661" s="809"/>
      <c r="E661" s="809"/>
      <c r="F661" s="809"/>
      <c r="G661" s="809"/>
      <c r="H661" s="809"/>
      <c r="I661" s="809"/>
      <c r="J661" s="809"/>
      <c r="K661" s="809"/>
      <c r="L661" s="809"/>
      <c r="M661" s="809"/>
      <c r="N661" s="809"/>
      <c r="O661" s="809"/>
      <c r="P661" s="809"/>
      <c r="Q661" s="809"/>
      <c r="R661" s="809"/>
      <c r="S661" s="809"/>
      <c r="T661" s="809"/>
      <c r="U661" s="809"/>
      <c r="V661" s="809"/>
      <c r="W661" s="809"/>
      <c r="X661" s="809"/>
      <c r="Y661" s="809"/>
      <c r="Z661" s="809"/>
      <c r="AA661" s="809"/>
      <c r="AB661" s="809"/>
      <c r="AC661" s="809"/>
      <c r="AD661" s="809"/>
      <c r="AE661" s="809"/>
      <c r="AF661" s="809"/>
      <c r="AG661" s="809"/>
      <c r="AH661" s="809"/>
      <c r="AI661" s="809"/>
      <c r="AJ661" s="809"/>
      <c r="AK661" s="809"/>
      <c r="AL661" s="809"/>
      <c r="AM661" s="809"/>
      <c r="AN661" s="809"/>
      <c r="AO661" s="809"/>
      <c r="AP661" s="809"/>
      <c r="AQ661" s="809"/>
      <c r="AR661" s="809"/>
      <c r="AS661" s="809"/>
      <c r="AT661" s="809"/>
      <c r="AU661" s="809"/>
      <c r="AV661" s="809"/>
      <c r="AW661" s="809"/>
      <c r="AX661" s="809"/>
      <c r="AY661" s="809"/>
      <c r="AZ661" s="809"/>
      <c r="BA661" s="809"/>
      <c r="BB661" s="809"/>
      <c r="BC661" s="809"/>
      <c r="BD661" s="809"/>
      <c r="BE661" s="809"/>
      <c r="BF661" s="809"/>
      <c r="BG661" s="809"/>
      <c r="BH661" s="809"/>
      <c r="BI661" s="809"/>
      <c r="BJ661" s="809"/>
      <c r="BK661" s="809"/>
      <c r="BL661" s="809"/>
      <c r="BM661" s="809"/>
      <c r="BN661" s="809"/>
    </row>
    <row r="662" spans="1:66">
      <c r="A662" s="809"/>
      <c r="B662" s="809"/>
      <c r="C662" s="809"/>
      <c r="D662" s="809"/>
      <c r="E662" s="809"/>
      <c r="F662" s="809"/>
      <c r="G662" s="809"/>
      <c r="H662" s="809"/>
      <c r="I662" s="809"/>
      <c r="J662" s="809"/>
      <c r="K662" s="809"/>
      <c r="L662" s="809"/>
      <c r="M662" s="809"/>
      <c r="N662" s="809"/>
      <c r="O662" s="809"/>
      <c r="P662" s="809"/>
      <c r="Q662" s="809"/>
      <c r="R662" s="809"/>
      <c r="S662" s="809"/>
      <c r="T662" s="809"/>
      <c r="U662" s="809"/>
      <c r="V662" s="809"/>
      <c r="W662" s="809"/>
      <c r="X662" s="809"/>
      <c r="Y662" s="809"/>
      <c r="Z662" s="809"/>
      <c r="AA662" s="809"/>
      <c r="AB662" s="809"/>
      <c r="AC662" s="809"/>
      <c r="AD662" s="809"/>
      <c r="AE662" s="809"/>
      <c r="AF662" s="809"/>
      <c r="AG662" s="809"/>
      <c r="AH662" s="809"/>
      <c r="AI662" s="809"/>
      <c r="AJ662" s="809"/>
      <c r="AK662" s="809"/>
      <c r="AL662" s="809"/>
      <c r="AM662" s="809"/>
      <c r="AN662" s="809"/>
      <c r="AO662" s="809"/>
      <c r="AP662" s="809"/>
      <c r="AQ662" s="809"/>
      <c r="AR662" s="809"/>
      <c r="AS662" s="809"/>
      <c r="AT662" s="809"/>
      <c r="AU662" s="809"/>
      <c r="AV662" s="809"/>
      <c r="AW662" s="809"/>
      <c r="AX662" s="809"/>
      <c r="AY662" s="809"/>
      <c r="AZ662" s="809"/>
      <c r="BA662" s="809"/>
      <c r="BB662" s="809"/>
      <c r="BC662" s="809"/>
      <c r="BD662" s="809"/>
      <c r="BE662" s="809"/>
      <c r="BF662" s="809"/>
      <c r="BG662" s="809"/>
      <c r="BH662" s="809"/>
      <c r="BI662" s="809"/>
      <c r="BJ662" s="809"/>
      <c r="BK662" s="809"/>
      <c r="BL662" s="809"/>
      <c r="BM662" s="809"/>
      <c r="BN662" s="809"/>
    </row>
    <row r="663" spans="1:66">
      <c r="A663" s="809"/>
      <c r="B663" s="809"/>
      <c r="C663" s="809"/>
      <c r="D663" s="809"/>
      <c r="E663" s="809"/>
      <c r="F663" s="809"/>
      <c r="G663" s="809"/>
      <c r="H663" s="809"/>
      <c r="I663" s="809"/>
      <c r="J663" s="809"/>
      <c r="K663" s="809"/>
      <c r="L663" s="809"/>
      <c r="M663" s="809"/>
      <c r="N663" s="809"/>
      <c r="O663" s="809"/>
      <c r="P663" s="809"/>
      <c r="Q663" s="809"/>
      <c r="R663" s="809"/>
      <c r="S663" s="809"/>
      <c r="T663" s="809"/>
      <c r="U663" s="809"/>
      <c r="V663" s="809"/>
      <c r="W663" s="809"/>
      <c r="X663" s="809"/>
      <c r="Y663" s="809"/>
      <c r="Z663" s="809"/>
      <c r="AA663" s="809"/>
      <c r="AB663" s="809"/>
      <c r="AC663" s="809"/>
      <c r="AD663" s="809"/>
      <c r="AE663" s="809"/>
      <c r="AF663" s="809"/>
      <c r="AG663" s="809"/>
      <c r="AH663" s="809"/>
      <c r="AI663" s="809"/>
      <c r="AJ663" s="809"/>
      <c r="AK663" s="809"/>
      <c r="AL663" s="809"/>
      <c r="AM663" s="809"/>
      <c r="AN663" s="809"/>
      <c r="AO663" s="809"/>
      <c r="AP663" s="809"/>
      <c r="AQ663" s="809"/>
      <c r="AR663" s="809"/>
      <c r="AS663" s="809"/>
      <c r="AT663" s="809"/>
      <c r="AU663" s="809"/>
      <c r="AV663" s="809"/>
      <c r="AW663" s="809"/>
      <c r="AX663" s="809"/>
      <c r="AY663" s="809"/>
      <c r="AZ663" s="809"/>
      <c r="BA663" s="809"/>
      <c r="BB663" s="809"/>
      <c r="BC663" s="809"/>
      <c r="BD663" s="809"/>
      <c r="BE663" s="809"/>
      <c r="BF663" s="809"/>
      <c r="BG663" s="809"/>
      <c r="BH663" s="809"/>
      <c r="BI663" s="809"/>
      <c r="BJ663" s="809"/>
      <c r="BK663" s="809"/>
      <c r="BL663" s="809"/>
      <c r="BM663" s="809"/>
      <c r="BN663" s="809"/>
    </row>
    <row r="664" spans="1:66">
      <c r="A664" s="809"/>
      <c r="B664" s="809"/>
      <c r="C664" s="809"/>
      <c r="D664" s="809"/>
      <c r="E664" s="809"/>
      <c r="F664" s="809"/>
      <c r="G664" s="809"/>
      <c r="H664" s="809"/>
      <c r="I664" s="809"/>
      <c r="J664" s="809"/>
      <c r="K664" s="809"/>
      <c r="L664" s="809"/>
      <c r="M664" s="809"/>
      <c r="N664" s="809"/>
      <c r="O664" s="809"/>
      <c r="P664" s="809"/>
      <c r="Q664" s="809"/>
      <c r="R664" s="809"/>
      <c r="S664" s="809"/>
      <c r="T664" s="809"/>
      <c r="U664" s="809"/>
      <c r="V664" s="809"/>
      <c r="W664" s="809"/>
      <c r="X664" s="809"/>
      <c r="Y664" s="809"/>
      <c r="Z664" s="809"/>
      <c r="AA664" s="809"/>
      <c r="AB664" s="809"/>
      <c r="AC664" s="809"/>
      <c r="AD664" s="809"/>
      <c r="AE664" s="809"/>
      <c r="AF664" s="809"/>
      <c r="AG664" s="809"/>
      <c r="AH664" s="809"/>
      <c r="AI664" s="809"/>
      <c r="AJ664" s="809"/>
      <c r="AK664" s="809"/>
      <c r="AL664" s="809"/>
      <c r="AM664" s="809"/>
      <c r="AN664" s="809"/>
      <c r="AO664" s="809"/>
      <c r="AP664" s="809"/>
      <c r="AQ664" s="809"/>
      <c r="AR664" s="809"/>
      <c r="AS664" s="809"/>
      <c r="AT664" s="809"/>
      <c r="AU664" s="809"/>
      <c r="AV664" s="809"/>
      <c r="AW664" s="809"/>
      <c r="AX664" s="809"/>
      <c r="AY664" s="809"/>
      <c r="AZ664" s="809"/>
      <c r="BA664" s="809"/>
      <c r="BB664" s="809"/>
      <c r="BC664" s="809"/>
      <c r="BD664" s="809"/>
      <c r="BE664" s="809"/>
      <c r="BF664" s="809"/>
      <c r="BG664" s="809"/>
      <c r="BH664" s="809"/>
      <c r="BI664" s="809"/>
      <c r="BJ664" s="809"/>
      <c r="BK664" s="809"/>
      <c r="BL664" s="809"/>
      <c r="BM664" s="809"/>
      <c r="BN664" s="809"/>
    </row>
    <row r="665" spans="1:66">
      <c r="A665" s="809"/>
      <c r="B665" s="809"/>
      <c r="C665" s="809"/>
      <c r="D665" s="809"/>
      <c r="E665" s="809"/>
      <c r="F665" s="809"/>
      <c r="G665" s="809"/>
      <c r="H665" s="809"/>
      <c r="I665" s="809"/>
      <c r="J665" s="809"/>
      <c r="K665" s="809"/>
      <c r="L665" s="809"/>
      <c r="M665" s="809"/>
      <c r="N665" s="809"/>
      <c r="O665" s="809"/>
      <c r="P665" s="809"/>
      <c r="Q665" s="809"/>
      <c r="R665" s="809"/>
      <c r="S665" s="809"/>
      <c r="T665" s="809"/>
      <c r="U665" s="809"/>
      <c r="V665" s="809"/>
      <c r="W665" s="809"/>
      <c r="X665" s="809"/>
      <c r="Y665" s="809"/>
      <c r="Z665" s="809"/>
      <c r="AA665" s="809"/>
      <c r="AB665" s="809"/>
      <c r="AC665" s="809"/>
      <c r="AD665" s="809"/>
      <c r="AE665" s="809"/>
      <c r="AF665" s="809"/>
      <c r="AG665" s="809"/>
      <c r="AH665" s="809"/>
      <c r="AI665" s="809"/>
      <c r="AJ665" s="809"/>
      <c r="AK665" s="809"/>
      <c r="AL665" s="809"/>
      <c r="AM665" s="809"/>
      <c r="AN665" s="809"/>
      <c r="AO665" s="809"/>
      <c r="AP665" s="809"/>
      <c r="AQ665" s="809"/>
      <c r="AR665" s="809"/>
      <c r="AS665" s="809"/>
      <c r="AT665" s="809"/>
      <c r="AU665" s="809"/>
      <c r="AV665" s="809"/>
      <c r="AW665" s="809"/>
      <c r="AX665" s="809"/>
      <c r="AY665" s="809"/>
      <c r="AZ665" s="809"/>
      <c r="BA665" s="809"/>
      <c r="BB665" s="809"/>
      <c r="BC665" s="809"/>
      <c r="BD665" s="809"/>
      <c r="BE665" s="809"/>
      <c r="BF665" s="809"/>
      <c r="BG665" s="809"/>
      <c r="BH665" s="809"/>
      <c r="BI665" s="809"/>
      <c r="BJ665" s="809"/>
      <c r="BK665" s="809"/>
      <c r="BL665" s="809"/>
      <c r="BM665" s="809"/>
      <c r="BN665" s="809"/>
    </row>
    <row r="666" spans="1:66">
      <c r="A666" s="809"/>
      <c r="B666" s="809"/>
      <c r="C666" s="809"/>
      <c r="D666" s="809"/>
      <c r="E666" s="809"/>
      <c r="F666" s="809"/>
      <c r="G666" s="809"/>
      <c r="H666" s="809"/>
      <c r="I666" s="809"/>
      <c r="J666" s="809"/>
      <c r="K666" s="809"/>
      <c r="L666" s="809"/>
      <c r="M666" s="809"/>
      <c r="N666" s="809"/>
      <c r="O666" s="809"/>
      <c r="P666" s="809"/>
      <c r="Q666" s="809"/>
      <c r="R666" s="809"/>
      <c r="S666" s="809"/>
      <c r="T666" s="809"/>
      <c r="U666" s="809"/>
      <c r="V666" s="809"/>
      <c r="W666" s="809"/>
      <c r="X666" s="809"/>
      <c r="Y666" s="809"/>
      <c r="Z666" s="809"/>
      <c r="AA666" s="809"/>
      <c r="AB666" s="809"/>
      <c r="AC666" s="809"/>
      <c r="AD666" s="809"/>
      <c r="AE666" s="809"/>
      <c r="AF666" s="809"/>
      <c r="AG666" s="809"/>
      <c r="AH666" s="809"/>
      <c r="AI666" s="809"/>
      <c r="AJ666" s="809"/>
      <c r="AK666" s="809"/>
      <c r="AL666" s="809"/>
      <c r="AM666" s="809"/>
      <c r="AN666" s="809"/>
      <c r="AO666" s="809"/>
      <c r="AP666" s="809"/>
      <c r="AQ666" s="809"/>
      <c r="AR666" s="809"/>
      <c r="AS666" s="809"/>
      <c r="AT666" s="809"/>
      <c r="AU666" s="809"/>
      <c r="AV666" s="809"/>
      <c r="AW666" s="809"/>
      <c r="AX666" s="809"/>
      <c r="AY666" s="809"/>
      <c r="AZ666" s="809"/>
      <c r="BA666" s="809"/>
      <c r="BB666" s="809"/>
      <c r="BC666" s="809"/>
      <c r="BD666" s="809"/>
      <c r="BE666" s="809"/>
      <c r="BF666" s="809"/>
      <c r="BG666" s="809"/>
      <c r="BH666" s="809"/>
      <c r="BI666" s="809"/>
      <c r="BJ666" s="809"/>
      <c r="BK666" s="809"/>
      <c r="BL666" s="809"/>
      <c r="BM666" s="809"/>
      <c r="BN666" s="809"/>
    </row>
    <row r="667" spans="1:66">
      <c r="A667" s="809"/>
      <c r="B667" s="809"/>
      <c r="C667" s="809"/>
      <c r="D667" s="809"/>
      <c r="E667" s="809"/>
      <c r="F667" s="809"/>
      <c r="G667" s="809"/>
      <c r="H667" s="809"/>
      <c r="I667" s="809"/>
      <c r="J667" s="809"/>
      <c r="K667" s="809"/>
      <c r="L667" s="809"/>
      <c r="M667" s="809"/>
      <c r="N667" s="809"/>
      <c r="O667" s="809"/>
      <c r="P667" s="809"/>
      <c r="Q667" s="809"/>
      <c r="R667" s="809"/>
      <c r="S667" s="809"/>
      <c r="T667" s="809"/>
      <c r="U667" s="809"/>
      <c r="V667" s="809"/>
      <c r="W667" s="809"/>
      <c r="X667" s="809"/>
      <c r="Y667" s="809"/>
      <c r="Z667" s="809"/>
      <c r="AA667" s="809"/>
      <c r="AB667" s="809"/>
      <c r="AC667" s="809"/>
      <c r="AD667" s="809"/>
      <c r="AE667" s="809"/>
      <c r="AF667" s="809"/>
      <c r="AG667" s="809"/>
      <c r="AH667" s="809"/>
      <c r="AI667" s="809"/>
      <c r="AJ667" s="809"/>
      <c r="AK667" s="809"/>
      <c r="AL667" s="809"/>
      <c r="AM667" s="809"/>
      <c r="AN667" s="809"/>
      <c r="AO667" s="809"/>
      <c r="AP667" s="809"/>
      <c r="AQ667" s="809"/>
      <c r="AR667" s="809"/>
      <c r="AS667" s="809"/>
      <c r="AT667" s="809"/>
      <c r="AU667" s="809"/>
      <c r="AV667" s="809"/>
      <c r="AW667" s="809"/>
      <c r="AX667" s="809"/>
      <c r="AY667" s="809"/>
      <c r="AZ667" s="809"/>
      <c r="BA667" s="809"/>
      <c r="BB667" s="809"/>
      <c r="BC667" s="809"/>
      <c r="BD667" s="809"/>
      <c r="BE667" s="809"/>
      <c r="BF667" s="809"/>
      <c r="BG667" s="809"/>
      <c r="BH667" s="809"/>
      <c r="BI667" s="809"/>
      <c r="BJ667" s="809"/>
      <c r="BK667" s="809"/>
      <c r="BL667" s="809"/>
      <c r="BM667" s="809"/>
      <c r="BN667" s="809"/>
    </row>
    <row r="668" spans="1:66">
      <c r="A668" s="809"/>
      <c r="B668" s="809"/>
      <c r="C668" s="809"/>
      <c r="D668" s="809"/>
      <c r="E668" s="809"/>
      <c r="F668" s="809"/>
      <c r="G668" s="809"/>
      <c r="H668" s="809"/>
      <c r="I668" s="809"/>
      <c r="J668" s="809"/>
      <c r="K668" s="809"/>
      <c r="L668" s="809"/>
      <c r="M668" s="809"/>
      <c r="N668" s="809"/>
      <c r="O668" s="809"/>
      <c r="P668" s="809"/>
      <c r="Q668" s="809"/>
      <c r="R668" s="809"/>
      <c r="S668" s="809"/>
      <c r="T668" s="809"/>
      <c r="U668" s="809"/>
      <c r="V668" s="809"/>
      <c r="W668" s="809"/>
      <c r="X668" s="809"/>
      <c r="Y668" s="809"/>
      <c r="Z668" s="809"/>
      <c r="AA668" s="809"/>
      <c r="AB668" s="809"/>
      <c r="AC668" s="809"/>
      <c r="AD668" s="809"/>
      <c r="AE668" s="809"/>
      <c r="AF668" s="809"/>
      <c r="AG668" s="809"/>
      <c r="AH668" s="809"/>
      <c r="AI668" s="809"/>
      <c r="AJ668" s="809"/>
      <c r="AK668" s="809"/>
      <c r="AL668" s="809"/>
      <c r="AM668" s="809"/>
      <c r="AN668" s="809"/>
      <c r="AO668" s="809"/>
      <c r="AP668" s="809"/>
      <c r="AQ668" s="809"/>
      <c r="AR668" s="809"/>
      <c r="AS668" s="809"/>
      <c r="AT668" s="809"/>
      <c r="AU668" s="809"/>
      <c r="AV668" s="809"/>
      <c r="AW668" s="809"/>
      <c r="AX668" s="809"/>
      <c r="AY668" s="809"/>
      <c r="AZ668" s="809"/>
      <c r="BA668" s="809"/>
      <c r="BB668" s="809"/>
      <c r="BC668" s="809"/>
      <c r="BD668" s="809"/>
      <c r="BE668" s="809"/>
      <c r="BF668" s="809"/>
      <c r="BG668" s="809"/>
      <c r="BH668" s="809"/>
      <c r="BI668" s="809"/>
      <c r="BJ668" s="809"/>
      <c r="BK668" s="809"/>
      <c r="BL668" s="809"/>
      <c r="BM668" s="809"/>
      <c r="BN668" s="809"/>
    </row>
    <row r="669" spans="1:66">
      <c r="A669" s="809"/>
      <c r="B669" s="809"/>
      <c r="C669" s="809"/>
      <c r="D669" s="809"/>
      <c r="E669" s="809"/>
      <c r="F669" s="809"/>
      <c r="G669" s="809"/>
      <c r="H669" s="809"/>
      <c r="I669" s="809"/>
      <c r="J669" s="809"/>
      <c r="K669" s="809"/>
      <c r="L669" s="809"/>
      <c r="M669" s="809"/>
      <c r="N669" s="809"/>
      <c r="O669" s="809"/>
      <c r="P669" s="809"/>
      <c r="Q669" s="809"/>
      <c r="R669" s="809"/>
      <c r="S669" s="809"/>
      <c r="T669" s="809"/>
      <c r="U669" s="809"/>
      <c r="V669" s="809"/>
      <c r="W669" s="809"/>
      <c r="X669" s="809"/>
      <c r="Y669" s="809"/>
      <c r="Z669" s="809"/>
      <c r="AA669" s="809"/>
      <c r="AB669" s="809"/>
      <c r="AC669" s="809"/>
      <c r="AD669" s="809"/>
      <c r="AE669" s="809"/>
      <c r="AF669" s="809"/>
      <c r="AG669" s="809"/>
      <c r="AH669" s="809"/>
      <c r="AI669" s="809"/>
      <c r="AJ669" s="809"/>
      <c r="AK669" s="809"/>
      <c r="AL669" s="809"/>
      <c r="AM669" s="809"/>
      <c r="AN669" s="809"/>
      <c r="AO669" s="809"/>
      <c r="AP669" s="809"/>
      <c r="AQ669" s="809"/>
      <c r="AR669" s="809"/>
      <c r="AS669" s="809"/>
      <c r="AT669" s="809"/>
      <c r="AU669" s="809"/>
      <c r="AV669" s="809"/>
      <c r="AW669" s="809"/>
      <c r="AX669" s="809"/>
      <c r="AY669" s="809"/>
      <c r="AZ669" s="809"/>
      <c r="BA669" s="809"/>
      <c r="BB669" s="809"/>
      <c r="BC669" s="809"/>
      <c r="BD669" s="809"/>
      <c r="BE669" s="809"/>
      <c r="BF669" s="809"/>
      <c r="BG669" s="809"/>
      <c r="BH669" s="809"/>
      <c r="BI669" s="809"/>
      <c r="BJ669" s="809"/>
      <c r="BK669" s="809"/>
      <c r="BL669" s="809"/>
      <c r="BM669" s="809"/>
      <c r="BN669" s="809"/>
    </row>
    <row r="670" spans="1:66">
      <c r="A670" s="809"/>
      <c r="B670" s="809"/>
      <c r="C670" s="809"/>
      <c r="D670" s="809"/>
      <c r="E670" s="809"/>
      <c r="F670" s="809"/>
      <c r="G670" s="809"/>
      <c r="H670" s="809"/>
      <c r="I670" s="809"/>
      <c r="J670" s="809"/>
      <c r="K670" s="809"/>
      <c r="L670" s="809"/>
      <c r="M670" s="809"/>
      <c r="N670" s="809"/>
      <c r="O670" s="809"/>
      <c r="P670" s="809"/>
      <c r="Q670" s="809"/>
      <c r="R670" s="809"/>
      <c r="S670" s="809"/>
      <c r="T670" s="809"/>
      <c r="U670" s="809"/>
      <c r="V670" s="809"/>
      <c r="W670" s="809"/>
      <c r="X670" s="809"/>
      <c r="Y670" s="809"/>
      <c r="Z670" s="809"/>
      <c r="AA670" s="809"/>
      <c r="AB670" s="809"/>
      <c r="AC670" s="809"/>
      <c r="AD670" s="809"/>
      <c r="AE670" s="809"/>
      <c r="AF670" s="809"/>
      <c r="AG670" s="809"/>
      <c r="AH670" s="809"/>
      <c r="AI670" s="809"/>
      <c r="AJ670" s="809"/>
      <c r="AK670" s="809"/>
      <c r="AL670" s="809"/>
      <c r="AM670" s="809"/>
      <c r="AN670" s="809"/>
      <c r="AO670" s="809"/>
      <c r="AP670" s="809"/>
      <c r="AQ670" s="809"/>
      <c r="AR670" s="809"/>
      <c r="AS670" s="809"/>
      <c r="AT670" s="809"/>
      <c r="AU670" s="809"/>
      <c r="AV670" s="809"/>
      <c r="AW670" s="809"/>
      <c r="AX670" s="809"/>
      <c r="AY670" s="809"/>
      <c r="AZ670" s="809"/>
      <c r="BA670" s="809"/>
      <c r="BB670" s="809"/>
      <c r="BC670" s="809"/>
      <c r="BD670" s="809"/>
      <c r="BE670" s="809"/>
      <c r="BF670" s="809"/>
      <c r="BG670" s="809"/>
      <c r="BH670" s="809"/>
      <c r="BI670" s="809"/>
      <c r="BJ670" s="809"/>
      <c r="BK670" s="809"/>
      <c r="BL670" s="809"/>
      <c r="BM670" s="809"/>
      <c r="BN670" s="809"/>
    </row>
    <row r="671" spans="1:66">
      <c r="A671" s="809"/>
      <c r="B671" s="809"/>
      <c r="C671" s="809"/>
      <c r="D671" s="809"/>
      <c r="E671" s="809"/>
      <c r="F671" s="809"/>
      <c r="G671" s="809"/>
      <c r="H671" s="809"/>
      <c r="I671" s="809"/>
      <c r="J671" s="809"/>
      <c r="K671" s="809"/>
      <c r="L671" s="809"/>
      <c r="M671" s="809"/>
      <c r="N671" s="809"/>
      <c r="O671" s="809"/>
      <c r="P671" s="809"/>
      <c r="Q671" s="809"/>
      <c r="R671" s="809"/>
      <c r="S671" s="809"/>
      <c r="T671" s="809"/>
      <c r="U671" s="809"/>
      <c r="V671" s="809"/>
      <c r="W671" s="809"/>
      <c r="X671" s="809"/>
      <c r="Y671" s="809"/>
      <c r="Z671" s="809"/>
      <c r="AA671" s="809"/>
      <c r="AB671" s="809"/>
      <c r="AC671" s="809"/>
      <c r="AD671" s="809"/>
      <c r="AE671" s="809"/>
      <c r="AF671" s="809"/>
      <c r="AG671" s="809"/>
      <c r="AH671" s="809"/>
      <c r="AI671" s="809"/>
      <c r="AJ671" s="809"/>
      <c r="AK671" s="809"/>
      <c r="AL671" s="809"/>
      <c r="AM671" s="809"/>
      <c r="AN671" s="809"/>
      <c r="AO671" s="809"/>
      <c r="AP671" s="809"/>
      <c r="AQ671" s="809"/>
      <c r="AR671" s="809"/>
      <c r="AS671" s="809"/>
      <c r="AT671" s="809"/>
      <c r="AU671" s="809"/>
      <c r="AV671" s="809"/>
      <c r="AW671" s="809"/>
      <c r="AX671" s="809"/>
      <c r="AY671" s="809"/>
      <c r="AZ671" s="809"/>
      <c r="BA671" s="809"/>
      <c r="BB671" s="809"/>
      <c r="BC671" s="809"/>
      <c r="BD671" s="809"/>
      <c r="BE671" s="809"/>
      <c r="BF671" s="809"/>
      <c r="BG671" s="809"/>
      <c r="BH671" s="809"/>
      <c r="BI671" s="809"/>
      <c r="BJ671" s="809"/>
      <c r="BK671" s="809"/>
      <c r="BL671" s="809"/>
      <c r="BM671" s="809"/>
      <c r="BN671" s="809"/>
    </row>
    <row r="672" spans="1:66">
      <c r="A672" s="809"/>
      <c r="B672" s="809"/>
      <c r="C672" s="809"/>
      <c r="D672" s="809"/>
      <c r="E672" s="809"/>
      <c r="F672" s="809"/>
      <c r="G672" s="809"/>
      <c r="H672" s="809"/>
      <c r="I672" s="809"/>
      <c r="J672" s="809"/>
      <c r="K672" s="809"/>
      <c r="L672" s="809"/>
      <c r="M672" s="809"/>
      <c r="N672" s="809"/>
      <c r="O672" s="809"/>
      <c r="P672" s="809"/>
      <c r="Q672" s="809"/>
      <c r="R672" s="809"/>
      <c r="S672" s="809"/>
      <c r="T672" s="809"/>
      <c r="U672" s="809"/>
      <c r="V672" s="809"/>
      <c r="W672" s="809"/>
      <c r="X672" s="809"/>
      <c r="Y672" s="809"/>
      <c r="Z672" s="809"/>
      <c r="AA672" s="809"/>
      <c r="AB672" s="809"/>
      <c r="AC672" s="809"/>
      <c r="AD672" s="809"/>
      <c r="AE672" s="809"/>
      <c r="AF672" s="809"/>
      <c r="AG672" s="809"/>
      <c r="AH672" s="809"/>
      <c r="AI672" s="809"/>
      <c r="AJ672" s="809"/>
      <c r="AK672" s="809"/>
      <c r="AL672" s="809"/>
      <c r="AM672" s="809"/>
      <c r="AN672" s="809"/>
      <c r="AO672" s="809"/>
      <c r="AP672" s="809"/>
      <c r="AQ672" s="809"/>
      <c r="AR672" s="809"/>
      <c r="AS672" s="809"/>
      <c r="AT672" s="809"/>
      <c r="AU672" s="809"/>
      <c r="AV672" s="809"/>
      <c r="AW672" s="809"/>
      <c r="AX672" s="809"/>
      <c r="AY672" s="809"/>
      <c r="AZ672" s="809"/>
      <c r="BA672" s="809"/>
      <c r="BB672" s="809"/>
      <c r="BC672" s="809"/>
      <c r="BD672" s="809"/>
      <c r="BE672" s="809"/>
      <c r="BF672" s="809"/>
      <c r="BG672" s="809"/>
      <c r="BH672" s="809"/>
      <c r="BI672" s="809"/>
      <c r="BJ672" s="809"/>
      <c r="BK672" s="809"/>
      <c r="BL672" s="809"/>
      <c r="BM672" s="809"/>
      <c r="BN672" s="809"/>
    </row>
    <row r="673" spans="1:66">
      <c r="A673" s="809"/>
      <c r="B673" s="809"/>
      <c r="C673" s="809"/>
      <c r="D673" s="809"/>
      <c r="E673" s="809"/>
      <c r="F673" s="809"/>
      <c r="G673" s="809"/>
      <c r="H673" s="809"/>
      <c r="I673" s="809"/>
      <c r="J673" s="809"/>
      <c r="K673" s="809"/>
      <c r="L673" s="809"/>
      <c r="M673" s="809"/>
      <c r="N673" s="809"/>
      <c r="O673" s="809"/>
      <c r="P673" s="809"/>
      <c r="Q673" s="809"/>
      <c r="R673" s="809"/>
      <c r="S673" s="809"/>
      <c r="T673" s="809"/>
      <c r="U673" s="809"/>
      <c r="V673" s="809"/>
      <c r="W673" s="809"/>
      <c r="X673" s="809"/>
      <c r="Y673" s="809"/>
      <c r="Z673" s="809"/>
      <c r="AA673" s="809"/>
      <c r="AB673" s="809"/>
      <c r="AC673" s="809"/>
      <c r="AD673" s="809"/>
      <c r="AE673" s="809"/>
      <c r="AF673" s="809"/>
      <c r="AG673" s="809"/>
      <c r="AH673" s="809"/>
      <c r="AI673" s="809"/>
      <c r="AJ673" s="809"/>
      <c r="AK673" s="809"/>
      <c r="AL673" s="809"/>
      <c r="AM673" s="809"/>
      <c r="AN673" s="809"/>
      <c r="AO673" s="809"/>
      <c r="AP673" s="809"/>
      <c r="AQ673" s="809"/>
      <c r="AR673" s="809"/>
      <c r="AS673" s="809"/>
      <c r="AT673" s="809"/>
      <c r="AU673" s="809"/>
      <c r="AV673" s="809"/>
      <c r="AW673" s="809"/>
      <c r="AX673" s="809"/>
      <c r="AY673" s="809"/>
      <c r="AZ673" s="809"/>
      <c r="BA673" s="809"/>
      <c r="BB673" s="809"/>
      <c r="BC673" s="809"/>
      <c r="BD673" s="809"/>
      <c r="BE673" s="809"/>
      <c r="BF673" s="809"/>
      <c r="BG673" s="809"/>
      <c r="BH673" s="809"/>
      <c r="BI673" s="809"/>
      <c r="BJ673" s="809"/>
      <c r="BK673" s="809"/>
      <c r="BL673" s="809"/>
      <c r="BM673" s="809"/>
      <c r="BN673" s="809"/>
    </row>
    <row r="674" spans="1:66">
      <c r="A674" s="809"/>
      <c r="B674" s="809"/>
      <c r="C674" s="809"/>
      <c r="D674" s="809"/>
      <c r="E674" s="809"/>
      <c r="F674" s="809"/>
      <c r="G674" s="809"/>
      <c r="H674" s="809"/>
      <c r="I674" s="809"/>
      <c r="J674" s="809"/>
      <c r="K674" s="809"/>
      <c r="L674" s="809"/>
      <c r="M674" s="809"/>
      <c r="N674" s="809"/>
      <c r="O674" s="809"/>
      <c r="P674" s="809"/>
      <c r="Q674" s="809"/>
      <c r="R674" s="809"/>
      <c r="S674" s="809"/>
      <c r="T674" s="809"/>
      <c r="U674" s="809"/>
      <c r="V674" s="809"/>
      <c r="W674" s="809"/>
      <c r="X674" s="809"/>
      <c r="Y674" s="809"/>
      <c r="Z674" s="809"/>
      <c r="AA674" s="809"/>
      <c r="AB674" s="809"/>
      <c r="AC674" s="809"/>
      <c r="AD674" s="809"/>
      <c r="AE674" s="809"/>
      <c r="AF674" s="809"/>
      <c r="AG674" s="809"/>
      <c r="AH674" s="809"/>
      <c r="AI674" s="809"/>
      <c r="AJ674" s="809"/>
      <c r="AK674" s="809"/>
      <c r="AL674" s="809"/>
      <c r="AM674" s="809"/>
      <c r="AN674" s="809"/>
      <c r="AO674" s="809"/>
      <c r="AP674" s="809"/>
      <c r="AQ674" s="809"/>
      <c r="AR674" s="809"/>
      <c r="AS674" s="809"/>
      <c r="AT674" s="809"/>
      <c r="AU674" s="809"/>
      <c r="AV674" s="809"/>
      <c r="AW674" s="809"/>
      <c r="AX674" s="809"/>
      <c r="AY674" s="809"/>
      <c r="AZ674" s="809"/>
      <c r="BA674" s="809"/>
      <c r="BB674" s="809"/>
      <c r="BC674" s="809"/>
      <c r="BD674" s="809"/>
      <c r="BE674" s="809"/>
      <c r="BF674" s="809"/>
      <c r="BG674" s="809"/>
      <c r="BH674" s="809"/>
      <c r="BI674" s="809"/>
      <c r="BJ674" s="809"/>
      <c r="BK674" s="809"/>
      <c r="BL674" s="809"/>
      <c r="BM674" s="809"/>
      <c r="BN674" s="809"/>
    </row>
    <row r="675" spans="1:66">
      <c r="A675" s="809"/>
      <c r="B675" s="809"/>
      <c r="C675" s="809"/>
      <c r="D675" s="809"/>
      <c r="E675" s="809"/>
      <c r="F675" s="809"/>
      <c r="G675" s="809"/>
      <c r="H675" s="809"/>
      <c r="I675" s="809"/>
      <c r="J675" s="809"/>
      <c r="K675" s="809"/>
      <c r="L675" s="809"/>
      <c r="M675" s="809"/>
      <c r="N675" s="809"/>
      <c r="O675" s="809"/>
      <c r="P675" s="809"/>
      <c r="Q675" s="809"/>
      <c r="R675" s="809"/>
      <c r="S675" s="809"/>
      <c r="T675" s="809"/>
      <c r="U675" s="809"/>
      <c r="V675" s="809"/>
      <c r="W675" s="809"/>
      <c r="X675" s="809"/>
      <c r="Y675" s="809"/>
      <c r="Z675" s="809"/>
      <c r="AA675" s="809"/>
      <c r="AB675" s="809"/>
      <c r="AC675" s="809"/>
      <c r="AD675" s="809"/>
      <c r="AE675" s="809"/>
      <c r="AF675" s="809"/>
      <c r="AG675" s="809"/>
      <c r="AH675" s="809"/>
      <c r="AI675" s="809"/>
      <c r="AJ675" s="809"/>
      <c r="AK675" s="809"/>
      <c r="AL675" s="809"/>
      <c r="AM675" s="809"/>
      <c r="AN675" s="809"/>
      <c r="AO675" s="809"/>
      <c r="AP675" s="809"/>
      <c r="AQ675" s="809"/>
      <c r="AR675" s="809"/>
      <c r="AS675" s="809"/>
      <c r="AT675" s="809"/>
      <c r="AU675" s="809"/>
      <c r="AV675" s="809"/>
      <c r="AW675" s="809"/>
      <c r="AX675" s="809"/>
      <c r="AY675" s="809"/>
      <c r="AZ675" s="809"/>
      <c r="BA675" s="809"/>
      <c r="BB675" s="809"/>
      <c r="BC675" s="809"/>
      <c r="BD675" s="809"/>
      <c r="BE675" s="809"/>
      <c r="BF675" s="809"/>
      <c r="BG675" s="809"/>
      <c r="BH675" s="809"/>
      <c r="BI675" s="809"/>
      <c r="BJ675" s="809"/>
      <c r="BK675" s="809"/>
      <c r="BL675" s="809"/>
      <c r="BM675" s="809"/>
      <c r="BN675" s="809"/>
    </row>
    <row r="676" spans="1:66">
      <c r="A676" s="809"/>
      <c r="B676" s="809"/>
      <c r="C676" s="809"/>
      <c r="D676" s="809"/>
      <c r="E676" s="809"/>
      <c r="F676" s="809"/>
      <c r="G676" s="809"/>
      <c r="H676" s="809"/>
      <c r="I676" s="809"/>
      <c r="J676" s="809"/>
      <c r="K676" s="809"/>
      <c r="L676" s="809"/>
      <c r="M676" s="809"/>
      <c r="N676" s="809"/>
      <c r="O676" s="809"/>
      <c r="P676" s="809"/>
      <c r="Q676" s="809"/>
      <c r="R676" s="809"/>
      <c r="S676" s="809"/>
      <c r="T676" s="809"/>
      <c r="U676" s="809"/>
      <c r="V676" s="809"/>
      <c r="W676" s="809"/>
      <c r="X676" s="809"/>
      <c r="Y676" s="809"/>
      <c r="Z676" s="809"/>
      <c r="AA676" s="809"/>
      <c r="AB676" s="809"/>
      <c r="AC676" s="809"/>
      <c r="AD676" s="809"/>
      <c r="AE676" s="809"/>
      <c r="AF676" s="809"/>
      <c r="AG676" s="809"/>
      <c r="AH676" s="809"/>
      <c r="AI676" s="809"/>
      <c r="AJ676" s="809"/>
      <c r="AK676" s="809"/>
      <c r="AL676" s="809"/>
      <c r="AM676" s="809"/>
      <c r="AN676" s="809"/>
      <c r="AO676" s="809"/>
      <c r="AP676" s="809"/>
      <c r="AQ676" s="809"/>
      <c r="AR676" s="809"/>
      <c r="AS676" s="809"/>
      <c r="AT676" s="809"/>
      <c r="AU676" s="809"/>
      <c r="AV676" s="809"/>
      <c r="AW676" s="809"/>
      <c r="AX676" s="809"/>
      <c r="AY676" s="809"/>
      <c r="AZ676" s="809"/>
      <c r="BA676" s="809"/>
      <c r="BB676" s="809"/>
      <c r="BC676" s="809"/>
      <c r="BD676" s="809"/>
      <c r="BE676" s="809"/>
      <c r="BF676" s="809"/>
      <c r="BG676" s="809"/>
      <c r="BH676" s="809"/>
      <c r="BI676" s="809"/>
      <c r="BJ676" s="809"/>
      <c r="BK676" s="809"/>
      <c r="BL676" s="809"/>
      <c r="BM676" s="809"/>
      <c r="BN676" s="809"/>
    </row>
    <row r="677" spans="1:66">
      <c r="A677" s="809"/>
      <c r="B677" s="809"/>
      <c r="C677" s="809"/>
      <c r="D677" s="809"/>
      <c r="E677" s="809"/>
      <c r="F677" s="809"/>
      <c r="G677" s="809"/>
      <c r="H677" s="809"/>
      <c r="I677" s="809"/>
      <c r="J677" s="809"/>
      <c r="K677" s="809"/>
      <c r="L677" s="809"/>
      <c r="M677" s="809"/>
      <c r="N677" s="809"/>
      <c r="O677" s="809"/>
      <c r="P677" s="809"/>
      <c r="Q677" s="809"/>
      <c r="R677" s="809"/>
      <c r="S677" s="809"/>
      <c r="T677" s="809"/>
      <c r="U677" s="809"/>
      <c r="V677" s="809"/>
      <c r="W677" s="809"/>
      <c r="X677" s="809"/>
      <c r="Y677" s="809"/>
      <c r="Z677" s="809"/>
      <c r="AA677" s="809"/>
      <c r="AB677" s="809"/>
      <c r="AC677" s="809"/>
      <c r="AD677" s="809"/>
      <c r="AE677" s="809"/>
      <c r="AF677" s="809"/>
      <c r="AG677" s="809"/>
      <c r="AH677" s="809"/>
      <c r="AI677" s="809"/>
      <c r="AJ677" s="809"/>
      <c r="AK677" s="809"/>
      <c r="AL677" s="809"/>
      <c r="AM677" s="809"/>
      <c r="AN677" s="809"/>
      <c r="AO677" s="809"/>
      <c r="AP677" s="809"/>
      <c r="AQ677" s="809"/>
      <c r="AR677" s="809"/>
      <c r="AS677" s="809"/>
      <c r="AT677" s="809"/>
      <c r="AU677" s="809"/>
      <c r="AV677" s="809"/>
      <c r="AW677" s="809"/>
      <c r="AX677" s="809"/>
      <c r="AY677" s="809"/>
      <c r="AZ677" s="809"/>
      <c r="BA677" s="809"/>
      <c r="BB677" s="809"/>
      <c r="BC677" s="809"/>
      <c r="BD677" s="809"/>
      <c r="BE677" s="809"/>
      <c r="BF677" s="809"/>
      <c r="BG677" s="809"/>
      <c r="BH677" s="809"/>
      <c r="BI677" s="809"/>
      <c r="BJ677" s="809"/>
      <c r="BK677" s="809"/>
      <c r="BL677" s="809"/>
      <c r="BM677" s="809"/>
      <c r="BN677" s="809"/>
    </row>
    <row r="678" spans="1:66">
      <c r="A678" s="809"/>
      <c r="B678" s="809"/>
      <c r="C678" s="809"/>
      <c r="D678" s="809"/>
      <c r="E678" s="809"/>
      <c r="F678" s="809"/>
      <c r="G678" s="809"/>
      <c r="H678" s="809"/>
      <c r="I678" s="809"/>
      <c r="J678" s="809"/>
      <c r="K678" s="809"/>
      <c r="L678" s="809"/>
      <c r="M678" s="809"/>
      <c r="N678" s="809"/>
      <c r="O678" s="809"/>
      <c r="P678" s="809"/>
      <c r="Q678" s="809"/>
      <c r="R678" s="809"/>
      <c r="S678" s="809"/>
      <c r="T678" s="809"/>
      <c r="U678" s="809"/>
      <c r="V678" s="809"/>
      <c r="W678" s="809"/>
      <c r="X678" s="809"/>
      <c r="Y678" s="809"/>
      <c r="Z678" s="809"/>
      <c r="AA678" s="809"/>
      <c r="AB678" s="809"/>
      <c r="AC678" s="809"/>
      <c r="AD678" s="809"/>
      <c r="AE678" s="809"/>
      <c r="AF678" s="809"/>
      <c r="AG678" s="809"/>
      <c r="AH678" s="809"/>
      <c r="AI678" s="809"/>
      <c r="AJ678" s="809"/>
      <c r="AK678" s="809"/>
      <c r="AL678" s="809"/>
      <c r="AM678" s="809"/>
      <c r="AN678" s="809"/>
      <c r="AO678" s="809"/>
      <c r="AP678" s="809"/>
      <c r="AQ678" s="809"/>
      <c r="AR678" s="809"/>
      <c r="AS678" s="809"/>
      <c r="AT678" s="809"/>
      <c r="AU678" s="809"/>
      <c r="AV678" s="809"/>
      <c r="AW678" s="809"/>
      <c r="AX678" s="809"/>
      <c r="AY678" s="809"/>
      <c r="AZ678" s="809"/>
      <c r="BA678" s="809"/>
      <c r="BB678" s="809"/>
      <c r="BC678" s="809"/>
      <c r="BD678" s="809"/>
      <c r="BE678" s="809"/>
      <c r="BF678" s="809"/>
      <c r="BG678" s="809"/>
      <c r="BH678" s="809"/>
      <c r="BI678" s="809"/>
      <c r="BJ678" s="809"/>
      <c r="BK678" s="809"/>
      <c r="BL678" s="809"/>
      <c r="BM678" s="809"/>
      <c r="BN678" s="809"/>
    </row>
    <row r="679" spans="1:66">
      <c r="A679" s="809"/>
      <c r="B679" s="809"/>
      <c r="C679" s="809"/>
      <c r="D679" s="809"/>
      <c r="E679" s="809"/>
      <c r="F679" s="809"/>
      <c r="G679" s="809"/>
      <c r="H679" s="809"/>
      <c r="I679" s="809"/>
      <c r="J679" s="809"/>
      <c r="K679" s="809"/>
      <c r="L679" s="809"/>
      <c r="M679" s="809"/>
      <c r="N679" s="809"/>
      <c r="O679" s="809"/>
      <c r="P679" s="809"/>
      <c r="Q679" s="809"/>
      <c r="R679" s="809"/>
      <c r="S679" s="809"/>
      <c r="T679" s="809"/>
      <c r="U679" s="809"/>
      <c r="V679" s="809"/>
      <c r="W679" s="809"/>
      <c r="X679" s="809"/>
      <c r="Y679" s="809"/>
      <c r="Z679" s="809"/>
      <c r="AA679" s="809"/>
      <c r="AB679" s="809"/>
      <c r="AC679" s="809"/>
      <c r="AD679" s="809"/>
      <c r="AE679" s="809"/>
      <c r="AF679" s="809"/>
      <c r="AG679" s="809"/>
      <c r="AH679" s="809"/>
      <c r="AI679" s="809"/>
      <c r="AJ679" s="809"/>
      <c r="AK679" s="809"/>
      <c r="AL679" s="809"/>
      <c r="AM679" s="809"/>
      <c r="AN679" s="809"/>
      <c r="AO679" s="809"/>
      <c r="AP679" s="809"/>
      <c r="AQ679" s="809"/>
      <c r="AR679" s="809"/>
      <c r="AS679" s="809"/>
      <c r="AT679" s="809"/>
      <c r="AU679" s="809"/>
      <c r="AV679" s="809"/>
      <c r="AW679" s="809"/>
      <c r="AX679" s="809"/>
      <c r="AY679" s="809"/>
      <c r="AZ679" s="809"/>
      <c r="BA679" s="809"/>
      <c r="BB679" s="809"/>
      <c r="BC679" s="809"/>
      <c r="BD679" s="809"/>
      <c r="BE679" s="809"/>
      <c r="BF679" s="809"/>
      <c r="BG679" s="809"/>
      <c r="BH679" s="809"/>
      <c r="BI679" s="809"/>
      <c r="BJ679" s="809"/>
      <c r="BK679" s="809"/>
      <c r="BL679" s="809"/>
      <c r="BM679" s="809"/>
      <c r="BN679" s="809"/>
    </row>
    <row r="680" spans="1:66">
      <c r="A680" s="809"/>
      <c r="B680" s="809"/>
      <c r="C680" s="809"/>
      <c r="D680" s="809"/>
      <c r="E680" s="809"/>
      <c r="F680" s="809"/>
      <c r="G680" s="809"/>
      <c r="H680" s="809"/>
      <c r="I680" s="809"/>
      <c r="J680" s="809"/>
      <c r="K680" s="809"/>
      <c r="L680" s="809"/>
      <c r="M680" s="809"/>
      <c r="N680" s="809"/>
      <c r="O680" s="809"/>
      <c r="P680" s="809"/>
      <c r="Q680" s="809"/>
      <c r="R680" s="809"/>
      <c r="S680" s="809"/>
      <c r="T680" s="809"/>
      <c r="U680" s="809"/>
      <c r="V680" s="809"/>
      <c r="W680" s="809"/>
      <c r="X680" s="809"/>
      <c r="Y680" s="809"/>
      <c r="Z680" s="809"/>
      <c r="AA680" s="809"/>
      <c r="AB680" s="809"/>
      <c r="AC680" s="809"/>
      <c r="AD680" s="809"/>
      <c r="AE680" s="809"/>
      <c r="AF680" s="809"/>
      <c r="AG680" s="809"/>
      <c r="AH680" s="809"/>
      <c r="AI680" s="809"/>
      <c r="AJ680" s="809"/>
      <c r="AK680" s="809"/>
      <c r="AL680" s="809"/>
      <c r="AM680" s="809"/>
      <c r="AN680" s="809"/>
      <c r="AO680" s="809"/>
      <c r="AP680" s="809"/>
      <c r="AQ680" s="809"/>
      <c r="AR680" s="809"/>
      <c r="AS680" s="809"/>
      <c r="AT680" s="809"/>
      <c r="AU680" s="809"/>
      <c r="AV680" s="809"/>
      <c r="AW680" s="809"/>
      <c r="AX680" s="809"/>
      <c r="AY680" s="809"/>
      <c r="AZ680" s="809"/>
      <c r="BA680" s="809"/>
      <c r="BB680" s="809"/>
      <c r="BC680" s="809"/>
      <c r="BD680" s="809"/>
      <c r="BE680" s="809"/>
      <c r="BF680" s="809"/>
      <c r="BG680" s="809"/>
      <c r="BH680" s="809"/>
      <c r="BI680" s="809"/>
      <c r="BJ680" s="809"/>
      <c r="BK680" s="809"/>
      <c r="BL680" s="809"/>
      <c r="BM680" s="809"/>
      <c r="BN680" s="809"/>
    </row>
    <row r="681" spans="1:66">
      <c r="A681" s="809"/>
      <c r="B681" s="809"/>
      <c r="C681" s="809"/>
      <c r="D681" s="809"/>
      <c r="E681" s="809"/>
      <c r="F681" s="809"/>
      <c r="G681" s="809"/>
      <c r="H681" s="809"/>
      <c r="I681" s="809"/>
      <c r="J681" s="809"/>
      <c r="K681" s="809"/>
      <c r="L681" s="809"/>
      <c r="M681" s="809"/>
      <c r="N681" s="809"/>
      <c r="O681" s="809"/>
      <c r="P681" s="809"/>
      <c r="Q681" s="809"/>
      <c r="R681" s="809"/>
      <c r="S681" s="809"/>
      <c r="T681" s="809"/>
      <c r="U681" s="809"/>
      <c r="V681" s="809"/>
      <c r="W681" s="809"/>
      <c r="X681" s="809"/>
      <c r="Y681" s="809"/>
      <c r="Z681" s="809"/>
      <c r="AA681" s="809"/>
      <c r="AB681" s="809"/>
      <c r="AC681" s="809"/>
      <c r="AD681" s="809"/>
      <c r="AE681" s="809"/>
      <c r="AF681" s="809"/>
      <c r="AG681" s="809"/>
      <c r="AH681" s="809"/>
      <c r="AI681" s="809"/>
      <c r="AJ681" s="809"/>
      <c r="AK681" s="809"/>
      <c r="AL681" s="809"/>
      <c r="AM681" s="809"/>
      <c r="AN681" s="809"/>
      <c r="AO681" s="809"/>
      <c r="AP681" s="809"/>
      <c r="AQ681" s="809"/>
      <c r="AR681" s="809"/>
      <c r="AS681" s="809"/>
      <c r="AT681" s="809"/>
      <c r="AU681" s="809"/>
      <c r="AV681" s="809"/>
      <c r="AW681" s="809"/>
      <c r="AX681" s="809"/>
      <c r="AY681" s="809"/>
      <c r="AZ681" s="809"/>
      <c r="BA681" s="809"/>
      <c r="BB681" s="809"/>
      <c r="BC681" s="809"/>
      <c r="BD681" s="809"/>
      <c r="BE681" s="809"/>
      <c r="BF681" s="809"/>
      <c r="BG681" s="809"/>
      <c r="BH681" s="809"/>
      <c r="BI681" s="809"/>
      <c r="BJ681" s="809"/>
      <c r="BK681" s="809"/>
      <c r="BL681" s="809"/>
      <c r="BM681" s="809"/>
      <c r="BN681" s="809"/>
    </row>
    <row r="682" spans="1:66">
      <c r="A682" s="809"/>
      <c r="B682" s="809"/>
      <c r="C682" s="809"/>
      <c r="D682" s="809"/>
      <c r="E682" s="809"/>
      <c r="F682" s="809"/>
      <c r="G682" s="809"/>
      <c r="H682" s="809"/>
      <c r="I682" s="809"/>
      <c r="J682" s="809"/>
      <c r="K682" s="809"/>
      <c r="L682" s="809"/>
      <c r="M682" s="809"/>
      <c r="N682" s="809"/>
      <c r="O682" s="809"/>
      <c r="P682" s="809"/>
      <c r="Q682" s="809"/>
      <c r="R682" s="809"/>
      <c r="S682" s="809"/>
      <c r="T682" s="809"/>
      <c r="U682" s="809"/>
      <c r="V682" s="809"/>
      <c r="W682" s="809"/>
      <c r="X682" s="809"/>
      <c r="Y682" s="809"/>
      <c r="Z682" s="809"/>
      <c r="AA682" s="809"/>
      <c r="AB682" s="809"/>
      <c r="AC682" s="809"/>
      <c r="AD682" s="809"/>
      <c r="AE682" s="809"/>
      <c r="AF682" s="809"/>
      <c r="AG682" s="809"/>
      <c r="AH682" s="809"/>
      <c r="AI682" s="809"/>
      <c r="AJ682" s="809"/>
      <c r="AK682" s="809"/>
      <c r="AL682" s="809"/>
      <c r="AM682" s="809"/>
      <c r="AN682" s="809"/>
      <c r="AO682" s="809"/>
      <c r="AP682" s="809"/>
      <c r="AQ682" s="809"/>
      <c r="AR682" s="809"/>
      <c r="AS682" s="809"/>
      <c r="AT682" s="809"/>
      <c r="AU682" s="809"/>
      <c r="AV682" s="809"/>
      <c r="AW682" s="809"/>
      <c r="AX682" s="809"/>
      <c r="AY682" s="809"/>
      <c r="AZ682" s="809"/>
      <c r="BA682" s="809"/>
      <c r="BB682" s="809"/>
      <c r="BC682" s="809"/>
      <c r="BD682" s="809"/>
      <c r="BE682" s="809"/>
      <c r="BF682" s="809"/>
      <c r="BG682" s="809"/>
      <c r="BH682" s="809"/>
      <c r="BI682" s="809"/>
      <c r="BJ682" s="809"/>
      <c r="BK682" s="809"/>
      <c r="BL682" s="809"/>
      <c r="BM682" s="809"/>
      <c r="BN682" s="809"/>
    </row>
    <row r="683" spans="1:66">
      <c r="A683" s="809"/>
      <c r="B683" s="809"/>
      <c r="C683" s="809"/>
      <c r="D683" s="809"/>
      <c r="E683" s="809"/>
      <c r="F683" s="809"/>
      <c r="G683" s="809"/>
      <c r="H683" s="809"/>
      <c r="I683" s="809"/>
      <c r="J683" s="809"/>
      <c r="K683" s="809"/>
      <c r="L683" s="809"/>
      <c r="M683" s="809"/>
      <c r="N683" s="809"/>
      <c r="O683" s="809"/>
      <c r="P683" s="809"/>
      <c r="Q683" s="809"/>
      <c r="R683" s="809"/>
      <c r="S683" s="809"/>
      <c r="T683" s="809"/>
      <c r="U683" s="809"/>
      <c r="V683" s="809"/>
      <c r="W683" s="809"/>
      <c r="X683" s="809"/>
      <c r="Y683" s="809"/>
      <c r="Z683" s="809"/>
      <c r="AA683" s="809"/>
      <c r="AB683" s="809"/>
      <c r="AC683" s="809"/>
      <c r="AD683" s="809"/>
      <c r="AE683" s="809"/>
      <c r="AF683" s="809"/>
      <c r="AG683" s="809"/>
      <c r="AH683" s="809"/>
      <c r="AI683" s="809"/>
      <c r="AJ683" s="809"/>
      <c r="AK683" s="809"/>
      <c r="AL683" s="809"/>
      <c r="AM683" s="809"/>
      <c r="AN683" s="809"/>
      <c r="AO683" s="809"/>
      <c r="AP683" s="809"/>
      <c r="AQ683" s="809"/>
      <c r="AR683" s="809"/>
      <c r="AS683" s="809"/>
      <c r="AT683" s="809"/>
      <c r="AU683" s="809"/>
      <c r="AV683" s="809"/>
      <c r="AW683" s="809"/>
      <c r="AX683" s="809"/>
      <c r="AY683" s="809"/>
      <c r="AZ683" s="809"/>
      <c r="BA683" s="809"/>
      <c r="BB683" s="809"/>
      <c r="BC683" s="809"/>
      <c r="BD683" s="809"/>
      <c r="BE683" s="809"/>
      <c r="BF683" s="809"/>
      <c r="BG683" s="809"/>
      <c r="BH683" s="809"/>
      <c r="BI683" s="809"/>
      <c r="BJ683" s="809"/>
      <c r="BK683" s="809"/>
      <c r="BL683" s="809"/>
      <c r="BM683" s="809"/>
      <c r="BN683" s="809"/>
    </row>
    <row r="684" spans="1:66">
      <c r="A684" s="809"/>
      <c r="B684" s="809"/>
      <c r="C684" s="809"/>
      <c r="D684" s="809"/>
      <c r="E684" s="809"/>
      <c r="F684" s="809"/>
      <c r="G684" s="809"/>
      <c r="H684" s="809"/>
      <c r="I684" s="809"/>
      <c r="J684" s="809"/>
      <c r="K684" s="809"/>
      <c r="L684" s="809"/>
      <c r="M684" s="809"/>
      <c r="N684" s="809"/>
      <c r="O684" s="809"/>
      <c r="P684" s="809"/>
      <c r="Q684" s="809"/>
      <c r="R684" s="809"/>
      <c r="S684" s="809"/>
      <c r="T684" s="809"/>
      <c r="U684" s="809"/>
      <c r="V684" s="809"/>
      <c r="W684" s="809"/>
      <c r="X684" s="809"/>
      <c r="Y684" s="809"/>
      <c r="Z684" s="809"/>
      <c r="AA684" s="809"/>
      <c r="AB684" s="809"/>
      <c r="AC684" s="809"/>
      <c r="AD684" s="809"/>
      <c r="AE684" s="809"/>
      <c r="AF684" s="809"/>
      <c r="AG684" s="809"/>
      <c r="AH684" s="809"/>
      <c r="AI684" s="809"/>
      <c r="AJ684" s="809"/>
      <c r="AK684" s="809"/>
      <c r="AL684" s="809"/>
      <c r="AM684" s="809"/>
      <c r="AN684" s="809"/>
      <c r="AO684" s="809"/>
      <c r="AP684" s="809"/>
      <c r="AQ684" s="809"/>
      <c r="AR684" s="809"/>
      <c r="AS684" s="809"/>
      <c r="AT684" s="809"/>
      <c r="AU684" s="809"/>
      <c r="AV684" s="809"/>
      <c r="AW684" s="809"/>
      <c r="AX684" s="809"/>
      <c r="AY684" s="809"/>
      <c r="AZ684" s="809"/>
      <c r="BA684" s="809"/>
      <c r="BB684" s="809"/>
      <c r="BC684" s="809"/>
      <c r="BD684" s="809"/>
      <c r="BE684" s="809"/>
      <c r="BF684" s="809"/>
      <c r="BG684" s="809"/>
      <c r="BH684" s="809"/>
      <c r="BI684" s="809"/>
      <c r="BJ684" s="809"/>
      <c r="BK684" s="809"/>
      <c r="BL684" s="809"/>
      <c r="BM684" s="809"/>
      <c r="BN684" s="809"/>
    </row>
    <row r="685" spans="1:66">
      <c r="A685" s="809"/>
      <c r="B685" s="809"/>
      <c r="C685" s="809"/>
      <c r="D685" s="809"/>
      <c r="E685" s="809"/>
      <c r="F685" s="809"/>
      <c r="G685" s="809"/>
      <c r="H685" s="809"/>
      <c r="I685" s="809"/>
      <c r="J685" s="809"/>
      <c r="K685" s="809"/>
      <c r="L685" s="809"/>
      <c r="M685" s="809"/>
      <c r="N685" s="809"/>
      <c r="O685" s="809"/>
      <c r="P685" s="809"/>
      <c r="Q685" s="809"/>
      <c r="R685" s="809"/>
      <c r="S685" s="809"/>
      <c r="T685" s="809"/>
      <c r="U685" s="809"/>
      <c r="V685" s="809"/>
      <c r="W685" s="809"/>
      <c r="X685" s="809"/>
      <c r="Y685" s="809"/>
      <c r="Z685" s="809"/>
      <c r="AA685" s="809"/>
      <c r="AB685" s="809"/>
      <c r="AC685" s="809"/>
      <c r="AD685" s="809"/>
      <c r="AE685" s="809"/>
      <c r="AF685" s="809"/>
      <c r="AG685" s="809"/>
      <c r="AH685" s="809"/>
      <c r="AI685" s="809"/>
      <c r="AJ685" s="809"/>
      <c r="AK685" s="809"/>
      <c r="AL685" s="809"/>
      <c r="AM685" s="809"/>
      <c r="AN685" s="809"/>
      <c r="AO685" s="809"/>
      <c r="AP685" s="809"/>
      <c r="AQ685" s="809"/>
      <c r="AR685" s="809"/>
      <c r="AS685" s="809"/>
      <c r="AT685" s="809"/>
      <c r="AU685" s="809"/>
      <c r="AV685" s="809"/>
      <c r="AW685" s="809"/>
      <c r="AX685" s="809"/>
      <c r="AY685" s="809"/>
      <c r="AZ685" s="809"/>
      <c r="BA685" s="809"/>
      <c r="BB685" s="809"/>
      <c r="BC685" s="809"/>
      <c r="BD685" s="809"/>
      <c r="BE685" s="809"/>
      <c r="BF685" s="809"/>
      <c r="BG685" s="809"/>
      <c r="BH685" s="809"/>
      <c r="BI685" s="809"/>
      <c r="BJ685" s="809"/>
      <c r="BK685" s="809"/>
      <c r="BL685" s="809"/>
      <c r="BM685" s="809"/>
      <c r="BN685" s="809"/>
    </row>
    <row r="686" spans="1:66">
      <c r="A686" s="809"/>
      <c r="B686" s="809"/>
      <c r="C686" s="809"/>
      <c r="D686" s="809"/>
      <c r="E686" s="809"/>
      <c r="F686" s="809"/>
      <c r="G686" s="809"/>
      <c r="H686" s="809"/>
      <c r="I686" s="809"/>
      <c r="J686" s="809"/>
      <c r="K686" s="809"/>
      <c r="L686" s="809"/>
      <c r="M686" s="809"/>
      <c r="N686" s="809"/>
      <c r="O686" s="809"/>
      <c r="P686" s="809"/>
      <c r="Q686" s="809"/>
      <c r="R686" s="809"/>
      <c r="S686" s="809"/>
      <c r="T686" s="809"/>
      <c r="U686" s="809"/>
      <c r="V686" s="809"/>
      <c r="W686" s="809"/>
      <c r="X686" s="809"/>
      <c r="Y686" s="809"/>
      <c r="Z686" s="809"/>
      <c r="AA686" s="809"/>
      <c r="AB686" s="809"/>
      <c r="AC686" s="809"/>
      <c r="AD686" s="809"/>
      <c r="AE686" s="809"/>
      <c r="AF686" s="809"/>
      <c r="AG686" s="809"/>
      <c r="AH686" s="809"/>
      <c r="AI686" s="809"/>
      <c r="AJ686" s="809"/>
      <c r="AK686" s="809"/>
      <c r="AL686" s="809"/>
      <c r="AM686" s="809"/>
      <c r="AN686" s="809"/>
      <c r="AO686" s="809"/>
      <c r="AP686" s="809"/>
      <c r="AQ686" s="809"/>
      <c r="AR686" s="809"/>
      <c r="AS686" s="809"/>
      <c r="AT686" s="809"/>
      <c r="AU686" s="809"/>
      <c r="AV686" s="809"/>
      <c r="AW686" s="809"/>
      <c r="AX686" s="809"/>
      <c r="AY686" s="809"/>
      <c r="AZ686" s="809"/>
      <c r="BA686" s="809"/>
      <c r="BB686" s="809"/>
      <c r="BC686" s="809"/>
      <c r="BD686" s="809"/>
      <c r="BE686" s="809"/>
      <c r="BF686" s="809"/>
      <c r="BG686" s="809"/>
      <c r="BH686" s="809"/>
      <c r="BI686" s="809"/>
      <c r="BJ686" s="809"/>
      <c r="BK686" s="809"/>
      <c r="BL686" s="809"/>
      <c r="BM686" s="809"/>
      <c r="BN686" s="809"/>
    </row>
    <row r="687" spans="1:66">
      <c r="A687" s="809"/>
      <c r="B687" s="809"/>
      <c r="C687" s="809"/>
      <c r="D687" s="809"/>
      <c r="E687" s="809"/>
      <c r="F687" s="809"/>
      <c r="G687" s="809"/>
      <c r="H687" s="809"/>
      <c r="I687" s="809"/>
      <c r="J687" s="809"/>
      <c r="K687" s="809"/>
      <c r="L687" s="809"/>
      <c r="M687" s="809"/>
      <c r="N687" s="809"/>
      <c r="O687" s="809"/>
      <c r="P687" s="809"/>
      <c r="Q687" s="809"/>
      <c r="R687" s="809"/>
      <c r="S687" s="809"/>
      <c r="T687" s="809"/>
      <c r="U687" s="809"/>
      <c r="V687" s="809"/>
      <c r="W687" s="809"/>
      <c r="X687" s="809"/>
      <c r="Y687" s="809"/>
      <c r="Z687" s="809"/>
      <c r="AA687" s="809"/>
      <c r="AB687" s="809"/>
      <c r="AC687" s="809"/>
      <c r="AD687" s="809"/>
      <c r="AE687" s="809"/>
      <c r="AF687" s="809"/>
      <c r="AG687" s="809"/>
      <c r="AH687" s="809"/>
      <c r="AI687" s="809"/>
      <c r="AJ687" s="809"/>
      <c r="AK687" s="809"/>
      <c r="AL687" s="809"/>
      <c r="AM687" s="809"/>
      <c r="AN687" s="809"/>
      <c r="AO687" s="809"/>
      <c r="AP687" s="809"/>
      <c r="AQ687" s="809"/>
      <c r="AR687" s="809"/>
      <c r="AS687" s="809"/>
      <c r="AT687" s="809"/>
      <c r="AU687" s="809"/>
      <c r="AV687" s="809"/>
      <c r="AW687" s="809"/>
      <c r="AX687" s="809"/>
      <c r="AY687" s="809"/>
      <c r="AZ687" s="809"/>
      <c r="BA687" s="809"/>
      <c r="BB687" s="809"/>
      <c r="BC687" s="809"/>
      <c r="BD687" s="809"/>
      <c r="BE687" s="809"/>
      <c r="BF687" s="809"/>
      <c r="BG687" s="809"/>
      <c r="BH687" s="809"/>
      <c r="BI687" s="809"/>
      <c r="BJ687" s="809"/>
      <c r="BK687" s="809"/>
      <c r="BL687" s="809"/>
      <c r="BM687" s="809"/>
      <c r="BN687" s="809"/>
    </row>
    <row r="688" spans="1:66">
      <c r="A688" s="809"/>
      <c r="B688" s="809"/>
      <c r="C688" s="809"/>
      <c r="D688" s="809"/>
      <c r="E688" s="809"/>
      <c r="F688" s="809"/>
      <c r="G688" s="809"/>
      <c r="H688" s="809"/>
      <c r="I688" s="809"/>
      <c r="J688" s="809"/>
      <c r="K688" s="809"/>
      <c r="L688" s="809"/>
      <c r="M688" s="809"/>
      <c r="N688" s="809"/>
      <c r="O688" s="809"/>
      <c r="P688" s="809"/>
      <c r="Q688" s="809"/>
      <c r="R688" s="809"/>
      <c r="S688" s="809"/>
      <c r="T688" s="809"/>
      <c r="U688" s="809"/>
      <c r="V688" s="809"/>
      <c r="W688" s="809"/>
      <c r="X688" s="809"/>
      <c r="Y688" s="809"/>
      <c r="Z688" s="809"/>
      <c r="AA688" s="809"/>
      <c r="AB688" s="809"/>
      <c r="AC688" s="809"/>
      <c r="AD688" s="809"/>
      <c r="AE688" s="809"/>
      <c r="AF688" s="809"/>
      <c r="AG688" s="809"/>
      <c r="AH688" s="809"/>
      <c r="AI688" s="809"/>
      <c r="AJ688" s="809"/>
      <c r="AK688" s="809"/>
      <c r="AL688" s="809"/>
      <c r="AM688" s="809"/>
      <c r="AN688" s="809"/>
      <c r="AO688" s="809"/>
      <c r="AP688" s="809"/>
      <c r="AQ688" s="809"/>
      <c r="AR688" s="809"/>
      <c r="AS688" s="809"/>
      <c r="AT688" s="809"/>
      <c r="AU688" s="809"/>
      <c r="AV688" s="809"/>
      <c r="AW688" s="809"/>
      <c r="AX688" s="809"/>
      <c r="AY688" s="809"/>
      <c r="AZ688" s="809"/>
      <c r="BA688" s="809"/>
      <c r="BB688" s="809"/>
      <c r="BC688" s="809"/>
      <c r="BD688" s="809"/>
      <c r="BE688" s="809"/>
      <c r="BF688" s="809"/>
      <c r="BG688" s="809"/>
      <c r="BH688" s="809"/>
      <c r="BI688" s="809"/>
      <c r="BJ688" s="809"/>
      <c r="BK688" s="809"/>
      <c r="BL688" s="809"/>
      <c r="BM688" s="809"/>
      <c r="BN688" s="809"/>
    </row>
    <row r="689" spans="1:66">
      <c r="A689" s="809"/>
      <c r="B689" s="809"/>
      <c r="C689" s="809"/>
      <c r="D689" s="809"/>
      <c r="E689" s="809"/>
      <c r="F689" s="809"/>
      <c r="G689" s="809"/>
      <c r="H689" s="809"/>
      <c r="I689" s="809"/>
      <c r="J689" s="809"/>
      <c r="K689" s="809"/>
      <c r="L689" s="809"/>
      <c r="M689" s="809"/>
      <c r="N689" s="809"/>
      <c r="O689" s="809"/>
      <c r="P689" s="809"/>
      <c r="Q689" s="809"/>
      <c r="R689" s="809"/>
      <c r="S689" s="809"/>
      <c r="T689" s="809"/>
      <c r="U689" s="809"/>
      <c r="V689" s="809"/>
      <c r="W689" s="809"/>
      <c r="X689" s="809"/>
      <c r="Y689" s="809"/>
      <c r="Z689" s="809"/>
      <c r="AA689" s="809"/>
      <c r="AB689" s="809"/>
      <c r="AC689" s="809"/>
      <c r="AD689" s="809"/>
      <c r="AE689" s="809"/>
      <c r="AF689" s="809"/>
      <c r="AG689" s="809"/>
      <c r="AH689" s="809"/>
      <c r="AI689" s="809"/>
      <c r="AJ689" s="809"/>
      <c r="AK689" s="809"/>
      <c r="AL689" s="809"/>
      <c r="AM689" s="809"/>
      <c r="AN689" s="809"/>
      <c r="AO689" s="809"/>
      <c r="AP689" s="809"/>
      <c r="AQ689" s="809"/>
      <c r="AR689" s="809"/>
      <c r="AS689" s="809"/>
      <c r="AT689" s="809"/>
      <c r="AU689" s="809"/>
      <c r="AV689" s="809"/>
      <c r="AW689" s="809"/>
      <c r="AX689" s="809"/>
      <c r="AY689" s="809"/>
      <c r="AZ689" s="809"/>
      <c r="BA689" s="809"/>
      <c r="BB689" s="809"/>
      <c r="BC689" s="809"/>
      <c r="BD689" s="809"/>
      <c r="BE689" s="809"/>
      <c r="BF689" s="809"/>
      <c r="BG689" s="809"/>
      <c r="BH689" s="809"/>
      <c r="BI689" s="809"/>
      <c r="BJ689" s="809"/>
      <c r="BK689" s="809"/>
      <c r="BL689" s="809"/>
      <c r="BM689" s="809"/>
      <c r="BN689" s="809"/>
    </row>
    <row r="690" spans="1:66">
      <c r="A690" s="809"/>
      <c r="B690" s="809"/>
      <c r="C690" s="809"/>
      <c r="D690" s="809"/>
      <c r="E690" s="809"/>
      <c r="F690" s="809"/>
      <c r="G690" s="809"/>
      <c r="H690" s="809"/>
      <c r="I690" s="809"/>
      <c r="J690" s="809"/>
      <c r="K690" s="809"/>
      <c r="L690" s="809"/>
      <c r="M690" s="809"/>
      <c r="N690" s="809"/>
      <c r="O690" s="809"/>
      <c r="P690" s="809"/>
      <c r="Q690" s="809"/>
      <c r="R690" s="809"/>
      <c r="S690" s="809"/>
      <c r="T690" s="809"/>
      <c r="U690" s="809"/>
      <c r="V690" s="809"/>
      <c r="W690" s="809"/>
      <c r="X690" s="809"/>
      <c r="Y690" s="809"/>
      <c r="Z690" s="809"/>
      <c r="AA690" s="809"/>
      <c r="AB690" s="809"/>
      <c r="AC690" s="809"/>
      <c r="AD690" s="809"/>
      <c r="AE690" s="809"/>
      <c r="AF690" s="809"/>
      <c r="AG690" s="809"/>
      <c r="AH690" s="809"/>
      <c r="AI690" s="809"/>
      <c r="AJ690" s="809"/>
      <c r="AK690" s="809"/>
      <c r="AL690" s="809"/>
      <c r="AM690" s="809"/>
      <c r="AN690" s="809"/>
      <c r="AO690" s="809"/>
      <c r="AP690" s="809"/>
      <c r="AQ690" s="809"/>
      <c r="AR690" s="809"/>
      <c r="AS690" s="809"/>
      <c r="AT690" s="809"/>
      <c r="AU690" s="809"/>
      <c r="AV690" s="809"/>
      <c r="AW690" s="809"/>
      <c r="AX690" s="809"/>
      <c r="AY690" s="809"/>
      <c r="AZ690" s="809"/>
      <c r="BA690" s="809"/>
      <c r="BB690" s="809"/>
      <c r="BC690" s="809"/>
      <c r="BD690" s="809"/>
      <c r="BE690" s="809"/>
      <c r="BF690" s="809"/>
      <c r="BG690" s="809"/>
      <c r="BH690" s="809"/>
      <c r="BI690" s="809"/>
      <c r="BJ690" s="809"/>
      <c r="BK690" s="809"/>
      <c r="BL690" s="809"/>
      <c r="BM690" s="809"/>
      <c r="BN690" s="809"/>
    </row>
    <row r="691" spans="1:66">
      <c r="A691" s="809"/>
      <c r="B691" s="809"/>
      <c r="C691" s="809"/>
      <c r="D691" s="809"/>
      <c r="E691" s="809"/>
      <c r="F691" s="809"/>
      <c r="G691" s="809"/>
      <c r="H691" s="809"/>
      <c r="I691" s="809"/>
      <c r="J691" s="809"/>
      <c r="K691" s="809"/>
      <c r="L691" s="809"/>
      <c r="M691" s="809"/>
      <c r="N691" s="809"/>
      <c r="O691" s="809"/>
      <c r="P691" s="809"/>
      <c r="Q691" s="809"/>
      <c r="R691" s="809"/>
      <c r="S691" s="809"/>
      <c r="T691" s="809"/>
      <c r="U691" s="809"/>
      <c r="V691" s="809"/>
      <c r="W691" s="809"/>
      <c r="X691" s="809"/>
      <c r="Y691" s="809"/>
      <c r="Z691" s="809"/>
      <c r="AA691" s="809"/>
      <c r="AB691" s="809"/>
      <c r="AC691" s="809"/>
      <c r="AD691" s="809"/>
      <c r="AE691" s="809"/>
      <c r="AF691" s="809"/>
      <c r="AG691" s="809"/>
      <c r="AH691" s="809"/>
      <c r="AI691" s="809"/>
      <c r="AJ691" s="809"/>
      <c r="AK691" s="809"/>
      <c r="AL691" s="809"/>
      <c r="AM691" s="809"/>
      <c r="AN691" s="809"/>
      <c r="AO691" s="809"/>
      <c r="AP691" s="809"/>
      <c r="AQ691" s="809"/>
      <c r="AR691" s="809"/>
      <c r="AS691" s="809"/>
      <c r="AT691" s="809"/>
      <c r="AU691" s="809"/>
      <c r="AV691" s="809"/>
      <c r="AW691" s="809"/>
      <c r="AX691" s="809"/>
      <c r="AY691" s="809"/>
      <c r="AZ691" s="809"/>
      <c r="BA691" s="809"/>
      <c r="BB691" s="809"/>
      <c r="BC691" s="809"/>
      <c r="BD691" s="809"/>
      <c r="BE691" s="809"/>
      <c r="BF691" s="809"/>
      <c r="BG691" s="809"/>
      <c r="BH691" s="809"/>
      <c r="BI691" s="809"/>
      <c r="BJ691" s="809"/>
      <c r="BK691" s="809"/>
      <c r="BL691" s="809"/>
      <c r="BM691" s="809"/>
      <c r="BN691" s="809"/>
    </row>
    <row r="692" spans="1:66">
      <c r="A692" s="809"/>
      <c r="B692" s="809"/>
      <c r="C692" s="809"/>
      <c r="D692" s="809"/>
      <c r="E692" s="809"/>
      <c r="F692" s="809"/>
      <c r="G692" s="809"/>
      <c r="H692" s="809"/>
      <c r="I692" s="809"/>
      <c r="J692" s="809"/>
      <c r="K692" s="809"/>
      <c r="L692" s="809"/>
      <c r="M692" s="809"/>
      <c r="N692" s="809"/>
      <c r="O692" s="809"/>
      <c r="P692" s="809"/>
      <c r="Q692" s="809"/>
      <c r="R692" s="809"/>
      <c r="S692" s="809"/>
      <c r="T692" s="809"/>
      <c r="U692" s="809"/>
      <c r="V692" s="809"/>
      <c r="W692" s="809"/>
      <c r="X692" s="809"/>
      <c r="Y692" s="809"/>
      <c r="Z692" s="809"/>
      <c r="AA692" s="809"/>
      <c r="AB692" s="809"/>
      <c r="AC692" s="809"/>
      <c r="AD692" s="809"/>
      <c r="AE692" s="809"/>
      <c r="AF692" s="809"/>
      <c r="AG692" s="809"/>
      <c r="AH692" s="809"/>
      <c r="AI692" s="809"/>
      <c r="AJ692" s="809"/>
      <c r="AK692" s="809"/>
      <c r="AL692" s="809"/>
      <c r="AM692" s="809"/>
      <c r="AN692" s="809"/>
      <c r="AO692" s="809"/>
      <c r="AP692" s="809"/>
      <c r="AQ692" s="809"/>
      <c r="AR692" s="809"/>
      <c r="AS692" s="809"/>
      <c r="AT692" s="809"/>
      <c r="AU692" s="809"/>
      <c r="AV692" s="809"/>
      <c r="AW692" s="809"/>
      <c r="AX692" s="809"/>
      <c r="AY692" s="809"/>
      <c r="AZ692" s="809"/>
      <c r="BA692" s="809"/>
      <c r="BB692" s="809"/>
      <c r="BC692" s="809"/>
      <c r="BD692" s="809"/>
      <c r="BE692" s="809"/>
      <c r="BF692" s="809"/>
      <c r="BG692" s="809"/>
      <c r="BH692" s="809"/>
      <c r="BI692" s="809"/>
      <c r="BJ692" s="809"/>
      <c r="BK692" s="809"/>
      <c r="BL692" s="809"/>
      <c r="BM692" s="809"/>
      <c r="BN692" s="809"/>
    </row>
    <row r="693" spans="1:66">
      <c r="A693" s="809"/>
      <c r="B693" s="809"/>
      <c r="C693" s="809"/>
      <c r="D693" s="809"/>
      <c r="E693" s="809"/>
      <c r="F693" s="809"/>
      <c r="G693" s="809"/>
      <c r="H693" s="809"/>
      <c r="I693" s="809"/>
      <c r="J693" s="809"/>
      <c r="K693" s="809"/>
      <c r="L693" s="809"/>
      <c r="M693" s="809"/>
      <c r="N693" s="809"/>
      <c r="O693" s="809"/>
      <c r="P693" s="809"/>
      <c r="Q693" s="809"/>
      <c r="R693" s="809"/>
      <c r="S693" s="809"/>
      <c r="T693" s="809"/>
      <c r="U693" s="809"/>
      <c r="V693" s="809"/>
      <c r="W693" s="809"/>
      <c r="X693" s="809"/>
      <c r="Y693" s="809"/>
      <c r="Z693" s="809"/>
      <c r="AA693" s="809"/>
      <c r="AB693" s="809"/>
      <c r="AC693" s="809"/>
      <c r="AD693" s="809"/>
      <c r="AE693" s="809"/>
      <c r="AF693" s="809"/>
      <c r="AG693" s="809"/>
      <c r="AH693" s="809"/>
      <c r="AI693" s="809"/>
      <c r="AJ693" s="809"/>
      <c r="AK693" s="809"/>
      <c r="AL693" s="809"/>
      <c r="AM693" s="809"/>
      <c r="AN693" s="809"/>
      <c r="AO693" s="809"/>
      <c r="AP693" s="809"/>
      <c r="AQ693" s="809"/>
      <c r="AR693" s="809"/>
      <c r="AS693" s="809"/>
      <c r="AT693" s="809"/>
      <c r="AU693" s="809"/>
      <c r="AV693" s="809"/>
      <c r="AW693" s="809"/>
      <c r="AX693" s="809"/>
      <c r="AY693" s="809"/>
      <c r="AZ693" s="809"/>
      <c r="BA693" s="809"/>
      <c r="BB693" s="809"/>
      <c r="BC693" s="809"/>
      <c r="BD693" s="809"/>
      <c r="BE693" s="809"/>
      <c r="BF693" s="809"/>
      <c r="BG693" s="809"/>
      <c r="BH693" s="809"/>
      <c r="BI693" s="809"/>
      <c r="BJ693" s="809"/>
      <c r="BK693" s="809"/>
      <c r="BL693" s="809"/>
      <c r="BM693" s="809"/>
      <c r="BN693" s="809"/>
    </row>
    <row r="694" spans="1:66">
      <c r="A694" s="809"/>
      <c r="B694" s="809"/>
      <c r="C694" s="809"/>
      <c r="D694" s="809"/>
      <c r="E694" s="809"/>
      <c r="F694" s="809"/>
      <c r="G694" s="809"/>
      <c r="H694" s="809"/>
      <c r="I694" s="809"/>
      <c r="J694" s="809"/>
      <c r="K694" s="809"/>
      <c r="L694" s="809"/>
      <c r="M694" s="809"/>
      <c r="N694" s="809"/>
      <c r="O694" s="809"/>
      <c r="P694" s="809"/>
      <c r="Q694" s="809"/>
      <c r="R694" s="809"/>
      <c r="S694" s="809"/>
      <c r="T694" s="809"/>
      <c r="U694" s="809"/>
      <c r="V694" s="809"/>
      <c r="W694" s="809"/>
      <c r="X694" s="809"/>
      <c r="Y694" s="809"/>
      <c r="Z694" s="809"/>
      <c r="AA694" s="809"/>
      <c r="AB694" s="809"/>
      <c r="AC694" s="809"/>
      <c r="AD694" s="809"/>
      <c r="AE694" s="809"/>
      <c r="AF694" s="809"/>
      <c r="AG694" s="809"/>
      <c r="AH694" s="809"/>
      <c r="AI694" s="809"/>
      <c r="AJ694" s="809"/>
      <c r="AK694" s="809"/>
      <c r="AL694" s="809"/>
      <c r="AM694" s="809"/>
      <c r="AN694" s="809"/>
      <c r="AO694" s="809"/>
      <c r="AP694" s="809"/>
      <c r="AQ694" s="809"/>
      <c r="AR694" s="809"/>
      <c r="AS694" s="809"/>
      <c r="AT694" s="809"/>
      <c r="AU694" s="809"/>
      <c r="AV694" s="809"/>
      <c r="AW694" s="809"/>
      <c r="AX694" s="809"/>
      <c r="AY694" s="809"/>
      <c r="AZ694" s="809"/>
      <c r="BA694" s="809"/>
      <c r="BB694" s="809"/>
      <c r="BC694" s="809"/>
      <c r="BD694" s="809"/>
      <c r="BE694" s="809"/>
      <c r="BF694" s="809"/>
      <c r="BG694" s="809"/>
      <c r="BH694" s="809"/>
      <c r="BI694" s="809"/>
      <c r="BJ694" s="809"/>
      <c r="BK694" s="809"/>
      <c r="BL694" s="809"/>
      <c r="BM694" s="809"/>
      <c r="BN694" s="809"/>
    </row>
    <row r="695" spans="1:66">
      <c r="A695" s="809"/>
      <c r="B695" s="809"/>
      <c r="C695" s="809"/>
      <c r="D695" s="809"/>
      <c r="E695" s="809"/>
      <c r="F695" s="809"/>
      <c r="G695" s="809"/>
      <c r="H695" s="809"/>
      <c r="I695" s="809"/>
      <c r="J695" s="809"/>
      <c r="K695" s="809"/>
      <c r="L695" s="809"/>
      <c r="M695" s="809"/>
      <c r="N695" s="809"/>
      <c r="O695" s="809"/>
      <c r="P695" s="809"/>
      <c r="Q695" s="809"/>
      <c r="R695" s="809"/>
      <c r="S695" s="809"/>
      <c r="T695" s="809"/>
      <c r="U695" s="809"/>
      <c r="V695" s="809"/>
      <c r="W695" s="809"/>
      <c r="X695" s="809"/>
      <c r="Y695" s="809"/>
      <c r="Z695" s="809"/>
      <c r="AA695" s="809"/>
      <c r="AB695" s="809"/>
      <c r="AC695" s="809"/>
      <c r="AD695" s="809"/>
      <c r="AE695" s="809"/>
      <c r="AF695" s="809"/>
      <c r="AG695" s="809"/>
      <c r="AH695" s="809"/>
      <c r="AI695" s="809"/>
      <c r="AJ695" s="809"/>
      <c r="AK695" s="809"/>
      <c r="AL695" s="809"/>
      <c r="AM695" s="809"/>
      <c r="AN695" s="809"/>
      <c r="AO695" s="809"/>
      <c r="AP695" s="809"/>
      <c r="AQ695" s="809"/>
      <c r="AR695" s="809"/>
      <c r="AS695" s="809"/>
      <c r="AT695" s="809"/>
      <c r="AU695" s="809"/>
      <c r="AV695" s="809"/>
      <c r="AW695" s="809"/>
      <c r="AX695" s="809"/>
      <c r="AY695" s="809"/>
      <c r="AZ695" s="809"/>
      <c r="BA695" s="809"/>
      <c r="BB695" s="809"/>
      <c r="BC695" s="809"/>
      <c r="BD695" s="809"/>
      <c r="BE695" s="809"/>
      <c r="BF695" s="809"/>
      <c r="BG695" s="809"/>
      <c r="BH695" s="809"/>
      <c r="BI695" s="809"/>
      <c r="BJ695" s="809"/>
      <c r="BK695" s="809"/>
      <c r="BL695" s="809"/>
      <c r="BM695" s="809"/>
      <c r="BN695" s="809"/>
    </row>
    <row r="696" spans="1:66">
      <c r="A696" s="809"/>
      <c r="B696" s="809"/>
      <c r="C696" s="809"/>
      <c r="D696" s="809"/>
      <c r="E696" s="809"/>
      <c r="F696" s="809"/>
      <c r="G696" s="809"/>
      <c r="H696" s="809"/>
      <c r="I696" s="809"/>
      <c r="J696" s="809"/>
      <c r="K696" s="809"/>
      <c r="L696" s="809"/>
      <c r="M696" s="809"/>
      <c r="N696" s="809"/>
      <c r="O696" s="809"/>
      <c r="P696" s="809"/>
      <c r="Q696" s="809"/>
      <c r="R696" s="809"/>
      <c r="S696" s="809"/>
      <c r="T696" s="809"/>
      <c r="U696" s="809"/>
      <c r="V696" s="809"/>
      <c r="W696" s="809"/>
      <c r="X696" s="809"/>
      <c r="Y696" s="809"/>
      <c r="Z696" s="809"/>
      <c r="AA696" s="809"/>
      <c r="AB696" s="809"/>
      <c r="AC696" s="809"/>
      <c r="AD696" s="809"/>
      <c r="AE696" s="809"/>
      <c r="AF696" s="809"/>
      <c r="AG696" s="809"/>
      <c r="AH696" s="809"/>
      <c r="AI696" s="809"/>
      <c r="AJ696" s="809"/>
      <c r="AK696" s="809"/>
      <c r="AL696" s="809"/>
      <c r="AM696" s="809"/>
      <c r="AN696" s="809"/>
      <c r="AO696" s="809"/>
      <c r="AP696" s="809"/>
      <c r="AQ696" s="809"/>
      <c r="AR696" s="809"/>
      <c r="AS696" s="809"/>
      <c r="AT696" s="809"/>
      <c r="AU696" s="809"/>
      <c r="AV696" s="809"/>
      <c r="AW696" s="809"/>
      <c r="AX696" s="809"/>
      <c r="AY696" s="809"/>
      <c r="AZ696" s="809"/>
      <c r="BA696" s="809"/>
      <c r="BB696" s="809"/>
      <c r="BC696" s="809"/>
      <c r="BD696" s="809"/>
      <c r="BE696" s="809"/>
      <c r="BF696" s="809"/>
      <c r="BG696" s="809"/>
      <c r="BH696" s="809"/>
      <c r="BI696" s="809"/>
      <c r="BJ696" s="809"/>
      <c r="BK696" s="809"/>
      <c r="BL696" s="809"/>
      <c r="BM696" s="809"/>
      <c r="BN696" s="809"/>
    </row>
    <row r="697" spans="1:66">
      <c r="A697" s="809"/>
      <c r="B697" s="809"/>
      <c r="C697" s="809"/>
      <c r="D697" s="809"/>
      <c r="E697" s="809"/>
      <c r="F697" s="809"/>
      <c r="G697" s="809"/>
      <c r="H697" s="809"/>
      <c r="I697" s="809"/>
      <c r="J697" s="809"/>
      <c r="K697" s="809"/>
      <c r="L697" s="809"/>
      <c r="M697" s="809"/>
      <c r="N697" s="809"/>
      <c r="O697" s="809"/>
      <c r="P697" s="809"/>
      <c r="Q697" s="809"/>
      <c r="R697" s="809"/>
      <c r="S697" s="809"/>
      <c r="T697" s="809"/>
      <c r="U697" s="809"/>
      <c r="V697" s="809"/>
      <c r="W697" s="809"/>
      <c r="X697" s="809"/>
      <c r="Y697" s="809"/>
      <c r="Z697" s="809"/>
      <c r="AA697" s="809"/>
      <c r="AB697" s="809"/>
      <c r="AC697" s="809"/>
      <c r="AD697" s="809"/>
      <c r="AE697" s="809"/>
      <c r="AF697" s="809"/>
      <c r="AG697" s="809"/>
      <c r="AH697" s="809"/>
      <c r="AI697" s="809"/>
      <c r="AJ697" s="809"/>
      <c r="AK697" s="809"/>
      <c r="AL697" s="809"/>
      <c r="AM697" s="809"/>
      <c r="AN697" s="809"/>
      <c r="AO697" s="809"/>
      <c r="AP697" s="809"/>
      <c r="AQ697" s="809"/>
      <c r="AR697" s="809"/>
      <c r="AS697" s="809"/>
      <c r="AT697" s="809"/>
      <c r="AU697" s="809"/>
      <c r="AV697" s="809"/>
      <c r="AW697" s="809"/>
      <c r="AX697" s="809"/>
      <c r="AY697" s="809"/>
      <c r="AZ697" s="809"/>
      <c r="BA697" s="809"/>
      <c r="BB697" s="809"/>
      <c r="BC697" s="809"/>
      <c r="BD697" s="809"/>
      <c r="BE697" s="809"/>
      <c r="BF697" s="809"/>
      <c r="BG697" s="809"/>
      <c r="BH697" s="809"/>
      <c r="BI697" s="809"/>
      <c r="BJ697" s="809"/>
      <c r="BK697" s="809"/>
      <c r="BL697" s="809"/>
      <c r="BM697" s="809"/>
      <c r="BN697" s="809"/>
    </row>
    <row r="698" spans="1:66">
      <c r="A698" s="809"/>
      <c r="B698" s="809"/>
      <c r="C698" s="809"/>
      <c r="D698" s="809"/>
      <c r="E698" s="809"/>
      <c r="F698" s="809"/>
      <c r="G698" s="809"/>
      <c r="H698" s="809"/>
      <c r="I698" s="809"/>
      <c r="J698" s="809"/>
      <c r="K698" s="809"/>
      <c r="L698" s="809"/>
      <c r="M698" s="809"/>
      <c r="N698" s="809"/>
      <c r="O698" s="809"/>
      <c r="P698" s="809"/>
      <c r="Q698" s="809"/>
      <c r="R698" s="809"/>
      <c r="S698" s="809"/>
      <c r="T698" s="809"/>
      <c r="U698" s="809"/>
      <c r="V698" s="809"/>
      <c r="W698" s="809"/>
      <c r="X698" s="809"/>
      <c r="Y698" s="809"/>
      <c r="Z698" s="809"/>
      <c r="AA698" s="809"/>
      <c r="AB698" s="809"/>
      <c r="AC698" s="809"/>
      <c r="AD698" s="809"/>
      <c r="AE698" s="809"/>
      <c r="AF698" s="809"/>
      <c r="AG698" s="809"/>
      <c r="AH698" s="809"/>
      <c r="AI698" s="809"/>
      <c r="AJ698" s="809"/>
      <c r="AK698" s="809"/>
      <c r="AL698" s="809"/>
      <c r="AM698" s="809"/>
      <c r="AN698" s="809"/>
      <c r="AO698" s="809"/>
      <c r="AP698" s="809"/>
      <c r="AQ698" s="809"/>
      <c r="AR698" s="809"/>
      <c r="AS698" s="809"/>
      <c r="AT698" s="809"/>
      <c r="AU698" s="809"/>
      <c r="AV698" s="809"/>
      <c r="AW698" s="809"/>
      <c r="AX698" s="809"/>
      <c r="AY698" s="809"/>
      <c r="AZ698" s="809"/>
      <c r="BA698" s="809"/>
      <c r="BB698" s="809"/>
      <c r="BC698" s="809"/>
      <c r="BD698" s="809"/>
      <c r="BE698" s="809"/>
      <c r="BF698" s="809"/>
      <c r="BG698" s="809"/>
      <c r="BH698" s="809"/>
      <c r="BI698" s="809"/>
      <c r="BJ698" s="809"/>
      <c r="BK698" s="809"/>
      <c r="BL698" s="809"/>
      <c r="BM698" s="809"/>
      <c r="BN698" s="809"/>
    </row>
    <row r="699" spans="1:66">
      <c r="A699" s="809"/>
      <c r="B699" s="809"/>
      <c r="C699" s="809"/>
      <c r="D699" s="809"/>
      <c r="E699" s="809"/>
      <c r="F699" s="809"/>
      <c r="G699" s="809"/>
      <c r="H699" s="809"/>
      <c r="I699" s="809"/>
      <c r="J699" s="809"/>
      <c r="K699" s="809"/>
      <c r="L699" s="809"/>
      <c r="M699" s="809"/>
      <c r="N699" s="809"/>
      <c r="O699" s="809"/>
      <c r="P699" s="809"/>
      <c r="Q699" s="809"/>
      <c r="R699" s="809"/>
      <c r="S699" s="809"/>
      <c r="T699" s="809"/>
      <c r="U699" s="809"/>
      <c r="V699" s="809"/>
      <c r="W699" s="809"/>
      <c r="X699" s="809"/>
      <c r="Y699" s="809"/>
      <c r="Z699" s="809"/>
      <c r="AA699" s="809"/>
      <c r="AB699" s="809"/>
      <c r="AC699" s="809"/>
      <c r="AD699" s="809"/>
      <c r="AE699" s="809"/>
      <c r="AF699" s="809"/>
      <c r="AG699" s="809"/>
      <c r="AH699" s="809"/>
      <c r="AI699" s="809"/>
      <c r="AJ699" s="809"/>
      <c r="AK699" s="809"/>
      <c r="AL699" s="809"/>
      <c r="AM699" s="809"/>
      <c r="AN699" s="809"/>
      <c r="AO699" s="809"/>
      <c r="AP699" s="809"/>
      <c r="AQ699" s="809"/>
      <c r="AR699" s="809"/>
      <c r="AS699" s="809"/>
      <c r="AT699" s="809"/>
      <c r="AU699" s="809"/>
      <c r="AV699" s="809"/>
      <c r="AW699" s="809"/>
      <c r="AX699" s="809"/>
      <c r="AY699" s="809"/>
      <c r="AZ699" s="809"/>
      <c r="BA699" s="809"/>
      <c r="BB699" s="809"/>
      <c r="BC699" s="809"/>
      <c r="BD699" s="809"/>
      <c r="BE699" s="809"/>
      <c r="BF699" s="809"/>
      <c r="BG699" s="809"/>
      <c r="BH699" s="809"/>
      <c r="BI699" s="809"/>
      <c r="BJ699" s="809"/>
      <c r="BK699" s="809"/>
      <c r="BL699" s="809"/>
      <c r="BM699" s="809"/>
      <c r="BN699" s="809"/>
    </row>
    <row r="700" spans="1:66">
      <c r="A700" s="809"/>
      <c r="B700" s="809"/>
      <c r="C700" s="809"/>
      <c r="D700" s="809"/>
      <c r="E700" s="809"/>
      <c r="F700" s="809"/>
      <c r="G700" s="809"/>
      <c r="H700" s="809"/>
      <c r="I700" s="809"/>
      <c r="J700" s="809"/>
      <c r="K700" s="809"/>
      <c r="L700" s="809"/>
      <c r="M700" s="809"/>
      <c r="N700" s="809"/>
      <c r="O700" s="809"/>
      <c r="P700" s="809"/>
      <c r="Q700" s="809"/>
      <c r="R700" s="809"/>
      <c r="S700" s="809"/>
      <c r="T700" s="809"/>
      <c r="U700" s="809"/>
      <c r="V700" s="809"/>
      <c r="W700" s="809"/>
      <c r="X700" s="809"/>
      <c r="Y700" s="809"/>
      <c r="Z700" s="809"/>
      <c r="AA700" s="809"/>
      <c r="AB700" s="809"/>
      <c r="AC700" s="809"/>
      <c r="AD700" s="809"/>
      <c r="AE700" s="809"/>
      <c r="AF700" s="809"/>
      <c r="AG700" s="809"/>
      <c r="AH700" s="809"/>
      <c r="AI700" s="809"/>
      <c r="AJ700" s="809"/>
      <c r="AK700" s="809"/>
      <c r="AL700" s="809"/>
      <c r="AM700" s="809"/>
      <c r="AN700" s="809"/>
      <c r="AO700" s="809"/>
      <c r="AP700" s="809"/>
      <c r="AQ700" s="809"/>
      <c r="AR700" s="809"/>
      <c r="AS700" s="809"/>
      <c r="AT700" s="809"/>
      <c r="AU700" s="809"/>
      <c r="AV700" s="809"/>
      <c r="AW700" s="809"/>
      <c r="AX700" s="809"/>
      <c r="AY700" s="809"/>
      <c r="AZ700" s="809"/>
      <c r="BA700" s="809"/>
      <c r="BB700" s="809"/>
      <c r="BC700" s="809"/>
      <c r="BD700" s="809"/>
      <c r="BE700" s="809"/>
      <c r="BF700" s="809"/>
      <c r="BG700" s="809"/>
      <c r="BH700" s="809"/>
      <c r="BI700" s="809"/>
      <c r="BJ700" s="809"/>
      <c r="BK700" s="809"/>
      <c r="BL700" s="809"/>
      <c r="BM700" s="809"/>
      <c r="BN700" s="809"/>
    </row>
    <row r="701" spans="1:66">
      <c r="A701" s="809"/>
      <c r="B701" s="809"/>
      <c r="C701" s="809"/>
      <c r="D701" s="809"/>
      <c r="E701" s="809"/>
      <c r="F701" s="809"/>
      <c r="G701" s="809"/>
      <c r="H701" s="809"/>
      <c r="I701" s="809"/>
      <c r="J701" s="809"/>
      <c r="K701" s="809"/>
      <c r="L701" s="809"/>
      <c r="M701" s="809"/>
      <c r="N701" s="809"/>
      <c r="O701" s="809"/>
      <c r="P701" s="809"/>
      <c r="Q701" s="809"/>
      <c r="R701" s="809"/>
      <c r="S701" s="809"/>
      <c r="T701" s="809"/>
      <c r="U701" s="809"/>
      <c r="V701" s="809"/>
      <c r="W701" s="809"/>
      <c r="X701" s="809"/>
      <c r="Y701" s="809"/>
      <c r="Z701" s="809"/>
      <c r="AA701" s="809"/>
      <c r="AB701" s="809"/>
      <c r="AC701" s="809"/>
      <c r="AD701" s="809"/>
      <c r="AE701" s="809"/>
      <c r="AF701" s="809"/>
      <c r="AG701" s="809"/>
      <c r="AH701" s="809"/>
      <c r="AI701" s="809"/>
      <c r="AJ701" s="809"/>
      <c r="AK701" s="809"/>
      <c r="AL701" s="809"/>
      <c r="AM701" s="809"/>
      <c r="AN701" s="809"/>
      <c r="AO701" s="809"/>
      <c r="AP701" s="809"/>
      <c r="AQ701" s="809"/>
      <c r="AR701" s="809"/>
      <c r="AS701" s="809"/>
      <c r="AT701" s="809"/>
      <c r="AU701" s="809"/>
      <c r="AV701" s="809"/>
      <c r="AW701" s="809"/>
      <c r="AX701" s="809"/>
      <c r="AY701" s="809"/>
      <c r="AZ701" s="809"/>
      <c r="BA701" s="809"/>
      <c r="BB701" s="809"/>
      <c r="BC701" s="809"/>
      <c r="BD701" s="809"/>
      <c r="BE701" s="809"/>
      <c r="BF701" s="809"/>
      <c r="BG701" s="809"/>
      <c r="BH701" s="809"/>
      <c r="BI701" s="809"/>
      <c r="BJ701" s="809"/>
      <c r="BK701" s="809"/>
      <c r="BL701" s="809"/>
      <c r="BM701" s="809"/>
      <c r="BN701" s="809"/>
    </row>
    <row r="702" spans="1:66">
      <c r="A702" s="809"/>
      <c r="B702" s="809"/>
      <c r="C702" s="809"/>
      <c r="D702" s="809"/>
      <c r="E702" s="809"/>
      <c r="F702" s="809"/>
      <c r="G702" s="809"/>
      <c r="H702" s="809"/>
      <c r="I702" s="809"/>
      <c r="J702" s="809"/>
      <c r="K702" s="809"/>
      <c r="L702" s="809"/>
      <c r="M702" s="809"/>
      <c r="N702" s="809"/>
      <c r="O702" s="809"/>
      <c r="P702" s="809"/>
      <c r="Q702" s="809"/>
      <c r="R702" s="809"/>
      <c r="S702" s="809"/>
      <c r="T702" s="809"/>
      <c r="U702" s="809"/>
      <c r="V702" s="809"/>
      <c r="W702" s="809"/>
      <c r="X702" s="809"/>
      <c r="Y702" s="809"/>
      <c r="Z702" s="809"/>
      <c r="AA702" s="809"/>
      <c r="AB702" s="809"/>
      <c r="AC702" s="809"/>
      <c r="AD702" s="809"/>
      <c r="AE702" s="809"/>
      <c r="AF702" s="809"/>
      <c r="AG702" s="809"/>
      <c r="AH702" s="809"/>
      <c r="AI702" s="809"/>
      <c r="AJ702" s="809"/>
      <c r="AK702" s="809"/>
      <c r="AL702" s="809"/>
      <c r="AM702" s="809"/>
      <c r="AN702" s="809"/>
      <c r="AO702" s="809"/>
      <c r="AP702" s="809"/>
      <c r="AQ702" s="809"/>
      <c r="AR702" s="809"/>
      <c r="AS702" s="809"/>
      <c r="AT702" s="809"/>
      <c r="AU702" s="809"/>
      <c r="AV702" s="809"/>
      <c r="AW702" s="809"/>
      <c r="AX702" s="809"/>
      <c r="AY702" s="809"/>
      <c r="AZ702" s="809"/>
      <c r="BA702" s="809"/>
      <c r="BB702" s="809"/>
      <c r="BC702" s="809"/>
      <c r="BD702" s="809"/>
      <c r="BE702" s="809"/>
      <c r="BF702" s="809"/>
      <c r="BG702" s="809"/>
      <c r="BH702" s="809"/>
      <c r="BI702" s="809"/>
      <c r="BJ702" s="809"/>
      <c r="BK702" s="809"/>
      <c r="BL702" s="809"/>
      <c r="BM702" s="809"/>
      <c r="BN702" s="809"/>
    </row>
    <row r="703" spans="1:66">
      <c r="A703" s="809"/>
      <c r="B703" s="809"/>
      <c r="C703" s="809"/>
      <c r="D703" s="809"/>
      <c r="E703" s="809"/>
      <c r="F703" s="809"/>
      <c r="G703" s="809"/>
      <c r="H703" s="809"/>
      <c r="I703" s="809"/>
      <c r="J703" s="809"/>
      <c r="K703" s="809"/>
      <c r="L703" s="809"/>
      <c r="M703" s="809"/>
      <c r="N703" s="809"/>
      <c r="O703" s="809"/>
      <c r="P703" s="809"/>
      <c r="Q703" s="809"/>
      <c r="R703" s="809"/>
      <c r="S703" s="809"/>
      <c r="T703" s="809"/>
      <c r="U703" s="809"/>
      <c r="V703" s="809"/>
      <c r="W703" s="809"/>
      <c r="X703" s="809"/>
      <c r="Y703" s="809"/>
      <c r="Z703" s="809"/>
      <c r="AA703" s="809"/>
      <c r="AB703" s="809"/>
      <c r="AC703" s="809"/>
      <c r="AD703" s="809"/>
      <c r="AE703" s="809"/>
      <c r="AF703" s="809"/>
      <c r="AG703" s="809"/>
      <c r="AH703" s="809"/>
      <c r="AI703" s="809"/>
      <c r="AJ703" s="809"/>
      <c r="AK703" s="809"/>
      <c r="AL703" s="809"/>
      <c r="AM703" s="809"/>
      <c r="AN703" s="809"/>
      <c r="AO703" s="809"/>
      <c r="AP703" s="809"/>
      <c r="AQ703" s="809"/>
      <c r="AR703" s="809"/>
      <c r="AS703" s="809"/>
      <c r="AT703" s="809"/>
      <c r="AU703" s="809"/>
      <c r="AV703" s="809"/>
      <c r="AW703" s="809"/>
      <c r="AX703" s="809"/>
      <c r="AY703" s="809"/>
      <c r="AZ703" s="809"/>
      <c r="BA703" s="809"/>
      <c r="BB703" s="809"/>
      <c r="BC703" s="809"/>
      <c r="BD703" s="809"/>
      <c r="BE703" s="809"/>
      <c r="BF703" s="809"/>
      <c r="BG703" s="809"/>
      <c r="BH703" s="809"/>
      <c r="BI703" s="809"/>
      <c r="BJ703" s="809"/>
      <c r="BK703" s="809"/>
      <c r="BL703" s="809"/>
      <c r="BM703" s="809"/>
      <c r="BN703" s="809"/>
    </row>
    <row r="704" spans="1:66">
      <c r="A704" s="809"/>
      <c r="B704" s="809"/>
      <c r="C704" s="809"/>
      <c r="D704" s="809"/>
      <c r="E704" s="809"/>
      <c r="F704" s="809"/>
      <c r="G704" s="809"/>
      <c r="H704" s="809"/>
      <c r="I704" s="809"/>
      <c r="J704" s="809"/>
      <c r="K704" s="809"/>
      <c r="L704" s="809"/>
      <c r="M704" s="809"/>
      <c r="N704" s="809"/>
      <c r="O704" s="809"/>
      <c r="P704" s="809"/>
      <c r="Q704" s="809"/>
      <c r="R704" s="809"/>
      <c r="S704" s="809"/>
      <c r="T704" s="809"/>
      <c r="U704" s="809"/>
      <c r="V704" s="809"/>
      <c r="W704" s="809"/>
      <c r="X704" s="809"/>
      <c r="Y704" s="809"/>
      <c r="Z704" s="809"/>
      <c r="AA704" s="809"/>
      <c r="AB704" s="809"/>
      <c r="AC704" s="809"/>
      <c r="AD704" s="809"/>
      <c r="AE704" s="809"/>
      <c r="AF704" s="809"/>
      <c r="AG704" s="809"/>
      <c r="AH704" s="809"/>
      <c r="AI704" s="809"/>
      <c r="AJ704" s="809"/>
      <c r="AK704" s="809"/>
      <c r="AL704" s="809"/>
      <c r="AM704" s="809"/>
      <c r="AN704" s="809"/>
      <c r="AO704" s="809"/>
      <c r="AP704" s="809"/>
      <c r="AQ704" s="809"/>
      <c r="AR704" s="809"/>
      <c r="AS704" s="809"/>
      <c r="AT704" s="809"/>
      <c r="AU704" s="809"/>
      <c r="AV704" s="809"/>
      <c r="AW704" s="809"/>
      <c r="AX704" s="809"/>
      <c r="AY704" s="809"/>
      <c r="AZ704" s="809"/>
      <c r="BA704" s="809"/>
      <c r="BB704" s="809"/>
      <c r="BC704" s="809"/>
      <c r="BD704" s="809"/>
      <c r="BE704" s="809"/>
      <c r="BF704" s="809"/>
      <c r="BG704" s="809"/>
      <c r="BH704" s="809"/>
      <c r="BI704" s="809"/>
      <c r="BJ704" s="809"/>
      <c r="BK704" s="809"/>
      <c r="BL704" s="809"/>
      <c r="BM704" s="809"/>
      <c r="BN704" s="809"/>
    </row>
    <row r="705" spans="1:66">
      <c r="A705" s="809"/>
      <c r="B705" s="809"/>
      <c r="C705" s="809"/>
      <c r="D705" s="809"/>
      <c r="E705" s="809"/>
      <c r="F705" s="809"/>
      <c r="G705" s="809"/>
      <c r="H705" s="809"/>
      <c r="I705" s="809"/>
      <c r="J705" s="809"/>
      <c r="K705" s="809"/>
      <c r="L705" s="809"/>
      <c r="M705" s="809"/>
      <c r="N705" s="809"/>
      <c r="O705" s="809"/>
      <c r="P705" s="809"/>
      <c r="Q705" s="809"/>
      <c r="R705" s="809"/>
      <c r="S705" s="809"/>
      <c r="T705" s="809"/>
      <c r="U705" s="809"/>
      <c r="V705" s="809"/>
      <c r="W705" s="809"/>
      <c r="X705" s="809"/>
      <c r="Y705" s="809"/>
      <c r="Z705" s="809"/>
      <c r="AA705" s="809"/>
      <c r="AB705" s="809"/>
      <c r="AC705" s="809"/>
      <c r="AD705" s="809"/>
      <c r="AE705" s="809"/>
      <c r="AF705" s="809"/>
      <c r="AG705" s="809"/>
      <c r="AH705" s="809"/>
      <c r="AI705" s="809"/>
      <c r="AJ705" s="809"/>
      <c r="AK705" s="809"/>
      <c r="AL705" s="809"/>
      <c r="AM705" s="809"/>
      <c r="AN705" s="809"/>
      <c r="AO705" s="809"/>
      <c r="AP705" s="809"/>
      <c r="AQ705" s="809"/>
      <c r="AR705" s="809"/>
      <c r="AS705" s="809"/>
      <c r="AT705" s="809"/>
      <c r="AU705" s="809"/>
      <c r="AV705" s="809"/>
      <c r="AW705" s="809"/>
      <c r="AX705" s="809"/>
      <c r="AY705" s="809"/>
      <c r="AZ705" s="809"/>
      <c r="BA705" s="809"/>
      <c r="BB705" s="809"/>
      <c r="BC705" s="809"/>
      <c r="BD705" s="809"/>
      <c r="BE705" s="809"/>
      <c r="BF705" s="809"/>
      <c r="BG705" s="809"/>
      <c r="BH705" s="809"/>
      <c r="BI705" s="809"/>
      <c r="BJ705" s="809"/>
      <c r="BK705" s="809"/>
      <c r="BL705" s="809"/>
      <c r="BM705" s="809"/>
      <c r="BN705" s="809"/>
    </row>
    <row r="706" spans="1:66">
      <c r="A706" s="809"/>
      <c r="B706" s="809"/>
      <c r="C706" s="809"/>
      <c r="D706" s="809"/>
      <c r="E706" s="809"/>
      <c r="F706" s="809"/>
      <c r="G706" s="809"/>
      <c r="H706" s="809"/>
      <c r="I706" s="809"/>
      <c r="J706" s="809"/>
      <c r="K706" s="809"/>
      <c r="L706" s="809"/>
      <c r="M706" s="809"/>
      <c r="N706" s="809"/>
      <c r="O706" s="809"/>
      <c r="P706" s="809"/>
      <c r="Q706" s="809"/>
      <c r="R706" s="809"/>
      <c r="S706" s="809"/>
      <c r="T706" s="809"/>
      <c r="U706" s="809"/>
      <c r="V706" s="809"/>
      <c r="W706" s="809"/>
      <c r="X706" s="809"/>
      <c r="Y706" s="809"/>
      <c r="Z706" s="809"/>
      <c r="AA706" s="809"/>
      <c r="AB706" s="809"/>
      <c r="AC706" s="809"/>
      <c r="AD706" s="809"/>
      <c r="AE706" s="809"/>
      <c r="AF706" s="809"/>
      <c r="AG706" s="809"/>
      <c r="AH706" s="809"/>
      <c r="AI706" s="809"/>
      <c r="AJ706" s="809"/>
      <c r="AK706" s="809"/>
      <c r="AL706" s="809"/>
      <c r="AM706" s="809"/>
      <c r="AN706" s="809"/>
      <c r="AO706" s="809"/>
      <c r="AP706" s="809"/>
      <c r="AQ706" s="809"/>
      <c r="AR706" s="809"/>
      <c r="AS706" s="809"/>
      <c r="AT706" s="809"/>
      <c r="AU706" s="809"/>
      <c r="AV706" s="809"/>
      <c r="AW706" s="809"/>
      <c r="AX706" s="809"/>
      <c r="AY706" s="809"/>
      <c r="AZ706" s="809"/>
      <c r="BA706" s="809"/>
      <c r="BB706" s="809"/>
      <c r="BC706" s="809"/>
      <c r="BD706" s="809"/>
      <c r="BE706" s="809"/>
      <c r="BF706" s="809"/>
      <c r="BG706" s="809"/>
      <c r="BH706" s="809"/>
      <c r="BI706" s="809"/>
      <c r="BJ706" s="809"/>
      <c r="BK706" s="809"/>
      <c r="BL706" s="809"/>
      <c r="BM706" s="809"/>
      <c r="BN706" s="809"/>
    </row>
    <row r="707" spans="1:66">
      <c r="A707" s="809"/>
      <c r="B707" s="809"/>
      <c r="C707" s="809"/>
      <c r="D707" s="809"/>
      <c r="E707" s="809"/>
      <c r="F707" s="809"/>
      <c r="G707" s="809"/>
      <c r="H707" s="809"/>
      <c r="I707" s="809"/>
      <c r="J707" s="809"/>
      <c r="K707" s="809"/>
      <c r="L707" s="809"/>
      <c r="M707" s="809"/>
      <c r="N707" s="809"/>
      <c r="O707" s="809"/>
      <c r="P707" s="809"/>
      <c r="Q707" s="809"/>
      <c r="R707" s="809"/>
      <c r="S707" s="809"/>
      <c r="T707" s="809"/>
      <c r="U707" s="809"/>
      <c r="V707" s="809"/>
      <c r="W707" s="809"/>
      <c r="X707" s="809"/>
      <c r="Y707" s="809"/>
      <c r="Z707" s="809"/>
      <c r="AA707" s="809"/>
      <c r="AB707" s="809"/>
      <c r="AC707" s="809"/>
      <c r="AD707" s="809"/>
      <c r="AE707" s="809"/>
      <c r="AF707" s="809"/>
      <c r="AG707" s="809"/>
      <c r="AH707" s="809"/>
      <c r="AI707" s="809"/>
      <c r="AJ707" s="809"/>
      <c r="AK707" s="809"/>
      <c r="AL707" s="809"/>
      <c r="AM707" s="809"/>
      <c r="AN707" s="809"/>
      <c r="AO707" s="809"/>
      <c r="AP707" s="809"/>
      <c r="AQ707" s="809"/>
      <c r="AR707" s="809"/>
      <c r="AS707" s="809"/>
      <c r="AT707" s="809"/>
      <c r="AU707" s="809"/>
      <c r="AV707" s="809"/>
      <c r="AW707" s="809"/>
      <c r="AX707" s="809"/>
      <c r="AY707" s="809"/>
      <c r="AZ707" s="809"/>
      <c r="BA707" s="809"/>
      <c r="BB707" s="809"/>
      <c r="BC707" s="809"/>
      <c r="BD707" s="809"/>
      <c r="BE707" s="809"/>
      <c r="BF707" s="809"/>
      <c r="BG707" s="809"/>
      <c r="BH707" s="809"/>
      <c r="BI707" s="809"/>
      <c r="BJ707" s="809"/>
      <c r="BK707" s="809"/>
      <c r="BL707" s="809"/>
      <c r="BM707" s="809"/>
      <c r="BN707" s="809"/>
    </row>
    <row r="708" spans="1:66">
      <c r="A708" s="809"/>
      <c r="B708" s="809"/>
      <c r="C708" s="809"/>
      <c r="D708" s="809"/>
      <c r="E708" s="809"/>
      <c r="F708" s="809"/>
      <c r="G708" s="809"/>
      <c r="H708" s="809"/>
      <c r="I708" s="809"/>
      <c r="J708" s="809"/>
      <c r="K708" s="809"/>
      <c r="L708" s="809"/>
      <c r="M708" s="809"/>
      <c r="N708" s="809"/>
      <c r="O708" s="809"/>
      <c r="P708" s="809"/>
      <c r="Q708" s="809"/>
      <c r="R708" s="809"/>
      <c r="S708" s="809"/>
      <c r="T708" s="809"/>
      <c r="U708" s="809"/>
      <c r="V708" s="809"/>
      <c r="W708" s="809"/>
      <c r="X708" s="809"/>
      <c r="Y708" s="809"/>
      <c r="Z708" s="809"/>
      <c r="AA708" s="809"/>
      <c r="AB708" s="809"/>
      <c r="AC708" s="809"/>
      <c r="AD708" s="809"/>
      <c r="AE708" s="809"/>
      <c r="AF708" s="809"/>
      <c r="AG708" s="809"/>
      <c r="AH708" s="809"/>
      <c r="AI708" s="809"/>
      <c r="AJ708" s="809"/>
      <c r="AK708" s="809"/>
      <c r="AL708" s="809"/>
      <c r="AM708" s="809"/>
      <c r="AN708" s="809"/>
      <c r="AO708" s="809"/>
      <c r="AP708" s="809"/>
      <c r="AQ708" s="809"/>
      <c r="AR708" s="809"/>
      <c r="AS708" s="809"/>
      <c r="AT708" s="809"/>
      <c r="AU708" s="809"/>
      <c r="AV708" s="809"/>
      <c r="AW708" s="809"/>
      <c r="AX708" s="809"/>
      <c r="AY708" s="809"/>
      <c r="AZ708" s="809"/>
      <c r="BA708" s="809"/>
      <c r="BB708" s="809"/>
      <c r="BC708" s="809"/>
      <c r="BD708" s="809"/>
      <c r="BE708" s="809"/>
      <c r="BF708" s="809"/>
      <c r="BG708" s="809"/>
      <c r="BH708" s="809"/>
      <c r="BI708" s="809"/>
      <c r="BJ708" s="809"/>
      <c r="BK708" s="809"/>
      <c r="BL708" s="809"/>
      <c r="BM708" s="809"/>
      <c r="BN708" s="809"/>
    </row>
    <row r="709" spans="1:66">
      <c r="A709" s="809"/>
      <c r="B709" s="809"/>
      <c r="C709" s="809"/>
      <c r="D709" s="809"/>
      <c r="E709" s="809"/>
      <c r="F709" s="809"/>
      <c r="G709" s="809"/>
      <c r="H709" s="809"/>
      <c r="I709" s="809"/>
      <c r="J709" s="809"/>
      <c r="K709" s="809"/>
      <c r="L709" s="809"/>
      <c r="M709" s="809"/>
      <c r="N709" s="809"/>
      <c r="O709" s="809"/>
      <c r="P709" s="809"/>
      <c r="Q709" s="809"/>
      <c r="R709" s="809"/>
      <c r="S709" s="809"/>
      <c r="T709" s="809"/>
      <c r="U709" s="809"/>
      <c r="V709" s="809"/>
      <c r="W709" s="809"/>
      <c r="X709" s="809"/>
      <c r="Y709" s="809"/>
      <c r="Z709" s="809"/>
      <c r="AA709" s="809"/>
      <c r="AB709" s="809"/>
      <c r="AC709" s="809"/>
      <c r="AD709" s="809"/>
      <c r="AE709" s="809"/>
      <c r="AF709" s="809"/>
      <c r="AG709" s="809"/>
      <c r="AH709" s="809"/>
      <c r="AI709" s="809"/>
      <c r="AJ709" s="809"/>
      <c r="AK709" s="809"/>
      <c r="AL709" s="809"/>
      <c r="AM709" s="809"/>
      <c r="AN709" s="809"/>
      <c r="AO709" s="809"/>
      <c r="AP709" s="809"/>
      <c r="AQ709" s="809"/>
      <c r="AR709" s="809"/>
      <c r="AS709" s="809"/>
      <c r="AT709" s="809"/>
      <c r="AU709" s="809"/>
      <c r="AV709" s="809"/>
      <c r="AW709" s="809"/>
      <c r="AX709" s="809"/>
      <c r="AY709" s="809"/>
      <c r="AZ709" s="809"/>
      <c r="BA709" s="809"/>
      <c r="BB709" s="809"/>
      <c r="BC709" s="809"/>
      <c r="BD709" s="809"/>
      <c r="BE709" s="809"/>
      <c r="BF709" s="809"/>
      <c r="BG709" s="809"/>
      <c r="BH709" s="809"/>
      <c r="BI709" s="809"/>
      <c r="BJ709" s="809"/>
      <c r="BK709" s="809"/>
      <c r="BL709" s="809"/>
      <c r="BM709" s="809"/>
      <c r="BN709" s="809"/>
    </row>
    <row r="710" spans="1:66">
      <c r="A710" s="809"/>
      <c r="B710" s="809"/>
      <c r="C710" s="809"/>
      <c r="D710" s="809"/>
      <c r="E710" s="809"/>
      <c r="F710" s="809"/>
      <c r="G710" s="809"/>
      <c r="H710" s="809"/>
      <c r="I710" s="809"/>
      <c r="J710" s="809"/>
      <c r="K710" s="809"/>
      <c r="L710" s="809"/>
      <c r="M710" s="809"/>
      <c r="N710" s="809"/>
      <c r="O710" s="809"/>
      <c r="P710" s="809"/>
      <c r="Q710" s="809"/>
      <c r="R710" s="809"/>
      <c r="S710" s="809"/>
      <c r="T710" s="809"/>
      <c r="U710" s="809"/>
      <c r="V710" s="809"/>
      <c r="W710" s="809"/>
      <c r="X710" s="809"/>
      <c r="Y710" s="809"/>
      <c r="Z710" s="809"/>
      <c r="AA710" s="809"/>
      <c r="AB710" s="809"/>
      <c r="AC710" s="809"/>
      <c r="AD710" s="809"/>
      <c r="AE710" s="809"/>
      <c r="AF710" s="809"/>
      <c r="AG710" s="809"/>
      <c r="AH710" s="809"/>
      <c r="AI710" s="809"/>
      <c r="AJ710" s="809"/>
      <c r="AK710" s="809"/>
      <c r="AL710" s="809"/>
      <c r="AM710" s="809"/>
      <c r="AN710" s="809"/>
      <c r="AO710" s="809"/>
      <c r="AP710" s="809"/>
      <c r="AQ710" s="809"/>
      <c r="AR710" s="809"/>
      <c r="AS710" s="809"/>
      <c r="AT710" s="809"/>
      <c r="AU710" s="809"/>
      <c r="AV710" s="809"/>
      <c r="AW710" s="809"/>
      <c r="AX710" s="809"/>
      <c r="AY710" s="809"/>
      <c r="AZ710" s="809"/>
      <c r="BA710" s="809"/>
      <c r="BB710" s="809"/>
      <c r="BC710" s="809"/>
      <c r="BD710" s="809"/>
      <c r="BE710" s="809"/>
      <c r="BF710" s="809"/>
      <c r="BG710" s="809"/>
      <c r="BH710" s="809"/>
      <c r="BI710" s="809"/>
      <c r="BJ710" s="809"/>
      <c r="BK710" s="809"/>
      <c r="BL710" s="809"/>
      <c r="BM710" s="809"/>
      <c r="BN710" s="809"/>
    </row>
    <row r="711" spans="1:66">
      <c r="A711" s="809"/>
      <c r="B711" s="809"/>
      <c r="C711" s="809"/>
      <c r="D711" s="809"/>
      <c r="E711" s="809"/>
      <c r="F711" s="809"/>
      <c r="G711" s="809"/>
      <c r="H711" s="809"/>
      <c r="I711" s="809"/>
      <c r="J711" s="809"/>
      <c r="K711" s="809"/>
      <c r="L711" s="809"/>
      <c r="M711" s="809"/>
      <c r="N711" s="809"/>
      <c r="O711" s="809"/>
      <c r="P711" s="809"/>
      <c r="Q711" s="809"/>
      <c r="R711" s="809"/>
      <c r="S711" s="809"/>
      <c r="T711" s="809"/>
      <c r="U711" s="809"/>
      <c r="V711" s="809"/>
      <c r="W711" s="809"/>
      <c r="X711" s="809"/>
      <c r="Y711" s="809"/>
      <c r="Z711" s="809"/>
      <c r="AA711" s="809"/>
      <c r="AB711" s="809"/>
      <c r="AC711" s="809"/>
      <c r="AD711" s="809"/>
      <c r="AE711" s="809"/>
      <c r="AF711" s="809"/>
      <c r="AG711" s="809"/>
      <c r="AH711" s="809"/>
      <c r="AI711" s="809"/>
      <c r="AJ711" s="809"/>
      <c r="AK711" s="809"/>
      <c r="AL711" s="809"/>
      <c r="AM711" s="809"/>
      <c r="AN711" s="809"/>
      <c r="AO711" s="809"/>
      <c r="AP711" s="809"/>
      <c r="AQ711" s="809"/>
      <c r="AR711" s="809"/>
      <c r="AS711" s="809"/>
      <c r="AT711" s="809"/>
      <c r="AU711" s="809"/>
      <c r="AV711" s="809"/>
      <c r="AW711" s="809"/>
      <c r="AX711" s="809"/>
      <c r="AY711" s="809"/>
      <c r="AZ711" s="809"/>
      <c r="BA711" s="809"/>
      <c r="BB711" s="809"/>
      <c r="BC711" s="809"/>
      <c r="BD711" s="809"/>
      <c r="BE711" s="809"/>
      <c r="BF711" s="809"/>
      <c r="BG711" s="809"/>
      <c r="BH711" s="809"/>
      <c r="BI711" s="809"/>
      <c r="BJ711" s="809"/>
      <c r="BK711" s="809"/>
      <c r="BL711" s="809"/>
      <c r="BM711" s="809"/>
      <c r="BN711" s="809"/>
    </row>
    <row r="712" spans="1:66">
      <c r="A712" s="809"/>
      <c r="B712" s="809"/>
      <c r="C712" s="809"/>
      <c r="D712" s="809"/>
      <c r="E712" s="809"/>
      <c r="F712" s="809"/>
      <c r="G712" s="809"/>
      <c r="H712" s="809"/>
      <c r="I712" s="809"/>
      <c r="J712" s="809"/>
      <c r="K712" s="809"/>
      <c r="L712" s="809"/>
      <c r="M712" s="809"/>
      <c r="N712" s="809"/>
      <c r="O712" s="809"/>
      <c r="P712" s="809"/>
      <c r="Q712" s="809"/>
      <c r="R712" s="809"/>
      <c r="S712" s="809"/>
      <c r="T712" s="809"/>
      <c r="U712" s="809"/>
      <c r="V712" s="809"/>
      <c r="W712" s="809"/>
      <c r="X712" s="809"/>
      <c r="Y712" s="809"/>
      <c r="Z712" s="809"/>
      <c r="AA712" s="809"/>
      <c r="AB712" s="809"/>
      <c r="AC712" s="809"/>
      <c r="AD712" s="809"/>
      <c r="AE712" s="809"/>
      <c r="AF712" s="809"/>
      <c r="AG712" s="809"/>
      <c r="AH712" s="809"/>
      <c r="AI712" s="809"/>
      <c r="AJ712" s="809"/>
      <c r="AK712" s="809"/>
      <c r="AL712" s="809"/>
      <c r="AM712" s="809"/>
      <c r="AN712" s="809"/>
      <c r="AO712" s="809"/>
      <c r="AP712" s="809"/>
      <c r="AQ712" s="809"/>
      <c r="AR712" s="809"/>
      <c r="AS712" s="809"/>
      <c r="AT712" s="809"/>
      <c r="AU712" s="809"/>
      <c r="AV712" s="809"/>
      <c r="AW712" s="809"/>
      <c r="AX712" s="809"/>
      <c r="AY712" s="809"/>
      <c r="AZ712" s="809"/>
      <c r="BA712" s="809"/>
      <c r="BB712" s="809"/>
      <c r="BC712" s="809"/>
      <c r="BD712" s="809"/>
      <c r="BE712" s="809"/>
      <c r="BF712" s="809"/>
      <c r="BG712" s="809"/>
      <c r="BH712" s="809"/>
      <c r="BI712" s="809"/>
      <c r="BJ712" s="809"/>
      <c r="BK712" s="809"/>
      <c r="BL712" s="809"/>
      <c r="BM712" s="809"/>
      <c r="BN712" s="809"/>
    </row>
    <row r="713" spans="1:66">
      <c r="A713" s="809"/>
      <c r="B713" s="809"/>
      <c r="C713" s="809"/>
      <c r="D713" s="809"/>
      <c r="E713" s="809"/>
      <c r="F713" s="809"/>
      <c r="G713" s="809"/>
      <c r="H713" s="809"/>
      <c r="I713" s="809"/>
      <c r="J713" s="809"/>
      <c r="K713" s="809"/>
      <c r="L713" s="809"/>
      <c r="M713" s="809"/>
      <c r="N713" s="809"/>
      <c r="O713" s="809"/>
      <c r="P713" s="809"/>
      <c r="Q713" s="809"/>
      <c r="R713" s="809"/>
      <c r="S713" s="809"/>
      <c r="T713" s="809"/>
      <c r="U713" s="809"/>
      <c r="V713" s="809"/>
      <c r="W713" s="809"/>
      <c r="X713" s="809"/>
      <c r="Y713" s="809"/>
      <c r="Z713" s="809"/>
      <c r="AA713" s="809"/>
      <c r="AB713" s="809"/>
      <c r="AC713" s="809"/>
      <c r="AD713" s="809"/>
      <c r="AE713" s="809"/>
      <c r="AF713" s="809"/>
      <c r="AG713" s="809"/>
      <c r="AH713" s="809"/>
      <c r="AI713" s="809"/>
      <c r="AJ713" s="809"/>
      <c r="AK713" s="809"/>
      <c r="AL713" s="809"/>
      <c r="AM713" s="809"/>
      <c r="AN713" s="809"/>
      <c r="AO713" s="809"/>
      <c r="AP713" s="809"/>
      <c r="AQ713" s="809"/>
      <c r="AR713" s="809"/>
      <c r="AS713" s="809"/>
      <c r="AT713" s="809"/>
      <c r="AU713" s="809"/>
      <c r="AV713" s="809"/>
      <c r="AW713" s="809"/>
      <c r="AX713" s="809"/>
      <c r="AY713" s="809"/>
      <c r="AZ713" s="809"/>
      <c r="BA713" s="809"/>
      <c r="BB713" s="809"/>
      <c r="BC713" s="809"/>
      <c r="BD713" s="809"/>
      <c r="BE713" s="809"/>
      <c r="BF713" s="809"/>
      <c r="BG713" s="809"/>
      <c r="BH713" s="809"/>
      <c r="BI713" s="809"/>
      <c r="BJ713" s="809"/>
      <c r="BK713" s="809"/>
      <c r="BL713" s="809"/>
      <c r="BM713" s="809"/>
      <c r="BN713" s="809"/>
    </row>
    <row r="714" spans="1:66">
      <c r="A714" s="809"/>
      <c r="B714" s="809"/>
      <c r="C714" s="809"/>
      <c r="D714" s="809"/>
      <c r="E714" s="809"/>
      <c r="F714" s="809"/>
      <c r="G714" s="809"/>
      <c r="H714" s="809"/>
      <c r="I714" s="809"/>
      <c r="J714" s="809"/>
      <c r="K714" s="809"/>
      <c r="L714" s="809"/>
      <c r="M714" s="809"/>
      <c r="N714" s="809"/>
      <c r="O714" s="809"/>
      <c r="P714" s="809"/>
      <c r="Q714" s="809"/>
      <c r="R714" s="809"/>
      <c r="S714" s="809"/>
      <c r="T714" s="809"/>
      <c r="U714" s="809"/>
      <c r="V714" s="809"/>
      <c r="W714" s="809"/>
      <c r="X714" s="809"/>
      <c r="Y714" s="809"/>
      <c r="Z714" s="809"/>
      <c r="AA714" s="809"/>
      <c r="AB714" s="809"/>
      <c r="AC714" s="809"/>
      <c r="AD714" s="809"/>
      <c r="AE714" s="809"/>
      <c r="AF714" s="809"/>
      <c r="AG714" s="809"/>
      <c r="AH714" s="809"/>
      <c r="AI714" s="809"/>
      <c r="AJ714" s="809"/>
      <c r="AK714" s="809"/>
      <c r="AL714" s="809"/>
      <c r="AM714" s="809"/>
      <c r="AN714" s="809"/>
      <c r="AO714" s="809"/>
      <c r="AP714" s="809"/>
      <c r="AQ714" s="809"/>
      <c r="AR714" s="809"/>
      <c r="AS714" s="809"/>
      <c r="AT714" s="809"/>
      <c r="AU714" s="809"/>
      <c r="AV714" s="809"/>
      <c r="AW714" s="809"/>
      <c r="AX714" s="809"/>
      <c r="AY714" s="809"/>
      <c r="AZ714" s="809"/>
      <c r="BA714" s="809"/>
      <c r="BB714" s="809"/>
      <c r="BC714" s="809"/>
      <c r="BD714" s="809"/>
      <c r="BE714" s="809"/>
      <c r="BF714" s="809"/>
      <c r="BG714" s="809"/>
      <c r="BH714" s="809"/>
      <c r="BI714" s="809"/>
      <c r="BJ714" s="809"/>
      <c r="BK714" s="809"/>
      <c r="BL714" s="809"/>
      <c r="BM714" s="809"/>
      <c r="BN714" s="809"/>
    </row>
    <row r="715" spans="1:66">
      <c r="A715" s="809"/>
      <c r="B715" s="809"/>
      <c r="C715" s="809"/>
      <c r="D715" s="809"/>
      <c r="E715" s="809"/>
      <c r="F715" s="809"/>
      <c r="G715" s="809"/>
      <c r="H715" s="809"/>
      <c r="I715" s="809"/>
      <c r="J715" s="809"/>
      <c r="K715" s="809"/>
      <c r="L715" s="809"/>
      <c r="M715" s="809"/>
      <c r="N715" s="809"/>
      <c r="O715" s="809"/>
      <c r="P715" s="809"/>
      <c r="Q715" s="809"/>
      <c r="R715" s="809"/>
      <c r="S715" s="809"/>
      <c r="T715" s="809"/>
      <c r="U715" s="809"/>
      <c r="V715" s="809"/>
      <c r="W715" s="809"/>
      <c r="X715" s="809"/>
      <c r="Y715" s="809"/>
      <c r="Z715" s="809"/>
      <c r="AA715" s="809"/>
      <c r="AB715" s="809"/>
      <c r="AC715" s="809"/>
      <c r="AD715" s="809"/>
      <c r="AE715" s="809"/>
      <c r="AF715" s="809"/>
      <c r="AG715" s="809"/>
      <c r="AH715" s="809"/>
      <c r="AI715" s="809"/>
      <c r="AJ715" s="809"/>
      <c r="AK715" s="809"/>
      <c r="AL715" s="809"/>
      <c r="AM715" s="809"/>
      <c r="AN715" s="809"/>
      <c r="AO715" s="809"/>
      <c r="AP715" s="809"/>
      <c r="AQ715" s="809"/>
      <c r="AR715" s="809"/>
      <c r="AS715" s="809"/>
      <c r="AT715" s="809"/>
      <c r="AU715" s="809"/>
      <c r="AV715" s="809"/>
      <c r="AW715" s="809"/>
      <c r="AX715" s="809"/>
      <c r="AY715" s="809"/>
      <c r="AZ715" s="809"/>
      <c r="BA715" s="809"/>
      <c r="BB715" s="809"/>
      <c r="BC715" s="809"/>
      <c r="BD715" s="809"/>
      <c r="BE715" s="809"/>
      <c r="BF715" s="809"/>
      <c r="BG715" s="809"/>
      <c r="BH715" s="809"/>
      <c r="BI715" s="809"/>
      <c r="BJ715" s="809"/>
      <c r="BK715" s="809"/>
      <c r="BL715" s="809"/>
      <c r="BM715" s="809"/>
      <c r="BN715" s="809"/>
    </row>
    <row r="716" spans="1:66">
      <c r="A716" s="809"/>
      <c r="B716" s="809"/>
      <c r="C716" s="809"/>
      <c r="D716" s="809"/>
      <c r="E716" s="809"/>
      <c r="F716" s="809"/>
      <c r="G716" s="809"/>
      <c r="H716" s="809"/>
      <c r="I716" s="809"/>
      <c r="J716" s="809"/>
      <c r="K716" s="809"/>
      <c r="L716" s="809"/>
      <c r="M716" s="809"/>
      <c r="N716" s="809"/>
      <c r="O716" s="809"/>
      <c r="P716" s="809"/>
      <c r="Q716" s="809"/>
      <c r="R716" s="809"/>
      <c r="S716" s="809"/>
      <c r="T716" s="809"/>
      <c r="U716" s="809"/>
      <c r="V716" s="809"/>
      <c r="W716" s="809"/>
      <c r="X716" s="809"/>
      <c r="Y716" s="809"/>
      <c r="Z716" s="809"/>
      <c r="AA716" s="809"/>
      <c r="AB716" s="809"/>
      <c r="AC716" s="809"/>
      <c r="AD716" s="809"/>
      <c r="AE716" s="809"/>
      <c r="AF716" s="809"/>
      <c r="AG716" s="809"/>
      <c r="AH716" s="809"/>
      <c r="AI716" s="809"/>
      <c r="AJ716" s="809"/>
      <c r="AK716" s="809"/>
      <c r="AL716" s="809"/>
      <c r="AM716" s="809"/>
      <c r="AN716" s="809"/>
      <c r="AO716" s="809"/>
      <c r="AP716" s="809"/>
      <c r="AQ716" s="809"/>
      <c r="AR716" s="809"/>
      <c r="AS716" s="809"/>
      <c r="AT716" s="809"/>
      <c r="AU716" s="809"/>
      <c r="AV716" s="809"/>
      <c r="AW716" s="809"/>
      <c r="AX716" s="809"/>
      <c r="AY716" s="809"/>
      <c r="AZ716" s="809"/>
      <c r="BA716" s="809"/>
      <c r="BB716" s="809"/>
      <c r="BC716" s="809"/>
      <c r="BD716" s="809"/>
      <c r="BE716" s="809"/>
      <c r="BF716" s="809"/>
      <c r="BG716" s="809"/>
      <c r="BH716" s="809"/>
      <c r="BI716" s="809"/>
      <c r="BJ716" s="809"/>
      <c r="BK716" s="809"/>
      <c r="BL716" s="809"/>
      <c r="BM716" s="809"/>
      <c r="BN716" s="809"/>
    </row>
    <row r="717" spans="1:66">
      <c r="A717" s="809"/>
      <c r="B717" s="809"/>
      <c r="C717" s="809"/>
      <c r="D717" s="809"/>
      <c r="E717" s="809"/>
      <c r="F717" s="809"/>
      <c r="G717" s="809"/>
      <c r="H717" s="809"/>
      <c r="I717" s="809"/>
      <c r="J717" s="809"/>
      <c r="K717" s="809"/>
      <c r="L717" s="809"/>
      <c r="M717" s="809"/>
      <c r="N717" s="809"/>
      <c r="O717" s="809"/>
      <c r="P717" s="809"/>
      <c r="Q717" s="809"/>
      <c r="R717" s="809"/>
      <c r="S717" s="809"/>
      <c r="T717" s="809"/>
      <c r="U717" s="809"/>
      <c r="V717" s="809"/>
      <c r="W717" s="809"/>
      <c r="X717" s="809"/>
      <c r="Y717" s="809"/>
      <c r="Z717" s="809"/>
      <c r="AA717" s="809"/>
      <c r="AB717" s="809"/>
      <c r="AC717" s="809"/>
      <c r="AD717" s="809"/>
      <c r="AE717" s="809"/>
      <c r="AF717" s="809"/>
      <c r="AG717" s="809"/>
      <c r="AH717" s="809"/>
      <c r="AI717" s="809"/>
      <c r="AJ717" s="809"/>
      <c r="AK717" s="809"/>
      <c r="AL717" s="809"/>
      <c r="AM717" s="809"/>
      <c r="AN717" s="809"/>
      <c r="AO717" s="809"/>
      <c r="AP717" s="809"/>
      <c r="AQ717" s="809"/>
      <c r="AR717" s="809"/>
      <c r="AS717" s="809"/>
      <c r="AT717" s="809"/>
      <c r="AU717" s="809"/>
      <c r="AV717" s="809"/>
      <c r="AW717" s="809"/>
      <c r="AX717" s="809"/>
      <c r="AY717" s="809"/>
      <c r="AZ717" s="809"/>
      <c r="BA717" s="809"/>
      <c r="BB717" s="809"/>
      <c r="BC717" s="809"/>
      <c r="BD717" s="809"/>
      <c r="BE717" s="809"/>
      <c r="BF717" s="809"/>
      <c r="BG717" s="809"/>
      <c r="BH717" s="809"/>
      <c r="BI717" s="809"/>
      <c r="BJ717" s="809"/>
      <c r="BK717" s="809"/>
      <c r="BL717" s="809"/>
      <c r="BM717" s="809"/>
      <c r="BN717" s="809"/>
    </row>
    <row r="718" spans="1:66">
      <c r="A718" s="809"/>
      <c r="B718" s="809"/>
      <c r="C718" s="809"/>
      <c r="D718" s="809"/>
      <c r="E718" s="809"/>
      <c r="F718" s="809"/>
      <c r="G718" s="809"/>
      <c r="H718" s="809"/>
      <c r="I718" s="809"/>
      <c r="J718" s="809"/>
      <c r="K718" s="809"/>
      <c r="L718" s="809"/>
      <c r="M718" s="809"/>
      <c r="N718" s="809"/>
      <c r="O718" s="809"/>
      <c r="P718" s="809"/>
      <c r="Q718" s="809"/>
      <c r="R718" s="809"/>
      <c r="S718" s="809"/>
      <c r="T718" s="809"/>
      <c r="U718" s="809"/>
      <c r="V718" s="809"/>
      <c r="W718" s="809"/>
      <c r="X718" s="809"/>
      <c r="Y718" s="809"/>
      <c r="Z718" s="809"/>
      <c r="AA718" s="809"/>
      <c r="AB718" s="809"/>
      <c r="AC718" s="809"/>
      <c r="AD718" s="809"/>
      <c r="AE718" s="809"/>
      <c r="AF718" s="809"/>
      <c r="AG718" s="809"/>
      <c r="AH718" s="809"/>
      <c r="AI718" s="809"/>
      <c r="AJ718" s="809"/>
      <c r="AK718" s="809"/>
      <c r="AL718" s="809"/>
      <c r="AM718" s="809"/>
      <c r="AN718" s="809"/>
      <c r="AO718" s="809"/>
      <c r="AP718" s="809"/>
      <c r="AQ718" s="809"/>
      <c r="AR718" s="809"/>
      <c r="AS718" s="809"/>
      <c r="AT718" s="809"/>
      <c r="AU718" s="809"/>
      <c r="AV718" s="809"/>
      <c r="AW718" s="809"/>
      <c r="AX718" s="809"/>
      <c r="AY718" s="809"/>
      <c r="AZ718" s="809"/>
      <c r="BA718" s="809"/>
      <c r="BB718" s="809"/>
      <c r="BC718" s="809"/>
      <c r="BD718" s="809"/>
      <c r="BE718" s="809"/>
      <c r="BF718" s="809"/>
      <c r="BG718" s="809"/>
      <c r="BH718" s="809"/>
      <c r="BI718" s="809"/>
      <c r="BJ718" s="809"/>
      <c r="BK718" s="809"/>
      <c r="BL718" s="809"/>
      <c r="BM718" s="809"/>
      <c r="BN718" s="809"/>
    </row>
    <row r="719" spans="1:66">
      <c r="A719" s="809"/>
      <c r="B719" s="809"/>
      <c r="C719" s="809"/>
      <c r="D719" s="809"/>
      <c r="E719" s="809"/>
      <c r="F719" s="809"/>
      <c r="G719" s="809"/>
      <c r="H719" s="809"/>
      <c r="I719" s="809"/>
      <c r="J719" s="809"/>
      <c r="K719" s="809"/>
      <c r="L719" s="809"/>
      <c r="M719" s="809"/>
      <c r="N719" s="809"/>
      <c r="O719" s="809"/>
      <c r="P719" s="809"/>
      <c r="Q719" s="809"/>
      <c r="R719" s="809"/>
      <c r="S719" s="809"/>
      <c r="T719" s="809"/>
      <c r="U719" s="809"/>
      <c r="V719" s="809"/>
      <c r="W719" s="809"/>
      <c r="X719" s="809"/>
      <c r="Y719" s="809"/>
      <c r="Z719" s="809"/>
      <c r="AA719" s="809"/>
      <c r="AB719" s="809"/>
      <c r="AC719" s="809"/>
      <c r="AD719" s="809"/>
      <c r="AE719" s="809"/>
      <c r="AF719" s="809"/>
      <c r="AG719" s="809"/>
      <c r="AH719" s="809"/>
      <c r="AI719" s="809"/>
      <c r="AJ719" s="809"/>
      <c r="AK719" s="809"/>
      <c r="AL719" s="809"/>
      <c r="AM719" s="809"/>
      <c r="AN719" s="809"/>
      <c r="AO719" s="809"/>
      <c r="AP719" s="809"/>
      <c r="AQ719" s="809"/>
      <c r="AR719" s="809"/>
      <c r="AS719" s="809"/>
      <c r="AT719" s="809"/>
      <c r="AU719" s="809"/>
      <c r="AV719" s="809"/>
      <c r="AW719" s="809"/>
      <c r="AX719" s="809"/>
      <c r="AY719" s="809"/>
      <c r="AZ719" s="809"/>
      <c r="BA719" s="809"/>
      <c r="BB719" s="809"/>
      <c r="BC719" s="809"/>
      <c r="BD719" s="809"/>
      <c r="BE719" s="809"/>
      <c r="BF719" s="809"/>
      <c r="BG719" s="809"/>
      <c r="BH719" s="809"/>
      <c r="BI719" s="809"/>
      <c r="BJ719" s="809"/>
      <c r="BK719" s="809"/>
      <c r="BL719" s="809"/>
      <c r="BM719" s="809"/>
      <c r="BN719" s="809"/>
    </row>
    <row r="720" spans="1:66">
      <c r="A720" s="809"/>
      <c r="B720" s="809"/>
      <c r="C720" s="809"/>
      <c r="D720" s="809"/>
      <c r="E720" s="809"/>
      <c r="F720" s="809"/>
      <c r="G720" s="809"/>
      <c r="H720" s="809"/>
      <c r="I720" s="809"/>
      <c r="J720" s="809"/>
      <c r="K720" s="809"/>
      <c r="L720" s="809"/>
      <c r="M720" s="809"/>
      <c r="N720" s="809"/>
      <c r="O720" s="809"/>
      <c r="P720" s="809"/>
      <c r="Q720" s="809"/>
      <c r="R720" s="809"/>
      <c r="S720" s="809"/>
      <c r="T720" s="809"/>
      <c r="U720" s="809"/>
      <c r="V720" s="809"/>
      <c r="W720" s="809"/>
      <c r="X720" s="809"/>
      <c r="Y720" s="809"/>
      <c r="Z720" s="809"/>
      <c r="AA720" s="809"/>
      <c r="AB720" s="809"/>
      <c r="AC720" s="809"/>
      <c r="AD720" s="809"/>
      <c r="AE720" s="809"/>
      <c r="AF720" s="809"/>
      <c r="AG720" s="809"/>
      <c r="AH720" s="809"/>
      <c r="AI720" s="809"/>
      <c r="AJ720" s="809"/>
      <c r="AK720" s="809"/>
      <c r="AL720" s="809"/>
      <c r="AM720" s="809"/>
      <c r="AN720" s="809"/>
      <c r="AO720" s="809"/>
      <c r="AP720" s="809"/>
      <c r="AQ720" s="809"/>
      <c r="AR720" s="809"/>
      <c r="AS720" s="809"/>
      <c r="AT720" s="809"/>
      <c r="AU720" s="809"/>
      <c r="AV720" s="809"/>
      <c r="AW720" s="809"/>
      <c r="AX720" s="809"/>
      <c r="AY720" s="809"/>
      <c r="AZ720" s="809"/>
      <c r="BA720" s="809"/>
      <c r="BB720" s="809"/>
      <c r="BC720" s="809"/>
      <c r="BD720" s="809"/>
      <c r="BE720" s="809"/>
      <c r="BF720" s="809"/>
      <c r="BG720" s="809"/>
      <c r="BH720" s="809"/>
      <c r="BI720" s="809"/>
      <c r="BJ720" s="809"/>
      <c r="BK720" s="809"/>
      <c r="BL720" s="809"/>
      <c r="BM720" s="809"/>
      <c r="BN720" s="809"/>
    </row>
    <row r="721" spans="1:66">
      <c r="A721" s="809"/>
      <c r="B721" s="809"/>
      <c r="C721" s="809"/>
      <c r="D721" s="809"/>
      <c r="E721" s="809"/>
      <c r="F721" s="809"/>
      <c r="G721" s="809"/>
      <c r="H721" s="809"/>
      <c r="I721" s="809"/>
      <c r="J721" s="809"/>
      <c r="K721" s="809"/>
      <c r="L721" s="809"/>
      <c r="M721" s="809"/>
      <c r="N721" s="809"/>
      <c r="O721" s="809"/>
      <c r="P721" s="809"/>
      <c r="Q721" s="809"/>
      <c r="R721" s="809"/>
      <c r="S721" s="809"/>
      <c r="T721" s="809"/>
      <c r="U721" s="809"/>
      <c r="V721" s="809"/>
      <c r="W721" s="809"/>
      <c r="X721" s="809"/>
      <c r="Y721" s="809"/>
      <c r="Z721" s="809"/>
      <c r="AA721" s="809"/>
      <c r="AB721" s="809"/>
      <c r="AC721" s="809"/>
      <c r="AD721" s="809"/>
      <c r="AE721" s="809"/>
      <c r="AF721" s="809"/>
      <c r="AG721" s="809"/>
      <c r="AH721" s="809"/>
      <c r="AI721" s="809"/>
      <c r="AJ721" s="809"/>
      <c r="AK721" s="809"/>
      <c r="AL721" s="809"/>
      <c r="AM721" s="809"/>
      <c r="AN721" s="809"/>
      <c r="AO721" s="809"/>
      <c r="AP721" s="809"/>
      <c r="AQ721" s="809"/>
      <c r="AR721" s="809"/>
      <c r="AS721" s="809"/>
      <c r="AT721" s="809"/>
      <c r="AU721" s="809"/>
      <c r="AV721" s="809"/>
      <c r="AW721" s="809"/>
      <c r="AX721" s="809"/>
      <c r="AY721" s="809"/>
      <c r="AZ721" s="809"/>
      <c r="BA721" s="809"/>
      <c r="BB721" s="809"/>
      <c r="BC721" s="809"/>
      <c r="BD721" s="809"/>
      <c r="BE721" s="809"/>
      <c r="BF721" s="809"/>
      <c r="BG721" s="809"/>
      <c r="BH721" s="809"/>
      <c r="BI721" s="809"/>
      <c r="BJ721" s="809"/>
      <c r="BK721" s="809"/>
      <c r="BL721" s="809"/>
      <c r="BM721" s="809"/>
      <c r="BN721" s="809"/>
    </row>
    <row r="722" spans="1:66">
      <c r="A722" s="809"/>
      <c r="B722" s="809"/>
      <c r="C722" s="809"/>
      <c r="D722" s="809"/>
      <c r="E722" s="809"/>
      <c r="F722" s="809"/>
      <c r="G722" s="809"/>
      <c r="H722" s="809"/>
      <c r="I722" s="809"/>
      <c r="J722" s="809"/>
      <c r="K722" s="809"/>
      <c r="L722" s="809"/>
      <c r="M722" s="809"/>
      <c r="N722" s="809"/>
      <c r="O722" s="809"/>
      <c r="P722" s="809"/>
      <c r="Q722" s="809"/>
      <c r="R722" s="809"/>
      <c r="S722" s="809"/>
      <c r="T722" s="809"/>
      <c r="U722" s="809"/>
      <c r="V722" s="809"/>
      <c r="W722" s="809"/>
      <c r="X722" s="809"/>
      <c r="Y722" s="809"/>
      <c r="Z722" s="809"/>
      <c r="AA722" s="809"/>
      <c r="AB722" s="809"/>
      <c r="AC722" s="809"/>
      <c r="AD722" s="809"/>
      <c r="AE722" s="809"/>
      <c r="AF722" s="809"/>
      <c r="AG722" s="809"/>
      <c r="AH722" s="809"/>
      <c r="AI722" s="809"/>
      <c r="AJ722" s="809"/>
      <c r="AK722" s="809"/>
      <c r="AL722" s="809"/>
      <c r="AM722" s="809"/>
      <c r="AN722" s="809"/>
      <c r="AO722" s="809"/>
      <c r="AP722" s="809"/>
      <c r="AQ722" s="809"/>
      <c r="AR722" s="809"/>
      <c r="AS722" s="809"/>
      <c r="AT722" s="809"/>
      <c r="AU722" s="809"/>
      <c r="AV722" s="809"/>
      <c r="AW722" s="809"/>
      <c r="AX722" s="809"/>
      <c r="AY722" s="809"/>
      <c r="AZ722" s="809"/>
      <c r="BA722" s="809"/>
      <c r="BB722" s="809"/>
      <c r="BC722" s="809"/>
      <c r="BD722" s="809"/>
      <c r="BE722" s="809"/>
      <c r="BF722" s="809"/>
      <c r="BG722" s="809"/>
      <c r="BH722" s="809"/>
      <c r="BI722" s="809"/>
      <c r="BJ722" s="809"/>
      <c r="BK722" s="809"/>
      <c r="BL722" s="809"/>
      <c r="BM722" s="809"/>
      <c r="BN722" s="809"/>
    </row>
    <row r="723" spans="1:66">
      <c r="A723" s="809"/>
      <c r="B723" s="809"/>
      <c r="C723" s="809"/>
      <c r="D723" s="809"/>
      <c r="E723" s="809"/>
      <c r="F723" s="809"/>
      <c r="G723" s="809"/>
      <c r="H723" s="809"/>
      <c r="I723" s="809"/>
      <c r="J723" s="809"/>
      <c r="K723" s="809"/>
      <c r="L723" s="809"/>
      <c r="M723" s="809"/>
      <c r="N723" s="809"/>
      <c r="O723" s="809"/>
      <c r="P723" s="809"/>
      <c r="Q723" s="809"/>
      <c r="R723" s="809"/>
      <c r="S723" s="809"/>
      <c r="T723" s="809"/>
      <c r="U723" s="809"/>
      <c r="V723" s="809"/>
      <c r="W723" s="809"/>
      <c r="X723" s="809"/>
      <c r="Y723" s="809"/>
      <c r="Z723" s="809"/>
      <c r="AA723" s="809"/>
      <c r="AB723" s="809"/>
      <c r="AC723" s="809"/>
      <c r="AD723" s="809"/>
      <c r="AE723" s="809"/>
      <c r="AF723" s="809"/>
      <c r="AG723" s="809"/>
      <c r="AH723" s="809"/>
      <c r="AI723" s="809"/>
      <c r="AJ723" s="809"/>
      <c r="AK723" s="809"/>
      <c r="AL723" s="809"/>
      <c r="AM723" s="809"/>
      <c r="AN723" s="809"/>
      <c r="AO723" s="809"/>
      <c r="AP723" s="809"/>
      <c r="AQ723" s="809"/>
      <c r="AR723" s="809"/>
      <c r="AS723" s="809"/>
      <c r="AT723" s="809"/>
      <c r="AU723" s="809"/>
      <c r="AV723" s="809"/>
      <c r="AW723" s="809"/>
      <c r="AX723" s="809"/>
      <c r="AY723" s="809"/>
      <c r="AZ723" s="809"/>
      <c r="BA723" s="809"/>
      <c r="BB723" s="809"/>
      <c r="BC723" s="809"/>
      <c r="BD723" s="809"/>
      <c r="BE723" s="809"/>
      <c r="BF723" s="809"/>
      <c r="BG723" s="809"/>
      <c r="BH723" s="809"/>
      <c r="BI723" s="809"/>
      <c r="BJ723" s="809"/>
      <c r="BK723" s="809"/>
      <c r="BL723" s="809"/>
      <c r="BM723" s="809"/>
      <c r="BN723" s="809"/>
    </row>
    <row r="724" spans="1:66">
      <c r="A724" s="809"/>
      <c r="B724" s="809"/>
      <c r="C724" s="809"/>
      <c r="D724" s="809"/>
      <c r="E724" s="809"/>
      <c r="F724" s="809"/>
      <c r="G724" s="809"/>
      <c r="H724" s="809"/>
      <c r="I724" s="809"/>
      <c r="J724" s="809"/>
      <c r="K724" s="809"/>
      <c r="L724" s="809"/>
      <c r="M724" s="809"/>
      <c r="N724" s="809"/>
      <c r="O724" s="809"/>
      <c r="P724" s="809"/>
      <c r="Q724" s="809"/>
      <c r="R724" s="809"/>
      <c r="S724" s="809"/>
      <c r="T724" s="809"/>
      <c r="U724" s="809"/>
      <c r="V724" s="809"/>
      <c r="W724" s="809"/>
      <c r="X724" s="809"/>
      <c r="Y724" s="809"/>
      <c r="Z724" s="809"/>
      <c r="AA724" s="809"/>
      <c r="AB724" s="809"/>
      <c r="AC724" s="809"/>
      <c r="AD724" s="809"/>
      <c r="AE724" s="809"/>
      <c r="AF724" s="809"/>
      <c r="AG724" s="809"/>
      <c r="AH724" s="809"/>
      <c r="AI724" s="809"/>
      <c r="AJ724" s="809"/>
      <c r="AK724" s="809"/>
      <c r="AL724" s="809"/>
      <c r="AM724" s="809"/>
      <c r="AN724" s="809"/>
      <c r="AO724" s="809"/>
      <c r="AP724" s="809"/>
      <c r="AQ724" s="809"/>
      <c r="AR724" s="809"/>
      <c r="AS724" s="809"/>
      <c r="AT724" s="809"/>
      <c r="AU724" s="809"/>
      <c r="AV724" s="809"/>
      <c r="AW724" s="809"/>
      <c r="AX724" s="809"/>
      <c r="AY724" s="809"/>
      <c r="AZ724" s="809"/>
      <c r="BA724" s="809"/>
      <c r="BB724" s="809"/>
      <c r="BC724" s="809"/>
      <c r="BD724" s="809"/>
      <c r="BE724" s="809"/>
      <c r="BF724" s="809"/>
      <c r="BG724" s="809"/>
      <c r="BH724" s="809"/>
      <c r="BI724" s="809"/>
      <c r="BJ724" s="809"/>
      <c r="BK724" s="809"/>
      <c r="BL724" s="809"/>
      <c r="BM724" s="809"/>
      <c r="BN724" s="809"/>
    </row>
    <row r="725" spans="1:66">
      <c r="A725" s="809"/>
      <c r="B725" s="809"/>
      <c r="C725" s="809"/>
      <c r="D725" s="809"/>
      <c r="E725" s="809"/>
      <c r="F725" s="809"/>
      <c r="G725" s="809"/>
      <c r="H725" s="809"/>
      <c r="I725" s="809"/>
      <c r="J725" s="809"/>
      <c r="K725" s="809"/>
      <c r="L725" s="809"/>
      <c r="M725" s="809"/>
      <c r="N725" s="809"/>
      <c r="O725" s="809"/>
      <c r="P725" s="809"/>
      <c r="Q725" s="809"/>
      <c r="R725" s="809"/>
      <c r="S725" s="809"/>
      <c r="T725" s="809"/>
      <c r="U725" s="809"/>
      <c r="V725" s="809"/>
      <c r="W725" s="809"/>
      <c r="X725" s="809"/>
      <c r="Y725" s="809"/>
      <c r="Z725" s="809"/>
      <c r="AA725" s="809"/>
      <c r="AB725" s="809"/>
      <c r="AC725" s="809"/>
      <c r="AD725" s="809"/>
      <c r="AE725" s="809"/>
      <c r="AF725" s="809"/>
      <c r="AG725" s="809"/>
      <c r="AH725" s="809"/>
      <c r="AI725" s="809"/>
      <c r="AJ725" s="809"/>
      <c r="AK725" s="809"/>
      <c r="AL725" s="809"/>
      <c r="AM725" s="809"/>
      <c r="AN725" s="809"/>
      <c r="AO725" s="809"/>
      <c r="AP725" s="809"/>
      <c r="AQ725" s="809"/>
      <c r="AR725" s="809"/>
      <c r="AS725" s="809"/>
      <c r="AT725" s="809"/>
      <c r="AU725" s="809"/>
      <c r="AV725" s="809"/>
      <c r="AW725" s="809"/>
      <c r="AX725" s="809"/>
      <c r="AY725" s="809"/>
      <c r="AZ725" s="809"/>
      <c r="BA725" s="809"/>
      <c r="BB725" s="809"/>
      <c r="BC725" s="809"/>
      <c r="BD725" s="809"/>
      <c r="BE725" s="809"/>
      <c r="BF725" s="809"/>
      <c r="BG725" s="809"/>
      <c r="BH725" s="809"/>
      <c r="BI725" s="809"/>
      <c r="BJ725" s="809"/>
      <c r="BK725" s="809"/>
      <c r="BL725" s="809"/>
      <c r="BM725" s="809"/>
      <c r="BN725" s="809"/>
    </row>
    <row r="726" spans="1:66">
      <c r="A726" s="809"/>
      <c r="B726" s="809"/>
      <c r="C726" s="809"/>
      <c r="D726" s="809"/>
      <c r="E726" s="809"/>
      <c r="F726" s="809"/>
      <c r="G726" s="809"/>
      <c r="H726" s="809"/>
      <c r="I726" s="809"/>
      <c r="J726" s="809"/>
      <c r="K726" s="809"/>
      <c r="L726" s="809"/>
      <c r="M726" s="809"/>
      <c r="N726" s="809"/>
      <c r="O726" s="809"/>
      <c r="P726" s="809"/>
      <c r="Q726" s="809"/>
      <c r="R726" s="809"/>
      <c r="S726" s="809"/>
      <c r="T726" s="809"/>
      <c r="U726" s="809"/>
      <c r="V726" s="809"/>
      <c r="W726" s="809"/>
      <c r="X726" s="809"/>
      <c r="Y726" s="809"/>
      <c r="Z726" s="809"/>
      <c r="AA726" s="809"/>
      <c r="AB726" s="809"/>
      <c r="AC726" s="809"/>
      <c r="AD726" s="809"/>
      <c r="AE726" s="809"/>
      <c r="AF726" s="809"/>
      <c r="AG726" s="809"/>
      <c r="AH726" s="809"/>
      <c r="AI726" s="809"/>
      <c r="AJ726" s="809"/>
      <c r="AK726" s="809"/>
      <c r="AL726" s="809"/>
      <c r="AM726" s="809"/>
      <c r="AN726" s="809"/>
      <c r="AO726" s="809"/>
      <c r="AP726" s="809"/>
      <c r="AQ726" s="809"/>
      <c r="AR726" s="809"/>
      <c r="AS726" s="809"/>
      <c r="AT726" s="809"/>
      <c r="AU726" s="809"/>
      <c r="AV726" s="809"/>
      <c r="AW726" s="809"/>
      <c r="AX726" s="809"/>
      <c r="AY726" s="809"/>
      <c r="AZ726" s="809"/>
      <c r="BA726" s="809"/>
      <c r="BB726" s="809"/>
      <c r="BC726" s="809"/>
      <c r="BD726" s="809"/>
      <c r="BE726" s="809"/>
      <c r="BF726" s="809"/>
      <c r="BG726" s="809"/>
      <c r="BH726" s="809"/>
      <c r="BI726" s="809"/>
      <c r="BJ726" s="809"/>
      <c r="BK726" s="809"/>
      <c r="BL726" s="809"/>
      <c r="BM726" s="809"/>
      <c r="BN726" s="809"/>
    </row>
    <row r="727" spans="1:66">
      <c r="A727" s="809"/>
      <c r="B727" s="809"/>
      <c r="C727" s="809"/>
      <c r="D727" s="809"/>
      <c r="E727" s="809"/>
      <c r="F727" s="809"/>
      <c r="G727" s="809"/>
      <c r="H727" s="809"/>
      <c r="I727" s="809"/>
      <c r="J727" s="809"/>
      <c r="K727" s="809"/>
      <c r="L727" s="809"/>
      <c r="M727" s="809"/>
      <c r="N727" s="809"/>
      <c r="O727" s="809"/>
      <c r="P727" s="809"/>
      <c r="Q727" s="809"/>
      <c r="R727" s="809"/>
      <c r="S727" s="809"/>
      <c r="T727" s="809"/>
      <c r="U727" s="809"/>
      <c r="V727" s="809"/>
      <c r="W727" s="809"/>
      <c r="X727" s="809"/>
      <c r="Y727" s="809"/>
      <c r="Z727" s="809"/>
      <c r="AA727" s="809"/>
      <c r="AB727" s="809"/>
      <c r="AC727" s="809"/>
      <c r="AD727" s="809"/>
      <c r="AE727" s="809"/>
      <c r="AF727" s="809"/>
      <c r="AG727" s="809"/>
      <c r="AH727" s="809"/>
      <c r="AI727" s="809"/>
      <c r="AJ727" s="809"/>
      <c r="AK727" s="809"/>
      <c r="AL727" s="809"/>
      <c r="AM727" s="809"/>
      <c r="AN727" s="809"/>
      <c r="AO727" s="809"/>
      <c r="AP727" s="809"/>
      <c r="AQ727" s="809"/>
      <c r="AR727" s="809"/>
      <c r="AS727" s="809"/>
      <c r="AT727" s="809"/>
      <c r="AU727" s="809"/>
      <c r="AV727" s="809"/>
      <c r="AW727" s="809"/>
      <c r="AX727" s="809"/>
      <c r="AY727" s="809"/>
      <c r="AZ727" s="809"/>
      <c r="BA727" s="809"/>
      <c r="BB727" s="809"/>
      <c r="BC727" s="809"/>
      <c r="BD727" s="809"/>
      <c r="BE727" s="809"/>
      <c r="BF727" s="809"/>
      <c r="BG727" s="809"/>
      <c r="BH727" s="809"/>
      <c r="BI727" s="809"/>
      <c r="BJ727" s="809"/>
      <c r="BK727" s="809"/>
      <c r="BL727" s="809"/>
      <c r="BM727" s="809"/>
      <c r="BN727" s="809"/>
    </row>
    <row r="728" spans="1:66">
      <c r="A728" s="809"/>
      <c r="B728" s="809"/>
      <c r="C728" s="809"/>
      <c r="D728" s="809"/>
      <c r="E728" s="809"/>
      <c r="F728" s="809"/>
      <c r="G728" s="809"/>
      <c r="H728" s="809"/>
      <c r="I728" s="809"/>
      <c r="J728" s="809"/>
      <c r="K728" s="809"/>
      <c r="L728" s="809"/>
      <c r="M728" s="809"/>
      <c r="N728" s="809"/>
      <c r="O728" s="809"/>
      <c r="P728" s="809"/>
      <c r="Q728" s="809"/>
      <c r="R728" s="809"/>
      <c r="S728" s="809"/>
      <c r="T728" s="809"/>
      <c r="U728" s="809"/>
      <c r="V728" s="809"/>
      <c r="W728" s="809"/>
      <c r="X728" s="809"/>
      <c r="Y728" s="809"/>
      <c r="Z728" s="809"/>
      <c r="AA728" s="809"/>
      <c r="AB728" s="809"/>
      <c r="AC728" s="809"/>
      <c r="AD728" s="809"/>
      <c r="AE728" s="809"/>
      <c r="AF728" s="809"/>
      <c r="AG728" s="809"/>
      <c r="AH728" s="809"/>
      <c r="AI728" s="809"/>
      <c r="AJ728" s="809"/>
      <c r="AK728" s="809"/>
      <c r="AL728" s="809"/>
      <c r="AM728" s="809"/>
      <c r="AN728" s="809"/>
      <c r="AO728" s="809"/>
      <c r="AP728" s="809"/>
      <c r="AQ728" s="809"/>
      <c r="AR728" s="809"/>
      <c r="AS728" s="809"/>
      <c r="AT728" s="809"/>
      <c r="AU728" s="809"/>
      <c r="AV728" s="809"/>
      <c r="AW728" s="809"/>
      <c r="AX728" s="809"/>
      <c r="AY728" s="809"/>
      <c r="AZ728" s="809"/>
      <c r="BA728" s="809"/>
      <c r="BB728" s="809"/>
      <c r="BC728" s="809"/>
      <c r="BD728" s="809"/>
      <c r="BE728" s="809"/>
      <c r="BF728" s="809"/>
      <c r="BG728" s="809"/>
      <c r="BH728" s="809"/>
      <c r="BI728" s="809"/>
      <c r="BJ728" s="809"/>
      <c r="BK728" s="809"/>
      <c r="BL728" s="809"/>
      <c r="BM728" s="809"/>
      <c r="BN728" s="809"/>
    </row>
    <row r="729" spans="1:66">
      <c r="A729" s="809"/>
      <c r="B729" s="809"/>
      <c r="C729" s="809"/>
      <c r="D729" s="809"/>
      <c r="E729" s="809"/>
      <c r="F729" s="809"/>
      <c r="G729" s="809"/>
      <c r="H729" s="809"/>
      <c r="I729" s="809"/>
      <c r="J729" s="809"/>
      <c r="K729" s="809"/>
      <c r="L729" s="809"/>
      <c r="M729" s="809"/>
      <c r="N729" s="809"/>
      <c r="O729" s="809"/>
      <c r="P729" s="809"/>
      <c r="Q729" s="809"/>
      <c r="R729" s="809"/>
      <c r="S729" s="809"/>
      <c r="T729" s="809"/>
      <c r="U729" s="809"/>
      <c r="V729" s="809"/>
      <c r="W729" s="809"/>
      <c r="X729" s="809"/>
      <c r="Y729" s="809"/>
      <c r="Z729" s="809"/>
      <c r="AA729" s="809"/>
      <c r="AB729" s="809"/>
      <c r="AC729" s="809"/>
      <c r="AD729" s="809"/>
      <c r="AE729" s="809"/>
      <c r="AF729" s="809"/>
      <c r="AG729" s="809"/>
      <c r="AH729" s="809"/>
      <c r="AI729" s="809"/>
      <c r="AJ729" s="809"/>
      <c r="AK729" s="809"/>
      <c r="AL729" s="809"/>
      <c r="AM729" s="809"/>
      <c r="AN729" s="809"/>
      <c r="AO729" s="809"/>
      <c r="AP729" s="809"/>
      <c r="AQ729" s="809"/>
      <c r="AR729" s="809"/>
      <c r="AS729" s="809"/>
      <c r="AT729" s="809"/>
      <c r="AU729" s="809"/>
      <c r="AV729" s="809"/>
      <c r="AW729" s="809"/>
      <c r="AX729" s="809"/>
      <c r="AY729" s="809"/>
      <c r="AZ729" s="809"/>
      <c r="BA729" s="809"/>
      <c r="BB729" s="809"/>
      <c r="BC729" s="809"/>
      <c r="BD729" s="809"/>
      <c r="BE729" s="809"/>
      <c r="BF729" s="809"/>
      <c r="BG729" s="809"/>
      <c r="BH729" s="809"/>
      <c r="BI729" s="809"/>
      <c r="BJ729" s="809"/>
      <c r="BK729" s="809"/>
      <c r="BL729" s="809"/>
      <c r="BM729" s="809"/>
      <c r="BN729" s="809"/>
    </row>
    <row r="730" spans="1:66">
      <c r="A730" s="809"/>
      <c r="B730" s="809"/>
      <c r="C730" s="809"/>
      <c r="D730" s="809"/>
      <c r="E730" s="809"/>
      <c r="F730" s="809"/>
      <c r="G730" s="809"/>
      <c r="H730" s="809"/>
      <c r="I730" s="809"/>
      <c r="J730" s="809"/>
      <c r="K730" s="809"/>
      <c r="L730" s="809"/>
      <c r="M730" s="809"/>
      <c r="N730" s="809"/>
      <c r="O730" s="809"/>
      <c r="P730" s="809"/>
      <c r="Q730" s="809"/>
      <c r="R730" s="809"/>
      <c r="S730" s="809"/>
      <c r="T730" s="809"/>
      <c r="U730" s="809"/>
      <c r="V730" s="809"/>
      <c r="W730" s="809"/>
      <c r="X730" s="809"/>
      <c r="Y730" s="809"/>
      <c r="Z730" s="809"/>
      <c r="AA730" s="809"/>
      <c r="AB730" s="809"/>
      <c r="AC730" s="809"/>
      <c r="AD730" s="809"/>
      <c r="AE730" s="809"/>
      <c r="AF730" s="809"/>
      <c r="AG730" s="809"/>
      <c r="AH730" s="809"/>
      <c r="AI730" s="809"/>
      <c r="AJ730" s="809"/>
      <c r="AK730" s="809"/>
      <c r="AL730" s="809"/>
      <c r="AM730" s="809"/>
      <c r="AN730" s="809"/>
      <c r="AO730" s="809"/>
      <c r="AP730" s="809"/>
      <c r="AQ730" s="809"/>
      <c r="AR730" s="809"/>
      <c r="AS730" s="809"/>
      <c r="AT730" s="809"/>
      <c r="AU730" s="809"/>
      <c r="AV730" s="809"/>
      <c r="AW730" s="809"/>
      <c r="AX730" s="809"/>
      <c r="AY730" s="809"/>
      <c r="AZ730" s="809"/>
      <c r="BA730" s="809"/>
      <c r="BB730" s="809"/>
      <c r="BC730" s="809"/>
      <c r="BD730" s="809"/>
      <c r="BE730" s="809"/>
      <c r="BF730" s="809"/>
      <c r="BG730" s="809"/>
      <c r="BH730" s="809"/>
      <c r="BI730" s="809"/>
      <c r="BJ730" s="809"/>
      <c r="BK730" s="809"/>
      <c r="BL730" s="809"/>
      <c r="BM730" s="809"/>
      <c r="BN730" s="809"/>
    </row>
    <row r="731" spans="1:66">
      <c r="A731" s="809"/>
      <c r="B731" s="809"/>
      <c r="C731" s="809"/>
      <c r="D731" s="809"/>
      <c r="E731" s="809"/>
      <c r="F731" s="809"/>
      <c r="G731" s="809"/>
      <c r="H731" s="809"/>
      <c r="I731" s="809"/>
      <c r="J731" s="809"/>
      <c r="K731" s="809"/>
      <c r="L731" s="809"/>
      <c r="M731" s="809"/>
      <c r="N731" s="809"/>
      <c r="O731" s="809"/>
      <c r="P731" s="809"/>
      <c r="Q731" s="809"/>
      <c r="R731" s="809"/>
      <c r="S731" s="809"/>
      <c r="T731" s="809"/>
      <c r="U731" s="809"/>
      <c r="V731" s="809"/>
      <c r="W731" s="809"/>
      <c r="X731" s="809"/>
      <c r="Y731" s="809"/>
      <c r="Z731" s="809"/>
      <c r="AA731" s="809"/>
      <c r="AB731" s="809"/>
      <c r="AC731" s="809"/>
      <c r="AD731" s="809"/>
      <c r="AE731" s="809"/>
      <c r="AF731" s="809"/>
      <c r="AG731" s="809"/>
      <c r="AH731" s="809"/>
      <c r="AI731" s="809"/>
      <c r="AJ731" s="809"/>
      <c r="AK731" s="809"/>
      <c r="AL731" s="809"/>
      <c r="AM731" s="809"/>
      <c r="AN731" s="809"/>
      <c r="AO731" s="809"/>
      <c r="AP731" s="809"/>
      <c r="AQ731" s="809"/>
      <c r="AR731" s="809"/>
      <c r="AS731" s="809"/>
      <c r="AT731" s="809"/>
      <c r="AU731" s="809"/>
      <c r="AV731" s="809"/>
      <c r="AW731" s="809"/>
      <c r="AX731" s="809"/>
      <c r="AY731" s="809"/>
      <c r="AZ731" s="809"/>
      <c r="BA731" s="809"/>
      <c r="BB731" s="809"/>
      <c r="BC731" s="809"/>
      <c r="BD731" s="809"/>
      <c r="BE731" s="809"/>
      <c r="BF731" s="809"/>
      <c r="BG731" s="809"/>
      <c r="BH731" s="809"/>
      <c r="BI731" s="809"/>
      <c r="BJ731" s="809"/>
      <c r="BK731" s="809"/>
      <c r="BL731" s="809"/>
      <c r="BM731" s="809"/>
      <c r="BN731" s="809"/>
    </row>
    <row r="732" spans="1:66">
      <c r="A732" s="809"/>
      <c r="B732" s="809"/>
      <c r="C732" s="809"/>
      <c r="D732" s="809"/>
      <c r="E732" s="809"/>
      <c r="F732" s="809"/>
      <c r="G732" s="809"/>
      <c r="H732" s="809"/>
      <c r="I732" s="809"/>
      <c r="J732" s="809"/>
      <c r="K732" s="809"/>
      <c r="L732" s="809"/>
      <c r="M732" s="809"/>
      <c r="N732" s="809"/>
      <c r="O732" s="809"/>
      <c r="P732" s="809"/>
      <c r="Q732" s="809"/>
      <c r="R732" s="809"/>
      <c r="S732" s="809"/>
      <c r="T732" s="809"/>
      <c r="U732" s="809"/>
      <c r="V732" s="809"/>
      <c r="W732" s="809"/>
      <c r="X732" s="809"/>
      <c r="Y732" s="809"/>
      <c r="Z732" s="809"/>
      <c r="AA732" s="809"/>
      <c r="AB732" s="809"/>
      <c r="AC732" s="809"/>
      <c r="AD732" s="809"/>
      <c r="AE732" s="809"/>
      <c r="AF732" s="809"/>
      <c r="AG732" s="809"/>
      <c r="AH732" s="809"/>
      <c r="AI732" s="809"/>
      <c r="AJ732" s="809"/>
      <c r="AK732" s="809"/>
      <c r="AL732" s="809"/>
      <c r="AM732" s="809"/>
      <c r="AN732" s="809"/>
      <c r="AO732" s="809"/>
      <c r="AP732" s="809"/>
      <c r="AQ732" s="809"/>
      <c r="AR732" s="809"/>
      <c r="AS732" s="809"/>
      <c r="AT732" s="809"/>
      <c r="AU732" s="809"/>
      <c r="AV732" s="809"/>
      <c r="AW732" s="809"/>
      <c r="AX732" s="809"/>
      <c r="AY732" s="809"/>
      <c r="AZ732" s="809"/>
      <c r="BA732" s="809"/>
      <c r="BB732" s="809"/>
      <c r="BC732" s="809"/>
      <c r="BD732" s="809"/>
      <c r="BE732" s="809"/>
      <c r="BF732" s="809"/>
      <c r="BG732" s="809"/>
      <c r="BH732" s="809"/>
      <c r="BI732" s="809"/>
      <c r="BJ732" s="809"/>
      <c r="BK732" s="809"/>
      <c r="BL732" s="809"/>
      <c r="BM732" s="809"/>
      <c r="BN732" s="809"/>
    </row>
    <row r="733" spans="1:66">
      <c r="A733" s="809"/>
      <c r="B733" s="809"/>
      <c r="C733" s="809"/>
      <c r="D733" s="809"/>
      <c r="E733" s="809"/>
      <c r="F733" s="809"/>
      <c r="G733" s="809"/>
      <c r="H733" s="809"/>
      <c r="I733" s="809"/>
      <c r="J733" s="809"/>
      <c r="K733" s="809"/>
      <c r="L733" s="809"/>
      <c r="M733" s="809"/>
      <c r="N733" s="809"/>
      <c r="O733" s="809"/>
      <c r="P733" s="809"/>
      <c r="Q733" s="809"/>
      <c r="R733" s="809"/>
      <c r="S733" s="809"/>
      <c r="T733" s="809"/>
      <c r="U733" s="809"/>
      <c r="V733" s="809"/>
      <c r="W733" s="809"/>
      <c r="X733" s="809"/>
      <c r="Y733" s="809"/>
      <c r="Z733" s="809"/>
      <c r="AA733" s="809"/>
      <c r="AB733" s="809"/>
      <c r="AC733" s="809"/>
      <c r="AD733" s="809"/>
      <c r="AE733" s="809"/>
      <c r="AF733" s="809"/>
      <c r="AG733" s="809"/>
      <c r="AH733" s="809"/>
      <c r="AI733" s="809"/>
      <c r="AJ733" s="809"/>
      <c r="AK733" s="809"/>
      <c r="AL733" s="809"/>
      <c r="AM733" s="809"/>
      <c r="AN733" s="809"/>
      <c r="AO733" s="809"/>
      <c r="AP733" s="809"/>
      <c r="AQ733" s="809"/>
      <c r="AR733" s="809"/>
      <c r="AS733" s="809"/>
      <c r="AT733" s="809"/>
      <c r="AU733" s="809"/>
      <c r="AV733" s="809"/>
      <c r="AW733" s="809"/>
      <c r="AX733" s="809"/>
      <c r="AY733" s="809"/>
      <c r="AZ733" s="809"/>
      <c r="BA733" s="809"/>
      <c r="BB733" s="809"/>
      <c r="BC733" s="809"/>
      <c r="BD733" s="809"/>
      <c r="BE733" s="809"/>
      <c r="BF733" s="809"/>
      <c r="BG733" s="809"/>
      <c r="BH733" s="809"/>
      <c r="BI733" s="809"/>
      <c r="BJ733" s="809"/>
      <c r="BK733" s="809"/>
      <c r="BL733" s="809"/>
      <c r="BM733" s="809"/>
      <c r="BN733" s="809"/>
    </row>
    <row r="734" spans="1:66">
      <c r="A734" s="809"/>
      <c r="B734" s="809"/>
      <c r="C734" s="809"/>
      <c r="D734" s="809"/>
      <c r="E734" s="809"/>
      <c r="F734" s="809"/>
      <c r="G734" s="809"/>
      <c r="H734" s="809"/>
      <c r="I734" s="809"/>
      <c r="J734" s="809"/>
      <c r="K734" s="809"/>
      <c r="L734" s="809"/>
      <c r="M734" s="809"/>
      <c r="N734" s="809"/>
      <c r="O734" s="809"/>
      <c r="P734" s="809"/>
      <c r="Q734" s="809"/>
      <c r="R734" s="809"/>
      <c r="S734" s="809"/>
      <c r="T734" s="809"/>
      <c r="U734" s="809"/>
      <c r="V734" s="809"/>
      <c r="W734" s="809"/>
      <c r="X734" s="809"/>
      <c r="Y734" s="809"/>
      <c r="Z734" s="809"/>
      <c r="AA734" s="809"/>
      <c r="AB734" s="809"/>
      <c r="AC734" s="809"/>
      <c r="AD734" s="809"/>
      <c r="AE734" s="809"/>
      <c r="AF734" s="809"/>
      <c r="AG734" s="809"/>
      <c r="AH734" s="809"/>
      <c r="AI734" s="809"/>
      <c r="AJ734" s="809"/>
      <c r="AK734" s="809"/>
      <c r="AL734" s="809"/>
      <c r="AM734" s="809"/>
      <c r="AN734" s="809"/>
      <c r="AO734" s="809"/>
      <c r="AP734" s="809"/>
      <c r="AQ734" s="809"/>
      <c r="AR734" s="809"/>
      <c r="AS734" s="809"/>
      <c r="AT734" s="809"/>
      <c r="AU734" s="809"/>
      <c r="AV734" s="809"/>
      <c r="AW734" s="809"/>
      <c r="AX734" s="809"/>
      <c r="AY734" s="809"/>
      <c r="AZ734" s="809"/>
      <c r="BA734" s="809"/>
      <c r="BB734" s="809"/>
      <c r="BC734" s="809"/>
      <c r="BD734" s="809"/>
      <c r="BE734" s="809"/>
      <c r="BF734" s="809"/>
      <c r="BG734" s="809"/>
      <c r="BH734" s="809"/>
      <c r="BI734" s="809"/>
      <c r="BJ734" s="809"/>
      <c r="BK734" s="809"/>
      <c r="BL734" s="809"/>
      <c r="BM734" s="809"/>
      <c r="BN734" s="809"/>
    </row>
    <row r="735" spans="1:66">
      <c r="A735" s="809"/>
      <c r="B735" s="809"/>
      <c r="C735" s="809"/>
      <c r="D735" s="809"/>
      <c r="E735" s="809"/>
      <c r="F735" s="809"/>
      <c r="G735" s="809"/>
      <c r="H735" s="809"/>
      <c r="I735" s="809"/>
      <c r="J735" s="809"/>
      <c r="K735" s="809"/>
      <c r="L735" s="809"/>
      <c r="M735" s="809"/>
      <c r="N735" s="809"/>
      <c r="O735" s="809"/>
      <c r="P735" s="809"/>
      <c r="Q735" s="809"/>
      <c r="R735" s="809"/>
      <c r="S735" s="809"/>
      <c r="T735" s="809"/>
      <c r="U735" s="809"/>
      <c r="V735" s="809"/>
      <c r="W735" s="809"/>
      <c r="X735" s="809"/>
      <c r="Y735" s="809"/>
      <c r="Z735" s="809"/>
      <c r="AA735" s="809"/>
      <c r="AB735" s="809"/>
      <c r="AC735" s="809"/>
      <c r="AD735" s="809"/>
      <c r="AE735" s="809"/>
      <c r="AF735" s="809"/>
      <c r="AG735" s="809"/>
      <c r="AH735" s="809"/>
      <c r="AI735" s="809"/>
      <c r="AJ735" s="809"/>
      <c r="AK735" s="809"/>
      <c r="AL735" s="809"/>
      <c r="AM735" s="809"/>
      <c r="AN735" s="809"/>
      <c r="AO735" s="809"/>
      <c r="AP735" s="809"/>
      <c r="AQ735" s="809"/>
      <c r="AR735" s="809"/>
      <c r="AS735" s="809"/>
      <c r="AT735" s="809"/>
      <c r="AU735" s="809"/>
      <c r="AV735" s="809"/>
      <c r="AW735" s="809"/>
      <c r="AX735" s="809"/>
      <c r="AY735" s="809"/>
      <c r="AZ735" s="809"/>
      <c r="BA735" s="809"/>
      <c r="BB735" s="809"/>
      <c r="BC735" s="809"/>
      <c r="BD735" s="809"/>
      <c r="BE735" s="809"/>
      <c r="BF735" s="809"/>
      <c r="BG735" s="809"/>
      <c r="BH735" s="809"/>
      <c r="BI735" s="809"/>
      <c r="BJ735" s="809"/>
      <c r="BK735" s="809"/>
      <c r="BL735" s="809"/>
      <c r="BM735" s="809"/>
      <c r="BN735" s="809"/>
    </row>
    <row r="736" spans="1:66">
      <c r="A736" s="809"/>
      <c r="B736" s="809"/>
      <c r="C736" s="809"/>
      <c r="D736" s="809"/>
      <c r="E736" s="809"/>
      <c r="F736" s="809"/>
      <c r="G736" s="809"/>
      <c r="H736" s="809"/>
      <c r="I736" s="809"/>
      <c r="J736" s="809"/>
      <c r="K736" s="809"/>
      <c r="L736" s="809"/>
      <c r="M736" s="809"/>
      <c r="N736" s="809"/>
      <c r="O736" s="809"/>
      <c r="P736" s="809"/>
      <c r="Q736" s="809"/>
      <c r="R736" s="809"/>
      <c r="S736" s="809"/>
      <c r="T736" s="809"/>
      <c r="U736" s="809"/>
      <c r="V736" s="809"/>
      <c r="W736" s="809"/>
      <c r="X736" s="809"/>
      <c r="Y736" s="809"/>
      <c r="Z736" s="809"/>
      <c r="AA736" s="809"/>
      <c r="AB736" s="809"/>
      <c r="AC736" s="809"/>
      <c r="AD736" s="809"/>
      <c r="AE736" s="809"/>
      <c r="AF736" s="809"/>
      <c r="AG736" s="809"/>
      <c r="AH736" s="809"/>
      <c r="AI736" s="809"/>
      <c r="AJ736" s="809"/>
      <c r="AK736" s="809"/>
      <c r="AL736" s="809"/>
      <c r="AM736" s="809"/>
      <c r="AN736" s="809"/>
      <c r="AO736" s="809"/>
      <c r="AP736" s="809"/>
      <c r="AQ736" s="809"/>
      <c r="AR736" s="809"/>
      <c r="AS736" s="809"/>
      <c r="AT736" s="809"/>
      <c r="AU736" s="809"/>
      <c r="AV736" s="809"/>
      <c r="AW736" s="809"/>
      <c r="AX736" s="809"/>
      <c r="AY736" s="809"/>
      <c r="AZ736" s="809"/>
      <c r="BA736" s="809"/>
      <c r="BB736" s="809"/>
      <c r="BC736" s="809"/>
      <c r="BD736" s="809"/>
      <c r="BE736" s="809"/>
      <c r="BF736" s="809"/>
      <c r="BG736" s="809"/>
      <c r="BH736" s="809"/>
      <c r="BI736" s="809"/>
      <c r="BJ736" s="809"/>
      <c r="BK736" s="809"/>
      <c r="BL736" s="809"/>
      <c r="BM736" s="809"/>
      <c r="BN736" s="809"/>
    </row>
    <row r="737" spans="1:66">
      <c r="A737" s="809"/>
      <c r="B737" s="809"/>
      <c r="C737" s="809"/>
      <c r="D737" s="809"/>
      <c r="E737" s="809"/>
      <c r="F737" s="809"/>
      <c r="G737" s="809"/>
      <c r="H737" s="809"/>
      <c r="I737" s="809"/>
      <c r="J737" s="809"/>
      <c r="K737" s="809"/>
      <c r="L737" s="809"/>
      <c r="M737" s="809"/>
      <c r="N737" s="809"/>
      <c r="O737" s="809"/>
      <c r="P737" s="809"/>
      <c r="Q737" s="809"/>
      <c r="R737" s="809"/>
      <c r="S737" s="809"/>
      <c r="T737" s="809"/>
      <c r="U737" s="809"/>
      <c r="V737" s="809"/>
      <c r="W737" s="809"/>
      <c r="X737" s="809"/>
      <c r="Y737" s="809"/>
      <c r="Z737" s="809"/>
      <c r="AA737" s="809"/>
      <c r="AB737" s="809"/>
      <c r="AC737" s="809"/>
      <c r="AD737" s="809"/>
      <c r="AE737" s="809"/>
      <c r="AF737" s="809"/>
      <c r="AG737" s="809"/>
      <c r="AH737" s="809"/>
      <c r="AI737" s="809"/>
      <c r="AJ737" s="809"/>
      <c r="AK737" s="809"/>
      <c r="AL737" s="809"/>
      <c r="AM737" s="809"/>
      <c r="AN737" s="809"/>
      <c r="AO737" s="809"/>
      <c r="AP737" s="809"/>
      <c r="AQ737" s="809"/>
      <c r="AR737" s="809"/>
      <c r="AS737" s="809"/>
      <c r="AT737" s="809"/>
      <c r="AU737" s="809"/>
      <c r="AV737" s="809"/>
      <c r="AW737" s="809"/>
      <c r="AX737" s="809"/>
      <c r="AY737" s="809"/>
      <c r="AZ737" s="809"/>
      <c r="BA737" s="809"/>
      <c r="BB737" s="809"/>
      <c r="BC737" s="809"/>
      <c r="BD737" s="809"/>
      <c r="BE737" s="809"/>
      <c r="BF737" s="809"/>
      <c r="BG737" s="809"/>
      <c r="BH737" s="809"/>
      <c r="BI737" s="809"/>
      <c r="BJ737" s="809"/>
      <c r="BK737" s="809"/>
      <c r="BL737" s="809"/>
      <c r="BM737" s="809"/>
      <c r="BN737" s="809"/>
    </row>
    <row r="738" spans="1:66">
      <c r="A738" s="809"/>
      <c r="B738" s="809"/>
      <c r="C738" s="809"/>
      <c r="D738" s="809"/>
      <c r="E738" s="809"/>
      <c r="F738" s="809"/>
      <c r="G738" s="809"/>
      <c r="H738" s="809"/>
      <c r="I738" s="809"/>
      <c r="J738" s="809"/>
      <c r="K738" s="809"/>
      <c r="L738" s="809"/>
      <c r="M738" s="809"/>
      <c r="N738" s="809"/>
      <c r="O738" s="809"/>
      <c r="P738" s="809"/>
      <c r="Q738" s="809"/>
      <c r="R738" s="809"/>
      <c r="S738" s="809"/>
      <c r="T738" s="809"/>
      <c r="U738" s="809"/>
      <c r="V738" s="809"/>
      <c r="W738" s="809"/>
      <c r="X738" s="809"/>
      <c r="Y738" s="809"/>
      <c r="Z738" s="809"/>
      <c r="AA738" s="809"/>
      <c r="AB738" s="809"/>
      <c r="AC738" s="809"/>
      <c r="AD738" s="809"/>
      <c r="AE738" s="809"/>
      <c r="AF738" s="809"/>
      <c r="AG738" s="809"/>
      <c r="AH738" s="809"/>
      <c r="AI738" s="809"/>
      <c r="AJ738" s="809"/>
      <c r="AK738" s="809"/>
      <c r="AL738" s="809"/>
      <c r="AM738" s="809"/>
      <c r="AN738" s="809"/>
      <c r="AO738" s="809"/>
      <c r="AP738" s="809"/>
      <c r="AQ738" s="809"/>
      <c r="AR738" s="809"/>
      <c r="AS738" s="809"/>
      <c r="AT738" s="809"/>
      <c r="AU738" s="809"/>
      <c r="AV738" s="809"/>
      <c r="AW738" s="809"/>
      <c r="AX738" s="809"/>
      <c r="AY738" s="809"/>
      <c r="AZ738" s="809"/>
      <c r="BA738" s="809"/>
      <c r="BB738" s="809"/>
      <c r="BC738" s="809"/>
      <c r="BD738" s="809"/>
      <c r="BE738" s="809"/>
      <c r="BF738" s="809"/>
      <c r="BG738" s="809"/>
      <c r="BH738" s="809"/>
      <c r="BI738" s="809"/>
      <c r="BJ738" s="809"/>
      <c r="BK738" s="809"/>
      <c r="BL738" s="809"/>
      <c r="BM738" s="809"/>
      <c r="BN738" s="809"/>
    </row>
    <row r="739" spans="1:66">
      <c r="A739" s="809"/>
      <c r="B739" s="809"/>
      <c r="C739" s="809"/>
      <c r="D739" s="809"/>
      <c r="E739" s="809"/>
      <c r="F739" s="809"/>
      <c r="G739" s="809"/>
      <c r="H739" s="809"/>
      <c r="I739" s="809"/>
      <c r="J739" s="809"/>
      <c r="K739" s="809"/>
      <c r="L739" s="809"/>
      <c r="M739" s="809"/>
      <c r="N739" s="809"/>
      <c r="O739" s="809"/>
      <c r="P739" s="809"/>
      <c r="Q739" s="809"/>
      <c r="R739" s="809"/>
      <c r="S739" s="809"/>
      <c r="T739" s="809"/>
      <c r="U739" s="809"/>
      <c r="V739" s="809"/>
      <c r="W739" s="809"/>
      <c r="X739" s="809"/>
      <c r="Y739" s="809"/>
      <c r="Z739" s="809"/>
      <c r="AA739" s="809"/>
      <c r="AB739" s="809"/>
      <c r="AC739" s="809"/>
      <c r="AD739" s="809"/>
      <c r="AE739" s="809"/>
      <c r="AF739" s="809"/>
      <c r="AG739" s="809"/>
      <c r="AH739" s="809"/>
      <c r="AI739" s="809"/>
      <c r="AJ739" s="809"/>
      <c r="AK739" s="809"/>
      <c r="AL739" s="809"/>
      <c r="AM739" s="809"/>
      <c r="AN739" s="809"/>
      <c r="AO739" s="809"/>
      <c r="AP739" s="809"/>
      <c r="AQ739" s="809"/>
      <c r="AR739" s="809"/>
      <c r="AS739" s="809"/>
      <c r="AT739" s="809"/>
      <c r="AU739" s="809"/>
      <c r="AV739" s="809"/>
      <c r="AW739" s="809"/>
      <c r="AX739" s="809"/>
      <c r="AY739" s="809"/>
      <c r="AZ739" s="809"/>
      <c r="BA739" s="809"/>
      <c r="BB739" s="809"/>
      <c r="BC739" s="809"/>
      <c r="BD739" s="809"/>
      <c r="BE739" s="809"/>
      <c r="BF739" s="809"/>
      <c r="BG739" s="809"/>
      <c r="BH739" s="809"/>
      <c r="BI739" s="809"/>
      <c r="BJ739" s="809"/>
      <c r="BK739" s="809"/>
      <c r="BL739" s="809"/>
      <c r="BM739" s="809"/>
      <c r="BN739" s="809"/>
    </row>
    <row r="740" spans="1:66">
      <c r="A740" s="809"/>
      <c r="B740" s="809"/>
      <c r="C740" s="809"/>
      <c r="D740" s="809"/>
      <c r="E740" s="809"/>
      <c r="F740" s="809"/>
      <c r="G740" s="809"/>
      <c r="H740" s="809"/>
      <c r="I740" s="809"/>
      <c r="J740" s="809"/>
      <c r="K740" s="809"/>
      <c r="L740" s="809"/>
      <c r="M740" s="809"/>
      <c r="N740" s="809"/>
      <c r="O740" s="809"/>
      <c r="P740" s="809"/>
      <c r="Q740" s="809"/>
      <c r="R740" s="809"/>
      <c r="S740" s="809"/>
      <c r="T740" s="809"/>
      <c r="U740" s="809"/>
      <c r="V740" s="809"/>
      <c r="W740" s="809"/>
      <c r="X740" s="809"/>
      <c r="Y740" s="809"/>
      <c r="Z740" s="809"/>
      <c r="AA740" s="809"/>
      <c r="AB740" s="809"/>
      <c r="AC740" s="809"/>
      <c r="AD740" s="809"/>
      <c r="AE740" s="809"/>
      <c r="AF740" s="809"/>
      <c r="AG740" s="809"/>
      <c r="AH740" s="809"/>
      <c r="AI740" s="809"/>
      <c r="AJ740" s="809"/>
      <c r="AK740" s="809"/>
      <c r="AL740" s="809"/>
      <c r="AM740" s="809"/>
      <c r="AN740" s="809"/>
      <c r="AO740" s="809"/>
      <c r="AP740" s="809"/>
      <c r="AQ740" s="809"/>
      <c r="AR740" s="809"/>
      <c r="AS740" s="809"/>
      <c r="AT740" s="809"/>
      <c r="AU740" s="809"/>
      <c r="AV740" s="809"/>
      <c r="AW740" s="809"/>
      <c r="AX740" s="809"/>
      <c r="AY740" s="809"/>
      <c r="AZ740" s="809"/>
      <c r="BA740" s="809"/>
      <c r="BB740" s="809"/>
      <c r="BC740" s="809"/>
      <c r="BD740" s="809"/>
      <c r="BE740" s="809"/>
      <c r="BF740" s="809"/>
      <c r="BG740" s="809"/>
      <c r="BH740" s="809"/>
      <c r="BI740" s="809"/>
      <c r="BJ740" s="809"/>
      <c r="BK740" s="809"/>
      <c r="BL740" s="809"/>
      <c r="BM740" s="809"/>
      <c r="BN740" s="809"/>
    </row>
    <row r="741" spans="1:66">
      <c r="A741" s="809"/>
      <c r="B741" s="809"/>
      <c r="C741" s="809"/>
      <c r="D741" s="809"/>
      <c r="E741" s="809"/>
      <c r="F741" s="809"/>
      <c r="G741" s="809"/>
      <c r="H741" s="809"/>
      <c r="I741" s="809"/>
      <c r="J741" s="809"/>
      <c r="K741" s="809"/>
      <c r="L741" s="809"/>
      <c r="M741" s="809"/>
      <c r="N741" s="809"/>
      <c r="O741" s="809"/>
      <c r="P741" s="809"/>
      <c r="Q741" s="809"/>
      <c r="R741" s="809"/>
      <c r="S741" s="809"/>
      <c r="T741" s="809"/>
      <c r="U741" s="809"/>
      <c r="V741" s="809"/>
      <c r="W741" s="809"/>
      <c r="X741" s="809"/>
      <c r="Y741" s="809"/>
      <c r="Z741" s="809"/>
      <c r="AA741" s="809"/>
      <c r="AB741" s="809"/>
      <c r="AC741" s="809"/>
      <c r="AD741" s="809"/>
      <c r="AE741" s="809"/>
      <c r="AF741" s="809"/>
      <c r="AG741" s="809"/>
      <c r="AH741" s="809"/>
      <c r="AI741" s="809"/>
      <c r="AJ741" s="809"/>
      <c r="AK741" s="809"/>
      <c r="AL741" s="809"/>
      <c r="AM741" s="809"/>
      <c r="AN741" s="809"/>
      <c r="AO741" s="809"/>
      <c r="AP741" s="809"/>
      <c r="AQ741" s="809"/>
      <c r="AR741" s="809"/>
      <c r="AS741" s="809"/>
      <c r="AT741" s="809"/>
      <c r="AU741" s="809"/>
      <c r="AV741" s="809"/>
      <c r="AW741" s="809"/>
      <c r="AX741" s="809"/>
      <c r="AY741" s="809"/>
      <c r="AZ741" s="809"/>
      <c r="BA741" s="809"/>
      <c r="BB741" s="809"/>
      <c r="BC741" s="809"/>
      <c r="BD741" s="809"/>
      <c r="BE741" s="809"/>
      <c r="BF741" s="809"/>
      <c r="BG741" s="809"/>
      <c r="BH741" s="809"/>
      <c r="BI741" s="809"/>
      <c r="BJ741" s="809"/>
      <c r="BK741" s="809"/>
      <c r="BL741" s="809"/>
      <c r="BM741" s="809"/>
      <c r="BN741" s="809"/>
    </row>
    <row r="742" spans="1:66">
      <c r="A742" s="809"/>
      <c r="B742" s="809"/>
      <c r="C742" s="809"/>
      <c r="D742" s="809"/>
      <c r="E742" s="809"/>
      <c r="F742" s="809"/>
      <c r="G742" s="809"/>
      <c r="H742" s="809"/>
      <c r="I742" s="809"/>
      <c r="J742" s="809"/>
      <c r="K742" s="809"/>
      <c r="L742" s="809"/>
      <c r="M742" s="809"/>
      <c r="N742" s="809"/>
      <c r="O742" s="809"/>
      <c r="P742" s="809"/>
      <c r="Q742" s="809"/>
      <c r="R742" s="809"/>
      <c r="S742" s="809"/>
      <c r="T742" s="809"/>
      <c r="U742" s="809"/>
      <c r="V742" s="809"/>
      <c r="W742" s="809"/>
      <c r="X742" s="809"/>
      <c r="Y742" s="809"/>
      <c r="Z742" s="809"/>
      <c r="AA742" s="809"/>
      <c r="AB742" s="809"/>
      <c r="AC742" s="809"/>
      <c r="AD742" s="809"/>
      <c r="AE742" s="809"/>
      <c r="AF742" s="809"/>
      <c r="AG742" s="809"/>
      <c r="AH742" s="809"/>
      <c r="AI742" s="809"/>
      <c r="AJ742" s="809"/>
      <c r="AK742" s="809"/>
      <c r="AL742" s="809"/>
      <c r="AM742" s="809"/>
      <c r="AN742" s="809"/>
      <c r="AO742" s="809"/>
      <c r="AP742" s="809"/>
      <c r="AQ742" s="809"/>
      <c r="AR742" s="809"/>
      <c r="AS742" s="809"/>
      <c r="AT742" s="809"/>
      <c r="AU742" s="809"/>
      <c r="AV742" s="809"/>
      <c r="AW742" s="809"/>
      <c r="AX742" s="809"/>
      <c r="AY742" s="809"/>
      <c r="AZ742" s="809"/>
      <c r="BA742" s="809"/>
      <c r="BB742" s="809"/>
      <c r="BC742" s="809"/>
      <c r="BD742" s="809"/>
      <c r="BE742" s="809"/>
      <c r="BF742" s="809"/>
      <c r="BG742" s="809"/>
      <c r="BH742" s="809"/>
      <c r="BI742" s="809"/>
      <c r="BJ742" s="809"/>
      <c r="BK742" s="809"/>
      <c r="BL742" s="809"/>
      <c r="BM742" s="809"/>
      <c r="BN742" s="809"/>
    </row>
    <row r="743" spans="1:66">
      <c r="A743" s="809"/>
      <c r="B743" s="809"/>
      <c r="C743" s="809"/>
      <c r="D743" s="809"/>
      <c r="E743" s="809"/>
      <c r="F743" s="809"/>
      <c r="G743" s="809"/>
      <c r="H743" s="809"/>
      <c r="I743" s="809"/>
      <c r="J743" s="809"/>
      <c r="K743" s="809"/>
      <c r="L743" s="809"/>
      <c r="M743" s="809"/>
      <c r="N743" s="809"/>
      <c r="O743" s="809"/>
      <c r="P743" s="809"/>
      <c r="Q743" s="809"/>
      <c r="R743" s="809"/>
      <c r="S743" s="809"/>
      <c r="T743" s="809"/>
      <c r="U743" s="809"/>
      <c r="V743" s="809"/>
      <c r="W743" s="809"/>
      <c r="X743" s="809"/>
      <c r="Y743" s="809"/>
      <c r="Z743" s="809"/>
      <c r="AA743" s="809"/>
      <c r="AB743" s="809"/>
      <c r="AC743" s="809"/>
      <c r="AD743" s="809"/>
      <c r="AE743" s="809"/>
      <c r="AF743" s="809"/>
      <c r="AG743" s="809"/>
      <c r="AH743" s="809"/>
      <c r="AI743" s="809"/>
      <c r="AJ743" s="809"/>
      <c r="AK743" s="809"/>
      <c r="AL743" s="809"/>
      <c r="AM743" s="809"/>
      <c r="AN743" s="809"/>
      <c r="AO743" s="809"/>
      <c r="AP743" s="809"/>
      <c r="AQ743" s="809"/>
      <c r="AR743" s="809"/>
      <c r="AS743" s="809"/>
      <c r="AT743" s="809"/>
      <c r="AU743" s="809"/>
      <c r="AV743" s="809"/>
      <c r="AW743" s="809"/>
      <c r="AX743" s="809"/>
      <c r="AY743" s="809"/>
      <c r="AZ743" s="809"/>
      <c r="BA743" s="809"/>
      <c r="BB743" s="809"/>
      <c r="BC743" s="809"/>
      <c r="BD743" s="809"/>
      <c r="BE743" s="809"/>
      <c r="BF743" s="809"/>
      <c r="BG743" s="809"/>
      <c r="BH743" s="809"/>
      <c r="BI743" s="809"/>
      <c r="BJ743" s="809"/>
      <c r="BK743" s="809"/>
      <c r="BL743" s="809"/>
      <c r="BM743" s="809"/>
      <c r="BN743" s="809"/>
    </row>
    <row r="744" spans="1:66">
      <c r="A744" s="809"/>
      <c r="B744" s="809"/>
      <c r="C744" s="809"/>
      <c r="D744" s="809"/>
      <c r="E744" s="809"/>
      <c r="F744" s="809"/>
      <c r="G744" s="809"/>
      <c r="H744" s="809"/>
      <c r="I744" s="809"/>
      <c r="J744" s="809"/>
      <c r="K744" s="809"/>
      <c r="L744" s="809"/>
      <c r="M744" s="809"/>
      <c r="N744" s="809"/>
      <c r="O744" s="809"/>
      <c r="P744" s="809"/>
      <c r="Q744" s="809"/>
      <c r="R744" s="809"/>
      <c r="S744" s="809"/>
      <c r="T744" s="809"/>
      <c r="U744" s="809"/>
      <c r="V744" s="809"/>
      <c r="W744" s="809"/>
      <c r="X744" s="809"/>
      <c r="Y744" s="809"/>
      <c r="Z744" s="809"/>
      <c r="AA744" s="809"/>
      <c r="AB744" s="809"/>
      <c r="AC744" s="809"/>
      <c r="AD744" s="809"/>
      <c r="AE744" s="809"/>
      <c r="AF744" s="809"/>
      <c r="AG744" s="809"/>
      <c r="AH744" s="809"/>
      <c r="AI744" s="809"/>
      <c r="AJ744" s="809"/>
      <c r="AK744" s="809"/>
      <c r="AL744" s="809"/>
      <c r="AM744" s="809"/>
      <c r="AN744" s="809"/>
      <c r="AO744" s="809"/>
      <c r="AP744" s="809"/>
      <c r="AQ744" s="809"/>
      <c r="AR744" s="809"/>
      <c r="AS744" s="809"/>
      <c r="AT744" s="809"/>
      <c r="AU744" s="809"/>
      <c r="AV744" s="809"/>
      <c r="AW744" s="809"/>
      <c r="AX744" s="809"/>
      <c r="AY744" s="809"/>
      <c r="AZ744" s="809"/>
      <c r="BA744" s="809"/>
      <c r="BB744" s="809"/>
      <c r="BC744" s="809"/>
      <c r="BD744" s="809"/>
      <c r="BE744" s="809"/>
      <c r="BF744" s="809"/>
      <c r="BG744" s="809"/>
      <c r="BH744" s="809"/>
      <c r="BI744" s="809"/>
      <c r="BJ744" s="809"/>
      <c r="BK744" s="809"/>
      <c r="BL744" s="809"/>
      <c r="BM744" s="809"/>
      <c r="BN744" s="809"/>
    </row>
    <row r="745" spans="1:66">
      <c r="A745" s="809"/>
      <c r="B745" s="809"/>
      <c r="C745" s="809"/>
      <c r="D745" s="809"/>
      <c r="E745" s="809"/>
      <c r="F745" s="809"/>
      <c r="G745" s="809"/>
      <c r="H745" s="809"/>
      <c r="I745" s="809"/>
      <c r="J745" s="809"/>
      <c r="K745" s="809"/>
      <c r="L745" s="809"/>
      <c r="M745" s="809"/>
      <c r="N745" s="809"/>
      <c r="O745" s="809"/>
      <c r="P745" s="809"/>
      <c r="Q745" s="809"/>
      <c r="R745" s="809"/>
      <c r="S745" s="809"/>
      <c r="T745" s="809"/>
      <c r="U745" s="809"/>
      <c r="V745" s="809"/>
      <c r="W745" s="809"/>
      <c r="X745" s="809"/>
      <c r="Y745" s="809"/>
      <c r="Z745" s="809"/>
      <c r="AA745" s="809"/>
      <c r="AB745" s="809"/>
      <c r="AC745" s="809"/>
      <c r="AD745" s="809"/>
      <c r="AE745" s="809"/>
      <c r="AF745" s="809"/>
      <c r="AG745" s="809"/>
      <c r="AH745" s="809"/>
      <c r="AI745" s="809"/>
      <c r="AJ745" s="809"/>
      <c r="AK745" s="809"/>
      <c r="AL745" s="809"/>
      <c r="AM745" s="809"/>
      <c r="AN745" s="809"/>
      <c r="AO745" s="809"/>
      <c r="AP745" s="809"/>
      <c r="AQ745" s="809"/>
      <c r="AR745" s="809"/>
      <c r="AS745" s="809"/>
      <c r="AT745" s="809"/>
      <c r="AU745" s="809"/>
      <c r="AV745" s="809"/>
      <c r="AW745" s="809"/>
      <c r="AX745" s="809"/>
      <c r="AY745" s="809"/>
      <c r="AZ745" s="809"/>
      <c r="BA745" s="809"/>
      <c r="BB745" s="809"/>
      <c r="BC745" s="809"/>
      <c r="BD745" s="809"/>
      <c r="BE745" s="809"/>
      <c r="BF745" s="809"/>
      <c r="BG745" s="809"/>
      <c r="BH745" s="809"/>
      <c r="BI745" s="809"/>
      <c r="BJ745" s="809"/>
      <c r="BK745" s="809"/>
      <c r="BL745" s="809"/>
      <c r="BM745" s="809"/>
      <c r="BN745" s="809"/>
    </row>
    <row r="746" spans="1:66">
      <c r="A746" s="809"/>
      <c r="B746" s="809"/>
      <c r="C746" s="809"/>
      <c r="D746" s="809"/>
      <c r="E746" s="809"/>
      <c r="F746" s="809"/>
      <c r="G746" s="809"/>
      <c r="H746" s="809"/>
      <c r="I746" s="809"/>
      <c r="J746" s="809"/>
      <c r="K746" s="809"/>
      <c r="L746" s="809"/>
      <c r="M746" s="809"/>
      <c r="N746" s="809"/>
      <c r="O746" s="809"/>
      <c r="P746" s="809"/>
      <c r="Q746" s="809"/>
      <c r="R746" s="809"/>
      <c r="S746" s="809"/>
      <c r="T746" s="809"/>
      <c r="U746" s="809"/>
      <c r="V746" s="809"/>
      <c r="W746" s="809"/>
      <c r="X746" s="809"/>
      <c r="Y746" s="809"/>
      <c r="Z746" s="809"/>
      <c r="AA746" s="809"/>
      <c r="AB746" s="809"/>
      <c r="AC746" s="809"/>
      <c r="AD746" s="809"/>
      <c r="AE746" s="809"/>
      <c r="AF746" s="809"/>
      <c r="AG746" s="809"/>
      <c r="AH746" s="809"/>
      <c r="AI746" s="809"/>
      <c r="AJ746" s="809"/>
      <c r="AK746" s="809"/>
      <c r="AL746" s="809"/>
      <c r="AM746" s="809"/>
      <c r="AN746" s="809"/>
      <c r="AO746" s="809"/>
      <c r="AP746" s="809"/>
      <c r="AQ746" s="809"/>
      <c r="AR746" s="809"/>
      <c r="AS746" s="809"/>
      <c r="AT746" s="809"/>
      <c r="AU746" s="809"/>
      <c r="AV746" s="809"/>
      <c r="AW746" s="809"/>
      <c r="AX746" s="809"/>
      <c r="AY746" s="809"/>
      <c r="AZ746" s="809"/>
      <c r="BA746" s="809"/>
      <c r="BB746" s="809"/>
      <c r="BC746" s="809"/>
      <c r="BD746" s="809"/>
      <c r="BE746" s="809"/>
      <c r="BF746" s="809"/>
      <c r="BG746" s="809"/>
      <c r="BH746" s="809"/>
      <c r="BI746" s="809"/>
      <c r="BJ746" s="809"/>
      <c r="BK746" s="809"/>
      <c r="BL746" s="809"/>
      <c r="BM746" s="809"/>
      <c r="BN746" s="809"/>
    </row>
    <row r="747" spans="1:66">
      <c r="A747" s="809"/>
      <c r="B747" s="809"/>
      <c r="C747" s="809"/>
      <c r="D747" s="809"/>
      <c r="E747" s="809"/>
      <c r="F747" s="809"/>
      <c r="G747" s="809"/>
      <c r="H747" s="809"/>
      <c r="I747" s="809"/>
      <c r="J747" s="809"/>
      <c r="K747" s="809"/>
      <c r="L747" s="809"/>
      <c r="M747" s="809"/>
      <c r="N747" s="809"/>
      <c r="O747" s="809"/>
      <c r="P747" s="809"/>
      <c r="Q747" s="809"/>
      <c r="R747" s="809"/>
      <c r="S747" s="809"/>
      <c r="T747" s="809"/>
      <c r="U747" s="809"/>
      <c r="V747" s="809"/>
      <c r="W747" s="809"/>
      <c r="X747" s="809"/>
      <c r="Y747" s="809"/>
      <c r="Z747" s="809"/>
      <c r="AA747" s="809"/>
      <c r="AB747" s="809"/>
      <c r="AC747" s="809"/>
      <c r="AD747" s="809"/>
      <c r="AE747" s="809"/>
      <c r="AF747" s="809"/>
      <c r="AG747" s="809"/>
      <c r="AH747" s="809"/>
      <c r="AI747" s="809"/>
      <c r="AJ747" s="809"/>
      <c r="AK747" s="809"/>
      <c r="AL747" s="809"/>
      <c r="AM747" s="809"/>
      <c r="AN747" s="809"/>
      <c r="AO747" s="809"/>
      <c r="AP747" s="809"/>
      <c r="AQ747" s="809"/>
      <c r="AR747" s="809"/>
      <c r="AS747" s="809"/>
      <c r="AT747" s="809"/>
      <c r="AU747" s="809"/>
      <c r="AV747" s="809"/>
      <c r="AW747" s="809"/>
      <c r="AX747" s="809"/>
      <c r="AY747" s="809"/>
      <c r="AZ747" s="809"/>
      <c r="BA747" s="809"/>
      <c r="BB747" s="809"/>
      <c r="BC747" s="809"/>
      <c r="BD747" s="809"/>
      <c r="BE747" s="809"/>
      <c r="BF747" s="809"/>
      <c r="BG747" s="809"/>
      <c r="BH747" s="809"/>
      <c r="BI747" s="809"/>
      <c r="BJ747" s="809"/>
      <c r="BK747" s="809"/>
      <c r="BL747" s="809"/>
      <c r="BM747" s="809"/>
      <c r="BN747" s="809"/>
    </row>
    <row r="748" spans="1:66">
      <c r="A748" s="809"/>
      <c r="B748" s="809"/>
      <c r="C748" s="809"/>
      <c r="D748" s="809"/>
      <c r="E748" s="809"/>
      <c r="F748" s="809"/>
      <c r="G748" s="809"/>
      <c r="H748" s="809"/>
      <c r="I748" s="809"/>
      <c r="J748" s="809"/>
      <c r="K748" s="809"/>
      <c r="L748" s="809"/>
      <c r="M748" s="809"/>
      <c r="N748" s="809"/>
      <c r="O748" s="809"/>
      <c r="P748" s="809"/>
      <c r="Q748" s="809"/>
      <c r="R748" s="809"/>
      <c r="S748" s="809"/>
      <c r="T748" s="809"/>
      <c r="U748" s="809"/>
      <c r="V748" s="809"/>
      <c r="W748" s="809"/>
      <c r="X748" s="809"/>
      <c r="Y748" s="809"/>
      <c r="Z748" s="809"/>
      <c r="AA748" s="809"/>
      <c r="AB748" s="809"/>
      <c r="AC748" s="809"/>
      <c r="AD748" s="809"/>
      <c r="AE748" s="809"/>
      <c r="AF748" s="809"/>
      <c r="AG748" s="809"/>
      <c r="AH748" s="809"/>
      <c r="AI748" s="809"/>
      <c r="AJ748" s="809"/>
      <c r="AK748" s="809"/>
      <c r="AL748" s="809"/>
      <c r="AM748" s="809"/>
      <c r="AN748" s="809"/>
      <c r="AO748" s="809"/>
      <c r="AP748" s="809"/>
      <c r="AQ748" s="809"/>
      <c r="AR748" s="809"/>
      <c r="AS748" s="809"/>
      <c r="AT748" s="809"/>
      <c r="AU748" s="809"/>
      <c r="AV748" s="809"/>
      <c r="AW748" s="809"/>
      <c r="AX748" s="809"/>
      <c r="AY748" s="809"/>
      <c r="AZ748" s="809"/>
      <c r="BA748" s="809"/>
      <c r="BB748" s="809"/>
      <c r="BC748" s="809"/>
      <c r="BD748" s="809"/>
      <c r="BE748" s="809"/>
      <c r="BF748" s="809"/>
      <c r="BG748" s="809"/>
      <c r="BH748" s="809"/>
      <c r="BI748" s="809"/>
      <c r="BJ748" s="809"/>
      <c r="BK748" s="809"/>
      <c r="BL748" s="809"/>
      <c r="BM748" s="809"/>
      <c r="BN748" s="809"/>
    </row>
    <row r="749" spans="1:66">
      <c r="A749" s="809"/>
      <c r="B749" s="809"/>
      <c r="C749" s="809"/>
      <c r="D749" s="809"/>
      <c r="E749" s="809"/>
      <c r="F749" s="809"/>
      <c r="G749" s="809"/>
      <c r="H749" s="809"/>
      <c r="I749" s="809"/>
      <c r="J749" s="809"/>
      <c r="K749" s="809"/>
      <c r="L749" s="809"/>
      <c r="M749" s="809"/>
      <c r="N749" s="809"/>
      <c r="O749" s="809"/>
      <c r="P749" s="809"/>
      <c r="Q749" s="809"/>
      <c r="R749" s="809"/>
      <c r="S749" s="809"/>
      <c r="T749" s="809"/>
      <c r="U749" s="809"/>
      <c r="V749" s="809"/>
      <c r="W749" s="809"/>
      <c r="X749" s="809"/>
      <c r="Y749" s="809"/>
      <c r="Z749" s="809"/>
      <c r="AA749" s="809"/>
      <c r="AB749" s="809"/>
      <c r="AC749" s="809"/>
      <c r="AD749" s="809"/>
      <c r="AE749" s="809"/>
      <c r="AF749" s="809"/>
      <c r="AG749" s="809"/>
      <c r="AH749" s="809"/>
      <c r="AI749" s="809"/>
      <c r="AJ749" s="809"/>
      <c r="AK749" s="809"/>
      <c r="AL749" s="809"/>
      <c r="AM749" s="809"/>
      <c r="AN749" s="809"/>
      <c r="AO749" s="809"/>
      <c r="AP749" s="809"/>
      <c r="AQ749" s="809"/>
      <c r="AR749" s="809"/>
      <c r="AS749" s="809"/>
      <c r="AT749" s="809"/>
      <c r="AU749" s="809"/>
      <c r="AV749" s="809"/>
      <c r="AW749" s="809"/>
      <c r="AX749" s="809"/>
      <c r="AY749" s="809"/>
      <c r="AZ749" s="809"/>
      <c r="BA749" s="809"/>
      <c r="BB749" s="809"/>
      <c r="BC749" s="809"/>
      <c r="BD749" s="809"/>
      <c r="BE749" s="809"/>
      <c r="BF749" s="809"/>
      <c r="BG749" s="809"/>
      <c r="BH749" s="809"/>
      <c r="BI749" s="809"/>
      <c r="BJ749" s="809"/>
      <c r="BK749" s="809"/>
      <c r="BL749" s="809"/>
      <c r="BM749" s="809"/>
      <c r="BN749" s="809"/>
    </row>
    <row r="750" spans="1:66">
      <c r="A750" s="809"/>
      <c r="B750" s="809"/>
      <c r="C750" s="809"/>
      <c r="D750" s="809"/>
      <c r="E750" s="809"/>
      <c r="F750" s="809"/>
      <c r="G750" s="809"/>
      <c r="H750" s="809"/>
      <c r="I750" s="809"/>
      <c r="J750" s="809"/>
      <c r="K750" s="809"/>
      <c r="L750" s="809"/>
      <c r="M750" s="809"/>
      <c r="N750" s="809"/>
      <c r="O750" s="809"/>
      <c r="P750" s="809"/>
      <c r="Q750" s="809"/>
      <c r="R750" s="809"/>
      <c r="S750" s="809"/>
      <c r="T750" s="809"/>
      <c r="U750" s="809"/>
      <c r="V750" s="809"/>
      <c r="W750" s="809"/>
      <c r="X750" s="809"/>
      <c r="Y750" s="809"/>
      <c r="Z750" s="809"/>
      <c r="AA750" s="809"/>
      <c r="AB750" s="809"/>
      <c r="AC750" s="809"/>
      <c r="AD750" s="809"/>
      <c r="AE750" s="809"/>
      <c r="AF750" s="809"/>
      <c r="AG750" s="809"/>
      <c r="AH750" s="809"/>
      <c r="AI750" s="809"/>
      <c r="AJ750" s="809"/>
      <c r="AK750" s="809"/>
      <c r="AL750" s="809"/>
      <c r="AM750" s="809"/>
      <c r="AN750" s="809"/>
      <c r="AO750" s="809"/>
      <c r="AP750" s="809"/>
      <c r="AQ750" s="809"/>
      <c r="AR750" s="809"/>
      <c r="AS750" s="809"/>
      <c r="AT750" s="809"/>
      <c r="AU750" s="809"/>
      <c r="AV750" s="809"/>
      <c r="AW750" s="809"/>
      <c r="AX750" s="809"/>
      <c r="AY750" s="809"/>
      <c r="AZ750" s="809"/>
      <c r="BA750" s="809"/>
      <c r="BB750" s="809"/>
      <c r="BC750" s="809"/>
      <c r="BD750" s="809"/>
      <c r="BE750" s="809"/>
      <c r="BF750" s="809"/>
      <c r="BG750" s="809"/>
      <c r="BH750" s="809"/>
      <c r="BI750" s="809"/>
      <c r="BJ750" s="809"/>
      <c r="BK750" s="809"/>
      <c r="BL750" s="809"/>
      <c r="BM750" s="809"/>
      <c r="BN750" s="809"/>
    </row>
    <row r="751" spans="1:66">
      <c r="A751" s="809"/>
      <c r="B751" s="809"/>
      <c r="C751" s="809"/>
      <c r="D751" s="809"/>
      <c r="E751" s="809"/>
      <c r="F751" s="809"/>
      <c r="G751" s="809"/>
      <c r="H751" s="809"/>
      <c r="I751" s="809"/>
      <c r="J751" s="809"/>
      <c r="K751" s="809"/>
      <c r="L751" s="809"/>
      <c r="M751" s="809"/>
      <c r="N751" s="809"/>
      <c r="O751" s="809"/>
      <c r="P751" s="809"/>
      <c r="Q751" s="809"/>
      <c r="R751" s="809"/>
      <c r="S751" s="809"/>
      <c r="T751" s="809"/>
      <c r="U751" s="809"/>
      <c r="V751" s="809"/>
      <c r="W751" s="809"/>
      <c r="X751" s="809"/>
      <c r="Y751" s="809"/>
      <c r="Z751" s="809"/>
      <c r="AA751" s="809"/>
      <c r="AB751" s="809"/>
      <c r="AC751" s="809"/>
      <c r="AD751" s="809"/>
      <c r="AE751" s="809"/>
      <c r="AF751" s="809"/>
      <c r="AG751" s="809"/>
      <c r="AH751" s="809"/>
      <c r="AI751" s="809"/>
      <c r="AJ751" s="809"/>
      <c r="AK751" s="809"/>
      <c r="AL751" s="809"/>
      <c r="AM751" s="809"/>
      <c r="AN751" s="809"/>
      <c r="AO751" s="809"/>
      <c r="AP751" s="809"/>
      <c r="AQ751" s="809"/>
      <c r="AR751" s="809"/>
      <c r="AS751" s="809"/>
      <c r="AT751" s="809"/>
      <c r="AU751" s="809"/>
      <c r="AV751" s="809"/>
      <c r="AW751" s="809"/>
      <c r="AX751" s="809"/>
      <c r="AY751" s="809"/>
      <c r="AZ751" s="809"/>
      <c r="BA751" s="809"/>
      <c r="BB751" s="809"/>
      <c r="BC751" s="809"/>
      <c r="BD751" s="809"/>
      <c r="BE751" s="809"/>
      <c r="BF751" s="809"/>
      <c r="BG751" s="809"/>
      <c r="BH751" s="809"/>
      <c r="BI751" s="809"/>
      <c r="BJ751" s="809"/>
      <c r="BK751" s="809"/>
      <c r="BL751" s="809"/>
      <c r="BM751" s="809"/>
      <c r="BN751" s="809"/>
    </row>
    <row r="752" spans="1:66">
      <c r="A752" s="809"/>
      <c r="B752" s="809"/>
      <c r="C752" s="809"/>
      <c r="D752" s="809"/>
      <c r="E752" s="809"/>
      <c r="F752" s="809"/>
      <c r="G752" s="809"/>
      <c r="H752" s="809"/>
      <c r="I752" s="809"/>
      <c r="J752" s="809"/>
      <c r="K752" s="809"/>
      <c r="L752" s="809"/>
      <c r="M752" s="809"/>
      <c r="N752" s="809"/>
      <c r="O752" s="809"/>
      <c r="P752" s="809"/>
      <c r="Q752" s="809"/>
      <c r="R752" s="809"/>
      <c r="S752" s="809"/>
      <c r="T752" s="809"/>
      <c r="U752" s="809"/>
      <c r="V752" s="809"/>
      <c r="W752" s="809"/>
      <c r="X752" s="809"/>
      <c r="Y752" s="809"/>
      <c r="Z752" s="809"/>
      <c r="AA752" s="809"/>
      <c r="AB752" s="809"/>
      <c r="AC752" s="809"/>
      <c r="AD752" s="809"/>
      <c r="AE752" s="809"/>
      <c r="AF752" s="809"/>
      <c r="AG752" s="809"/>
      <c r="AH752" s="809"/>
      <c r="AI752" s="809"/>
      <c r="AJ752" s="809"/>
      <c r="AK752" s="809"/>
      <c r="AL752" s="809"/>
      <c r="AM752" s="809"/>
      <c r="AN752" s="809"/>
      <c r="AO752" s="809"/>
      <c r="AP752" s="809"/>
      <c r="AQ752" s="809"/>
      <c r="AR752" s="809"/>
      <c r="AS752" s="809"/>
      <c r="AT752" s="809"/>
      <c r="AU752" s="809"/>
      <c r="AV752" s="809"/>
      <c r="AW752" s="809"/>
      <c r="AX752" s="809"/>
      <c r="AY752" s="809"/>
      <c r="AZ752" s="809"/>
      <c r="BA752" s="809"/>
      <c r="BB752" s="809"/>
      <c r="BC752" s="809"/>
      <c r="BD752" s="809"/>
      <c r="BE752" s="809"/>
      <c r="BF752" s="809"/>
      <c r="BG752" s="809"/>
      <c r="BH752" s="809"/>
      <c r="BI752" s="809"/>
      <c r="BJ752" s="809"/>
      <c r="BK752" s="809"/>
      <c r="BL752" s="809"/>
      <c r="BM752" s="809"/>
      <c r="BN752" s="809"/>
    </row>
    <row r="753" spans="1:66">
      <c r="A753" s="809"/>
      <c r="B753" s="809"/>
      <c r="C753" s="809"/>
      <c r="D753" s="809"/>
      <c r="E753" s="809"/>
      <c r="F753" s="809"/>
      <c r="G753" s="809"/>
      <c r="H753" s="809"/>
      <c r="I753" s="809"/>
      <c r="J753" s="809"/>
      <c r="K753" s="809"/>
      <c r="L753" s="809"/>
      <c r="M753" s="809"/>
      <c r="N753" s="809"/>
      <c r="O753" s="809"/>
      <c r="P753" s="809"/>
      <c r="Q753" s="809"/>
      <c r="R753" s="809"/>
      <c r="S753" s="809"/>
      <c r="T753" s="809"/>
      <c r="U753" s="809"/>
      <c r="V753" s="809"/>
      <c r="W753" s="809"/>
      <c r="X753" s="809"/>
      <c r="Y753" s="809"/>
      <c r="Z753" s="809"/>
      <c r="AA753" s="809"/>
      <c r="AB753" s="809"/>
      <c r="AC753" s="809"/>
      <c r="AD753" s="809"/>
      <c r="AE753" s="809"/>
      <c r="AF753" s="809"/>
      <c r="AG753" s="809"/>
      <c r="AH753" s="809"/>
      <c r="AI753" s="809"/>
      <c r="AJ753" s="809"/>
      <c r="AK753" s="809"/>
      <c r="AL753" s="809"/>
      <c r="AM753" s="809"/>
      <c r="AN753" s="809"/>
      <c r="AO753" s="809"/>
      <c r="AP753" s="809"/>
      <c r="AQ753" s="809"/>
      <c r="AR753" s="809"/>
      <c r="AS753" s="809"/>
      <c r="AT753" s="809"/>
      <c r="AU753" s="809"/>
      <c r="AV753" s="809"/>
      <c r="AW753" s="809"/>
      <c r="AX753" s="809"/>
      <c r="AY753" s="809"/>
      <c r="AZ753" s="809"/>
      <c r="BA753" s="809"/>
      <c r="BB753" s="809"/>
      <c r="BC753" s="809"/>
      <c r="BD753" s="809"/>
      <c r="BE753" s="809"/>
      <c r="BF753" s="809"/>
      <c r="BG753" s="809"/>
      <c r="BH753" s="809"/>
      <c r="BI753" s="809"/>
      <c r="BJ753" s="809"/>
      <c r="BK753" s="809"/>
      <c r="BL753" s="809"/>
      <c r="BM753" s="809"/>
      <c r="BN753" s="809"/>
    </row>
    <row r="754" spans="1:66">
      <c r="A754" s="809"/>
      <c r="B754" s="809"/>
      <c r="C754" s="809"/>
      <c r="D754" s="809"/>
      <c r="E754" s="809"/>
      <c r="F754" s="809"/>
      <c r="G754" s="809"/>
      <c r="H754" s="809"/>
      <c r="I754" s="809"/>
      <c r="J754" s="809"/>
      <c r="K754" s="809"/>
      <c r="L754" s="809"/>
      <c r="M754" s="809"/>
      <c r="N754" s="809"/>
      <c r="O754" s="809"/>
      <c r="P754" s="809"/>
      <c r="Q754" s="809"/>
      <c r="R754" s="809"/>
      <c r="S754" s="809"/>
      <c r="T754" s="809"/>
      <c r="U754" s="809"/>
      <c r="V754" s="809"/>
      <c r="W754" s="809"/>
      <c r="X754" s="809"/>
      <c r="Y754" s="809"/>
      <c r="Z754" s="809"/>
      <c r="AA754" s="809"/>
      <c r="AB754" s="809"/>
      <c r="AC754" s="809"/>
      <c r="AD754" s="809"/>
      <c r="AE754" s="809"/>
      <c r="AF754" s="809"/>
      <c r="AG754" s="809"/>
      <c r="AH754" s="809"/>
      <c r="AI754" s="809"/>
      <c r="AJ754" s="809"/>
      <c r="AK754" s="809"/>
      <c r="AL754" s="809"/>
      <c r="AM754" s="809"/>
      <c r="AN754" s="809"/>
      <c r="AO754" s="809"/>
      <c r="AP754" s="809"/>
      <c r="AQ754" s="809"/>
      <c r="AR754" s="809"/>
      <c r="AS754" s="809"/>
      <c r="AT754" s="809"/>
      <c r="AU754" s="809"/>
      <c r="AV754" s="809"/>
      <c r="AW754" s="809"/>
      <c r="AX754" s="809"/>
      <c r="AY754" s="809"/>
      <c r="AZ754" s="809"/>
      <c r="BA754" s="809"/>
      <c r="BB754" s="809"/>
      <c r="BC754" s="809"/>
      <c r="BD754" s="809"/>
      <c r="BE754" s="809"/>
      <c r="BF754" s="809"/>
      <c r="BG754" s="809"/>
      <c r="BH754" s="809"/>
      <c r="BI754" s="809"/>
      <c r="BJ754" s="809"/>
      <c r="BK754" s="809"/>
      <c r="BL754" s="809"/>
      <c r="BM754" s="809"/>
      <c r="BN754" s="809"/>
    </row>
    <row r="755" spans="1:66">
      <c r="A755" s="809"/>
      <c r="B755" s="809"/>
      <c r="C755" s="809"/>
      <c r="D755" s="809"/>
      <c r="E755" s="809"/>
      <c r="F755" s="809"/>
      <c r="G755" s="809"/>
      <c r="H755" s="809"/>
      <c r="I755" s="809"/>
      <c r="J755" s="809"/>
      <c r="K755" s="809"/>
      <c r="L755" s="809"/>
      <c r="M755" s="809"/>
      <c r="N755" s="809"/>
      <c r="O755" s="809"/>
      <c r="P755" s="809"/>
      <c r="Q755" s="809"/>
      <c r="R755" s="809"/>
      <c r="S755" s="809"/>
      <c r="T755" s="809"/>
      <c r="U755" s="809"/>
      <c r="V755" s="809"/>
      <c r="W755" s="809"/>
      <c r="X755" s="809"/>
      <c r="Y755" s="809"/>
      <c r="Z755" s="809"/>
      <c r="AA755" s="809"/>
      <c r="AB755" s="809"/>
      <c r="AC755" s="809"/>
      <c r="AD755" s="809"/>
      <c r="AE755" s="809"/>
      <c r="AF755" s="809"/>
      <c r="AG755" s="809"/>
      <c r="AH755" s="809"/>
      <c r="AI755" s="809"/>
      <c r="AJ755" s="809"/>
      <c r="AK755" s="809"/>
      <c r="AL755" s="809"/>
      <c r="AM755" s="809"/>
      <c r="AN755" s="809"/>
      <c r="AO755" s="809"/>
      <c r="AP755" s="809"/>
      <c r="AQ755" s="809"/>
      <c r="AR755" s="809"/>
      <c r="AS755" s="809"/>
      <c r="AT755" s="809"/>
      <c r="AU755" s="809"/>
      <c r="AV755" s="809"/>
      <c r="AW755" s="809"/>
      <c r="AX755" s="809"/>
      <c r="AY755" s="809"/>
      <c r="AZ755" s="809"/>
      <c r="BA755" s="809"/>
      <c r="BB755" s="809"/>
      <c r="BC755" s="809"/>
      <c r="BD755" s="809"/>
      <c r="BE755" s="809"/>
      <c r="BF755" s="809"/>
      <c r="BG755" s="809"/>
      <c r="BH755" s="809"/>
      <c r="BI755" s="809"/>
      <c r="BJ755" s="809"/>
      <c r="BK755" s="809"/>
      <c r="BL755" s="809"/>
      <c r="BM755" s="809"/>
      <c r="BN755" s="809"/>
    </row>
    <row r="756" spans="1:66">
      <c r="A756" s="809"/>
      <c r="B756" s="809"/>
      <c r="C756" s="809"/>
      <c r="D756" s="809"/>
      <c r="E756" s="809"/>
      <c r="F756" s="809"/>
      <c r="G756" s="809"/>
      <c r="H756" s="809"/>
      <c r="I756" s="809"/>
      <c r="J756" s="809"/>
      <c r="K756" s="809"/>
      <c r="L756" s="809"/>
      <c r="M756" s="809"/>
      <c r="N756" s="809"/>
      <c r="O756" s="809"/>
      <c r="P756" s="809"/>
      <c r="Q756" s="809"/>
      <c r="R756" s="809"/>
      <c r="S756" s="809"/>
      <c r="T756" s="809"/>
      <c r="U756" s="809"/>
      <c r="V756" s="809"/>
      <c r="W756" s="809"/>
      <c r="X756" s="809"/>
      <c r="Y756" s="809"/>
      <c r="Z756" s="809"/>
      <c r="AA756" s="809"/>
      <c r="AB756" s="809"/>
      <c r="AC756" s="809"/>
      <c r="AD756" s="809"/>
      <c r="AE756" s="809"/>
      <c r="AF756" s="809"/>
      <c r="AG756" s="809"/>
      <c r="AH756" s="809"/>
      <c r="AI756" s="809"/>
      <c r="AJ756" s="809"/>
      <c r="AK756" s="809"/>
      <c r="AL756" s="809"/>
      <c r="AM756" s="809"/>
      <c r="AN756" s="809"/>
      <c r="AO756" s="809"/>
      <c r="AP756" s="809"/>
      <c r="AQ756" s="809"/>
      <c r="AR756" s="809"/>
      <c r="AS756" s="809"/>
      <c r="AT756" s="809"/>
      <c r="AU756" s="809"/>
      <c r="AV756" s="809"/>
      <c r="AW756" s="809"/>
      <c r="AX756" s="809"/>
      <c r="AY756" s="809"/>
      <c r="AZ756" s="809"/>
      <c r="BA756" s="809"/>
      <c r="BB756" s="809"/>
      <c r="BC756" s="809"/>
      <c r="BD756" s="809"/>
      <c r="BE756" s="809"/>
      <c r="BF756" s="809"/>
      <c r="BG756" s="809"/>
      <c r="BH756" s="809"/>
      <c r="BI756" s="809"/>
      <c r="BJ756" s="809"/>
      <c r="BK756" s="809"/>
      <c r="BL756" s="809"/>
      <c r="BM756" s="809"/>
      <c r="BN756" s="809"/>
    </row>
    <row r="757" spans="1:66">
      <c r="A757" s="809"/>
      <c r="B757" s="809"/>
      <c r="C757" s="809"/>
      <c r="D757" s="809"/>
      <c r="E757" s="809"/>
      <c r="F757" s="809"/>
      <c r="G757" s="809"/>
      <c r="H757" s="809"/>
      <c r="I757" s="809"/>
      <c r="J757" s="809"/>
      <c r="K757" s="809"/>
      <c r="L757" s="809"/>
      <c r="M757" s="809"/>
      <c r="N757" s="809"/>
      <c r="O757" s="809"/>
      <c r="P757" s="809"/>
      <c r="Q757" s="809"/>
      <c r="R757" s="809"/>
      <c r="S757" s="809"/>
      <c r="T757" s="809"/>
      <c r="U757" s="809"/>
      <c r="V757" s="809"/>
      <c r="W757" s="809"/>
      <c r="X757" s="809"/>
      <c r="Y757" s="809"/>
      <c r="Z757" s="809"/>
      <c r="AA757" s="809"/>
      <c r="AB757" s="809"/>
      <c r="AC757" s="809"/>
      <c r="AD757" s="809"/>
      <c r="AE757" s="809"/>
      <c r="AF757" s="809"/>
      <c r="AG757" s="809"/>
      <c r="AH757" s="809"/>
      <c r="AI757" s="809"/>
      <c r="AJ757" s="809"/>
      <c r="AK757" s="809"/>
      <c r="AL757" s="809"/>
      <c r="AM757" s="809"/>
      <c r="AN757" s="809"/>
      <c r="AO757" s="809"/>
      <c r="AP757" s="809"/>
      <c r="AQ757" s="809"/>
      <c r="AR757" s="809"/>
      <c r="AS757" s="809"/>
      <c r="AT757" s="809"/>
      <c r="AU757" s="809"/>
      <c r="AV757" s="809"/>
      <c r="AW757" s="809"/>
      <c r="AX757" s="809"/>
      <c r="AY757" s="809"/>
      <c r="AZ757" s="809"/>
      <c r="BA757" s="809"/>
      <c r="BB757" s="809"/>
      <c r="BC757" s="809"/>
      <c r="BD757" s="809"/>
      <c r="BE757" s="809"/>
      <c r="BF757" s="809"/>
      <c r="BG757" s="809"/>
      <c r="BH757" s="809"/>
      <c r="BI757" s="809"/>
      <c r="BJ757" s="809"/>
      <c r="BK757" s="809"/>
      <c r="BL757" s="809"/>
      <c r="BM757" s="809"/>
      <c r="BN757" s="809"/>
    </row>
    <row r="758" spans="1:66">
      <c r="A758" s="809"/>
      <c r="B758" s="809"/>
      <c r="C758" s="809"/>
      <c r="D758" s="809"/>
      <c r="E758" s="809"/>
      <c r="F758" s="809"/>
      <c r="G758" s="809"/>
      <c r="H758" s="809"/>
      <c r="I758" s="809"/>
      <c r="J758" s="809"/>
      <c r="K758" s="809"/>
      <c r="L758" s="809"/>
      <c r="M758" s="809"/>
      <c r="N758" s="809"/>
      <c r="O758" s="809"/>
      <c r="P758" s="809"/>
      <c r="Q758" s="809"/>
      <c r="R758" s="809"/>
      <c r="S758" s="809"/>
      <c r="T758" s="809"/>
      <c r="U758" s="809"/>
      <c r="V758" s="809"/>
      <c r="W758" s="809"/>
      <c r="X758" s="809"/>
      <c r="Y758" s="809"/>
      <c r="Z758" s="809"/>
      <c r="AA758" s="809"/>
      <c r="AB758" s="809"/>
      <c r="AC758" s="809"/>
      <c r="AD758" s="809"/>
      <c r="AE758" s="809"/>
      <c r="AF758" s="809"/>
      <c r="AG758" s="809"/>
      <c r="AH758" s="809"/>
      <c r="AI758" s="809"/>
      <c r="AJ758" s="809"/>
      <c r="AK758" s="809"/>
      <c r="AL758" s="809"/>
      <c r="AM758" s="809"/>
      <c r="AN758" s="809"/>
      <c r="AO758" s="809"/>
      <c r="AP758" s="809"/>
      <c r="AQ758" s="809"/>
      <c r="AR758" s="809"/>
      <c r="AS758" s="809"/>
      <c r="AT758" s="809"/>
      <c r="AU758" s="809"/>
      <c r="AV758" s="809"/>
      <c r="AW758" s="809"/>
      <c r="AX758" s="809"/>
      <c r="AY758" s="809"/>
      <c r="AZ758" s="809"/>
      <c r="BA758" s="809"/>
      <c r="BB758" s="809"/>
      <c r="BC758" s="809"/>
      <c r="BD758" s="809"/>
      <c r="BE758" s="809"/>
      <c r="BF758" s="809"/>
      <c r="BG758" s="809"/>
      <c r="BH758" s="809"/>
      <c r="BI758" s="809"/>
      <c r="BJ758" s="809"/>
      <c r="BK758" s="809"/>
      <c r="BL758" s="809"/>
      <c r="BM758" s="809"/>
      <c r="BN758" s="809"/>
    </row>
    <row r="759" spans="1:66">
      <c r="A759" s="809"/>
      <c r="B759" s="809"/>
      <c r="C759" s="809"/>
      <c r="D759" s="809"/>
      <c r="E759" s="809"/>
      <c r="F759" s="809"/>
      <c r="G759" s="809"/>
      <c r="H759" s="809"/>
      <c r="I759" s="809"/>
      <c r="J759" s="809"/>
      <c r="K759" s="809"/>
      <c r="L759" s="809"/>
      <c r="M759" s="809"/>
      <c r="N759" s="809"/>
      <c r="O759" s="809"/>
      <c r="P759" s="809"/>
      <c r="Q759" s="809"/>
      <c r="R759" s="809"/>
      <c r="S759" s="809"/>
      <c r="T759" s="809"/>
      <c r="U759" s="809"/>
      <c r="V759" s="809"/>
      <c r="W759" s="809"/>
      <c r="X759" s="809"/>
      <c r="Y759" s="809"/>
      <c r="Z759" s="809"/>
      <c r="AA759" s="809"/>
      <c r="AB759" s="809"/>
      <c r="AC759" s="809"/>
      <c r="AD759" s="809"/>
      <c r="AE759" s="809"/>
      <c r="AF759" s="809"/>
      <c r="AG759" s="809"/>
      <c r="AH759" s="809"/>
      <c r="AI759" s="809"/>
      <c r="AJ759" s="809"/>
      <c r="AK759" s="809"/>
      <c r="AL759" s="809"/>
      <c r="AM759" s="809"/>
      <c r="AN759" s="809"/>
      <c r="AO759" s="809"/>
      <c r="AP759" s="809"/>
      <c r="AQ759" s="809"/>
      <c r="AR759" s="809"/>
      <c r="AS759" s="809"/>
      <c r="AT759" s="809"/>
      <c r="AU759" s="809"/>
      <c r="AV759" s="809"/>
      <c r="AW759" s="809"/>
      <c r="AX759" s="809"/>
      <c r="AY759" s="809"/>
      <c r="AZ759" s="809"/>
      <c r="BA759" s="809"/>
      <c r="BB759" s="809"/>
      <c r="BC759" s="809"/>
      <c r="BD759" s="809"/>
      <c r="BE759" s="809"/>
      <c r="BF759" s="809"/>
      <c r="BG759" s="809"/>
      <c r="BH759" s="809"/>
      <c r="BI759" s="809"/>
      <c r="BJ759" s="809"/>
      <c r="BK759" s="809"/>
      <c r="BL759" s="809"/>
      <c r="BM759" s="809"/>
      <c r="BN759" s="809"/>
    </row>
    <row r="760" spans="1:66">
      <c r="A760" s="809"/>
      <c r="B760" s="809"/>
      <c r="C760" s="809"/>
      <c r="D760" s="809"/>
      <c r="E760" s="809"/>
      <c r="F760" s="809"/>
      <c r="G760" s="809"/>
      <c r="H760" s="809"/>
      <c r="I760" s="809"/>
      <c r="J760" s="809"/>
      <c r="K760" s="809"/>
      <c r="L760" s="809"/>
      <c r="M760" s="809"/>
      <c r="N760" s="809"/>
      <c r="O760" s="809"/>
      <c r="P760" s="809"/>
      <c r="Q760" s="809"/>
      <c r="R760" s="809"/>
      <c r="S760" s="809"/>
      <c r="T760" s="809"/>
      <c r="U760" s="809"/>
      <c r="V760" s="809"/>
      <c r="W760" s="809"/>
      <c r="X760" s="809"/>
      <c r="Y760" s="809"/>
      <c r="Z760" s="809"/>
      <c r="AA760" s="809"/>
      <c r="AB760" s="809"/>
      <c r="AC760" s="809"/>
      <c r="AD760" s="809"/>
      <c r="AE760" s="809"/>
      <c r="AF760" s="809"/>
      <c r="AG760" s="809"/>
      <c r="AH760" s="809"/>
      <c r="AI760" s="809"/>
      <c r="AJ760" s="809"/>
      <c r="AK760" s="809"/>
      <c r="AL760" s="809"/>
      <c r="AM760" s="809"/>
      <c r="AN760" s="809"/>
      <c r="AO760" s="809"/>
      <c r="AP760" s="809"/>
      <c r="AQ760" s="809"/>
      <c r="AR760" s="809"/>
      <c r="AS760" s="809"/>
      <c r="AT760" s="809"/>
      <c r="AU760" s="809"/>
      <c r="AV760" s="809"/>
      <c r="AW760" s="809"/>
      <c r="AX760" s="809"/>
      <c r="AY760" s="809"/>
      <c r="AZ760" s="809"/>
      <c r="BA760" s="809"/>
      <c r="BB760" s="809"/>
      <c r="BC760" s="809"/>
      <c r="BD760" s="809"/>
      <c r="BE760" s="809"/>
      <c r="BF760" s="809"/>
      <c r="BG760" s="809"/>
      <c r="BH760" s="809"/>
      <c r="BI760" s="809"/>
      <c r="BJ760" s="809"/>
      <c r="BK760" s="809"/>
      <c r="BL760" s="809"/>
      <c r="BM760" s="809"/>
      <c r="BN760" s="809"/>
    </row>
    <row r="761" spans="1:66">
      <c r="A761" s="809"/>
      <c r="B761" s="809"/>
      <c r="C761" s="809"/>
      <c r="D761" s="809"/>
      <c r="E761" s="809"/>
      <c r="F761" s="809"/>
      <c r="G761" s="809"/>
      <c r="H761" s="809"/>
      <c r="I761" s="809"/>
      <c r="J761" s="809"/>
      <c r="K761" s="809"/>
      <c r="L761" s="809"/>
      <c r="M761" s="809"/>
      <c r="N761" s="809"/>
      <c r="O761" s="809"/>
      <c r="P761" s="809"/>
      <c r="Q761" s="809"/>
      <c r="R761" s="809"/>
      <c r="S761" s="809"/>
      <c r="T761" s="809"/>
      <c r="U761" s="809"/>
      <c r="V761" s="809"/>
      <c r="W761" s="809"/>
      <c r="X761" s="809"/>
      <c r="Y761" s="809"/>
      <c r="Z761" s="809"/>
      <c r="AA761" s="809"/>
      <c r="AB761" s="809"/>
      <c r="AC761" s="809"/>
      <c r="AD761" s="809"/>
      <c r="AE761" s="809"/>
      <c r="AF761" s="809"/>
      <c r="AG761" s="809"/>
      <c r="AH761" s="809"/>
      <c r="AI761" s="809"/>
      <c r="AJ761" s="809"/>
      <c r="AK761" s="809"/>
      <c r="AL761" s="809"/>
      <c r="AM761" s="809"/>
      <c r="AN761" s="809"/>
      <c r="AO761" s="809"/>
      <c r="AP761" s="809"/>
      <c r="AQ761" s="809"/>
      <c r="AR761" s="809"/>
      <c r="AS761" s="809"/>
      <c r="AT761" s="809"/>
      <c r="AU761" s="809"/>
      <c r="AV761" s="809"/>
      <c r="AW761" s="809"/>
      <c r="AX761" s="809"/>
      <c r="AY761" s="809"/>
      <c r="AZ761" s="809"/>
      <c r="BA761" s="809"/>
      <c r="BB761" s="809"/>
      <c r="BC761" s="809"/>
      <c r="BD761" s="809"/>
      <c r="BE761" s="809"/>
      <c r="BF761" s="809"/>
      <c r="BG761" s="809"/>
      <c r="BH761" s="809"/>
      <c r="BI761" s="809"/>
      <c r="BJ761" s="809"/>
      <c r="BK761" s="809"/>
      <c r="BL761" s="809"/>
      <c r="BM761" s="809"/>
      <c r="BN761" s="809"/>
    </row>
    <row r="762" spans="1:66">
      <c r="A762" s="809"/>
      <c r="B762" s="809"/>
      <c r="C762" s="809"/>
      <c r="D762" s="809"/>
      <c r="E762" s="809"/>
      <c r="F762" s="809"/>
      <c r="G762" s="809"/>
      <c r="H762" s="809"/>
      <c r="I762" s="809"/>
      <c r="J762" s="809"/>
      <c r="K762" s="809"/>
      <c r="L762" s="809"/>
      <c r="M762" s="809"/>
      <c r="N762" s="809"/>
      <c r="O762" s="809"/>
      <c r="P762" s="809"/>
      <c r="Q762" s="809"/>
      <c r="R762" s="809"/>
      <c r="S762" s="809"/>
      <c r="T762" s="809"/>
      <c r="U762" s="809"/>
      <c r="V762" s="809"/>
      <c r="W762" s="809"/>
      <c r="X762" s="809"/>
      <c r="Y762" s="809"/>
      <c r="Z762" s="809"/>
      <c r="AA762" s="809"/>
      <c r="AB762" s="809"/>
      <c r="AC762" s="809"/>
      <c r="AD762" s="809"/>
      <c r="AE762" s="809"/>
      <c r="AF762" s="809"/>
      <c r="AG762" s="809"/>
      <c r="AH762" s="809"/>
      <c r="AI762" s="809"/>
      <c r="AJ762" s="809"/>
      <c r="AK762" s="809"/>
      <c r="AL762" s="809"/>
      <c r="AM762" s="809"/>
      <c r="AN762" s="809"/>
      <c r="AO762" s="809"/>
      <c r="AP762" s="809"/>
      <c r="AQ762" s="809"/>
      <c r="AR762" s="809"/>
      <c r="AS762" s="809"/>
      <c r="AT762" s="809"/>
      <c r="AU762" s="809"/>
      <c r="AV762" s="809"/>
      <c r="AW762" s="809"/>
      <c r="AX762" s="809"/>
      <c r="AY762" s="809"/>
      <c r="AZ762" s="809"/>
      <c r="BA762" s="809"/>
      <c r="BB762" s="809"/>
      <c r="BC762" s="809"/>
      <c r="BD762" s="809"/>
      <c r="BE762" s="809"/>
      <c r="BF762" s="809"/>
      <c r="BG762" s="809"/>
      <c r="BH762" s="809"/>
      <c r="BI762" s="809"/>
      <c r="BJ762" s="809"/>
      <c r="BK762" s="809"/>
      <c r="BL762" s="809"/>
      <c r="BM762" s="809"/>
      <c r="BN762" s="809"/>
    </row>
    <row r="763" spans="1:66">
      <c r="A763" s="809"/>
      <c r="B763" s="809"/>
      <c r="C763" s="809"/>
      <c r="D763" s="809"/>
      <c r="E763" s="809"/>
      <c r="F763" s="809"/>
      <c r="G763" s="809"/>
      <c r="H763" s="809"/>
      <c r="I763" s="809"/>
      <c r="J763" s="809"/>
      <c r="K763" s="809"/>
      <c r="L763" s="809"/>
      <c r="M763" s="809"/>
      <c r="N763" s="809"/>
      <c r="O763" s="809"/>
      <c r="P763" s="809"/>
      <c r="Q763" s="809"/>
      <c r="R763" s="809"/>
      <c r="S763" s="809"/>
      <c r="T763" s="809"/>
      <c r="U763" s="809"/>
      <c r="V763" s="809"/>
      <c r="W763" s="809"/>
      <c r="X763" s="809"/>
      <c r="Y763" s="809"/>
      <c r="Z763" s="809"/>
      <c r="AA763" s="809"/>
      <c r="AB763" s="809"/>
      <c r="AC763" s="809"/>
      <c r="AD763" s="809"/>
      <c r="AE763" s="809"/>
      <c r="AF763" s="809"/>
      <c r="AG763" s="809"/>
      <c r="AH763" s="809"/>
      <c r="AI763" s="809"/>
      <c r="AJ763" s="809"/>
      <c r="AK763" s="809"/>
      <c r="AL763" s="809"/>
      <c r="AM763" s="809"/>
      <c r="AN763" s="809"/>
      <c r="AO763" s="809"/>
      <c r="AP763" s="809"/>
      <c r="AQ763" s="809"/>
      <c r="AR763" s="809"/>
      <c r="AS763" s="809"/>
      <c r="AT763" s="809"/>
      <c r="AU763" s="809"/>
      <c r="AV763" s="809"/>
      <c r="AW763" s="809"/>
      <c r="AX763" s="809"/>
      <c r="AY763" s="809"/>
      <c r="AZ763" s="809"/>
      <c r="BA763" s="809"/>
      <c r="BB763" s="809"/>
      <c r="BC763" s="809"/>
      <c r="BD763" s="809"/>
      <c r="BE763" s="809"/>
      <c r="BF763" s="809"/>
      <c r="BG763" s="809"/>
      <c r="BH763" s="809"/>
      <c r="BI763" s="809"/>
      <c r="BJ763" s="809"/>
      <c r="BK763" s="809"/>
      <c r="BL763" s="809"/>
      <c r="BM763" s="809"/>
      <c r="BN763" s="809"/>
    </row>
    <row r="764" spans="1:66">
      <c r="A764" s="809"/>
      <c r="B764" s="809"/>
      <c r="C764" s="809"/>
      <c r="D764" s="809"/>
      <c r="E764" s="809"/>
      <c r="F764" s="809"/>
      <c r="G764" s="809"/>
      <c r="H764" s="809"/>
      <c r="I764" s="809"/>
      <c r="J764" s="809"/>
      <c r="K764" s="809"/>
      <c r="L764" s="809"/>
      <c r="M764" s="809"/>
      <c r="N764" s="809"/>
      <c r="O764" s="809"/>
      <c r="P764" s="809"/>
      <c r="Q764" s="809"/>
      <c r="R764" s="809"/>
      <c r="S764" s="809"/>
      <c r="T764" s="809"/>
      <c r="U764" s="809"/>
      <c r="V764" s="809"/>
      <c r="W764" s="809"/>
      <c r="X764" s="809"/>
      <c r="Y764" s="809"/>
      <c r="Z764" s="809"/>
      <c r="AA764" s="809"/>
      <c r="AB764" s="809"/>
      <c r="AC764" s="809"/>
      <c r="AD764" s="809"/>
      <c r="AE764" s="809"/>
      <c r="AF764" s="809"/>
      <c r="AG764" s="809"/>
      <c r="AH764" s="809"/>
      <c r="AI764" s="809"/>
      <c r="AJ764" s="809"/>
      <c r="AK764" s="809"/>
      <c r="AL764" s="809"/>
      <c r="AM764" s="809"/>
      <c r="AN764" s="809"/>
      <c r="AO764" s="809"/>
      <c r="AP764" s="809"/>
      <c r="AQ764" s="809"/>
      <c r="AR764" s="809"/>
      <c r="AS764" s="809"/>
      <c r="AT764" s="809"/>
      <c r="AU764" s="809"/>
      <c r="AV764" s="809"/>
      <c r="AW764" s="809"/>
      <c r="AX764" s="809"/>
      <c r="AY764" s="809"/>
      <c r="AZ764" s="809"/>
      <c r="BA764" s="809"/>
      <c r="BB764" s="809"/>
      <c r="BC764" s="809"/>
      <c r="BD764" s="809"/>
      <c r="BE764" s="809"/>
      <c r="BF764" s="809"/>
      <c r="BG764" s="809"/>
      <c r="BH764" s="809"/>
      <c r="BI764" s="809"/>
      <c r="BJ764" s="809"/>
      <c r="BK764" s="809"/>
      <c r="BL764" s="809"/>
      <c r="BM764" s="809"/>
      <c r="BN764" s="809"/>
    </row>
    <row r="765" spans="1:66">
      <c r="A765" s="809"/>
      <c r="B765" s="809"/>
      <c r="C765" s="809"/>
      <c r="D765" s="809"/>
      <c r="E765" s="809"/>
      <c r="F765" s="809"/>
      <c r="G765" s="809"/>
      <c r="H765" s="809"/>
      <c r="I765" s="809"/>
      <c r="J765" s="809"/>
      <c r="K765" s="809"/>
      <c r="L765" s="809"/>
      <c r="M765" s="809"/>
      <c r="N765" s="809"/>
      <c r="O765" s="809"/>
      <c r="P765" s="809"/>
      <c r="Q765" s="809"/>
      <c r="R765" s="809"/>
      <c r="S765" s="809"/>
      <c r="T765" s="809"/>
      <c r="U765" s="809"/>
      <c r="V765" s="809"/>
      <c r="W765" s="809"/>
      <c r="X765" s="809"/>
      <c r="Y765" s="809"/>
      <c r="Z765" s="809"/>
      <c r="AA765" s="809"/>
      <c r="AB765" s="809"/>
      <c r="AC765" s="809"/>
      <c r="AD765" s="809"/>
      <c r="AE765" s="809"/>
      <c r="AF765" s="809"/>
      <c r="AG765" s="809"/>
      <c r="AH765" s="809"/>
      <c r="AI765" s="809"/>
      <c r="AJ765" s="809"/>
      <c r="AK765" s="809"/>
      <c r="AL765" s="809"/>
      <c r="AM765" s="809"/>
      <c r="AN765" s="809"/>
      <c r="AO765" s="809"/>
      <c r="AP765" s="809"/>
      <c r="AQ765" s="809"/>
      <c r="AR765" s="809"/>
      <c r="AS765" s="809"/>
      <c r="AT765" s="809"/>
      <c r="AU765" s="809"/>
      <c r="AV765" s="809"/>
      <c r="AW765" s="809"/>
      <c r="AX765" s="809"/>
      <c r="AY765" s="809"/>
      <c r="AZ765" s="809"/>
      <c r="BA765" s="809"/>
      <c r="BB765" s="809"/>
      <c r="BC765" s="809"/>
      <c r="BD765" s="809"/>
      <c r="BE765" s="809"/>
      <c r="BF765" s="809"/>
      <c r="BG765" s="809"/>
      <c r="BH765" s="809"/>
      <c r="BI765" s="809"/>
      <c r="BJ765" s="809"/>
      <c r="BK765" s="809"/>
      <c r="BL765" s="809"/>
      <c r="BM765" s="809"/>
      <c r="BN765" s="809"/>
    </row>
    <row r="766" spans="1:66">
      <c r="A766" s="809"/>
      <c r="B766" s="809"/>
      <c r="C766" s="809"/>
      <c r="D766" s="809"/>
      <c r="E766" s="809"/>
      <c r="F766" s="809"/>
      <c r="G766" s="809"/>
      <c r="H766" s="809"/>
      <c r="I766" s="809"/>
      <c r="J766" s="809"/>
      <c r="K766" s="809"/>
      <c r="L766" s="809"/>
      <c r="M766" s="809"/>
      <c r="N766" s="809"/>
      <c r="O766" s="809"/>
      <c r="P766" s="809"/>
      <c r="Q766" s="809"/>
      <c r="R766" s="809"/>
      <c r="S766" s="809"/>
      <c r="T766" s="809"/>
      <c r="U766" s="809"/>
      <c r="V766" s="809"/>
      <c r="W766" s="809"/>
      <c r="X766" s="809"/>
      <c r="Y766" s="809"/>
      <c r="Z766" s="809"/>
      <c r="AA766" s="809"/>
      <c r="AB766" s="809"/>
      <c r="AC766" s="809"/>
      <c r="AD766" s="809"/>
      <c r="AE766" s="809"/>
      <c r="AF766" s="809"/>
      <c r="AG766" s="809"/>
      <c r="AH766" s="809"/>
      <c r="AI766" s="809"/>
      <c r="AJ766" s="809"/>
      <c r="AK766" s="809"/>
      <c r="AL766" s="809"/>
      <c r="AM766" s="809"/>
      <c r="AN766" s="809"/>
      <c r="AO766" s="809"/>
      <c r="AP766" s="809"/>
      <c r="AQ766" s="809"/>
      <c r="AR766" s="809"/>
      <c r="AS766" s="809"/>
      <c r="AT766" s="809"/>
      <c r="AU766" s="809"/>
      <c r="AV766" s="809"/>
      <c r="AW766" s="809"/>
      <c r="AX766" s="809"/>
      <c r="AY766" s="809"/>
      <c r="AZ766" s="809"/>
      <c r="BA766" s="809"/>
      <c r="BB766" s="809"/>
      <c r="BC766" s="809"/>
      <c r="BD766" s="809"/>
      <c r="BE766" s="809"/>
      <c r="BF766" s="809"/>
      <c r="BG766" s="809"/>
      <c r="BH766" s="809"/>
      <c r="BI766" s="809"/>
      <c r="BJ766" s="809"/>
      <c r="BK766" s="809"/>
      <c r="BL766" s="809"/>
      <c r="BM766" s="809"/>
      <c r="BN766" s="809"/>
    </row>
    <row r="767" spans="1:66">
      <c r="A767" s="809"/>
      <c r="B767" s="809"/>
      <c r="C767" s="809"/>
      <c r="D767" s="809"/>
      <c r="E767" s="809"/>
      <c r="F767" s="809"/>
      <c r="G767" s="809"/>
      <c r="H767" s="809"/>
      <c r="I767" s="809"/>
      <c r="J767" s="809"/>
      <c r="K767" s="809"/>
      <c r="L767" s="809"/>
      <c r="M767" s="809"/>
      <c r="N767" s="809"/>
      <c r="O767" s="809"/>
      <c r="P767" s="809"/>
      <c r="Q767" s="809"/>
      <c r="R767" s="809"/>
      <c r="S767" s="809"/>
      <c r="T767" s="809"/>
      <c r="U767" s="809"/>
      <c r="V767" s="809"/>
      <c r="W767" s="809"/>
      <c r="X767" s="809"/>
      <c r="Y767" s="809"/>
      <c r="Z767" s="809"/>
      <c r="AA767" s="809"/>
      <c r="AB767" s="809"/>
      <c r="AC767" s="809"/>
      <c r="AD767" s="809"/>
      <c r="AE767" s="809"/>
      <c r="AF767" s="809"/>
      <c r="AG767" s="809"/>
      <c r="AH767" s="809"/>
      <c r="AI767" s="809"/>
      <c r="AJ767" s="809"/>
      <c r="AK767" s="809"/>
      <c r="AL767" s="809"/>
      <c r="AM767" s="809"/>
      <c r="AN767" s="809"/>
      <c r="AO767" s="809"/>
      <c r="AP767" s="809"/>
      <c r="AQ767" s="809"/>
      <c r="AR767" s="809"/>
      <c r="AS767" s="809"/>
      <c r="AT767" s="809"/>
      <c r="AU767" s="809"/>
      <c r="AV767" s="809"/>
      <c r="AW767" s="809"/>
      <c r="AX767" s="809"/>
      <c r="AY767" s="809"/>
      <c r="AZ767" s="809"/>
      <c r="BA767" s="809"/>
      <c r="BB767" s="809"/>
      <c r="BC767" s="809"/>
      <c r="BD767" s="809"/>
      <c r="BE767" s="809"/>
      <c r="BF767" s="809"/>
      <c r="BG767" s="809"/>
      <c r="BH767" s="809"/>
      <c r="BI767" s="809"/>
      <c r="BJ767" s="809"/>
      <c r="BK767" s="809"/>
      <c r="BL767" s="809"/>
      <c r="BM767" s="809"/>
      <c r="BN767" s="809"/>
    </row>
    <row r="768" spans="1:66">
      <c r="A768" s="809"/>
      <c r="B768" s="809"/>
      <c r="C768" s="809"/>
      <c r="D768" s="809"/>
      <c r="E768" s="809"/>
      <c r="F768" s="809"/>
      <c r="G768" s="809"/>
      <c r="H768" s="809"/>
      <c r="I768" s="809"/>
      <c r="J768" s="809"/>
      <c r="K768" s="809"/>
      <c r="L768" s="809"/>
      <c r="M768" s="809"/>
      <c r="N768" s="809"/>
      <c r="O768" s="809"/>
      <c r="P768" s="809"/>
      <c r="Q768" s="809"/>
      <c r="R768" s="809"/>
      <c r="S768" s="809"/>
      <c r="T768" s="809"/>
      <c r="U768" s="809"/>
      <c r="V768" s="809"/>
      <c r="W768" s="809"/>
      <c r="X768" s="809"/>
      <c r="Y768" s="809"/>
      <c r="Z768" s="809"/>
      <c r="AA768" s="809"/>
      <c r="AB768" s="809"/>
      <c r="AC768" s="809"/>
      <c r="AD768" s="809"/>
      <c r="AE768" s="809"/>
      <c r="AF768" s="809"/>
      <c r="AG768" s="809"/>
      <c r="AH768" s="809"/>
      <c r="AI768" s="809"/>
      <c r="AJ768" s="809"/>
      <c r="AK768" s="809"/>
      <c r="AL768" s="809"/>
      <c r="AM768" s="809"/>
      <c r="AN768" s="809"/>
      <c r="AO768" s="809"/>
      <c r="AP768" s="809"/>
      <c r="AQ768" s="809"/>
      <c r="AR768" s="809"/>
      <c r="AS768" s="809"/>
      <c r="AT768" s="809"/>
      <c r="AU768" s="809"/>
      <c r="AV768" s="809"/>
      <c r="AW768" s="809"/>
      <c r="AX768" s="809"/>
      <c r="AY768" s="809"/>
      <c r="AZ768" s="809"/>
      <c r="BA768" s="809"/>
      <c r="BB768" s="809"/>
      <c r="BC768" s="809"/>
      <c r="BD768" s="809"/>
      <c r="BE768" s="809"/>
      <c r="BF768" s="809"/>
      <c r="BG768" s="809"/>
      <c r="BH768" s="809"/>
      <c r="BI768" s="809"/>
      <c r="BJ768" s="809"/>
      <c r="BK768" s="809"/>
      <c r="BL768" s="809"/>
      <c r="BM768" s="809"/>
      <c r="BN768" s="809"/>
    </row>
    <row r="769" spans="1:66">
      <c r="A769" s="809"/>
      <c r="B769" s="809"/>
      <c r="C769" s="809"/>
      <c r="D769" s="809"/>
      <c r="E769" s="809"/>
      <c r="F769" s="809"/>
      <c r="G769" s="809"/>
      <c r="H769" s="809"/>
      <c r="I769" s="809"/>
      <c r="J769" s="809"/>
      <c r="K769" s="809"/>
      <c r="L769" s="809"/>
      <c r="M769" s="809"/>
      <c r="N769" s="809"/>
      <c r="O769" s="809"/>
      <c r="P769" s="809"/>
      <c r="Q769" s="809"/>
      <c r="R769" s="809"/>
      <c r="S769" s="809"/>
      <c r="T769" s="809"/>
      <c r="U769" s="809"/>
      <c r="V769" s="809"/>
      <c r="W769" s="809"/>
      <c r="X769" s="809"/>
      <c r="Y769" s="809"/>
      <c r="Z769" s="809"/>
      <c r="AA769" s="809"/>
      <c r="AB769" s="809"/>
      <c r="AC769" s="809"/>
      <c r="AD769" s="809"/>
      <c r="AE769" s="809"/>
      <c r="AF769" s="809"/>
      <c r="AG769" s="809"/>
      <c r="AH769" s="809"/>
      <c r="AI769" s="809"/>
      <c r="AJ769" s="809"/>
      <c r="AK769" s="809"/>
      <c r="AL769" s="809"/>
      <c r="AM769" s="809"/>
      <c r="AN769" s="809"/>
      <c r="AO769" s="809"/>
      <c r="AP769" s="809"/>
      <c r="AQ769" s="809"/>
      <c r="AR769" s="809"/>
      <c r="AS769" s="809"/>
      <c r="AT769" s="809"/>
      <c r="AU769" s="809"/>
      <c r="AV769" s="809"/>
      <c r="AW769" s="809"/>
      <c r="AX769" s="809"/>
      <c r="AY769" s="809"/>
      <c r="AZ769" s="809"/>
      <c r="BA769" s="809"/>
      <c r="BB769" s="809"/>
      <c r="BC769" s="809"/>
      <c r="BD769" s="809"/>
      <c r="BE769" s="809"/>
      <c r="BF769" s="809"/>
      <c r="BG769" s="809"/>
      <c r="BH769" s="809"/>
      <c r="BI769" s="809"/>
      <c r="BJ769" s="809"/>
      <c r="BK769" s="809"/>
      <c r="BL769" s="809"/>
      <c r="BM769" s="809"/>
      <c r="BN769" s="809"/>
    </row>
    <row r="770" spans="1:66">
      <c r="A770" s="809"/>
      <c r="B770" s="809"/>
      <c r="C770" s="809"/>
      <c r="D770" s="809"/>
      <c r="E770" s="809"/>
      <c r="F770" s="809"/>
      <c r="G770" s="809"/>
      <c r="H770" s="809"/>
      <c r="I770" s="809"/>
      <c r="J770" s="809"/>
      <c r="K770" s="809"/>
      <c r="L770" s="809"/>
      <c r="M770" s="809"/>
      <c r="N770" s="809"/>
      <c r="O770" s="809"/>
      <c r="P770" s="809"/>
      <c r="Q770" s="809"/>
      <c r="R770" s="809"/>
      <c r="S770" s="809"/>
      <c r="T770" s="809"/>
      <c r="U770" s="809"/>
      <c r="V770" s="809"/>
      <c r="W770" s="809"/>
      <c r="X770" s="809"/>
      <c r="Y770" s="809"/>
      <c r="Z770" s="809"/>
      <c r="AA770" s="809"/>
      <c r="AB770" s="809"/>
      <c r="AC770" s="809"/>
      <c r="AD770" s="809"/>
      <c r="AE770" s="809"/>
      <c r="AF770" s="809"/>
      <c r="AG770" s="809"/>
      <c r="AH770" s="809"/>
      <c r="AI770" s="809"/>
      <c r="AJ770" s="809"/>
      <c r="AK770" s="809"/>
      <c r="AL770" s="809"/>
      <c r="AM770" s="809"/>
      <c r="AN770" s="809"/>
      <c r="AO770" s="809"/>
      <c r="AP770" s="809"/>
      <c r="AQ770" s="809"/>
      <c r="AR770" s="809"/>
      <c r="AS770" s="809"/>
      <c r="AT770" s="809"/>
      <c r="AU770" s="809"/>
      <c r="AV770" s="809"/>
      <c r="AW770" s="809"/>
      <c r="AX770" s="809"/>
      <c r="AY770" s="809"/>
      <c r="AZ770" s="809"/>
      <c r="BA770" s="809"/>
      <c r="BB770" s="809"/>
      <c r="BC770" s="809"/>
      <c r="BD770" s="809"/>
      <c r="BE770" s="809"/>
      <c r="BF770" s="809"/>
      <c r="BG770" s="809"/>
      <c r="BH770" s="809"/>
      <c r="BI770" s="809"/>
      <c r="BJ770" s="809"/>
      <c r="BK770" s="809"/>
      <c r="BL770" s="809"/>
      <c r="BM770" s="809"/>
      <c r="BN770" s="809"/>
    </row>
    <row r="771" spans="1:66">
      <c r="A771" s="809"/>
      <c r="B771" s="809"/>
      <c r="C771" s="809"/>
      <c r="D771" s="809"/>
      <c r="E771" s="809"/>
      <c r="F771" s="809"/>
      <c r="G771" s="809"/>
      <c r="H771" s="809"/>
      <c r="I771" s="809"/>
      <c r="J771" s="809"/>
      <c r="K771" s="809"/>
      <c r="L771" s="809"/>
      <c r="M771" s="809"/>
      <c r="N771" s="809"/>
      <c r="O771" s="809"/>
      <c r="P771" s="809"/>
      <c r="Q771" s="809"/>
      <c r="R771" s="809"/>
      <c r="S771" s="809"/>
      <c r="T771" s="809"/>
      <c r="U771" s="809"/>
      <c r="V771" s="809"/>
      <c r="W771" s="809"/>
      <c r="X771" s="809"/>
      <c r="Y771" s="809"/>
      <c r="Z771" s="809"/>
      <c r="AA771" s="809"/>
      <c r="AB771" s="809"/>
      <c r="AC771" s="809"/>
      <c r="AD771" s="809"/>
      <c r="AE771" s="809"/>
      <c r="AF771" s="809"/>
      <c r="AG771" s="809"/>
      <c r="AH771" s="809"/>
      <c r="AI771" s="809"/>
      <c r="AJ771" s="809"/>
      <c r="AK771" s="809"/>
      <c r="AL771" s="809"/>
      <c r="AM771" s="809"/>
      <c r="AN771" s="809"/>
      <c r="AO771" s="809"/>
      <c r="AP771" s="809"/>
      <c r="AQ771" s="809"/>
      <c r="AR771" s="809"/>
      <c r="AS771" s="809"/>
      <c r="AT771" s="809"/>
      <c r="AU771" s="809"/>
      <c r="AV771" s="809"/>
      <c r="AW771" s="809"/>
      <c r="AX771" s="809"/>
      <c r="AY771" s="809"/>
      <c r="AZ771" s="809"/>
      <c r="BA771" s="809"/>
      <c r="BB771" s="809"/>
      <c r="BC771" s="809"/>
      <c r="BD771" s="809"/>
      <c r="BE771" s="809"/>
      <c r="BF771" s="809"/>
      <c r="BG771" s="809"/>
      <c r="BH771" s="809"/>
      <c r="BI771" s="809"/>
      <c r="BJ771" s="809"/>
      <c r="BK771" s="809"/>
      <c r="BL771" s="809"/>
      <c r="BM771" s="809"/>
      <c r="BN771" s="809"/>
    </row>
    <row r="772" spans="1:66">
      <c r="A772" s="809"/>
      <c r="B772" s="809"/>
      <c r="C772" s="809"/>
      <c r="D772" s="809"/>
      <c r="E772" s="809"/>
      <c r="F772" s="809"/>
      <c r="G772" s="809"/>
      <c r="H772" s="809"/>
      <c r="I772" s="809"/>
      <c r="J772" s="809"/>
      <c r="K772" s="809"/>
      <c r="L772" s="809"/>
      <c r="M772" s="809"/>
      <c r="N772" s="809"/>
      <c r="O772" s="809"/>
      <c r="P772" s="809"/>
      <c r="Q772" s="809"/>
      <c r="R772" s="809"/>
      <c r="S772" s="809"/>
      <c r="T772" s="809"/>
      <c r="U772" s="809"/>
      <c r="V772" s="809"/>
      <c r="W772" s="809"/>
      <c r="X772" s="809"/>
      <c r="Y772" s="809"/>
      <c r="Z772" s="809"/>
      <c r="AA772" s="809"/>
      <c r="AB772" s="809"/>
      <c r="AC772" s="809"/>
      <c r="AD772" s="809"/>
      <c r="AE772" s="809"/>
      <c r="AF772" s="809"/>
      <c r="AG772" s="809"/>
      <c r="AH772" s="809"/>
      <c r="AI772" s="809"/>
      <c r="AJ772" s="809"/>
      <c r="AK772" s="809"/>
      <c r="AL772" s="809"/>
      <c r="AM772" s="809"/>
      <c r="AN772" s="809"/>
      <c r="AO772" s="809"/>
      <c r="AP772" s="809"/>
      <c r="AQ772" s="809"/>
      <c r="AR772" s="809"/>
      <c r="AS772" s="809"/>
      <c r="AT772" s="809"/>
      <c r="AU772" s="809"/>
      <c r="AV772" s="809"/>
      <c r="AW772" s="809"/>
      <c r="AX772" s="809"/>
      <c r="AY772" s="809"/>
      <c r="AZ772" s="809"/>
      <c r="BA772" s="809"/>
      <c r="BB772" s="809"/>
      <c r="BC772" s="809"/>
      <c r="BD772" s="809"/>
      <c r="BE772" s="809"/>
      <c r="BF772" s="809"/>
      <c r="BG772" s="809"/>
      <c r="BH772" s="809"/>
      <c r="BI772" s="809"/>
      <c r="BJ772" s="809"/>
      <c r="BK772" s="809"/>
      <c r="BL772" s="809"/>
      <c r="BM772" s="809"/>
      <c r="BN772" s="809"/>
    </row>
    <row r="773" spans="1:66">
      <c r="A773" s="809"/>
      <c r="B773" s="809"/>
      <c r="C773" s="809"/>
      <c r="D773" s="809"/>
      <c r="E773" s="809"/>
      <c r="F773" s="809"/>
      <c r="G773" s="809"/>
      <c r="H773" s="809"/>
      <c r="I773" s="809"/>
      <c r="J773" s="809"/>
      <c r="K773" s="809"/>
      <c r="L773" s="809"/>
      <c r="M773" s="809"/>
      <c r="N773" s="809"/>
      <c r="O773" s="809"/>
      <c r="P773" s="809"/>
      <c r="Q773" s="809"/>
      <c r="R773" s="809"/>
      <c r="S773" s="809"/>
      <c r="T773" s="809"/>
      <c r="U773" s="809"/>
      <c r="V773" s="809"/>
      <c r="W773" s="809"/>
      <c r="X773" s="809"/>
      <c r="Y773" s="809"/>
      <c r="Z773" s="809"/>
      <c r="AA773" s="809"/>
      <c r="AB773" s="809"/>
      <c r="AC773" s="809"/>
      <c r="AD773" s="809"/>
      <c r="AE773" s="809"/>
      <c r="AF773" s="809"/>
      <c r="AG773" s="809"/>
      <c r="AH773" s="809"/>
      <c r="AI773" s="809"/>
      <c r="AJ773" s="809"/>
      <c r="AK773" s="809"/>
      <c r="AL773" s="809"/>
      <c r="AM773" s="809"/>
      <c r="AN773" s="809"/>
      <c r="AO773" s="809"/>
      <c r="AP773" s="809"/>
      <c r="AQ773" s="809"/>
      <c r="AR773" s="809"/>
      <c r="AS773" s="809"/>
      <c r="AT773" s="809"/>
      <c r="AU773" s="809"/>
      <c r="AV773" s="809"/>
      <c r="AW773" s="809"/>
      <c r="AX773" s="809"/>
      <c r="AY773" s="809"/>
      <c r="AZ773" s="809"/>
      <c r="BA773" s="809"/>
      <c r="BB773" s="809"/>
      <c r="BC773" s="809"/>
      <c r="BD773" s="809"/>
      <c r="BE773" s="809"/>
      <c r="BF773" s="809"/>
      <c r="BG773" s="809"/>
      <c r="BH773" s="809"/>
      <c r="BI773" s="809"/>
      <c r="BJ773" s="809"/>
      <c r="BK773" s="809"/>
      <c r="BL773" s="809"/>
      <c r="BM773" s="809"/>
      <c r="BN773" s="809"/>
    </row>
    <row r="774" spans="1:66">
      <c r="A774" s="809"/>
      <c r="B774" s="809"/>
      <c r="C774" s="809"/>
      <c r="D774" s="809"/>
      <c r="E774" s="809"/>
      <c r="F774" s="809"/>
      <c r="G774" s="809"/>
      <c r="H774" s="809"/>
      <c r="I774" s="809"/>
      <c r="J774" s="809"/>
      <c r="K774" s="809"/>
      <c r="L774" s="809"/>
      <c r="M774" s="809"/>
      <c r="N774" s="809"/>
      <c r="O774" s="809"/>
      <c r="P774" s="809"/>
      <c r="Q774" s="809"/>
      <c r="R774" s="809"/>
      <c r="S774" s="809"/>
      <c r="T774" s="809"/>
      <c r="U774" s="809"/>
      <c r="V774" s="809"/>
      <c r="W774" s="809"/>
      <c r="X774" s="809"/>
      <c r="Y774" s="809"/>
      <c r="Z774" s="809"/>
      <c r="AA774" s="809"/>
      <c r="AB774" s="809"/>
      <c r="AC774" s="809"/>
      <c r="AD774" s="809"/>
      <c r="AE774" s="809"/>
      <c r="AF774" s="809"/>
      <c r="AG774" s="809"/>
      <c r="AH774" s="809"/>
      <c r="AI774" s="809"/>
      <c r="AJ774" s="809"/>
      <c r="AK774" s="809"/>
      <c r="AL774" s="809"/>
      <c r="AM774" s="809"/>
      <c r="AN774" s="809"/>
      <c r="AO774" s="809"/>
      <c r="AP774" s="809"/>
      <c r="AQ774" s="809"/>
      <c r="AR774" s="809"/>
      <c r="AS774" s="809"/>
      <c r="AT774" s="809"/>
      <c r="AU774" s="809"/>
      <c r="AV774" s="809"/>
      <c r="AW774" s="809"/>
      <c r="AX774" s="809"/>
      <c r="AY774" s="809"/>
      <c r="AZ774" s="809"/>
      <c r="BA774" s="809"/>
      <c r="BB774" s="809"/>
      <c r="BC774" s="809"/>
      <c r="BD774" s="809"/>
      <c r="BE774" s="809"/>
      <c r="BF774" s="809"/>
      <c r="BG774" s="809"/>
      <c r="BH774" s="809"/>
      <c r="BI774" s="809"/>
      <c r="BJ774" s="809"/>
      <c r="BK774" s="809"/>
      <c r="BL774" s="809"/>
      <c r="BM774" s="809"/>
      <c r="BN774" s="809"/>
    </row>
    <row r="775" spans="1:66">
      <c r="A775" s="809"/>
      <c r="B775" s="809"/>
      <c r="C775" s="809"/>
      <c r="D775" s="809"/>
      <c r="E775" s="809"/>
      <c r="F775" s="809"/>
      <c r="G775" s="809"/>
      <c r="H775" s="809"/>
      <c r="I775" s="809"/>
      <c r="J775" s="809"/>
      <c r="K775" s="809"/>
      <c r="L775" s="809"/>
      <c r="M775" s="809"/>
      <c r="N775" s="809"/>
      <c r="O775" s="809"/>
      <c r="P775" s="809"/>
      <c r="Q775" s="809"/>
      <c r="R775" s="809"/>
      <c r="S775" s="809"/>
      <c r="T775" s="809"/>
      <c r="U775" s="809"/>
      <c r="V775" s="809"/>
      <c r="W775" s="809"/>
      <c r="X775" s="809"/>
      <c r="Y775" s="809"/>
      <c r="Z775" s="809"/>
      <c r="AA775" s="809"/>
      <c r="AB775" s="809"/>
      <c r="AC775" s="809"/>
      <c r="AD775" s="809"/>
      <c r="AE775" s="809"/>
      <c r="AF775" s="809"/>
      <c r="AG775" s="809"/>
      <c r="AH775" s="809"/>
      <c r="AI775" s="809"/>
      <c r="AJ775" s="809"/>
      <c r="AK775" s="809"/>
      <c r="AL775" s="809"/>
      <c r="AM775" s="809"/>
      <c r="AN775" s="809"/>
      <c r="AO775" s="809"/>
      <c r="AP775" s="809"/>
      <c r="AQ775" s="809"/>
      <c r="AR775" s="809"/>
      <c r="AS775" s="809"/>
      <c r="AT775" s="809"/>
      <c r="AU775" s="809"/>
      <c r="AV775" s="809"/>
      <c r="AW775" s="809"/>
      <c r="AX775" s="809"/>
      <c r="AY775" s="809"/>
      <c r="AZ775" s="809"/>
      <c r="BA775" s="809"/>
      <c r="BB775" s="809"/>
      <c r="BC775" s="809"/>
      <c r="BD775" s="809"/>
      <c r="BE775" s="809"/>
      <c r="BF775" s="809"/>
      <c r="BG775" s="809"/>
      <c r="BH775" s="809"/>
      <c r="BI775" s="809"/>
      <c r="BJ775" s="809"/>
      <c r="BK775" s="809"/>
      <c r="BL775" s="809"/>
      <c r="BM775" s="809"/>
      <c r="BN775" s="809"/>
    </row>
    <row r="776" spans="1:66">
      <c r="A776" s="809"/>
      <c r="B776" s="809"/>
      <c r="C776" s="809"/>
      <c r="D776" s="809"/>
      <c r="E776" s="809"/>
      <c r="F776" s="809"/>
      <c r="G776" s="809"/>
      <c r="H776" s="809"/>
      <c r="I776" s="809"/>
      <c r="J776" s="809"/>
      <c r="K776" s="809"/>
      <c r="L776" s="809"/>
      <c r="M776" s="809"/>
      <c r="N776" s="809"/>
      <c r="O776" s="809"/>
      <c r="P776" s="809"/>
      <c r="Q776" s="809"/>
      <c r="R776" s="809"/>
      <c r="S776" s="809"/>
      <c r="T776" s="809"/>
      <c r="U776" s="809"/>
      <c r="V776" s="809"/>
      <c r="W776" s="809"/>
      <c r="X776" s="809"/>
      <c r="Y776" s="809"/>
      <c r="Z776" s="809"/>
      <c r="AA776" s="809"/>
      <c r="AB776" s="809"/>
      <c r="AC776" s="809"/>
      <c r="AD776" s="809"/>
      <c r="AE776" s="809"/>
      <c r="AF776" s="809"/>
      <c r="AG776" s="809"/>
      <c r="AH776" s="809"/>
      <c r="AI776" s="809"/>
      <c r="AJ776" s="809"/>
      <c r="AK776" s="809"/>
      <c r="AL776" s="809"/>
      <c r="AM776" s="809"/>
      <c r="AN776" s="809"/>
      <c r="AO776" s="809"/>
      <c r="AP776" s="809"/>
      <c r="AQ776" s="809"/>
      <c r="AR776" s="809"/>
      <c r="AS776" s="809"/>
      <c r="AT776" s="809"/>
      <c r="AU776" s="809"/>
      <c r="AV776" s="809"/>
      <c r="AW776" s="809"/>
      <c r="AX776" s="809"/>
      <c r="AY776" s="809"/>
      <c r="AZ776" s="809"/>
      <c r="BA776" s="809"/>
      <c r="BB776" s="809"/>
      <c r="BC776" s="809"/>
      <c r="BD776" s="809"/>
      <c r="BE776" s="809"/>
      <c r="BF776" s="809"/>
      <c r="BG776" s="809"/>
      <c r="BH776" s="809"/>
      <c r="BI776" s="809"/>
      <c r="BJ776" s="809"/>
      <c r="BK776" s="809"/>
      <c r="BL776" s="809"/>
      <c r="BM776" s="809"/>
      <c r="BN776" s="809"/>
    </row>
    <row r="777" spans="1:66">
      <c r="A777" s="809"/>
      <c r="B777" s="809"/>
      <c r="C777" s="809"/>
      <c r="D777" s="809"/>
      <c r="E777" s="809"/>
      <c r="F777" s="809"/>
      <c r="G777" s="809"/>
      <c r="H777" s="809"/>
      <c r="I777" s="809"/>
      <c r="J777" s="809"/>
      <c r="K777" s="809"/>
      <c r="L777" s="809"/>
      <c r="M777" s="809"/>
      <c r="N777" s="809"/>
      <c r="O777" s="809"/>
      <c r="P777" s="809"/>
      <c r="Q777" s="809"/>
      <c r="R777" s="809"/>
      <c r="S777" s="809"/>
      <c r="T777" s="809"/>
      <c r="U777" s="809"/>
      <c r="V777" s="809"/>
      <c r="W777" s="809"/>
      <c r="X777" s="809"/>
      <c r="Y777" s="809"/>
      <c r="Z777" s="809"/>
      <c r="AA777" s="809"/>
      <c r="AB777" s="809"/>
      <c r="AC777" s="809"/>
      <c r="AD777" s="809"/>
      <c r="AE777" s="809"/>
      <c r="AF777" s="809"/>
      <c r="AG777" s="809"/>
      <c r="AH777" s="809"/>
      <c r="AI777" s="809"/>
      <c r="AJ777" s="809"/>
      <c r="AK777" s="809"/>
      <c r="AL777" s="809"/>
      <c r="AM777" s="809"/>
      <c r="AN777" s="809"/>
      <c r="AO777" s="809"/>
      <c r="AP777" s="809"/>
      <c r="AQ777" s="809"/>
      <c r="AR777" s="809"/>
      <c r="AS777" s="809"/>
      <c r="AT777" s="809"/>
      <c r="AU777" s="809"/>
      <c r="AV777" s="809"/>
      <c r="AW777" s="809"/>
      <c r="AX777" s="809"/>
      <c r="AY777" s="809"/>
      <c r="AZ777" s="809"/>
      <c r="BA777" s="809"/>
      <c r="BB777" s="809"/>
      <c r="BC777" s="809"/>
      <c r="BD777" s="809"/>
      <c r="BE777" s="809"/>
      <c r="BF777" s="809"/>
      <c r="BG777" s="809"/>
      <c r="BH777" s="809"/>
      <c r="BI777" s="809"/>
      <c r="BJ777" s="809"/>
      <c r="BK777" s="809"/>
      <c r="BL777" s="809"/>
      <c r="BM777" s="809"/>
      <c r="BN777" s="809"/>
    </row>
    <row r="778" spans="1:66">
      <c r="A778" s="809"/>
      <c r="B778" s="809"/>
      <c r="C778" s="809"/>
      <c r="D778" s="809"/>
      <c r="E778" s="809"/>
      <c r="F778" s="809"/>
      <c r="G778" s="809"/>
      <c r="H778" s="809"/>
      <c r="I778" s="809"/>
      <c r="J778" s="809"/>
      <c r="K778" s="809"/>
      <c r="L778" s="809"/>
      <c r="M778" s="809"/>
      <c r="N778" s="809"/>
      <c r="O778" s="809"/>
      <c r="P778" s="809"/>
      <c r="Q778" s="809"/>
      <c r="R778" s="809"/>
      <c r="S778" s="809"/>
      <c r="T778" s="809"/>
      <c r="U778" s="809"/>
      <c r="V778" s="809"/>
      <c r="W778" s="809"/>
      <c r="X778" s="809"/>
      <c r="Y778" s="809"/>
      <c r="Z778" s="809"/>
      <c r="AA778" s="809"/>
      <c r="AB778" s="809"/>
      <c r="AC778" s="809"/>
      <c r="AD778" s="809"/>
      <c r="AE778" s="809"/>
      <c r="AF778" s="809"/>
      <c r="AG778" s="809"/>
      <c r="AH778" s="809"/>
      <c r="AI778" s="809"/>
      <c r="AJ778" s="809"/>
      <c r="AK778" s="809"/>
      <c r="AL778" s="809"/>
      <c r="AM778" s="809"/>
      <c r="AN778" s="809"/>
      <c r="AO778" s="809"/>
      <c r="AP778" s="809"/>
      <c r="AQ778" s="809"/>
      <c r="AR778" s="809"/>
      <c r="AS778" s="809"/>
      <c r="AT778" s="809"/>
      <c r="AU778" s="809"/>
      <c r="AV778" s="809"/>
      <c r="AW778" s="809"/>
      <c r="AX778" s="809"/>
      <c r="AY778" s="809"/>
      <c r="AZ778" s="809"/>
      <c r="BA778" s="809"/>
      <c r="BB778" s="809"/>
      <c r="BC778" s="809"/>
      <c r="BD778" s="809"/>
      <c r="BE778" s="809"/>
      <c r="BF778" s="809"/>
      <c r="BG778" s="809"/>
      <c r="BH778" s="809"/>
      <c r="BI778" s="809"/>
      <c r="BJ778" s="809"/>
      <c r="BK778" s="809"/>
      <c r="BL778" s="809"/>
      <c r="BM778" s="809"/>
      <c r="BN778" s="809"/>
    </row>
    <row r="779" spans="1:66">
      <c r="A779" s="809"/>
      <c r="B779" s="809"/>
      <c r="C779" s="809"/>
      <c r="D779" s="809"/>
      <c r="E779" s="809"/>
      <c r="F779" s="809"/>
      <c r="G779" s="809"/>
      <c r="H779" s="809"/>
      <c r="I779" s="809"/>
      <c r="J779" s="809"/>
      <c r="K779" s="809"/>
      <c r="L779" s="809"/>
      <c r="M779" s="809"/>
      <c r="N779" s="809"/>
      <c r="O779" s="809"/>
      <c r="P779" s="809"/>
      <c r="Q779" s="809"/>
      <c r="R779" s="809"/>
      <c r="S779" s="809"/>
      <c r="T779" s="809"/>
      <c r="U779" s="809"/>
      <c r="V779" s="809"/>
      <c r="W779" s="809"/>
      <c r="X779" s="809"/>
      <c r="Y779" s="809"/>
      <c r="Z779" s="809"/>
      <c r="AA779" s="809"/>
      <c r="AB779" s="809"/>
      <c r="AC779" s="809"/>
      <c r="AD779" s="809"/>
      <c r="AE779" s="809"/>
      <c r="AF779" s="809"/>
      <c r="AG779" s="809"/>
      <c r="AH779" s="809"/>
      <c r="AI779" s="809"/>
      <c r="AJ779" s="809"/>
      <c r="AK779" s="809"/>
      <c r="AL779" s="809"/>
      <c r="AM779" s="809"/>
      <c r="AN779" s="809"/>
      <c r="AO779" s="809"/>
      <c r="AP779" s="809"/>
      <c r="AQ779" s="809"/>
      <c r="AR779" s="809"/>
      <c r="AS779" s="809"/>
      <c r="AT779" s="809"/>
      <c r="AU779" s="809"/>
      <c r="AV779" s="809"/>
      <c r="AW779" s="809"/>
      <c r="AX779" s="809"/>
      <c r="AY779" s="809"/>
      <c r="AZ779" s="809"/>
      <c r="BA779" s="809"/>
      <c r="BB779" s="809"/>
      <c r="BC779" s="809"/>
      <c r="BD779" s="809"/>
      <c r="BE779" s="809"/>
      <c r="BF779" s="809"/>
      <c r="BG779" s="809"/>
      <c r="BH779" s="809"/>
      <c r="BI779" s="809"/>
      <c r="BJ779" s="809"/>
      <c r="BK779" s="809"/>
      <c r="BL779" s="809"/>
      <c r="BM779" s="809"/>
      <c r="BN779" s="809"/>
    </row>
    <row r="780" spans="1:66">
      <c r="A780" s="809"/>
      <c r="B780" s="809"/>
      <c r="C780" s="809"/>
      <c r="D780" s="809"/>
      <c r="E780" s="809"/>
      <c r="F780" s="809"/>
      <c r="G780" s="809"/>
      <c r="H780" s="809"/>
      <c r="I780" s="809"/>
      <c r="J780" s="809"/>
      <c r="K780" s="809"/>
      <c r="L780" s="809"/>
      <c r="M780" s="809"/>
      <c r="N780" s="809"/>
      <c r="O780" s="809"/>
      <c r="P780" s="809"/>
      <c r="Q780" s="809"/>
      <c r="R780" s="809"/>
      <c r="S780" s="809"/>
      <c r="T780" s="809"/>
      <c r="U780" s="809"/>
      <c r="V780" s="809"/>
      <c r="W780" s="809"/>
      <c r="X780" s="809"/>
      <c r="Y780" s="809"/>
      <c r="Z780" s="809"/>
      <c r="AA780" s="809"/>
      <c r="AB780" s="809"/>
      <c r="AC780" s="809"/>
      <c r="AD780" s="809"/>
      <c r="AE780" s="809"/>
      <c r="AF780" s="809"/>
      <c r="AG780" s="809"/>
      <c r="AH780" s="809"/>
      <c r="AI780" s="809"/>
      <c r="AJ780" s="809"/>
      <c r="AK780" s="809"/>
      <c r="AL780" s="809"/>
      <c r="AM780" s="809"/>
      <c r="AN780" s="809"/>
      <c r="AO780" s="809"/>
      <c r="AP780" s="809"/>
      <c r="AQ780" s="809"/>
      <c r="AR780" s="809"/>
      <c r="AS780" s="809"/>
      <c r="AT780" s="809"/>
      <c r="AU780" s="809"/>
      <c r="AV780" s="809"/>
      <c r="AW780" s="809"/>
      <c r="AX780" s="809"/>
      <c r="AY780" s="809"/>
      <c r="AZ780" s="809"/>
      <c r="BA780" s="809"/>
      <c r="BB780" s="809"/>
      <c r="BC780" s="809"/>
      <c r="BD780" s="809"/>
      <c r="BE780" s="809"/>
      <c r="BF780" s="809"/>
      <c r="BG780" s="809"/>
      <c r="BH780" s="809"/>
      <c r="BI780" s="809"/>
      <c r="BJ780" s="809"/>
      <c r="BK780" s="809"/>
      <c r="BL780" s="809"/>
      <c r="BM780" s="809"/>
      <c r="BN780" s="809"/>
    </row>
    <row r="781" spans="1:66">
      <c r="A781" s="809"/>
      <c r="B781" s="809"/>
      <c r="C781" s="809"/>
      <c r="D781" s="809"/>
      <c r="E781" s="809"/>
      <c r="F781" s="809"/>
      <c r="G781" s="809"/>
      <c r="H781" s="809"/>
      <c r="I781" s="809"/>
      <c r="J781" s="809"/>
      <c r="K781" s="809"/>
      <c r="L781" s="809"/>
      <c r="M781" s="809"/>
      <c r="N781" s="809"/>
      <c r="O781" s="809"/>
      <c r="P781" s="809"/>
      <c r="Q781" s="809"/>
      <c r="R781" s="809"/>
      <c r="S781" s="809"/>
      <c r="T781" s="809"/>
      <c r="U781" s="809"/>
      <c r="V781" s="809"/>
      <c r="W781" s="809"/>
      <c r="X781" s="809"/>
      <c r="Y781" s="809"/>
      <c r="Z781" s="809"/>
      <c r="AA781" s="809"/>
      <c r="AB781" s="809"/>
      <c r="AC781" s="809"/>
      <c r="AD781" s="809"/>
      <c r="AE781" s="809"/>
      <c r="AF781" s="809"/>
      <c r="AG781" s="809"/>
      <c r="AH781" s="809"/>
      <c r="AI781" s="809"/>
      <c r="AJ781" s="809"/>
      <c r="AK781" s="809"/>
      <c r="AL781" s="809"/>
      <c r="AM781" s="809"/>
      <c r="AN781" s="809"/>
      <c r="AO781" s="809"/>
      <c r="AP781" s="809"/>
      <c r="AQ781" s="809"/>
      <c r="AR781" s="809"/>
      <c r="AS781" s="809"/>
      <c r="AT781" s="809"/>
      <c r="AU781" s="809"/>
      <c r="AV781" s="809"/>
      <c r="AW781" s="809"/>
      <c r="AX781" s="809"/>
      <c r="AY781" s="809"/>
      <c r="AZ781" s="809"/>
      <c r="BA781" s="809"/>
      <c r="BB781" s="809"/>
      <c r="BC781" s="809"/>
      <c r="BD781" s="809"/>
      <c r="BE781" s="809"/>
      <c r="BF781" s="809"/>
      <c r="BG781" s="809"/>
      <c r="BH781" s="809"/>
      <c r="BI781" s="809"/>
      <c r="BJ781" s="809"/>
      <c r="BK781" s="809"/>
      <c r="BL781" s="809"/>
      <c r="BM781" s="809"/>
      <c r="BN781" s="809"/>
    </row>
    <row r="782" spans="1:66">
      <c r="A782" s="809"/>
      <c r="B782" s="809"/>
      <c r="C782" s="809"/>
      <c r="D782" s="809"/>
      <c r="E782" s="809"/>
      <c r="F782" s="809"/>
      <c r="G782" s="809"/>
      <c r="H782" s="809"/>
      <c r="I782" s="809"/>
      <c r="J782" s="809"/>
      <c r="K782" s="809"/>
      <c r="L782" s="809"/>
      <c r="M782" s="809"/>
      <c r="N782" s="809"/>
      <c r="O782" s="809"/>
      <c r="P782" s="809"/>
      <c r="Q782" s="809"/>
      <c r="R782" s="809"/>
      <c r="S782" s="809"/>
      <c r="T782" s="809"/>
      <c r="U782" s="809"/>
      <c r="V782" s="809"/>
      <c r="W782" s="809"/>
      <c r="X782" s="809"/>
      <c r="Y782" s="809"/>
      <c r="Z782" s="809"/>
      <c r="AA782" s="809"/>
      <c r="AB782" s="809"/>
      <c r="AC782" s="809"/>
      <c r="AD782" s="809"/>
      <c r="AE782" s="809"/>
      <c r="AF782" s="809"/>
      <c r="AG782" s="809"/>
      <c r="AH782" s="809"/>
      <c r="AI782" s="809"/>
      <c r="AJ782" s="809"/>
      <c r="AK782" s="809"/>
      <c r="AL782" s="809"/>
      <c r="AM782" s="809"/>
      <c r="AN782" s="809"/>
      <c r="AO782" s="809"/>
      <c r="AP782" s="809"/>
      <c r="AQ782" s="809"/>
      <c r="AR782" s="809"/>
      <c r="AS782" s="809"/>
      <c r="AT782" s="809"/>
      <c r="AU782" s="809"/>
      <c r="AV782" s="809"/>
      <c r="AW782" s="809"/>
      <c r="AX782" s="809"/>
      <c r="AY782" s="809"/>
      <c r="AZ782" s="809"/>
      <c r="BA782" s="809"/>
      <c r="BB782" s="809"/>
      <c r="BC782" s="809"/>
      <c r="BD782" s="809"/>
      <c r="BE782" s="809"/>
      <c r="BF782" s="809"/>
      <c r="BG782" s="809"/>
      <c r="BH782" s="809"/>
      <c r="BI782" s="809"/>
      <c r="BJ782" s="809"/>
      <c r="BK782" s="809"/>
      <c r="BL782" s="809"/>
      <c r="BM782" s="809"/>
      <c r="BN782" s="809"/>
    </row>
    <row r="783" spans="1:66">
      <c r="A783" s="809"/>
      <c r="B783" s="809"/>
      <c r="C783" s="809"/>
      <c r="D783" s="809"/>
      <c r="E783" s="809"/>
      <c r="F783" s="809"/>
      <c r="G783" s="809"/>
      <c r="H783" s="809"/>
      <c r="I783" s="809"/>
      <c r="J783" s="809"/>
      <c r="K783" s="809"/>
      <c r="L783" s="809"/>
      <c r="M783" s="809"/>
      <c r="N783" s="809"/>
      <c r="O783" s="809"/>
      <c r="P783" s="809"/>
      <c r="Q783" s="809"/>
      <c r="R783" s="809"/>
      <c r="S783" s="809"/>
      <c r="T783" s="809"/>
      <c r="U783" s="809"/>
      <c r="V783" s="809"/>
      <c r="W783" s="809"/>
      <c r="X783" s="809"/>
      <c r="Y783" s="809"/>
      <c r="Z783" s="809"/>
      <c r="AA783" s="809"/>
      <c r="AB783" s="809"/>
      <c r="AC783" s="809"/>
      <c r="AD783" s="809"/>
      <c r="AE783" s="809"/>
      <c r="AF783" s="809"/>
      <c r="AG783" s="809"/>
      <c r="AH783" s="809"/>
      <c r="AI783" s="809"/>
      <c r="AJ783" s="809"/>
      <c r="AK783" s="809"/>
      <c r="AL783" s="809"/>
      <c r="AM783" s="809"/>
      <c r="AN783" s="809"/>
      <c r="AO783" s="809"/>
      <c r="AP783" s="809"/>
      <c r="AQ783" s="809"/>
      <c r="AR783" s="809"/>
      <c r="AS783" s="809"/>
      <c r="AT783" s="809"/>
      <c r="AU783" s="809"/>
      <c r="AV783" s="809"/>
      <c r="AW783" s="809"/>
      <c r="AX783" s="809"/>
      <c r="AY783" s="809"/>
      <c r="AZ783" s="809"/>
      <c r="BA783" s="809"/>
      <c r="BB783" s="809"/>
      <c r="BC783" s="809"/>
      <c r="BD783" s="809"/>
      <c r="BE783" s="809"/>
      <c r="BF783" s="809"/>
      <c r="BG783" s="809"/>
      <c r="BH783" s="809"/>
      <c r="BI783" s="809"/>
      <c r="BJ783" s="809"/>
      <c r="BK783" s="809"/>
      <c r="BL783" s="809"/>
      <c r="BM783" s="809"/>
      <c r="BN783" s="809"/>
    </row>
    <row r="784" spans="1:66">
      <c r="A784" s="809"/>
      <c r="B784" s="809"/>
      <c r="C784" s="809"/>
      <c r="D784" s="809"/>
      <c r="E784" s="809"/>
      <c r="F784" s="809"/>
      <c r="G784" s="809"/>
      <c r="H784" s="809"/>
      <c r="I784" s="809"/>
      <c r="J784" s="809"/>
      <c r="K784" s="809"/>
      <c r="L784" s="809"/>
      <c r="M784" s="809"/>
      <c r="N784" s="809"/>
      <c r="O784" s="809"/>
      <c r="P784" s="809"/>
      <c r="Q784" s="809"/>
      <c r="R784" s="809"/>
      <c r="S784" s="809"/>
      <c r="T784" s="809"/>
      <c r="U784" s="809"/>
      <c r="V784" s="809"/>
      <c r="W784" s="809"/>
      <c r="X784" s="809"/>
      <c r="Y784" s="809"/>
      <c r="Z784" s="809"/>
      <c r="AA784" s="809"/>
      <c r="AB784" s="809"/>
      <c r="AC784" s="809"/>
      <c r="AD784" s="809"/>
      <c r="AE784" s="809"/>
      <c r="AF784" s="809"/>
      <c r="AG784" s="809"/>
      <c r="AH784" s="809"/>
      <c r="AI784" s="809"/>
      <c r="AJ784" s="809"/>
      <c r="AK784" s="809"/>
      <c r="AL784" s="809"/>
      <c r="AM784" s="809"/>
      <c r="AN784" s="809"/>
      <c r="AO784" s="809"/>
      <c r="AP784" s="809"/>
      <c r="AQ784" s="809"/>
      <c r="AR784" s="809"/>
      <c r="AS784" s="809"/>
      <c r="AT784" s="809"/>
      <c r="AU784" s="809"/>
      <c r="AV784" s="809"/>
      <c r="AW784" s="809"/>
      <c r="AX784" s="809"/>
      <c r="AY784" s="809"/>
      <c r="AZ784" s="809"/>
      <c r="BA784" s="809"/>
      <c r="BB784" s="809"/>
      <c r="BC784" s="809"/>
      <c r="BD784" s="809"/>
      <c r="BE784" s="809"/>
      <c r="BF784" s="809"/>
      <c r="BG784" s="809"/>
      <c r="BH784" s="809"/>
      <c r="BI784" s="809"/>
      <c r="BJ784" s="809"/>
      <c r="BK784" s="809"/>
      <c r="BL784" s="809"/>
      <c r="BM784" s="809"/>
      <c r="BN784" s="809"/>
    </row>
    <row r="785" spans="1:66">
      <c r="A785" s="809"/>
      <c r="B785" s="809"/>
      <c r="C785" s="809"/>
      <c r="D785" s="809"/>
      <c r="E785" s="809"/>
      <c r="F785" s="809"/>
      <c r="G785" s="809"/>
      <c r="H785" s="809"/>
      <c r="I785" s="809"/>
      <c r="J785" s="809"/>
      <c r="K785" s="809"/>
      <c r="L785" s="809"/>
      <c r="M785" s="809"/>
      <c r="N785" s="809"/>
      <c r="O785" s="809"/>
      <c r="P785" s="809"/>
      <c r="Q785" s="809"/>
      <c r="R785" s="809"/>
      <c r="S785" s="809"/>
      <c r="T785" s="809"/>
      <c r="U785" s="809"/>
      <c r="V785" s="809"/>
      <c r="W785" s="809"/>
      <c r="X785" s="809"/>
      <c r="Y785" s="809"/>
      <c r="Z785" s="809"/>
      <c r="AA785" s="809"/>
      <c r="AB785" s="809"/>
      <c r="AC785" s="809"/>
      <c r="AD785" s="809"/>
      <c r="AE785" s="809"/>
      <c r="AF785" s="809"/>
      <c r="AG785" s="809"/>
      <c r="AH785" s="809"/>
      <c r="AI785" s="809"/>
      <c r="AJ785" s="809"/>
      <c r="AK785" s="809"/>
      <c r="AL785" s="809"/>
      <c r="AM785" s="809"/>
      <c r="AN785" s="809"/>
      <c r="AO785" s="809"/>
      <c r="AP785" s="809"/>
      <c r="AQ785" s="809"/>
      <c r="AR785" s="809"/>
      <c r="AS785" s="809"/>
      <c r="AT785" s="809"/>
      <c r="AU785" s="809"/>
      <c r="AV785" s="809"/>
      <c r="AW785" s="809"/>
      <c r="AX785" s="809"/>
      <c r="AY785" s="809"/>
      <c r="AZ785" s="809"/>
      <c r="BA785" s="809"/>
      <c r="BB785" s="809"/>
      <c r="BC785" s="809"/>
      <c r="BD785" s="809"/>
      <c r="BE785" s="809"/>
      <c r="BF785" s="809"/>
      <c r="BG785" s="809"/>
      <c r="BH785" s="809"/>
      <c r="BI785" s="809"/>
      <c r="BJ785" s="809"/>
      <c r="BK785" s="809"/>
      <c r="BL785" s="809"/>
      <c r="BM785" s="809"/>
      <c r="BN785" s="809"/>
    </row>
    <row r="786" spans="1:66">
      <c r="A786" s="809"/>
      <c r="B786" s="809"/>
      <c r="C786" s="809"/>
      <c r="D786" s="809"/>
      <c r="E786" s="809"/>
      <c r="F786" s="809"/>
      <c r="G786" s="809"/>
      <c r="H786" s="809"/>
      <c r="I786" s="809"/>
      <c r="J786" s="809"/>
      <c r="K786" s="809"/>
      <c r="L786" s="809"/>
      <c r="M786" s="809"/>
      <c r="N786" s="809"/>
      <c r="O786" s="809"/>
      <c r="P786" s="809"/>
      <c r="Q786" s="809"/>
      <c r="R786" s="809"/>
      <c r="S786" s="809"/>
      <c r="T786" s="809"/>
      <c r="U786" s="809"/>
      <c r="V786" s="809"/>
      <c r="W786" s="809"/>
      <c r="X786" s="809"/>
      <c r="Y786" s="809"/>
      <c r="Z786" s="809"/>
      <c r="AA786" s="809"/>
      <c r="AB786" s="809"/>
      <c r="AC786" s="809"/>
      <c r="AD786" s="809"/>
      <c r="AE786" s="809"/>
      <c r="AF786" s="809"/>
      <c r="AG786" s="809"/>
      <c r="AH786" s="809"/>
      <c r="AI786" s="809"/>
      <c r="AJ786" s="809"/>
      <c r="AK786" s="809"/>
      <c r="AL786" s="809"/>
      <c r="AM786" s="809"/>
      <c r="AN786" s="809"/>
      <c r="AO786" s="809"/>
      <c r="AP786" s="809"/>
      <c r="AQ786" s="809"/>
      <c r="AR786" s="809"/>
      <c r="AS786" s="809"/>
      <c r="AT786" s="809"/>
      <c r="AU786" s="809"/>
      <c r="AV786" s="809"/>
      <c r="AW786" s="809"/>
      <c r="AX786" s="809"/>
      <c r="AY786" s="809"/>
      <c r="AZ786" s="809"/>
      <c r="BA786" s="809"/>
      <c r="BB786" s="809"/>
      <c r="BC786" s="809"/>
      <c r="BD786" s="809"/>
      <c r="BE786" s="809"/>
      <c r="BF786" s="809"/>
      <c r="BG786" s="809"/>
      <c r="BH786" s="809"/>
      <c r="BI786" s="809"/>
      <c r="BJ786" s="809"/>
      <c r="BK786" s="809"/>
      <c r="BL786" s="809"/>
      <c r="BM786" s="809"/>
      <c r="BN786" s="809"/>
    </row>
    <row r="787" spans="1:66">
      <c r="A787" s="809"/>
      <c r="B787" s="809"/>
      <c r="C787" s="809"/>
      <c r="D787" s="809"/>
      <c r="E787" s="809"/>
      <c r="F787" s="809"/>
      <c r="G787" s="809"/>
      <c r="H787" s="809"/>
      <c r="I787" s="809"/>
      <c r="J787" s="809"/>
      <c r="K787" s="809"/>
      <c r="L787" s="809"/>
      <c r="M787" s="809"/>
      <c r="N787" s="809"/>
      <c r="O787" s="809"/>
      <c r="P787" s="809"/>
      <c r="Q787" s="809"/>
      <c r="R787" s="809"/>
      <c r="S787" s="809"/>
      <c r="T787" s="809"/>
      <c r="U787" s="809"/>
      <c r="V787" s="809"/>
      <c r="W787" s="809"/>
      <c r="X787" s="809"/>
      <c r="Y787" s="809"/>
      <c r="Z787" s="809"/>
      <c r="AA787" s="809"/>
      <c r="AB787" s="809"/>
      <c r="AC787" s="809"/>
      <c r="AD787" s="809"/>
      <c r="AE787" s="809"/>
      <c r="AF787" s="809"/>
      <c r="AG787" s="809"/>
      <c r="AH787" s="809"/>
      <c r="AI787" s="809"/>
      <c r="AJ787" s="809"/>
      <c r="AK787" s="809"/>
      <c r="AL787" s="809"/>
      <c r="AM787" s="809"/>
      <c r="AN787" s="809"/>
      <c r="AO787" s="809"/>
      <c r="AP787" s="809"/>
      <c r="AQ787" s="809"/>
      <c r="AR787" s="809"/>
      <c r="AS787" s="809"/>
      <c r="AT787" s="809"/>
      <c r="AU787" s="809"/>
      <c r="AV787" s="809"/>
      <c r="AW787" s="809"/>
      <c r="AX787" s="809"/>
      <c r="AY787" s="809"/>
      <c r="AZ787" s="809"/>
      <c r="BA787" s="809"/>
      <c r="BB787" s="809"/>
      <c r="BC787" s="809"/>
      <c r="BD787" s="809"/>
      <c r="BE787" s="809"/>
      <c r="BF787" s="809"/>
      <c r="BG787" s="809"/>
      <c r="BH787" s="809"/>
      <c r="BI787" s="809"/>
      <c r="BJ787" s="809"/>
      <c r="BK787" s="809"/>
      <c r="BL787" s="809"/>
      <c r="BM787" s="809"/>
      <c r="BN787" s="809"/>
    </row>
    <row r="788" spans="1:66">
      <c r="A788" s="809"/>
      <c r="B788" s="809"/>
      <c r="C788" s="809"/>
      <c r="D788" s="809"/>
      <c r="E788" s="809"/>
      <c r="F788" s="809"/>
      <c r="G788" s="809"/>
      <c r="H788" s="809"/>
      <c r="I788" s="809"/>
      <c r="J788" s="809"/>
      <c r="K788" s="809"/>
      <c r="L788" s="809"/>
      <c r="M788" s="809"/>
      <c r="N788" s="809"/>
      <c r="O788" s="809"/>
      <c r="P788" s="809"/>
      <c r="Q788" s="809"/>
      <c r="R788" s="809"/>
      <c r="S788" s="809"/>
      <c r="T788" s="809"/>
      <c r="U788" s="809"/>
      <c r="V788" s="809"/>
      <c r="W788" s="809"/>
      <c r="X788" s="809"/>
      <c r="Y788" s="809"/>
      <c r="Z788" s="809"/>
      <c r="AA788" s="809"/>
      <c r="AB788" s="809"/>
      <c r="AC788" s="809"/>
      <c r="AD788" s="809"/>
      <c r="AE788" s="809"/>
      <c r="AF788" s="809"/>
      <c r="AG788" s="809"/>
      <c r="AH788" s="809"/>
      <c r="AI788" s="809"/>
      <c r="AJ788" s="809"/>
      <c r="AK788" s="809"/>
      <c r="AL788" s="809"/>
      <c r="AM788" s="809"/>
      <c r="AN788" s="809"/>
      <c r="AO788" s="809"/>
      <c r="AP788" s="809"/>
      <c r="AQ788" s="809"/>
      <c r="AR788" s="809"/>
      <c r="AS788" s="809"/>
      <c r="AT788" s="809"/>
      <c r="AU788" s="809"/>
      <c r="AV788" s="809"/>
      <c r="AW788" s="809"/>
      <c r="AX788" s="809"/>
      <c r="AY788" s="809"/>
      <c r="AZ788" s="809"/>
      <c r="BA788" s="809"/>
      <c r="BB788" s="809"/>
      <c r="BC788" s="809"/>
      <c r="BD788" s="809"/>
      <c r="BE788" s="809"/>
      <c r="BF788" s="809"/>
      <c r="BG788" s="809"/>
      <c r="BH788" s="809"/>
      <c r="BI788" s="809"/>
      <c r="BJ788" s="809"/>
      <c r="BK788" s="809"/>
      <c r="BL788" s="809"/>
      <c r="BM788" s="809"/>
      <c r="BN788" s="809"/>
    </row>
    <row r="789" spans="1:66">
      <c r="A789" s="809"/>
      <c r="B789" s="809"/>
      <c r="C789" s="809"/>
      <c r="D789" s="809"/>
      <c r="E789" s="809"/>
      <c r="F789" s="809"/>
      <c r="G789" s="809"/>
      <c r="H789" s="809"/>
      <c r="I789" s="809"/>
      <c r="J789" s="809"/>
      <c r="K789" s="809"/>
      <c r="L789" s="809"/>
      <c r="M789" s="809"/>
      <c r="N789" s="809"/>
      <c r="O789" s="809"/>
      <c r="P789" s="809"/>
      <c r="Q789" s="809"/>
      <c r="R789" s="809"/>
      <c r="S789" s="809"/>
      <c r="T789" s="809"/>
      <c r="U789" s="809"/>
      <c r="V789" s="809"/>
      <c r="W789" s="809"/>
      <c r="X789" s="809"/>
      <c r="Y789" s="809"/>
      <c r="Z789" s="809"/>
      <c r="AA789" s="809"/>
      <c r="AB789" s="809"/>
      <c r="AC789" s="809"/>
      <c r="AD789" s="809"/>
      <c r="AE789" s="809"/>
      <c r="AF789" s="809"/>
      <c r="AG789" s="809"/>
      <c r="AH789" s="809"/>
      <c r="AI789" s="809"/>
      <c r="AJ789" s="809"/>
      <c r="AK789" s="809"/>
      <c r="AL789" s="809"/>
      <c r="AM789" s="809"/>
      <c r="AN789" s="809"/>
      <c r="AO789" s="809"/>
      <c r="AP789" s="809"/>
      <c r="AQ789" s="809"/>
      <c r="AR789" s="809"/>
      <c r="AS789" s="809"/>
      <c r="AT789" s="809"/>
      <c r="AU789" s="809"/>
      <c r="AV789" s="809"/>
      <c r="AW789" s="809"/>
      <c r="AX789" s="809"/>
      <c r="AY789" s="809"/>
      <c r="AZ789" s="809"/>
      <c r="BA789" s="809"/>
      <c r="BB789" s="809"/>
      <c r="BC789" s="809"/>
      <c r="BD789" s="809"/>
      <c r="BE789" s="809"/>
      <c r="BF789" s="809"/>
      <c r="BG789" s="809"/>
      <c r="BH789" s="809"/>
      <c r="BI789" s="809"/>
      <c r="BJ789" s="809"/>
      <c r="BK789" s="809"/>
      <c r="BL789" s="809"/>
      <c r="BM789" s="809"/>
      <c r="BN789" s="809"/>
    </row>
    <row r="790" spans="1:66">
      <c r="A790" s="809"/>
      <c r="B790" s="809"/>
      <c r="C790" s="809"/>
      <c r="D790" s="809"/>
      <c r="E790" s="809"/>
      <c r="F790" s="809"/>
      <c r="G790" s="809"/>
      <c r="H790" s="809"/>
      <c r="I790" s="809"/>
      <c r="J790" s="809"/>
      <c r="K790" s="809"/>
      <c r="L790" s="809"/>
      <c r="M790" s="809"/>
      <c r="N790" s="809"/>
      <c r="O790" s="809"/>
      <c r="P790" s="809"/>
      <c r="Q790" s="809"/>
      <c r="R790" s="809"/>
      <c r="S790" s="809"/>
      <c r="T790" s="809"/>
      <c r="U790" s="809"/>
      <c r="V790" s="809"/>
      <c r="W790" s="809"/>
      <c r="X790" s="809"/>
      <c r="Y790" s="809"/>
      <c r="Z790" s="809"/>
      <c r="AA790" s="809"/>
      <c r="AB790" s="809"/>
      <c r="AC790" s="809"/>
      <c r="AD790" s="809"/>
      <c r="AE790" s="809"/>
      <c r="AF790" s="809"/>
      <c r="AG790" s="809"/>
      <c r="AH790" s="809"/>
      <c r="AI790" s="809"/>
      <c r="AJ790" s="809"/>
      <c r="AK790" s="809"/>
      <c r="AL790" s="809"/>
      <c r="AM790" s="809"/>
      <c r="AN790" s="809"/>
      <c r="AO790" s="809"/>
      <c r="AP790" s="809"/>
      <c r="AQ790" s="809"/>
      <c r="AR790" s="809"/>
      <c r="AS790" s="809"/>
      <c r="AT790" s="809"/>
      <c r="AU790" s="809"/>
      <c r="AV790" s="809"/>
      <c r="AW790" s="809"/>
      <c r="AX790" s="809"/>
      <c r="AY790" s="809"/>
      <c r="AZ790" s="809"/>
      <c r="BA790" s="809"/>
      <c r="BB790" s="809"/>
      <c r="BC790" s="809"/>
      <c r="BD790" s="809"/>
      <c r="BE790" s="809"/>
      <c r="BF790" s="809"/>
      <c r="BG790" s="809"/>
      <c r="BH790" s="809"/>
      <c r="BI790" s="809"/>
      <c r="BJ790" s="809"/>
      <c r="BK790" s="809"/>
      <c r="BL790" s="809"/>
      <c r="BM790" s="809"/>
      <c r="BN790" s="809"/>
    </row>
    <row r="791" spans="1:66">
      <c r="A791" s="809"/>
      <c r="B791" s="809"/>
      <c r="C791" s="809"/>
      <c r="D791" s="809"/>
      <c r="E791" s="809"/>
      <c r="F791" s="809"/>
      <c r="G791" s="809"/>
      <c r="H791" s="809"/>
      <c r="I791" s="809"/>
      <c r="J791" s="809"/>
      <c r="K791" s="809"/>
      <c r="L791" s="809"/>
      <c r="M791" s="809"/>
      <c r="N791" s="809"/>
      <c r="O791" s="809"/>
      <c r="P791" s="809"/>
      <c r="Q791" s="809"/>
      <c r="R791" s="809"/>
      <c r="S791" s="809"/>
      <c r="T791" s="809"/>
      <c r="U791" s="809"/>
      <c r="V791" s="809"/>
      <c r="W791" s="809"/>
      <c r="X791" s="809"/>
      <c r="Y791" s="809"/>
      <c r="Z791" s="809"/>
      <c r="AA791" s="809"/>
      <c r="AB791" s="809"/>
      <c r="AC791" s="809"/>
      <c r="AD791" s="809"/>
      <c r="AE791" s="809"/>
      <c r="AF791" s="809"/>
      <c r="AG791" s="809"/>
      <c r="AH791" s="809"/>
      <c r="AI791" s="809"/>
      <c r="AJ791" s="809"/>
      <c r="AK791" s="809"/>
      <c r="AL791" s="809"/>
      <c r="AM791" s="809"/>
      <c r="AN791" s="809"/>
      <c r="AO791" s="809"/>
      <c r="AP791" s="809"/>
      <c r="AQ791" s="809"/>
      <c r="AR791" s="809"/>
      <c r="AS791" s="809"/>
      <c r="AT791" s="809"/>
      <c r="AU791" s="809"/>
      <c r="AV791" s="809"/>
      <c r="AW791" s="809"/>
      <c r="AX791" s="809"/>
      <c r="AY791" s="809"/>
      <c r="AZ791" s="809"/>
      <c r="BA791" s="809"/>
      <c r="BB791" s="809"/>
      <c r="BC791" s="809"/>
      <c r="BD791" s="809"/>
      <c r="BE791" s="809"/>
      <c r="BF791" s="809"/>
      <c r="BG791" s="809"/>
      <c r="BH791" s="809"/>
      <c r="BI791" s="809"/>
      <c r="BJ791" s="809"/>
      <c r="BK791" s="809"/>
      <c r="BL791" s="809"/>
      <c r="BM791" s="809"/>
      <c r="BN791" s="809"/>
    </row>
    <row r="792" spans="1:66">
      <c r="A792" s="809"/>
      <c r="B792" s="809"/>
      <c r="C792" s="809"/>
      <c r="D792" s="809"/>
      <c r="E792" s="809"/>
      <c r="F792" s="809"/>
      <c r="G792" s="809"/>
      <c r="H792" s="809"/>
      <c r="I792" s="809"/>
      <c r="J792" s="809"/>
      <c r="K792" s="809"/>
      <c r="L792" s="809"/>
      <c r="M792" s="809"/>
      <c r="N792" s="809"/>
      <c r="O792" s="809"/>
      <c r="P792" s="809"/>
      <c r="Q792" s="809"/>
      <c r="R792" s="809"/>
      <c r="S792" s="809"/>
      <c r="T792" s="809"/>
      <c r="U792" s="809"/>
      <c r="V792" s="809"/>
      <c r="W792" s="809"/>
      <c r="X792" s="809"/>
      <c r="Y792" s="809"/>
      <c r="Z792" s="809"/>
      <c r="AA792" s="809"/>
      <c r="AB792" s="809"/>
      <c r="AC792" s="809"/>
      <c r="AD792" s="809"/>
      <c r="AE792" s="809"/>
      <c r="AF792" s="809"/>
      <c r="AG792" s="809"/>
      <c r="AH792" s="809"/>
      <c r="AI792" s="809"/>
      <c r="AJ792" s="809"/>
      <c r="AK792" s="809"/>
      <c r="AL792" s="809"/>
      <c r="AM792" s="809"/>
      <c r="AN792" s="809"/>
      <c r="AO792" s="809"/>
      <c r="AP792" s="809"/>
      <c r="AQ792" s="809"/>
      <c r="AR792" s="809"/>
      <c r="AS792" s="809"/>
      <c r="AT792" s="809"/>
      <c r="AU792" s="809"/>
      <c r="AV792" s="809"/>
      <c r="AW792" s="809"/>
      <c r="AX792" s="809"/>
      <c r="AY792" s="809"/>
      <c r="AZ792" s="809"/>
      <c r="BA792" s="809"/>
      <c r="BB792" s="809"/>
      <c r="BC792" s="809"/>
      <c r="BD792" s="809"/>
      <c r="BE792" s="809"/>
      <c r="BF792" s="809"/>
      <c r="BG792" s="809"/>
      <c r="BH792" s="809"/>
      <c r="BI792" s="809"/>
      <c r="BJ792" s="809"/>
      <c r="BK792" s="809"/>
      <c r="BL792" s="809"/>
      <c r="BM792" s="809"/>
      <c r="BN792" s="809"/>
    </row>
    <row r="793" spans="1:66">
      <c r="A793" s="809"/>
      <c r="B793" s="809"/>
      <c r="C793" s="809"/>
      <c r="D793" s="809"/>
      <c r="E793" s="809"/>
      <c r="F793" s="809"/>
      <c r="G793" s="809"/>
      <c r="H793" s="809"/>
      <c r="I793" s="809"/>
      <c r="J793" s="809"/>
      <c r="K793" s="809"/>
      <c r="L793" s="809"/>
      <c r="M793" s="809"/>
      <c r="N793" s="809"/>
      <c r="O793" s="809"/>
      <c r="P793" s="809"/>
      <c r="Q793" s="809"/>
      <c r="R793" s="809"/>
      <c r="S793" s="809"/>
      <c r="T793" s="809"/>
      <c r="U793" s="809"/>
      <c r="V793" s="809"/>
      <c r="W793" s="809"/>
      <c r="X793" s="809"/>
      <c r="Y793" s="809"/>
      <c r="Z793" s="809"/>
      <c r="AA793" s="809"/>
      <c r="AB793" s="809"/>
      <c r="AC793" s="809"/>
      <c r="AD793" s="809"/>
      <c r="AE793" s="809"/>
      <c r="AF793" s="809"/>
      <c r="AG793" s="809"/>
      <c r="AH793" s="809"/>
      <c r="AI793" s="809"/>
      <c r="AJ793" s="809"/>
      <c r="AK793" s="809"/>
      <c r="AL793" s="809"/>
      <c r="AM793" s="809"/>
      <c r="AN793" s="809"/>
      <c r="AO793" s="809"/>
      <c r="AP793" s="809"/>
      <c r="AQ793" s="809"/>
      <c r="AR793" s="809"/>
      <c r="AS793" s="809"/>
      <c r="AT793" s="809"/>
      <c r="AU793" s="809"/>
      <c r="AV793" s="809"/>
      <c r="AW793" s="809"/>
      <c r="AX793" s="809"/>
      <c r="AY793" s="809"/>
      <c r="AZ793" s="809"/>
      <c r="BA793" s="809"/>
      <c r="BB793" s="809"/>
      <c r="BC793" s="809"/>
      <c r="BD793" s="809"/>
      <c r="BE793" s="809"/>
      <c r="BF793" s="809"/>
      <c r="BG793" s="809"/>
      <c r="BH793" s="809"/>
      <c r="BI793" s="809"/>
      <c r="BJ793" s="809"/>
      <c r="BK793" s="809"/>
      <c r="BL793" s="809"/>
      <c r="BM793" s="809"/>
      <c r="BN793" s="809"/>
    </row>
    <row r="794" spans="1:66">
      <c r="A794" s="809"/>
      <c r="B794" s="809"/>
      <c r="C794" s="809"/>
      <c r="D794" s="809"/>
      <c r="E794" s="809"/>
      <c r="F794" s="809"/>
      <c r="G794" s="809"/>
      <c r="H794" s="809"/>
      <c r="I794" s="809"/>
      <c r="J794" s="809"/>
      <c r="K794" s="809"/>
      <c r="L794" s="809"/>
      <c r="M794" s="809"/>
      <c r="N794" s="809"/>
      <c r="O794" s="809"/>
      <c r="P794" s="809"/>
      <c r="Q794" s="809"/>
      <c r="R794" s="809"/>
      <c r="S794" s="809"/>
      <c r="T794" s="809"/>
      <c r="U794" s="809"/>
      <c r="V794" s="809"/>
      <c r="W794" s="809"/>
      <c r="X794" s="809"/>
      <c r="Y794" s="809"/>
      <c r="Z794" s="809"/>
      <c r="AA794" s="809"/>
      <c r="AB794" s="809"/>
      <c r="AC794" s="809"/>
      <c r="AD794" s="809"/>
      <c r="AE794" s="809"/>
      <c r="AF794" s="809"/>
      <c r="AG794" s="809"/>
      <c r="AH794" s="809"/>
      <c r="AI794" s="809"/>
      <c r="AJ794" s="809"/>
      <c r="AK794" s="809"/>
      <c r="AL794" s="809"/>
      <c r="AM794" s="809"/>
      <c r="AN794" s="809"/>
      <c r="AO794" s="809"/>
      <c r="AP794" s="809"/>
      <c r="AQ794" s="809"/>
      <c r="AR794" s="809"/>
      <c r="AS794" s="809"/>
      <c r="AT794" s="809"/>
      <c r="AU794" s="809"/>
      <c r="AV794" s="809"/>
      <c r="AW794" s="809"/>
      <c r="AX794" s="809"/>
      <c r="AY794" s="809"/>
      <c r="AZ794" s="809"/>
      <c r="BA794" s="809"/>
      <c r="BB794" s="809"/>
      <c r="BC794" s="809"/>
      <c r="BD794" s="809"/>
      <c r="BE794" s="809"/>
      <c r="BF794" s="809"/>
      <c r="BG794" s="809"/>
      <c r="BH794" s="809"/>
      <c r="BI794" s="809"/>
      <c r="BJ794" s="809"/>
      <c r="BK794" s="809"/>
      <c r="BL794" s="809"/>
      <c r="BM794" s="809"/>
      <c r="BN794" s="809"/>
    </row>
    <row r="795" spans="1:66">
      <c r="A795" s="809"/>
      <c r="B795" s="809"/>
      <c r="C795" s="809"/>
      <c r="D795" s="809"/>
      <c r="E795" s="809"/>
      <c r="F795" s="809"/>
      <c r="G795" s="809"/>
      <c r="H795" s="809"/>
      <c r="I795" s="809"/>
      <c r="J795" s="809"/>
      <c r="K795" s="809"/>
      <c r="L795" s="809"/>
      <c r="M795" s="809"/>
      <c r="N795" s="809"/>
      <c r="O795" s="809"/>
      <c r="P795" s="809"/>
      <c r="Q795" s="809"/>
      <c r="R795" s="809"/>
      <c r="S795" s="809"/>
      <c r="T795" s="809"/>
      <c r="U795" s="809"/>
      <c r="V795" s="809"/>
      <c r="W795" s="809"/>
      <c r="X795" s="809"/>
      <c r="Y795" s="809"/>
      <c r="Z795" s="809"/>
      <c r="AA795" s="809"/>
      <c r="AB795" s="809"/>
      <c r="AC795" s="809"/>
      <c r="AD795" s="809"/>
      <c r="AE795" s="809"/>
      <c r="AF795" s="809"/>
      <c r="AG795" s="809"/>
      <c r="AH795" s="809"/>
      <c r="AI795" s="809"/>
      <c r="AJ795" s="809"/>
      <c r="AK795" s="809"/>
      <c r="AL795" s="809"/>
      <c r="AM795" s="809"/>
      <c r="AN795" s="809"/>
      <c r="AO795" s="809"/>
      <c r="AP795" s="809"/>
      <c r="AQ795" s="809"/>
      <c r="AR795" s="809"/>
      <c r="AS795" s="809"/>
      <c r="AT795" s="809"/>
      <c r="AU795" s="809"/>
      <c r="AV795" s="809"/>
      <c r="AW795" s="809"/>
      <c r="AX795" s="809"/>
      <c r="AY795" s="809"/>
      <c r="AZ795" s="809"/>
      <c r="BA795" s="809"/>
      <c r="BB795" s="809"/>
      <c r="BC795" s="809"/>
      <c r="BD795" s="809"/>
      <c r="BE795" s="809"/>
      <c r="BF795" s="809"/>
      <c r="BG795" s="809"/>
      <c r="BH795" s="809"/>
      <c r="BI795" s="809"/>
      <c r="BJ795" s="809"/>
      <c r="BK795" s="809"/>
      <c r="BL795" s="809"/>
      <c r="BM795" s="809"/>
      <c r="BN795" s="809"/>
    </row>
    <row r="796" spans="1:66">
      <c r="A796" s="809"/>
      <c r="B796" s="809"/>
      <c r="C796" s="809"/>
      <c r="D796" s="809"/>
      <c r="E796" s="809"/>
      <c r="F796" s="809"/>
      <c r="G796" s="809"/>
      <c r="H796" s="809"/>
      <c r="I796" s="809"/>
      <c r="J796" s="809"/>
      <c r="K796" s="809"/>
      <c r="L796" s="809"/>
      <c r="M796" s="809"/>
      <c r="N796" s="809"/>
      <c r="O796" s="809"/>
      <c r="P796" s="809"/>
      <c r="Q796" s="809"/>
      <c r="R796" s="809"/>
      <c r="S796" s="809"/>
      <c r="T796" s="809"/>
      <c r="U796" s="809"/>
      <c r="V796" s="809"/>
      <c r="W796" s="809"/>
      <c r="X796" s="809"/>
      <c r="Y796" s="809"/>
      <c r="Z796" s="809"/>
      <c r="AA796" s="809"/>
      <c r="AB796" s="809"/>
      <c r="AC796" s="809"/>
      <c r="AD796" s="809"/>
      <c r="AE796" s="809"/>
      <c r="AF796" s="809"/>
      <c r="AG796" s="809"/>
      <c r="AH796" s="809"/>
      <c r="AI796" s="809"/>
      <c r="AJ796" s="809"/>
      <c r="AK796" s="809"/>
      <c r="AL796" s="809"/>
      <c r="AM796" s="809"/>
      <c r="AN796" s="809"/>
      <c r="AO796" s="809"/>
      <c r="AP796" s="809"/>
      <c r="AQ796" s="809"/>
      <c r="AR796" s="809"/>
      <c r="AS796" s="809"/>
      <c r="AT796" s="809"/>
      <c r="AU796" s="809"/>
      <c r="AV796" s="809"/>
      <c r="AW796" s="809"/>
      <c r="AX796" s="809"/>
      <c r="AY796" s="809"/>
      <c r="AZ796" s="809"/>
      <c r="BA796" s="809"/>
      <c r="BB796" s="809"/>
      <c r="BC796" s="809"/>
      <c r="BD796" s="809"/>
      <c r="BE796" s="809"/>
      <c r="BF796" s="809"/>
      <c r="BG796" s="809"/>
      <c r="BH796" s="809"/>
      <c r="BI796" s="809"/>
      <c r="BJ796" s="809"/>
      <c r="BK796" s="809"/>
      <c r="BL796" s="809"/>
      <c r="BM796" s="809"/>
      <c r="BN796" s="809"/>
    </row>
    <row r="797" spans="1:66">
      <c r="A797" s="809"/>
      <c r="B797" s="809"/>
      <c r="C797" s="809"/>
      <c r="D797" s="809"/>
      <c r="E797" s="809"/>
      <c r="F797" s="809"/>
      <c r="G797" s="809"/>
      <c r="H797" s="809"/>
      <c r="I797" s="809"/>
      <c r="J797" s="809"/>
      <c r="K797" s="809"/>
      <c r="L797" s="809"/>
      <c r="M797" s="809"/>
      <c r="N797" s="809"/>
      <c r="O797" s="809"/>
      <c r="P797" s="809"/>
      <c r="Q797" s="809"/>
      <c r="R797" s="809"/>
      <c r="S797" s="809"/>
      <c r="T797" s="809"/>
      <c r="U797" s="809"/>
      <c r="V797" s="809"/>
      <c r="W797" s="809"/>
      <c r="X797" s="809"/>
      <c r="Y797" s="809"/>
      <c r="Z797" s="809"/>
      <c r="AA797" s="809"/>
      <c r="AB797" s="809"/>
      <c r="AC797" s="809"/>
      <c r="AD797" s="809"/>
      <c r="AE797" s="809"/>
      <c r="AF797" s="809"/>
      <c r="AG797" s="809"/>
      <c r="AH797" s="809"/>
      <c r="AI797" s="809"/>
      <c r="AJ797" s="809"/>
      <c r="AK797" s="809"/>
      <c r="AL797" s="809"/>
      <c r="AM797" s="809"/>
      <c r="AN797" s="809"/>
      <c r="AO797" s="809"/>
      <c r="AP797" s="809"/>
      <c r="AQ797" s="809"/>
      <c r="AR797" s="809"/>
      <c r="AS797" s="809"/>
      <c r="AT797" s="809"/>
      <c r="AU797" s="809"/>
      <c r="AV797" s="809"/>
      <c r="AW797" s="809"/>
      <c r="AX797" s="809"/>
      <c r="AY797" s="809"/>
      <c r="AZ797" s="809"/>
      <c r="BA797" s="809"/>
      <c r="BB797" s="809"/>
      <c r="BC797" s="809"/>
      <c r="BD797" s="809"/>
      <c r="BE797" s="809"/>
      <c r="BF797" s="809"/>
      <c r="BG797" s="809"/>
      <c r="BH797" s="809"/>
      <c r="BI797" s="809"/>
      <c r="BJ797" s="809"/>
      <c r="BK797" s="809"/>
      <c r="BL797" s="809"/>
      <c r="BM797" s="809"/>
      <c r="BN797" s="809"/>
    </row>
    <row r="798" spans="1:66">
      <c r="A798" s="809"/>
      <c r="B798" s="809"/>
      <c r="C798" s="809"/>
      <c r="D798" s="809"/>
      <c r="E798" s="809"/>
      <c r="F798" s="809"/>
      <c r="G798" s="809"/>
      <c r="H798" s="809"/>
      <c r="I798" s="809"/>
      <c r="J798" s="809"/>
      <c r="K798" s="809"/>
      <c r="L798" s="809"/>
      <c r="M798" s="809"/>
      <c r="N798" s="809"/>
      <c r="O798" s="809"/>
      <c r="P798" s="809"/>
      <c r="Q798" s="809"/>
      <c r="R798" s="809"/>
      <c r="S798" s="809"/>
      <c r="T798" s="809"/>
      <c r="U798" s="809"/>
      <c r="V798" s="809"/>
      <c r="W798" s="809"/>
      <c r="X798" s="809"/>
      <c r="Y798" s="809"/>
      <c r="Z798" s="809"/>
      <c r="AA798" s="809"/>
      <c r="AB798" s="809"/>
      <c r="AC798" s="809"/>
      <c r="AD798" s="809"/>
      <c r="AE798" s="809"/>
      <c r="AF798" s="809"/>
      <c r="AG798" s="809"/>
      <c r="AH798" s="809"/>
      <c r="AI798" s="809"/>
      <c r="AJ798" s="809"/>
      <c r="AK798" s="809"/>
      <c r="AL798" s="809"/>
      <c r="AM798" s="809"/>
      <c r="AN798" s="809"/>
      <c r="AO798" s="809"/>
      <c r="AP798" s="809"/>
      <c r="AQ798" s="809"/>
      <c r="AR798" s="809"/>
      <c r="AS798" s="809"/>
      <c r="AT798" s="809"/>
      <c r="AU798" s="809"/>
      <c r="AV798" s="809"/>
      <c r="AW798" s="809"/>
      <c r="AX798" s="809"/>
      <c r="AY798" s="809"/>
      <c r="AZ798" s="809"/>
      <c r="BA798" s="809"/>
      <c r="BB798" s="809"/>
      <c r="BC798" s="809"/>
      <c r="BD798" s="809"/>
      <c r="BE798" s="809"/>
      <c r="BF798" s="809"/>
      <c r="BG798" s="809"/>
      <c r="BH798" s="809"/>
      <c r="BI798" s="809"/>
      <c r="BJ798" s="809"/>
      <c r="BK798" s="809"/>
      <c r="BL798" s="809"/>
      <c r="BM798" s="809"/>
      <c r="BN798" s="809"/>
    </row>
    <row r="799" spans="1:66">
      <c r="A799" s="809"/>
      <c r="B799" s="809"/>
      <c r="C799" s="809"/>
      <c r="D799" s="809"/>
      <c r="E799" s="809"/>
      <c r="F799" s="809"/>
      <c r="G799" s="809"/>
      <c r="H799" s="809"/>
      <c r="I799" s="809"/>
      <c r="J799" s="809"/>
      <c r="K799" s="809"/>
      <c r="L799" s="809"/>
      <c r="M799" s="809"/>
      <c r="N799" s="809"/>
      <c r="O799" s="809"/>
      <c r="P799" s="809"/>
      <c r="Q799" s="809"/>
      <c r="R799" s="809"/>
      <c r="S799" s="809"/>
      <c r="T799" s="809"/>
      <c r="U799" s="809"/>
      <c r="V799" s="809"/>
      <c r="W799" s="809"/>
      <c r="X799" s="809"/>
      <c r="Y799" s="809"/>
      <c r="Z799" s="809"/>
      <c r="AA799" s="809"/>
      <c r="AB799" s="809"/>
      <c r="AC799" s="809"/>
      <c r="AD799" s="809"/>
      <c r="AE799" s="809"/>
      <c r="AF799" s="809"/>
      <c r="AG799" s="809"/>
      <c r="AH799" s="809"/>
      <c r="AI799" s="809"/>
      <c r="AJ799" s="809"/>
      <c r="AK799" s="809"/>
      <c r="AL799" s="809"/>
      <c r="AM799" s="809"/>
      <c r="AN799" s="809"/>
      <c r="AO799" s="809"/>
      <c r="AP799" s="809"/>
      <c r="AQ799" s="809"/>
      <c r="AR799" s="809"/>
      <c r="AS799" s="809"/>
      <c r="AT799" s="809"/>
      <c r="AU799" s="809"/>
      <c r="AV799" s="809"/>
      <c r="AW799" s="809"/>
      <c r="AX799" s="809"/>
      <c r="AY799" s="809"/>
      <c r="AZ799" s="809"/>
      <c r="BA799" s="809"/>
      <c r="BB799" s="809"/>
      <c r="BC799" s="809"/>
      <c r="BD799" s="809"/>
      <c r="BE799" s="809"/>
      <c r="BF799" s="809"/>
      <c r="BG799" s="809"/>
      <c r="BH799" s="809"/>
      <c r="BI799" s="809"/>
      <c r="BJ799" s="809"/>
      <c r="BK799" s="809"/>
      <c r="BL799" s="809"/>
      <c r="BM799" s="809"/>
      <c r="BN799" s="809"/>
    </row>
    <row r="800" spans="1:66">
      <c r="A800" s="809"/>
      <c r="B800" s="809"/>
      <c r="C800" s="809"/>
      <c r="D800" s="809"/>
      <c r="E800" s="809"/>
      <c r="F800" s="809"/>
      <c r="G800" s="809"/>
      <c r="H800" s="809"/>
      <c r="I800" s="809"/>
      <c r="J800" s="809"/>
      <c r="K800" s="809"/>
      <c r="L800" s="809"/>
      <c r="M800" s="809"/>
      <c r="N800" s="809"/>
      <c r="O800" s="809"/>
      <c r="P800" s="809"/>
      <c r="Q800" s="809"/>
      <c r="R800" s="809"/>
      <c r="S800" s="809"/>
      <c r="T800" s="809"/>
      <c r="U800" s="809"/>
      <c r="V800" s="809"/>
      <c r="W800" s="809"/>
      <c r="X800" s="809"/>
      <c r="Y800" s="809"/>
      <c r="Z800" s="809"/>
      <c r="AA800" s="809"/>
      <c r="AB800" s="809"/>
      <c r="AC800" s="809"/>
      <c r="AD800" s="809"/>
      <c r="AE800" s="809"/>
      <c r="AF800" s="809"/>
      <c r="AG800" s="809"/>
      <c r="AH800" s="809"/>
      <c r="AI800" s="809"/>
      <c r="AJ800" s="809"/>
      <c r="AK800" s="809"/>
      <c r="AL800" s="809"/>
      <c r="AM800" s="809"/>
      <c r="AN800" s="809"/>
      <c r="AO800" s="809"/>
      <c r="AP800" s="809"/>
      <c r="AQ800" s="809"/>
      <c r="AR800" s="809"/>
      <c r="AS800" s="809"/>
      <c r="AT800" s="809"/>
      <c r="AU800" s="809"/>
      <c r="AV800" s="809"/>
      <c r="AW800" s="809"/>
      <c r="AX800" s="809"/>
      <c r="AY800" s="809"/>
      <c r="AZ800" s="809"/>
      <c r="BA800" s="809"/>
      <c r="BB800" s="809"/>
      <c r="BC800" s="809"/>
      <c r="BD800" s="809"/>
      <c r="BE800" s="809"/>
      <c r="BF800" s="809"/>
      <c r="BG800" s="809"/>
      <c r="BH800" s="809"/>
      <c r="BI800" s="809"/>
      <c r="BJ800" s="809"/>
      <c r="BK800" s="809"/>
      <c r="BL800" s="809"/>
      <c r="BM800" s="809"/>
      <c r="BN800" s="809"/>
    </row>
    <row r="801" spans="1:66">
      <c r="A801" s="809"/>
      <c r="B801" s="809"/>
      <c r="C801" s="809"/>
      <c r="D801" s="809"/>
      <c r="E801" s="809"/>
      <c r="F801" s="809"/>
      <c r="G801" s="809"/>
      <c r="H801" s="809"/>
      <c r="I801" s="809"/>
      <c r="J801" s="809"/>
      <c r="K801" s="809"/>
      <c r="L801" s="809"/>
      <c r="M801" s="809"/>
      <c r="N801" s="809"/>
      <c r="O801" s="809"/>
      <c r="P801" s="809"/>
      <c r="Q801" s="809"/>
      <c r="R801" s="809"/>
      <c r="S801" s="809"/>
      <c r="T801" s="809"/>
      <c r="U801" s="809"/>
      <c r="V801" s="809"/>
      <c r="W801" s="809"/>
      <c r="X801" s="809"/>
      <c r="Y801" s="809"/>
      <c r="Z801" s="809"/>
      <c r="AA801" s="809"/>
      <c r="AB801" s="809"/>
      <c r="AC801" s="809"/>
      <c r="AD801" s="809"/>
      <c r="AE801" s="809"/>
      <c r="AF801" s="809"/>
      <c r="AG801" s="809"/>
      <c r="AH801" s="809"/>
      <c r="AI801" s="809"/>
      <c r="AJ801" s="809"/>
      <c r="AK801" s="809"/>
      <c r="AL801" s="809"/>
      <c r="AM801" s="809"/>
      <c r="AN801" s="809"/>
      <c r="AO801" s="809"/>
      <c r="AP801" s="809"/>
      <c r="AQ801" s="809"/>
      <c r="AR801" s="809"/>
      <c r="AS801" s="809"/>
      <c r="AT801" s="809"/>
      <c r="AU801" s="809"/>
      <c r="AV801" s="809"/>
      <c r="AW801" s="809"/>
      <c r="AX801" s="809"/>
      <c r="AY801" s="809"/>
      <c r="AZ801" s="809"/>
      <c r="BA801" s="809"/>
      <c r="BB801" s="809"/>
      <c r="BC801" s="809"/>
      <c r="BD801" s="809"/>
      <c r="BE801" s="809"/>
      <c r="BF801" s="809"/>
      <c r="BG801" s="809"/>
      <c r="BH801" s="809"/>
      <c r="BI801" s="809"/>
      <c r="BJ801" s="809"/>
      <c r="BK801" s="809"/>
      <c r="BL801" s="809"/>
      <c r="BM801" s="809"/>
      <c r="BN801" s="809"/>
    </row>
    <row r="802" spans="1:66">
      <c r="A802" s="809"/>
      <c r="B802" s="809"/>
      <c r="C802" s="809"/>
      <c r="D802" s="809"/>
      <c r="E802" s="809"/>
      <c r="F802" s="809"/>
      <c r="G802" s="809"/>
      <c r="H802" s="809"/>
      <c r="I802" s="809"/>
      <c r="J802" s="809"/>
      <c r="K802" s="809"/>
      <c r="L802" s="809"/>
      <c r="M802" s="809"/>
      <c r="N802" s="809"/>
      <c r="O802" s="809"/>
      <c r="P802" s="809"/>
      <c r="Q802" s="809"/>
      <c r="R802" s="809"/>
      <c r="S802" s="809"/>
      <c r="T802" s="809"/>
      <c r="U802" s="809"/>
      <c r="V802" s="809"/>
      <c r="W802" s="809"/>
      <c r="X802" s="809"/>
      <c r="Y802" s="809"/>
      <c r="Z802" s="809"/>
      <c r="AA802" s="809"/>
      <c r="AB802" s="809"/>
      <c r="AC802" s="809"/>
      <c r="AD802" s="809"/>
      <c r="AE802" s="809"/>
      <c r="AF802" s="809"/>
      <c r="AG802" s="809"/>
      <c r="AH802" s="809"/>
      <c r="AI802" s="809"/>
      <c r="AJ802" s="809"/>
      <c r="AK802" s="809"/>
      <c r="AL802" s="809"/>
      <c r="AM802" s="809"/>
      <c r="AN802" s="809"/>
      <c r="AO802" s="809"/>
      <c r="AP802" s="809"/>
      <c r="AQ802" s="809"/>
      <c r="AR802" s="809"/>
      <c r="AS802" s="809"/>
      <c r="AT802" s="809"/>
      <c r="AU802" s="809"/>
      <c r="AV802" s="809"/>
      <c r="AW802" s="809"/>
      <c r="AX802" s="809"/>
      <c r="AY802" s="809"/>
      <c r="AZ802" s="809"/>
      <c r="BA802" s="809"/>
      <c r="BB802" s="809"/>
      <c r="BC802" s="809"/>
      <c r="BD802" s="809"/>
      <c r="BE802" s="809"/>
      <c r="BF802" s="809"/>
      <c r="BG802" s="809"/>
      <c r="BH802" s="809"/>
      <c r="BI802" s="809"/>
      <c r="BJ802" s="809"/>
      <c r="BK802" s="809"/>
      <c r="BL802" s="809"/>
      <c r="BM802" s="809"/>
      <c r="BN802" s="809"/>
    </row>
    <row r="803" spans="1:66">
      <c r="A803" s="809"/>
      <c r="B803" s="809"/>
      <c r="C803" s="809"/>
      <c r="D803" s="809"/>
      <c r="E803" s="809"/>
      <c r="F803" s="809"/>
      <c r="G803" s="809"/>
      <c r="H803" s="809"/>
      <c r="I803" s="809"/>
      <c r="J803" s="809"/>
      <c r="K803" s="809"/>
      <c r="L803" s="809"/>
      <c r="M803" s="809"/>
      <c r="N803" s="809"/>
      <c r="O803" s="809"/>
      <c r="P803" s="809"/>
      <c r="Q803" s="809"/>
      <c r="R803" s="809"/>
      <c r="S803" s="809"/>
      <c r="T803" s="809"/>
      <c r="U803" s="809"/>
      <c r="V803" s="809"/>
      <c r="W803" s="809"/>
      <c r="X803" s="809"/>
      <c r="Y803" s="809"/>
      <c r="Z803" s="809"/>
      <c r="AA803" s="809"/>
      <c r="AB803" s="809"/>
      <c r="AC803" s="809"/>
      <c r="AD803" s="809"/>
      <c r="AE803" s="809"/>
      <c r="AF803" s="809"/>
      <c r="AG803" s="809"/>
      <c r="AH803" s="809"/>
      <c r="AI803" s="809"/>
      <c r="AJ803" s="809"/>
      <c r="AK803" s="809"/>
      <c r="AL803" s="809"/>
      <c r="AM803" s="809"/>
      <c r="AN803" s="809"/>
      <c r="AO803" s="809"/>
      <c r="AP803" s="809"/>
      <c r="AQ803" s="809"/>
      <c r="AR803" s="809"/>
      <c r="AS803" s="809"/>
      <c r="AT803" s="809"/>
      <c r="AU803" s="809"/>
      <c r="AV803" s="809"/>
      <c r="AW803" s="809"/>
      <c r="AX803" s="809"/>
      <c r="AY803" s="809"/>
      <c r="AZ803" s="809"/>
      <c r="BA803" s="809"/>
      <c r="BB803" s="809"/>
      <c r="BC803" s="809"/>
      <c r="BD803" s="809"/>
      <c r="BE803" s="809"/>
      <c r="BF803" s="809"/>
      <c r="BG803" s="809"/>
      <c r="BH803" s="809"/>
      <c r="BI803" s="809"/>
      <c r="BJ803" s="809"/>
      <c r="BK803" s="809"/>
      <c r="BL803" s="809"/>
      <c r="BM803" s="809"/>
      <c r="BN803" s="809"/>
    </row>
    <row r="804" spans="1:66">
      <c r="A804" s="809"/>
      <c r="B804" s="809"/>
      <c r="C804" s="809"/>
      <c r="D804" s="809"/>
      <c r="E804" s="809"/>
      <c r="F804" s="809"/>
      <c r="G804" s="809"/>
      <c r="H804" s="809"/>
      <c r="I804" s="809"/>
      <c r="J804" s="809"/>
      <c r="K804" s="809"/>
      <c r="L804" s="809"/>
      <c r="M804" s="809"/>
      <c r="N804" s="809"/>
      <c r="O804" s="809"/>
      <c r="P804" s="809"/>
      <c r="Q804" s="809"/>
      <c r="R804" s="809"/>
      <c r="S804" s="809"/>
      <c r="T804" s="809"/>
      <c r="U804" s="809"/>
      <c r="V804" s="809"/>
      <c r="W804" s="809"/>
      <c r="X804" s="809"/>
      <c r="Y804" s="809"/>
      <c r="Z804" s="809"/>
      <c r="AA804" s="809"/>
      <c r="AB804" s="809"/>
      <c r="AC804" s="809"/>
      <c r="AD804" s="809"/>
      <c r="AE804" s="809"/>
      <c r="AF804" s="809"/>
      <c r="AG804" s="809"/>
      <c r="AH804" s="809"/>
      <c r="AI804" s="809"/>
      <c r="AJ804" s="809"/>
      <c r="AK804" s="809"/>
      <c r="AL804" s="809"/>
      <c r="AM804" s="809"/>
      <c r="AN804" s="809"/>
      <c r="AO804" s="809"/>
      <c r="AP804" s="809"/>
      <c r="AQ804" s="809"/>
      <c r="AR804" s="809"/>
      <c r="AS804" s="809"/>
      <c r="AT804" s="809"/>
      <c r="AU804" s="809"/>
      <c r="AV804" s="809"/>
      <c r="AW804" s="809"/>
      <c r="AX804" s="809"/>
      <c r="AY804" s="809"/>
      <c r="AZ804" s="809"/>
      <c r="BA804" s="809"/>
      <c r="BB804" s="809"/>
      <c r="BC804" s="809"/>
      <c r="BD804" s="809"/>
      <c r="BE804" s="809"/>
      <c r="BF804" s="809"/>
      <c r="BG804" s="809"/>
      <c r="BH804" s="809"/>
      <c r="BI804" s="809"/>
      <c r="BJ804" s="809"/>
      <c r="BK804" s="809"/>
      <c r="BL804" s="809"/>
      <c r="BM804" s="809"/>
      <c r="BN804" s="809"/>
    </row>
    <row r="805" spans="1:66">
      <c r="A805" s="809"/>
      <c r="B805" s="809"/>
      <c r="C805" s="809"/>
      <c r="D805" s="809"/>
      <c r="E805" s="809"/>
      <c r="F805" s="809"/>
      <c r="G805" s="809"/>
      <c r="H805" s="809"/>
      <c r="I805" s="809"/>
      <c r="J805" s="809"/>
      <c r="K805" s="809"/>
      <c r="L805" s="809"/>
      <c r="M805" s="809"/>
      <c r="N805" s="809"/>
      <c r="O805" s="809"/>
      <c r="P805" s="809"/>
      <c r="Q805" s="809"/>
      <c r="R805" s="809"/>
      <c r="S805" s="809"/>
      <c r="T805" s="809"/>
      <c r="U805" s="809"/>
      <c r="V805" s="809"/>
      <c r="W805" s="809"/>
      <c r="X805" s="809"/>
      <c r="Y805" s="809"/>
      <c r="Z805" s="809"/>
      <c r="AA805" s="809"/>
      <c r="AB805" s="809"/>
      <c r="AC805" s="809"/>
      <c r="AD805" s="809"/>
      <c r="AE805" s="809"/>
      <c r="AF805" s="809"/>
      <c r="AG805" s="809"/>
      <c r="AH805" s="809"/>
      <c r="AI805" s="809"/>
      <c r="AJ805" s="809"/>
      <c r="AK805" s="809"/>
      <c r="AL805" s="809"/>
      <c r="AM805" s="809"/>
      <c r="AN805" s="809"/>
      <c r="AO805" s="809"/>
      <c r="AP805" s="809"/>
      <c r="AQ805" s="809"/>
      <c r="AR805" s="809"/>
      <c r="AS805" s="809"/>
      <c r="AT805" s="809"/>
      <c r="AU805" s="809"/>
      <c r="AV805" s="809"/>
      <c r="AW805" s="809"/>
      <c r="AX805" s="809"/>
      <c r="AY805" s="809"/>
      <c r="AZ805" s="809"/>
      <c r="BA805" s="809"/>
      <c r="BB805" s="809"/>
      <c r="BC805" s="809"/>
      <c r="BD805" s="809"/>
      <c r="BE805" s="809"/>
      <c r="BF805" s="809"/>
      <c r="BG805" s="809"/>
      <c r="BH805" s="809"/>
      <c r="BI805" s="809"/>
      <c r="BJ805" s="809"/>
      <c r="BK805" s="809"/>
      <c r="BL805" s="809"/>
      <c r="BM805" s="809"/>
      <c r="BN805" s="809"/>
    </row>
    <row r="806" spans="1:66">
      <c r="A806" s="809"/>
      <c r="B806" s="809"/>
      <c r="C806" s="809"/>
      <c r="D806" s="809"/>
      <c r="E806" s="809"/>
      <c r="F806" s="809"/>
      <c r="G806" s="809"/>
      <c r="H806" s="809"/>
      <c r="I806" s="809"/>
      <c r="J806" s="809"/>
      <c r="K806" s="809"/>
      <c r="L806" s="809"/>
      <c r="M806" s="809"/>
      <c r="N806" s="809"/>
      <c r="O806" s="809"/>
      <c r="P806" s="809"/>
      <c r="Q806" s="809"/>
      <c r="R806" s="809"/>
      <c r="S806" s="809"/>
      <c r="T806" s="809"/>
      <c r="U806" s="809"/>
      <c r="V806" s="809"/>
      <c r="W806" s="809"/>
      <c r="X806" s="809"/>
      <c r="Y806" s="809"/>
      <c r="Z806" s="809"/>
      <c r="AA806" s="809"/>
      <c r="AB806" s="809"/>
      <c r="AC806" s="809"/>
      <c r="AD806" s="809"/>
      <c r="AE806" s="809"/>
      <c r="AF806" s="809"/>
      <c r="AG806" s="809"/>
      <c r="AH806" s="809"/>
      <c r="AI806" s="809"/>
      <c r="AJ806" s="809"/>
      <c r="AK806" s="809"/>
      <c r="AL806" s="809"/>
      <c r="AM806" s="809"/>
      <c r="AN806" s="809"/>
      <c r="AO806" s="809"/>
      <c r="AP806" s="809"/>
      <c r="AQ806" s="809"/>
      <c r="AR806" s="809"/>
      <c r="AS806" s="809"/>
      <c r="AT806" s="809"/>
      <c r="AU806" s="809"/>
      <c r="AV806" s="809"/>
      <c r="AW806" s="809"/>
      <c r="AX806" s="809"/>
      <c r="AY806" s="809"/>
      <c r="AZ806" s="809"/>
      <c r="BA806" s="809"/>
      <c r="BB806" s="809"/>
      <c r="BC806" s="809"/>
      <c r="BD806" s="809"/>
      <c r="BE806" s="809"/>
      <c r="BF806" s="809"/>
      <c r="BG806" s="809"/>
      <c r="BH806" s="809"/>
      <c r="BI806" s="809"/>
      <c r="BJ806" s="809"/>
      <c r="BK806" s="809"/>
      <c r="BL806" s="809"/>
      <c r="BM806" s="809"/>
      <c r="BN806" s="809"/>
    </row>
    <row r="807" spans="1:66">
      <c r="A807" s="809"/>
      <c r="B807" s="809"/>
      <c r="C807" s="809"/>
      <c r="D807" s="809"/>
      <c r="E807" s="809"/>
      <c r="F807" s="809"/>
      <c r="G807" s="809"/>
      <c r="H807" s="809"/>
      <c r="I807" s="809"/>
      <c r="J807" s="809"/>
      <c r="K807" s="809"/>
      <c r="L807" s="809"/>
      <c r="M807" s="809"/>
      <c r="N807" s="809"/>
      <c r="O807" s="809"/>
      <c r="P807" s="809"/>
      <c r="Q807" s="809"/>
      <c r="R807" s="809"/>
      <c r="S807" s="809"/>
      <c r="T807" s="809"/>
      <c r="U807" s="809"/>
      <c r="V807" s="809"/>
      <c r="W807" s="809"/>
      <c r="X807" s="809"/>
      <c r="Y807" s="809"/>
      <c r="Z807" s="809"/>
      <c r="AA807" s="809"/>
      <c r="AB807" s="809"/>
      <c r="AC807" s="809"/>
      <c r="AD807" s="809"/>
      <c r="AE807" s="809"/>
      <c r="AF807" s="809"/>
      <c r="AG807" s="809"/>
      <c r="AH807" s="809"/>
      <c r="AI807" s="809"/>
      <c r="AJ807" s="809"/>
      <c r="AK807" s="809"/>
      <c r="AL807" s="809"/>
      <c r="AM807" s="809"/>
      <c r="AN807" s="809"/>
      <c r="AO807" s="809"/>
      <c r="AP807" s="809"/>
      <c r="AQ807" s="809"/>
      <c r="AR807" s="809"/>
      <c r="AS807" s="809"/>
      <c r="AT807" s="809"/>
      <c r="AU807" s="809"/>
      <c r="AV807" s="809"/>
      <c r="AW807" s="809"/>
      <c r="AX807" s="809"/>
      <c r="AY807" s="809"/>
      <c r="AZ807" s="809"/>
      <c r="BA807" s="809"/>
      <c r="BB807" s="809"/>
      <c r="BC807" s="809"/>
      <c r="BD807" s="809"/>
      <c r="BE807" s="809"/>
      <c r="BF807" s="809"/>
      <c r="BG807" s="809"/>
      <c r="BH807" s="809"/>
      <c r="BI807" s="809"/>
      <c r="BJ807" s="809"/>
      <c r="BK807" s="809"/>
      <c r="BL807" s="809"/>
      <c r="BM807" s="809"/>
      <c r="BN807" s="809"/>
    </row>
    <row r="808" spans="1:66">
      <c r="A808" s="809"/>
      <c r="B808" s="809"/>
      <c r="C808" s="809"/>
      <c r="D808" s="809"/>
      <c r="E808" s="809"/>
      <c r="F808" s="809"/>
      <c r="G808" s="809"/>
      <c r="H808" s="809"/>
      <c r="I808" s="809"/>
      <c r="J808" s="809"/>
      <c r="K808" s="809"/>
      <c r="L808" s="809"/>
      <c r="M808" s="809"/>
      <c r="N808" s="809"/>
      <c r="O808" s="809"/>
      <c r="P808" s="809"/>
      <c r="Q808" s="809"/>
      <c r="R808" s="809"/>
      <c r="S808" s="809"/>
      <c r="T808" s="809"/>
      <c r="U808" s="809"/>
      <c r="V808" s="809"/>
      <c r="W808" s="809"/>
      <c r="X808" s="809"/>
      <c r="Y808" s="809"/>
      <c r="Z808" s="809"/>
      <c r="AA808" s="809"/>
      <c r="AB808" s="809"/>
      <c r="AC808" s="809"/>
      <c r="AD808" s="809"/>
      <c r="AE808" s="809"/>
      <c r="AF808" s="809"/>
      <c r="AG808" s="809"/>
      <c r="AH808" s="809"/>
      <c r="AI808" s="809"/>
      <c r="AJ808" s="809"/>
      <c r="AK808" s="809"/>
      <c r="AL808" s="809"/>
      <c r="AM808" s="809"/>
      <c r="AN808" s="809"/>
      <c r="AO808" s="809"/>
      <c r="AP808" s="809"/>
      <c r="AQ808" s="809"/>
      <c r="AR808" s="809"/>
      <c r="AS808" s="809"/>
      <c r="AT808" s="809"/>
      <c r="AU808" s="809"/>
      <c r="AV808" s="809"/>
      <c r="AW808" s="809"/>
      <c r="AX808" s="809"/>
      <c r="AY808" s="809"/>
      <c r="AZ808" s="809"/>
      <c r="BA808" s="809"/>
      <c r="BB808" s="809"/>
      <c r="BC808" s="809"/>
      <c r="BD808" s="809"/>
      <c r="BE808" s="809"/>
      <c r="BF808" s="809"/>
      <c r="BG808" s="809"/>
      <c r="BH808" s="809"/>
      <c r="BI808" s="809"/>
      <c r="BJ808" s="809"/>
      <c r="BK808" s="809"/>
      <c r="BL808" s="809"/>
      <c r="BM808" s="809"/>
      <c r="BN808" s="809"/>
    </row>
    <row r="809" spans="1:66">
      <c r="A809" s="809"/>
      <c r="B809" s="809"/>
      <c r="C809" s="809"/>
      <c r="D809" s="809"/>
      <c r="E809" s="809"/>
      <c r="F809" s="809"/>
      <c r="G809" s="809"/>
      <c r="H809" s="809"/>
      <c r="I809" s="809"/>
      <c r="J809" s="809"/>
      <c r="K809" s="809"/>
      <c r="L809" s="809"/>
      <c r="M809" s="809"/>
      <c r="N809" s="809"/>
      <c r="O809" s="809"/>
      <c r="P809" s="809"/>
      <c r="Q809" s="809"/>
      <c r="R809" s="809"/>
      <c r="S809" s="809"/>
      <c r="T809" s="809"/>
      <c r="U809" s="809"/>
      <c r="V809" s="809"/>
      <c r="W809" s="809"/>
      <c r="X809" s="809"/>
      <c r="Y809" s="809"/>
      <c r="Z809" s="809"/>
      <c r="AA809" s="809"/>
      <c r="AB809" s="809"/>
      <c r="AC809" s="809"/>
      <c r="AD809" s="809"/>
      <c r="AE809" s="809"/>
      <c r="AF809" s="809"/>
      <c r="AG809" s="809"/>
      <c r="AH809" s="809"/>
      <c r="AI809" s="809"/>
      <c r="AJ809" s="809"/>
      <c r="AK809" s="809"/>
      <c r="AL809" s="809"/>
      <c r="AM809" s="809"/>
      <c r="AN809" s="809"/>
      <c r="AO809" s="809"/>
      <c r="AP809" s="809"/>
      <c r="AQ809" s="809"/>
      <c r="AR809" s="809"/>
      <c r="AS809" s="809"/>
      <c r="AT809" s="809"/>
      <c r="AU809" s="809"/>
      <c r="AV809" s="809"/>
      <c r="AW809" s="809"/>
      <c r="AX809" s="809"/>
      <c r="AY809" s="809"/>
      <c r="AZ809" s="809"/>
      <c r="BA809" s="809"/>
      <c r="BB809" s="809"/>
      <c r="BC809" s="809"/>
      <c r="BD809" s="809"/>
      <c r="BE809" s="809"/>
      <c r="BF809" s="809"/>
      <c r="BG809" s="809"/>
      <c r="BH809" s="809"/>
      <c r="BI809" s="809"/>
      <c r="BJ809" s="809"/>
      <c r="BK809" s="809"/>
      <c r="BL809" s="809"/>
      <c r="BM809" s="809"/>
      <c r="BN809" s="809"/>
    </row>
    <row r="810" spans="1:66">
      <c r="A810" s="809"/>
      <c r="B810" s="809"/>
      <c r="C810" s="809"/>
      <c r="D810" s="809"/>
      <c r="E810" s="809"/>
      <c r="F810" s="809"/>
      <c r="G810" s="809"/>
      <c r="H810" s="809"/>
      <c r="I810" s="809"/>
      <c r="J810" s="809"/>
      <c r="K810" s="809"/>
      <c r="L810" s="809"/>
      <c r="M810" s="809"/>
      <c r="N810" s="809"/>
      <c r="O810" s="809"/>
      <c r="P810" s="809"/>
      <c r="Q810" s="809"/>
      <c r="R810" s="809"/>
      <c r="S810" s="809"/>
      <c r="T810" s="809"/>
      <c r="U810" s="809"/>
      <c r="V810" s="809"/>
      <c r="W810" s="809"/>
      <c r="X810" s="809"/>
      <c r="Y810" s="809"/>
      <c r="Z810" s="809"/>
      <c r="AA810" s="809"/>
      <c r="AB810" s="809"/>
      <c r="AC810" s="809"/>
      <c r="AD810" s="809"/>
      <c r="AE810" s="809"/>
      <c r="AF810" s="809"/>
      <c r="AG810" s="809"/>
      <c r="AH810" s="809"/>
      <c r="AI810" s="809"/>
      <c r="AJ810" s="809"/>
      <c r="AK810" s="809"/>
      <c r="AL810" s="809"/>
      <c r="AM810" s="809"/>
      <c r="AN810" s="809"/>
      <c r="AO810" s="809"/>
      <c r="AP810" s="809"/>
      <c r="AQ810" s="809"/>
      <c r="AR810" s="809"/>
      <c r="AS810" s="809"/>
      <c r="AT810" s="809"/>
      <c r="AU810" s="809"/>
      <c r="AV810" s="809"/>
      <c r="AW810" s="809"/>
      <c r="AX810" s="809"/>
      <c r="AY810" s="809"/>
      <c r="AZ810" s="809"/>
      <c r="BA810" s="809"/>
      <c r="BB810" s="809"/>
      <c r="BC810" s="809"/>
      <c r="BD810" s="809"/>
      <c r="BE810" s="809"/>
      <c r="BF810" s="809"/>
      <c r="BG810" s="809"/>
      <c r="BH810" s="809"/>
      <c r="BI810" s="809"/>
      <c r="BJ810" s="809"/>
      <c r="BK810" s="809"/>
      <c r="BL810" s="809"/>
      <c r="BM810" s="809"/>
      <c r="BN810" s="809"/>
    </row>
    <row r="811" spans="1:66">
      <c r="A811" s="809"/>
      <c r="B811" s="809"/>
      <c r="C811" s="809"/>
      <c r="D811" s="809"/>
      <c r="E811" s="809"/>
      <c r="F811" s="809"/>
      <c r="G811" s="809"/>
      <c r="H811" s="809"/>
      <c r="I811" s="809"/>
      <c r="J811" s="809"/>
      <c r="K811" s="809"/>
      <c r="L811" s="809"/>
      <c r="M811" s="809"/>
      <c r="N811" s="809"/>
      <c r="O811" s="809"/>
      <c r="P811" s="809"/>
      <c r="Q811" s="809"/>
      <c r="R811" s="809"/>
      <c r="S811" s="809"/>
      <c r="T811" s="809"/>
      <c r="U811" s="809"/>
      <c r="V811" s="809"/>
      <c r="W811" s="809"/>
      <c r="X811" s="809"/>
      <c r="Y811" s="809"/>
      <c r="Z811" s="809"/>
      <c r="AA811" s="809"/>
      <c r="AB811" s="809"/>
      <c r="AC811" s="809"/>
      <c r="AD811" s="809"/>
      <c r="AE811" s="809"/>
      <c r="AF811" s="809"/>
      <c r="AG811" s="809"/>
      <c r="AH811" s="809"/>
      <c r="AI811" s="809"/>
      <c r="AJ811" s="809"/>
      <c r="AK811" s="809"/>
      <c r="AL811" s="809"/>
      <c r="AM811" s="809"/>
      <c r="AN811" s="809"/>
      <c r="AO811" s="809"/>
      <c r="AP811" s="809"/>
      <c r="AQ811" s="809"/>
      <c r="AR811" s="809"/>
      <c r="AS811" s="809"/>
      <c r="AT811" s="809"/>
      <c r="AU811" s="809"/>
      <c r="AV811" s="809"/>
      <c r="AW811" s="809"/>
      <c r="AX811" s="809"/>
      <c r="AY811" s="809"/>
      <c r="AZ811" s="809"/>
      <c r="BA811" s="809"/>
      <c r="BB811" s="809"/>
      <c r="BC811" s="809"/>
      <c r="BD811" s="809"/>
      <c r="BE811" s="809"/>
      <c r="BF811" s="809"/>
      <c r="BG811" s="809"/>
      <c r="BH811" s="809"/>
      <c r="BI811" s="809"/>
      <c r="BJ811" s="809"/>
      <c r="BK811" s="809"/>
      <c r="BL811" s="809"/>
      <c r="BM811" s="809"/>
      <c r="BN811" s="809"/>
    </row>
    <row r="812" spans="1:66">
      <c r="A812" s="809"/>
      <c r="B812" s="809"/>
      <c r="C812" s="809"/>
      <c r="D812" s="809"/>
      <c r="E812" s="809"/>
      <c r="F812" s="809"/>
      <c r="G812" s="809"/>
      <c r="H812" s="809"/>
      <c r="I812" s="809"/>
      <c r="J812" s="809"/>
      <c r="K812" s="809"/>
      <c r="L812" s="809"/>
      <c r="M812" s="809"/>
      <c r="N812" s="809"/>
      <c r="O812" s="809"/>
      <c r="P812" s="809"/>
      <c r="Q812" s="809"/>
      <c r="R812" s="809"/>
      <c r="S812" s="809"/>
      <c r="T812" s="809"/>
      <c r="U812" s="809"/>
      <c r="V812" s="809"/>
      <c r="W812" s="809"/>
      <c r="X812" s="809"/>
      <c r="Y812" s="809"/>
      <c r="Z812" s="809"/>
      <c r="AA812" s="809"/>
      <c r="AB812" s="809"/>
      <c r="AC812" s="809"/>
      <c r="AD812" s="809"/>
      <c r="AE812" s="809"/>
      <c r="AF812" s="809"/>
      <c r="AG812" s="809"/>
      <c r="AH812" s="809"/>
      <c r="AI812" s="809"/>
      <c r="AJ812" s="809"/>
      <c r="AK812" s="809"/>
      <c r="AL812" s="809"/>
      <c r="AM812" s="809"/>
      <c r="AN812" s="809"/>
      <c r="AO812" s="809"/>
      <c r="AP812" s="809"/>
      <c r="AQ812" s="809"/>
      <c r="AR812" s="809"/>
      <c r="AS812" s="809"/>
      <c r="AT812" s="809"/>
      <c r="AU812" s="809"/>
      <c r="AV812" s="809"/>
      <c r="AW812" s="809"/>
      <c r="AX812" s="809"/>
      <c r="AY812" s="809"/>
      <c r="AZ812" s="809"/>
      <c r="BA812" s="809"/>
      <c r="BB812" s="809"/>
      <c r="BC812" s="809"/>
      <c r="BD812" s="809"/>
      <c r="BE812" s="809"/>
      <c r="BF812" s="809"/>
      <c r="BG812" s="809"/>
      <c r="BH812" s="809"/>
      <c r="BI812" s="809"/>
      <c r="BJ812" s="809"/>
      <c r="BK812" s="809"/>
      <c r="BL812" s="809"/>
      <c r="BM812" s="809"/>
      <c r="BN812" s="809"/>
    </row>
    <row r="813" spans="1:66">
      <c r="A813" s="809"/>
      <c r="B813" s="809"/>
      <c r="C813" s="809"/>
      <c r="D813" s="809"/>
      <c r="E813" s="809"/>
      <c r="F813" s="809"/>
      <c r="G813" s="809"/>
      <c r="H813" s="809"/>
      <c r="I813" s="809"/>
      <c r="J813" s="809"/>
      <c r="K813" s="809"/>
      <c r="L813" s="809"/>
      <c r="M813" s="809"/>
      <c r="N813" s="809"/>
      <c r="O813" s="809"/>
      <c r="P813" s="809"/>
      <c r="Q813" s="809"/>
      <c r="R813" s="809"/>
      <c r="S813" s="809"/>
      <c r="T813" s="809"/>
      <c r="U813" s="809"/>
      <c r="V813" s="809"/>
      <c r="W813" s="809"/>
      <c r="X813" s="809"/>
      <c r="Y813" s="809"/>
      <c r="Z813" s="809"/>
      <c r="AA813" s="809"/>
      <c r="AB813" s="809"/>
      <c r="AC813" s="809"/>
      <c r="AD813" s="809"/>
      <c r="AE813" s="809"/>
      <c r="AF813" s="809"/>
      <c r="AG813" s="809"/>
      <c r="AH813" s="809"/>
      <c r="AI813" s="809"/>
      <c r="AJ813" s="809"/>
      <c r="AK813" s="809"/>
      <c r="AL813" s="809"/>
      <c r="AM813" s="809"/>
      <c r="AN813" s="809"/>
      <c r="AO813" s="809"/>
      <c r="AP813" s="809"/>
      <c r="AQ813" s="809"/>
      <c r="AR813" s="809"/>
      <c r="AS813" s="809"/>
      <c r="AT813" s="809"/>
      <c r="AU813" s="809"/>
      <c r="AV813" s="809"/>
      <c r="AW813" s="809"/>
      <c r="AX813" s="809"/>
      <c r="AY813" s="809"/>
      <c r="AZ813" s="809"/>
      <c r="BA813" s="809"/>
      <c r="BB813" s="809"/>
      <c r="BC813" s="809"/>
      <c r="BD813" s="809"/>
      <c r="BE813" s="809"/>
      <c r="BF813" s="809"/>
      <c r="BG813" s="809"/>
      <c r="BH813" s="809"/>
      <c r="BI813" s="809"/>
      <c r="BJ813" s="809"/>
      <c r="BK813" s="809"/>
      <c r="BL813" s="809"/>
      <c r="BM813" s="809"/>
      <c r="BN813" s="809"/>
    </row>
    <row r="814" spans="1:66">
      <c r="A814" s="809"/>
      <c r="B814" s="809"/>
      <c r="C814" s="809"/>
      <c r="D814" s="809"/>
      <c r="E814" s="809"/>
      <c r="F814" s="809"/>
      <c r="G814" s="809"/>
      <c r="H814" s="809"/>
      <c r="I814" s="809"/>
      <c r="J814" s="809"/>
      <c r="K814" s="809"/>
      <c r="L814" s="809"/>
      <c r="M814" s="809"/>
      <c r="N814" s="809"/>
      <c r="O814" s="809"/>
      <c r="P814" s="809"/>
      <c r="Q814" s="809"/>
      <c r="R814" s="809"/>
      <c r="S814" s="809"/>
      <c r="T814" s="809"/>
      <c r="U814" s="809"/>
      <c r="V814" s="809"/>
      <c r="W814" s="809"/>
      <c r="X814" s="809"/>
      <c r="Y814" s="809"/>
      <c r="Z814" s="809"/>
      <c r="AA814" s="809"/>
      <c r="AB814" s="809"/>
      <c r="AC814" s="809"/>
      <c r="AD814" s="809"/>
      <c r="AE814" s="809"/>
      <c r="AF814" s="809"/>
      <c r="AG814" s="809"/>
      <c r="AH814" s="809"/>
      <c r="AI814" s="809"/>
      <c r="AJ814" s="809"/>
      <c r="AK814" s="809"/>
      <c r="AL814" s="809"/>
      <c r="AM814" s="809"/>
      <c r="AN814" s="809"/>
      <c r="AO814" s="809"/>
      <c r="AP814" s="809"/>
      <c r="AQ814" s="809"/>
      <c r="AR814" s="809"/>
      <c r="AS814" s="809"/>
      <c r="AT814" s="809"/>
      <c r="AU814" s="809"/>
      <c r="AV814" s="809"/>
      <c r="AW814" s="809"/>
      <c r="AX814" s="809"/>
      <c r="AY814" s="809"/>
      <c r="AZ814" s="809"/>
      <c r="BA814" s="809"/>
      <c r="BB814" s="809"/>
      <c r="BC814" s="809"/>
      <c r="BD814" s="809"/>
      <c r="BE814" s="809"/>
      <c r="BF814" s="809"/>
      <c r="BG814" s="809"/>
      <c r="BH814" s="809"/>
      <c r="BI814" s="809"/>
      <c r="BJ814" s="809"/>
      <c r="BK814" s="809"/>
      <c r="BL814" s="809"/>
      <c r="BM814" s="809"/>
      <c r="BN814" s="809"/>
    </row>
    <row r="815" spans="1:66">
      <c r="A815" s="809"/>
      <c r="B815" s="809"/>
      <c r="C815" s="809"/>
      <c r="D815" s="809"/>
      <c r="E815" s="809"/>
      <c r="F815" s="809"/>
      <c r="G815" s="809"/>
      <c r="H815" s="809"/>
      <c r="I815" s="809"/>
      <c r="J815" s="809"/>
      <c r="K815" s="809"/>
      <c r="L815" s="809"/>
      <c r="M815" s="809"/>
      <c r="N815" s="809"/>
      <c r="O815" s="809"/>
      <c r="P815" s="809"/>
      <c r="Q815" s="809"/>
      <c r="R815" s="809"/>
      <c r="S815" s="809"/>
      <c r="T815" s="809"/>
      <c r="U815" s="809"/>
      <c r="V815" s="809"/>
      <c r="W815" s="809"/>
      <c r="X815" s="809"/>
      <c r="Y815" s="809"/>
      <c r="Z815" s="809"/>
      <c r="AA815" s="809"/>
      <c r="AB815" s="809"/>
      <c r="AC815" s="809"/>
      <c r="AD815" s="809"/>
      <c r="AE815" s="809"/>
      <c r="AF815" s="809"/>
      <c r="AG815" s="809"/>
      <c r="AH815" s="809"/>
      <c r="AI815" s="809"/>
      <c r="AJ815" s="809"/>
      <c r="AK815" s="809"/>
      <c r="AL815" s="809"/>
      <c r="AM815" s="809"/>
      <c r="AN815" s="809"/>
      <c r="AO815" s="809"/>
      <c r="AP815" s="809"/>
      <c r="AQ815" s="809"/>
      <c r="AR815" s="809"/>
      <c r="AS815" s="809"/>
      <c r="AT815" s="809"/>
      <c r="AU815" s="809"/>
      <c r="AV815" s="809"/>
      <c r="AW815" s="809"/>
      <c r="AX815" s="809"/>
      <c r="AY815" s="809"/>
      <c r="AZ815" s="809"/>
      <c r="BA815" s="809"/>
      <c r="BB815" s="809"/>
      <c r="BC815" s="809"/>
      <c r="BD815" s="809"/>
      <c r="BE815" s="809"/>
      <c r="BF815" s="809"/>
      <c r="BG815" s="809"/>
      <c r="BH815" s="809"/>
      <c r="BI815" s="809"/>
      <c r="BJ815" s="809"/>
      <c r="BK815" s="809"/>
      <c r="BL815" s="809"/>
      <c r="BM815" s="809"/>
      <c r="BN815" s="809"/>
    </row>
    <row r="816" spans="1:66">
      <c r="A816" s="809"/>
      <c r="B816" s="809"/>
      <c r="C816" s="809"/>
      <c r="D816" s="809"/>
      <c r="E816" s="809"/>
      <c r="F816" s="809"/>
      <c r="G816" s="809"/>
      <c r="H816" s="809"/>
      <c r="I816" s="809"/>
      <c r="J816" s="809"/>
      <c r="K816" s="809"/>
      <c r="L816" s="809"/>
      <c r="M816" s="809"/>
      <c r="N816" s="809"/>
      <c r="O816" s="809"/>
      <c r="P816" s="809"/>
      <c r="Q816" s="809"/>
      <c r="R816" s="809"/>
      <c r="S816" s="809"/>
      <c r="T816" s="809"/>
      <c r="U816" s="809"/>
      <c r="V816" s="809"/>
      <c r="W816" s="809"/>
      <c r="X816" s="809"/>
      <c r="Y816" s="809"/>
      <c r="Z816" s="809"/>
      <c r="AA816" s="809"/>
      <c r="AB816" s="809"/>
      <c r="AC816" s="809"/>
      <c r="AD816" s="809"/>
      <c r="AE816" s="809"/>
      <c r="AF816" s="809"/>
      <c r="AG816" s="809"/>
      <c r="AH816" s="809"/>
      <c r="AI816" s="809"/>
      <c r="AJ816" s="809"/>
      <c r="AK816" s="809"/>
      <c r="AL816" s="809"/>
      <c r="AM816" s="809"/>
      <c r="AN816" s="809"/>
      <c r="AO816" s="809"/>
      <c r="AP816" s="809"/>
      <c r="AQ816" s="809"/>
      <c r="AR816" s="809"/>
      <c r="AS816" s="809"/>
      <c r="AT816" s="809"/>
      <c r="AU816" s="809"/>
      <c r="AV816" s="809"/>
      <c r="AW816" s="809"/>
      <c r="AX816" s="809"/>
      <c r="AY816" s="809"/>
      <c r="AZ816" s="809"/>
      <c r="BA816" s="809"/>
      <c r="BB816" s="809"/>
      <c r="BC816" s="809"/>
      <c r="BD816" s="809"/>
      <c r="BE816" s="809"/>
      <c r="BF816" s="809"/>
      <c r="BG816" s="809"/>
      <c r="BH816" s="809"/>
      <c r="BI816" s="809"/>
      <c r="BJ816" s="809"/>
      <c r="BK816" s="809"/>
      <c r="BL816" s="809"/>
      <c r="BM816" s="809"/>
      <c r="BN816" s="809"/>
    </row>
    <row r="817" spans="1:66">
      <c r="A817" s="809"/>
      <c r="B817" s="809"/>
      <c r="C817" s="809"/>
      <c r="D817" s="809"/>
      <c r="E817" s="809"/>
      <c r="F817" s="809"/>
      <c r="G817" s="809"/>
      <c r="H817" s="809"/>
      <c r="I817" s="809"/>
      <c r="J817" s="809"/>
      <c r="K817" s="809"/>
      <c r="L817" s="809"/>
      <c r="M817" s="809"/>
      <c r="N817" s="809"/>
      <c r="O817" s="809"/>
      <c r="P817" s="809"/>
      <c r="Q817" s="809"/>
      <c r="R817" s="809"/>
      <c r="S817" s="809"/>
      <c r="T817" s="809"/>
      <c r="U817" s="809"/>
      <c r="V817" s="809"/>
      <c r="W817" s="809"/>
      <c r="X817" s="809"/>
      <c r="Y817" s="809"/>
      <c r="Z817" s="809"/>
      <c r="AA817" s="809"/>
      <c r="AB817" s="809"/>
      <c r="AC817" s="809"/>
      <c r="AD817" s="809"/>
      <c r="AE817" s="809"/>
      <c r="AF817" s="809"/>
      <c r="AG817" s="809"/>
      <c r="AH817" s="809"/>
      <c r="AI817" s="809"/>
      <c r="AJ817" s="809"/>
      <c r="AK817" s="809"/>
      <c r="AL817" s="809"/>
      <c r="AM817" s="809"/>
      <c r="AN817" s="809"/>
      <c r="AO817" s="809"/>
      <c r="AP817" s="809"/>
      <c r="AQ817" s="809"/>
      <c r="AR817" s="809"/>
      <c r="AS817" s="809"/>
      <c r="AT817" s="809"/>
      <c r="AU817" s="809"/>
      <c r="AV817" s="809"/>
      <c r="AW817" s="809"/>
      <c r="AX817" s="809"/>
      <c r="AY817" s="809"/>
      <c r="AZ817" s="809"/>
      <c r="BA817" s="809"/>
      <c r="BB817" s="809"/>
      <c r="BC817" s="809"/>
      <c r="BD817" s="809"/>
      <c r="BE817" s="809"/>
      <c r="BF817" s="809"/>
      <c r="BG817" s="809"/>
      <c r="BH817" s="809"/>
      <c r="BI817" s="809"/>
      <c r="BJ817" s="809"/>
      <c r="BK817" s="809"/>
      <c r="BL817" s="809"/>
      <c r="BM817" s="809"/>
      <c r="BN817" s="809"/>
    </row>
    <row r="818" spans="1:66">
      <c r="A818" s="809"/>
      <c r="B818" s="809"/>
      <c r="C818" s="809"/>
      <c r="D818" s="809"/>
      <c r="E818" s="809"/>
      <c r="F818" s="809"/>
      <c r="G818" s="809"/>
      <c r="H818" s="809"/>
      <c r="I818" s="809"/>
      <c r="J818" s="809"/>
      <c r="K818" s="809"/>
      <c r="L818" s="809"/>
      <c r="M818" s="809"/>
      <c r="N818" s="809"/>
      <c r="O818" s="809"/>
      <c r="P818" s="809"/>
      <c r="Q818" s="809"/>
      <c r="R818" s="809"/>
      <c r="S818" s="809"/>
      <c r="T818" s="809"/>
      <c r="U818" s="809"/>
      <c r="V818" s="809"/>
      <c r="W818" s="809"/>
      <c r="X818" s="809"/>
      <c r="Y818" s="809"/>
      <c r="Z818" s="809"/>
      <c r="AA818" s="809"/>
      <c r="AB818" s="809"/>
      <c r="AC818" s="809"/>
      <c r="AD818" s="809"/>
      <c r="AE818" s="809"/>
      <c r="AF818" s="809"/>
      <c r="AG818" s="809"/>
      <c r="AH818" s="809"/>
      <c r="AI818" s="809"/>
      <c r="AJ818" s="809"/>
      <c r="AK818" s="809"/>
      <c r="AL818" s="809"/>
      <c r="AM818" s="809"/>
      <c r="AN818" s="809"/>
      <c r="AO818" s="809"/>
      <c r="AP818" s="809"/>
      <c r="AQ818" s="809"/>
      <c r="AR818" s="809"/>
      <c r="AS818" s="809"/>
      <c r="AT818" s="809"/>
      <c r="AU818" s="809"/>
      <c r="AV818" s="809"/>
      <c r="AW818" s="809"/>
      <c r="AX818" s="809"/>
      <c r="AY818" s="809"/>
      <c r="AZ818" s="809"/>
      <c r="BA818" s="809"/>
      <c r="BB818" s="809"/>
      <c r="BC818" s="809"/>
      <c r="BD818" s="809"/>
      <c r="BE818" s="809"/>
      <c r="BF818" s="809"/>
      <c r="BG818" s="809"/>
      <c r="BH818" s="809"/>
      <c r="BI818" s="809"/>
      <c r="BJ818" s="809"/>
      <c r="BK818" s="809"/>
      <c r="BL818" s="809"/>
      <c r="BM818" s="809"/>
      <c r="BN818" s="809"/>
    </row>
    <row r="819" spans="1:66">
      <c r="A819" s="809"/>
      <c r="B819" s="809"/>
      <c r="C819" s="809"/>
      <c r="D819" s="809"/>
      <c r="E819" s="809"/>
      <c r="F819" s="809"/>
      <c r="G819" s="809"/>
      <c r="H819" s="809"/>
      <c r="I819" s="809"/>
      <c r="J819" s="809"/>
      <c r="K819" s="809"/>
      <c r="L819" s="809"/>
      <c r="M819" s="809"/>
      <c r="N819" s="809"/>
      <c r="O819" s="809"/>
      <c r="P819" s="809"/>
      <c r="Q819" s="809"/>
      <c r="R819" s="809"/>
      <c r="S819" s="809"/>
      <c r="T819" s="809"/>
      <c r="U819" s="809"/>
      <c r="V819" s="809"/>
      <c r="W819" s="809"/>
      <c r="X819" s="809"/>
      <c r="Y819" s="809"/>
      <c r="Z819" s="809"/>
      <c r="AA819" s="809"/>
      <c r="AB819" s="809"/>
      <c r="AC819" s="809"/>
      <c r="AD819" s="809"/>
      <c r="AE819" s="809"/>
      <c r="AF819" s="809"/>
      <c r="AG819" s="809"/>
      <c r="AH819" s="809"/>
      <c r="AI819" s="809"/>
      <c r="AJ819" s="809"/>
      <c r="AK819" s="809"/>
      <c r="AL819" s="809"/>
      <c r="AM819" s="809"/>
      <c r="AN819" s="809"/>
      <c r="AO819" s="809"/>
      <c r="AP819" s="809"/>
      <c r="AQ819" s="809"/>
      <c r="AR819" s="809"/>
      <c r="AS819" s="809"/>
      <c r="AT819" s="809"/>
      <c r="AU819" s="809"/>
      <c r="AV819" s="809"/>
      <c r="AW819" s="809"/>
      <c r="AX819" s="809"/>
      <c r="AY819" s="809"/>
      <c r="AZ819" s="809"/>
      <c r="BA819" s="809"/>
      <c r="BB819" s="809"/>
      <c r="BC819" s="809"/>
      <c r="BD819" s="809"/>
      <c r="BE819" s="809"/>
      <c r="BF819" s="809"/>
      <c r="BG819" s="809"/>
      <c r="BH819" s="809"/>
      <c r="BI819" s="809"/>
      <c r="BJ819" s="809"/>
      <c r="BK819" s="809"/>
      <c r="BL819" s="809"/>
      <c r="BM819" s="809"/>
      <c r="BN819" s="809"/>
    </row>
    <row r="820" spans="1:66">
      <c r="A820" s="809"/>
      <c r="B820" s="809"/>
      <c r="C820" s="809"/>
      <c r="D820" s="809"/>
      <c r="E820" s="809"/>
      <c r="F820" s="809"/>
      <c r="G820" s="809"/>
      <c r="H820" s="809"/>
      <c r="I820" s="809"/>
      <c r="J820" s="809"/>
      <c r="K820" s="809"/>
      <c r="L820" s="809"/>
      <c r="M820" s="809"/>
      <c r="N820" s="809"/>
      <c r="O820" s="809"/>
      <c r="P820" s="809"/>
      <c r="Q820" s="809"/>
      <c r="R820" s="809"/>
      <c r="S820" s="809"/>
      <c r="T820" s="809"/>
      <c r="U820" s="809"/>
      <c r="V820" s="809"/>
      <c r="W820" s="809"/>
      <c r="X820" s="809"/>
      <c r="Y820" s="809"/>
      <c r="Z820" s="809"/>
      <c r="AA820" s="809"/>
      <c r="AB820" s="809"/>
      <c r="AC820" s="809"/>
      <c r="AD820" s="809"/>
      <c r="AE820" s="809"/>
      <c r="AF820" s="809"/>
      <c r="AG820" s="809"/>
      <c r="AH820" s="809"/>
      <c r="AI820" s="809"/>
      <c r="AJ820" s="809"/>
      <c r="AK820" s="809"/>
      <c r="AL820" s="809"/>
      <c r="AM820" s="809"/>
      <c r="AN820" s="809"/>
      <c r="AO820" s="809"/>
      <c r="AP820" s="809"/>
      <c r="AQ820" s="809"/>
      <c r="AR820" s="809"/>
      <c r="AS820" s="809"/>
      <c r="AT820" s="809"/>
      <c r="AU820" s="809"/>
      <c r="AV820" s="809"/>
      <c r="AW820" s="809"/>
      <c r="AX820" s="809"/>
      <c r="AY820" s="809"/>
      <c r="AZ820" s="809"/>
      <c r="BA820" s="809"/>
      <c r="BB820" s="809"/>
      <c r="BC820" s="809"/>
      <c r="BD820" s="809"/>
      <c r="BE820" s="809"/>
      <c r="BF820" s="809"/>
      <c r="BG820" s="809"/>
      <c r="BH820" s="809"/>
      <c r="BI820" s="809"/>
      <c r="BJ820" s="809"/>
      <c r="BK820" s="809"/>
      <c r="BL820" s="809"/>
      <c r="BM820" s="809"/>
      <c r="BN820" s="809"/>
    </row>
    <row r="821" spans="1:66">
      <c r="A821" s="809"/>
      <c r="B821" s="809"/>
      <c r="C821" s="809"/>
      <c r="D821" s="809"/>
      <c r="E821" s="809"/>
      <c r="F821" s="809"/>
      <c r="G821" s="809"/>
      <c r="H821" s="809"/>
      <c r="I821" s="809"/>
      <c r="J821" s="809"/>
      <c r="K821" s="809"/>
      <c r="L821" s="809"/>
      <c r="M821" s="809"/>
      <c r="N821" s="809"/>
      <c r="O821" s="809"/>
      <c r="P821" s="809"/>
      <c r="Q821" s="809"/>
      <c r="R821" s="809"/>
      <c r="S821" s="809"/>
      <c r="T821" s="809"/>
      <c r="U821" s="809"/>
      <c r="V821" s="809"/>
      <c r="W821" s="809"/>
      <c r="X821" s="809"/>
      <c r="Y821" s="809"/>
      <c r="Z821" s="809"/>
      <c r="AA821" s="809"/>
      <c r="AB821" s="809"/>
      <c r="AC821" s="809"/>
      <c r="AD821" s="809"/>
      <c r="AE821" s="809"/>
      <c r="AF821" s="809"/>
      <c r="AG821" s="809"/>
      <c r="AH821" s="809"/>
      <c r="AI821" s="809"/>
      <c r="AJ821" s="809"/>
      <c r="AK821" s="809"/>
      <c r="AL821" s="809"/>
      <c r="AM821" s="809"/>
      <c r="AN821" s="809"/>
      <c r="AO821" s="809"/>
      <c r="AP821" s="809"/>
      <c r="AQ821" s="809"/>
      <c r="AR821" s="809"/>
      <c r="AS821" s="809"/>
      <c r="AT821" s="809"/>
      <c r="AU821" s="809"/>
      <c r="AV821" s="809"/>
      <c r="AW821" s="809"/>
      <c r="AX821" s="809"/>
      <c r="AY821" s="809"/>
      <c r="AZ821" s="809"/>
      <c r="BA821" s="809"/>
      <c r="BB821" s="809"/>
      <c r="BC821" s="809"/>
      <c r="BD821" s="809"/>
      <c r="BE821" s="809"/>
      <c r="BF821" s="809"/>
      <c r="BG821" s="809"/>
      <c r="BH821" s="809"/>
      <c r="BI821" s="809"/>
      <c r="BJ821" s="809"/>
      <c r="BK821" s="809"/>
      <c r="BL821" s="809"/>
      <c r="BM821" s="809"/>
      <c r="BN821" s="809"/>
    </row>
    <row r="822" spans="1:66">
      <c r="A822" s="809"/>
      <c r="B822" s="809"/>
      <c r="C822" s="809"/>
      <c r="D822" s="809"/>
      <c r="E822" s="809"/>
      <c r="F822" s="809"/>
      <c r="G822" s="809"/>
      <c r="H822" s="809"/>
      <c r="I822" s="809"/>
      <c r="J822" s="809"/>
      <c r="K822" s="809"/>
      <c r="L822" s="809"/>
      <c r="M822" s="809"/>
      <c r="N822" s="809"/>
      <c r="O822" s="809"/>
      <c r="P822" s="809"/>
      <c r="Q822" s="809"/>
      <c r="R822" s="809"/>
      <c r="S822" s="809"/>
      <c r="T822" s="809"/>
      <c r="U822" s="809"/>
      <c r="V822" s="809"/>
      <c r="W822" s="809"/>
      <c r="X822" s="809"/>
      <c r="Y822" s="809"/>
      <c r="Z822" s="809"/>
      <c r="AA822" s="809"/>
      <c r="AB822" s="809"/>
      <c r="AC822" s="809"/>
      <c r="AD822" s="809"/>
      <c r="AE822" s="809"/>
      <c r="AF822" s="809"/>
      <c r="AG822" s="809"/>
      <c r="AH822" s="809"/>
      <c r="AI822" s="809"/>
      <c r="AJ822" s="809"/>
      <c r="AK822" s="809"/>
      <c r="AL822" s="809"/>
      <c r="AM822" s="809"/>
      <c r="AN822" s="809"/>
      <c r="AO822" s="809"/>
      <c r="AP822" s="809"/>
      <c r="AQ822" s="809"/>
      <c r="AR822" s="809"/>
      <c r="AS822" s="809"/>
      <c r="AT822" s="809"/>
      <c r="AU822" s="809"/>
      <c r="AV822" s="809"/>
      <c r="AW822" s="809"/>
      <c r="AX822" s="809"/>
      <c r="AY822" s="809"/>
      <c r="AZ822" s="809"/>
      <c r="BA822" s="809"/>
      <c r="BB822" s="809"/>
      <c r="BC822" s="809"/>
      <c r="BD822" s="809"/>
      <c r="BE822" s="809"/>
      <c r="BF822" s="809"/>
      <c r="BG822" s="809"/>
      <c r="BH822" s="809"/>
      <c r="BI822" s="809"/>
      <c r="BJ822" s="809"/>
      <c r="BK822" s="809"/>
      <c r="BL822" s="809"/>
      <c r="BM822" s="809"/>
      <c r="BN822" s="809"/>
    </row>
    <row r="823" spans="1:66">
      <c r="A823" s="809"/>
      <c r="B823" s="809"/>
      <c r="C823" s="809"/>
      <c r="D823" s="809"/>
      <c r="E823" s="809"/>
      <c r="F823" s="809"/>
      <c r="G823" s="809"/>
      <c r="H823" s="809"/>
      <c r="I823" s="809"/>
      <c r="J823" s="809"/>
      <c r="K823" s="809"/>
      <c r="L823" s="809"/>
      <c r="M823" s="809"/>
      <c r="N823" s="809"/>
      <c r="O823" s="809"/>
      <c r="P823" s="809"/>
      <c r="Q823" s="809"/>
      <c r="R823" s="809"/>
      <c r="S823" s="809"/>
      <c r="T823" s="809"/>
      <c r="U823" s="809"/>
      <c r="V823" s="809"/>
      <c r="W823" s="809"/>
      <c r="X823" s="809"/>
      <c r="Y823" s="809"/>
      <c r="Z823" s="809"/>
      <c r="AA823" s="809"/>
      <c r="AB823" s="809"/>
      <c r="AC823" s="809"/>
      <c r="AD823" s="809"/>
      <c r="AE823" s="809"/>
      <c r="AF823" s="809"/>
      <c r="AG823" s="809"/>
      <c r="AH823" s="809"/>
      <c r="AI823" s="809"/>
      <c r="AJ823" s="809"/>
      <c r="AK823" s="809"/>
      <c r="AL823" s="809"/>
      <c r="AM823" s="809"/>
      <c r="AN823" s="809"/>
      <c r="AO823" s="809"/>
      <c r="AP823" s="809"/>
      <c r="AQ823" s="809"/>
      <c r="AR823" s="809"/>
      <c r="AS823" s="809"/>
      <c r="AT823" s="809"/>
      <c r="AU823" s="809"/>
      <c r="AV823" s="809"/>
      <c r="AW823" s="809"/>
      <c r="AX823" s="809"/>
      <c r="AY823" s="809"/>
      <c r="AZ823" s="809"/>
      <c r="BA823" s="809"/>
      <c r="BB823" s="809"/>
      <c r="BC823" s="809"/>
      <c r="BD823" s="809"/>
      <c r="BE823" s="809"/>
      <c r="BF823" s="809"/>
      <c r="BG823" s="809"/>
      <c r="BH823" s="809"/>
      <c r="BI823" s="809"/>
      <c r="BJ823" s="809"/>
      <c r="BK823" s="809"/>
      <c r="BL823" s="809"/>
      <c r="BM823" s="809"/>
      <c r="BN823" s="809"/>
    </row>
    <row r="824" spans="1:66">
      <c r="A824" s="809"/>
      <c r="B824" s="809"/>
      <c r="C824" s="809"/>
      <c r="D824" s="809"/>
      <c r="E824" s="809"/>
      <c r="F824" s="809"/>
      <c r="G824" s="809"/>
      <c r="H824" s="809"/>
      <c r="I824" s="809"/>
      <c r="J824" s="809"/>
      <c r="K824" s="809"/>
      <c r="L824" s="809"/>
      <c r="M824" s="809"/>
      <c r="N824" s="809"/>
      <c r="O824" s="809"/>
      <c r="P824" s="809"/>
      <c r="Q824" s="809"/>
      <c r="R824" s="809"/>
      <c r="S824" s="809"/>
      <c r="T824" s="809"/>
      <c r="U824" s="809"/>
      <c r="V824" s="809"/>
      <c r="W824" s="809"/>
      <c r="X824" s="809"/>
      <c r="Y824" s="809"/>
      <c r="Z824" s="809"/>
      <c r="AA824" s="809"/>
      <c r="AB824" s="809"/>
      <c r="AC824" s="809"/>
      <c r="AD824" s="809"/>
      <c r="AE824" s="809"/>
      <c r="AF824" s="809"/>
      <c r="AG824" s="809"/>
      <c r="AH824" s="809"/>
      <c r="AI824" s="809"/>
      <c r="AJ824" s="809"/>
      <c r="AK824" s="809"/>
      <c r="AL824" s="809"/>
      <c r="AM824" s="809"/>
      <c r="AN824" s="809"/>
      <c r="AO824" s="809"/>
      <c r="AP824" s="809"/>
      <c r="AQ824" s="809"/>
      <c r="AR824" s="809"/>
      <c r="AS824" s="809"/>
      <c r="AT824" s="809"/>
      <c r="AU824" s="809"/>
      <c r="AV824" s="809"/>
      <c r="AW824" s="809"/>
      <c r="AX824" s="809"/>
      <c r="AY824" s="809"/>
      <c r="AZ824" s="809"/>
      <c r="BA824" s="809"/>
      <c r="BB824" s="809"/>
      <c r="BC824" s="809"/>
      <c r="BD824" s="809"/>
      <c r="BE824" s="809"/>
      <c r="BF824" s="809"/>
      <c r="BG824" s="809"/>
      <c r="BH824" s="809"/>
      <c r="BI824" s="809"/>
      <c r="BJ824" s="809"/>
      <c r="BK824" s="809"/>
      <c r="BL824" s="809"/>
      <c r="BM824" s="809"/>
      <c r="BN824" s="809"/>
    </row>
    <row r="825" spans="1:66">
      <c r="A825" s="809"/>
      <c r="B825" s="809"/>
      <c r="C825" s="809"/>
      <c r="D825" s="809"/>
      <c r="E825" s="809"/>
      <c r="F825" s="809"/>
      <c r="G825" s="809"/>
      <c r="H825" s="809"/>
      <c r="I825" s="809"/>
      <c r="J825" s="809"/>
      <c r="K825" s="809"/>
      <c r="L825" s="809"/>
      <c r="M825" s="809"/>
      <c r="N825" s="809"/>
      <c r="O825" s="809"/>
      <c r="P825" s="809"/>
      <c r="Q825" s="809"/>
      <c r="R825" s="809"/>
      <c r="S825" s="809"/>
      <c r="T825" s="809"/>
      <c r="U825" s="809"/>
      <c r="V825" s="809"/>
      <c r="W825" s="809"/>
      <c r="X825" s="809"/>
      <c r="Y825" s="809"/>
      <c r="Z825" s="809"/>
      <c r="AA825" s="809"/>
      <c r="AB825" s="809"/>
      <c r="AC825" s="809"/>
      <c r="AD825" s="809"/>
      <c r="AE825" s="809"/>
      <c r="AF825" s="809"/>
      <c r="AG825" s="809"/>
      <c r="AH825" s="809"/>
      <c r="AI825" s="809"/>
      <c r="AJ825" s="809"/>
      <c r="AK825" s="809"/>
      <c r="AL825" s="809"/>
      <c r="AM825" s="809"/>
      <c r="AN825" s="809"/>
      <c r="AO825" s="809"/>
      <c r="AP825" s="809"/>
      <c r="AQ825" s="809"/>
      <c r="AR825" s="809"/>
      <c r="AS825" s="809"/>
      <c r="AT825" s="809"/>
      <c r="AU825" s="809"/>
      <c r="AV825" s="809"/>
      <c r="AW825" s="809"/>
      <c r="AX825" s="809"/>
      <c r="AY825" s="809"/>
      <c r="AZ825" s="809"/>
      <c r="BA825" s="809"/>
      <c r="BB825" s="809"/>
      <c r="BC825" s="809"/>
      <c r="BD825" s="809"/>
      <c r="BE825" s="809"/>
      <c r="BF825" s="809"/>
      <c r="BG825" s="809"/>
      <c r="BH825" s="809"/>
      <c r="BI825" s="809"/>
      <c r="BJ825" s="809"/>
      <c r="BK825" s="809"/>
      <c r="BL825" s="809"/>
      <c r="BM825" s="809"/>
      <c r="BN825" s="809"/>
    </row>
    <row r="826" spans="1:66">
      <c r="A826" s="809"/>
      <c r="B826" s="809"/>
      <c r="C826" s="809"/>
      <c r="D826" s="809"/>
      <c r="E826" s="809"/>
      <c r="F826" s="809"/>
      <c r="G826" s="809"/>
      <c r="H826" s="809"/>
      <c r="I826" s="809"/>
      <c r="J826" s="809"/>
      <c r="K826" s="809"/>
      <c r="L826" s="809"/>
      <c r="M826" s="809"/>
      <c r="N826" s="809"/>
      <c r="O826" s="809"/>
      <c r="P826" s="809"/>
      <c r="Q826" s="809"/>
      <c r="R826" s="809"/>
      <c r="S826" s="809"/>
      <c r="T826" s="809"/>
      <c r="U826" s="809"/>
      <c r="V826" s="809"/>
      <c r="W826" s="809"/>
      <c r="X826" s="809"/>
      <c r="Y826" s="809"/>
      <c r="Z826" s="809"/>
      <c r="AA826" s="809"/>
      <c r="AB826" s="809"/>
      <c r="AC826" s="809"/>
      <c r="AD826" s="809"/>
      <c r="AE826" s="809"/>
      <c r="AF826" s="809"/>
      <c r="AG826" s="809"/>
      <c r="AH826" s="809"/>
      <c r="AI826" s="809"/>
      <c r="AJ826" s="809"/>
      <c r="AK826" s="809"/>
      <c r="AL826" s="809"/>
      <c r="AM826" s="809"/>
      <c r="AN826" s="809"/>
      <c r="AO826" s="809"/>
      <c r="AP826" s="809"/>
      <c r="AQ826" s="809"/>
      <c r="AR826" s="809"/>
      <c r="AS826" s="809"/>
      <c r="AT826" s="809"/>
      <c r="AU826" s="809"/>
      <c r="AV826" s="809"/>
      <c r="AW826" s="809"/>
      <c r="AX826" s="809"/>
      <c r="AY826" s="809"/>
      <c r="AZ826" s="809"/>
      <c r="BA826" s="809"/>
      <c r="BB826" s="809"/>
      <c r="BC826" s="809"/>
      <c r="BD826" s="809"/>
      <c r="BE826" s="809"/>
      <c r="BF826" s="809"/>
      <c r="BG826" s="809"/>
      <c r="BH826" s="809"/>
      <c r="BI826" s="809"/>
      <c r="BJ826" s="809"/>
      <c r="BK826" s="809"/>
      <c r="BL826" s="809"/>
      <c r="BM826" s="809"/>
      <c r="BN826" s="809"/>
    </row>
    <row r="827" spans="1:66">
      <c r="A827" s="809"/>
      <c r="B827" s="809"/>
      <c r="C827" s="809"/>
      <c r="D827" s="809"/>
      <c r="E827" s="809"/>
      <c r="F827" s="809"/>
      <c r="G827" s="809"/>
      <c r="H827" s="809"/>
      <c r="I827" s="809"/>
      <c r="J827" s="809"/>
      <c r="K827" s="809"/>
      <c r="L827" s="809"/>
      <c r="M827" s="809"/>
      <c r="N827" s="809"/>
      <c r="O827" s="809"/>
      <c r="P827" s="809"/>
      <c r="Q827" s="809"/>
      <c r="R827" s="809"/>
      <c r="S827" s="809"/>
      <c r="T827" s="809"/>
      <c r="U827" s="809"/>
      <c r="V827" s="809"/>
      <c r="W827" s="809"/>
      <c r="X827" s="809"/>
      <c r="Y827" s="809"/>
      <c r="Z827" s="809"/>
      <c r="AA827" s="809"/>
      <c r="AB827" s="809"/>
      <c r="AC827" s="809"/>
      <c r="AD827" s="809"/>
      <c r="AE827" s="809"/>
      <c r="AF827" s="809"/>
      <c r="AG827" s="809"/>
      <c r="AH827" s="809"/>
      <c r="AI827" s="809"/>
      <c r="AJ827" s="809"/>
      <c r="AK827" s="809"/>
      <c r="AL827" s="809"/>
      <c r="AM827" s="809"/>
      <c r="AN827" s="809"/>
      <c r="AO827" s="809"/>
      <c r="AP827" s="809"/>
      <c r="AQ827" s="809"/>
      <c r="AR827" s="809"/>
      <c r="AS827" s="809"/>
      <c r="AT827" s="809"/>
      <c r="AU827" s="809"/>
      <c r="AV827" s="809"/>
      <c r="AW827" s="809"/>
      <c r="AX827" s="809"/>
      <c r="AY827" s="809"/>
      <c r="AZ827" s="809"/>
      <c r="BA827" s="809"/>
      <c r="BB827" s="809"/>
      <c r="BC827" s="809"/>
      <c r="BD827" s="809"/>
      <c r="BE827" s="809"/>
      <c r="BF827" s="809"/>
      <c r="BG827" s="809"/>
      <c r="BH827" s="809"/>
      <c r="BI827" s="809"/>
      <c r="BJ827" s="809"/>
      <c r="BK827" s="809"/>
      <c r="BL827" s="809"/>
      <c r="BM827" s="809"/>
      <c r="BN827" s="809"/>
    </row>
    <row r="828" spans="1:66">
      <c r="A828" s="809"/>
      <c r="B828" s="809"/>
      <c r="C828" s="809"/>
      <c r="D828" s="809"/>
      <c r="E828" s="809"/>
      <c r="F828" s="809"/>
      <c r="G828" s="809"/>
      <c r="H828" s="809"/>
      <c r="I828" s="809"/>
      <c r="J828" s="809"/>
      <c r="K828" s="809"/>
      <c r="L828" s="809"/>
      <c r="M828" s="809"/>
      <c r="N828" s="809"/>
      <c r="O828" s="809"/>
      <c r="P828" s="809"/>
      <c r="Q828" s="809"/>
      <c r="R828" s="809"/>
      <c r="S828" s="809"/>
      <c r="T828" s="809"/>
      <c r="U828" s="809"/>
      <c r="V828" s="809"/>
      <c r="W828" s="809"/>
      <c r="X828" s="809"/>
      <c r="Y828" s="809"/>
      <c r="Z828" s="809"/>
      <c r="AA828" s="809"/>
      <c r="AB828" s="809"/>
      <c r="AC828" s="809"/>
      <c r="AD828" s="809"/>
      <c r="AE828" s="809"/>
      <c r="AF828" s="809"/>
      <c r="AG828" s="809"/>
      <c r="AH828" s="809"/>
      <c r="AI828" s="809"/>
      <c r="AJ828" s="809"/>
      <c r="AK828" s="809"/>
      <c r="AL828" s="809"/>
      <c r="AM828" s="809"/>
      <c r="AN828" s="809"/>
      <c r="AO828" s="809"/>
      <c r="AP828" s="809"/>
      <c r="AQ828" s="809"/>
      <c r="AR828" s="809"/>
      <c r="AS828" s="809"/>
      <c r="AT828" s="809"/>
      <c r="AU828" s="809"/>
      <c r="AV828" s="809"/>
      <c r="AW828" s="809"/>
      <c r="AX828" s="809"/>
      <c r="AY828" s="809"/>
      <c r="AZ828" s="809"/>
      <c r="BA828" s="809"/>
      <c r="BB828" s="809"/>
      <c r="BC828" s="809"/>
      <c r="BD828" s="809"/>
      <c r="BE828" s="809"/>
      <c r="BF828" s="809"/>
      <c r="BG828" s="809"/>
      <c r="BH828" s="809"/>
      <c r="BI828" s="809"/>
      <c r="BJ828" s="809"/>
      <c r="BK828" s="809"/>
      <c r="BL828" s="809"/>
      <c r="BM828" s="809"/>
      <c r="BN828" s="809"/>
    </row>
    <row r="829" spans="1:66">
      <c r="A829" s="809"/>
      <c r="B829" s="809"/>
      <c r="C829" s="809"/>
      <c r="D829" s="809"/>
      <c r="E829" s="809"/>
      <c r="F829" s="809"/>
      <c r="G829" s="809"/>
      <c r="H829" s="809"/>
      <c r="I829" s="809"/>
      <c r="J829" s="809"/>
      <c r="K829" s="809"/>
      <c r="L829" s="809"/>
      <c r="M829" s="809"/>
      <c r="N829" s="809"/>
      <c r="O829" s="809"/>
      <c r="P829" s="809"/>
      <c r="Q829" s="809"/>
      <c r="R829" s="809"/>
      <c r="S829" s="809"/>
      <c r="T829" s="809"/>
      <c r="U829" s="809"/>
      <c r="V829" s="809"/>
      <c r="W829" s="809"/>
      <c r="X829" s="809"/>
      <c r="Y829" s="809"/>
      <c r="Z829" s="809"/>
      <c r="AA829" s="809"/>
      <c r="AB829" s="809"/>
      <c r="AC829" s="809"/>
      <c r="AD829" s="809"/>
      <c r="AE829" s="809"/>
      <c r="AF829" s="809"/>
      <c r="AG829" s="809"/>
      <c r="AH829" s="809"/>
      <c r="AI829" s="809"/>
      <c r="AJ829" s="809"/>
      <c r="AK829" s="809"/>
      <c r="AL829" s="809"/>
      <c r="AM829" s="809"/>
      <c r="AN829" s="809"/>
      <c r="AO829" s="809"/>
      <c r="AP829" s="809"/>
      <c r="AQ829" s="809"/>
      <c r="AR829" s="809"/>
      <c r="AS829" s="809"/>
      <c r="AT829" s="809"/>
      <c r="AU829" s="809"/>
      <c r="AV829" s="809"/>
      <c r="AW829" s="809"/>
      <c r="AX829" s="809"/>
      <c r="AY829" s="809"/>
      <c r="AZ829" s="809"/>
      <c r="BA829" s="809"/>
      <c r="BB829" s="809"/>
      <c r="BC829" s="809"/>
      <c r="BD829" s="809"/>
      <c r="BE829" s="809"/>
      <c r="BF829" s="809"/>
      <c r="BG829" s="809"/>
      <c r="BH829" s="809"/>
      <c r="BI829" s="809"/>
      <c r="BJ829" s="809"/>
      <c r="BK829" s="809"/>
      <c r="BL829" s="809"/>
      <c r="BM829" s="809"/>
      <c r="BN829" s="809"/>
    </row>
    <row r="830" spans="1:66">
      <c r="A830" s="809"/>
      <c r="B830" s="809"/>
      <c r="C830" s="809"/>
      <c r="D830" s="809"/>
      <c r="E830" s="809"/>
      <c r="F830" s="809"/>
      <c r="G830" s="809"/>
      <c r="H830" s="809"/>
      <c r="I830" s="809"/>
      <c r="J830" s="809"/>
      <c r="K830" s="809"/>
      <c r="L830" s="809"/>
      <c r="M830" s="809"/>
      <c r="N830" s="809"/>
      <c r="O830" s="809"/>
      <c r="P830" s="809"/>
      <c r="Q830" s="809"/>
      <c r="R830" s="809"/>
      <c r="S830" s="809"/>
      <c r="T830" s="809"/>
      <c r="U830" s="809"/>
      <c r="V830" s="809"/>
      <c r="W830" s="809"/>
      <c r="X830" s="809"/>
      <c r="Y830" s="809"/>
      <c r="Z830" s="809"/>
      <c r="AA830" s="809"/>
      <c r="AB830" s="809"/>
      <c r="AC830" s="809"/>
      <c r="AD830" s="809"/>
      <c r="AE830" s="809"/>
      <c r="AF830" s="809"/>
      <c r="AG830" s="809"/>
      <c r="AH830" s="809"/>
      <c r="AI830" s="809"/>
      <c r="AJ830" s="809"/>
      <c r="AK830" s="809"/>
      <c r="AL830" s="809"/>
      <c r="AM830" s="809"/>
      <c r="AN830" s="809"/>
      <c r="AO830" s="809"/>
      <c r="AP830" s="809"/>
      <c r="AQ830" s="809"/>
      <c r="AR830" s="809"/>
      <c r="AS830" s="809"/>
      <c r="AT830" s="809"/>
      <c r="AU830" s="809"/>
      <c r="AV830" s="809"/>
      <c r="AW830" s="809"/>
      <c r="AX830" s="809"/>
      <c r="AY830" s="809"/>
      <c r="AZ830" s="809"/>
      <c r="BA830" s="809"/>
      <c r="BB830" s="809"/>
      <c r="BC830" s="809"/>
      <c r="BD830" s="809"/>
      <c r="BE830" s="809"/>
      <c r="BF830" s="809"/>
      <c r="BG830" s="809"/>
      <c r="BH830" s="809"/>
      <c r="BI830" s="809"/>
      <c r="BJ830" s="809"/>
      <c r="BK830" s="809"/>
      <c r="BL830" s="809"/>
      <c r="BM830" s="809"/>
      <c r="BN830" s="809"/>
    </row>
    <row r="831" spans="1:66">
      <c r="A831" s="809"/>
      <c r="B831" s="809"/>
      <c r="C831" s="809"/>
      <c r="D831" s="809"/>
      <c r="E831" s="809"/>
      <c r="F831" s="809"/>
      <c r="G831" s="809"/>
      <c r="H831" s="809"/>
      <c r="I831" s="809"/>
      <c r="J831" s="809"/>
      <c r="K831" s="809"/>
      <c r="L831" s="809"/>
      <c r="M831" s="809"/>
      <c r="N831" s="809"/>
      <c r="O831" s="809"/>
      <c r="P831" s="809"/>
      <c r="Q831" s="809"/>
      <c r="R831" s="809"/>
      <c r="S831" s="809"/>
      <c r="T831" s="809"/>
      <c r="U831" s="809"/>
      <c r="V831" s="809"/>
      <c r="W831" s="809"/>
      <c r="X831" s="809"/>
      <c r="Y831" s="809"/>
      <c r="Z831" s="809"/>
      <c r="AA831" s="809"/>
      <c r="AB831" s="809"/>
      <c r="AC831" s="809"/>
      <c r="AD831" s="809"/>
      <c r="AE831" s="809"/>
      <c r="AF831" s="809"/>
      <c r="AG831" s="809"/>
      <c r="AH831" s="809"/>
      <c r="AI831" s="809"/>
      <c r="AJ831" s="809"/>
      <c r="AK831" s="809"/>
      <c r="AL831" s="809"/>
      <c r="AM831" s="809"/>
      <c r="AN831" s="809"/>
      <c r="AO831" s="809"/>
      <c r="AP831" s="809"/>
      <c r="AQ831" s="809"/>
      <c r="AR831" s="809"/>
      <c r="AS831" s="809"/>
      <c r="AT831" s="809"/>
      <c r="AU831" s="809"/>
      <c r="AV831" s="809"/>
      <c r="AW831" s="809"/>
      <c r="AX831" s="809"/>
      <c r="AY831" s="809"/>
      <c r="AZ831" s="809"/>
      <c r="BA831" s="809"/>
      <c r="BB831" s="809"/>
      <c r="BC831" s="809"/>
      <c r="BD831" s="809"/>
      <c r="BE831" s="809"/>
      <c r="BF831" s="809"/>
      <c r="BG831" s="809"/>
      <c r="BH831" s="809"/>
      <c r="BI831" s="809"/>
      <c r="BJ831" s="809"/>
      <c r="BK831" s="809"/>
      <c r="BL831" s="809"/>
      <c r="BM831" s="809"/>
      <c r="BN831" s="809"/>
    </row>
    <row r="832" spans="1:66">
      <c r="A832" s="809"/>
      <c r="B832" s="809"/>
      <c r="C832" s="809"/>
      <c r="D832" s="809"/>
      <c r="E832" s="809"/>
      <c r="F832" s="809"/>
      <c r="G832" s="809"/>
      <c r="H832" s="809"/>
      <c r="I832" s="809"/>
      <c r="J832" s="809"/>
      <c r="K832" s="809"/>
      <c r="L832" s="809"/>
      <c r="M832" s="809"/>
      <c r="N832" s="809"/>
      <c r="O832" s="809"/>
      <c r="P832" s="809"/>
      <c r="Q832" s="809"/>
      <c r="R832" s="809"/>
      <c r="S832" s="809"/>
      <c r="T832" s="809"/>
      <c r="U832" s="809"/>
      <c r="V832" s="809"/>
      <c r="W832" s="809"/>
      <c r="X832" s="809"/>
      <c r="Y832" s="809"/>
      <c r="Z832" s="809"/>
      <c r="AA832" s="809"/>
      <c r="AB832" s="809"/>
      <c r="AC832" s="809"/>
      <c r="AD832" s="809"/>
      <c r="AE832" s="809"/>
      <c r="AF832" s="809"/>
      <c r="AG832" s="809"/>
      <c r="AH832" s="809"/>
      <c r="AI832" s="809"/>
      <c r="AJ832" s="809"/>
      <c r="AK832" s="809"/>
      <c r="AL832" s="809"/>
      <c r="AM832" s="809"/>
      <c r="AN832" s="809"/>
      <c r="AO832" s="809"/>
      <c r="AP832" s="809"/>
      <c r="AQ832" s="809"/>
      <c r="AR832" s="809"/>
      <c r="AS832" s="809"/>
      <c r="AT832" s="809"/>
      <c r="AU832" s="809"/>
      <c r="AV832" s="809"/>
      <c r="AW832" s="809"/>
      <c r="AX832" s="809"/>
      <c r="AY832" s="809"/>
      <c r="AZ832" s="809"/>
      <c r="BA832" s="809"/>
      <c r="BB832" s="809"/>
      <c r="BC832" s="809"/>
      <c r="BD832" s="809"/>
      <c r="BE832" s="809"/>
      <c r="BF832" s="809"/>
      <c r="BG832" s="809"/>
      <c r="BH832" s="809"/>
      <c r="BI832" s="809"/>
      <c r="BJ832" s="809"/>
      <c r="BK832" s="809"/>
      <c r="BL832" s="809"/>
      <c r="BM832" s="809"/>
      <c r="BN832" s="809"/>
    </row>
    <row r="833" spans="1:66">
      <c r="A833" s="809"/>
      <c r="B833" s="809"/>
      <c r="C833" s="809"/>
      <c r="D833" s="809"/>
      <c r="E833" s="809"/>
      <c r="F833" s="809"/>
      <c r="G833" s="809"/>
      <c r="H833" s="809"/>
      <c r="I833" s="809"/>
      <c r="J833" s="809"/>
      <c r="K833" s="809"/>
      <c r="L833" s="809"/>
      <c r="M833" s="809"/>
      <c r="N833" s="809"/>
      <c r="O833" s="809"/>
      <c r="P833" s="809"/>
      <c r="Q833" s="809"/>
      <c r="R833" s="809"/>
      <c r="S833" s="809"/>
      <c r="T833" s="809"/>
      <c r="U833" s="809"/>
      <c r="V833" s="809"/>
      <c r="W833" s="809"/>
      <c r="X833" s="809"/>
      <c r="Y833" s="809"/>
      <c r="Z833" s="809"/>
      <c r="AA833" s="809"/>
      <c r="AB833" s="809"/>
      <c r="AC833" s="809"/>
      <c r="AD833" s="809"/>
      <c r="AE833" s="809"/>
      <c r="AF833" s="809"/>
      <c r="AG833" s="809"/>
      <c r="AH833" s="809"/>
      <c r="AI833" s="809"/>
      <c r="AJ833" s="809"/>
      <c r="AK833" s="809"/>
      <c r="AL833" s="809"/>
      <c r="AM833" s="809"/>
      <c r="AN833" s="809"/>
      <c r="AO833" s="809"/>
      <c r="AP833" s="809"/>
      <c r="AQ833" s="809"/>
      <c r="AR833" s="809"/>
      <c r="AS833" s="809"/>
      <c r="AT833" s="809"/>
      <c r="AU833" s="809"/>
      <c r="AV833" s="809"/>
      <c r="AW833" s="809"/>
      <c r="AX833" s="809"/>
      <c r="AY833" s="809"/>
      <c r="AZ833" s="809"/>
      <c r="BA833" s="809"/>
      <c r="BB833" s="809"/>
      <c r="BC833" s="809"/>
      <c r="BD833" s="809"/>
      <c r="BE833" s="809"/>
      <c r="BF833" s="809"/>
      <c r="BG833" s="809"/>
      <c r="BH833" s="809"/>
      <c r="BI833" s="809"/>
      <c r="BJ833" s="809"/>
      <c r="BK833" s="809"/>
      <c r="BL833" s="809"/>
      <c r="BM833" s="809"/>
      <c r="BN833" s="809"/>
    </row>
    <row r="834" spans="1:66">
      <c r="A834" s="809"/>
      <c r="B834" s="809"/>
      <c r="C834" s="809"/>
      <c r="D834" s="809"/>
      <c r="E834" s="809"/>
      <c r="F834" s="809"/>
      <c r="G834" s="809"/>
      <c r="H834" s="809"/>
      <c r="I834" s="809"/>
      <c r="J834" s="809"/>
      <c r="K834" s="809"/>
      <c r="L834" s="809"/>
      <c r="M834" s="809"/>
      <c r="N834" s="809"/>
      <c r="O834" s="809"/>
      <c r="P834" s="809"/>
      <c r="Q834" s="809"/>
      <c r="R834" s="809"/>
      <c r="S834" s="809"/>
      <c r="T834" s="809"/>
      <c r="U834" s="809"/>
      <c r="V834" s="809"/>
      <c r="W834" s="809"/>
      <c r="X834" s="809"/>
      <c r="Y834" s="809"/>
      <c r="Z834" s="809"/>
      <c r="AA834" s="809"/>
      <c r="AB834" s="809"/>
      <c r="AC834" s="809"/>
      <c r="AD834" s="809"/>
      <c r="AE834" s="809"/>
      <c r="AF834" s="809"/>
      <c r="AG834" s="809"/>
      <c r="AH834" s="809"/>
      <c r="AI834" s="809"/>
      <c r="AJ834" s="809"/>
      <c r="AK834" s="809"/>
      <c r="AL834" s="809"/>
      <c r="AM834" s="809"/>
      <c r="AN834" s="809"/>
      <c r="AO834" s="809"/>
      <c r="AP834" s="809"/>
      <c r="AQ834" s="809"/>
      <c r="AR834" s="809"/>
      <c r="AS834" s="809"/>
      <c r="AT834" s="809"/>
      <c r="AU834" s="809"/>
      <c r="AV834" s="809"/>
      <c r="AW834" s="809"/>
      <c r="AX834" s="809"/>
      <c r="AY834" s="809"/>
      <c r="AZ834" s="809"/>
      <c r="BA834" s="809"/>
      <c r="BB834" s="809"/>
      <c r="BC834" s="809"/>
      <c r="BD834" s="809"/>
      <c r="BE834" s="809"/>
      <c r="BF834" s="809"/>
      <c r="BG834" s="809"/>
      <c r="BH834" s="809"/>
      <c r="BI834" s="809"/>
      <c r="BJ834" s="809"/>
      <c r="BK834" s="809"/>
      <c r="BL834" s="809"/>
      <c r="BM834" s="809"/>
      <c r="BN834" s="809"/>
    </row>
    <row r="835" spans="1:66">
      <c r="A835" s="809"/>
      <c r="B835" s="809"/>
      <c r="C835" s="809"/>
      <c r="D835" s="809"/>
      <c r="E835" s="809"/>
      <c r="F835" s="809"/>
      <c r="G835" s="809"/>
      <c r="H835" s="809"/>
      <c r="I835" s="809"/>
      <c r="J835" s="809"/>
      <c r="K835" s="809"/>
      <c r="L835" s="809"/>
      <c r="M835" s="809"/>
      <c r="N835" s="809"/>
      <c r="O835" s="809"/>
      <c r="P835" s="809"/>
      <c r="Q835" s="809"/>
      <c r="R835" s="809"/>
      <c r="S835" s="809"/>
      <c r="T835" s="809"/>
      <c r="U835" s="809"/>
      <c r="V835" s="809"/>
      <c r="W835" s="809"/>
      <c r="X835" s="809"/>
      <c r="Y835" s="809"/>
      <c r="Z835" s="809"/>
      <c r="AA835" s="809"/>
      <c r="AB835" s="809"/>
      <c r="AC835" s="809"/>
      <c r="AD835" s="809"/>
      <c r="AE835" s="809"/>
      <c r="AF835" s="809"/>
      <c r="AG835" s="809"/>
      <c r="AH835" s="809"/>
      <c r="AI835" s="809"/>
      <c r="AJ835" s="809"/>
      <c r="AK835" s="809"/>
      <c r="AL835" s="809"/>
      <c r="AM835" s="809"/>
      <c r="AN835" s="809"/>
      <c r="AO835" s="809"/>
      <c r="AP835" s="809"/>
      <c r="AQ835" s="809"/>
      <c r="AR835" s="809"/>
      <c r="AS835" s="809"/>
      <c r="AT835" s="809"/>
      <c r="AU835" s="809"/>
      <c r="AV835" s="809"/>
      <c r="AW835" s="809"/>
      <c r="AX835" s="809"/>
      <c r="AY835" s="809"/>
      <c r="AZ835" s="809"/>
      <c r="BA835" s="809"/>
      <c r="BB835" s="809"/>
      <c r="BC835" s="809"/>
      <c r="BD835" s="809"/>
      <c r="BE835" s="809"/>
      <c r="BF835" s="809"/>
      <c r="BG835" s="809"/>
      <c r="BH835" s="809"/>
      <c r="BI835" s="809"/>
      <c r="BJ835" s="809"/>
      <c r="BK835" s="809"/>
      <c r="BL835" s="809"/>
      <c r="BM835" s="809"/>
      <c r="BN835" s="809"/>
    </row>
    <row r="836" spans="1:66">
      <c r="A836" s="809"/>
      <c r="B836" s="809"/>
      <c r="C836" s="809"/>
      <c r="D836" s="809"/>
      <c r="E836" s="809"/>
      <c r="F836" s="809"/>
      <c r="G836" s="809"/>
      <c r="H836" s="809"/>
      <c r="I836" s="809"/>
      <c r="J836" s="809"/>
      <c r="K836" s="809"/>
      <c r="L836" s="809"/>
      <c r="M836" s="809"/>
      <c r="N836" s="809"/>
      <c r="O836" s="809"/>
      <c r="P836" s="809"/>
      <c r="Q836" s="809"/>
      <c r="R836" s="809"/>
      <c r="S836" s="809"/>
      <c r="T836" s="809"/>
      <c r="U836" s="809"/>
      <c r="V836" s="809"/>
      <c r="W836" s="809"/>
      <c r="X836" s="809"/>
      <c r="Y836" s="809"/>
      <c r="Z836" s="809"/>
      <c r="AA836" s="809"/>
      <c r="AB836" s="809"/>
      <c r="AC836" s="809"/>
      <c r="AD836" s="809"/>
      <c r="AE836" s="809"/>
      <c r="AF836" s="809"/>
      <c r="AG836" s="809"/>
      <c r="AH836" s="809"/>
      <c r="AI836" s="809"/>
      <c r="AJ836" s="809"/>
      <c r="AK836" s="809"/>
      <c r="AL836" s="809"/>
      <c r="AM836" s="809"/>
      <c r="AN836" s="809"/>
      <c r="AO836" s="809"/>
      <c r="AP836" s="809"/>
      <c r="AQ836" s="809"/>
      <c r="AR836" s="809"/>
      <c r="AS836" s="809"/>
      <c r="AT836" s="809"/>
      <c r="AU836" s="809"/>
      <c r="AV836" s="809"/>
      <c r="AW836" s="809"/>
      <c r="AX836" s="809"/>
      <c r="AY836" s="809"/>
      <c r="AZ836" s="809"/>
      <c r="BA836" s="809"/>
      <c r="BB836" s="809"/>
      <c r="BC836" s="809"/>
      <c r="BD836" s="809"/>
      <c r="BE836" s="809"/>
      <c r="BF836" s="809"/>
      <c r="BG836" s="809"/>
      <c r="BH836" s="809"/>
      <c r="BI836" s="809"/>
      <c r="BJ836" s="809"/>
      <c r="BK836" s="809"/>
      <c r="BL836" s="809"/>
      <c r="BM836" s="809"/>
      <c r="BN836" s="809"/>
    </row>
    <row r="837" spans="1:66">
      <c r="A837" s="809"/>
      <c r="B837" s="809"/>
      <c r="C837" s="809"/>
      <c r="D837" s="809"/>
      <c r="E837" s="809"/>
      <c r="F837" s="809"/>
      <c r="G837" s="809"/>
      <c r="H837" s="809"/>
      <c r="I837" s="809"/>
      <c r="J837" s="809"/>
      <c r="K837" s="809"/>
      <c r="L837" s="809"/>
      <c r="M837" s="809"/>
      <c r="N837" s="809"/>
      <c r="O837" s="809"/>
      <c r="P837" s="809"/>
      <c r="Q837" s="809"/>
      <c r="R837" s="809"/>
      <c r="S837" s="809"/>
      <c r="T837" s="809"/>
      <c r="U837" s="809"/>
      <c r="V837" s="809"/>
      <c r="W837" s="809"/>
      <c r="X837" s="809"/>
      <c r="Y837" s="809"/>
      <c r="Z837" s="809"/>
      <c r="AA837" s="809"/>
      <c r="AB837" s="809"/>
      <c r="AC837" s="809"/>
      <c r="AD837" s="809"/>
      <c r="AE837" s="809"/>
      <c r="AF837" s="809"/>
      <c r="AG837" s="809"/>
      <c r="AH837" s="809"/>
      <c r="AI837" s="809"/>
      <c r="AJ837" s="809"/>
      <c r="AK837" s="809"/>
      <c r="AL837" s="809"/>
      <c r="AM837" s="809"/>
      <c r="AN837" s="809"/>
      <c r="AO837" s="809"/>
      <c r="AP837" s="809"/>
      <c r="AQ837" s="809"/>
      <c r="AR837" s="809"/>
      <c r="AS837" s="809"/>
      <c r="AT837" s="809"/>
      <c r="AU837" s="809"/>
      <c r="AV837" s="809"/>
      <c r="AW837" s="809"/>
      <c r="AX837" s="809"/>
      <c r="AY837" s="809"/>
      <c r="AZ837" s="809"/>
      <c r="BA837" s="809"/>
      <c r="BB837" s="809"/>
      <c r="BC837" s="809"/>
      <c r="BD837" s="809"/>
      <c r="BE837" s="809"/>
      <c r="BF837" s="809"/>
      <c r="BG837" s="809"/>
      <c r="BH837" s="809"/>
      <c r="BI837" s="809"/>
      <c r="BJ837" s="809"/>
      <c r="BK837" s="809"/>
      <c r="BL837" s="809"/>
      <c r="BM837" s="809"/>
      <c r="BN837" s="809"/>
    </row>
    <row r="838" spans="1:66">
      <c r="A838" s="809"/>
      <c r="B838" s="809"/>
      <c r="C838" s="809"/>
      <c r="D838" s="809"/>
      <c r="E838" s="809"/>
      <c r="F838" s="809"/>
      <c r="G838" s="809"/>
      <c r="H838" s="809"/>
      <c r="I838" s="809"/>
      <c r="J838" s="809"/>
      <c r="K838" s="809"/>
      <c r="L838" s="809"/>
      <c r="M838" s="809"/>
      <c r="N838" s="809"/>
      <c r="O838" s="809"/>
      <c r="P838" s="809"/>
      <c r="Q838" s="809"/>
      <c r="R838" s="809"/>
      <c r="S838" s="809"/>
      <c r="T838" s="809"/>
      <c r="U838" s="809"/>
      <c r="V838" s="809"/>
      <c r="W838" s="809"/>
      <c r="X838" s="809"/>
      <c r="Y838" s="809"/>
      <c r="Z838" s="809"/>
      <c r="AA838" s="809"/>
      <c r="AB838" s="809"/>
      <c r="AC838" s="809"/>
      <c r="AD838" s="809"/>
      <c r="AE838" s="809"/>
      <c r="AF838" s="809"/>
      <c r="AG838" s="809"/>
      <c r="AH838" s="809"/>
      <c r="AI838" s="809"/>
      <c r="AJ838" s="809"/>
      <c r="AK838" s="809"/>
      <c r="AL838" s="809"/>
      <c r="AM838" s="809"/>
      <c r="AN838" s="809"/>
      <c r="AO838" s="809"/>
      <c r="AP838" s="809"/>
      <c r="AQ838" s="809"/>
      <c r="AR838" s="809"/>
      <c r="AS838" s="809"/>
      <c r="AT838" s="809"/>
      <c r="AU838" s="809"/>
      <c r="AV838" s="809"/>
      <c r="AW838" s="809"/>
      <c r="AX838" s="809"/>
      <c r="AY838" s="809"/>
      <c r="AZ838" s="809"/>
      <c r="BA838" s="809"/>
      <c r="BB838" s="809"/>
      <c r="BC838" s="809"/>
      <c r="BD838" s="809"/>
      <c r="BE838" s="809"/>
      <c r="BF838" s="809"/>
      <c r="BG838" s="809"/>
      <c r="BH838" s="809"/>
      <c r="BI838" s="809"/>
      <c r="BJ838" s="809"/>
      <c r="BK838" s="809"/>
      <c r="BL838" s="809"/>
      <c r="BM838" s="809"/>
      <c r="BN838" s="809"/>
    </row>
    <row r="839" spans="1:66">
      <c r="A839" s="809"/>
      <c r="B839" s="809"/>
      <c r="C839" s="809"/>
      <c r="D839" s="809"/>
      <c r="E839" s="809"/>
      <c r="F839" s="809"/>
      <c r="G839" s="809"/>
      <c r="H839" s="809"/>
      <c r="I839" s="809"/>
      <c r="J839" s="809"/>
      <c r="K839" s="809"/>
      <c r="L839" s="809"/>
      <c r="M839" s="809"/>
      <c r="N839" s="809"/>
      <c r="O839" s="809"/>
      <c r="P839" s="809"/>
      <c r="Q839" s="809"/>
      <c r="R839" s="809"/>
      <c r="S839" s="809"/>
      <c r="T839" s="809"/>
      <c r="U839" s="809"/>
      <c r="V839" s="809"/>
      <c r="W839" s="809"/>
      <c r="X839" s="809"/>
      <c r="Y839" s="809"/>
      <c r="Z839" s="809"/>
      <c r="AA839" s="809"/>
      <c r="AB839" s="809"/>
      <c r="AC839" s="809"/>
      <c r="AD839" s="809"/>
      <c r="AE839" s="809"/>
      <c r="AF839" s="809"/>
      <c r="AG839" s="809"/>
      <c r="AH839" s="809"/>
      <c r="AI839" s="809"/>
      <c r="AJ839" s="809"/>
      <c r="AK839" s="809"/>
      <c r="AL839" s="809"/>
      <c r="AM839" s="809"/>
      <c r="AN839" s="809"/>
      <c r="AO839" s="809"/>
      <c r="AP839" s="809"/>
      <c r="AQ839" s="809"/>
      <c r="AR839" s="809"/>
      <c r="AS839" s="809"/>
      <c r="AT839" s="809"/>
      <c r="AU839" s="809"/>
      <c r="AV839" s="809"/>
      <c r="AW839" s="809"/>
      <c r="AX839" s="809"/>
      <c r="AY839" s="809"/>
      <c r="AZ839" s="809"/>
      <c r="BA839" s="809"/>
      <c r="BB839" s="809"/>
      <c r="BC839" s="809"/>
      <c r="BD839" s="809"/>
      <c r="BE839" s="809"/>
      <c r="BF839" s="809"/>
      <c r="BG839" s="809"/>
      <c r="BH839" s="809"/>
      <c r="BI839" s="809"/>
      <c r="BJ839" s="809"/>
      <c r="BK839" s="809"/>
      <c r="BL839" s="809"/>
      <c r="BM839" s="809"/>
      <c r="BN839" s="809"/>
    </row>
    <row r="840" spans="1:66">
      <c r="A840" s="809"/>
      <c r="B840" s="809"/>
      <c r="C840" s="809"/>
      <c r="D840" s="809"/>
      <c r="E840" s="809"/>
      <c r="F840" s="809"/>
      <c r="G840" s="809"/>
      <c r="H840" s="809"/>
      <c r="I840" s="809"/>
      <c r="J840" s="809"/>
      <c r="K840" s="809"/>
      <c r="L840" s="809"/>
      <c r="M840" s="809"/>
      <c r="N840" s="809"/>
      <c r="O840" s="809"/>
      <c r="P840" s="809"/>
      <c r="Q840" s="809"/>
      <c r="R840" s="809"/>
      <c r="S840" s="809"/>
      <c r="T840" s="809"/>
      <c r="U840" s="809"/>
      <c r="V840" s="809"/>
      <c r="W840" s="809"/>
      <c r="X840" s="809"/>
      <c r="Y840" s="809"/>
      <c r="Z840" s="809"/>
      <c r="AA840" s="809"/>
      <c r="AB840" s="809"/>
      <c r="AC840" s="809"/>
      <c r="AD840" s="809"/>
      <c r="AE840" s="809"/>
      <c r="AF840" s="809"/>
      <c r="AG840" s="809"/>
      <c r="AH840" s="809"/>
      <c r="AI840" s="809"/>
      <c r="AJ840" s="809"/>
      <c r="AK840" s="809"/>
      <c r="AL840" s="809"/>
      <c r="AM840" s="809"/>
      <c r="AN840" s="809"/>
      <c r="AO840" s="809"/>
      <c r="AP840" s="809"/>
      <c r="AQ840" s="809"/>
      <c r="AR840" s="809"/>
      <c r="AS840" s="809"/>
      <c r="AT840" s="809"/>
      <c r="AU840" s="809"/>
      <c r="AV840" s="809"/>
      <c r="AW840" s="809"/>
      <c r="AX840" s="809"/>
      <c r="AY840" s="809"/>
      <c r="AZ840" s="809"/>
      <c r="BA840" s="809"/>
      <c r="BB840" s="809"/>
      <c r="BC840" s="809"/>
      <c r="BD840" s="809"/>
      <c r="BE840" s="809"/>
      <c r="BF840" s="809"/>
      <c r="BG840" s="809"/>
      <c r="BH840" s="809"/>
      <c r="BI840" s="809"/>
      <c r="BJ840" s="809"/>
      <c r="BK840" s="809"/>
      <c r="BL840" s="809"/>
      <c r="BM840" s="809"/>
      <c r="BN840" s="809"/>
    </row>
    <row r="841" spans="1:66">
      <c r="A841" s="809"/>
      <c r="B841" s="809"/>
      <c r="C841" s="809"/>
      <c r="D841" s="809"/>
      <c r="E841" s="809"/>
      <c r="F841" s="809"/>
      <c r="G841" s="809"/>
      <c r="H841" s="809"/>
      <c r="I841" s="809"/>
      <c r="J841" s="809"/>
      <c r="K841" s="809"/>
      <c r="L841" s="809"/>
      <c r="M841" s="809"/>
      <c r="N841" s="809"/>
      <c r="O841" s="809"/>
      <c r="P841" s="809"/>
      <c r="Q841" s="809"/>
      <c r="R841" s="809"/>
      <c r="S841" s="809"/>
      <c r="T841" s="809"/>
      <c r="U841" s="809"/>
      <c r="V841" s="809"/>
      <c r="W841" s="809"/>
      <c r="X841" s="809"/>
      <c r="Y841" s="809"/>
      <c r="Z841" s="809"/>
      <c r="AA841" s="809"/>
      <c r="AB841" s="809"/>
      <c r="AC841" s="809"/>
      <c r="AD841" s="809"/>
      <c r="AE841" s="809"/>
      <c r="AF841" s="809"/>
      <c r="AG841" s="809"/>
      <c r="AH841" s="809"/>
      <c r="AI841" s="809"/>
      <c r="AJ841" s="809"/>
      <c r="AK841" s="809"/>
      <c r="AL841" s="809"/>
      <c r="AM841" s="809"/>
      <c r="AN841" s="809"/>
      <c r="AO841" s="809"/>
      <c r="AP841" s="809"/>
      <c r="AQ841" s="809"/>
      <c r="AR841" s="809"/>
      <c r="AS841" s="809"/>
      <c r="AT841" s="809"/>
      <c r="AU841" s="809"/>
      <c r="AV841" s="809"/>
      <c r="AW841" s="809"/>
      <c r="AX841" s="809"/>
      <c r="AY841" s="809"/>
      <c r="AZ841" s="809"/>
      <c r="BA841" s="809"/>
      <c r="BB841" s="809"/>
      <c r="BC841" s="809"/>
      <c r="BD841" s="809"/>
      <c r="BE841" s="809"/>
      <c r="BF841" s="809"/>
      <c r="BG841" s="809"/>
      <c r="BH841" s="809"/>
      <c r="BI841" s="809"/>
      <c r="BJ841" s="809"/>
      <c r="BK841" s="809"/>
      <c r="BL841" s="809"/>
      <c r="BM841" s="809"/>
      <c r="BN841" s="809"/>
    </row>
    <row r="842" spans="1:66">
      <c r="A842" s="809"/>
      <c r="B842" s="809"/>
      <c r="C842" s="809"/>
      <c r="D842" s="809"/>
      <c r="E842" s="809"/>
      <c r="F842" s="809"/>
      <c r="G842" s="809"/>
      <c r="H842" s="809"/>
      <c r="I842" s="809"/>
      <c r="J842" s="809"/>
      <c r="K842" s="809"/>
      <c r="L842" s="809"/>
      <c r="M842" s="809"/>
      <c r="N842" s="809"/>
      <c r="O842" s="809"/>
      <c r="P842" s="809"/>
      <c r="Q842" s="809"/>
      <c r="R842" s="809"/>
      <c r="S842" s="809"/>
      <c r="T842" s="809"/>
      <c r="U842" s="809"/>
      <c r="V842" s="809"/>
      <c r="W842" s="809"/>
      <c r="X842" s="809"/>
      <c r="Y842" s="809"/>
      <c r="Z842" s="809"/>
      <c r="AA842" s="809"/>
      <c r="AB842" s="809"/>
      <c r="AC842" s="809"/>
      <c r="AD842" s="809"/>
      <c r="AE842" s="809"/>
      <c r="AF842" s="809"/>
      <c r="AG842" s="809"/>
      <c r="AH842" s="809"/>
      <c r="AI842" s="809"/>
      <c r="AJ842" s="809"/>
      <c r="AK842" s="809"/>
      <c r="AL842" s="809"/>
      <c r="AM842" s="809"/>
      <c r="AN842" s="809"/>
      <c r="AO842" s="809"/>
      <c r="AP842" s="809"/>
      <c r="AQ842" s="809"/>
      <c r="AR842" s="809"/>
      <c r="AS842" s="809"/>
      <c r="AT842" s="809"/>
      <c r="AU842" s="809"/>
      <c r="AV842" s="809"/>
      <c r="AW842" s="809"/>
      <c r="AX842" s="809"/>
      <c r="AY842" s="809"/>
      <c r="AZ842" s="809"/>
      <c r="BA842" s="809"/>
      <c r="BB842" s="809"/>
      <c r="BC842" s="809"/>
      <c r="BD842" s="809"/>
      <c r="BE842" s="809"/>
      <c r="BF842" s="809"/>
      <c r="BG842" s="809"/>
      <c r="BH842" s="809"/>
      <c r="BI842" s="809"/>
      <c r="BJ842" s="809"/>
      <c r="BK842" s="809"/>
      <c r="BL842" s="809"/>
      <c r="BM842" s="809"/>
      <c r="BN842" s="809"/>
    </row>
    <row r="843" spans="1:66">
      <c r="A843" s="809"/>
      <c r="B843" s="809"/>
      <c r="C843" s="809"/>
      <c r="D843" s="809"/>
      <c r="E843" s="809"/>
      <c r="F843" s="809"/>
      <c r="G843" s="809"/>
      <c r="H843" s="809"/>
      <c r="I843" s="809"/>
      <c r="J843" s="809"/>
      <c r="K843" s="809"/>
      <c r="L843" s="809"/>
      <c r="M843" s="809"/>
      <c r="N843" s="809"/>
      <c r="O843" s="809"/>
      <c r="P843" s="809"/>
      <c r="Q843" s="809"/>
      <c r="R843" s="809"/>
      <c r="S843" s="809"/>
      <c r="T843" s="809"/>
      <c r="U843" s="809"/>
      <c r="V843" s="809"/>
      <c r="W843" s="809"/>
      <c r="X843" s="809"/>
      <c r="Y843" s="809"/>
      <c r="Z843" s="809"/>
      <c r="AA843" s="809"/>
      <c r="AB843" s="809"/>
      <c r="AC843" s="809"/>
      <c r="AD843" s="809"/>
      <c r="AE843" s="809"/>
      <c r="AF843" s="809"/>
      <c r="AG843" s="809"/>
      <c r="AH843" s="809"/>
      <c r="AI843" s="809"/>
      <c r="AJ843" s="809"/>
      <c r="AK843" s="809"/>
      <c r="AL843" s="809"/>
      <c r="AM843" s="809"/>
      <c r="AN843" s="809"/>
      <c r="AO843" s="809"/>
      <c r="AP843" s="809"/>
      <c r="AQ843" s="809"/>
      <c r="AR843" s="809"/>
      <c r="AS843" s="809"/>
      <c r="AT843" s="809"/>
      <c r="AU843" s="809"/>
      <c r="AV843" s="809"/>
      <c r="AW843" s="809"/>
      <c r="AX843" s="809"/>
      <c r="AY843" s="809"/>
      <c r="AZ843" s="809"/>
      <c r="BA843" s="809"/>
      <c r="BB843" s="809"/>
      <c r="BC843" s="809"/>
      <c r="BD843" s="809"/>
      <c r="BE843" s="809"/>
      <c r="BF843" s="809"/>
      <c r="BG843" s="809"/>
      <c r="BH843" s="809"/>
      <c r="BI843" s="809"/>
      <c r="BJ843" s="809"/>
      <c r="BK843" s="809"/>
      <c r="BL843" s="809"/>
      <c r="BM843" s="809"/>
      <c r="BN843" s="809"/>
    </row>
    <row r="844" spans="1:66">
      <c r="A844" s="809"/>
      <c r="B844" s="809"/>
      <c r="C844" s="809"/>
      <c r="D844" s="809"/>
      <c r="E844" s="809"/>
      <c r="F844" s="809"/>
      <c r="G844" s="809"/>
      <c r="H844" s="809"/>
      <c r="I844" s="809"/>
      <c r="J844" s="809"/>
      <c r="K844" s="809"/>
      <c r="L844" s="809"/>
      <c r="M844" s="809"/>
      <c r="N844" s="809"/>
      <c r="O844" s="809"/>
      <c r="P844" s="809"/>
      <c r="Q844" s="809"/>
      <c r="R844" s="809"/>
      <c r="S844" s="809"/>
      <c r="T844" s="809"/>
      <c r="U844" s="809"/>
      <c r="V844" s="809"/>
      <c r="W844" s="809"/>
      <c r="X844" s="809"/>
      <c r="Y844" s="809"/>
      <c r="Z844" s="809"/>
      <c r="AA844" s="809"/>
      <c r="AB844" s="809"/>
      <c r="AC844" s="809"/>
      <c r="AD844" s="809"/>
      <c r="AE844" s="809"/>
      <c r="AF844" s="809"/>
      <c r="AG844" s="809"/>
      <c r="AH844" s="809"/>
      <c r="AI844" s="809"/>
      <c r="AJ844" s="809"/>
      <c r="AK844" s="809"/>
      <c r="AL844" s="809"/>
      <c r="AM844" s="809"/>
      <c r="AN844" s="809"/>
      <c r="AO844" s="809"/>
      <c r="AP844" s="809"/>
      <c r="AQ844" s="809"/>
      <c r="AR844" s="809"/>
      <c r="AS844" s="809"/>
      <c r="AT844" s="809"/>
      <c r="AU844" s="809"/>
      <c r="AV844" s="809"/>
      <c r="AW844" s="809"/>
      <c r="AX844" s="809"/>
      <c r="AY844" s="809"/>
      <c r="AZ844" s="809"/>
      <c r="BA844" s="809"/>
      <c r="BB844" s="809"/>
      <c r="BC844" s="809"/>
      <c r="BD844" s="809"/>
      <c r="BE844" s="809"/>
      <c r="BF844" s="809"/>
      <c r="BG844" s="809"/>
      <c r="BH844" s="809"/>
      <c r="BI844" s="809"/>
      <c r="BJ844" s="809"/>
      <c r="BK844" s="809"/>
      <c r="BL844" s="809"/>
      <c r="BM844" s="809"/>
      <c r="BN844" s="809"/>
    </row>
    <row r="845" spans="1:66">
      <c r="A845" s="809"/>
      <c r="B845" s="809"/>
      <c r="C845" s="809"/>
      <c r="D845" s="809"/>
      <c r="E845" s="809"/>
      <c r="F845" s="809"/>
      <c r="G845" s="809"/>
      <c r="H845" s="809"/>
      <c r="I845" s="809"/>
      <c r="J845" s="809"/>
      <c r="K845" s="809"/>
      <c r="L845" s="809"/>
      <c r="M845" s="809"/>
      <c r="N845" s="809"/>
      <c r="O845" s="809"/>
      <c r="P845" s="809"/>
      <c r="Q845" s="809"/>
      <c r="R845" s="809"/>
      <c r="S845" s="809"/>
      <c r="T845" s="809"/>
      <c r="U845" s="809"/>
      <c r="V845" s="809"/>
      <c r="W845" s="809"/>
      <c r="X845" s="809"/>
      <c r="Y845" s="809"/>
      <c r="Z845" s="809"/>
      <c r="AA845" s="809"/>
      <c r="AB845" s="809"/>
      <c r="AC845" s="809"/>
      <c r="AD845" s="809"/>
      <c r="AE845" s="809"/>
      <c r="AF845" s="809"/>
      <c r="AG845" s="809"/>
      <c r="AH845" s="809"/>
      <c r="AI845" s="809"/>
      <c r="AJ845" s="809"/>
      <c r="AK845" s="809"/>
      <c r="AL845" s="809"/>
      <c r="AM845" s="809"/>
      <c r="AN845" s="809"/>
      <c r="AO845" s="809"/>
      <c r="AP845" s="809"/>
      <c r="AQ845" s="809"/>
      <c r="AR845" s="809"/>
      <c r="AS845" s="809"/>
      <c r="AT845" s="809"/>
      <c r="AU845" s="809"/>
      <c r="AV845" s="809"/>
      <c r="AW845" s="809"/>
      <c r="AX845" s="809"/>
      <c r="AY845" s="809"/>
      <c r="AZ845" s="809"/>
      <c r="BA845" s="809"/>
      <c r="BB845" s="809"/>
      <c r="BC845" s="809"/>
      <c r="BD845" s="809"/>
      <c r="BE845" s="809"/>
      <c r="BF845" s="809"/>
      <c r="BG845" s="809"/>
      <c r="BH845" s="809"/>
      <c r="BI845" s="809"/>
      <c r="BJ845" s="809"/>
      <c r="BK845" s="809"/>
      <c r="BL845" s="809"/>
      <c r="BM845" s="809"/>
      <c r="BN845" s="809"/>
    </row>
    <row r="846" spans="1:66">
      <c r="A846" s="809"/>
      <c r="B846" s="809"/>
      <c r="C846" s="809"/>
      <c r="D846" s="809"/>
      <c r="E846" s="809"/>
      <c r="F846" s="809"/>
      <c r="G846" s="809"/>
      <c r="H846" s="809"/>
      <c r="I846" s="809"/>
      <c r="J846" s="809"/>
      <c r="K846" s="809"/>
      <c r="L846" s="809"/>
      <c r="M846" s="809"/>
      <c r="N846" s="809"/>
      <c r="O846" s="809"/>
      <c r="P846" s="809"/>
      <c r="Q846" s="809"/>
      <c r="R846" s="809"/>
      <c r="S846" s="809"/>
      <c r="T846" s="809"/>
      <c r="U846" s="809"/>
      <c r="V846" s="809"/>
      <c r="W846" s="809"/>
      <c r="X846" s="809"/>
      <c r="Y846" s="809"/>
      <c r="Z846" s="809"/>
      <c r="AA846" s="809"/>
      <c r="AB846" s="809"/>
      <c r="AC846" s="809"/>
      <c r="AD846" s="809"/>
      <c r="AE846" s="809"/>
      <c r="AF846" s="809"/>
      <c r="AG846" s="809"/>
      <c r="AH846" s="809"/>
      <c r="AI846" s="809"/>
      <c r="AJ846" s="809"/>
      <c r="AK846" s="809"/>
      <c r="AL846" s="809"/>
      <c r="AM846" s="809"/>
      <c r="AN846" s="809"/>
      <c r="AO846" s="809"/>
      <c r="AP846" s="809"/>
      <c r="AQ846" s="809"/>
      <c r="AR846" s="809"/>
      <c r="AS846" s="809"/>
      <c r="AT846" s="809"/>
      <c r="AU846" s="809"/>
      <c r="AV846" s="809"/>
      <c r="AW846" s="809"/>
      <c r="AX846" s="809"/>
      <c r="AY846" s="809"/>
      <c r="AZ846" s="809"/>
      <c r="BA846" s="809"/>
      <c r="BB846" s="809"/>
      <c r="BC846" s="809"/>
      <c r="BD846" s="809"/>
      <c r="BE846" s="809"/>
      <c r="BF846" s="809"/>
      <c r="BG846" s="809"/>
      <c r="BH846" s="809"/>
      <c r="BI846" s="809"/>
      <c r="BJ846" s="809"/>
      <c r="BK846" s="809"/>
      <c r="BL846" s="809"/>
      <c r="BM846" s="809"/>
      <c r="BN846" s="809"/>
    </row>
    <row r="847" spans="1:66">
      <c r="A847" s="809"/>
      <c r="B847" s="809"/>
      <c r="C847" s="809"/>
      <c r="D847" s="809"/>
      <c r="E847" s="809"/>
      <c r="F847" s="809"/>
      <c r="G847" s="809"/>
      <c r="H847" s="809"/>
      <c r="I847" s="809"/>
      <c r="J847" s="809"/>
      <c r="K847" s="809"/>
      <c r="L847" s="809"/>
      <c r="M847" s="809"/>
      <c r="N847" s="809"/>
      <c r="O847" s="809"/>
      <c r="P847" s="809"/>
      <c r="Q847" s="809"/>
      <c r="R847" s="809"/>
      <c r="S847" s="809"/>
      <c r="T847" s="809"/>
      <c r="U847" s="809"/>
      <c r="V847" s="809"/>
      <c r="W847" s="809"/>
      <c r="X847" s="809"/>
      <c r="Y847" s="809"/>
      <c r="Z847" s="809"/>
      <c r="AA847" s="809"/>
      <c r="AB847" s="809"/>
      <c r="AC847" s="809"/>
      <c r="AD847" s="809"/>
      <c r="AE847" s="809"/>
      <c r="AF847" s="809"/>
      <c r="AG847" s="809"/>
      <c r="AH847" s="809"/>
      <c r="AI847" s="809"/>
      <c r="AJ847" s="809"/>
      <c r="AK847" s="809"/>
      <c r="AL847" s="809"/>
      <c r="AM847" s="809"/>
      <c r="AN847" s="809"/>
      <c r="AO847" s="809"/>
      <c r="AP847" s="809"/>
      <c r="AQ847" s="809"/>
      <c r="AR847" s="809"/>
      <c r="AS847" s="809"/>
      <c r="AT847" s="809"/>
      <c r="AU847" s="809"/>
      <c r="AV847" s="809"/>
      <c r="AW847" s="809"/>
      <c r="AX847" s="809"/>
      <c r="AY847" s="809"/>
      <c r="AZ847" s="809"/>
      <c r="BA847" s="809"/>
      <c r="BB847" s="809"/>
      <c r="BC847" s="809"/>
      <c r="BD847" s="809"/>
      <c r="BE847" s="809"/>
      <c r="BF847" s="809"/>
      <c r="BG847" s="809"/>
      <c r="BH847" s="809"/>
      <c r="BI847" s="809"/>
      <c r="BJ847" s="809"/>
      <c r="BK847" s="809"/>
      <c r="BL847" s="809"/>
      <c r="BM847" s="809"/>
      <c r="BN847" s="809"/>
    </row>
    <row r="848" spans="1:66">
      <c r="A848" s="809"/>
      <c r="B848" s="809"/>
      <c r="C848" s="809"/>
      <c r="D848" s="809"/>
      <c r="E848" s="809"/>
      <c r="F848" s="809"/>
      <c r="G848" s="809"/>
      <c r="H848" s="809"/>
      <c r="I848" s="809"/>
      <c r="J848" s="809"/>
      <c r="K848" s="809"/>
      <c r="L848" s="809"/>
      <c r="M848" s="809"/>
      <c r="N848" s="809"/>
      <c r="O848" s="809"/>
      <c r="P848" s="809"/>
      <c r="Q848" s="809"/>
      <c r="R848" s="809"/>
      <c r="S848" s="809"/>
      <c r="T848" s="809"/>
      <c r="U848" s="809"/>
      <c r="V848" s="809"/>
      <c r="W848" s="809"/>
      <c r="X848" s="809"/>
      <c r="Y848" s="809"/>
      <c r="Z848" s="809"/>
      <c r="AA848" s="809"/>
      <c r="AB848" s="809"/>
      <c r="AC848" s="809"/>
      <c r="AD848" s="809"/>
      <c r="AE848" s="809"/>
      <c r="AF848" s="809"/>
      <c r="AG848" s="809"/>
      <c r="AH848" s="809"/>
      <c r="AI848" s="809"/>
      <c r="AJ848" s="809"/>
      <c r="AK848" s="809"/>
      <c r="AL848" s="809"/>
      <c r="AM848" s="809"/>
      <c r="AN848" s="809"/>
      <c r="AO848" s="809"/>
      <c r="AP848" s="809"/>
      <c r="AQ848" s="809"/>
      <c r="AR848" s="809"/>
      <c r="AS848" s="809"/>
      <c r="AT848" s="809"/>
      <c r="AU848" s="809"/>
      <c r="AV848" s="809"/>
      <c r="AW848" s="809"/>
      <c r="AX848" s="809"/>
      <c r="AY848" s="809"/>
      <c r="AZ848" s="809"/>
      <c r="BA848" s="809"/>
      <c r="BB848" s="809"/>
      <c r="BC848" s="809"/>
      <c r="BD848" s="809"/>
      <c r="BE848" s="809"/>
      <c r="BF848" s="809"/>
      <c r="BG848" s="809"/>
      <c r="BH848" s="809"/>
      <c r="BI848" s="809"/>
      <c r="BJ848" s="809"/>
      <c r="BK848" s="809"/>
      <c r="BL848" s="809"/>
      <c r="BM848" s="809"/>
      <c r="BN848" s="809"/>
    </row>
    <row r="849" spans="1:66">
      <c r="A849" s="809"/>
      <c r="B849" s="809"/>
      <c r="C849" s="809"/>
      <c r="D849" s="809"/>
      <c r="E849" s="809"/>
      <c r="F849" s="809"/>
      <c r="G849" s="809"/>
      <c r="H849" s="809"/>
      <c r="I849" s="809"/>
      <c r="J849" s="809"/>
      <c r="K849" s="809"/>
      <c r="L849" s="809"/>
      <c r="M849" s="809"/>
      <c r="N849" s="809"/>
      <c r="O849" s="809"/>
      <c r="P849" s="809"/>
      <c r="Q849" s="809"/>
      <c r="R849" s="809"/>
      <c r="S849" s="809"/>
      <c r="T849" s="809"/>
      <c r="U849" s="809"/>
      <c r="V849" s="809"/>
      <c r="W849" s="809"/>
      <c r="X849" s="809"/>
      <c r="Y849" s="809"/>
      <c r="Z849" s="809"/>
      <c r="AA849" s="809"/>
      <c r="AB849" s="809"/>
      <c r="AC849" s="809"/>
      <c r="AD849" s="809"/>
      <c r="AE849" s="809"/>
      <c r="AF849" s="809"/>
      <c r="AG849" s="809"/>
      <c r="AH849" s="809"/>
      <c r="AI849" s="809"/>
      <c r="AJ849" s="809"/>
      <c r="AK849" s="809"/>
      <c r="AL849" s="809"/>
      <c r="AM849" s="809"/>
      <c r="AN849" s="809"/>
      <c r="AO849" s="809"/>
      <c r="AP849" s="809"/>
      <c r="AQ849" s="809"/>
      <c r="AR849" s="809"/>
      <c r="AS849" s="809"/>
      <c r="AT849" s="809"/>
      <c r="AU849" s="809"/>
      <c r="AV849" s="809"/>
      <c r="AW849" s="809"/>
      <c r="AX849" s="809"/>
      <c r="AY849" s="809"/>
      <c r="AZ849" s="809"/>
      <c r="BA849" s="809"/>
      <c r="BB849" s="809"/>
      <c r="BC849" s="809"/>
      <c r="BD849" s="809"/>
      <c r="BE849" s="809"/>
      <c r="BF849" s="809"/>
      <c r="BG849" s="809"/>
      <c r="BH849" s="809"/>
      <c r="BI849" s="809"/>
      <c r="BJ849" s="809"/>
      <c r="BK849" s="809"/>
      <c r="BL849" s="809"/>
      <c r="BM849" s="809"/>
      <c r="BN849" s="809"/>
    </row>
    <row r="850" spans="1:66">
      <c r="A850" s="809"/>
      <c r="B850" s="809"/>
      <c r="C850" s="809"/>
      <c r="D850" s="809"/>
      <c r="E850" s="809"/>
      <c r="F850" s="809"/>
      <c r="G850" s="809"/>
      <c r="H850" s="809"/>
      <c r="I850" s="809"/>
      <c r="J850" s="809"/>
      <c r="K850" s="809"/>
      <c r="L850" s="809"/>
      <c r="M850" s="809"/>
      <c r="N850" s="809"/>
      <c r="O850" s="809"/>
      <c r="P850" s="809"/>
      <c r="Q850" s="809"/>
      <c r="R850" s="809"/>
      <c r="S850" s="809"/>
      <c r="T850" s="809"/>
      <c r="U850" s="809"/>
      <c r="V850" s="809"/>
      <c r="W850" s="809"/>
      <c r="X850" s="809"/>
      <c r="Y850" s="809"/>
      <c r="Z850" s="809"/>
      <c r="AA850" s="809"/>
      <c r="AB850" s="809"/>
      <c r="AC850" s="809"/>
      <c r="AD850" s="809"/>
      <c r="AE850" s="809"/>
      <c r="AF850" s="809"/>
      <c r="AG850" s="809"/>
      <c r="AH850" s="809"/>
      <c r="AI850" s="809"/>
      <c r="AJ850" s="809"/>
      <c r="AK850" s="809"/>
      <c r="AL850" s="809"/>
      <c r="AM850" s="809"/>
      <c r="AN850" s="809"/>
      <c r="AO850" s="809"/>
      <c r="AP850" s="809"/>
      <c r="AQ850" s="809"/>
      <c r="AR850" s="809"/>
      <c r="AS850" s="809"/>
      <c r="AT850" s="809"/>
      <c r="AU850" s="809"/>
      <c r="AV850" s="809"/>
      <c r="AW850" s="809"/>
      <c r="AX850" s="809"/>
      <c r="AY850" s="809"/>
      <c r="AZ850" s="809"/>
      <c r="BA850" s="809"/>
      <c r="BB850" s="809"/>
      <c r="BC850" s="809"/>
      <c r="BD850" s="809"/>
      <c r="BE850" s="809"/>
      <c r="BF850" s="809"/>
      <c r="BG850" s="809"/>
      <c r="BH850" s="809"/>
      <c r="BI850" s="809"/>
      <c r="BJ850" s="809"/>
      <c r="BK850" s="809"/>
      <c r="BL850" s="809"/>
      <c r="BM850" s="809"/>
      <c r="BN850" s="809"/>
    </row>
    <row r="851" spans="1:66">
      <c r="A851" s="809"/>
      <c r="B851" s="809"/>
      <c r="C851" s="809"/>
      <c r="D851" s="809"/>
      <c r="E851" s="809"/>
      <c r="F851" s="809"/>
      <c r="G851" s="809"/>
      <c r="H851" s="809"/>
      <c r="I851" s="809"/>
      <c r="J851" s="809"/>
      <c r="K851" s="809"/>
      <c r="L851" s="809"/>
      <c r="M851" s="809"/>
      <c r="N851" s="809"/>
      <c r="O851" s="809"/>
      <c r="P851" s="809"/>
      <c r="Q851" s="809"/>
      <c r="R851" s="809"/>
      <c r="S851" s="809"/>
      <c r="T851" s="809"/>
      <c r="U851" s="809"/>
      <c r="V851" s="809"/>
      <c r="W851" s="809"/>
      <c r="X851" s="809"/>
      <c r="Y851" s="809"/>
      <c r="Z851" s="809"/>
      <c r="AA851" s="809"/>
      <c r="AB851" s="809"/>
      <c r="AC851" s="809"/>
      <c r="AD851" s="809"/>
      <c r="AE851" s="809"/>
      <c r="AF851" s="809"/>
      <c r="AG851" s="809"/>
      <c r="AH851" s="809"/>
      <c r="AI851" s="809"/>
      <c r="AJ851" s="809"/>
      <c r="AK851" s="809"/>
      <c r="AL851" s="809"/>
      <c r="AM851" s="809"/>
      <c r="AN851" s="809"/>
      <c r="AO851" s="809"/>
      <c r="AP851" s="809"/>
      <c r="AQ851" s="809"/>
      <c r="AR851" s="809"/>
      <c r="AS851" s="809"/>
      <c r="AT851" s="809"/>
      <c r="AU851" s="809"/>
      <c r="AV851" s="809"/>
      <c r="AW851" s="809"/>
      <c r="AX851" s="809"/>
      <c r="AY851" s="809"/>
      <c r="AZ851" s="809"/>
      <c r="BA851" s="809"/>
      <c r="BB851" s="809"/>
      <c r="BC851" s="809"/>
      <c r="BD851" s="809"/>
      <c r="BE851" s="809"/>
      <c r="BF851" s="809"/>
      <c r="BG851" s="809"/>
      <c r="BH851" s="809"/>
      <c r="BI851" s="809"/>
      <c r="BJ851" s="809"/>
      <c r="BK851" s="809"/>
      <c r="BL851" s="809"/>
      <c r="BM851" s="809"/>
      <c r="BN851" s="809"/>
    </row>
    <row r="852" spans="1:66">
      <c r="A852" s="809"/>
      <c r="B852" s="809"/>
      <c r="C852" s="809"/>
      <c r="D852" s="809"/>
      <c r="E852" s="809"/>
      <c r="F852" s="809"/>
      <c r="G852" s="809"/>
      <c r="H852" s="809"/>
      <c r="I852" s="809"/>
      <c r="J852" s="809"/>
      <c r="K852" s="809"/>
      <c r="L852" s="809"/>
      <c r="M852" s="809"/>
      <c r="N852" s="809"/>
      <c r="O852" s="809"/>
      <c r="P852" s="809"/>
      <c r="Q852" s="809"/>
      <c r="R852" s="809"/>
      <c r="S852" s="809"/>
      <c r="T852" s="809"/>
      <c r="U852" s="809"/>
      <c r="V852" s="809"/>
      <c r="W852" s="809"/>
      <c r="X852" s="809"/>
      <c r="Y852" s="809"/>
      <c r="Z852" s="809"/>
      <c r="AA852" s="809"/>
      <c r="AB852" s="809"/>
      <c r="AC852" s="809"/>
      <c r="AD852" s="809"/>
      <c r="AE852" s="809"/>
      <c r="AF852" s="809"/>
      <c r="AG852" s="809"/>
      <c r="AH852" s="809"/>
      <c r="AI852" s="809"/>
      <c r="AJ852" s="809"/>
      <c r="AK852" s="809"/>
      <c r="AL852" s="809"/>
      <c r="AM852" s="809"/>
      <c r="AN852" s="809"/>
      <c r="AO852" s="809"/>
      <c r="AP852" s="809"/>
      <c r="AQ852" s="809"/>
      <c r="AR852" s="809"/>
      <c r="AS852" s="809"/>
      <c r="AT852" s="809"/>
      <c r="AU852" s="809"/>
      <c r="AV852" s="809"/>
      <c r="AW852" s="809"/>
      <c r="AX852" s="809"/>
      <c r="AY852" s="809"/>
      <c r="AZ852" s="809"/>
      <c r="BA852" s="809"/>
      <c r="BB852" s="809"/>
      <c r="BC852" s="809"/>
      <c r="BD852" s="809"/>
      <c r="BE852" s="809"/>
      <c r="BF852" s="809"/>
      <c r="BG852" s="809"/>
      <c r="BH852" s="809"/>
      <c r="BI852" s="809"/>
      <c r="BJ852" s="809"/>
      <c r="BK852" s="809"/>
      <c r="BL852" s="809"/>
      <c r="BM852" s="809"/>
      <c r="BN852" s="809"/>
    </row>
    <row r="853" spans="1:66">
      <c r="A853" s="809"/>
      <c r="B853" s="809"/>
      <c r="C853" s="809"/>
      <c r="D853" s="809"/>
      <c r="E853" s="809"/>
      <c r="F853" s="809"/>
      <c r="G853" s="809"/>
      <c r="H853" s="809"/>
      <c r="I853" s="809"/>
      <c r="J853" s="809"/>
      <c r="K853" s="809"/>
      <c r="L853" s="809"/>
      <c r="M853" s="809"/>
      <c r="N853" s="809"/>
      <c r="O853" s="809"/>
      <c r="P853" s="809"/>
      <c r="Q853" s="809"/>
      <c r="R853" s="809"/>
      <c r="S853" s="809"/>
      <c r="T853" s="809"/>
      <c r="U853" s="809"/>
      <c r="V853" s="809"/>
      <c r="W853" s="809"/>
      <c r="X853" s="809"/>
      <c r="Y853" s="809"/>
      <c r="Z853" s="809"/>
      <c r="AA853" s="809"/>
      <c r="AB853" s="809"/>
      <c r="AC853" s="809"/>
      <c r="AD853" s="809"/>
      <c r="AE853" s="809"/>
      <c r="AF853" s="809"/>
      <c r="AG853" s="809"/>
      <c r="AH853" s="809"/>
      <c r="AI853" s="809"/>
      <c r="AJ853" s="809"/>
      <c r="AK853" s="809"/>
      <c r="AL853" s="809"/>
      <c r="AM853" s="809"/>
      <c r="AN853" s="809"/>
      <c r="AO853" s="809"/>
      <c r="AP853" s="809"/>
      <c r="AQ853" s="809"/>
      <c r="AR853" s="809"/>
      <c r="AS853" s="809"/>
      <c r="AT853" s="809"/>
      <c r="AU853" s="809"/>
      <c r="AV853" s="809"/>
      <c r="AW853" s="809"/>
      <c r="AX853" s="809"/>
      <c r="AY853" s="809"/>
      <c r="AZ853" s="809"/>
      <c r="BA853" s="809"/>
      <c r="BB853" s="809"/>
      <c r="BC853" s="809"/>
      <c r="BD853" s="809"/>
      <c r="BE853" s="809"/>
      <c r="BF853" s="809"/>
      <c r="BG853" s="809"/>
      <c r="BH853" s="809"/>
      <c r="BI853" s="809"/>
      <c r="BJ853" s="809"/>
      <c r="BK853" s="809"/>
      <c r="BL853" s="809"/>
      <c r="BM853" s="809"/>
      <c r="BN853" s="809"/>
    </row>
    <row r="854" spans="1:66">
      <c r="A854" s="809"/>
      <c r="B854" s="809"/>
      <c r="C854" s="809"/>
      <c r="D854" s="809"/>
      <c r="E854" s="809"/>
      <c r="F854" s="809"/>
      <c r="G854" s="809"/>
      <c r="H854" s="809"/>
      <c r="I854" s="809"/>
      <c r="J854" s="809"/>
      <c r="K854" s="809"/>
      <c r="L854" s="809"/>
      <c r="M854" s="809"/>
      <c r="N854" s="809"/>
      <c r="O854" s="809"/>
      <c r="P854" s="809"/>
      <c r="Q854" s="809"/>
      <c r="R854" s="809"/>
      <c r="S854" s="809"/>
      <c r="T854" s="809"/>
      <c r="U854" s="809"/>
      <c r="V854" s="809"/>
      <c r="W854" s="809"/>
      <c r="X854" s="809"/>
      <c r="Y854" s="809"/>
      <c r="Z854" s="809"/>
      <c r="AA854" s="809"/>
      <c r="AB854" s="809"/>
      <c r="AC854" s="809"/>
      <c r="AD854" s="809"/>
      <c r="AE854" s="809"/>
      <c r="AF854" s="809"/>
      <c r="AG854" s="809"/>
      <c r="AH854" s="809"/>
      <c r="AI854" s="809"/>
      <c r="AJ854" s="809"/>
      <c r="AK854" s="809"/>
      <c r="AL854" s="809"/>
      <c r="AM854" s="809"/>
      <c r="AN854" s="809"/>
      <c r="AO854" s="809"/>
      <c r="AP854" s="809"/>
      <c r="AQ854" s="809"/>
      <c r="AR854" s="809"/>
      <c r="AS854" s="809"/>
      <c r="AT854" s="809"/>
      <c r="AU854" s="809"/>
      <c r="AV854" s="809"/>
      <c r="AW854" s="809"/>
      <c r="AX854" s="809"/>
      <c r="AY854" s="809"/>
      <c r="AZ854" s="809"/>
      <c r="BA854" s="809"/>
      <c r="BB854" s="809"/>
      <c r="BC854" s="809"/>
      <c r="BD854" s="809"/>
      <c r="BE854" s="809"/>
      <c r="BF854" s="809"/>
      <c r="BG854" s="809"/>
      <c r="BH854" s="809"/>
      <c r="BI854" s="809"/>
      <c r="BJ854" s="809"/>
      <c r="BK854" s="809"/>
      <c r="BL854" s="809"/>
      <c r="BM854" s="809"/>
      <c r="BN854" s="809"/>
    </row>
    <row r="855" spans="1:66">
      <c r="A855" s="809"/>
      <c r="B855" s="809"/>
      <c r="C855" s="809"/>
      <c r="D855" s="809"/>
      <c r="E855" s="809"/>
      <c r="F855" s="809"/>
      <c r="G855" s="809"/>
      <c r="H855" s="809"/>
      <c r="I855" s="809"/>
      <c r="J855" s="809"/>
      <c r="K855" s="809"/>
      <c r="L855" s="809"/>
      <c r="M855" s="809"/>
      <c r="N855" s="809"/>
      <c r="O855" s="809"/>
      <c r="P855" s="809"/>
      <c r="Q855" s="809"/>
      <c r="R855" s="809"/>
      <c r="S855" s="809"/>
      <c r="T855" s="809"/>
      <c r="U855" s="809"/>
      <c r="V855" s="809"/>
      <c r="W855" s="809"/>
      <c r="X855" s="809"/>
      <c r="Y855" s="809"/>
      <c r="Z855" s="809"/>
      <c r="AA855" s="809"/>
      <c r="AB855" s="809"/>
      <c r="AC855" s="809"/>
      <c r="AD855" s="809"/>
      <c r="AE855" s="809"/>
      <c r="AF855" s="809"/>
      <c r="AG855" s="809"/>
      <c r="AH855" s="809"/>
      <c r="AI855" s="809"/>
      <c r="AJ855" s="809"/>
      <c r="AK855" s="809"/>
      <c r="AL855" s="809"/>
      <c r="AM855" s="809"/>
      <c r="AN855" s="809"/>
      <c r="AO855" s="809"/>
      <c r="AP855" s="809"/>
      <c r="AQ855" s="809"/>
      <c r="AR855" s="809"/>
      <c r="AS855" s="809"/>
      <c r="AT855" s="809"/>
      <c r="AU855" s="809"/>
      <c r="AV855" s="809"/>
      <c r="AW855" s="809"/>
      <c r="AX855" s="809"/>
      <c r="AY855" s="809"/>
      <c r="AZ855" s="809"/>
      <c r="BA855" s="809"/>
      <c r="BB855" s="809"/>
      <c r="BC855" s="809"/>
      <c r="BD855" s="809"/>
      <c r="BE855" s="809"/>
      <c r="BF855" s="809"/>
      <c r="BG855" s="809"/>
      <c r="BH855" s="809"/>
      <c r="BI855" s="809"/>
      <c r="BJ855" s="809"/>
      <c r="BK855" s="809"/>
      <c r="BL855" s="809"/>
      <c r="BM855" s="809"/>
      <c r="BN855" s="809"/>
    </row>
    <row r="856" spans="1:66">
      <c r="A856" s="809"/>
      <c r="B856" s="809"/>
      <c r="C856" s="809"/>
      <c r="D856" s="809"/>
      <c r="E856" s="809"/>
      <c r="F856" s="809"/>
      <c r="G856" s="809"/>
      <c r="H856" s="809"/>
      <c r="I856" s="809"/>
      <c r="J856" s="809"/>
      <c r="K856" s="809"/>
      <c r="L856" s="809"/>
      <c r="M856" s="809"/>
      <c r="N856" s="809"/>
      <c r="O856" s="809"/>
      <c r="P856" s="809"/>
      <c r="Q856" s="809"/>
      <c r="R856" s="809"/>
      <c r="S856" s="809"/>
      <c r="T856" s="809"/>
      <c r="U856" s="809"/>
      <c r="V856" s="809"/>
      <c r="W856" s="809"/>
      <c r="X856" s="809"/>
      <c r="Y856" s="809"/>
      <c r="Z856" s="809"/>
      <c r="AA856" s="809"/>
      <c r="AB856" s="809"/>
      <c r="AC856" s="809"/>
      <c r="AD856" s="809"/>
      <c r="AE856" s="809"/>
      <c r="AF856" s="809"/>
      <c r="AG856" s="809"/>
      <c r="AH856" s="809"/>
      <c r="AI856" s="809"/>
      <c r="AJ856" s="809"/>
      <c r="AK856" s="809"/>
      <c r="AL856" s="809"/>
      <c r="AM856" s="809"/>
      <c r="AN856" s="809"/>
      <c r="AO856" s="809"/>
      <c r="AP856" s="809"/>
      <c r="AQ856" s="809"/>
      <c r="AR856" s="809"/>
      <c r="AS856" s="809"/>
      <c r="AT856" s="809"/>
      <c r="AU856" s="809"/>
      <c r="AV856" s="809"/>
      <c r="AW856" s="809"/>
      <c r="AX856" s="809"/>
      <c r="AY856" s="809"/>
      <c r="AZ856" s="809"/>
      <c r="BA856" s="809"/>
      <c r="BB856" s="809"/>
      <c r="BC856" s="809"/>
      <c r="BD856" s="809"/>
      <c r="BE856" s="809"/>
      <c r="BF856" s="809"/>
      <c r="BG856" s="809"/>
      <c r="BH856" s="809"/>
      <c r="BI856" s="809"/>
      <c r="BJ856" s="809"/>
      <c r="BK856" s="809"/>
      <c r="BL856" s="809"/>
      <c r="BM856" s="809"/>
      <c r="BN856" s="809"/>
    </row>
    <row r="857" spans="1:66">
      <c r="A857" s="809"/>
      <c r="B857" s="809"/>
      <c r="C857" s="809"/>
      <c r="D857" s="809"/>
      <c r="E857" s="809"/>
      <c r="F857" s="809"/>
      <c r="G857" s="809"/>
      <c r="H857" s="809"/>
      <c r="I857" s="809"/>
      <c r="J857" s="809"/>
      <c r="K857" s="809"/>
      <c r="L857" s="809"/>
      <c r="M857" s="809"/>
      <c r="N857" s="809"/>
      <c r="O857" s="809"/>
      <c r="P857" s="809"/>
      <c r="Q857" s="809"/>
      <c r="R857" s="809"/>
      <c r="S857" s="809"/>
      <c r="T857" s="809"/>
      <c r="U857" s="809"/>
      <c r="V857" s="809"/>
      <c r="W857" s="809"/>
      <c r="X857" s="809"/>
      <c r="Y857" s="809"/>
      <c r="Z857" s="809"/>
      <c r="AA857" s="809"/>
      <c r="AB857" s="809"/>
      <c r="AC857" s="809"/>
      <c r="AD857" s="809"/>
      <c r="AE857" s="809"/>
      <c r="AF857" s="809"/>
      <c r="AG857" s="809"/>
      <c r="AH857" s="809"/>
      <c r="AI857" s="809"/>
      <c r="AJ857" s="809"/>
      <c r="AK857" s="809"/>
      <c r="AL857" s="809"/>
      <c r="AM857" s="809"/>
      <c r="AN857" s="809"/>
      <c r="AO857" s="809"/>
      <c r="AP857" s="809"/>
      <c r="AQ857" s="809"/>
      <c r="AR857" s="809"/>
      <c r="AS857" s="809"/>
      <c r="AT857" s="809"/>
      <c r="AU857" s="809"/>
      <c r="AV857" s="809"/>
      <c r="AW857" s="809"/>
      <c r="AX857" s="809"/>
      <c r="AY857" s="809"/>
      <c r="AZ857" s="809"/>
      <c r="BA857" s="809"/>
      <c r="BB857" s="809"/>
      <c r="BC857" s="809"/>
      <c r="BD857" s="809"/>
      <c r="BE857" s="809"/>
      <c r="BF857" s="809"/>
      <c r="BG857" s="809"/>
      <c r="BH857" s="809"/>
      <c r="BI857" s="809"/>
      <c r="BJ857" s="809"/>
      <c r="BK857" s="809"/>
      <c r="BL857" s="809"/>
      <c r="BM857" s="809"/>
      <c r="BN857" s="809"/>
    </row>
    <row r="858" spans="1:66">
      <c r="A858" s="809"/>
      <c r="B858" s="809"/>
      <c r="C858" s="809"/>
      <c r="D858" s="809"/>
      <c r="E858" s="809"/>
      <c r="F858" s="809"/>
      <c r="G858" s="809"/>
      <c r="H858" s="809"/>
      <c r="I858" s="809"/>
      <c r="J858" s="809"/>
      <c r="K858" s="809"/>
      <c r="L858" s="809"/>
      <c r="M858" s="809"/>
      <c r="N858" s="809"/>
      <c r="O858" s="809"/>
      <c r="P858" s="809"/>
      <c r="Q858" s="809"/>
      <c r="R858" s="809"/>
      <c r="S858" s="809"/>
      <c r="T858" s="809"/>
      <c r="U858" s="809"/>
      <c r="V858" s="809"/>
      <c r="W858" s="809"/>
      <c r="X858" s="809"/>
      <c r="Y858" s="809"/>
      <c r="Z858" s="809"/>
      <c r="AA858" s="809"/>
      <c r="AB858" s="809"/>
      <c r="AC858" s="809"/>
      <c r="AD858" s="809"/>
      <c r="AE858" s="809"/>
      <c r="AF858" s="809"/>
      <c r="AG858" s="809"/>
      <c r="AH858" s="809"/>
      <c r="AI858" s="809"/>
      <c r="AJ858" s="809"/>
      <c r="AK858" s="809"/>
      <c r="AL858" s="809"/>
      <c r="AM858" s="809"/>
      <c r="AN858" s="809"/>
      <c r="AO858" s="809"/>
      <c r="AP858" s="809"/>
      <c r="AQ858" s="809"/>
      <c r="AR858" s="809"/>
      <c r="AS858" s="809"/>
      <c r="AT858" s="809"/>
      <c r="AU858" s="809"/>
      <c r="AV858" s="809"/>
      <c r="AW858" s="809"/>
      <c r="AX858" s="809"/>
      <c r="AY858" s="809"/>
      <c r="AZ858" s="809"/>
      <c r="BA858" s="809"/>
      <c r="BB858" s="809"/>
      <c r="BC858" s="809"/>
      <c r="BD858" s="809"/>
      <c r="BE858" s="809"/>
      <c r="BF858" s="809"/>
      <c r="BG858" s="809"/>
      <c r="BH858" s="809"/>
      <c r="BI858" s="809"/>
      <c r="BJ858" s="809"/>
      <c r="BK858" s="809"/>
      <c r="BL858" s="809"/>
      <c r="BM858" s="809"/>
      <c r="BN858" s="809"/>
    </row>
    <row r="859" spans="1:66">
      <c r="A859" s="809"/>
      <c r="B859" s="809"/>
      <c r="C859" s="809"/>
      <c r="D859" s="809"/>
      <c r="E859" s="809"/>
      <c r="F859" s="809"/>
      <c r="G859" s="809"/>
      <c r="H859" s="809"/>
      <c r="I859" s="809"/>
      <c r="J859" s="809"/>
      <c r="K859" s="809"/>
      <c r="L859" s="809"/>
      <c r="M859" s="809"/>
      <c r="N859" s="809"/>
      <c r="O859" s="809"/>
      <c r="P859" s="809"/>
      <c r="Q859" s="809"/>
      <c r="R859" s="809"/>
      <c r="S859" s="809"/>
      <c r="T859" s="809"/>
      <c r="U859" s="809"/>
      <c r="V859" s="809"/>
      <c r="W859" s="809"/>
      <c r="X859" s="809"/>
      <c r="Y859" s="809"/>
      <c r="Z859" s="809"/>
      <c r="AA859" s="809"/>
      <c r="AB859" s="809"/>
      <c r="AC859" s="809"/>
      <c r="AD859" s="809"/>
      <c r="AE859" s="809"/>
      <c r="AF859" s="809"/>
      <c r="AG859" s="809"/>
      <c r="AH859" s="809"/>
      <c r="AI859" s="809"/>
      <c r="AJ859" s="809"/>
      <c r="AK859" s="809"/>
      <c r="AL859" s="809"/>
      <c r="AM859" s="809"/>
      <c r="AN859" s="809"/>
      <c r="AO859" s="809"/>
      <c r="AP859" s="809"/>
      <c r="AQ859" s="809"/>
      <c r="AR859" s="809"/>
      <c r="AS859" s="809"/>
      <c r="AT859" s="809"/>
      <c r="AU859" s="809"/>
      <c r="AV859" s="809"/>
      <c r="AW859" s="809"/>
      <c r="AX859" s="809"/>
      <c r="AY859" s="809"/>
      <c r="AZ859" s="809"/>
      <c r="BA859" s="809"/>
      <c r="BB859" s="809"/>
      <c r="BC859" s="809"/>
      <c r="BD859" s="809"/>
      <c r="BE859" s="809"/>
      <c r="BF859" s="809"/>
      <c r="BG859" s="809"/>
      <c r="BH859" s="809"/>
      <c r="BI859" s="809"/>
      <c r="BJ859" s="809"/>
      <c r="BK859" s="809"/>
      <c r="BL859" s="809"/>
      <c r="BM859" s="809"/>
      <c r="BN859" s="809"/>
    </row>
    <row r="860" spans="1:66">
      <c r="A860" s="809"/>
      <c r="B860" s="809"/>
      <c r="C860" s="809"/>
      <c r="D860" s="809"/>
      <c r="E860" s="809"/>
      <c r="F860" s="809"/>
      <c r="G860" s="809"/>
      <c r="H860" s="809"/>
      <c r="I860" s="809"/>
      <c r="J860" s="809"/>
      <c r="K860" s="809"/>
      <c r="L860" s="809"/>
      <c r="M860" s="809"/>
      <c r="N860" s="809"/>
      <c r="O860" s="809"/>
      <c r="P860" s="809"/>
      <c r="Q860" s="809"/>
      <c r="R860" s="809"/>
      <c r="S860" s="809"/>
      <c r="T860" s="809"/>
      <c r="U860" s="809"/>
      <c r="V860" s="809"/>
      <c r="W860" s="809"/>
      <c r="X860" s="809"/>
      <c r="Y860" s="809"/>
      <c r="Z860" s="809"/>
      <c r="AA860" s="809"/>
      <c r="AB860" s="809"/>
      <c r="AC860" s="809"/>
      <c r="AD860" s="809"/>
      <c r="AE860" s="809"/>
      <c r="AF860" s="809"/>
      <c r="AG860" s="809"/>
      <c r="AH860" s="809"/>
      <c r="AI860" s="809"/>
      <c r="AJ860" s="809"/>
      <c r="AK860" s="809"/>
      <c r="AL860" s="809"/>
      <c r="AM860" s="809"/>
      <c r="AN860" s="809"/>
      <c r="AO860" s="809"/>
      <c r="AP860" s="809"/>
      <c r="AQ860" s="809"/>
      <c r="AR860" s="809"/>
      <c r="AS860" s="809"/>
      <c r="AT860" s="809"/>
      <c r="AU860" s="809"/>
      <c r="AV860" s="809"/>
      <c r="AW860" s="809"/>
      <c r="AX860" s="809"/>
      <c r="AY860" s="809"/>
      <c r="AZ860" s="809"/>
      <c r="BA860" s="809"/>
      <c r="BB860" s="809"/>
      <c r="BC860" s="809"/>
      <c r="BD860" s="809"/>
      <c r="BE860" s="809"/>
      <c r="BF860" s="809"/>
      <c r="BG860" s="809"/>
      <c r="BH860" s="809"/>
      <c r="BI860" s="809"/>
      <c r="BJ860" s="809"/>
      <c r="BK860" s="809"/>
      <c r="BL860" s="809"/>
      <c r="BM860" s="809"/>
      <c r="BN860" s="809"/>
    </row>
    <row r="861" spans="1:66">
      <c r="A861" s="809"/>
      <c r="B861" s="809"/>
      <c r="C861" s="809"/>
      <c r="D861" s="809"/>
      <c r="E861" s="809"/>
      <c r="F861" s="809"/>
      <c r="G861" s="809"/>
      <c r="H861" s="809"/>
      <c r="I861" s="809"/>
      <c r="J861" s="809"/>
      <c r="K861" s="809"/>
      <c r="L861" s="809"/>
      <c r="M861" s="809"/>
      <c r="N861" s="809"/>
      <c r="O861" s="809"/>
      <c r="P861" s="809"/>
      <c r="Q861" s="809"/>
      <c r="R861" s="809"/>
      <c r="S861" s="809"/>
      <c r="T861" s="809"/>
      <c r="U861" s="809"/>
      <c r="V861" s="809"/>
      <c r="W861" s="809"/>
      <c r="X861" s="809"/>
      <c r="Y861" s="809"/>
      <c r="Z861" s="809"/>
      <c r="AA861" s="809"/>
      <c r="AB861" s="809"/>
      <c r="AC861" s="809"/>
      <c r="AD861" s="809"/>
      <c r="AE861" s="809"/>
      <c r="AF861" s="809"/>
      <c r="AG861" s="809"/>
      <c r="AH861" s="809"/>
      <c r="AI861" s="809"/>
      <c r="AJ861" s="809"/>
      <c r="AK861" s="809"/>
      <c r="AL861" s="809"/>
      <c r="AM861" s="809"/>
      <c r="AN861" s="809"/>
      <c r="AO861" s="809"/>
      <c r="AP861" s="809"/>
      <c r="AQ861" s="809"/>
      <c r="AR861" s="809"/>
      <c r="AS861" s="809"/>
      <c r="AT861" s="809"/>
      <c r="AU861" s="809"/>
      <c r="AV861" s="809"/>
      <c r="AW861" s="809"/>
      <c r="AX861" s="809"/>
      <c r="AY861" s="809"/>
      <c r="AZ861" s="809"/>
      <c r="BA861" s="809"/>
      <c r="BB861" s="809"/>
      <c r="BC861" s="809"/>
      <c r="BD861" s="809"/>
      <c r="BE861" s="809"/>
      <c r="BF861" s="809"/>
      <c r="BG861" s="809"/>
      <c r="BH861" s="809"/>
      <c r="BI861" s="809"/>
      <c r="BJ861" s="809"/>
      <c r="BK861" s="809"/>
      <c r="BL861" s="809"/>
      <c r="BM861" s="809"/>
      <c r="BN861" s="809"/>
    </row>
    <row r="862" spans="1:66">
      <c r="A862" s="809"/>
      <c r="B862" s="809"/>
      <c r="C862" s="809"/>
      <c r="D862" s="809"/>
      <c r="E862" s="809"/>
      <c r="F862" s="809"/>
      <c r="G862" s="809"/>
      <c r="H862" s="809"/>
      <c r="I862" s="809"/>
      <c r="J862" s="809"/>
      <c r="K862" s="809"/>
      <c r="L862" s="809"/>
      <c r="M862" s="809"/>
      <c r="N862" s="809"/>
      <c r="O862" s="809"/>
      <c r="P862" s="809"/>
      <c r="Q862" s="809"/>
      <c r="R862" s="809"/>
      <c r="S862" s="809"/>
      <c r="T862" s="809"/>
      <c r="U862" s="809"/>
      <c r="V862" s="809"/>
      <c r="W862" s="809"/>
      <c r="X862" s="809"/>
      <c r="Y862" s="809"/>
      <c r="Z862" s="809"/>
      <c r="AA862" s="809"/>
      <c r="AB862" s="809"/>
      <c r="AC862" s="809"/>
      <c r="AD862" s="809"/>
      <c r="AE862" s="809"/>
      <c r="AF862" s="809"/>
      <c r="AG862" s="809"/>
      <c r="AH862" s="809"/>
      <c r="AI862" s="809"/>
      <c r="AJ862" s="809"/>
      <c r="AK862" s="809"/>
      <c r="AL862" s="809"/>
      <c r="AM862" s="809"/>
      <c r="AN862" s="809"/>
      <c r="AO862" s="809"/>
      <c r="AP862" s="809"/>
      <c r="AQ862" s="809"/>
      <c r="AR862" s="809"/>
      <c r="AS862" s="809"/>
      <c r="AT862" s="809"/>
      <c r="AU862" s="809"/>
      <c r="AV862" s="809"/>
      <c r="AW862" s="809"/>
      <c r="AX862" s="809"/>
      <c r="AY862" s="809"/>
      <c r="AZ862" s="809"/>
      <c r="BA862" s="809"/>
      <c r="BB862" s="809"/>
      <c r="BC862" s="809"/>
      <c r="BD862" s="809"/>
      <c r="BE862" s="809"/>
      <c r="BF862" s="809"/>
      <c r="BG862" s="809"/>
      <c r="BH862" s="809"/>
      <c r="BI862" s="809"/>
      <c r="BJ862" s="809"/>
      <c r="BK862" s="809"/>
      <c r="BL862" s="809"/>
      <c r="BM862" s="809"/>
      <c r="BN862" s="809"/>
    </row>
    <row r="863" spans="1:66">
      <c r="A863" s="809"/>
      <c r="B863" s="809"/>
      <c r="C863" s="809"/>
      <c r="D863" s="809"/>
      <c r="E863" s="809"/>
      <c r="F863" s="809"/>
      <c r="G863" s="809"/>
      <c r="H863" s="809"/>
      <c r="I863" s="809"/>
      <c r="J863" s="809"/>
      <c r="K863" s="809"/>
      <c r="L863" s="809"/>
      <c r="M863" s="809"/>
      <c r="N863" s="809"/>
      <c r="O863" s="809"/>
      <c r="P863" s="809"/>
      <c r="Q863" s="809"/>
      <c r="R863" s="809"/>
      <c r="S863" s="809"/>
      <c r="T863" s="809"/>
      <c r="U863" s="809"/>
      <c r="V863" s="809"/>
      <c r="W863" s="809"/>
      <c r="X863" s="809"/>
      <c r="Y863" s="809"/>
      <c r="Z863" s="809"/>
      <c r="AA863" s="809"/>
      <c r="AB863" s="809"/>
      <c r="AC863" s="809"/>
      <c r="AD863" s="809"/>
      <c r="AE863" s="809"/>
      <c r="AF863" s="809"/>
      <c r="AG863" s="809"/>
      <c r="AH863" s="809"/>
      <c r="AI863" s="809"/>
      <c r="AJ863" s="809"/>
      <c r="AK863" s="809"/>
      <c r="AL863" s="809"/>
      <c r="AM863" s="809"/>
      <c r="AN863" s="809"/>
      <c r="AO863" s="809"/>
      <c r="AP863" s="809"/>
      <c r="AQ863" s="809"/>
      <c r="AR863" s="809"/>
      <c r="AS863" s="809"/>
      <c r="AT863" s="809"/>
      <c r="AU863" s="809"/>
      <c r="AV863" s="809"/>
      <c r="AW863" s="809"/>
      <c r="AX863" s="809"/>
      <c r="AY863" s="809"/>
      <c r="AZ863" s="809"/>
      <c r="BA863" s="809"/>
      <c r="BB863" s="809"/>
      <c r="BC863" s="809"/>
      <c r="BD863" s="809"/>
      <c r="BE863" s="809"/>
      <c r="BF863" s="809"/>
      <c r="BG863" s="809"/>
      <c r="BH863" s="809"/>
      <c r="BI863" s="809"/>
      <c r="BJ863" s="809"/>
      <c r="BK863" s="809"/>
      <c r="BL863" s="809"/>
      <c r="BM863" s="809"/>
      <c r="BN863" s="809"/>
    </row>
    <row r="864" spans="1:66">
      <c r="A864" s="809"/>
      <c r="B864" s="809"/>
      <c r="C864" s="809"/>
      <c r="D864" s="809"/>
      <c r="E864" s="809"/>
      <c r="F864" s="809"/>
      <c r="G864" s="809"/>
      <c r="H864" s="809"/>
      <c r="I864" s="809"/>
      <c r="J864" s="809"/>
      <c r="K864" s="809"/>
      <c r="L864" s="809"/>
      <c r="M864" s="809"/>
      <c r="N864" s="809"/>
      <c r="O864" s="809"/>
      <c r="P864" s="809"/>
      <c r="Q864" s="809"/>
      <c r="R864" s="809"/>
      <c r="S864" s="809"/>
      <c r="T864" s="809"/>
      <c r="U864" s="809"/>
      <c r="V864" s="809"/>
      <c r="W864" s="809"/>
      <c r="X864" s="809"/>
      <c r="Y864" s="809"/>
      <c r="Z864" s="809"/>
      <c r="AA864" s="809"/>
      <c r="AB864" s="809"/>
      <c r="AC864" s="809"/>
      <c r="AD864" s="809"/>
      <c r="AE864" s="809"/>
      <c r="AF864" s="809"/>
      <c r="AG864" s="809"/>
      <c r="AH864" s="809"/>
      <c r="AI864" s="809"/>
      <c r="AJ864" s="809"/>
      <c r="AK864" s="809"/>
      <c r="AL864" s="809"/>
      <c r="AM864" s="809"/>
      <c r="AN864" s="809"/>
      <c r="AO864" s="809"/>
      <c r="AP864" s="809"/>
      <c r="AQ864" s="809"/>
      <c r="AR864" s="809"/>
      <c r="AS864" s="809"/>
      <c r="AT864" s="809"/>
      <c r="AU864" s="809"/>
      <c r="AV864" s="809"/>
      <c r="AW864" s="809"/>
      <c r="AX864" s="809"/>
      <c r="AY864" s="809"/>
      <c r="AZ864" s="809"/>
      <c r="BA864" s="809"/>
      <c r="BB864" s="809"/>
      <c r="BC864" s="809"/>
      <c r="BD864" s="809"/>
      <c r="BE864" s="809"/>
      <c r="BF864" s="809"/>
      <c r="BG864" s="809"/>
      <c r="BH864" s="809"/>
      <c r="BI864" s="809"/>
      <c r="BJ864" s="809"/>
      <c r="BK864" s="809"/>
      <c r="BL864" s="809"/>
      <c r="BM864" s="809"/>
      <c r="BN864" s="809"/>
    </row>
    <row r="865" spans="1:66">
      <c r="A865" s="809"/>
      <c r="B865" s="809"/>
      <c r="C865" s="809"/>
      <c r="D865" s="809"/>
      <c r="E865" s="809"/>
      <c r="F865" s="809"/>
      <c r="G865" s="809"/>
      <c r="H865" s="809"/>
      <c r="I865" s="809"/>
      <c r="J865" s="809"/>
      <c r="K865" s="809"/>
      <c r="L865" s="809"/>
      <c r="M865" s="809"/>
      <c r="N865" s="809"/>
      <c r="O865" s="809"/>
      <c r="P865" s="809"/>
      <c r="Q865" s="809"/>
      <c r="R865" s="809"/>
      <c r="S865" s="809"/>
      <c r="T865" s="809"/>
      <c r="U865" s="809"/>
      <c r="V865" s="809"/>
      <c r="W865" s="809"/>
      <c r="X865" s="809"/>
      <c r="Y865" s="809"/>
      <c r="Z865" s="809"/>
      <c r="AA865" s="809"/>
      <c r="AB865" s="809"/>
      <c r="AC865" s="809"/>
      <c r="AD865" s="809"/>
      <c r="AE865" s="809"/>
      <c r="AF865" s="809"/>
      <c r="AG865" s="809"/>
      <c r="AH865" s="809"/>
      <c r="AI865" s="809"/>
      <c r="AJ865" s="809"/>
      <c r="AK865" s="809"/>
      <c r="AL865" s="809"/>
      <c r="AM865" s="809"/>
      <c r="AN865" s="809"/>
      <c r="AO865" s="809"/>
      <c r="AP865" s="809"/>
      <c r="AQ865" s="809"/>
      <c r="AR865" s="809"/>
      <c r="AS865" s="809"/>
      <c r="AT865" s="809"/>
      <c r="AU865" s="809"/>
      <c r="AV865" s="809"/>
      <c r="AW865" s="809"/>
      <c r="AX865" s="809"/>
      <c r="AY865" s="809"/>
      <c r="AZ865" s="809"/>
      <c r="BA865" s="809"/>
      <c r="BB865" s="809"/>
      <c r="BC865" s="809"/>
      <c r="BD865" s="809"/>
      <c r="BE865" s="809"/>
      <c r="BF865" s="809"/>
      <c r="BG865" s="809"/>
      <c r="BH865" s="809"/>
      <c r="BI865" s="809"/>
      <c r="BJ865" s="809"/>
      <c r="BK865" s="809"/>
      <c r="BL865" s="809"/>
      <c r="BM865" s="809"/>
      <c r="BN865" s="809"/>
    </row>
    <row r="866" spans="1:66">
      <c r="A866" s="809"/>
      <c r="B866" s="809"/>
      <c r="C866" s="809"/>
      <c r="D866" s="809"/>
      <c r="E866" s="809"/>
      <c r="F866" s="809"/>
      <c r="G866" s="809"/>
      <c r="H866" s="809"/>
      <c r="I866" s="809"/>
      <c r="J866" s="809"/>
      <c r="K866" s="809"/>
      <c r="L866" s="809"/>
      <c r="M866" s="809"/>
      <c r="N866" s="809"/>
      <c r="O866" s="809"/>
      <c r="P866" s="809"/>
      <c r="Q866" s="809"/>
      <c r="R866" s="809"/>
      <c r="S866" s="809"/>
      <c r="T866" s="809"/>
      <c r="U866" s="809"/>
      <c r="V866" s="809"/>
      <c r="W866" s="809"/>
      <c r="X866" s="809"/>
      <c r="Y866" s="809"/>
      <c r="Z866" s="809"/>
      <c r="AA866" s="809"/>
      <c r="AB866" s="809"/>
      <c r="AC866" s="809"/>
      <c r="AD866" s="809"/>
      <c r="AE866" s="809"/>
      <c r="AF866" s="809"/>
      <c r="AG866" s="809"/>
      <c r="AH866" s="809"/>
      <c r="AI866" s="809"/>
      <c r="AJ866" s="809"/>
      <c r="AK866" s="809"/>
      <c r="AL866" s="809"/>
      <c r="AM866" s="809"/>
      <c r="AN866" s="809"/>
      <c r="AO866" s="809"/>
      <c r="AP866" s="809"/>
      <c r="AQ866" s="809"/>
      <c r="AR866" s="809"/>
      <c r="AS866" s="809"/>
      <c r="AT866" s="809"/>
      <c r="AU866" s="809"/>
      <c r="AV866" s="809"/>
      <c r="AW866" s="809"/>
      <c r="AX866" s="809"/>
      <c r="AY866" s="809"/>
      <c r="AZ866" s="809"/>
      <c r="BA866" s="809"/>
      <c r="BB866" s="809"/>
      <c r="BC866" s="809"/>
      <c r="BD866" s="809"/>
      <c r="BE866" s="809"/>
      <c r="BF866" s="809"/>
      <c r="BG866" s="809"/>
      <c r="BH866" s="809"/>
      <c r="BI866" s="809"/>
      <c r="BJ866" s="809"/>
      <c r="BK866" s="809"/>
      <c r="BL866" s="809"/>
      <c r="BM866" s="809"/>
      <c r="BN866" s="809"/>
    </row>
    <row r="867" spans="1:66">
      <c r="A867" s="809"/>
      <c r="B867" s="809"/>
      <c r="C867" s="809"/>
      <c r="D867" s="809"/>
      <c r="E867" s="809"/>
      <c r="F867" s="809"/>
      <c r="G867" s="809"/>
      <c r="H867" s="809"/>
      <c r="I867" s="809"/>
      <c r="J867" s="809"/>
      <c r="K867" s="809"/>
      <c r="L867" s="809"/>
      <c r="M867" s="809"/>
      <c r="N867" s="809"/>
      <c r="O867" s="809"/>
      <c r="P867" s="809"/>
      <c r="Q867" s="809"/>
      <c r="R867" s="809"/>
      <c r="S867" s="809"/>
      <c r="T867" s="809"/>
      <c r="U867" s="809"/>
      <c r="V867" s="809"/>
      <c r="W867" s="809"/>
      <c r="X867" s="809"/>
      <c r="Y867" s="809"/>
      <c r="Z867" s="809"/>
      <c r="AA867" s="809"/>
      <c r="AB867" s="809"/>
      <c r="AC867" s="809"/>
      <c r="AD867" s="809"/>
      <c r="AE867" s="809"/>
      <c r="AF867" s="809"/>
      <c r="AG867" s="809"/>
      <c r="AH867" s="809"/>
      <c r="AI867" s="809"/>
      <c r="AJ867" s="809"/>
      <c r="AK867" s="809"/>
      <c r="AL867" s="809"/>
      <c r="AM867" s="809"/>
      <c r="AN867" s="809"/>
      <c r="AO867" s="809"/>
      <c r="AP867" s="809"/>
      <c r="AQ867" s="809"/>
      <c r="AR867" s="809"/>
      <c r="AS867" s="809"/>
      <c r="AT867" s="809"/>
      <c r="AU867" s="809"/>
      <c r="AV867" s="809"/>
      <c r="AW867" s="809"/>
      <c r="AX867" s="809"/>
      <c r="AY867" s="809"/>
      <c r="AZ867" s="809"/>
      <c r="BA867" s="809"/>
      <c r="BB867" s="809"/>
      <c r="BC867" s="809"/>
      <c r="BD867" s="809"/>
      <c r="BE867" s="809"/>
      <c r="BF867" s="809"/>
      <c r="BG867" s="809"/>
      <c r="BH867" s="809"/>
      <c r="BI867" s="809"/>
      <c r="BJ867" s="809"/>
      <c r="BK867" s="809"/>
      <c r="BL867" s="809"/>
      <c r="BM867" s="809"/>
      <c r="BN867" s="809"/>
    </row>
    <row r="868" spans="1:66">
      <c r="A868" s="809"/>
      <c r="B868" s="809"/>
      <c r="C868" s="809"/>
      <c r="D868" s="809"/>
      <c r="E868" s="809"/>
      <c r="F868" s="809"/>
      <c r="G868" s="809"/>
      <c r="H868" s="809"/>
      <c r="I868" s="809"/>
      <c r="J868" s="809"/>
      <c r="K868" s="809"/>
      <c r="L868" s="809"/>
      <c r="M868" s="809"/>
      <c r="N868" s="809"/>
      <c r="O868" s="809"/>
      <c r="P868" s="809"/>
      <c r="Q868" s="809"/>
      <c r="R868" s="809"/>
      <c r="S868" s="809"/>
      <c r="T868" s="809"/>
      <c r="U868" s="809"/>
      <c r="V868" s="809"/>
      <c r="W868" s="809"/>
      <c r="X868" s="809"/>
      <c r="Y868" s="809"/>
      <c r="Z868" s="809"/>
      <c r="AA868" s="809"/>
      <c r="AB868" s="809"/>
      <c r="AC868" s="809"/>
      <c r="AD868" s="809"/>
      <c r="AE868" s="809"/>
      <c r="AF868" s="809"/>
      <c r="AG868" s="809"/>
      <c r="AH868" s="809"/>
      <c r="AI868" s="809"/>
      <c r="AJ868" s="809"/>
      <c r="AK868" s="809"/>
      <c r="AL868" s="809"/>
      <c r="AM868" s="809"/>
      <c r="AN868" s="809"/>
      <c r="AO868" s="809"/>
      <c r="AP868" s="809"/>
      <c r="AQ868" s="809"/>
      <c r="AR868" s="809"/>
      <c r="AS868" s="809"/>
      <c r="AT868" s="809"/>
      <c r="AU868" s="809"/>
      <c r="AV868" s="809"/>
      <c r="AW868" s="809"/>
      <c r="AX868" s="809"/>
      <c r="AY868" s="809"/>
      <c r="AZ868" s="809"/>
      <c r="BA868" s="809"/>
      <c r="BB868" s="809"/>
      <c r="BC868" s="809"/>
      <c r="BD868" s="809"/>
      <c r="BE868" s="809"/>
      <c r="BF868" s="809"/>
      <c r="BG868" s="809"/>
      <c r="BH868" s="809"/>
      <c r="BI868" s="809"/>
      <c r="BJ868" s="809"/>
      <c r="BK868" s="809"/>
      <c r="BL868" s="809"/>
      <c r="BM868" s="809"/>
      <c r="BN868" s="809"/>
    </row>
    <row r="869" spans="1:66">
      <c r="A869" s="809"/>
      <c r="B869" s="809"/>
      <c r="C869" s="809"/>
      <c r="D869" s="809"/>
      <c r="E869" s="809"/>
      <c r="F869" s="809"/>
      <c r="G869" s="809"/>
      <c r="H869" s="809"/>
      <c r="I869" s="809"/>
      <c r="J869" s="809"/>
      <c r="K869" s="809"/>
      <c r="L869" s="809"/>
      <c r="M869" s="809"/>
      <c r="N869" s="809"/>
      <c r="O869" s="809"/>
      <c r="P869" s="809"/>
      <c r="Q869" s="809"/>
      <c r="R869" s="809"/>
      <c r="S869" s="809"/>
      <c r="T869" s="809"/>
      <c r="U869" s="809"/>
      <c r="V869" s="809"/>
      <c r="W869" s="809"/>
      <c r="X869" s="809"/>
      <c r="Y869" s="809"/>
      <c r="Z869" s="809"/>
      <c r="AA869" s="809"/>
      <c r="AB869" s="809"/>
      <c r="AC869" s="809"/>
      <c r="AD869" s="809"/>
      <c r="AE869" s="809"/>
      <c r="AF869" s="809"/>
      <c r="AG869" s="809"/>
      <c r="AH869" s="809"/>
      <c r="AI869" s="809"/>
      <c r="AJ869" s="809"/>
      <c r="AK869" s="809"/>
      <c r="AL869" s="809"/>
      <c r="AM869" s="809"/>
      <c r="AN869" s="809"/>
      <c r="AO869" s="809"/>
      <c r="AP869" s="809"/>
      <c r="AQ869" s="809"/>
      <c r="AR869" s="809"/>
      <c r="AS869" s="809"/>
      <c r="AT869" s="809"/>
      <c r="AU869" s="809"/>
      <c r="AV869" s="809"/>
      <c r="AW869" s="809"/>
      <c r="AX869" s="809"/>
      <c r="AY869" s="809"/>
      <c r="AZ869" s="809"/>
      <c r="BA869" s="809"/>
      <c r="BB869" s="809"/>
      <c r="BC869" s="809"/>
      <c r="BD869" s="809"/>
      <c r="BE869" s="809"/>
      <c r="BF869" s="809"/>
      <c r="BG869" s="809"/>
      <c r="BH869" s="809"/>
      <c r="BI869" s="809"/>
      <c r="BJ869" s="809"/>
      <c r="BK869" s="809"/>
      <c r="BL869" s="809"/>
      <c r="BM869" s="809"/>
      <c r="BN869" s="809"/>
    </row>
    <row r="870" spans="1:66">
      <c r="A870" s="809"/>
      <c r="B870" s="809"/>
      <c r="C870" s="809"/>
      <c r="D870" s="809"/>
      <c r="E870" s="809"/>
      <c r="F870" s="809"/>
      <c r="G870" s="809"/>
      <c r="H870" s="809"/>
      <c r="I870" s="809"/>
      <c r="J870" s="809"/>
      <c r="K870" s="809"/>
      <c r="L870" s="809"/>
      <c r="M870" s="809"/>
      <c r="N870" s="809"/>
      <c r="O870" s="809"/>
      <c r="P870" s="809"/>
      <c r="Q870" s="809"/>
      <c r="R870" s="809"/>
      <c r="S870" s="809"/>
      <c r="T870" s="809"/>
      <c r="U870" s="809"/>
      <c r="V870" s="809"/>
      <c r="W870" s="809"/>
      <c r="X870" s="809"/>
      <c r="Y870" s="809"/>
      <c r="Z870" s="809"/>
      <c r="AA870" s="809"/>
      <c r="AB870" s="809"/>
      <c r="AC870" s="809"/>
      <c r="AD870" s="809"/>
      <c r="AE870" s="809"/>
      <c r="AF870" s="809"/>
      <c r="AG870" s="809"/>
      <c r="AH870" s="809"/>
      <c r="AI870" s="809"/>
      <c r="AJ870" s="809"/>
      <c r="AK870" s="809"/>
      <c r="AL870" s="809"/>
      <c r="AM870" s="809"/>
      <c r="AN870" s="809"/>
      <c r="AO870" s="809"/>
      <c r="AP870" s="809"/>
      <c r="AQ870" s="809"/>
      <c r="AR870" s="809"/>
      <c r="AS870" s="809"/>
      <c r="AT870" s="809"/>
      <c r="AU870" s="809"/>
      <c r="AV870" s="809"/>
      <c r="AW870" s="809"/>
      <c r="AX870" s="809"/>
      <c r="AY870" s="809"/>
      <c r="AZ870" s="809"/>
      <c r="BA870" s="809"/>
      <c r="BB870" s="809"/>
      <c r="BC870" s="809"/>
      <c r="BD870" s="809"/>
      <c r="BE870" s="809"/>
      <c r="BF870" s="809"/>
      <c r="BG870" s="809"/>
      <c r="BH870" s="809"/>
      <c r="BI870" s="809"/>
      <c r="BJ870" s="809"/>
      <c r="BK870" s="809"/>
      <c r="BL870" s="809"/>
      <c r="BM870" s="809"/>
      <c r="BN870" s="809"/>
    </row>
    <row r="871" spans="1:66">
      <c r="A871" s="809"/>
      <c r="B871" s="809"/>
      <c r="C871" s="809"/>
      <c r="D871" s="809"/>
      <c r="E871" s="809"/>
      <c r="F871" s="809"/>
      <c r="G871" s="809"/>
      <c r="H871" s="809"/>
      <c r="I871" s="809"/>
      <c r="J871" s="809"/>
      <c r="K871" s="809"/>
      <c r="L871" s="809"/>
      <c r="M871" s="809"/>
      <c r="N871" s="809"/>
      <c r="O871" s="809"/>
      <c r="P871" s="809"/>
      <c r="Q871" s="809"/>
      <c r="R871" s="809"/>
      <c r="S871" s="809"/>
      <c r="T871" s="809"/>
      <c r="U871" s="809"/>
      <c r="V871" s="809"/>
      <c r="W871" s="809"/>
      <c r="X871" s="809"/>
      <c r="Y871" s="809"/>
      <c r="Z871" s="809"/>
      <c r="AA871" s="809"/>
      <c r="AB871" s="809"/>
      <c r="AC871" s="809"/>
      <c r="AD871" s="809"/>
      <c r="AE871" s="809"/>
      <c r="AF871" s="809"/>
      <c r="AG871" s="809"/>
      <c r="AH871" s="809"/>
      <c r="AI871" s="809"/>
      <c r="AJ871" s="809"/>
      <c r="AK871" s="809"/>
      <c r="AL871" s="809"/>
      <c r="AM871" s="809"/>
      <c r="AN871" s="809"/>
      <c r="AO871" s="809"/>
      <c r="AP871" s="809"/>
      <c r="AQ871" s="809"/>
      <c r="AR871" s="809"/>
      <c r="AS871" s="809"/>
      <c r="AT871" s="809"/>
      <c r="AU871" s="809"/>
      <c r="AV871" s="809"/>
      <c r="AW871" s="809"/>
      <c r="AX871" s="809"/>
      <c r="AY871" s="809"/>
      <c r="AZ871" s="809"/>
      <c r="BA871" s="809"/>
      <c r="BB871" s="809"/>
      <c r="BC871" s="809"/>
      <c r="BD871" s="809"/>
      <c r="BE871" s="809"/>
      <c r="BF871" s="809"/>
      <c r="BG871" s="809"/>
      <c r="BH871" s="809"/>
      <c r="BI871" s="809"/>
      <c r="BJ871" s="809"/>
      <c r="BK871" s="809"/>
      <c r="BL871" s="809"/>
      <c r="BM871" s="809"/>
      <c r="BN871" s="809"/>
    </row>
    <row r="872" spans="1:66">
      <c r="A872" s="809"/>
      <c r="B872" s="809"/>
      <c r="C872" s="809"/>
      <c r="D872" s="809"/>
      <c r="E872" s="809"/>
      <c r="F872" s="809"/>
      <c r="G872" s="809"/>
      <c r="H872" s="809"/>
      <c r="I872" s="809"/>
      <c r="J872" s="809"/>
      <c r="K872" s="809"/>
      <c r="L872" s="809"/>
      <c r="M872" s="809"/>
      <c r="N872" s="809"/>
      <c r="O872" s="809"/>
      <c r="P872" s="809"/>
      <c r="Q872" s="809"/>
      <c r="R872" s="809"/>
      <c r="S872" s="809"/>
      <c r="T872" s="809"/>
      <c r="U872" s="809"/>
      <c r="V872" s="809"/>
      <c r="W872" s="809"/>
      <c r="X872" s="809"/>
      <c r="Y872" s="809"/>
      <c r="Z872" s="809"/>
      <c r="AA872" s="809"/>
      <c r="AB872" s="809"/>
      <c r="AC872" s="809"/>
      <c r="AD872" s="809"/>
      <c r="AE872" s="809"/>
      <c r="AF872" s="809"/>
      <c r="AG872" s="809"/>
      <c r="AH872" s="809"/>
      <c r="AI872" s="809"/>
      <c r="AJ872" s="809"/>
      <c r="AK872" s="809"/>
      <c r="AL872" s="809"/>
      <c r="AM872" s="809"/>
      <c r="AN872" s="809"/>
      <c r="AO872" s="809"/>
      <c r="AP872" s="809"/>
      <c r="AQ872" s="809"/>
      <c r="AR872" s="809"/>
      <c r="AS872" s="809"/>
      <c r="AT872" s="809"/>
      <c r="AU872" s="809"/>
      <c r="AV872" s="809"/>
      <c r="AW872" s="809"/>
      <c r="AX872" s="809"/>
      <c r="AY872" s="809"/>
      <c r="AZ872" s="809"/>
      <c r="BA872" s="809"/>
      <c r="BB872" s="809"/>
      <c r="BC872" s="809"/>
      <c r="BD872" s="809"/>
      <c r="BE872" s="809"/>
      <c r="BF872" s="809"/>
      <c r="BG872" s="809"/>
      <c r="BH872" s="809"/>
      <c r="BI872" s="809"/>
      <c r="BJ872" s="809"/>
      <c r="BK872" s="809"/>
      <c r="BL872" s="809"/>
      <c r="BM872" s="809"/>
      <c r="BN872" s="809"/>
    </row>
    <row r="873" spans="1:66">
      <c r="A873" s="809"/>
      <c r="B873" s="809"/>
      <c r="C873" s="809"/>
      <c r="D873" s="809"/>
      <c r="E873" s="809"/>
      <c r="F873" s="809"/>
      <c r="G873" s="809"/>
      <c r="H873" s="809"/>
      <c r="I873" s="809"/>
      <c r="J873" s="809"/>
      <c r="K873" s="809"/>
      <c r="L873" s="809"/>
      <c r="M873" s="809"/>
      <c r="N873" s="809"/>
      <c r="O873" s="809"/>
      <c r="P873" s="809"/>
      <c r="Q873" s="809"/>
      <c r="R873" s="809"/>
      <c r="S873" s="809"/>
      <c r="T873" s="809"/>
      <c r="U873" s="809"/>
      <c r="V873" s="809"/>
      <c r="W873" s="809"/>
      <c r="X873" s="809"/>
      <c r="Y873" s="809"/>
      <c r="Z873" s="809"/>
      <c r="AA873" s="809"/>
      <c r="AB873" s="809"/>
      <c r="AC873" s="809"/>
      <c r="AD873" s="809"/>
      <c r="AE873" s="809"/>
      <c r="AF873" s="809"/>
      <c r="AG873" s="809"/>
      <c r="AH873" s="809"/>
      <c r="AI873" s="809"/>
      <c r="AJ873" s="809"/>
      <c r="AK873" s="809"/>
      <c r="AL873" s="809"/>
      <c r="AM873" s="809"/>
      <c r="AN873" s="809"/>
      <c r="AO873" s="809"/>
      <c r="AP873" s="809"/>
      <c r="AQ873" s="809"/>
      <c r="AR873" s="809"/>
      <c r="AS873" s="809"/>
      <c r="AT873" s="809"/>
      <c r="AU873" s="809"/>
      <c r="AV873" s="809"/>
      <c r="AW873" s="809"/>
      <c r="AX873" s="809"/>
      <c r="AY873" s="809"/>
      <c r="AZ873" s="809"/>
      <c r="BA873" s="809"/>
      <c r="BB873" s="809"/>
      <c r="BC873" s="809"/>
      <c r="BD873" s="809"/>
      <c r="BE873" s="809"/>
      <c r="BF873" s="809"/>
      <c r="BG873" s="809"/>
      <c r="BH873" s="809"/>
      <c r="BI873" s="809"/>
      <c r="BJ873" s="809"/>
      <c r="BK873" s="809"/>
      <c r="BL873" s="809"/>
      <c r="BM873" s="809"/>
      <c r="BN873" s="809"/>
    </row>
    <row r="874" spans="1:66">
      <c r="A874" s="809"/>
      <c r="B874" s="809"/>
      <c r="C874" s="809"/>
      <c r="D874" s="809"/>
      <c r="E874" s="809"/>
      <c r="F874" s="809"/>
      <c r="G874" s="809"/>
      <c r="H874" s="809"/>
      <c r="I874" s="809"/>
      <c r="J874" s="809"/>
      <c r="K874" s="809"/>
      <c r="L874" s="809"/>
      <c r="M874" s="809"/>
      <c r="N874" s="809"/>
      <c r="O874" s="809"/>
      <c r="P874" s="809"/>
      <c r="Q874" s="809"/>
      <c r="R874" s="809"/>
      <c r="S874" s="809"/>
      <c r="T874" s="809"/>
      <c r="U874" s="809"/>
      <c r="V874" s="809"/>
      <c r="W874" s="809"/>
      <c r="X874" s="809"/>
      <c r="Y874" s="809"/>
      <c r="Z874" s="809"/>
      <c r="AA874" s="809"/>
      <c r="AB874" s="809"/>
      <c r="AC874" s="809"/>
      <c r="AD874" s="809"/>
      <c r="AE874" s="809"/>
      <c r="AF874" s="809"/>
      <c r="AG874" s="809"/>
      <c r="AH874" s="809"/>
      <c r="AI874" s="809"/>
      <c r="AJ874" s="809"/>
      <c r="AK874" s="809"/>
      <c r="AL874" s="809"/>
      <c r="AM874" s="809"/>
      <c r="AN874" s="809"/>
      <c r="AO874" s="809"/>
      <c r="AP874" s="809"/>
      <c r="AQ874" s="809"/>
      <c r="AR874" s="809"/>
      <c r="AS874" s="809"/>
      <c r="AT874" s="809"/>
      <c r="AU874" s="809"/>
      <c r="AV874" s="809"/>
      <c r="AW874" s="809"/>
      <c r="AX874" s="809"/>
      <c r="AY874" s="809"/>
      <c r="AZ874" s="809"/>
      <c r="BA874" s="809"/>
      <c r="BB874" s="809"/>
      <c r="BC874" s="809"/>
      <c r="BD874" s="809"/>
      <c r="BE874" s="809"/>
      <c r="BF874" s="809"/>
      <c r="BG874" s="809"/>
      <c r="BH874" s="809"/>
      <c r="BI874" s="809"/>
      <c r="BJ874" s="809"/>
      <c r="BK874" s="809"/>
      <c r="BL874" s="809"/>
      <c r="BM874" s="809"/>
      <c r="BN874" s="809"/>
    </row>
    <row r="875" spans="1:66">
      <c r="A875" s="809"/>
      <c r="B875" s="809"/>
      <c r="C875" s="809"/>
      <c r="D875" s="809"/>
      <c r="E875" s="809"/>
      <c r="F875" s="809"/>
      <c r="G875" s="809"/>
      <c r="H875" s="809"/>
      <c r="I875" s="809"/>
      <c r="J875" s="809"/>
      <c r="K875" s="809"/>
      <c r="L875" s="809"/>
      <c r="M875" s="809"/>
      <c r="N875" s="809"/>
      <c r="O875" s="809"/>
      <c r="P875" s="809"/>
      <c r="Q875" s="809"/>
      <c r="R875" s="809"/>
      <c r="S875" s="809"/>
      <c r="T875" s="809"/>
      <c r="U875" s="809"/>
      <c r="V875" s="809"/>
      <c r="W875" s="809"/>
      <c r="X875" s="809"/>
      <c r="Y875" s="809"/>
      <c r="Z875" s="809"/>
      <c r="AA875" s="809"/>
      <c r="AB875" s="809"/>
      <c r="AC875" s="809"/>
      <c r="AD875" s="809"/>
      <c r="AE875" s="809"/>
      <c r="AF875" s="809"/>
      <c r="AG875" s="809"/>
      <c r="AH875" s="809"/>
      <c r="AI875" s="809"/>
      <c r="AJ875" s="809"/>
      <c r="AK875" s="809"/>
      <c r="AL875" s="809"/>
      <c r="AM875" s="809"/>
      <c r="AN875" s="809"/>
      <c r="AO875" s="809"/>
      <c r="AP875" s="809"/>
      <c r="AQ875" s="809"/>
      <c r="AR875" s="809"/>
      <c r="AS875" s="809"/>
      <c r="AT875" s="809"/>
      <c r="AU875" s="809"/>
      <c r="AV875" s="809"/>
      <c r="AW875" s="809"/>
      <c r="AX875" s="809"/>
      <c r="AY875" s="809"/>
      <c r="AZ875" s="809"/>
      <c r="BA875" s="809"/>
      <c r="BB875" s="809"/>
      <c r="BC875" s="809"/>
      <c r="BD875" s="809"/>
      <c r="BE875" s="809"/>
      <c r="BF875" s="809"/>
      <c r="BG875" s="809"/>
      <c r="BH875" s="809"/>
      <c r="BI875" s="809"/>
      <c r="BJ875" s="809"/>
      <c r="BK875" s="809"/>
      <c r="BL875" s="809"/>
      <c r="BM875" s="809"/>
      <c r="BN875" s="809"/>
    </row>
    <row r="876" spans="1:66">
      <c r="A876" s="809"/>
      <c r="B876" s="809"/>
      <c r="C876" s="809"/>
      <c r="D876" s="809"/>
      <c r="E876" s="809"/>
      <c r="F876" s="809"/>
      <c r="G876" s="809"/>
      <c r="H876" s="809"/>
      <c r="I876" s="809"/>
      <c r="J876" s="809"/>
      <c r="K876" s="809"/>
      <c r="L876" s="809"/>
      <c r="M876" s="809"/>
      <c r="N876" s="809"/>
      <c r="O876" s="809"/>
      <c r="P876" s="809"/>
      <c r="Q876" s="809"/>
      <c r="R876" s="809"/>
      <c r="S876" s="809"/>
      <c r="T876" s="809"/>
      <c r="U876" s="809"/>
      <c r="V876" s="809"/>
      <c r="W876" s="809"/>
      <c r="X876" s="809"/>
      <c r="Y876" s="809"/>
      <c r="Z876" s="809"/>
      <c r="AA876" s="809"/>
      <c r="AB876" s="809"/>
      <c r="AC876" s="809"/>
      <c r="AD876" s="809"/>
      <c r="AE876" s="809"/>
      <c r="AF876" s="809"/>
      <c r="AG876" s="809"/>
      <c r="AH876" s="809"/>
      <c r="AI876" s="809"/>
      <c r="AJ876" s="809"/>
      <c r="AK876" s="809"/>
      <c r="AL876" s="809"/>
      <c r="AM876" s="809"/>
      <c r="AN876" s="809"/>
      <c r="AO876" s="809"/>
      <c r="AP876" s="809"/>
      <c r="AQ876" s="809"/>
      <c r="AR876" s="809"/>
      <c r="AS876" s="809"/>
      <c r="AT876" s="809"/>
      <c r="AU876" s="809"/>
      <c r="AV876" s="809"/>
      <c r="AW876" s="809"/>
      <c r="AX876" s="809"/>
      <c r="AY876" s="809"/>
      <c r="AZ876" s="809"/>
      <c r="BA876" s="809"/>
      <c r="BB876" s="809"/>
      <c r="BC876" s="809"/>
      <c r="BD876" s="809"/>
      <c r="BE876" s="809"/>
      <c r="BF876" s="809"/>
      <c r="BG876" s="809"/>
      <c r="BH876" s="809"/>
      <c r="BI876" s="809"/>
      <c r="BJ876" s="809"/>
      <c r="BK876" s="809"/>
      <c r="BL876" s="809"/>
      <c r="BM876" s="809"/>
      <c r="BN876" s="809"/>
    </row>
    <row r="877" spans="1:66">
      <c r="A877" s="809"/>
      <c r="B877" s="809"/>
      <c r="C877" s="809"/>
      <c r="D877" s="809"/>
      <c r="E877" s="809"/>
      <c r="F877" s="809"/>
      <c r="G877" s="809"/>
      <c r="H877" s="809"/>
      <c r="I877" s="809"/>
      <c r="J877" s="809"/>
      <c r="K877" s="809"/>
      <c r="L877" s="809"/>
      <c r="M877" s="809"/>
      <c r="N877" s="809"/>
      <c r="O877" s="809"/>
      <c r="P877" s="809"/>
      <c r="Q877" s="809"/>
      <c r="R877" s="809"/>
      <c r="S877" s="809"/>
      <c r="T877" s="809"/>
      <c r="U877" s="809"/>
      <c r="V877" s="809"/>
      <c r="W877" s="809"/>
      <c r="X877" s="809"/>
      <c r="Y877" s="809"/>
      <c r="Z877" s="809"/>
      <c r="AA877" s="809"/>
      <c r="AB877" s="809"/>
      <c r="AC877" s="809"/>
      <c r="AD877" s="809"/>
      <c r="AE877" s="809"/>
      <c r="AF877" s="809"/>
      <c r="AG877" s="809"/>
      <c r="AH877" s="809"/>
      <c r="AI877" s="809"/>
      <c r="AJ877" s="809"/>
      <c r="AK877" s="809"/>
      <c r="AL877" s="809"/>
      <c r="AM877" s="809"/>
      <c r="AN877" s="809"/>
      <c r="AO877" s="809"/>
      <c r="AP877" s="809"/>
      <c r="AQ877" s="809"/>
      <c r="AR877" s="809"/>
      <c r="AS877" s="809"/>
      <c r="AT877" s="809"/>
      <c r="AU877" s="809"/>
      <c r="AV877" s="809"/>
      <c r="AW877" s="809"/>
      <c r="AX877" s="809"/>
      <c r="AY877" s="809"/>
      <c r="AZ877" s="809"/>
      <c r="BA877" s="809"/>
      <c r="BB877" s="809"/>
      <c r="BC877" s="809"/>
      <c r="BD877" s="809"/>
      <c r="BE877" s="809"/>
      <c r="BF877" s="809"/>
      <c r="BG877" s="809"/>
      <c r="BH877" s="809"/>
      <c r="BI877" s="809"/>
      <c r="BJ877" s="809"/>
      <c r="BK877" s="809"/>
      <c r="BL877" s="809"/>
      <c r="BM877" s="809"/>
      <c r="BN877" s="809"/>
    </row>
    <row r="878" spans="1:66">
      <c r="A878" s="809"/>
      <c r="B878" s="809"/>
      <c r="C878" s="809"/>
      <c r="D878" s="809"/>
      <c r="E878" s="809"/>
      <c r="F878" s="809"/>
      <c r="G878" s="809"/>
      <c r="H878" s="809"/>
      <c r="I878" s="809"/>
      <c r="J878" s="809"/>
      <c r="K878" s="809"/>
      <c r="L878" s="809"/>
      <c r="M878" s="809"/>
      <c r="N878" s="809"/>
      <c r="O878" s="809"/>
      <c r="P878" s="809"/>
      <c r="Q878" s="809"/>
      <c r="R878" s="809"/>
      <c r="S878" s="809"/>
      <c r="T878" s="809"/>
      <c r="U878" s="809"/>
      <c r="V878" s="809"/>
      <c r="W878" s="809"/>
      <c r="X878" s="809"/>
      <c r="Y878" s="809"/>
      <c r="Z878" s="809"/>
      <c r="AA878" s="809"/>
      <c r="AB878" s="809"/>
      <c r="AC878" s="809"/>
      <c r="AD878" s="809"/>
      <c r="AE878" s="809"/>
      <c r="AF878" s="809"/>
      <c r="AG878" s="809"/>
      <c r="AH878" s="809"/>
      <c r="AI878" s="809"/>
      <c r="AJ878" s="809"/>
      <c r="AK878" s="809"/>
      <c r="AL878" s="809"/>
      <c r="AM878" s="809"/>
      <c r="AN878" s="809"/>
      <c r="AO878" s="809"/>
      <c r="AP878" s="809"/>
      <c r="AQ878" s="809"/>
      <c r="AR878" s="809"/>
      <c r="AS878" s="809"/>
      <c r="AT878" s="809"/>
      <c r="AU878" s="809"/>
      <c r="AV878" s="809"/>
      <c r="AW878" s="809"/>
      <c r="AX878" s="809"/>
      <c r="AY878" s="809"/>
      <c r="AZ878" s="809"/>
      <c r="BA878" s="809"/>
      <c r="BB878" s="809"/>
      <c r="BC878" s="809"/>
      <c r="BD878" s="809"/>
      <c r="BE878" s="809"/>
      <c r="BF878" s="809"/>
      <c r="BG878" s="809"/>
      <c r="BH878" s="809"/>
      <c r="BI878" s="809"/>
      <c r="BJ878" s="809"/>
      <c r="BK878" s="809"/>
      <c r="BL878" s="809"/>
      <c r="BM878" s="809"/>
      <c r="BN878" s="809"/>
    </row>
    <row r="879" spans="1:66">
      <c r="A879" s="809"/>
      <c r="B879" s="809"/>
      <c r="C879" s="809"/>
      <c r="D879" s="809"/>
      <c r="E879" s="809"/>
      <c r="F879" s="809"/>
      <c r="G879" s="809"/>
      <c r="H879" s="809"/>
      <c r="I879" s="809"/>
      <c r="J879" s="809"/>
      <c r="K879" s="809"/>
      <c r="L879" s="809"/>
      <c r="M879" s="809"/>
      <c r="N879" s="809"/>
      <c r="O879" s="809"/>
      <c r="P879" s="809"/>
      <c r="Q879" s="809"/>
      <c r="R879" s="809"/>
      <c r="S879" s="809"/>
      <c r="T879" s="809"/>
      <c r="U879" s="809"/>
      <c r="V879" s="809"/>
      <c r="W879" s="809"/>
      <c r="X879" s="809"/>
      <c r="Y879" s="809"/>
      <c r="Z879" s="809"/>
      <c r="AA879" s="809"/>
      <c r="AB879" s="809"/>
      <c r="AC879" s="809"/>
      <c r="AD879" s="809"/>
      <c r="AE879" s="809"/>
      <c r="AF879" s="809"/>
      <c r="AG879" s="809"/>
      <c r="AH879" s="809"/>
      <c r="AI879" s="809"/>
      <c r="AJ879" s="809"/>
      <c r="AK879" s="809"/>
      <c r="AL879" s="809"/>
      <c r="AM879" s="809"/>
      <c r="AN879" s="809"/>
      <c r="AO879" s="809"/>
      <c r="AP879" s="809"/>
      <c r="AQ879" s="809"/>
      <c r="AR879" s="809"/>
      <c r="AS879" s="809"/>
      <c r="AT879" s="809"/>
      <c r="AU879" s="809"/>
      <c r="AV879" s="809"/>
      <c r="AW879" s="809"/>
      <c r="AX879" s="809"/>
      <c r="AY879" s="809"/>
      <c r="AZ879" s="809"/>
      <c r="BA879" s="809"/>
      <c r="BB879" s="809"/>
      <c r="BC879" s="809"/>
      <c r="BD879" s="809"/>
      <c r="BE879" s="809"/>
      <c r="BF879" s="809"/>
      <c r="BG879" s="809"/>
      <c r="BH879" s="809"/>
      <c r="BI879" s="809"/>
      <c r="BJ879" s="809"/>
      <c r="BK879" s="809"/>
      <c r="BL879" s="809"/>
      <c r="BM879" s="809"/>
      <c r="BN879" s="809"/>
    </row>
    <row r="880" spans="1:66">
      <c r="A880" s="809"/>
      <c r="B880" s="809"/>
      <c r="C880" s="809"/>
      <c r="D880" s="809"/>
      <c r="E880" s="809"/>
      <c r="F880" s="809"/>
      <c r="G880" s="809"/>
      <c r="H880" s="809"/>
      <c r="I880" s="809"/>
      <c r="J880" s="809"/>
      <c r="K880" s="809"/>
      <c r="L880" s="809"/>
      <c r="M880" s="809"/>
      <c r="N880" s="809"/>
      <c r="O880" s="809"/>
      <c r="P880" s="809"/>
      <c r="Q880" s="809"/>
      <c r="R880" s="809"/>
      <c r="S880" s="809"/>
      <c r="T880" s="809"/>
      <c r="U880" s="809"/>
      <c r="V880" s="809"/>
      <c r="W880" s="809"/>
      <c r="X880" s="809"/>
      <c r="Y880" s="809"/>
      <c r="Z880" s="809"/>
      <c r="AA880" s="809"/>
      <c r="AB880" s="809"/>
      <c r="AC880" s="809"/>
      <c r="AD880" s="809"/>
      <c r="AE880" s="809"/>
      <c r="AF880" s="809"/>
      <c r="AG880" s="809"/>
      <c r="AH880" s="809"/>
      <c r="AI880" s="809"/>
      <c r="AJ880" s="809"/>
      <c r="AK880" s="809"/>
      <c r="AL880" s="809"/>
      <c r="AM880" s="809"/>
      <c r="AN880" s="809"/>
      <c r="AO880" s="809"/>
      <c r="AP880" s="809"/>
      <c r="AQ880" s="809"/>
      <c r="AR880" s="809"/>
      <c r="AS880" s="809"/>
      <c r="AT880" s="809"/>
      <c r="AU880" s="809"/>
      <c r="AV880" s="809"/>
      <c r="AW880" s="809"/>
      <c r="AX880" s="809"/>
      <c r="AY880" s="809"/>
      <c r="AZ880" s="809"/>
      <c r="BA880" s="809"/>
      <c r="BB880" s="809"/>
      <c r="BC880" s="809"/>
      <c r="BD880" s="809"/>
      <c r="BE880" s="809"/>
      <c r="BF880" s="809"/>
      <c r="BG880" s="809"/>
      <c r="BH880" s="809"/>
      <c r="BI880" s="809"/>
      <c r="BJ880" s="809"/>
      <c r="BK880" s="809"/>
      <c r="BL880" s="809"/>
      <c r="BM880" s="809"/>
      <c r="BN880" s="809"/>
    </row>
    <row r="881" spans="1:66">
      <c r="A881" s="809"/>
      <c r="B881" s="809"/>
      <c r="C881" s="809"/>
      <c r="D881" s="809"/>
      <c r="E881" s="809"/>
      <c r="F881" s="809"/>
      <c r="G881" s="809"/>
      <c r="H881" s="809"/>
      <c r="I881" s="809"/>
      <c r="J881" s="809"/>
      <c r="K881" s="809"/>
      <c r="L881" s="809"/>
      <c r="M881" s="809"/>
      <c r="N881" s="809"/>
      <c r="O881" s="809"/>
      <c r="P881" s="809"/>
      <c r="Q881" s="809"/>
      <c r="R881" s="809"/>
      <c r="S881" s="809"/>
      <c r="T881" s="809"/>
      <c r="U881" s="809"/>
      <c r="V881" s="809"/>
      <c r="W881" s="809"/>
      <c r="X881" s="809"/>
      <c r="Y881" s="809"/>
      <c r="Z881" s="809"/>
      <c r="AA881" s="809"/>
      <c r="AB881" s="809"/>
      <c r="AC881" s="809"/>
      <c r="AD881" s="809"/>
      <c r="AE881" s="809"/>
      <c r="AF881" s="809"/>
      <c r="AG881" s="809"/>
      <c r="AH881" s="809"/>
      <c r="AI881" s="809"/>
      <c r="AJ881" s="809"/>
      <c r="AK881" s="809"/>
      <c r="AL881" s="809"/>
      <c r="AM881" s="809"/>
      <c r="AN881" s="809"/>
      <c r="AO881" s="809"/>
      <c r="AP881" s="809"/>
      <c r="AQ881" s="809"/>
      <c r="AR881" s="809"/>
      <c r="AS881" s="809"/>
      <c r="AT881" s="809"/>
      <c r="AU881" s="809"/>
      <c r="AV881" s="809"/>
      <c r="AW881" s="809"/>
      <c r="AX881" s="809"/>
      <c r="AY881" s="809"/>
      <c r="AZ881" s="809"/>
      <c r="BA881" s="809"/>
      <c r="BB881" s="809"/>
      <c r="BC881" s="809"/>
      <c r="BD881" s="809"/>
      <c r="BE881" s="809"/>
      <c r="BF881" s="809"/>
      <c r="BG881" s="809"/>
      <c r="BH881" s="809"/>
      <c r="BI881" s="809"/>
      <c r="BJ881" s="809"/>
      <c r="BK881" s="809"/>
      <c r="BL881" s="809"/>
      <c r="BM881" s="809"/>
      <c r="BN881" s="809"/>
    </row>
    <row r="882" spans="1:66">
      <c r="A882" s="809"/>
      <c r="B882" s="809"/>
      <c r="C882" s="809"/>
      <c r="D882" s="809"/>
      <c r="E882" s="809"/>
      <c r="F882" s="809"/>
      <c r="G882" s="809"/>
      <c r="H882" s="809"/>
      <c r="I882" s="809"/>
      <c r="J882" s="809"/>
      <c r="K882" s="809"/>
      <c r="L882" s="809"/>
      <c r="M882" s="809"/>
      <c r="N882" s="809"/>
      <c r="O882" s="809"/>
      <c r="P882" s="809"/>
      <c r="Q882" s="809"/>
      <c r="R882" s="809"/>
      <c r="S882" s="809"/>
      <c r="T882" s="809"/>
      <c r="U882" s="809"/>
      <c r="V882" s="809"/>
      <c r="W882" s="809"/>
      <c r="X882" s="809"/>
      <c r="Y882" s="809"/>
      <c r="Z882" s="809"/>
      <c r="AA882" s="809"/>
      <c r="AB882" s="809"/>
      <c r="AC882" s="809"/>
      <c r="AD882" s="809"/>
      <c r="AE882" s="809"/>
      <c r="AF882" s="809"/>
      <c r="AG882" s="809"/>
      <c r="AH882" s="809"/>
      <c r="AI882" s="809"/>
      <c r="AJ882" s="809"/>
      <c r="AK882" s="809"/>
      <c r="AL882" s="809"/>
      <c r="AM882" s="809"/>
      <c r="AN882" s="809"/>
      <c r="AO882" s="809"/>
      <c r="AP882" s="809"/>
      <c r="AQ882" s="809"/>
      <c r="AR882" s="809"/>
      <c r="AS882" s="809"/>
      <c r="AT882" s="809"/>
      <c r="AU882" s="809"/>
      <c r="AV882" s="809"/>
      <c r="AW882" s="809"/>
      <c r="AX882" s="809"/>
      <c r="AY882" s="809"/>
      <c r="AZ882" s="809"/>
      <c r="BA882" s="809"/>
      <c r="BB882" s="809"/>
      <c r="BC882" s="809"/>
      <c r="BD882" s="809"/>
      <c r="BE882" s="809"/>
      <c r="BF882" s="809"/>
      <c r="BG882" s="809"/>
      <c r="BH882" s="809"/>
      <c r="BI882" s="809"/>
      <c r="BJ882" s="809"/>
      <c r="BK882" s="809"/>
      <c r="BL882" s="809"/>
      <c r="BM882" s="809"/>
      <c r="BN882" s="809"/>
    </row>
    <row r="883" spans="1:66">
      <c r="A883" s="809"/>
      <c r="B883" s="809"/>
      <c r="C883" s="809"/>
      <c r="D883" s="809"/>
      <c r="E883" s="809"/>
      <c r="F883" s="809"/>
      <c r="G883" s="809"/>
      <c r="H883" s="809"/>
      <c r="I883" s="809"/>
      <c r="J883" s="809"/>
      <c r="K883" s="809"/>
      <c r="L883" s="809"/>
      <c r="M883" s="809"/>
      <c r="N883" s="809"/>
      <c r="O883" s="809"/>
      <c r="P883" s="809"/>
      <c r="Q883" s="809"/>
      <c r="R883" s="809"/>
      <c r="S883" s="809"/>
      <c r="T883" s="809"/>
      <c r="U883" s="809"/>
      <c r="V883" s="809"/>
      <c r="W883" s="809"/>
      <c r="X883" s="809"/>
      <c r="Y883" s="809"/>
      <c r="Z883" s="809"/>
      <c r="AA883" s="809"/>
      <c r="AB883" s="809"/>
      <c r="AC883" s="809"/>
      <c r="AD883" s="809"/>
      <c r="AE883" s="809"/>
      <c r="AF883" s="809"/>
      <c r="AG883" s="809"/>
      <c r="AH883" s="809"/>
      <c r="AI883" s="809"/>
      <c r="AJ883" s="809"/>
      <c r="AK883" s="809"/>
      <c r="AL883" s="809"/>
      <c r="AM883" s="809"/>
      <c r="AN883" s="809"/>
      <c r="AO883" s="809"/>
      <c r="AP883" s="809"/>
      <c r="AQ883" s="809"/>
      <c r="AR883" s="809"/>
      <c r="AS883" s="809"/>
      <c r="AT883" s="809"/>
      <c r="AU883" s="809"/>
      <c r="AV883" s="809"/>
      <c r="AW883" s="809"/>
      <c r="AX883" s="809"/>
      <c r="AY883" s="809"/>
      <c r="AZ883" s="809"/>
      <c r="BA883" s="809"/>
      <c r="BB883" s="809"/>
      <c r="BC883" s="809"/>
      <c r="BD883" s="809"/>
      <c r="BE883" s="809"/>
      <c r="BF883" s="809"/>
      <c r="BG883" s="809"/>
      <c r="BH883" s="809"/>
      <c r="BI883" s="809"/>
      <c r="BJ883" s="809"/>
      <c r="BK883" s="809"/>
      <c r="BL883" s="809"/>
      <c r="BM883" s="809"/>
      <c r="BN883" s="809"/>
    </row>
    <row r="884" spans="1:66">
      <c r="A884" s="809"/>
      <c r="B884" s="809"/>
      <c r="C884" s="809"/>
      <c r="D884" s="809"/>
      <c r="E884" s="809"/>
      <c r="F884" s="809"/>
      <c r="G884" s="809"/>
      <c r="H884" s="809"/>
      <c r="I884" s="809"/>
      <c r="J884" s="809"/>
      <c r="K884" s="809"/>
      <c r="L884" s="809"/>
      <c r="M884" s="809"/>
      <c r="N884" s="809"/>
      <c r="O884" s="809"/>
      <c r="P884" s="809"/>
      <c r="Q884" s="809"/>
      <c r="R884" s="809"/>
      <c r="S884" s="809"/>
      <c r="T884" s="809"/>
      <c r="U884" s="809"/>
      <c r="V884" s="809"/>
      <c r="W884" s="809"/>
      <c r="X884" s="809"/>
      <c r="Y884" s="809"/>
      <c r="Z884" s="809"/>
      <c r="AA884" s="809"/>
      <c r="AB884" s="809"/>
      <c r="AC884" s="809"/>
      <c r="AD884" s="809"/>
      <c r="AE884" s="809"/>
      <c r="AF884" s="809"/>
      <c r="AG884" s="809"/>
      <c r="AH884" s="809"/>
      <c r="AI884" s="809"/>
      <c r="AJ884" s="809"/>
      <c r="AK884" s="809"/>
      <c r="AL884" s="809"/>
      <c r="AM884" s="809"/>
      <c r="AN884" s="809"/>
      <c r="AO884" s="809"/>
      <c r="AP884" s="809"/>
      <c r="AQ884" s="809"/>
      <c r="AR884" s="809"/>
      <c r="AS884" s="809"/>
      <c r="AT884" s="809"/>
      <c r="AU884" s="809"/>
      <c r="AV884" s="809"/>
      <c r="AW884" s="809"/>
      <c r="AX884" s="809"/>
      <c r="AY884" s="809"/>
      <c r="AZ884" s="809"/>
      <c r="BA884" s="809"/>
      <c r="BB884" s="809"/>
      <c r="BC884" s="809"/>
      <c r="BD884" s="809"/>
      <c r="BE884" s="809"/>
      <c r="BF884" s="809"/>
      <c r="BG884" s="809"/>
      <c r="BH884" s="809"/>
      <c r="BI884" s="809"/>
      <c r="BJ884" s="809"/>
      <c r="BK884" s="809"/>
      <c r="BL884" s="809"/>
      <c r="BM884" s="809"/>
      <c r="BN884" s="809"/>
    </row>
    <row r="885" spans="1:66">
      <c r="A885" s="809"/>
      <c r="B885" s="809"/>
      <c r="C885" s="809"/>
      <c r="D885" s="809"/>
      <c r="E885" s="809"/>
      <c r="F885" s="809"/>
      <c r="G885" s="809"/>
      <c r="H885" s="809"/>
      <c r="I885" s="809"/>
      <c r="J885" s="809"/>
      <c r="K885" s="809"/>
      <c r="L885" s="809"/>
      <c r="M885" s="809"/>
      <c r="N885" s="809"/>
      <c r="O885" s="809"/>
      <c r="P885" s="809"/>
      <c r="Q885" s="809"/>
      <c r="R885" s="809"/>
      <c r="S885" s="809"/>
      <c r="T885" s="809"/>
      <c r="U885" s="809"/>
      <c r="V885" s="809"/>
      <c r="W885" s="809"/>
      <c r="X885" s="809"/>
      <c r="Y885" s="809"/>
      <c r="Z885" s="809"/>
      <c r="AA885" s="809"/>
      <c r="AB885" s="809"/>
      <c r="AC885" s="809"/>
      <c r="AD885" s="809"/>
      <c r="AE885" s="809"/>
      <c r="AF885" s="809"/>
      <c r="AG885" s="809"/>
      <c r="AH885" s="809"/>
      <c r="AI885" s="809"/>
      <c r="AJ885" s="809"/>
      <c r="AK885" s="809"/>
      <c r="AL885" s="809"/>
      <c r="AM885" s="809"/>
      <c r="AN885" s="809"/>
      <c r="AO885" s="809"/>
      <c r="AP885" s="809"/>
      <c r="AQ885" s="809"/>
      <c r="AR885" s="809"/>
      <c r="AS885" s="809"/>
      <c r="AT885" s="809"/>
      <c r="AU885" s="809"/>
      <c r="AV885" s="809"/>
      <c r="AW885" s="809"/>
      <c r="AX885" s="809"/>
      <c r="AY885" s="809"/>
      <c r="AZ885" s="809"/>
      <c r="BA885" s="809"/>
      <c r="BB885" s="809"/>
      <c r="BC885" s="809"/>
      <c r="BD885" s="809"/>
      <c r="BE885" s="809"/>
      <c r="BF885" s="809"/>
      <c r="BG885" s="809"/>
      <c r="BH885" s="809"/>
      <c r="BI885" s="809"/>
      <c r="BJ885" s="809"/>
      <c r="BK885" s="809"/>
      <c r="BL885" s="809"/>
      <c r="BM885" s="809"/>
      <c r="BN885" s="809"/>
    </row>
    <row r="886" spans="1:66">
      <c r="A886" s="809"/>
      <c r="B886" s="809"/>
      <c r="C886" s="809"/>
      <c r="D886" s="809"/>
      <c r="E886" s="809"/>
      <c r="F886" s="809"/>
      <c r="G886" s="809"/>
      <c r="H886" s="809"/>
      <c r="I886" s="809"/>
      <c r="J886" s="809"/>
      <c r="K886" s="809"/>
      <c r="L886" s="809"/>
      <c r="M886" s="809"/>
      <c r="N886" s="809"/>
      <c r="O886" s="809"/>
      <c r="P886" s="809"/>
      <c r="Q886" s="809"/>
      <c r="R886" s="809"/>
      <c r="S886" s="809"/>
      <c r="T886" s="809"/>
      <c r="U886" s="809"/>
      <c r="V886" s="809"/>
      <c r="W886" s="809"/>
      <c r="X886" s="809"/>
      <c r="Y886" s="809"/>
      <c r="Z886" s="809"/>
      <c r="AA886" s="809"/>
      <c r="AB886" s="809"/>
      <c r="AC886" s="809"/>
      <c r="AD886" s="809"/>
      <c r="AE886" s="809"/>
      <c r="AF886" s="809"/>
      <c r="AG886" s="809"/>
      <c r="AH886" s="809"/>
      <c r="AI886" s="809"/>
      <c r="AJ886" s="809"/>
      <c r="AK886" s="809"/>
      <c r="AL886" s="809"/>
      <c r="AM886" s="809"/>
      <c r="AN886" s="809"/>
      <c r="AO886" s="809"/>
      <c r="AP886" s="809"/>
      <c r="AQ886" s="809"/>
      <c r="AR886" s="809"/>
      <c r="AS886" s="809"/>
      <c r="AT886" s="809"/>
      <c r="AU886" s="809"/>
      <c r="AV886" s="809"/>
      <c r="AW886" s="809"/>
      <c r="AX886" s="809"/>
      <c r="AY886" s="809"/>
      <c r="AZ886" s="809"/>
      <c r="BA886" s="809"/>
      <c r="BB886" s="809"/>
      <c r="BC886" s="809"/>
      <c r="BD886" s="809"/>
      <c r="BE886" s="809"/>
      <c r="BF886" s="809"/>
      <c r="BG886" s="809"/>
      <c r="BH886" s="809"/>
      <c r="BI886" s="809"/>
      <c r="BJ886" s="809"/>
      <c r="BK886" s="809"/>
      <c r="BL886" s="809"/>
      <c r="BM886" s="809"/>
      <c r="BN886" s="809"/>
    </row>
    <row r="887" spans="1:66">
      <c r="A887" s="809"/>
      <c r="B887" s="809"/>
      <c r="C887" s="809"/>
      <c r="D887" s="809"/>
      <c r="E887" s="809"/>
      <c r="F887" s="809"/>
      <c r="G887" s="809"/>
      <c r="H887" s="809"/>
      <c r="I887" s="809"/>
      <c r="J887" s="809"/>
      <c r="K887" s="809"/>
      <c r="L887" s="809"/>
      <c r="M887" s="809"/>
      <c r="N887" s="809"/>
      <c r="O887" s="809"/>
      <c r="P887" s="809"/>
      <c r="Q887" s="809"/>
      <c r="R887" s="809"/>
      <c r="S887" s="809"/>
      <c r="T887" s="809"/>
      <c r="U887" s="809"/>
      <c r="V887" s="809"/>
      <c r="W887" s="809"/>
      <c r="X887" s="809"/>
      <c r="Y887" s="809"/>
      <c r="Z887" s="809"/>
      <c r="AA887" s="809"/>
      <c r="AB887" s="809"/>
      <c r="AC887" s="809"/>
      <c r="AD887" s="809"/>
      <c r="AE887" s="809"/>
      <c r="AF887" s="809"/>
      <c r="AG887" s="809"/>
      <c r="AH887" s="809"/>
      <c r="AI887" s="809"/>
      <c r="AJ887" s="809"/>
      <c r="AK887" s="809"/>
      <c r="AL887" s="809"/>
      <c r="AM887" s="809"/>
      <c r="AN887" s="809"/>
      <c r="AO887" s="809"/>
      <c r="AP887" s="809"/>
      <c r="AQ887" s="809"/>
      <c r="AR887" s="809"/>
      <c r="AS887" s="809"/>
      <c r="AT887" s="809"/>
      <c r="AU887" s="809"/>
      <c r="AV887" s="809"/>
      <c r="AW887" s="809"/>
      <c r="AX887" s="809"/>
      <c r="AY887" s="809"/>
      <c r="AZ887" s="809"/>
      <c r="BA887" s="809"/>
      <c r="BB887" s="809"/>
      <c r="BC887" s="809"/>
      <c r="BD887" s="809"/>
      <c r="BE887" s="809"/>
      <c r="BF887" s="809"/>
      <c r="BG887" s="809"/>
      <c r="BH887" s="809"/>
      <c r="BI887" s="809"/>
      <c r="BJ887" s="809"/>
      <c r="BK887" s="809"/>
      <c r="BL887" s="809"/>
      <c r="BM887" s="809"/>
      <c r="BN887" s="809"/>
    </row>
    <row r="888" spans="1:66">
      <c r="A888" s="809"/>
      <c r="B888" s="809"/>
      <c r="C888" s="809"/>
      <c r="D888" s="809"/>
      <c r="E888" s="809"/>
      <c r="F888" s="809"/>
      <c r="G888" s="809"/>
      <c r="H888" s="809"/>
      <c r="I888" s="809"/>
      <c r="J888" s="809"/>
      <c r="K888" s="809"/>
      <c r="L888" s="809"/>
      <c r="M888" s="809"/>
      <c r="N888" s="809"/>
      <c r="O888" s="809"/>
      <c r="P888" s="809"/>
      <c r="Q888" s="809"/>
      <c r="R888" s="809"/>
      <c r="S888" s="809"/>
      <c r="T888" s="809"/>
      <c r="U888" s="809"/>
      <c r="V888" s="809"/>
      <c r="W888" s="809"/>
      <c r="X888" s="809"/>
      <c r="Y888" s="809"/>
      <c r="Z888" s="809"/>
      <c r="AA888" s="809"/>
      <c r="AB888" s="809"/>
      <c r="AC888" s="809"/>
      <c r="AD888" s="809"/>
      <c r="AE888" s="809"/>
      <c r="AF888" s="809"/>
      <c r="AG888" s="809"/>
      <c r="AH888" s="809"/>
      <c r="AI888" s="809"/>
      <c r="AJ888" s="809"/>
      <c r="AK888" s="809"/>
      <c r="AL888" s="809"/>
      <c r="AM888" s="809"/>
      <c r="AN888" s="809"/>
      <c r="AO888" s="809"/>
      <c r="AP888" s="809"/>
      <c r="AQ888" s="809"/>
      <c r="AR888" s="809"/>
      <c r="AS888" s="809"/>
      <c r="AT888" s="809"/>
      <c r="AU888" s="809"/>
      <c r="AV888" s="809"/>
      <c r="AW888" s="809"/>
      <c r="AX888" s="809"/>
      <c r="AY888" s="809"/>
      <c r="AZ888" s="809"/>
      <c r="BA888" s="809"/>
      <c r="BB888" s="809"/>
      <c r="BC888" s="809"/>
      <c r="BD888" s="809"/>
      <c r="BE888" s="809"/>
      <c r="BF888" s="809"/>
      <c r="BG888" s="809"/>
      <c r="BH888" s="809"/>
      <c r="BI888" s="809"/>
      <c r="BJ888" s="809"/>
      <c r="BK888" s="809"/>
      <c r="BL888" s="809"/>
      <c r="BM888" s="809"/>
      <c r="BN888" s="809"/>
    </row>
    <row r="889" spans="1:66">
      <c r="A889" s="809"/>
      <c r="B889" s="809"/>
      <c r="C889" s="809"/>
      <c r="D889" s="809"/>
      <c r="E889" s="809"/>
      <c r="F889" s="809"/>
      <c r="G889" s="809"/>
      <c r="H889" s="809"/>
      <c r="I889" s="809"/>
      <c r="J889" s="809"/>
      <c r="K889" s="809"/>
      <c r="L889" s="809"/>
      <c r="M889" s="809"/>
      <c r="N889" s="809"/>
      <c r="O889" s="809"/>
      <c r="P889" s="809"/>
      <c r="Q889" s="809"/>
      <c r="R889" s="809"/>
      <c r="S889" s="809"/>
      <c r="T889" s="809"/>
      <c r="U889" s="809"/>
      <c r="V889" s="809"/>
      <c r="W889" s="809"/>
      <c r="X889" s="809"/>
      <c r="Y889" s="809"/>
      <c r="Z889" s="809"/>
      <c r="AA889" s="809"/>
      <c r="AB889" s="809"/>
      <c r="AC889" s="809"/>
      <c r="AD889" s="809"/>
      <c r="AE889" s="809"/>
      <c r="AF889" s="809"/>
      <c r="AG889" s="809"/>
      <c r="AH889" s="809"/>
      <c r="AI889" s="809"/>
      <c r="AJ889" s="809"/>
      <c r="AK889" s="809"/>
      <c r="AL889" s="809"/>
      <c r="AM889" s="809"/>
      <c r="AN889" s="809"/>
      <c r="AO889" s="809"/>
      <c r="AP889" s="809"/>
      <c r="AQ889" s="809"/>
      <c r="AR889" s="809"/>
      <c r="AS889" s="809"/>
      <c r="AT889" s="809"/>
      <c r="AU889" s="809"/>
      <c r="AV889" s="809"/>
      <c r="AW889" s="809"/>
      <c r="AX889" s="809"/>
      <c r="AY889" s="809"/>
      <c r="AZ889" s="809"/>
      <c r="BA889" s="809"/>
      <c r="BB889" s="809"/>
      <c r="BC889" s="809"/>
      <c r="BD889" s="809"/>
      <c r="BE889" s="809"/>
      <c r="BF889" s="809"/>
      <c r="BG889" s="809"/>
      <c r="BH889" s="809"/>
      <c r="BI889" s="809"/>
      <c r="BJ889" s="809"/>
      <c r="BK889" s="809"/>
      <c r="BL889" s="809"/>
      <c r="BM889" s="809"/>
      <c r="BN889" s="809"/>
    </row>
    <row r="890" spans="1:66">
      <c r="A890" s="809"/>
      <c r="B890" s="809"/>
      <c r="C890" s="809"/>
      <c r="D890" s="809"/>
      <c r="E890" s="809"/>
      <c r="F890" s="809"/>
      <c r="G890" s="809"/>
      <c r="H890" s="809"/>
      <c r="I890" s="809"/>
      <c r="J890" s="809"/>
      <c r="K890" s="809"/>
      <c r="L890" s="809"/>
      <c r="M890" s="809"/>
      <c r="N890" s="809"/>
      <c r="O890" s="809"/>
      <c r="P890" s="809"/>
      <c r="Q890" s="809"/>
      <c r="R890" s="809"/>
      <c r="S890" s="809"/>
      <c r="T890" s="809"/>
      <c r="U890" s="809"/>
      <c r="V890" s="809"/>
      <c r="W890" s="809"/>
      <c r="X890" s="809"/>
      <c r="Y890" s="809"/>
      <c r="Z890" s="809"/>
      <c r="AA890" s="809"/>
      <c r="AB890" s="809"/>
      <c r="AC890" s="809"/>
      <c r="AD890" s="809"/>
      <c r="AE890" s="809"/>
      <c r="AF890" s="809"/>
      <c r="AG890" s="809"/>
      <c r="AH890" s="809"/>
      <c r="AI890" s="809"/>
      <c r="AJ890" s="809"/>
      <c r="AK890" s="809"/>
      <c r="AL890" s="809"/>
      <c r="AM890" s="809"/>
      <c r="AN890" s="809"/>
      <c r="AO890" s="809"/>
      <c r="AP890" s="809"/>
      <c r="AQ890" s="809"/>
      <c r="AR890" s="809"/>
      <c r="AS890" s="809"/>
      <c r="AT890" s="809"/>
      <c r="AU890" s="809"/>
      <c r="AV890" s="809"/>
      <c r="AW890" s="809"/>
      <c r="AX890" s="809"/>
      <c r="AY890" s="809"/>
      <c r="AZ890" s="809"/>
      <c r="BA890" s="809"/>
      <c r="BB890" s="809"/>
      <c r="BC890" s="809"/>
      <c r="BD890" s="809"/>
      <c r="BE890" s="809"/>
      <c r="BF890" s="809"/>
      <c r="BG890" s="809"/>
      <c r="BH890" s="809"/>
      <c r="BI890" s="809"/>
      <c r="BJ890" s="809"/>
      <c r="BK890" s="809"/>
      <c r="BL890" s="809"/>
      <c r="BM890" s="809"/>
      <c r="BN890" s="809"/>
    </row>
    <row r="891" spans="1:66">
      <c r="A891" s="809"/>
      <c r="B891" s="809"/>
      <c r="C891" s="809"/>
      <c r="D891" s="809"/>
      <c r="E891" s="809"/>
      <c r="F891" s="809"/>
      <c r="G891" s="809"/>
      <c r="H891" s="809"/>
      <c r="I891" s="809"/>
      <c r="J891" s="809"/>
      <c r="K891" s="809"/>
      <c r="L891" s="809"/>
      <c r="M891" s="809"/>
      <c r="N891" s="809"/>
      <c r="O891" s="809"/>
      <c r="P891" s="809"/>
      <c r="Q891" s="809"/>
      <c r="R891" s="809"/>
      <c r="S891" s="809"/>
      <c r="T891" s="809"/>
      <c r="U891" s="809"/>
      <c r="V891" s="809"/>
      <c r="W891" s="809"/>
      <c r="X891" s="809"/>
      <c r="Y891" s="809"/>
      <c r="Z891" s="809"/>
      <c r="AA891" s="809"/>
      <c r="AB891" s="809"/>
      <c r="AC891" s="809"/>
      <c r="AD891" s="809"/>
      <c r="AE891" s="809"/>
      <c r="AF891" s="809"/>
      <c r="AG891" s="809"/>
      <c r="AH891" s="809"/>
      <c r="AI891" s="809"/>
      <c r="AJ891" s="809"/>
      <c r="AK891" s="809"/>
      <c r="AL891" s="809"/>
      <c r="AM891" s="809"/>
      <c r="AN891" s="809"/>
      <c r="AO891" s="809"/>
      <c r="AP891" s="809"/>
      <c r="AQ891" s="809"/>
      <c r="AR891" s="809"/>
      <c r="AS891" s="809"/>
      <c r="AT891" s="809"/>
      <c r="AU891" s="809"/>
      <c r="AV891" s="809"/>
      <c r="AW891" s="809"/>
      <c r="AX891" s="809"/>
      <c r="AY891" s="809"/>
      <c r="AZ891" s="809"/>
      <c r="BA891" s="809"/>
      <c r="BB891" s="809"/>
      <c r="BC891" s="809"/>
      <c r="BD891" s="809"/>
      <c r="BE891" s="809"/>
      <c r="BF891" s="809"/>
      <c r="BG891" s="809"/>
      <c r="BH891" s="809"/>
      <c r="BI891" s="809"/>
      <c r="BJ891" s="809"/>
      <c r="BK891" s="809"/>
      <c r="BL891" s="809"/>
      <c r="BM891" s="809"/>
      <c r="BN891" s="809"/>
    </row>
    <row r="892" spans="1:66">
      <c r="A892" s="809"/>
      <c r="B892" s="809"/>
      <c r="C892" s="809"/>
      <c r="D892" s="809"/>
      <c r="E892" s="809"/>
      <c r="F892" s="809"/>
      <c r="G892" s="809"/>
      <c r="H892" s="809"/>
      <c r="I892" s="809"/>
      <c r="J892" s="809"/>
      <c r="K892" s="809"/>
      <c r="L892" s="809"/>
      <c r="M892" s="809"/>
      <c r="N892" s="809"/>
      <c r="O892" s="809"/>
      <c r="P892" s="809"/>
      <c r="Q892" s="809"/>
      <c r="R892" s="809"/>
      <c r="S892" s="809"/>
      <c r="T892" s="809"/>
      <c r="U892" s="809"/>
      <c r="V892" s="809"/>
      <c r="W892" s="809"/>
      <c r="X892" s="809"/>
      <c r="Y892" s="809"/>
      <c r="Z892" s="809"/>
      <c r="AA892" s="809"/>
      <c r="AB892" s="809"/>
      <c r="AC892" s="809"/>
      <c r="AD892" s="809"/>
      <c r="AE892" s="809"/>
      <c r="AF892" s="809"/>
      <c r="AG892" s="809"/>
      <c r="AH892" s="809"/>
      <c r="AI892" s="809"/>
      <c r="AJ892" s="809"/>
      <c r="AK892" s="809"/>
      <c r="AL892" s="809"/>
      <c r="AM892" s="809"/>
      <c r="AN892" s="809"/>
      <c r="AO892" s="809"/>
      <c r="AP892" s="809"/>
      <c r="AQ892" s="809"/>
      <c r="AR892" s="809"/>
      <c r="AS892" s="809"/>
      <c r="AT892" s="809"/>
      <c r="AU892" s="809"/>
      <c r="AV892" s="809"/>
      <c r="AW892" s="809"/>
      <c r="AX892" s="809"/>
      <c r="AY892" s="809"/>
      <c r="AZ892" s="809"/>
      <c r="BA892" s="809"/>
      <c r="BB892" s="809"/>
      <c r="BC892" s="809"/>
      <c r="BD892" s="809"/>
      <c r="BE892" s="809"/>
      <c r="BF892" s="809"/>
      <c r="BG892" s="809"/>
      <c r="BH892" s="809"/>
      <c r="BI892" s="809"/>
      <c r="BJ892" s="809"/>
      <c r="BK892" s="809"/>
      <c r="BL892" s="809"/>
      <c r="BM892" s="809"/>
      <c r="BN892" s="809"/>
    </row>
    <row r="893" spans="1:66">
      <c r="A893" s="809"/>
      <c r="B893" s="809"/>
      <c r="C893" s="809"/>
      <c r="D893" s="809"/>
      <c r="E893" s="809"/>
      <c r="F893" s="809"/>
      <c r="G893" s="809"/>
      <c r="H893" s="809"/>
      <c r="I893" s="809"/>
      <c r="J893" s="809"/>
      <c r="K893" s="809"/>
      <c r="L893" s="809"/>
      <c r="M893" s="809"/>
      <c r="N893" s="809"/>
      <c r="O893" s="809"/>
      <c r="P893" s="809"/>
      <c r="Q893" s="809"/>
      <c r="R893" s="809"/>
      <c r="S893" s="809"/>
      <c r="T893" s="809"/>
      <c r="U893" s="809"/>
      <c r="V893" s="809"/>
      <c r="W893" s="809"/>
      <c r="X893" s="809"/>
      <c r="Y893" s="809"/>
      <c r="Z893" s="809"/>
      <c r="AA893" s="809"/>
      <c r="AB893" s="809"/>
      <c r="AC893" s="809"/>
      <c r="AD893" s="809"/>
      <c r="AE893" s="809"/>
      <c r="AF893" s="809"/>
      <c r="AG893" s="809"/>
      <c r="AH893" s="809"/>
      <c r="AI893" s="809"/>
      <c r="AJ893" s="809"/>
      <c r="AK893" s="809"/>
      <c r="AL893" s="809"/>
      <c r="AM893" s="809"/>
      <c r="AN893" s="809"/>
      <c r="AO893" s="809"/>
      <c r="AP893" s="809"/>
      <c r="AQ893" s="809"/>
      <c r="AR893" s="809"/>
      <c r="AS893" s="809"/>
      <c r="AT893" s="809"/>
      <c r="AU893" s="809"/>
      <c r="AV893" s="809"/>
      <c r="AW893" s="809"/>
      <c r="AX893" s="809"/>
      <c r="AY893" s="809"/>
      <c r="AZ893" s="809"/>
      <c r="BA893" s="809"/>
      <c r="BB893" s="809"/>
      <c r="BC893" s="809"/>
      <c r="BD893" s="809"/>
      <c r="BE893" s="809"/>
      <c r="BF893" s="809"/>
      <c r="BG893" s="809"/>
      <c r="BH893" s="809"/>
      <c r="BI893" s="809"/>
      <c r="BJ893" s="809"/>
      <c r="BK893" s="809"/>
      <c r="BL893" s="809"/>
      <c r="BM893" s="809"/>
      <c r="BN893" s="809"/>
    </row>
    <row r="894" spans="1:66">
      <c r="A894" s="809"/>
      <c r="B894" s="809"/>
      <c r="C894" s="809"/>
      <c r="D894" s="809"/>
      <c r="E894" s="809"/>
      <c r="F894" s="809"/>
      <c r="G894" s="809"/>
      <c r="H894" s="809"/>
      <c r="I894" s="809"/>
      <c r="J894" s="809"/>
      <c r="K894" s="809"/>
      <c r="L894" s="809"/>
      <c r="M894" s="809"/>
      <c r="N894" s="809"/>
      <c r="O894" s="809"/>
      <c r="P894" s="809"/>
      <c r="Q894" s="809"/>
      <c r="R894" s="809"/>
      <c r="S894" s="809"/>
      <c r="T894" s="809"/>
      <c r="U894" s="809"/>
      <c r="V894" s="809"/>
      <c r="W894" s="809"/>
      <c r="X894" s="809"/>
      <c r="Y894" s="809"/>
      <c r="Z894" s="809"/>
      <c r="AA894" s="809"/>
      <c r="AB894" s="809"/>
      <c r="AC894" s="809"/>
      <c r="AD894" s="809"/>
      <c r="AE894" s="809"/>
      <c r="AF894" s="809"/>
      <c r="AG894" s="809"/>
      <c r="AH894" s="809"/>
      <c r="AI894" s="809"/>
      <c r="AJ894" s="809"/>
      <c r="AK894" s="809"/>
      <c r="AL894" s="809"/>
      <c r="AM894" s="809"/>
      <c r="AN894" s="809"/>
      <c r="AO894" s="809"/>
      <c r="AP894" s="809"/>
      <c r="AQ894" s="809"/>
      <c r="AR894" s="809"/>
      <c r="AS894" s="809"/>
      <c r="AT894" s="809"/>
      <c r="AU894" s="809"/>
      <c r="AV894" s="809"/>
      <c r="AW894" s="809"/>
      <c r="AX894" s="809"/>
      <c r="AY894" s="809"/>
      <c r="AZ894" s="809"/>
      <c r="BA894" s="809"/>
      <c r="BB894" s="809"/>
      <c r="BC894" s="809"/>
      <c r="BD894" s="809"/>
      <c r="BE894" s="809"/>
      <c r="BF894" s="809"/>
      <c r="BG894" s="809"/>
      <c r="BH894" s="809"/>
      <c r="BI894" s="809"/>
      <c r="BJ894" s="809"/>
      <c r="BK894" s="809"/>
      <c r="BL894" s="809"/>
      <c r="BM894" s="809"/>
      <c r="BN894" s="809"/>
    </row>
    <row r="895" spans="1:66">
      <c r="A895" s="809"/>
      <c r="B895" s="809"/>
      <c r="C895" s="809"/>
      <c r="D895" s="809"/>
      <c r="E895" s="809"/>
      <c r="F895" s="809"/>
      <c r="G895" s="809"/>
      <c r="H895" s="809"/>
      <c r="I895" s="809"/>
      <c r="J895" s="809"/>
      <c r="K895" s="809"/>
      <c r="L895" s="809"/>
      <c r="M895" s="809"/>
      <c r="N895" s="809"/>
      <c r="O895" s="809"/>
      <c r="P895" s="809"/>
      <c r="Q895" s="809"/>
      <c r="R895" s="809"/>
      <c r="S895" s="809"/>
      <c r="T895" s="809"/>
      <c r="U895" s="809"/>
      <c r="V895" s="809"/>
      <c r="W895" s="809"/>
      <c r="X895" s="809"/>
      <c r="Y895" s="809"/>
      <c r="Z895" s="809"/>
      <c r="AA895" s="809"/>
      <c r="AB895" s="809"/>
      <c r="AC895" s="809"/>
      <c r="AD895" s="809"/>
      <c r="AE895" s="809"/>
      <c r="AF895" s="809"/>
      <c r="AG895" s="809"/>
      <c r="AH895" s="809"/>
      <c r="AI895" s="809"/>
      <c r="AJ895" s="809"/>
      <c r="AK895" s="809"/>
      <c r="AL895" s="809"/>
      <c r="AM895" s="809"/>
      <c r="AN895" s="809"/>
      <c r="AO895" s="809"/>
      <c r="AP895" s="809"/>
      <c r="AQ895" s="809"/>
      <c r="AR895" s="809"/>
      <c r="AS895" s="809"/>
      <c r="AT895" s="809"/>
      <c r="AU895" s="809"/>
      <c r="AV895" s="809"/>
      <c r="AW895" s="809"/>
      <c r="AX895" s="809"/>
      <c r="AY895" s="809"/>
      <c r="AZ895" s="809"/>
      <c r="BA895" s="809"/>
      <c r="BB895" s="809"/>
      <c r="BC895" s="809"/>
      <c r="BD895" s="809"/>
      <c r="BE895" s="809"/>
      <c r="BF895" s="809"/>
      <c r="BG895" s="809"/>
      <c r="BH895" s="809"/>
      <c r="BI895" s="809"/>
      <c r="BJ895" s="809"/>
      <c r="BK895" s="809"/>
      <c r="BL895" s="809"/>
      <c r="BM895" s="809"/>
      <c r="BN895" s="809"/>
    </row>
    <row r="896" spans="1:66">
      <c r="A896" s="809"/>
      <c r="B896" s="809"/>
      <c r="C896" s="809"/>
      <c r="D896" s="809"/>
      <c r="E896" s="809"/>
      <c r="F896" s="809"/>
      <c r="G896" s="809"/>
      <c r="H896" s="809"/>
      <c r="I896" s="809"/>
      <c r="J896" s="809"/>
      <c r="K896" s="809"/>
      <c r="L896" s="809"/>
      <c r="M896" s="809"/>
      <c r="N896" s="809"/>
      <c r="O896" s="809"/>
      <c r="P896" s="809"/>
      <c r="Q896" s="809"/>
      <c r="R896" s="809"/>
      <c r="S896" s="809"/>
      <c r="T896" s="809"/>
      <c r="U896" s="809"/>
      <c r="V896" s="809"/>
      <c r="W896" s="809"/>
      <c r="X896" s="809"/>
      <c r="Y896" s="809"/>
      <c r="Z896" s="809"/>
      <c r="AA896" s="809"/>
      <c r="AB896" s="809"/>
      <c r="AC896" s="809"/>
      <c r="AD896" s="809"/>
      <c r="AE896" s="809"/>
      <c r="AF896" s="809"/>
      <c r="AG896" s="809"/>
      <c r="AH896" s="809"/>
      <c r="AI896" s="809"/>
      <c r="AJ896" s="809"/>
      <c r="AK896" s="809"/>
      <c r="AL896" s="809"/>
      <c r="AM896" s="809"/>
      <c r="AN896" s="809"/>
      <c r="AO896" s="809"/>
      <c r="AP896" s="809"/>
      <c r="AQ896" s="809"/>
      <c r="AR896" s="809"/>
      <c r="AS896" s="809"/>
      <c r="AT896" s="809"/>
      <c r="AU896" s="809"/>
      <c r="AV896" s="809"/>
      <c r="AW896" s="809"/>
      <c r="AX896" s="809"/>
      <c r="AY896" s="809"/>
      <c r="AZ896" s="809"/>
      <c r="BA896" s="809"/>
      <c r="BB896" s="809"/>
      <c r="BC896" s="809"/>
      <c r="BD896" s="809"/>
      <c r="BE896" s="809"/>
      <c r="BF896" s="809"/>
      <c r="BG896" s="809"/>
      <c r="BH896" s="809"/>
      <c r="BI896" s="809"/>
      <c r="BJ896" s="809"/>
      <c r="BK896" s="809"/>
      <c r="BL896" s="809"/>
      <c r="BM896" s="809"/>
      <c r="BN896" s="809"/>
    </row>
    <row r="897" spans="1:66">
      <c r="A897" s="809"/>
      <c r="B897" s="809"/>
      <c r="C897" s="809"/>
      <c r="D897" s="809"/>
      <c r="E897" s="809"/>
      <c r="F897" s="809"/>
      <c r="G897" s="809"/>
      <c r="H897" s="809"/>
      <c r="I897" s="809"/>
      <c r="J897" s="809"/>
      <c r="K897" s="809"/>
      <c r="L897" s="809"/>
      <c r="M897" s="809"/>
      <c r="N897" s="809"/>
      <c r="O897" s="809"/>
      <c r="P897" s="809"/>
      <c r="Q897" s="809"/>
      <c r="R897" s="809"/>
      <c r="S897" s="809"/>
      <c r="T897" s="809"/>
      <c r="U897" s="809"/>
      <c r="V897" s="809"/>
      <c r="W897" s="809"/>
      <c r="X897" s="809"/>
      <c r="Y897" s="809"/>
      <c r="Z897" s="809"/>
      <c r="AA897" s="809"/>
      <c r="AB897" s="809"/>
      <c r="AC897" s="809"/>
      <c r="AD897" s="809"/>
      <c r="AE897" s="809"/>
      <c r="AF897" s="809"/>
      <c r="AG897" s="809"/>
      <c r="AH897" s="809"/>
      <c r="AI897" s="809"/>
      <c r="AJ897" s="809"/>
      <c r="AK897" s="809"/>
      <c r="AL897" s="809"/>
      <c r="AM897" s="809"/>
      <c r="AN897" s="809"/>
      <c r="AO897" s="809"/>
      <c r="AP897" s="809"/>
      <c r="AQ897" s="809"/>
      <c r="AR897" s="809"/>
      <c r="AS897" s="809"/>
      <c r="AT897" s="809"/>
      <c r="AU897" s="809"/>
      <c r="AV897" s="809"/>
      <c r="AW897" s="809"/>
      <c r="AX897" s="809"/>
      <c r="AY897" s="809"/>
      <c r="AZ897" s="809"/>
      <c r="BA897" s="809"/>
      <c r="BB897" s="809"/>
      <c r="BC897" s="809"/>
      <c r="BD897" s="809"/>
      <c r="BE897" s="809"/>
      <c r="BF897" s="809"/>
      <c r="BG897" s="809"/>
      <c r="BH897" s="809"/>
      <c r="BI897" s="809"/>
      <c r="BJ897" s="809"/>
      <c r="BK897" s="809"/>
      <c r="BL897" s="809"/>
      <c r="BM897" s="809"/>
      <c r="BN897" s="809"/>
    </row>
    <row r="898" spans="1:66">
      <c r="A898" s="809"/>
      <c r="B898" s="809"/>
      <c r="C898" s="809"/>
      <c r="D898" s="809"/>
      <c r="E898" s="809"/>
      <c r="F898" s="809"/>
      <c r="G898" s="809"/>
      <c r="H898" s="809"/>
      <c r="I898" s="809"/>
      <c r="J898" s="809"/>
      <c r="K898" s="809"/>
      <c r="L898" s="809"/>
      <c r="M898" s="809"/>
      <c r="N898" s="809"/>
      <c r="O898" s="809"/>
      <c r="P898" s="809"/>
      <c r="Q898" s="809"/>
      <c r="R898" s="809"/>
      <c r="S898" s="809"/>
      <c r="T898" s="809"/>
      <c r="U898" s="809"/>
      <c r="V898" s="809"/>
      <c r="W898" s="809"/>
      <c r="X898" s="809"/>
      <c r="Y898" s="809"/>
      <c r="Z898" s="809"/>
      <c r="AA898" s="809"/>
      <c r="AB898" s="809"/>
      <c r="AC898" s="809"/>
      <c r="AD898" s="809"/>
      <c r="AE898" s="809"/>
      <c r="AF898" s="809"/>
      <c r="AG898" s="809"/>
      <c r="AH898" s="809"/>
      <c r="AI898" s="809"/>
      <c r="AJ898" s="809"/>
      <c r="AK898" s="809"/>
      <c r="AL898" s="809"/>
      <c r="AM898" s="809"/>
      <c r="AN898" s="809"/>
      <c r="AO898" s="809"/>
      <c r="AP898" s="809"/>
      <c r="AQ898" s="809"/>
      <c r="AR898" s="809"/>
      <c r="AS898" s="809"/>
      <c r="AT898" s="809"/>
      <c r="AU898" s="809"/>
      <c r="AV898" s="809"/>
      <c r="AW898" s="809"/>
      <c r="AX898" s="809"/>
      <c r="AY898" s="809"/>
      <c r="AZ898" s="809"/>
      <c r="BA898" s="809"/>
      <c r="BB898" s="809"/>
      <c r="BC898" s="809"/>
      <c r="BD898" s="809"/>
      <c r="BE898" s="809"/>
      <c r="BF898" s="809"/>
      <c r="BG898" s="809"/>
      <c r="BH898" s="809"/>
      <c r="BI898" s="809"/>
      <c r="BJ898" s="809"/>
      <c r="BK898" s="809"/>
      <c r="BL898" s="809"/>
      <c r="BM898" s="809"/>
      <c r="BN898" s="809"/>
    </row>
    <row r="899" spans="1:66">
      <c r="A899" s="809"/>
      <c r="B899" s="809"/>
      <c r="C899" s="809"/>
      <c r="D899" s="809"/>
      <c r="E899" s="809"/>
      <c r="F899" s="809"/>
      <c r="G899" s="809"/>
      <c r="H899" s="809"/>
      <c r="I899" s="809"/>
      <c r="J899" s="809"/>
      <c r="K899" s="809"/>
      <c r="L899" s="809"/>
      <c r="M899" s="809"/>
      <c r="N899" s="809"/>
      <c r="O899" s="809"/>
      <c r="P899" s="809"/>
      <c r="Q899" s="809"/>
      <c r="R899" s="809"/>
      <c r="S899" s="809"/>
      <c r="T899" s="809"/>
      <c r="U899" s="809"/>
      <c r="V899" s="809"/>
      <c r="W899" s="809"/>
      <c r="X899" s="809"/>
      <c r="Y899" s="809"/>
      <c r="Z899" s="809"/>
      <c r="AA899" s="809"/>
      <c r="AB899" s="809"/>
      <c r="AC899" s="809"/>
      <c r="AD899" s="809"/>
      <c r="AE899" s="809"/>
      <c r="AF899" s="809"/>
      <c r="AG899" s="809"/>
      <c r="AH899" s="809"/>
      <c r="AI899" s="809"/>
      <c r="AJ899" s="809"/>
      <c r="AK899" s="809"/>
      <c r="AL899" s="809"/>
      <c r="AM899" s="809"/>
      <c r="AN899" s="809"/>
      <c r="AO899" s="809"/>
      <c r="AP899" s="809"/>
      <c r="AQ899" s="809"/>
      <c r="AR899" s="809"/>
      <c r="AS899" s="809"/>
      <c r="AT899" s="809"/>
      <c r="AU899" s="809"/>
      <c r="AV899" s="809"/>
      <c r="AW899" s="809"/>
      <c r="AX899" s="809"/>
      <c r="AY899" s="809"/>
      <c r="AZ899" s="809"/>
      <c r="BA899" s="809"/>
      <c r="BB899" s="809"/>
      <c r="BC899" s="809"/>
      <c r="BD899" s="809"/>
      <c r="BE899" s="809"/>
      <c r="BF899" s="809"/>
      <c r="BG899" s="809"/>
      <c r="BH899" s="809"/>
      <c r="BI899" s="809"/>
      <c r="BJ899" s="809"/>
      <c r="BK899" s="809"/>
      <c r="BL899" s="809"/>
      <c r="BM899" s="809"/>
      <c r="BN899" s="809"/>
    </row>
    <row r="900" spans="1:66">
      <c r="A900" s="809"/>
      <c r="B900" s="809"/>
      <c r="C900" s="809"/>
      <c r="D900" s="809"/>
      <c r="E900" s="809"/>
      <c r="F900" s="809"/>
      <c r="G900" s="809"/>
      <c r="H900" s="809"/>
      <c r="I900" s="809"/>
      <c r="J900" s="809"/>
      <c r="K900" s="809"/>
      <c r="L900" s="809"/>
      <c r="M900" s="809"/>
      <c r="N900" s="809"/>
      <c r="O900" s="809"/>
      <c r="P900" s="809"/>
      <c r="Q900" s="809"/>
      <c r="R900" s="809"/>
      <c r="S900" s="809"/>
      <c r="T900" s="809"/>
      <c r="U900" s="809"/>
      <c r="V900" s="809"/>
      <c r="W900" s="809"/>
      <c r="X900" s="809"/>
      <c r="Y900" s="809"/>
      <c r="Z900" s="809"/>
      <c r="AA900" s="809"/>
      <c r="AB900" s="809"/>
      <c r="AC900" s="809"/>
      <c r="AD900" s="809"/>
      <c r="AE900" s="809"/>
      <c r="AF900" s="809"/>
      <c r="AG900" s="809"/>
      <c r="AH900" s="809"/>
      <c r="AI900" s="809"/>
      <c r="AJ900" s="809"/>
      <c r="AK900" s="809"/>
      <c r="AL900" s="809"/>
      <c r="AM900" s="809"/>
      <c r="AN900" s="809"/>
      <c r="AO900" s="809"/>
      <c r="AP900" s="809"/>
      <c r="AQ900" s="809"/>
      <c r="AR900" s="809"/>
      <c r="AS900" s="809"/>
      <c r="AT900" s="809"/>
      <c r="AU900" s="809"/>
      <c r="AV900" s="809"/>
      <c r="AW900" s="809"/>
      <c r="AX900" s="809"/>
      <c r="AY900" s="809"/>
      <c r="AZ900" s="809"/>
      <c r="BA900" s="809"/>
      <c r="BB900" s="809"/>
      <c r="BC900" s="809"/>
      <c r="BD900" s="809"/>
      <c r="BE900" s="809"/>
      <c r="BF900" s="809"/>
      <c r="BG900" s="809"/>
      <c r="BH900" s="809"/>
      <c r="BI900" s="809"/>
      <c r="BJ900" s="809"/>
      <c r="BK900" s="809"/>
      <c r="BL900" s="809"/>
      <c r="BM900" s="809"/>
      <c r="BN900" s="809"/>
    </row>
    <row r="901" spans="1:66">
      <c r="A901" s="809"/>
      <c r="B901" s="809"/>
      <c r="C901" s="809"/>
      <c r="D901" s="809"/>
      <c r="E901" s="809"/>
      <c r="F901" s="809"/>
      <c r="G901" s="809"/>
      <c r="H901" s="809"/>
      <c r="I901" s="809"/>
      <c r="J901" s="809"/>
      <c r="K901" s="809"/>
      <c r="L901" s="809"/>
      <c r="M901" s="809"/>
      <c r="N901" s="809"/>
      <c r="O901" s="809"/>
      <c r="P901" s="809"/>
      <c r="Q901" s="809"/>
      <c r="R901" s="809"/>
      <c r="S901" s="809"/>
      <c r="T901" s="809"/>
      <c r="U901" s="809"/>
      <c r="V901" s="809"/>
      <c r="W901" s="809"/>
      <c r="X901" s="809"/>
      <c r="Y901" s="809"/>
      <c r="Z901" s="809"/>
      <c r="AA901" s="809"/>
      <c r="AB901" s="809"/>
      <c r="AC901" s="809"/>
      <c r="AD901" s="809"/>
      <c r="AE901" s="809"/>
      <c r="AF901" s="809"/>
      <c r="AG901" s="809"/>
      <c r="AH901" s="809"/>
      <c r="AI901" s="809"/>
      <c r="AJ901" s="809"/>
      <c r="AK901" s="809"/>
      <c r="AL901" s="809"/>
      <c r="AM901" s="809"/>
      <c r="AN901" s="809"/>
      <c r="AO901" s="809"/>
      <c r="AP901" s="809"/>
      <c r="AQ901" s="809"/>
      <c r="AR901" s="809"/>
      <c r="AS901" s="809"/>
      <c r="AT901" s="809"/>
      <c r="AU901" s="809"/>
      <c r="AV901" s="809"/>
      <c r="AW901" s="809"/>
      <c r="AX901" s="809"/>
      <c r="AY901" s="809"/>
      <c r="AZ901" s="809"/>
      <c r="BA901" s="809"/>
      <c r="BB901" s="809"/>
      <c r="BC901" s="809"/>
      <c r="BD901" s="809"/>
      <c r="BE901" s="809"/>
      <c r="BF901" s="809"/>
      <c r="BG901" s="809"/>
      <c r="BH901" s="809"/>
      <c r="BI901" s="809"/>
      <c r="BJ901" s="809"/>
      <c r="BK901" s="809"/>
      <c r="BL901" s="809"/>
      <c r="BM901" s="809"/>
      <c r="BN901" s="809"/>
    </row>
    <row r="902" spans="1:66">
      <c r="A902" s="809"/>
      <c r="B902" s="809"/>
      <c r="C902" s="809"/>
      <c r="D902" s="809"/>
      <c r="E902" s="809"/>
      <c r="F902" s="809"/>
      <c r="G902" s="809"/>
      <c r="H902" s="809"/>
      <c r="I902" s="809"/>
      <c r="J902" s="809"/>
      <c r="K902" s="809"/>
      <c r="L902" s="809"/>
      <c r="M902" s="809"/>
      <c r="N902" s="809"/>
      <c r="O902" s="809"/>
      <c r="P902" s="809"/>
      <c r="Q902" s="809"/>
      <c r="R902" s="809"/>
      <c r="S902" s="809"/>
      <c r="T902" s="809"/>
      <c r="U902" s="809"/>
      <c r="V902" s="809"/>
      <c r="W902" s="809"/>
      <c r="X902" s="809"/>
      <c r="Y902" s="809"/>
      <c r="Z902" s="809"/>
      <c r="AA902" s="809"/>
      <c r="AB902" s="809"/>
      <c r="AC902" s="809"/>
      <c r="AD902" s="809"/>
      <c r="AE902" s="809"/>
      <c r="AF902" s="809"/>
      <c r="AG902" s="809"/>
      <c r="AH902" s="809"/>
      <c r="AI902" s="809"/>
      <c r="AJ902" s="809"/>
      <c r="AK902" s="809"/>
      <c r="AL902" s="809"/>
      <c r="AM902" s="809"/>
      <c r="AN902" s="809"/>
      <c r="AO902" s="809"/>
      <c r="AP902" s="809"/>
      <c r="AQ902" s="809"/>
      <c r="AR902" s="809"/>
      <c r="AS902" s="809"/>
      <c r="AT902" s="809"/>
      <c r="AU902" s="809"/>
      <c r="AV902" s="809"/>
      <c r="AW902" s="809"/>
      <c r="AX902" s="809"/>
      <c r="AY902" s="809"/>
      <c r="AZ902" s="809"/>
      <c r="BA902" s="809"/>
      <c r="BB902" s="809"/>
      <c r="BC902" s="809"/>
      <c r="BD902" s="809"/>
      <c r="BE902" s="809"/>
      <c r="BF902" s="809"/>
      <c r="BG902" s="809"/>
      <c r="BH902" s="809"/>
      <c r="BI902" s="809"/>
      <c r="BJ902" s="809"/>
      <c r="BK902" s="809"/>
      <c r="BL902" s="809"/>
      <c r="BM902" s="809"/>
      <c r="BN902" s="809"/>
    </row>
    <row r="903" spans="1:66">
      <c r="A903" s="809"/>
      <c r="B903" s="809"/>
      <c r="C903" s="809"/>
      <c r="D903" s="809"/>
      <c r="E903" s="809"/>
      <c r="F903" s="809"/>
      <c r="G903" s="809"/>
      <c r="H903" s="809"/>
      <c r="I903" s="809"/>
      <c r="J903" s="809"/>
      <c r="K903" s="809"/>
      <c r="L903" s="809"/>
      <c r="M903" s="809"/>
      <c r="N903" s="809"/>
      <c r="O903" s="809"/>
      <c r="P903" s="809"/>
      <c r="Q903" s="809"/>
      <c r="R903" s="809"/>
      <c r="S903" s="809"/>
      <c r="T903" s="809"/>
      <c r="U903" s="809"/>
      <c r="V903" s="809"/>
      <c r="W903" s="809"/>
      <c r="X903" s="809"/>
      <c r="Y903" s="809"/>
      <c r="Z903" s="809"/>
      <c r="AA903" s="809"/>
      <c r="AB903" s="809"/>
      <c r="AC903" s="809"/>
      <c r="AD903" s="809"/>
      <c r="AE903" s="809"/>
      <c r="AF903" s="809"/>
      <c r="AG903" s="809"/>
      <c r="AH903" s="809"/>
      <c r="AI903" s="809"/>
      <c r="AJ903" s="809"/>
      <c r="AK903" s="809"/>
      <c r="AL903" s="809"/>
      <c r="AM903" s="809"/>
      <c r="AN903" s="809"/>
      <c r="AO903" s="809"/>
      <c r="AP903" s="809"/>
      <c r="AQ903" s="809"/>
      <c r="AR903" s="809"/>
      <c r="AS903" s="809"/>
      <c r="AT903" s="809"/>
      <c r="AU903" s="809"/>
      <c r="AV903" s="809"/>
      <c r="AW903" s="809"/>
      <c r="AX903" s="809"/>
      <c r="AY903" s="809"/>
      <c r="AZ903" s="809"/>
      <c r="BA903" s="809"/>
      <c r="BB903" s="809"/>
      <c r="BC903" s="809"/>
      <c r="BD903" s="809"/>
      <c r="BE903" s="809"/>
      <c r="BF903" s="809"/>
      <c r="BG903" s="809"/>
      <c r="BH903" s="809"/>
      <c r="BI903" s="809"/>
      <c r="BJ903" s="809"/>
      <c r="BK903" s="809"/>
      <c r="BL903" s="809"/>
      <c r="BM903" s="809"/>
      <c r="BN903" s="809"/>
    </row>
    <row r="904" spans="1:66">
      <c r="A904" s="809"/>
      <c r="B904" s="809"/>
      <c r="C904" s="809"/>
      <c r="D904" s="809"/>
      <c r="E904" s="809"/>
      <c r="F904" s="809"/>
      <c r="G904" s="809"/>
      <c r="H904" s="809"/>
      <c r="I904" s="809"/>
      <c r="J904" s="809"/>
      <c r="K904" s="809"/>
      <c r="L904" s="809"/>
      <c r="M904" s="809"/>
      <c r="N904" s="809"/>
      <c r="O904" s="809"/>
      <c r="P904" s="809"/>
      <c r="Q904" s="809"/>
      <c r="R904" s="809"/>
      <c r="S904" s="809"/>
      <c r="T904" s="809"/>
      <c r="U904" s="809"/>
      <c r="V904" s="809"/>
      <c r="W904" s="809"/>
      <c r="X904" s="809"/>
      <c r="Y904" s="809"/>
      <c r="Z904" s="809"/>
      <c r="AA904" s="809"/>
      <c r="AB904" s="809"/>
      <c r="AC904" s="809"/>
      <c r="AD904" s="809"/>
      <c r="AE904" s="809"/>
      <c r="AF904" s="809"/>
      <c r="AG904" s="809"/>
      <c r="AH904" s="809"/>
      <c r="AI904" s="809"/>
      <c r="AJ904" s="809"/>
      <c r="AK904" s="809"/>
      <c r="AL904" s="809"/>
      <c r="AM904" s="809"/>
      <c r="AN904" s="809"/>
      <c r="AO904" s="809"/>
      <c r="AP904" s="809"/>
      <c r="AQ904" s="809"/>
      <c r="AR904" s="809"/>
      <c r="AS904" s="809"/>
      <c r="AT904" s="809"/>
      <c r="AU904" s="809"/>
      <c r="AV904" s="809"/>
      <c r="AW904" s="809"/>
      <c r="AX904" s="809"/>
      <c r="AY904" s="809"/>
      <c r="AZ904" s="809"/>
      <c r="BA904" s="809"/>
      <c r="BB904" s="809"/>
      <c r="BC904" s="809"/>
      <c r="BD904" s="809"/>
      <c r="BE904" s="809"/>
      <c r="BF904" s="809"/>
      <c r="BG904" s="809"/>
      <c r="BH904" s="809"/>
      <c r="BI904" s="809"/>
      <c r="BJ904" s="809"/>
      <c r="BK904" s="809"/>
      <c r="BL904" s="809"/>
      <c r="BM904" s="809"/>
      <c r="BN904" s="809"/>
    </row>
    <row r="905" spans="1:66">
      <c r="A905" s="809"/>
      <c r="B905" s="809"/>
      <c r="C905" s="809"/>
      <c r="D905" s="809"/>
      <c r="E905" s="809"/>
      <c r="F905" s="809"/>
      <c r="G905" s="809"/>
      <c r="H905" s="809"/>
      <c r="I905" s="809"/>
      <c r="J905" s="809"/>
      <c r="K905" s="809"/>
      <c r="L905" s="809"/>
      <c r="M905" s="809"/>
      <c r="N905" s="809"/>
      <c r="O905" s="809"/>
      <c r="P905" s="809"/>
      <c r="Q905" s="809"/>
      <c r="R905" s="809"/>
      <c r="S905" s="809"/>
      <c r="T905" s="809"/>
      <c r="U905" s="809"/>
      <c r="V905" s="809"/>
      <c r="W905" s="809"/>
      <c r="X905" s="809"/>
      <c r="Y905" s="809"/>
      <c r="Z905" s="809"/>
      <c r="AA905" s="809"/>
      <c r="AB905" s="809"/>
      <c r="AC905" s="809"/>
      <c r="AD905" s="809"/>
      <c r="AE905" s="809"/>
      <c r="AF905" s="809"/>
      <c r="AG905" s="809"/>
      <c r="AH905" s="809"/>
      <c r="AI905" s="809"/>
      <c r="AJ905" s="809"/>
      <c r="AK905" s="809"/>
      <c r="AL905" s="809"/>
      <c r="AM905" s="809"/>
      <c r="AN905" s="809"/>
      <c r="AO905" s="809"/>
      <c r="AP905" s="809"/>
      <c r="AQ905" s="809"/>
      <c r="AR905" s="809"/>
      <c r="AS905" s="809"/>
      <c r="AT905" s="809"/>
      <c r="AU905" s="809"/>
      <c r="AV905" s="809"/>
      <c r="AW905" s="809"/>
      <c r="AX905" s="809"/>
      <c r="AY905" s="809"/>
      <c r="AZ905" s="809"/>
      <c r="BA905" s="809"/>
      <c r="BB905" s="809"/>
      <c r="BC905" s="809"/>
      <c r="BD905" s="809"/>
      <c r="BE905" s="809"/>
      <c r="BF905" s="809"/>
      <c r="BG905" s="809"/>
      <c r="BH905" s="809"/>
      <c r="BI905" s="809"/>
      <c r="BJ905" s="809"/>
      <c r="BK905" s="809"/>
      <c r="BL905" s="809"/>
      <c r="BM905" s="809"/>
      <c r="BN905" s="809"/>
    </row>
    <row r="906" spans="1:66">
      <c r="A906" s="809"/>
      <c r="B906" s="809"/>
      <c r="C906" s="809"/>
      <c r="D906" s="809"/>
      <c r="E906" s="809"/>
      <c r="F906" s="809"/>
      <c r="G906" s="809"/>
      <c r="H906" s="809"/>
      <c r="I906" s="809"/>
      <c r="J906" s="809"/>
      <c r="K906" s="809"/>
      <c r="L906" s="809"/>
      <c r="M906" s="809"/>
      <c r="N906" s="809"/>
      <c r="O906" s="809"/>
      <c r="P906" s="809"/>
      <c r="Q906" s="809"/>
      <c r="R906" s="809"/>
      <c r="S906" s="809"/>
      <c r="T906" s="809"/>
      <c r="U906" s="809"/>
      <c r="V906" s="809"/>
      <c r="W906" s="809"/>
      <c r="X906" s="809"/>
      <c r="Y906" s="809"/>
      <c r="Z906" s="809"/>
      <c r="AA906" s="809"/>
      <c r="AB906" s="809"/>
      <c r="AC906" s="809"/>
      <c r="AD906" s="809"/>
      <c r="AE906" s="809"/>
      <c r="AF906" s="809"/>
      <c r="AG906" s="809"/>
      <c r="AH906" s="809"/>
      <c r="AI906" s="809"/>
      <c r="AJ906" s="809"/>
      <c r="AK906" s="809"/>
      <c r="AL906" s="809"/>
      <c r="AM906" s="809"/>
      <c r="AN906" s="809"/>
      <c r="AO906" s="809"/>
      <c r="AP906" s="809"/>
      <c r="AQ906" s="809"/>
      <c r="AR906" s="809"/>
      <c r="AS906" s="809"/>
      <c r="AT906" s="809"/>
      <c r="AU906" s="809"/>
      <c r="AV906" s="809"/>
      <c r="AW906" s="809"/>
      <c r="AX906" s="809"/>
      <c r="AY906" s="809"/>
      <c r="AZ906" s="809"/>
      <c r="BA906" s="809"/>
      <c r="BB906" s="809"/>
      <c r="BC906" s="809"/>
      <c r="BD906" s="809"/>
      <c r="BE906" s="809"/>
      <c r="BF906" s="809"/>
      <c r="BG906" s="809"/>
      <c r="BH906" s="809"/>
      <c r="BI906" s="809"/>
      <c r="BJ906" s="809"/>
      <c r="BK906" s="809"/>
      <c r="BL906" s="809"/>
      <c r="BM906" s="809"/>
      <c r="BN906" s="809"/>
    </row>
    <row r="907" spans="1:66">
      <c r="A907" s="809"/>
      <c r="B907" s="809"/>
      <c r="C907" s="809"/>
      <c r="D907" s="809"/>
      <c r="E907" s="809"/>
      <c r="F907" s="809"/>
      <c r="G907" s="809"/>
      <c r="H907" s="809"/>
      <c r="I907" s="809"/>
      <c r="J907" s="809"/>
      <c r="K907" s="809"/>
      <c r="L907" s="809"/>
      <c r="M907" s="809"/>
      <c r="N907" s="809"/>
      <c r="O907" s="809"/>
      <c r="P907" s="809"/>
      <c r="Q907" s="809"/>
      <c r="R907" s="809"/>
      <c r="S907" s="809"/>
      <c r="T907" s="809"/>
      <c r="U907" s="809"/>
      <c r="V907" s="809"/>
      <c r="W907" s="809"/>
      <c r="X907" s="809"/>
      <c r="Y907" s="809"/>
      <c r="Z907" s="809"/>
      <c r="AA907" s="809"/>
      <c r="AB907" s="809"/>
      <c r="AC907" s="809"/>
      <c r="AD907" s="809"/>
      <c r="AE907" s="809"/>
      <c r="AF907" s="809"/>
      <c r="AG907" s="809"/>
      <c r="AH907" s="809"/>
      <c r="AI907" s="809"/>
      <c r="AJ907" s="809"/>
      <c r="AK907" s="809"/>
      <c r="AL907" s="809"/>
      <c r="AM907" s="809"/>
      <c r="AN907" s="809"/>
      <c r="AO907" s="809"/>
      <c r="AP907" s="809"/>
      <c r="AQ907" s="809"/>
      <c r="AR907" s="809"/>
      <c r="AS907" s="809"/>
      <c r="AT907" s="809"/>
      <c r="AU907" s="809"/>
      <c r="AV907" s="809"/>
      <c r="AW907" s="809"/>
      <c r="AX907" s="809"/>
      <c r="AY907" s="809"/>
      <c r="AZ907" s="809"/>
      <c r="BA907" s="809"/>
      <c r="BB907" s="809"/>
      <c r="BC907" s="809"/>
      <c r="BD907" s="809"/>
      <c r="BE907" s="809"/>
      <c r="BF907" s="809"/>
      <c r="BG907" s="809"/>
      <c r="BH907" s="809"/>
      <c r="BI907" s="809"/>
      <c r="BJ907" s="809"/>
      <c r="BK907" s="809"/>
      <c r="BL907" s="809"/>
      <c r="BM907" s="809"/>
      <c r="BN907" s="809"/>
    </row>
    <row r="908" spans="1:66">
      <c r="A908" s="809"/>
      <c r="B908" s="809"/>
      <c r="C908" s="809"/>
      <c r="D908" s="809"/>
      <c r="E908" s="809"/>
      <c r="F908" s="809"/>
      <c r="G908" s="809"/>
      <c r="H908" s="809"/>
      <c r="I908" s="809"/>
      <c r="J908" s="809"/>
      <c r="K908" s="809"/>
      <c r="L908" s="809"/>
      <c r="M908" s="809"/>
      <c r="N908" s="809"/>
      <c r="O908" s="809"/>
      <c r="P908" s="809"/>
      <c r="Q908" s="809"/>
      <c r="R908" s="809"/>
      <c r="S908" s="809"/>
      <c r="T908" s="809"/>
      <c r="U908" s="809"/>
      <c r="V908" s="809"/>
      <c r="W908" s="809"/>
      <c r="X908" s="809"/>
      <c r="Y908" s="809"/>
      <c r="Z908" s="809"/>
      <c r="AA908" s="809"/>
      <c r="AB908" s="809"/>
      <c r="AC908" s="809"/>
      <c r="AD908" s="809"/>
      <c r="AE908" s="809"/>
      <c r="AF908" s="809"/>
      <c r="AG908" s="809"/>
      <c r="AH908" s="809"/>
      <c r="AI908" s="809"/>
      <c r="AJ908" s="809"/>
      <c r="AK908" s="809"/>
      <c r="AL908" s="809"/>
      <c r="AM908" s="809"/>
      <c r="AN908" s="809"/>
      <c r="AO908" s="809"/>
      <c r="AP908" s="809"/>
      <c r="AQ908" s="809"/>
      <c r="AR908" s="809"/>
      <c r="AS908" s="809"/>
      <c r="AT908" s="809"/>
      <c r="AU908" s="809"/>
      <c r="AV908" s="809"/>
      <c r="AW908" s="809"/>
      <c r="AX908" s="809"/>
      <c r="AY908" s="809"/>
      <c r="AZ908" s="809"/>
      <c r="BA908" s="809"/>
      <c r="BB908" s="809"/>
      <c r="BC908" s="809"/>
      <c r="BD908" s="809"/>
      <c r="BE908" s="809"/>
      <c r="BF908" s="809"/>
      <c r="BG908" s="809"/>
      <c r="BH908" s="809"/>
      <c r="BI908" s="809"/>
      <c r="BJ908" s="809"/>
      <c r="BK908" s="809"/>
      <c r="BL908" s="809"/>
      <c r="BM908" s="809"/>
      <c r="BN908" s="809"/>
    </row>
    <row r="909" spans="1:66">
      <c r="A909" s="809"/>
      <c r="B909" s="809"/>
      <c r="C909" s="809"/>
      <c r="D909" s="809"/>
      <c r="E909" s="809"/>
      <c r="F909" s="809"/>
      <c r="G909" s="809"/>
      <c r="H909" s="809"/>
      <c r="I909" s="809"/>
      <c r="J909" s="809"/>
      <c r="K909" s="809"/>
      <c r="L909" s="809"/>
      <c r="M909" s="809"/>
      <c r="N909" s="809"/>
      <c r="O909" s="809"/>
      <c r="P909" s="809"/>
      <c r="Q909" s="809"/>
      <c r="R909" s="809"/>
      <c r="S909" s="809"/>
      <c r="T909" s="809"/>
      <c r="U909" s="809"/>
      <c r="V909" s="809"/>
      <c r="W909" s="809"/>
      <c r="X909" s="809"/>
      <c r="Y909" s="809"/>
      <c r="Z909" s="809"/>
      <c r="AA909" s="809"/>
      <c r="AB909" s="809"/>
      <c r="AC909" s="809"/>
      <c r="AD909" s="809"/>
      <c r="AE909" s="809"/>
      <c r="AF909" s="809"/>
      <c r="AG909" s="809"/>
      <c r="AH909" s="809"/>
      <c r="AI909" s="809"/>
      <c r="AJ909" s="809"/>
      <c r="AK909" s="809"/>
      <c r="AL909" s="809"/>
      <c r="AM909" s="809"/>
      <c r="AN909" s="809"/>
      <c r="AO909" s="809"/>
      <c r="AP909" s="809"/>
      <c r="AQ909" s="809"/>
      <c r="AR909" s="809"/>
      <c r="AS909" s="809"/>
      <c r="AT909" s="809"/>
      <c r="AU909" s="809"/>
      <c r="AV909" s="809"/>
      <c r="AW909" s="809"/>
      <c r="AX909" s="809"/>
      <c r="AY909" s="809"/>
      <c r="AZ909" s="809"/>
      <c r="BA909" s="809"/>
      <c r="BB909" s="809"/>
      <c r="BC909" s="809"/>
      <c r="BD909" s="809"/>
      <c r="BE909" s="809"/>
      <c r="BF909" s="809"/>
      <c r="BG909" s="809"/>
      <c r="BH909" s="809"/>
      <c r="BI909" s="809"/>
      <c r="BJ909" s="809"/>
      <c r="BK909" s="809"/>
      <c r="BL909" s="809"/>
      <c r="BM909" s="809"/>
      <c r="BN909" s="809"/>
    </row>
    <row r="910" spans="1:66">
      <c r="A910" s="809"/>
      <c r="B910" s="809"/>
      <c r="C910" s="809"/>
      <c r="D910" s="809"/>
      <c r="E910" s="809"/>
      <c r="F910" s="809"/>
      <c r="G910" s="809"/>
      <c r="H910" s="809"/>
      <c r="I910" s="809"/>
      <c r="J910" s="809"/>
      <c r="K910" s="809"/>
      <c r="L910" s="809"/>
      <c r="M910" s="809"/>
      <c r="N910" s="809"/>
      <c r="O910" s="809"/>
      <c r="P910" s="809"/>
      <c r="Q910" s="809"/>
      <c r="R910" s="809"/>
      <c r="S910" s="809"/>
      <c r="T910" s="809"/>
      <c r="U910" s="809"/>
      <c r="V910" s="809"/>
      <c r="W910" s="809"/>
      <c r="X910" s="809"/>
      <c r="Y910" s="809"/>
      <c r="Z910" s="809"/>
      <c r="AA910" s="809"/>
      <c r="AB910" s="809"/>
      <c r="AC910" s="809"/>
      <c r="AD910" s="809"/>
      <c r="AE910" s="809"/>
      <c r="AF910" s="809"/>
      <c r="AG910" s="809"/>
      <c r="AH910" s="809"/>
      <c r="AI910" s="809"/>
      <c r="AJ910" s="809"/>
      <c r="AK910" s="809"/>
      <c r="AL910" s="809"/>
      <c r="AM910" s="809"/>
      <c r="AN910" s="809"/>
      <c r="AO910" s="809"/>
      <c r="AP910" s="809"/>
      <c r="AQ910" s="809"/>
      <c r="AR910" s="809"/>
      <c r="AS910" s="809"/>
      <c r="AT910" s="809"/>
      <c r="AU910" s="809"/>
      <c r="AV910" s="809"/>
      <c r="AW910" s="809"/>
      <c r="AX910" s="809"/>
      <c r="AY910" s="809"/>
      <c r="AZ910" s="809"/>
      <c r="BA910" s="809"/>
      <c r="BB910" s="809"/>
      <c r="BC910" s="809"/>
      <c r="BD910" s="809"/>
      <c r="BE910" s="809"/>
      <c r="BF910" s="809"/>
      <c r="BG910" s="809"/>
      <c r="BH910" s="809"/>
      <c r="BI910" s="809"/>
      <c r="BJ910" s="809"/>
      <c r="BK910" s="809"/>
      <c r="BL910" s="809"/>
      <c r="BM910" s="809"/>
      <c r="BN910" s="809"/>
    </row>
    <row r="911" spans="1:66">
      <c r="A911" s="809"/>
      <c r="B911" s="809"/>
      <c r="C911" s="809"/>
      <c r="D911" s="809"/>
      <c r="E911" s="809"/>
      <c r="F911" s="809"/>
      <c r="G911" s="809"/>
      <c r="H911" s="809"/>
      <c r="I911" s="809"/>
      <c r="J911" s="809"/>
      <c r="K911" s="809"/>
      <c r="L911" s="809"/>
      <c r="M911" s="809"/>
      <c r="N911" s="809"/>
      <c r="O911" s="809"/>
      <c r="P911" s="809"/>
      <c r="Q911" s="809"/>
      <c r="R911" s="809"/>
      <c r="S911" s="809"/>
      <c r="T911" s="809"/>
      <c r="U911" s="809"/>
      <c r="V911" s="809"/>
      <c r="W911" s="809"/>
      <c r="X911" s="809"/>
      <c r="Y911" s="809"/>
      <c r="Z911" s="809"/>
      <c r="AA911" s="809"/>
      <c r="AB911" s="809"/>
      <c r="AC911" s="809"/>
      <c r="AD911" s="809"/>
      <c r="AE911" s="809"/>
      <c r="AF911" s="809"/>
      <c r="AG911" s="809"/>
      <c r="AH911" s="809"/>
      <c r="AI911" s="809"/>
      <c r="AJ911" s="809"/>
      <c r="AK911" s="809"/>
      <c r="AL911" s="809"/>
      <c r="AM911" s="809"/>
      <c r="AN911" s="809"/>
      <c r="AO911" s="809"/>
      <c r="AP911" s="809"/>
      <c r="AQ911" s="809"/>
      <c r="AR911" s="809"/>
      <c r="AS911" s="809"/>
      <c r="AT911" s="809"/>
      <c r="AU911" s="809"/>
      <c r="AV911" s="809"/>
      <c r="AW911" s="809"/>
      <c r="AX911" s="809"/>
      <c r="AY911" s="809"/>
      <c r="AZ911" s="809"/>
      <c r="BA911" s="809"/>
      <c r="BB911" s="809"/>
      <c r="BC911" s="809"/>
      <c r="BD911" s="809"/>
      <c r="BE911" s="809"/>
      <c r="BF911" s="809"/>
      <c r="BG911" s="809"/>
      <c r="BH911" s="809"/>
      <c r="BI911" s="809"/>
      <c r="BJ911" s="809"/>
      <c r="BK911" s="809"/>
      <c r="BL911" s="809"/>
      <c r="BM911" s="809"/>
      <c r="BN911" s="809"/>
    </row>
    <row r="912" spans="1:66">
      <c r="A912" s="809"/>
      <c r="B912" s="809"/>
      <c r="C912" s="809"/>
      <c r="D912" s="809"/>
      <c r="E912" s="809"/>
      <c r="F912" s="809"/>
      <c r="G912" s="809"/>
      <c r="H912" s="809"/>
      <c r="I912" s="809"/>
      <c r="J912" s="809"/>
      <c r="K912" s="809"/>
      <c r="L912" s="809"/>
      <c r="M912" s="809"/>
      <c r="N912" s="809"/>
      <c r="O912" s="809"/>
      <c r="P912" s="809"/>
      <c r="Q912" s="809"/>
      <c r="R912" s="809"/>
      <c r="S912" s="809"/>
      <c r="T912" s="809"/>
      <c r="U912" s="809"/>
      <c r="V912" s="809"/>
      <c r="W912" s="809"/>
      <c r="X912" s="809"/>
      <c r="Y912" s="809"/>
      <c r="Z912" s="809"/>
      <c r="AA912" s="809"/>
      <c r="AB912" s="809"/>
      <c r="AC912" s="809"/>
      <c r="AD912" s="809"/>
      <c r="AE912" s="809"/>
      <c r="AF912" s="809"/>
      <c r="AG912" s="809"/>
      <c r="AH912" s="809"/>
      <c r="AI912" s="809"/>
      <c r="AJ912" s="809"/>
      <c r="AK912" s="809"/>
      <c r="AL912" s="809"/>
      <c r="AM912" s="809"/>
      <c r="AN912" s="809"/>
      <c r="AO912" s="809"/>
      <c r="AP912" s="809"/>
      <c r="AQ912" s="809"/>
      <c r="AR912" s="809"/>
      <c r="AS912" s="809"/>
      <c r="AT912" s="809"/>
      <c r="AU912" s="809"/>
      <c r="AV912" s="809"/>
      <c r="AW912" s="809"/>
      <c r="AX912" s="809"/>
      <c r="AY912" s="809"/>
      <c r="AZ912" s="809"/>
      <c r="BA912" s="809"/>
      <c r="BB912" s="809"/>
      <c r="BC912" s="809"/>
      <c r="BD912" s="809"/>
      <c r="BE912" s="809"/>
      <c r="BF912" s="809"/>
      <c r="BG912" s="809"/>
      <c r="BH912" s="809"/>
      <c r="BI912" s="809"/>
      <c r="BJ912" s="809"/>
      <c r="BK912" s="809"/>
      <c r="BL912" s="809"/>
      <c r="BM912" s="809"/>
      <c r="BN912" s="809"/>
    </row>
    <row r="913" spans="1:66">
      <c r="A913" s="809"/>
      <c r="B913" s="809"/>
      <c r="C913" s="809"/>
      <c r="D913" s="809"/>
      <c r="E913" s="809"/>
      <c r="F913" s="809"/>
      <c r="G913" s="809"/>
      <c r="H913" s="809"/>
      <c r="I913" s="809"/>
      <c r="J913" s="809"/>
      <c r="K913" s="809"/>
      <c r="L913" s="809"/>
      <c r="M913" s="809"/>
      <c r="N913" s="809"/>
      <c r="O913" s="809"/>
      <c r="P913" s="809"/>
      <c r="Q913" s="809"/>
      <c r="R913" s="809"/>
      <c r="S913" s="809"/>
      <c r="T913" s="809"/>
      <c r="U913" s="809"/>
      <c r="V913" s="809"/>
      <c r="W913" s="809"/>
      <c r="X913" s="809"/>
      <c r="Y913" s="809"/>
      <c r="Z913" s="809"/>
      <c r="AA913" s="809"/>
      <c r="AB913" s="809"/>
      <c r="AC913" s="809"/>
      <c r="AD913" s="809"/>
      <c r="AE913" s="809"/>
      <c r="AF913" s="809"/>
      <c r="AG913" s="809"/>
      <c r="AH913" s="809"/>
      <c r="AI913" s="809"/>
      <c r="AJ913" s="809"/>
      <c r="AK913" s="809"/>
      <c r="AL913" s="809"/>
      <c r="AM913" s="809"/>
      <c r="AN913" s="809"/>
      <c r="AO913" s="809"/>
      <c r="AP913" s="809"/>
      <c r="AQ913" s="809"/>
      <c r="AR913" s="809"/>
      <c r="AS913" s="809"/>
      <c r="AT913" s="809"/>
      <c r="AU913" s="809"/>
      <c r="AV913" s="809"/>
      <c r="AW913" s="809"/>
      <c r="AX913" s="809"/>
      <c r="AY913" s="809"/>
      <c r="AZ913" s="809"/>
      <c r="BA913" s="809"/>
      <c r="BB913" s="809"/>
      <c r="BC913" s="809"/>
      <c r="BD913" s="809"/>
      <c r="BE913" s="809"/>
      <c r="BF913" s="809"/>
      <c r="BG913" s="809"/>
      <c r="BH913" s="809"/>
      <c r="BI913" s="809"/>
      <c r="BJ913" s="809"/>
      <c r="BK913" s="809"/>
      <c r="BL913" s="809"/>
      <c r="BM913" s="809"/>
      <c r="BN913" s="809"/>
    </row>
    <row r="914" spans="1:66">
      <c r="A914" s="809"/>
      <c r="B914" s="809"/>
      <c r="C914" s="809"/>
      <c r="D914" s="809"/>
      <c r="E914" s="809"/>
      <c r="F914" s="809"/>
      <c r="G914" s="809"/>
      <c r="H914" s="809"/>
      <c r="I914" s="809"/>
      <c r="J914" s="809"/>
      <c r="K914" s="809"/>
      <c r="L914" s="809"/>
      <c r="M914" s="809"/>
      <c r="N914" s="809"/>
      <c r="O914" s="809"/>
      <c r="P914" s="809"/>
      <c r="Q914" s="809"/>
      <c r="R914" s="809"/>
      <c r="S914" s="809"/>
      <c r="T914" s="809"/>
      <c r="U914" s="809"/>
      <c r="V914" s="809"/>
      <c r="W914" s="809"/>
      <c r="X914" s="809"/>
      <c r="Y914" s="809"/>
      <c r="Z914" s="809"/>
      <c r="AA914" s="809"/>
      <c r="AB914" s="809"/>
      <c r="AC914" s="809"/>
      <c r="AD914" s="809"/>
      <c r="AE914" s="809"/>
      <c r="AF914" s="809"/>
      <c r="AG914" s="809"/>
      <c r="AH914" s="809"/>
      <c r="AI914" s="809"/>
      <c r="AJ914" s="809"/>
      <c r="AK914" s="809"/>
      <c r="AL914" s="809"/>
      <c r="AM914" s="809"/>
      <c r="AN914" s="809"/>
      <c r="AO914" s="809"/>
      <c r="AP914" s="809"/>
      <c r="AQ914" s="809"/>
      <c r="AR914" s="809"/>
      <c r="AS914" s="809"/>
      <c r="AT914" s="809"/>
      <c r="AU914" s="809"/>
      <c r="AV914" s="809"/>
      <c r="AW914" s="809"/>
      <c r="AX914" s="809"/>
      <c r="AY914" s="809"/>
      <c r="AZ914" s="809"/>
      <c r="BA914" s="809"/>
      <c r="BB914" s="809"/>
      <c r="BC914" s="809"/>
      <c r="BD914" s="809"/>
      <c r="BE914" s="809"/>
      <c r="BF914" s="809"/>
      <c r="BG914" s="809"/>
      <c r="BH914" s="809"/>
      <c r="BI914" s="809"/>
      <c r="BJ914" s="809"/>
      <c r="BK914" s="809"/>
      <c r="BL914" s="809"/>
      <c r="BM914" s="809"/>
      <c r="BN914" s="809"/>
    </row>
    <row r="915" spans="1:66">
      <c r="A915" s="809"/>
      <c r="B915" s="809"/>
      <c r="C915" s="809"/>
      <c r="D915" s="809"/>
      <c r="E915" s="809"/>
      <c r="F915" s="809"/>
      <c r="G915" s="809"/>
      <c r="H915" s="809"/>
      <c r="I915" s="809"/>
      <c r="J915" s="809"/>
      <c r="K915" s="809"/>
      <c r="L915" s="809"/>
      <c r="M915" s="809"/>
      <c r="N915" s="809"/>
      <c r="O915" s="809"/>
      <c r="P915" s="809"/>
      <c r="Q915" s="809"/>
      <c r="R915" s="809"/>
      <c r="S915" s="809"/>
      <c r="T915" s="809"/>
      <c r="U915" s="809"/>
      <c r="V915" s="809"/>
      <c r="W915" s="809"/>
      <c r="X915" s="809"/>
      <c r="Y915" s="809"/>
      <c r="Z915" s="809"/>
      <c r="AA915" s="809"/>
      <c r="AB915" s="809"/>
      <c r="AC915" s="809"/>
      <c r="AD915" s="809"/>
      <c r="AE915" s="809"/>
      <c r="AF915" s="809"/>
      <c r="AG915" s="809"/>
      <c r="AH915" s="809"/>
      <c r="AI915" s="809"/>
      <c r="AJ915" s="809"/>
      <c r="AK915" s="809"/>
      <c r="AL915" s="809"/>
      <c r="AM915" s="809"/>
      <c r="AN915" s="809"/>
      <c r="AO915" s="809"/>
      <c r="AP915" s="809"/>
      <c r="AQ915" s="809"/>
      <c r="AR915" s="809"/>
      <c r="AS915" s="809"/>
      <c r="AT915" s="809"/>
      <c r="AU915" s="809"/>
      <c r="AV915" s="809"/>
      <c r="AW915" s="809"/>
      <c r="AX915" s="809"/>
      <c r="AY915" s="809"/>
      <c r="AZ915" s="809"/>
      <c r="BA915" s="809"/>
      <c r="BB915" s="809"/>
      <c r="BC915" s="809"/>
      <c r="BD915" s="809"/>
      <c r="BE915" s="809"/>
      <c r="BF915" s="809"/>
      <c r="BG915" s="809"/>
      <c r="BH915" s="809"/>
      <c r="BI915" s="809"/>
      <c r="BJ915" s="809"/>
      <c r="BK915" s="809"/>
      <c r="BL915" s="809"/>
      <c r="BM915" s="809"/>
      <c r="BN915" s="809"/>
    </row>
    <row r="916" spans="1:66">
      <c r="A916" s="809"/>
      <c r="B916" s="809"/>
      <c r="C916" s="809"/>
      <c r="D916" s="809"/>
      <c r="E916" s="809"/>
      <c r="F916" s="809"/>
      <c r="G916" s="809"/>
      <c r="H916" s="809"/>
      <c r="I916" s="809"/>
      <c r="J916" s="809"/>
      <c r="K916" s="809"/>
      <c r="L916" s="809"/>
      <c r="M916" s="809"/>
      <c r="N916" s="809"/>
      <c r="O916" s="809"/>
      <c r="P916" s="809"/>
      <c r="Q916" s="809"/>
      <c r="R916" s="809"/>
      <c r="S916" s="809"/>
      <c r="T916" s="809"/>
      <c r="U916" s="809"/>
      <c r="V916" s="809"/>
      <c r="W916" s="809"/>
      <c r="X916" s="809"/>
      <c r="Y916" s="809"/>
      <c r="Z916" s="809"/>
      <c r="AA916" s="809"/>
      <c r="AB916" s="809"/>
      <c r="AC916" s="809"/>
      <c r="AD916" s="809"/>
      <c r="AE916" s="809"/>
      <c r="AF916" s="809"/>
      <c r="AG916" s="809"/>
      <c r="AH916" s="809"/>
      <c r="AI916" s="809"/>
      <c r="AJ916" s="809"/>
      <c r="AK916" s="809"/>
      <c r="AL916" s="809"/>
      <c r="AM916" s="809"/>
      <c r="AN916" s="809"/>
      <c r="AO916" s="809"/>
      <c r="AP916" s="809"/>
      <c r="AQ916" s="809"/>
      <c r="AR916" s="809"/>
      <c r="AS916" s="809"/>
      <c r="AT916" s="809"/>
      <c r="AU916" s="809"/>
      <c r="AV916" s="809"/>
      <c r="AW916" s="809"/>
      <c r="AX916" s="809"/>
      <c r="AY916" s="809"/>
      <c r="AZ916" s="809"/>
      <c r="BA916" s="809"/>
      <c r="BB916" s="809"/>
      <c r="BC916" s="809"/>
      <c r="BD916" s="809"/>
      <c r="BE916" s="809"/>
      <c r="BF916" s="809"/>
      <c r="BG916" s="809"/>
      <c r="BH916" s="809"/>
      <c r="BI916" s="809"/>
      <c r="BJ916" s="809"/>
      <c r="BK916" s="809"/>
      <c r="BL916" s="809"/>
      <c r="BM916" s="809"/>
      <c r="BN916" s="809"/>
    </row>
    <row r="917" spans="1:66">
      <c r="A917" s="809"/>
      <c r="B917" s="809"/>
      <c r="C917" s="809"/>
      <c r="D917" s="809"/>
      <c r="E917" s="809"/>
      <c r="F917" s="809"/>
      <c r="G917" s="809"/>
      <c r="H917" s="809"/>
      <c r="I917" s="809"/>
      <c r="J917" s="809"/>
      <c r="K917" s="809"/>
      <c r="L917" s="809"/>
      <c r="M917" s="809"/>
      <c r="N917" s="809"/>
      <c r="O917" s="809"/>
      <c r="P917" s="809"/>
      <c r="Q917" s="809"/>
      <c r="R917" s="809"/>
      <c r="S917" s="809"/>
      <c r="T917" s="809"/>
      <c r="U917" s="809"/>
      <c r="V917" s="809"/>
      <c r="W917" s="809"/>
      <c r="X917" s="809"/>
      <c r="Y917" s="809"/>
      <c r="Z917" s="809"/>
      <c r="AA917" s="809"/>
      <c r="AB917" s="809"/>
      <c r="AC917" s="809"/>
      <c r="AD917" s="809"/>
      <c r="AE917" s="809"/>
      <c r="AF917" s="809"/>
      <c r="AG917" s="809"/>
      <c r="AH917" s="809"/>
      <c r="AI917" s="809"/>
      <c r="AJ917" s="809"/>
      <c r="AK917" s="809"/>
      <c r="AL917" s="809"/>
      <c r="AM917" s="809"/>
      <c r="AN917" s="809"/>
      <c r="AO917" s="809"/>
      <c r="AP917" s="809"/>
      <c r="AQ917" s="809"/>
      <c r="AR917" s="809"/>
      <c r="AS917" s="809"/>
      <c r="AT917" s="809"/>
      <c r="AU917" s="809"/>
      <c r="AV917" s="809"/>
      <c r="AW917" s="809"/>
      <c r="AX917" s="809"/>
      <c r="AY917" s="809"/>
      <c r="AZ917" s="809"/>
      <c r="BA917" s="809"/>
      <c r="BB917" s="809"/>
      <c r="BC917" s="809"/>
      <c r="BD917" s="809"/>
      <c r="BE917" s="809"/>
      <c r="BF917" s="809"/>
      <c r="BG917" s="809"/>
      <c r="BH917" s="809"/>
      <c r="BI917" s="809"/>
      <c r="BJ917" s="809"/>
      <c r="BK917" s="809"/>
      <c r="BL917" s="809"/>
      <c r="BM917" s="809"/>
      <c r="BN917" s="809"/>
    </row>
    <row r="918" spans="1:66">
      <c r="A918" s="809"/>
      <c r="B918" s="809"/>
      <c r="C918" s="809"/>
      <c r="D918" s="809"/>
      <c r="E918" s="809"/>
      <c r="F918" s="809"/>
      <c r="G918" s="809"/>
      <c r="H918" s="809"/>
      <c r="I918" s="809"/>
      <c r="J918" s="809"/>
      <c r="K918" s="809"/>
      <c r="L918" s="809"/>
      <c r="M918" s="809"/>
      <c r="N918" s="809"/>
      <c r="O918" s="809"/>
      <c r="P918" s="809"/>
      <c r="Q918" s="809"/>
      <c r="R918" s="809"/>
      <c r="S918" s="809"/>
      <c r="T918" s="809"/>
      <c r="U918" s="809"/>
      <c r="V918" s="809"/>
      <c r="W918" s="809"/>
      <c r="X918" s="809"/>
      <c r="Y918" s="809"/>
      <c r="Z918" s="809"/>
      <c r="AA918" s="809"/>
      <c r="AB918" s="809"/>
      <c r="AC918" s="809"/>
      <c r="AD918" s="809"/>
      <c r="AE918" s="809"/>
      <c r="AF918" s="809"/>
      <c r="AG918" s="809"/>
      <c r="AH918" s="809"/>
      <c r="AI918" s="809"/>
      <c r="AJ918" s="809"/>
      <c r="AK918" s="809"/>
      <c r="AL918" s="809"/>
      <c r="AM918" s="809"/>
      <c r="AN918" s="809"/>
      <c r="AO918" s="809"/>
      <c r="AP918" s="809"/>
      <c r="AQ918" s="809"/>
      <c r="AR918" s="809"/>
      <c r="AS918" s="809"/>
      <c r="AT918" s="809"/>
      <c r="AU918" s="809"/>
      <c r="AV918" s="809"/>
      <c r="AW918" s="809"/>
      <c r="AX918" s="809"/>
      <c r="AY918" s="809"/>
      <c r="AZ918" s="809"/>
      <c r="BA918" s="809"/>
      <c r="BB918" s="809"/>
      <c r="BC918" s="809"/>
      <c r="BD918" s="809"/>
      <c r="BE918" s="809"/>
      <c r="BF918" s="809"/>
      <c r="BG918" s="809"/>
      <c r="BH918" s="809"/>
      <c r="BI918" s="809"/>
      <c r="BJ918" s="809"/>
      <c r="BK918" s="809"/>
      <c r="BL918" s="809"/>
      <c r="BM918" s="809"/>
      <c r="BN918" s="809"/>
    </row>
    <row r="919" spans="1:66">
      <c r="A919" s="809"/>
      <c r="B919" s="809"/>
      <c r="C919" s="809"/>
      <c r="D919" s="809"/>
      <c r="E919" s="809"/>
      <c r="F919" s="809"/>
      <c r="G919" s="809"/>
      <c r="H919" s="809"/>
      <c r="I919" s="809"/>
      <c r="J919" s="809"/>
      <c r="K919" s="809"/>
      <c r="L919" s="809"/>
      <c r="M919" s="809"/>
      <c r="N919" s="809"/>
      <c r="O919" s="809"/>
      <c r="P919" s="809"/>
      <c r="Q919" s="809"/>
      <c r="R919" s="809"/>
      <c r="S919" s="809"/>
      <c r="T919" s="809"/>
      <c r="U919" s="809"/>
      <c r="V919" s="809"/>
      <c r="W919" s="809"/>
      <c r="X919" s="809"/>
      <c r="Y919" s="809"/>
      <c r="Z919" s="809"/>
      <c r="AA919" s="809"/>
      <c r="AB919" s="809"/>
      <c r="AC919" s="809"/>
      <c r="AD919" s="809"/>
      <c r="AE919" s="809"/>
      <c r="AF919" s="809"/>
      <c r="AG919" s="809"/>
      <c r="AH919" s="809"/>
      <c r="AI919" s="809"/>
      <c r="AJ919" s="809"/>
      <c r="AK919" s="809"/>
      <c r="AL919" s="809"/>
      <c r="AM919" s="809"/>
      <c r="AN919" s="809"/>
      <c r="AO919" s="809"/>
      <c r="AP919" s="809"/>
      <c r="AQ919" s="809"/>
      <c r="AR919" s="809"/>
      <c r="AS919" s="809"/>
      <c r="AT919" s="809"/>
      <c r="AU919" s="809"/>
      <c r="AV919" s="809"/>
      <c r="AW919" s="809"/>
      <c r="AX919" s="809"/>
      <c r="AY919" s="809"/>
      <c r="AZ919" s="809"/>
      <c r="BA919" s="809"/>
      <c r="BB919" s="809"/>
      <c r="BC919" s="809"/>
      <c r="BD919" s="809"/>
      <c r="BE919" s="809"/>
      <c r="BF919" s="809"/>
      <c r="BG919" s="809"/>
      <c r="BH919" s="809"/>
      <c r="BI919" s="809"/>
      <c r="BJ919" s="809"/>
      <c r="BK919" s="809"/>
      <c r="BL919" s="809"/>
      <c r="BM919" s="809"/>
      <c r="BN919" s="809"/>
    </row>
    <row r="920" spans="1:66">
      <c r="A920" s="809"/>
      <c r="B920" s="809"/>
      <c r="C920" s="809"/>
      <c r="D920" s="809"/>
      <c r="E920" s="809"/>
      <c r="F920" s="809"/>
      <c r="G920" s="809"/>
      <c r="H920" s="809"/>
      <c r="I920" s="809"/>
      <c r="J920" s="809"/>
      <c r="K920" s="809"/>
      <c r="L920" s="809"/>
      <c r="M920" s="809"/>
      <c r="N920" s="809"/>
      <c r="O920" s="809"/>
      <c r="P920" s="809"/>
      <c r="Q920" s="809"/>
      <c r="R920" s="809"/>
      <c r="S920" s="809"/>
      <c r="T920" s="809"/>
      <c r="U920" s="809"/>
      <c r="V920" s="809"/>
      <c r="W920" s="809"/>
      <c r="X920" s="809"/>
      <c r="Y920" s="809"/>
      <c r="Z920" s="809"/>
      <c r="AA920" s="809"/>
      <c r="AB920" s="809"/>
      <c r="AC920" s="809"/>
      <c r="AD920" s="809"/>
      <c r="AE920" s="809"/>
      <c r="AF920" s="809"/>
      <c r="AG920" s="809"/>
      <c r="AH920" s="809"/>
      <c r="AI920" s="809"/>
      <c r="AJ920" s="809"/>
      <c r="AK920" s="809"/>
      <c r="AL920" s="809"/>
      <c r="AM920" s="809"/>
      <c r="AN920" s="809"/>
      <c r="AO920" s="809"/>
      <c r="AP920" s="809"/>
      <c r="AQ920" s="809"/>
      <c r="AR920" s="809"/>
      <c r="AS920" s="809"/>
      <c r="AT920" s="809"/>
      <c r="AU920" s="809"/>
      <c r="AV920" s="809"/>
      <c r="AW920" s="809"/>
      <c r="AX920" s="809"/>
      <c r="AY920" s="809"/>
      <c r="AZ920" s="809"/>
      <c r="BA920" s="809"/>
      <c r="BB920" s="809"/>
      <c r="BC920" s="809"/>
      <c r="BD920" s="809"/>
      <c r="BE920" s="809"/>
      <c r="BF920" s="809"/>
      <c r="BG920" s="809"/>
      <c r="BH920" s="809"/>
      <c r="BI920" s="809"/>
      <c r="BJ920" s="809"/>
      <c r="BK920" s="809"/>
      <c r="BL920" s="809"/>
      <c r="BM920" s="809"/>
      <c r="BN920" s="809"/>
    </row>
    <row r="921" spans="1:66">
      <c r="A921" s="809"/>
      <c r="B921" s="809"/>
      <c r="C921" s="809"/>
      <c r="D921" s="809"/>
      <c r="E921" s="809"/>
      <c r="F921" s="809"/>
      <c r="G921" s="809"/>
      <c r="H921" s="809"/>
      <c r="I921" s="809"/>
      <c r="J921" s="809"/>
      <c r="K921" s="809"/>
      <c r="L921" s="809"/>
      <c r="M921" s="809"/>
      <c r="N921" s="809"/>
      <c r="O921" s="809"/>
      <c r="P921" s="809"/>
      <c r="Q921" s="809"/>
      <c r="R921" s="809"/>
      <c r="S921" s="809"/>
      <c r="T921" s="809"/>
      <c r="U921" s="809"/>
      <c r="V921" s="809"/>
      <c r="W921" s="809"/>
      <c r="X921" s="809"/>
      <c r="Y921" s="809"/>
      <c r="Z921" s="809"/>
      <c r="AA921" s="809"/>
      <c r="AB921" s="809"/>
      <c r="AC921" s="809"/>
      <c r="AD921" s="809"/>
      <c r="AE921" s="809"/>
      <c r="AF921" s="809"/>
      <c r="AG921" s="809"/>
      <c r="AH921" s="809"/>
      <c r="AI921" s="809"/>
      <c r="AJ921" s="809"/>
      <c r="AK921" s="809"/>
      <c r="AL921" s="809"/>
      <c r="AM921" s="809"/>
      <c r="AN921" s="809"/>
      <c r="AO921" s="809"/>
      <c r="AP921" s="809"/>
      <c r="AQ921" s="809"/>
      <c r="AR921" s="809"/>
      <c r="AS921" s="809"/>
      <c r="AT921" s="809"/>
      <c r="AU921" s="809"/>
      <c r="AV921" s="809"/>
      <c r="AW921" s="809"/>
      <c r="AX921" s="809"/>
      <c r="AY921" s="809"/>
      <c r="AZ921" s="809"/>
      <c r="BA921" s="809"/>
      <c r="BB921" s="809"/>
      <c r="BC921" s="809"/>
      <c r="BD921" s="809"/>
      <c r="BE921" s="809"/>
      <c r="BF921" s="809"/>
      <c r="BG921" s="809"/>
      <c r="BH921" s="809"/>
      <c r="BI921" s="809"/>
      <c r="BJ921" s="809"/>
      <c r="BK921" s="809"/>
      <c r="BL921" s="809"/>
      <c r="BM921" s="809"/>
      <c r="BN921" s="809"/>
    </row>
    <row r="922" spans="1:66">
      <c r="A922" s="809"/>
      <c r="B922" s="809"/>
      <c r="C922" s="809"/>
      <c r="D922" s="809"/>
      <c r="E922" s="809"/>
      <c r="F922" s="809"/>
      <c r="G922" s="809"/>
      <c r="H922" s="809"/>
      <c r="I922" s="809"/>
      <c r="J922" s="809"/>
      <c r="K922" s="809"/>
      <c r="L922" s="809"/>
      <c r="M922" s="809"/>
      <c r="N922" s="809"/>
      <c r="O922" s="809"/>
      <c r="P922" s="809"/>
      <c r="Q922" s="809"/>
      <c r="R922" s="809"/>
      <c r="S922" s="809"/>
      <c r="T922" s="809"/>
      <c r="U922" s="809"/>
      <c r="V922" s="809"/>
      <c r="W922" s="809"/>
      <c r="X922" s="809"/>
      <c r="Y922" s="809"/>
      <c r="Z922" s="809"/>
      <c r="AA922" s="809"/>
      <c r="AB922" s="809"/>
      <c r="AC922" s="809"/>
      <c r="AD922" s="809"/>
      <c r="AE922" s="809"/>
      <c r="AF922" s="809"/>
      <c r="AG922" s="809"/>
      <c r="AH922" s="809"/>
      <c r="AI922" s="809"/>
      <c r="AJ922" s="809"/>
      <c r="AK922" s="809"/>
      <c r="AL922" s="809"/>
      <c r="AM922" s="809"/>
      <c r="AN922" s="809"/>
      <c r="AO922" s="809"/>
      <c r="AP922" s="809"/>
      <c r="AQ922" s="809"/>
      <c r="AR922" s="809"/>
      <c r="AS922" s="809"/>
      <c r="AT922" s="809"/>
      <c r="AU922" s="809"/>
      <c r="AV922" s="809"/>
      <c r="AW922" s="809"/>
      <c r="AX922" s="809"/>
      <c r="AY922" s="809"/>
      <c r="AZ922" s="809"/>
      <c r="BA922" s="809"/>
      <c r="BB922" s="809"/>
      <c r="BC922" s="809"/>
      <c r="BD922" s="809"/>
      <c r="BE922" s="809"/>
      <c r="BF922" s="809"/>
      <c r="BG922" s="809"/>
      <c r="BH922" s="809"/>
      <c r="BI922" s="809"/>
      <c r="BJ922" s="809"/>
      <c r="BK922" s="809"/>
      <c r="BL922" s="809"/>
      <c r="BM922" s="809"/>
      <c r="BN922" s="809"/>
    </row>
    <row r="923" spans="1:66">
      <c r="A923" s="809"/>
      <c r="B923" s="809"/>
      <c r="C923" s="809"/>
      <c r="D923" s="809"/>
      <c r="E923" s="809"/>
      <c r="F923" s="809"/>
      <c r="G923" s="809"/>
      <c r="H923" s="809"/>
      <c r="I923" s="809"/>
      <c r="J923" s="809"/>
      <c r="K923" s="809"/>
      <c r="L923" s="809"/>
      <c r="M923" s="809"/>
      <c r="N923" s="809"/>
      <c r="O923" s="809"/>
      <c r="P923" s="809"/>
      <c r="Q923" s="809"/>
      <c r="R923" s="809"/>
      <c r="S923" s="809"/>
      <c r="T923" s="809"/>
      <c r="U923" s="809"/>
      <c r="V923" s="809"/>
      <c r="W923" s="809"/>
      <c r="X923" s="809"/>
      <c r="Y923" s="809"/>
      <c r="Z923" s="809"/>
      <c r="AA923" s="809"/>
      <c r="AB923" s="809"/>
      <c r="AC923" s="809"/>
      <c r="AD923" s="809"/>
      <c r="AE923" s="809"/>
      <c r="AF923" s="809"/>
      <c r="AG923" s="809"/>
      <c r="AH923" s="809"/>
      <c r="AI923" s="809"/>
      <c r="AJ923" s="809"/>
      <c r="AK923" s="809"/>
      <c r="AL923" s="809"/>
      <c r="AM923" s="809"/>
      <c r="AN923" s="809"/>
      <c r="AO923" s="809"/>
      <c r="AP923" s="809"/>
      <c r="AQ923" s="809"/>
      <c r="AR923" s="809"/>
      <c r="AS923" s="809"/>
      <c r="AT923" s="809"/>
      <c r="AU923" s="809"/>
      <c r="AV923" s="809"/>
      <c r="AW923" s="809"/>
      <c r="AX923" s="809"/>
      <c r="AY923" s="809"/>
      <c r="AZ923" s="809"/>
      <c r="BA923" s="809"/>
      <c r="BB923" s="809"/>
      <c r="BC923" s="809"/>
      <c r="BD923" s="809"/>
      <c r="BE923" s="809"/>
      <c r="BF923" s="809"/>
      <c r="BG923" s="809"/>
      <c r="BH923" s="809"/>
      <c r="BI923" s="809"/>
      <c r="BJ923" s="809"/>
      <c r="BK923" s="809"/>
      <c r="BL923" s="809"/>
      <c r="BM923" s="809"/>
      <c r="BN923" s="809"/>
    </row>
    <row r="924" spans="1:66">
      <c r="A924" s="809"/>
      <c r="B924" s="809"/>
      <c r="C924" s="809"/>
      <c r="D924" s="809"/>
      <c r="E924" s="809"/>
      <c r="F924" s="809"/>
      <c r="G924" s="809"/>
      <c r="H924" s="809"/>
      <c r="I924" s="809"/>
      <c r="J924" s="809"/>
      <c r="K924" s="809"/>
      <c r="L924" s="809"/>
      <c r="M924" s="809"/>
      <c r="N924" s="809"/>
      <c r="O924" s="809"/>
      <c r="P924" s="809"/>
      <c r="Q924" s="809"/>
      <c r="R924" s="809"/>
      <c r="S924" s="809"/>
      <c r="T924" s="809"/>
      <c r="U924" s="809"/>
      <c r="V924" s="809"/>
      <c r="W924" s="809"/>
      <c r="X924" s="809"/>
      <c r="Y924" s="809"/>
      <c r="Z924" s="809"/>
      <c r="AA924" s="809"/>
      <c r="AB924" s="809"/>
      <c r="AC924" s="809"/>
      <c r="AD924" s="809"/>
      <c r="AE924" s="809"/>
      <c r="AF924" s="809"/>
      <c r="AG924" s="809"/>
      <c r="AH924" s="809"/>
      <c r="AI924" s="809"/>
      <c r="AJ924" s="809"/>
      <c r="AK924" s="809"/>
      <c r="AL924" s="809"/>
      <c r="AM924" s="809"/>
      <c r="AN924" s="809"/>
      <c r="AO924" s="809"/>
      <c r="AP924" s="809"/>
      <c r="AQ924" s="809"/>
      <c r="AR924" s="809"/>
      <c r="AS924" s="809"/>
      <c r="AT924" s="809"/>
      <c r="AU924" s="809"/>
      <c r="AV924" s="809"/>
      <c r="AW924" s="809"/>
      <c r="AX924" s="809"/>
      <c r="AY924" s="809"/>
      <c r="AZ924" s="809"/>
      <c r="BA924" s="809"/>
      <c r="BB924" s="809"/>
      <c r="BC924" s="809"/>
      <c r="BD924" s="809"/>
      <c r="BE924" s="809"/>
      <c r="BF924" s="809"/>
      <c r="BG924" s="809"/>
      <c r="BH924" s="809"/>
      <c r="BI924" s="809"/>
      <c r="BJ924" s="809"/>
      <c r="BK924" s="809"/>
      <c r="BL924" s="809"/>
      <c r="BM924" s="809"/>
      <c r="BN924" s="809"/>
    </row>
    <row r="925" spans="1:66">
      <c r="A925" s="809"/>
      <c r="B925" s="809"/>
      <c r="C925" s="809"/>
      <c r="D925" s="809"/>
      <c r="E925" s="809"/>
      <c r="F925" s="809"/>
      <c r="G925" s="809"/>
      <c r="H925" s="809"/>
      <c r="I925" s="809"/>
      <c r="J925" s="809"/>
      <c r="K925" s="809"/>
      <c r="L925" s="809"/>
      <c r="M925" s="809"/>
      <c r="N925" s="809"/>
      <c r="O925" s="809"/>
      <c r="P925" s="809"/>
      <c r="Q925" s="809"/>
      <c r="R925" s="809"/>
      <c r="S925" s="809"/>
      <c r="T925" s="809"/>
      <c r="U925" s="809"/>
      <c r="V925" s="809"/>
      <c r="W925" s="809"/>
      <c r="X925" s="809"/>
      <c r="Y925" s="809"/>
      <c r="Z925" s="809"/>
      <c r="AA925" s="809"/>
      <c r="AB925" s="809"/>
      <c r="AC925" s="809"/>
      <c r="AD925" s="809"/>
      <c r="AE925" s="809"/>
      <c r="AF925" s="809"/>
      <c r="AG925" s="809"/>
      <c r="AH925" s="809"/>
      <c r="AI925" s="809"/>
      <c r="AJ925" s="809"/>
      <c r="AK925" s="809"/>
      <c r="AL925" s="809"/>
      <c r="AM925" s="809"/>
      <c r="AN925" s="809"/>
      <c r="AO925" s="809"/>
      <c r="AP925" s="809"/>
      <c r="AQ925" s="809"/>
      <c r="AR925" s="809"/>
      <c r="AS925" s="809"/>
      <c r="AT925" s="809"/>
      <c r="AU925" s="809"/>
      <c r="AV925" s="809"/>
      <c r="AW925" s="809"/>
      <c r="AX925" s="809"/>
      <c r="AY925" s="809"/>
      <c r="AZ925" s="809"/>
      <c r="BA925" s="809"/>
      <c r="BB925" s="809"/>
      <c r="BC925" s="809"/>
      <c r="BD925" s="809"/>
      <c r="BE925" s="809"/>
      <c r="BF925" s="809"/>
      <c r="BG925" s="809"/>
      <c r="BH925" s="809"/>
      <c r="BI925" s="809"/>
      <c r="BJ925" s="809"/>
      <c r="BK925" s="809"/>
      <c r="BL925" s="809"/>
      <c r="BM925" s="809"/>
      <c r="BN925" s="809"/>
    </row>
    <row r="926" spans="1:66">
      <c r="A926" s="809"/>
      <c r="B926" s="809"/>
      <c r="C926" s="809"/>
      <c r="D926" s="809"/>
      <c r="E926" s="809"/>
      <c r="F926" s="809"/>
      <c r="G926" s="809"/>
      <c r="H926" s="809"/>
      <c r="I926" s="809"/>
      <c r="J926" s="809"/>
      <c r="K926" s="809"/>
      <c r="L926" s="809"/>
      <c r="M926" s="809"/>
      <c r="N926" s="809"/>
      <c r="O926" s="809"/>
      <c r="P926" s="809"/>
      <c r="Q926" s="809"/>
      <c r="R926" s="809"/>
      <c r="S926" s="809"/>
      <c r="T926" s="809"/>
      <c r="U926" s="809"/>
      <c r="V926" s="809"/>
      <c r="W926" s="809"/>
      <c r="X926" s="809"/>
      <c r="Y926" s="809"/>
      <c r="Z926" s="809"/>
      <c r="AA926" s="809"/>
      <c r="AB926" s="809"/>
      <c r="AC926" s="809"/>
      <c r="AD926" s="809"/>
      <c r="AE926" s="809"/>
      <c r="AF926" s="809"/>
      <c r="AG926" s="809"/>
      <c r="AH926" s="809"/>
      <c r="AI926" s="809"/>
      <c r="AJ926" s="809"/>
      <c r="AK926" s="809"/>
      <c r="AL926" s="809"/>
      <c r="AM926" s="809"/>
      <c r="AN926" s="809"/>
      <c r="AO926" s="809"/>
      <c r="AP926" s="809"/>
      <c r="AQ926" s="809"/>
      <c r="AR926" s="809"/>
      <c r="AS926" s="809"/>
      <c r="AT926" s="809"/>
      <c r="AU926" s="809"/>
      <c r="AV926" s="809"/>
      <c r="AW926" s="809"/>
      <c r="AX926" s="809"/>
      <c r="AY926" s="809"/>
      <c r="AZ926" s="809"/>
      <c r="BA926" s="809"/>
      <c r="BB926" s="809"/>
      <c r="BC926" s="809"/>
      <c r="BD926" s="809"/>
      <c r="BE926" s="809"/>
      <c r="BF926" s="809"/>
      <c r="BG926" s="809"/>
      <c r="BH926" s="809"/>
      <c r="BI926" s="809"/>
      <c r="BJ926" s="809"/>
      <c r="BK926" s="809"/>
      <c r="BL926" s="809"/>
      <c r="BM926" s="809"/>
      <c r="BN926" s="809"/>
    </row>
    <row r="927" spans="1:66">
      <c r="A927" s="809"/>
      <c r="B927" s="809"/>
      <c r="C927" s="809"/>
      <c r="D927" s="809"/>
      <c r="E927" s="809"/>
      <c r="F927" s="809"/>
      <c r="G927" s="809"/>
      <c r="H927" s="809"/>
      <c r="I927" s="809"/>
      <c r="J927" s="809"/>
      <c r="K927" s="809"/>
      <c r="L927" s="809"/>
      <c r="M927" s="809"/>
      <c r="N927" s="809"/>
      <c r="O927" s="809"/>
      <c r="P927" s="809"/>
      <c r="Q927" s="809"/>
      <c r="R927" s="809"/>
      <c r="S927" s="809"/>
      <c r="T927" s="809"/>
      <c r="U927" s="809"/>
      <c r="V927" s="809"/>
      <c r="W927" s="809"/>
      <c r="X927" s="809"/>
      <c r="Y927" s="809"/>
      <c r="Z927" s="809"/>
      <c r="AA927" s="809"/>
      <c r="AB927" s="809"/>
      <c r="AC927" s="809"/>
      <c r="AD927" s="809"/>
      <c r="AE927" s="809"/>
      <c r="AF927" s="809"/>
      <c r="AG927" s="809"/>
      <c r="AH927" s="809"/>
      <c r="AI927" s="809"/>
      <c r="AJ927" s="809"/>
      <c r="AK927" s="809"/>
      <c r="AL927" s="809"/>
      <c r="AM927" s="809"/>
      <c r="AN927" s="809"/>
      <c r="AO927" s="809"/>
      <c r="AP927" s="809"/>
      <c r="AQ927" s="809"/>
      <c r="AR927" s="809"/>
      <c r="AS927" s="809"/>
      <c r="AT927" s="809"/>
      <c r="AU927" s="809"/>
      <c r="AV927" s="809"/>
      <c r="AW927" s="809"/>
      <c r="AX927" s="809"/>
      <c r="AY927" s="809"/>
      <c r="AZ927" s="809"/>
      <c r="BA927" s="809"/>
      <c r="BB927" s="809"/>
      <c r="BC927" s="809"/>
      <c r="BD927" s="809"/>
      <c r="BE927" s="809"/>
      <c r="BF927" s="809"/>
      <c r="BG927" s="809"/>
      <c r="BH927" s="809"/>
      <c r="BI927" s="809"/>
      <c r="BJ927" s="809"/>
      <c r="BK927" s="809"/>
      <c r="BL927" s="809"/>
      <c r="BM927" s="809"/>
      <c r="BN927" s="809"/>
    </row>
    <row r="928" spans="1:66">
      <c r="A928" s="809"/>
      <c r="B928" s="809"/>
      <c r="C928" s="809"/>
      <c r="D928" s="809"/>
      <c r="E928" s="809"/>
      <c r="F928" s="809"/>
      <c r="G928" s="809"/>
      <c r="H928" s="809"/>
      <c r="I928" s="809"/>
      <c r="J928" s="809"/>
      <c r="K928" s="809"/>
      <c r="L928" s="809"/>
      <c r="M928" s="809"/>
      <c r="N928" s="809"/>
      <c r="O928" s="809"/>
      <c r="P928" s="809"/>
      <c r="Q928" s="809"/>
      <c r="R928" s="809"/>
      <c r="S928" s="809"/>
      <c r="T928" s="809"/>
      <c r="U928" s="809"/>
      <c r="V928" s="809"/>
      <c r="W928" s="809"/>
      <c r="X928" s="809"/>
      <c r="Y928" s="809"/>
      <c r="Z928" s="809"/>
      <c r="AA928" s="809"/>
      <c r="AB928" s="809"/>
      <c r="AC928" s="809"/>
      <c r="AD928" s="809"/>
      <c r="AE928" s="809"/>
      <c r="AF928" s="809"/>
      <c r="AG928" s="809"/>
      <c r="AH928" s="809"/>
      <c r="AI928" s="809"/>
      <c r="AJ928" s="809"/>
      <c r="AK928" s="809"/>
      <c r="AL928" s="809"/>
      <c r="AM928" s="809"/>
      <c r="AN928" s="809"/>
      <c r="AO928" s="809"/>
      <c r="AP928" s="809"/>
      <c r="AQ928" s="809"/>
      <c r="AR928" s="809"/>
      <c r="AS928" s="809"/>
      <c r="AT928" s="809"/>
      <c r="AU928" s="809"/>
      <c r="AV928" s="809"/>
      <c r="AW928" s="809"/>
      <c r="AX928" s="809"/>
      <c r="AY928" s="809"/>
      <c r="AZ928" s="809"/>
      <c r="BA928" s="809"/>
      <c r="BB928" s="809"/>
      <c r="BC928" s="809"/>
      <c r="BD928" s="809"/>
      <c r="BE928" s="809"/>
      <c r="BF928" s="809"/>
      <c r="BG928" s="809"/>
      <c r="BH928" s="809"/>
      <c r="BI928" s="809"/>
      <c r="BJ928" s="809"/>
      <c r="BK928" s="809"/>
      <c r="BL928" s="809"/>
      <c r="BM928" s="809"/>
      <c r="BN928" s="809"/>
    </row>
    <row r="929" spans="1:66">
      <c r="A929" s="809"/>
      <c r="B929" s="809"/>
      <c r="C929" s="809"/>
      <c r="D929" s="809"/>
      <c r="E929" s="809"/>
      <c r="F929" s="809"/>
      <c r="G929" s="809"/>
      <c r="H929" s="809"/>
      <c r="I929" s="809"/>
      <c r="J929" s="809"/>
      <c r="K929" s="809"/>
      <c r="L929" s="809"/>
      <c r="M929" s="809"/>
      <c r="N929" s="809"/>
      <c r="O929" s="809"/>
      <c r="P929" s="809"/>
      <c r="Q929" s="809"/>
      <c r="R929" s="809"/>
      <c r="S929" s="809"/>
      <c r="T929" s="809"/>
      <c r="U929" s="809"/>
      <c r="V929" s="809"/>
      <c r="W929" s="809"/>
      <c r="X929" s="809"/>
      <c r="Y929" s="809"/>
      <c r="Z929" s="809"/>
      <c r="AA929" s="809"/>
      <c r="AB929" s="809"/>
      <c r="AC929" s="809"/>
      <c r="AD929" s="809"/>
      <c r="AE929" s="809"/>
      <c r="AF929" s="809"/>
      <c r="AG929" s="809"/>
      <c r="AH929" s="809"/>
      <c r="AI929" s="809"/>
      <c r="AJ929" s="809"/>
      <c r="AK929" s="809"/>
      <c r="AL929" s="809"/>
      <c r="AM929" s="809"/>
      <c r="AN929" s="809"/>
      <c r="AO929" s="809"/>
      <c r="AP929" s="809"/>
      <c r="AQ929" s="809"/>
      <c r="AR929" s="809"/>
      <c r="AS929" s="809"/>
      <c r="AT929" s="809"/>
      <c r="AU929" s="809"/>
      <c r="AV929" s="809"/>
      <c r="AW929" s="809"/>
      <c r="AX929" s="809"/>
      <c r="AY929" s="809"/>
      <c r="AZ929" s="809"/>
      <c r="BA929" s="809"/>
      <c r="BB929" s="809"/>
      <c r="BC929" s="809"/>
      <c r="BD929" s="809"/>
      <c r="BE929" s="809"/>
      <c r="BF929" s="809"/>
      <c r="BG929" s="809"/>
      <c r="BH929" s="809"/>
      <c r="BI929" s="809"/>
      <c r="BJ929" s="809"/>
      <c r="BK929" s="809"/>
      <c r="BL929" s="809"/>
      <c r="BM929" s="809"/>
      <c r="BN929" s="809"/>
    </row>
    <row r="930" spans="1:66">
      <c r="A930" s="809"/>
      <c r="B930" s="809"/>
      <c r="C930" s="809"/>
      <c r="D930" s="809"/>
      <c r="E930" s="809"/>
      <c r="F930" s="809"/>
      <c r="G930" s="809"/>
      <c r="H930" s="809"/>
      <c r="I930" s="809"/>
      <c r="J930" s="809"/>
      <c r="K930" s="809"/>
      <c r="L930" s="809"/>
      <c r="M930" s="809"/>
      <c r="N930" s="809"/>
      <c r="O930" s="809"/>
      <c r="P930" s="809"/>
      <c r="Q930" s="809"/>
      <c r="R930" s="809"/>
      <c r="S930" s="809"/>
      <c r="T930" s="809"/>
      <c r="U930" s="809"/>
      <c r="V930" s="809"/>
      <c r="W930" s="809"/>
      <c r="X930" s="809"/>
      <c r="Y930" s="809"/>
      <c r="Z930" s="809"/>
      <c r="AA930" s="809"/>
      <c r="AB930" s="809"/>
      <c r="AC930" s="809"/>
      <c r="AD930" s="809"/>
      <c r="AE930" s="809"/>
      <c r="AF930" s="809"/>
      <c r="AG930" s="809"/>
      <c r="AH930" s="809"/>
      <c r="AI930" s="809"/>
      <c r="AJ930" s="809"/>
      <c r="AK930" s="809"/>
      <c r="AL930" s="809"/>
      <c r="AM930" s="809"/>
      <c r="AN930" s="809"/>
      <c r="AO930" s="809"/>
      <c r="AP930" s="809"/>
      <c r="AQ930" s="809"/>
      <c r="AR930" s="809"/>
      <c r="AS930" s="809"/>
      <c r="AT930" s="809"/>
      <c r="AU930" s="809"/>
      <c r="AV930" s="809"/>
      <c r="AW930" s="809"/>
      <c r="AX930" s="809"/>
      <c r="AY930" s="809"/>
      <c r="AZ930" s="809"/>
      <c r="BA930" s="809"/>
      <c r="BB930" s="809"/>
      <c r="BC930" s="809"/>
      <c r="BD930" s="809"/>
      <c r="BE930" s="809"/>
      <c r="BF930" s="809"/>
      <c r="BG930" s="809"/>
      <c r="BH930" s="809"/>
      <c r="BI930" s="809"/>
      <c r="BJ930" s="809"/>
      <c r="BK930" s="809"/>
      <c r="BL930" s="809"/>
      <c r="BM930" s="809"/>
      <c r="BN930" s="809"/>
    </row>
    <row r="931" spans="1:66">
      <c r="A931" s="809"/>
      <c r="B931" s="809"/>
      <c r="C931" s="809"/>
      <c r="D931" s="809"/>
      <c r="E931" s="809"/>
      <c r="F931" s="809"/>
      <c r="G931" s="809"/>
      <c r="H931" s="809"/>
      <c r="I931" s="809"/>
      <c r="J931" s="809"/>
      <c r="K931" s="809"/>
      <c r="L931" s="809"/>
      <c r="M931" s="809"/>
      <c r="N931" s="809"/>
      <c r="O931" s="809"/>
      <c r="P931" s="809"/>
      <c r="Q931" s="809"/>
      <c r="R931" s="809"/>
      <c r="S931" s="809"/>
      <c r="T931" s="809"/>
      <c r="U931" s="809"/>
      <c r="V931" s="809"/>
      <c r="W931" s="809"/>
      <c r="X931" s="809"/>
      <c r="Y931" s="809"/>
      <c r="Z931" s="809"/>
      <c r="AA931" s="809"/>
      <c r="AB931" s="809"/>
      <c r="AC931" s="809"/>
      <c r="AD931" s="809"/>
      <c r="AE931" s="809"/>
      <c r="AF931" s="809"/>
      <c r="AG931" s="809"/>
      <c r="AH931" s="809"/>
      <c r="AI931" s="809"/>
      <c r="AJ931" s="809"/>
      <c r="AK931" s="809"/>
      <c r="AL931" s="809"/>
      <c r="AM931" s="809"/>
      <c r="AN931" s="809"/>
      <c r="AO931" s="809"/>
      <c r="AP931" s="809"/>
      <c r="AQ931" s="809"/>
      <c r="AR931" s="809"/>
      <c r="AS931" s="809"/>
      <c r="AT931" s="809"/>
      <c r="AU931" s="809"/>
      <c r="AV931" s="809"/>
      <c r="AW931" s="809"/>
      <c r="AX931" s="809"/>
      <c r="AY931" s="809"/>
      <c r="AZ931" s="809"/>
      <c r="BA931" s="809"/>
      <c r="BB931" s="809"/>
      <c r="BC931" s="809"/>
      <c r="BD931" s="809"/>
      <c r="BE931" s="809"/>
      <c r="BF931" s="809"/>
      <c r="BG931" s="809"/>
      <c r="BH931" s="809"/>
      <c r="BI931" s="809"/>
      <c r="BJ931" s="809"/>
      <c r="BK931" s="809"/>
      <c r="BL931" s="809"/>
      <c r="BM931" s="809"/>
      <c r="BN931" s="809"/>
    </row>
    <row r="932" spans="1:66">
      <c r="A932" s="809"/>
      <c r="B932" s="809"/>
      <c r="C932" s="809"/>
      <c r="D932" s="809"/>
      <c r="E932" s="809"/>
      <c r="F932" s="809"/>
      <c r="G932" s="809"/>
      <c r="H932" s="809"/>
      <c r="I932" s="809"/>
      <c r="J932" s="809"/>
      <c r="K932" s="809"/>
      <c r="L932" s="809"/>
      <c r="M932" s="809"/>
      <c r="N932" s="809"/>
      <c r="O932" s="809"/>
      <c r="P932" s="809"/>
      <c r="Q932" s="809"/>
      <c r="R932" s="809"/>
      <c r="S932" s="809"/>
      <c r="T932" s="809"/>
      <c r="U932" s="809"/>
      <c r="V932" s="809"/>
      <c r="W932" s="809"/>
      <c r="X932" s="809"/>
      <c r="Y932" s="809"/>
      <c r="Z932" s="809"/>
      <c r="AA932" s="809"/>
      <c r="AB932" s="809"/>
      <c r="AC932" s="809"/>
      <c r="AD932" s="809"/>
      <c r="AE932" s="809"/>
      <c r="AF932" s="809"/>
      <c r="AG932" s="809"/>
      <c r="AH932" s="809"/>
      <c r="AI932" s="809"/>
      <c r="AJ932" s="809"/>
      <c r="AK932" s="809"/>
      <c r="AL932" s="809"/>
      <c r="AM932" s="809"/>
      <c r="AN932" s="809"/>
      <c r="AO932" s="809"/>
      <c r="AP932" s="809"/>
      <c r="AQ932" s="809"/>
      <c r="AR932" s="809"/>
      <c r="AS932" s="809"/>
      <c r="AT932" s="809"/>
      <c r="AU932" s="809"/>
      <c r="AV932" s="809"/>
      <c r="AW932" s="809"/>
      <c r="AX932" s="809"/>
      <c r="AY932" s="809"/>
      <c r="AZ932" s="809"/>
      <c r="BA932" s="809"/>
      <c r="BB932" s="809"/>
      <c r="BC932" s="809"/>
      <c r="BD932" s="809"/>
      <c r="BE932" s="809"/>
      <c r="BF932" s="809"/>
      <c r="BG932" s="809"/>
      <c r="BH932" s="809"/>
      <c r="BI932" s="809"/>
      <c r="BJ932" s="809"/>
      <c r="BK932" s="809"/>
      <c r="BL932" s="809"/>
      <c r="BM932" s="809"/>
      <c r="BN932" s="809"/>
    </row>
    <row r="933" spans="1:66">
      <c r="A933" s="809"/>
      <c r="B933" s="809"/>
      <c r="C933" s="809"/>
      <c r="D933" s="809"/>
      <c r="E933" s="809"/>
      <c r="F933" s="809"/>
      <c r="G933" s="809"/>
      <c r="H933" s="809"/>
      <c r="I933" s="809"/>
      <c r="J933" s="809"/>
      <c r="K933" s="809"/>
      <c r="L933" s="809"/>
      <c r="M933" s="809"/>
      <c r="N933" s="809"/>
      <c r="O933" s="809"/>
      <c r="P933" s="809"/>
      <c r="Q933" s="809"/>
      <c r="R933" s="809"/>
      <c r="S933" s="809"/>
      <c r="T933" s="809"/>
      <c r="U933" s="809"/>
      <c r="V933" s="809"/>
      <c r="W933" s="809"/>
      <c r="X933" s="809"/>
      <c r="Y933" s="809"/>
      <c r="Z933" s="809"/>
      <c r="AA933" s="809"/>
      <c r="AB933" s="809"/>
      <c r="AC933" s="809"/>
      <c r="AD933" s="809"/>
      <c r="AE933" s="809"/>
      <c r="AF933" s="809"/>
      <c r="AG933" s="809"/>
      <c r="AH933" s="809"/>
      <c r="AI933" s="809"/>
      <c r="AJ933" s="809"/>
      <c r="AK933" s="809"/>
      <c r="AL933" s="809"/>
      <c r="AM933" s="809"/>
      <c r="AN933" s="809"/>
      <c r="AO933" s="809"/>
      <c r="AP933" s="809"/>
      <c r="AQ933" s="809"/>
      <c r="AR933" s="809"/>
      <c r="AS933" s="809"/>
      <c r="AT933" s="809"/>
      <c r="AU933" s="809"/>
      <c r="AV933" s="809"/>
      <c r="AW933" s="809"/>
      <c r="AX933" s="809"/>
      <c r="AY933" s="809"/>
      <c r="AZ933" s="809"/>
      <c r="BA933" s="809"/>
      <c r="BB933" s="809"/>
      <c r="BC933" s="809"/>
      <c r="BD933" s="809"/>
      <c r="BE933" s="809"/>
      <c r="BF933" s="809"/>
      <c r="BG933" s="809"/>
      <c r="BH933" s="809"/>
      <c r="BI933" s="809"/>
      <c r="BJ933" s="809"/>
      <c r="BK933" s="809"/>
      <c r="BL933" s="809"/>
      <c r="BM933" s="809"/>
      <c r="BN933" s="809"/>
    </row>
    <row r="934" spans="1:66">
      <c r="A934" s="809"/>
      <c r="B934" s="809"/>
      <c r="C934" s="809"/>
      <c r="D934" s="809"/>
      <c r="E934" s="809"/>
      <c r="F934" s="809"/>
      <c r="G934" s="809"/>
      <c r="H934" s="809"/>
      <c r="I934" s="809"/>
      <c r="J934" s="809"/>
      <c r="K934" s="809"/>
      <c r="L934" s="809"/>
      <c r="M934" s="809"/>
      <c r="N934" s="809"/>
      <c r="O934" s="809"/>
      <c r="P934" s="809"/>
      <c r="Q934" s="809"/>
      <c r="R934" s="809"/>
      <c r="S934" s="809"/>
      <c r="T934" s="809"/>
      <c r="U934" s="809"/>
      <c r="V934" s="809"/>
      <c r="W934" s="809"/>
      <c r="X934" s="809"/>
      <c r="Y934" s="809"/>
      <c r="Z934" s="809"/>
      <c r="AA934" s="809"/>
      <c r="AB934" s="809"/>
      <c r="AC934" s="809"/>
      <c r="AD934" s="809"/>
      <c r="AE934" s="809"/>
      <c r="AF934" s="809"/>
      <c r="AG934" s="809"/>
      <c r="AH934" s="809"/>
      <c r="AI934" s="809"/>
      <c r="AJ934" s="809"/>
      <c r="AK934" s="809"/>
      <c r="AL934" s="809"/>
      <c r="AM934" s="809"/>
      <c r="AN934" s="809"/>
      <c r="AO934" s="809"/>
      <c r="AP934" s="809"/>
      <c r="AQ934" s="809"/>
      <c r="AR934" s="809"/>
      <c r="AS934" s="809"/>
      <c r="AT934" s="809"/>
      <c r="AU934" s="809"/>
      <c r="AV934" s="809"/>
      <c r="AW934" s="809"/>
      <c r="AX934" s="809"/>
      <c r="AY934" s="809"/>
      <c r="AZ934" s="809"/>
      <c r="BA934" s="809"/>
      <c r="BB934" s="809"/>
      <c r="BC934" s="809"/>
      <c r="BD934" s="809"/>
      <c r="BE934" s="809"/>
      <c r="BF934" s="809"/>
      <c r="BG934" s="809"/>
      <c r="BH934" s="809"/>
      <c r="BI934" s="809"/>
      <c r="BJ934" s="809"/>
      <c r="BK934" s="809"/>
      <c r="BL934" s="809"/>
      <c r="BM934" s="809"/>
      <c r="BN934" s="809"/>
    </row>
    <row r="935" spans="1:66">
      <c r="A935" s="809"/>
      <c r="B935" s="809"/>
      <c r="C935" s="809"/>
      <c r="D935" s="809"/>
      <c r="E935" s="809"/>
      <c r="F935" s="809"/>
      <c r="G935" s="809"/>
      <c r="H935" s="809"/>
      <c r="I935" s="809"/>
      <c r="J935" s="809"/>
      <c r="K935" s="809"/>
      <c r="L935" s="809"/>
      <c r="M935" s="809"/>
      <c r="N935" s="809"/>
      <c r="O935" s="809"/>
      <c r="P935" s="809"/>
      <c r="Q935" s="809"/>
      <c r="R935" s="809"/>
      <c r="S935" s="809"/>
      <c r="T935" s="809"/>
      <c r="U935" s="809"/>
      <c r="V935" s="809"/>
      <c r="W935" s="809"/>
      <c r="X935" s="809"/>
      <c r="Y935" s="809"/>
      <c r="Z935" s="809"/>
      <c r="AA935" s="809"/>
      <c r="AB935" s="809"/>
      <c r="AC935" s="809"/>
      <c r="AD935" s="809"/>
      <c r="AE935" s="809"/>
      <c r="AF935" s="809"/>
      <c r="AG935" s="809"/>
      <c r="AH935" s="809"/>
      <c r="AI935" s="809"/>
      <c r="AJ935" s="809"/>
      <c r="AK935" s="809"/>
      <c r="AL935" s="809"/>
      <c r="AM935" s="809"/>
      <c r="AN935" s="809"/>
      <c r="AO935" s="809"/>
      <c r="AP935" s="809"/>
      <c r="AQ935" s="809"/>
      <c r="AR935" s="809"/>
      <c r="AS935" s="809"/>
      <c r="AT935" s="809"/>
      <c r="AU935" s="809"/>
      <c r="AV935" s="809"/>
      <c r="AW935" s="809"/>
      <c r="AX935" s="809"/>
      <c r="AY935" s="809"/>
      <c r="AZ935" s="809"/>
      <c r="BA935" s="809"/>
      <c r="BB935" s="809"/>
      <c r="BC935" s="809"/>
      <c r="BD935" s="809"/>
      <c r="BE935" s="809"/>
      <c r="BF935" s="809"/>
      <c r="BG935" s="809"/>
      <c r="BH935" s="809"/>
      <c r="BI935" s="809"/>
      <c r="BJ935" s="809"/>
      <c r="BK935" s="809"/>
      <c r="BL935" s="809"/>
      <c r="BM935" s="809"/>
      <c r="BN935" s="809"/>
    </row>
    <row r="936" spans="1:66">
      <c r="A936" s="809"/>
      <c r="B936" s="809"/>
      <c r="C936" s="809"/>
      <c r="D936" s="809"/>
      <c r="E936" s="809"/>
      <c r="F936" s="809"/>
      <c r="G936" s="809"/>
      <c r="H936" s="809"/>
      <c r="I936" s="809"/>
      <c r="J936" s="809"/>
      <c r="K936" s="809"/>
      <c r="L936" s="809"/>
      <c r="M936" s="809"/>
      <c r="N936" s="809"/>
      <c r="O936" s="809"/>
      <c r="P936" s="809"/>
      <c r="Q936" s="809"/>
      <c r="R936" s="809"/>
      <c r="S936" s="809"/>
      <c r="T936" s="809"/>
      <c r="U936" s="809"/>
      <c r="V936" s="809"/>
      <c r="W936" s="809"/>
      <c r="X936" s="809"/>
      <c r="Y936" s="809"/>
      <c r="Z936" s="809"/>
      <c r="AA936" s="809"/>
      <c r="AB936" s="809"/>
      <c r="AC936" s="809"/>
      <c r="AD936" s="809"/>
      <c r="AE936" s="809"/>
      <c r="AF936" s="809"/>
      <c r="AG936" s="809"/>
      <c r="AH936" s="809"/>
      <c r="AI936" s="809"/>
      <c r="AJ936" s="809"/>
      <c r="AK936" s="809"/>
      <c r="AL936" s="809"/>
      <c r="AM936" s="809"/>
      <c r="AN936" s="809"/>
      <c r="AO936" s="809"/>
      <c r="AP936" s="809"/>
      <c r="AQ936" s="809"/>
      <c r="AR936" s="809"/>
      <c r="AS936" s="809"/>
      <c r="AT936" s="809"/>
      <c r="AU936" s="809"/>
      <c r="AV936" s="809"/>
      <c r="AW936" s="809"/>
      <c r="AX936" s="809"/>
      <c r="AY936" s="809"/>
      <c r="AZ936" s="809"/>
      <c r="BA936" s="809"/>
      <c r="BB936" s="809"/>
      <c r="BC936" s="809"/>
      <c r="BD936" s="809"/>
      <c r="BE936" s="809"/>
      <c r="BF936" s="809"/>
      <c r="BG936" s="809"/>
      <c r="BH936" s="809"/>
      <c r="BI936" s="809"/>
      <c r="BJ936" s="809"/>
      <c r="BK936" s="809"/>
      <c r="BL936" s="809"/>
      <c r="BM936" s="809"/>
      <c r="BN936" s="809"/>
    </row>
    <row r="937" spans="1:66">
      <c r="A937" s="809"/>
      <c r="B937" s="809"/>
      <c r="C937" s="809"/>
      <c r="D937" s="809"/>
      <c r="E937" s="809"/>
      <c r="F937" s="809"/>
      <c r="G937" s="809"/>
      <c r="H937" s="809"/>
      <c r="I937" s="809"/>
      <c r="J937" s="809"/>
      <c r="K937" s="809"/>
      <c r="L937" s="809"/>
      <c r="M937" s="809"/>
      <c r="N937" s="809"/>
      <c r="O937" s="809"/>
      <c r="P937" s="809"/>
      <c r="Q937" s="809"/>
      <c r="R937" s="809"/>
      <c r="S937" s="809"/>
      <c r="T937" s="809"/>
      <c r="U937" s="809"/>
      <c r="V937" s="809"/>
      <c r="W937" s="809"/>
      <c r="X937" s="809"/>
      <c r="Y937" s="809"/>
      <c r="Z937" s="809"/>
      <c r="AA937" s="809"/>
      <c r="AB937" s="809"/>
      <c r="AC937" s="809"/>
      <c r="AD937" s="809"/>
      <c r="AE937" s="809"/>
      <c r="AF937" s="809"/>
      <c r="AG937" s="809"/>
      <c r="AH937" s="809"/>
      <c r="AI937" s="809"/>
      <c r="AJ937" s="809"/>
      <c r="AK937" s="809"/>
      <c r="AL937" s="809"/>
      <c r="AM937" s="809"/>
      <c r="AN937" s="809"/>
      <c r="AO937" s="809"/>
      <c r="AP937" s="809"/>
      <c r="AQ937" s="809"/>
      <c r="AR937" s="809"/>
      <c r="AS937" s="809"/>
      <c r="AT937" s="809"/>
      <c r="AU937" s="809"/>
      <c r="AV937" s="809"/>
      <c r="AW937" s="809"/>
      <c r="AX937" s="809"/>
      <c r="AY937" s="809"/>
      <c r="AZ937" s="809"/>
      <c r="BA937" s="809"/>
      <c r="BB937" s="809"/>
      <c r="BC937" s="809"/>
      <c r="BD937" s="809"/>
      <c r="BE937" s="809"/>
      <c r="BF937" s="809"/>
      <c r="BG937" s="809"/>
      <c r="BH937" s="809"/>
      <c r="BI937" s="809"/>
      <c r="BJ937" s="809"/>
      <c r="BK937" s="809"/>
      <c r="BL937" s="809"/>
      <c r="BM937" s="809"/>
      <c r="BN937" s="809"/>
    </row>
    <row r="938" spans="1:66">
      <c r="A938" s="809"/>
      <c r="B938" s="809"/>
      <c r="C938" s="809"/>
      <c r="D938" s="809"/>
      <c r="E938" s="809"/>
      <c r="F938" s="809"/>
      <c r="G938" s="809"/>
      <c r="H938" s="809"/>
      <c r="I938" s="809"/>
      <c r="J938" s="809"/>
      <c r="K938" s="809"/>
      <c r="L938" s="809"/>
      <c r="M938" s="809"/>
      <c r="N938" s="809"/>
      <c r="O938" s="809"/>
      <c r="P938" s="809"/>
      <c r="Q938" s="809"/>
      <c r="R938" s="809"/>
      <c r="S938" s="809"/>
      <c r="T938" s="809"/>
      <c r="U938" s="809"/>
      <c r="V938" s="809"/>
      <c r="W938" s="809"/>
      <c r="X938" s="809"/>
      <c r="Y938" s="809"/>
      <c r="Z938" s="809"/>
      <c r="AA938" s="809"/>
      <c r="AB938" s="809"/>
      <c r="AC938" s="809"/>
      <c r="AD938" s="809"/>
      <c r="AE938" s="809"/>
      <c r="AF938" s="809"/>
      <c r="AG938" s="809"/>
      <c r="AH938" s="809"/>
      <c r="AI938" s="809"/>
      <c r="AJ938" s="809"/>
      <c r="AK938" s="809"/>
      <c r="AL938" s="809"/>
      <c r="AM938" s="809"/>
      <c r="AN938" s="809"/>
      <c r="AO938" s="809"/>
      <c r="AP938" s="809"/>
      <c r="AQ938" s="809"/>
      <c r="AR938" s="809"/>
      <c r="AS938" s="809"/>
      <c r="AT938" s="809"/>
      <c r="AU938" s="809"/>
      <c r="AV938" s="809"/>
      <c r="AW938" s="809"/>
      <c r="AX938" s="809"/>
      <c r="AY938" s="809"/>
      <c r="AZ938" s="809"/>
      <c r="BA938" s="809"/>
      <c r="BB938" s="809"/>
      <c r="BC938" s="809"/>
      <c r="BD938" s="809"/>
      <c r="BE938" s="809"/>
      <c r="BF938" s="809"/>
      <c r="BG938" s="809"/>
      <c r="BH938" s="809"/>
      <c r="BI938" s="809"/>
      <c r="BJ938" s="809"/>
      <c r="BK938" s="809"/>
      <c r="BL938" s="809"/>
      <c r="BM938" s="809"/>
      <c r="BN938" s="809"/>
    </row>
    <row r="939" spans="1:66">
      <c r="A939" s="809"/>
      <c r="B939" s="809"/>
      <c r="C939" s="809"/>
      <c r="D939" s="809"/>
      <c r="E939" s="809"/>
      <c r="F939" s="809"/>
      <c r="G939" s="809"/>
      <c r="H939" s="809"/>
      <c r="I939" s="809"/>
      <c r="J939" s="809"/>
      <c r="K939" s="809"/>
      <c r="L939" s="809"/>
      <c r="M939" s="809"/>
      <c r="N939" s="809"/>
      <c r="O939" s="809"/>
      <c r="P939" s="809"/>
      <c r="Q939" s="809"/>
      <c r="R939" s="809"/>
      <c r="S939" s="809"/>
      <c r="T939" s="809"/>
      <c r="U939" s="809"/>
      <c r="V939" s="809"/>
      <c r="W939" s="809"/>
      <c r="X939" s="809"/>
      <c r="Y939" s="809"/>
      <c r="Z939" s="809"/>
      <c r="AA939" s="809"/>
      <c r="AB939" s="809"/>
      <c r="AC939" s="809"/>
      <c r="AD939" s="809"/>
      <c r="AE939" s="809"/>
      <c r="AF939" s="809"/>
      <c r="AG939" s="809"/>
      <c r="AH939" s="809"/>
      <c r="AI939" s="809"/>
      <c r="AJ939" s="809"/>
      <c r="AK939" s="809"/>
      <c r="AL939" s="809"/>
      <c r="AM939" s="809"/>
      <c r="AN939" s="809"/>
      <c r="AO939" s="809"/>
      <c r="AP939" s="809"/>
      <c r="AQ939" s="809"/>
      <c r="AR939" s="809"/>
      <c r="AS939" s="809"/>
      <c r="AT939" s="809"/>
      <c r="AU939" s="809"/>
      <c r="AV939" s="809"/>
      <c r="AW939" s="809"/>
      <c r="AX939" s="809"/>
      <c r="AY939" s="809"/>
      <c r="AZ939" s="809"/>
      <c r="BA939" s="809"/>
      <c r="BB939" s="809"/>
      <c r="BC939" s="809"/>
      <c r="BD939" s="809"/>
      <c r="BE939" s="809"/>
      <c r="BF939" s="809"/>
      <c r="BG939" s="809"/>
      <c r="BH939" s="809"/>
      <c r="BI939" s="809"/>
      <c r="BJ939" s="809"/>
      <c r="BK939" s="809"/>
      <c r="BL939" s="809"/>
      <c r="BM939" s="809"/>
      <c r="BN939" s="809"/>
    </row>
    <row r="940" spans="1:66">
      <c r="A940" s="809"/>
      <c r="B940" s="809"/>
      <c r="C940" s="809"/>
      <c r="D940" s="809"/>
      <c r="E940" s="809"/>
      <c r="F940" s="809"/>
      <c r="G940" s="809"/>
      <c r="H940" s="809"/>
      <c r="I940" s="809"/>
      <c r="J940" s="809"/>
      <c r="K940" s="809"/>
      <c r="L940" s="809"/>
      <c r="M940" s="809"/>
      <c r="N940" s="809"/>
      <c r="O940" s="809"/>
      <c r="P940" s="809"/>
      <c r="Q940" s="809"/>
      <c r="R940" s="809"/>
      <c r="S940" s="809"/>
      <c r="T940" s="809"/>
      <c r="U940" s="809"/>
      <c r="V940" s="809"/>
      <c r="W940" s="809"/>
      <c r="X940" s="809"/>
      <c r="Y940" s="809"/>
      <c r="Z940" s="809"/>
      <c r="AA940" s="809"/>
      <c r="AB940" s="809"/>
      <c r="AC940" s="809"/>
      <c r="AD940" s="809"/>
      <c r="AE940" s="809"/>
      <c r="AF940" s="809"/>
      <c r="AG940" s="809"/>
      <c r="AH940" s="809"/>
      <c r="AI940" s="809"/>
      <c r="AJ940" s="809"/>
      <c r="AK940" s="809"/>
      <c r="AL940" s="809"/>
      <c r="AM940" s="809"/>
      <c r="AN940" s="809"/>
      <c r="AO940" s="809"/>
      <c r="AP940" s="809"/>
      <c r="AQ940" s="809"/>
      <c r="AR940" s="809"/>
      <c r="AS940" s="809"/>
      <c r="AT940" s="809"/>
      <c r="AU940" s="809"/>
      <c r="AV940" s="809"/>
      <c r="AW940" s="809"/>
      <c r="AX940" s="809"/>
      <c r="AY940" s="809"/>
      <c r="AZ940" s="809"/>
      <c r="BA940" s="809"/>
      <c r="BB940" s="809"/>
      <c r="BC940" s="809"/>
      <c r="BD940" s="809"/>
      <c r="BE940" s="809"/>
      <c r="BF940" s="809"/>
      <c r="BG940" s="809"/>
      <c r="BH940" s="809"/>
      <c r="BI940" s="809"/>
      <c r="BJ940" s="809"/>
      <c r="BK940" s="809"/>
      <c r="BL940" s="809"/>
      <c r="BM940" s="809"/>
      <c r="BN940" s="809"/>
    </row>
    <row r="941" spans="1:66">
      <c r="A941" s="809"/>
      <c r="B941" s="809"/>
      <c r="C941" s="809"/>
      <c r="D941" s="809"/>
      <c r="E941" s="809"/>
      <c r="F941" s="809"/>
      <c r="G941" s="809"/>
      <c r="H941" s="809"/>
      <c r="I941" s="809"/>
      <c r="J941" s="809"/>
      <c r="K941" s="809"/>
      <c r="L941" s="809"/>
      <c r="M941" s="809"/>
      <c r="N941" s="809"/>
      <c r="O941" s="809"/>
      <c r="P941" s="809"/>
      <c r="Q941" s="809"/>
      <c r="R941" s="809"/>
      <c r="S941" s="809"/>
      <c r="T941" s="809"/>
      <c r="U941" s="809"/>
      <c r="V941" s="809"/>
      <c r="W941" s="809"/>
      <c r="X941" s="809"/>
      <c r="Y941" s="809"/>
      <c r="Z941" s="809"/>
      <c r="AA941" s="809"/>
      <c r="AB941" s="809"/>
      <c r="AC941" s="809"/>
      <c r="AD941" s="809"/>
      <c r="AE941" s="809"/>
      <c r="AF941" s="809"/>
      <c r="AG941" s="809"/>
      <c r="AH941" s="809"/>
      <c r="AI941" s="809"/>
      <c r="AJ941" s="809"/>
      <c r="AK941" s="809"/>
      <c r="AL941" s="809"/>
      <c r="AM941" s="809"/>
      <c r="AN941" s="809"/>
      <c r="AO941" s="809"/>
      <c r="AP941" s="809"/>
      <c r="AQ941" s="809"/>
      <c r="AR941" s="809"/>
      <c r="AS941" s="809"/>
      <c r="AT941" s="809"/>
      <c r="AU941" s="809"/>
      <c r="AV941" s="809"/>
      <c r="AW941" s="809"/>
      <c r="AX941" s="809"/>
      <c r="AY941" s="809"/>
      <c r="AZ941" s="809"/>
      <c r="BA941" s="809"/>
      <c r="BB941" s="809"/>
      <c r="BC941" s="809"/>
      <c r="BD941" s="809"/>
      <c r="BE941" s="809"/>
      <c r="BF941" s="809"/>
      <c r="BG941" s="809"/>
      <c r="BH941" s="809"/>
      <c r="BI941" s="809"/>
      <c r="BJ941" s="809"/>
      <c r="BK941" s="809"/>
      <c r="BL941" s="809"/>
      <c r="BM941" s="809"/>
      <c r="BN941" s="809"/>
    </row>
    <row r="942" spans="1:66">
      <c r="A942" s="809"/>
      <c r="B942" s="809"/>
      <c r="C942" s="809"/>
      <c r="D942" s="809"/>
      <c r="E942" s="809"/>
      <c r="F942" s="809"/>
      <c r="G942" s="809"/>
      <c r="H942" s="809"/>
      <c r="I942" s="809"/>
      <c r="J942" s="809"/>
      <c r="K942" s="809"/>
      <c r="L942" s="809"/>
      <c r="M942" s="809"/>
      <c r="N942" s="809"/>
      <c r="O942" s="809"/>
      <c r="P942" s="809"/>
      <c r="Q942" s="809"/>
      <c r="R942" s="809"/>
      <c r="S942" s="809"/>
      <c r="T942" s="809"/>
      <c r="U942" s="809"/>
      <c r="V942" s="809"/>
      <c r="W942" s="809"/>
      <c r="X942" s="809"/>
      <c r="Y942" s="809"/>
      <c r="Z942" s="809"/>
      <c r="AA942" s="809"/>
      <c r="AB942" s="809"/>
      <c r="AC942" s="809"/>
      <c r="AD942" s="809"/>
      <c r="AE942" s="809"/>
      <c r="AF942" s="809"/>
      <c r="AG942" s="809"/>
      <c r="AH942" s="809"/>
      <c r="AI942" s="809"/>
      <c r="AJ942" s="809"/>
      <c r="AK942" s="809"/>
      <c r="AL942" s="809"/>
      <c r="AM942" s="809"/>
      <c r="AN942" s="809"/>
      <c r="AO942" s="809"/>
      <c r="AP942" s="809"/>
      <c r="AQ942" s="809"/>
      <c r="AR942" s="809"/>
      <c r="AS942" s="809"/>
      <c r="AT942" s="809"/>
      <c r="AU942" s="809"/>
      <c r="AV942" s="809"/>
      <c r="AW942" s="809"/>
      <c r="AX942" s="809"/>
      <c r="AY942" s="809"/>
      <c r="AZ942" s="809"/>
      <c r="BA942" s="809"/>
      <c r="BB942" s="809"/>
      <c r="BC942" s="809"/>
      <c r="BD942" s="809"/>
      <c r="BE942" s="809"/>
      <c r="BF942" s="809"/>
      <c r="BG942" s="809"/>
      <c r="BH942" s="809"/>
      <c r="BI942" s="809"/>
      <c r="BJ942" s="809"/>
      <c r="BK942" s="809"/>
      <c r="BL942" s="809"/>
      <c r="BM942" s="809"/>
      <c r="BN942" s="809"/>
    </row>
    <row r="943" spans="1:66">
      <c r="A943" s="809"/>
      <c r="B943" s="809"/>
      <c r="C943" s="809"/>
      <c r="D943" s="809"/>
      <c r="E943" s="809"/>
      <c r="F943" s="809"/>
      <c r="G943" s="809"/>
      <c r="H943" s="809"/>
      <c r="I943" s="809"/>
      <c r="J943" s="809"/>
      <c r="K943" s="809"/>
      <c r="L943" s="809"/>
      <c r="M943" s="809"/>
      <c r="N943" s="809"/>
      <c r="O943" s="809"/>
      <c r="P943" s="809"/>
      <c r="Q943" s="809"/>
      <c r="R943" s="809"/>
      <c r="S943" s="809"/>
      <c r="T943" s="809"/>
      <c r="U943" s="809"/>
      <c r="V943" s="809"/>
      <c r="W943" s="809"/>
      <c r="X943" s="809"/>
      <c r="Y943" s="809"/>
      <c r="Z943" s="809"/>
      <c r="AA943" s="809"/>
      <c r="AB943" s="809"/>
      <c r="AC943" s="809"/>
      <c r="AD943" s="809"/>
      <c r="AE943" s="809"/>
      <c r="AF943" s="809"/>
      <c r="AG943" s="809"/>
      <c r="AH943" s="809"/>
      <c r="AI943" s="809"/>
      <c r="AJ943" s="809"/>
      <c r="AK943" s="809"/>
      <c r="AL943" s="809"/>
      <c r="AM943" s="809"/>
      <c r="AN943" s="809"/>
      <c r="AO943" s="809"/>
      <c r="AP943" s="809"/>
      <c r="AQ943" s="809"/>
      <c r="AR943" s="809"/>
      <c r="AS943" s="809"/>
      <c r="AT943" s="809"/>
      <c r="AU943" s="809"/>
      <c r="AV943" s="809"/>
      <c r="AW943" s="809"/>
      <c r="AX943" s="809"/>
      <c r="AY943" s="809"/>
      <c r="AZ943" s="809"/>
      <c r="BA943" s="809"/>
      <c r="BB943" s="809"/>
      <c r="BC943" s="809"/>
      <c r="BD943" s="809"/>
      <c r="BE943" s="809"/>
      <c r="BF943" s="809"/>
      <c r="BG943" s="809"/>
      <c r="BH943" s="809"/>
      <c r="BI943" s="809"/>
      <c r="BJ943" s="809"/>
      <c r="BK943" s="809"/>
      <c r="BL943" s="809"/>
      <c r="BM943" s="809"/>
      <c r="BN943" s="809"/>
    </row>
    <row r="944" spans="1:66">
      <c r="A944" s="809"/>
      <c r="B944" s="809"/>
      <c r="C944" s="809"/>
      <c r="D944" s="809"/>
      <c r="E944" s="809"/>
      <c r="F944" s="809"/>
      <c r="G944" s="809"/>
      <c r="H944" s="809"/>
      <c r="I944" s="809"/>
      <c r="J944" s="809"/>
      <c r="K944" s="809"/>
      <c r="L944" s="809"/>
      <c r="M944" s="809"/>
      <c r="N944" s="809"/>
      <c r="O944" s="809"/>
      <c r="P944" s="809"/>
      <c r="Q944" s="809"/>
      <c r="R944" s="809"/>
      <c r="S944" s="809"/>
      <c r="T944" s="809"/>
      <c r="U944" s="809"/>
      <c r="V944" s="809"/>
      <c r="W944" s="809"/>
      <c r="X944" s="809"/>
      <c r="Y944" s="809"/>
      <c r="Z944" s="809"/>
      <c r="AA944" s="809"/>
      <c r="AB944" s="809"/>
      <c r="AC944" s="809"/>
      <c r="AD944" s="809"/>
      <c r="AE944" s="809"/>
      <c r="AF944" s="809"/>
      <c r="AG944" s="809"/>
      <c r="AH944" s="809"/>
      <c r="AI944" s="809"/>
      <c r="AJ944" s="809"/>
      <c r="AK944" s="809"/>
      <c r="AL944" s="809"/>
      <c r="AM944" s="809"/>
      <c r="AN944" s="809"/>
      <c r="AO944" s="809"/>
      <c r="AP944" s="809"/>
      <c r="AQ944" s="809"/>
      <c r="AR944" s="809"/>
      <c r="AS944" s="809"/>
      <c r="AT944" s="809"/>
      <c r="AU944" s="809"/>
      <c r="AV944" s="809"/>
      <c r="AW944" s="809"/>
      <c r="AX944" s="809"/>
      <c r="AY944" s="809"/>
      <c r="AZ944" s="809"/>
      <c r="BA944" s="809"/>
      <c r="BB944" s="809"/>
      <c r="BC944" s="809"/>
      <c r="BD944" s="809"/>
      <c r="BE944" s="809"/>
      <c r="BF944" s="809"/>
      <c r="BG944" s="809"/>
      <c r="BH944" s="809"/>
      <c r="BI944" s="809"/>
      <c r="BJ944" s="809"/>
      <c r="BK944" s="809"/>
      <c r="BL944" s="809"/>
      <c r="BM944" s="809"/>
      <c r="BN944" s="809"/>
    </row>
    <row r="945" spans="1:66">
      <c r="A945" s="809"/>
      <c r="B945" s="809"/>
      <c r="C945" s="809"/>
      <c r="D945" s="809"/>
      <c r="E945" s="809"/>
      <c r="F945" s="809"/>
      <c r="G945" s="809"/>
      <c r="H945" s="809"/>
      <c r="I945" s="809"/>
      <c r="J945" s="809"/>
      <c r="K945" s="809"/>
      <c r="L945" s="809"/>
      <c r="M945" s="809"/>
      <c r="N945" s="809"/>
      <c r="O945" s="809"/>
      <c r="P945" s="809"/>
      <c r="Q945" s="809"/>
      <c r="R945" s="809"/>
      <c r="S945" s="809"/>
      <c r="T945" s="809"/>
      <c r="U945" s="809"/>
      <c r="V945" s="809"/>
      <c r="W945" s="809"/>
      <c r="X945" s="809"/>
      <c r="Y945" s="809"/>
      <c r="Z945" s="809"/>
      <c r="AA945" s="809"/>
      <c r="AB945" s="809"/>
      <c r="AC945" s="809"/>
      <c r="AD945" s="809"/>
      <c r="AE945" s="809"/>
      <c r="AF945" s="809"/>
      <c r="AG945" s="809"/>
      <c r="AH945" s="809"/>
      <c r="AI945" s="809"/>
      <c r="AJ945" s="809"/>
      <c r="AK945" s="809"/>
      <c r="AL945" s="809"/>
      <c r="AM945" s="809"/>
      <c r="AN945" s="809"/>
      <c r="AO945" s="809"/>
      <c r="AP945" s="809"/>
      <c r="AQ945" s="809"/>
      <c r="AR945" s="809"/>
      <c r="AS945" s="809"/>
      <c r="AT945" s="809"/>
      <c r="AU945" s="809"/>
      <c r="AV945" s="809"/>
      <c r="AW945" s="809"/>
      <c r="AX945" s="809"/>
      <c r="AY945" s="809"/>
      <c r="AZ945" s="809"/>
      <c r="BA945" s="809"/>
      <c r="BB945" s="809"/>
      <c r="BC945" s="809"/>
      <c r="BD945" s="809"/>
      <c r="BE945" s="809"/>
      <c r="BF945" s="809"/>
      <c r="BG945" s="809"/>
      <c r="BH945" s="809"/>
      <c r="BI945" s="809"/>
      <c r="BJ945" s="809"/>
      <c r="BK945" s="809"/>
      <c r="BL945" s="809"/>
      <c r="BM945" s="809"/>
      <c r="BN945" s="809"/>
    </row>
    <row r="946" spans="1:66">
      <c r="A946" s="809"/>
      <c r="B946" s="809"/>
      <c r="C946" s="809"/>
      <c r="D946" s="809"/>
      <c r="E946" s="809"/>
      <c r="F946" s="809"/>
      <c r="G946" s="809"/>
      <c r="H946" s="809"/>
      <c r="I946" s="809"/>
      <c r="J946" s="809"/>
      <c r="K946" s="809"/>
      <c r="L946" s="809"/>
      <c r="M946" s="809"/>
      <c r="N946" s="809"/>
      <c r="O946" s="809"/>
      <c r="P946" s="809"/>
      <c r="Q946" s="809"/>
      <c r="R946" s="809"/>
      <c r="S946" s="809"/>
      <c r="T946" s="809"/>
      <c r="U946" s="809"/>
      <c r="V946" s="809"/>
      <c r="W946" s="809"/>
      <c r="X946" s="809"/>
      <c r="Y946" s="809"/>
      <c r="Z946" s="809"/>
      <c r="AA946" s="809"/>
      <c r="AB946" s="809"/>
      <c r="AC946" s="809"/>
      <c r="AD946" s="809"/>
      <c r="AE946" s="809"/>
      <c r="AF946" s="809"/>
      <c r="AG946" s="809"/>
      <c r="AH946" s="809"/>
      <c r="AI946" s="809"/>
      <c r="AJ946" s="809"/>
      <c r="AK946" s="809"/>
      <c r="AL946" s="809"/>
      <c r="AM946" s="809"/>
      <c r="AN946" s="809"/>
      <c r="AO946" s="809"/>
      <c r="AP946" s="809"/>
      <c r="AQ946" s="809"/>
      <c r="AR946" s="809"/>
      <c r="AS946" s="809"/>
      <c r="AT946" s="809"/>
      <c r="AU946" s="809"/>
      <c r="AV946" s="809"/>
      <c r="AW946" s="809"/>
      <c r="AX946" s="809"/>
      <c r="AY946" s="809"/>
      <c r="AZ946" s="809"/>
      <c r="BA946" s="809"/>
      <c r="BB946" s="809"/>
      <c r="BC946" s="809"/>
      <c r="BD946" s="809"/>
      <c r="BE946" s="809"/>
      <c r="BF946" s="809"/>
      <c r="BG946" s="809"/>
      <c r="BH946" s="809"/>
      <c r="BI946" s="809"/>
      <c r="BJ946" s="809"/>
      <c r="BK946" s="809"/>
      <c r="BL946" s="809"/>
      <c r="BM946" s="809"/>
      <c r="BN946" s="809"/>
    </row>
    <row r="947" spans="1:66">
      <c r="A947" s="809"/>
      <c r="B947" s="809"/>
      <c r="C947" s="809"/>
      <c r="D947" s="809"/>
      <c r="E947" s="809"/>
      <c r="F947" s="809"/>
      <c r="G947" s="809"/>
      <c r="H947" s="809"/>
      <c r="I947" s="809"/>
      <c r="J947" s="809"/>
      <c r="K947" s="809"/>
      <c r="L947" s="809"/>
      <c r="M947" s="809"/>
      <c r="N947" s="809"/>
      <c r="O947" s="809"/>
      <c r="P947" s="809"/>
      <c r="Q947" s="809"/>
      <c r="R947" s="809"/>
      <c r="S947" s="809"/>
      <c r="T947" s="809"/>
      <c r="U947" s="809"/>
      <c r="V947" s="809"/>
      <c r="W947" s="809"/>
      <c r="X947" s="809"/>
      <c r="Y947" s="809"/>
      <c r="Z947" s="809"/>
      <c r="AA947" s="809"/>
      <c r="AB947" s="809"/>
      <c r="AC947" s="809"/>
      <c r="AD947" s="809"/>
      <c r="AE947" s="809"/>
      <c r="AF947" s="809"/>
      <c r="AG947" s="809"/>
      <c r="AH947" s="809"/>
      <c r="AI947" s="809"/>
      <c r="AJ947" s="809"/>
      <c r="AK947" s="809"/>
      <c r="AL947" s="809"/>
      <c r="AM947" s="809"/>
      <c r="AN947" s="809"/>
      <c r="AO947" s="809"/>
      <c r="AP947" s="809"/>
      <c r="AQ947" s="809"/>
      <c r="AR947" s="809"/>
      <c r="AS947" s="809"/>
      <c r="AT947" s="809"/>
      <c r="AU947" s="809"/>
      <c r="AV947" s="809"/>
      <c r="AW947" s="809"/>
      <c r="AX947" s="809"/>
      <c r="AY947" s="809"/>
      <c r="AZ947" s="809"/>
      <c r="BA947" s="809"/>
      <c r="BB947" s="809"/>
      <c r="BC947" s="809"/>
      <c r="BD947" s="809"/>
      <c r="BE947" s="809"/>
      <c r="BF947" s="809"/>
      <c r="BG947" s="809"/>
      <c r="BH947" s="809"/>
      <c r="BI947" s="809"/>
      <c r="BJ947" s="809"/>
      <c r="BK947" s="809"/>
      <c r="BL947" s="809"/>
      <c r="BM947" s="809"/>
      <c r="BN947" s="809"/>
    </row>
    <row r="948" spans="1:66">
      <c r="A948" s="809"/>
      <c r="B948" s="809"/>
      <c r="C948" s="809"/>
      <c r="D948" s="809"/>
      <c r="E948" s="809"/>
      <c r="F948" s="809"/>
      <c r="G948" s="809"/>
      <c r="H948" s="809"/>
      <c r="I948" s="809"/>
      <c r="J948" s="809"/>
      <c r="K948" s="809"/>
      <c r="L948" s="809"/>
      <c r="M948" s="809"/>
      <c r="N948" s="809"/>
      <c r="O948" s="809"/>
      <c r="P948" s="809"/>
      <c r="Q948" s="809"/>
      <c r="R948" s="809"/>
      <c r="S948" s="809"/>
      <c r="T948" s="809"/>
      <c r="U948" s="809"/>
      <c r="V948" s="809"/>
      <c r="W948" s="809"/>
      <c r="X948" s="809"/>
      <c r="Y948" s="809"/>
      <c r="Z948" s="809"/>
      <c r="AA948" s="809"/>
      <c r="AB948" s="809"/>
      <c r="AC948" s="809"/>
      <c r="AD948" s="809"/>
      <c r="AE948" s="809"/>
      <c r="AF948" s="809"/>
      <c r="AG948" s="809"/>
      <c r="AH948" s="809"/>
      <c r="AI948" s="809"/>
      <c r="AJ948" s="809"/>
      <c r="AK948" s="809"/>
      <c r="AL948" s="809"/>
      <c r="AM948" s="809"/>
      <c r="AN948" s="809"/>
      <c r="AO948" s="809"/>
      <c r="AP948" s="809"/>
      <c r="AQ948" s="809"/>
      <c r="AR948" s="809"/>
      <c r="AS948" s="809"/>
      <c r="AT948" s="809"/>
      <c r="AU948" s="809"/>
      <c r="AV948" s="809"/>
      <c r="AW948" s="809"/>
      <c r="AX948" s="809"/>
      <c r="AY948" s="809"/>
      <c r="AZ948" s="809"/>
      <c r="BA948" s="809"/>
      <c r="BB948" s="809"/>
      <c r="BC948" s="809"/>
      <c r="BD948" s="809"/>
      <c r="BE948" s="809"/>
      <c r="BF948" s="809"/>
      <c r="BG948" s="809"/>
      <c r="BH948" s="809"/>
      <c r="BI948" s="809"/>
      <c r="BJ948" s="809"/>
      <c r="BK948" s="809"/>
      <c r="BL948" s="809"/>
      <c r="BM948" s="809"/>
      <c r="BN948" s="809"/>
    </row>
    <row r="949" spans="1:66">
      <c r="A949" s="809"/>
      <c r="B949" s="809"/>
      <c r="C949" s="809"/>
      <c r="D949" s="809"/>
      <c r="E949" s="809"/>
      <c r="F949" s="809"/>
      <c r="G949" s="809"/>
      <c r="H949" s="809"/>
      <c r="I949" s="809"/>
      <c r="J949" s="809"/>
      <c r="K949" s="809"/>
      <c r="L949" s="809"/>
      <c r="M949" s="809"/>
      <c r="N949" s="809"/>
      <c r="O949" s="809"/>
      <c r="P949" s="809"/>
      <c r="Q949" s="809"/>
      <c r="R949" s="809"/>
      <c r="S949" s="809"/>
      <c r="T949" s="809"/>
      <c r="U949" s="809"/>
      <c r="V949" s="809"/>
      <c r="W949" s="809"/>
      <c r="X949" s="809"/>
      <c r="Y949" s="809"/>
      <c r="Z949" s="809"/>
      <c r="AA949" s="809"/>
      <c r="AB949" s="809"/>
      <c r="AC949" s="809"/>
      <c r="AD949" s="809"/>
      <c r="AE949" s="809"/>
      <c r="AF949" s="809"/>
      <c r="AG949" s="809"/>
      <c r="AH949" s="809"/>
      <c r="AI949" s="809"/>
      <c r="AJ949" s="809"/>
      <c r="AK949" s="809"/>
      <c r="AL949" s="809"/>
      <c r="AM949" s="809"/>
      <c r="AN949" s="809"/>
      <c r="AO949" s="809"/>
      <c r="AP949" s="809"/>
      <c r="AQ949" s="809"/>
      <c r="AR949" s="809"/>
      <c r="AS949" s="809"/>
      <c r="AT949" s="809"/>
      <c r="AU949" s="809"/>
      <c r="AV949" s="809"/>
      <c r="AW949" s="809"/>
      <c r="AX949" s="809"/>
      <c r="AY949" s="809"/>
      <c r="AZ949" s="809"/>
      <c r="BA949" s="809"/>
      <c r="BB949" s="809"/>
      <c r="BC949" s="809"/>
      <c r="BD949" s="809"/>
      <c r="BE949" s="809"/>
      <c r="BF949" s="809"/>
      <c r="BG949" s="809"/>
      <c r="BH949" s="809"/>
      <c r="BI949" s="809"/>
      <c r="BJ949" s="809"/>
      <c r="BK949" s="809"/>
      <c r="BL949" s="809"/>
      <c r="BM949" s="809"/>
      <c r="BN949" s="809"/>
    </row>
    <row r="950" spans="1:66">
      <c r="A950" s="809"/>
      <c r="B950" s="809"/>
      <c r="C950" s="809"/>
      <c r="D950" s="809"/>
      <c r="E950" s="809"/>
      <c r="F950" s="809"/>
      <c r="G950" s="809"/>
      <c r="H950" s="809"/>
      <c r="I950" s="809"/>
      <c r="J950" s="809"/>
      <c r="K950" s="809"/>
      <c r="L950" s="809"/>
      <c r="M950" s="809"/>
      <c r="N950" s="809"/>
      <c r="O950" s="809"/>
      <c r="P950" s="809"/>
      <c r="Q950" s="809"/>
      <c r="R950" s="809"/>
      <c r="S950" s="809"/>
      <c r="T950" s="809"/>
      <c r="U950" s="809"/>
      <c r="V950" s="809"/>
      <c r="W950" s="809"/>
      <c r="X950" s="809"/>
      <c r="Y950" s="809"/>
      <c r="Z950" s="809"/>
      <c r="AA950" s="809"/>
      <c r="AB950" s="809"/>
      <c r="AC950" s="809"/>
      <c r="AD950" s="809"/>
      <c r="AE950" s="809"/>
      <c r="AF950" s="809"/>
      <c r="AG950" s="809"/>
      <c r="AH950" s="809"/>
      <c r="AI950" s="809"/>
      <c r="AJ950" s="809"/>
      <c r="AK950" s="809"/>
      <c r="AL950" s="809"/>
      <c r="AM950" s="809"/>
      <c r="AN950" s="809"/>
      <c r="AO950" s="809"/>
      <c r="AP950" s="809"/>
      <c r="AQ950" s="809"/>
      <c r="AR950" s="809"/>
      <c r="AS950" s="809"/>
      <c r="AT950" s="809"/>
      <c r="AU950" s="809"/>
      <c r="AV950" s="809"/>
      <c r="AW950" s="809"/>
      <c r="AX950" s="809"/>
      <c r="AY950" s="809"/>
      <c r="AZ950" s="809"/>
      <c r="BA950" s="809"/>
      <c r="BB950" s="809"/>
      <c r="BC950" s="809"/>
      <c r="BD950" s="809"/>
      <c r="BE950" s="809"/>
      <c r="BF950" s="809"/>
      <c r="BG950" s="809"/>
      <c r="BH950" s="809"/>
      <c r="BI950" s="809"/>
      <c r="BJ950" s="809"/>
      <c r="BK950" s="809"/>
      <c r="BL950" s="809"/>
      <c r="BM950" s="809"/>
      <c r="BN950" s="809"/>
    </row>
    <row r="951" spans="1:66">
      <c r="A951" s="809"/>
      <c r="B951" s="809"/>
      <c r="C951" s="809"/>
      <c r="D951" s="809"/>
      <c r="E951" s="809"/>
      <c r="F951" s="809"/>
      <c r="G951" s="809"/>
      <c r="H951" s="809"/>
      <c r="I951" s="809"/>
      <c r="J951" s="809"/>
      <c r="K951" s="809"/>
      <c r="L951" s="809"/>
      <c r="M951" s="809"/>
      <c r="N951" s="809"/>
      <c r="O951" s="809"/>
      <c r="P951" s="809"/>
      <c r="Q951" s="809"/>
      <c r="R951" s="809"/>
      <c r="S951" s="809"/>
      <c r="T951" s="809"/>
      <c r="U951" s="809"/>
      <c r="V951" s="809"/>
      <c r="W951" s="809"/>
      <c r="X951" s="809"/>
      <c r="Y951" s="809"/>
      <c r="Z951" s="809"/>
      <c r="AA951" s="809"/>
      <c r="AB951" s="809"/>
      <c r="AC951" s="809"/>
      <c r="AD951" s="809"/>
      <c r="AE951" s="809"/>
      <c r="AF951" s="809"/>
      <c r="AG951" s="809"/>
      <c r="AH951" s="809"/>
      <c r="AI951" s="809"/>
      <c r="AJ951" s="809"/>
      <c r="AK951" s="809"/>
      <c r="AL951" s="809"/>
      <c r="AM951" s="809"/>
      <c r="AN951" s="809"/>
      <c r="AO951" s="809"/>
      <c r="AP951" s="809"/>
      <c r="AQ951" s="809"/>
      <c r="AR951" s="809"/>
      <c r="AS951" s="809"/>
      <c r="AT951" s="809"/>
      <c r="AU951" s="809"/>
      <c r="AV951" s="809"/>
      <c r="AW951" s="809"/>
      <c r="AX951" s="809"/>
      <c r="AY951" s="809"/>
      <c r="AZ951" s="809"/>
      <c r="BA951" s="809"/>
      <c r="BB951" s="809"/>
      <c r="BC951" s="809"/>
      <c r="BD951" s="809"/>
      <c r="BE951" s="809"/>
      <c r="BF951" s="809"/>
      <c r="BG951" s="809"/>
      <c r="BH951" s="809"/>
      <c r="BI951" s="809"/>
      <c r="BJ951" s="809"/>
      <c r="BK951" s="809"/>
      <c r="BL951" s="809"/>
      <c r="BM951" s="809"/>
      <c r="BN951" s="809"/>
    </row>
    <row r="952" spans="1:66">
      <c r="A952" s="809"/>
      <c r="B952" s="809"/>
      <c r="C952" s="809"/>
      <c r="D952" s="809"/>
      <c r="E952" s="809"/>
      <c r="F952" s="809"/>
      <c r="G952" s="809"/>
      <c r="H952" s="809"/>
      <c r="I952" s="809"/>
      <c r="J952" s="809"/>
      <c r="K952" s="809"/>
      <c r="L952" s="809"/>
      <c r="M952" s="809"/>
      <c r="N952" s="809"/>
      <c r="O952" s="809"/>
      <c r="P952" s="809"/>
      <c r="Q952" s="809"/>
      <c r="R952" s="809"/>
      <c r="S952" s="809"/>
      <c r="T952" s="809"/>
      <c r="U952" s="809"/>
      <c r="V952" s="809"/>
      <c r="W952" s="809"/>
      <c r="X952" s="809"/>
      <c r="Y952" s="809"/>
      <c r="Z952" s="809"/>
      <c r="AA952" s="809"/>
      <c r="AB952" s="809"/>
      <c r="AC952" s="809"/>
      <c r="AD952" s="809"/>
      <c r="AE952" s="809"/>
      <c r="AF952" s="809"/>
      <c r="AG952" s="809"/>
      <c r="AH952" s="809"/>
      <c r="AI952" s="809"/>
      <c r="AJ952" s="809"/>
      <c r="AK952" s="809"/>
      <c r="AL952" s="809"/>
      <c r="AM952" s="809"/>
      <c r="AN952" s="809"/>
      <c r="AO952" s="809"/>
      <c r="AP952" s="809"/>
      <c r="AQ952" s="809"/>
      <c r="AR952" s="809"/>
      <c r="AS952" s="809"/>
      <c r="AT952" s="809"/>
      <c r="AU952" s="809"/>
      <c r="AV952" s="809"/>
      <c r="AW952" s="809"/>
      <c r="AX952" s="809"/>
      <c r="AY952" s="809"/>
      <c r="AZ952" s="809"/>
      <c r="BA952" s="809"/>
      <c r="BB952" s="809"/>
      <c r="BC952" s="809"/>
      <c r="BD952" s="809"/>
      <c r="BE952" s="809"/>
      <c r="BF952" s="809"/>
      <c r="BG952" s="809"/>
      <c r="BH952" s="809"/>
      <c r="BI952" s="809"/>
      <c r="BJ952" s="809"/>
      <c r="BK952" s="809"/>
      <c r="BL952" s="809"/>
      <c r="BM952" s="809"/>
      <c r="BN952" s="809"/>
    </row>
    <row r="953" spans="1:66">
      <c r="A953" s="809"/>
      <c r="B953" s="809"/>
      <c r="C953" s="809"/>
      <c r="D953" s="809"/>
      <c r="E953" s="809"/>
      <c r="F953" s="809"/>
      <c r="G953" s="809"/>
      <c r="H953" s="809"/>
      <c r="I953" s="809"/>
      <c r="J953" s="809"/>
      <c r="K953" s="809"/>
      <c r="L953" s="809"/>
      <c r="M953" s="809"/>
      <c r="N953" s="809"/>
      <c r="O953" s="809"/>
      <c r="P953" s="809"/>
      <c r="Q953" s="809"/>
      <c r="R953" s="809"/>
      <c r="S953" s="809"/>
      <c r="T953" s="809"/>
      <c r="U953" s="809"/>
      <c r="V953" s="809"/>
      <c r="W953" s="809"/>
      <c r="X953" s="809"/>
      <c r="Y953" s="809"/>
      <c r="Z953" s="809"/>
      <c r="AA953" s="809"/>
      <c r="AB953" s="809"/>
      <c r="AC953" s="809"/>
      <c r="AD953" s="809"/>
      <c r="AE953" s="809"/>
      <c r="AF953" s="809"/>
      <c r="AG953" s="809"/>
      <c r="AH953" s="809"/>
      <c r="AI953" s="809"/>
      <c r="AJ953" s="809"/>
      <c r="AK953" s="809"/>
      <c r="AL953" s="809"/>
      <c r="AM953" s="809"/>
      <c r="AN953" s="809"/>
      <c r="AO953" s="809"/>
      <c r="AP953" s="809"/>
      <c r="AQ953" s="809"/>
      <c r="AR953" s="809"/>
      <c r="AS953" s="809"/>
      <c r="AT953" s="809"/>
      <c r="AU953" s="809"/>
      <c r="AV953" s="809"/>
      <c r="AW953" s="809"/>
      <c r="AX953" s="809"/>
      <c r="AY953" s="809"/>
      <c r="AZ953" s="809"/>
      <c r="BA953" s="809"/>
      <c r="BB953" s="809"/>
      <c r="BC953" s="809"/>
      <c r="BD953" s="809"/>
      <c r="BE953" s="809"/>
      <c r="BF953" s="809"/>
      <c r="BG953" s="809"/>
      <c r="BH953" s="809"/>
      <c r="BI953" s="809"/>
      <c r="BJ953" s="809"/>
      <c r="BK953" s="809"/>
      <c r="BL953" s="809"/>
      <c r="BM953" s="809"/>
      <c r="BN953" s="809"/>
    </row>
    <row r="954" spans="1:66">
      <c r="A954" s="809"/>
      <c r="B954" s="809"/>
      <c r="C954" s="809"/>
      <c r="D954" s="809"/>
      <c r="E954" s="809"/>
      <c r="F954" s="809"/>
      <c r="G954" s="809"/>
      <c r="H954" s="809"/>
      <c r="I954" s="809"/>
      <c r="J954" s="809"/>
      <c r="K954" s="809"/>
      <c r="L954" s="809"/>
      <c r="M954" s="809"/>
      <c r="N954" s="809"/>
      <c r="O954" s="809"/>
      <c r="P954" s="809"/>
      <c r="Q954" s="809"/>
      <c r="R954" s="809"/>
      <c r="S954" s="809"/>
      <c r="T954" s="809"/>
      <c r="U954" s="809"/>
      <c r="V954" s="809"/>
      <c r="W954" s="809"/>
      <c r="X954" s="809"/>
      <c r="Y954" s="809"/>
      <c r="Z954" s="809"/>
      <c r="AA954" s="809"/>
      <c r="AB954" s="809"/>
      <c r="AC954" s="809"/>
      <c r="AD954" s="809"/>
      <c r="AE954" s="809"/>
      <c r="AF954" s="809"/>
      <c r="AG954" s="809"/>
      <c r="AH954" s="809"/>
      <c r="AI954" s="809"/>
      <c r="AJ954" s="809"/>
      <c r="AK954" s="809"/>
      <c r="AL954" s="809"/>
      <c r="AM954" s="809"/>
      <c r="AN954" s="809"/>
      <c r="AO954" s="809"/>
      <c r="AP954" s="809"/>
      <c r="AQ954" s="809"/>
      <c r="AR954" s="809"/>
      <c r="AS954" s="809"/>
      <c r="AT954" s="809"/>
      <c r="AU954" s="809"/>
      <c r="AV954" s="809"/>
      <c r="AW954" s="809"/>
      <c r="AX954" s="809"/>
      <c r="AY954" s="809"/>
      <c r="AZ954" s="809"/>
      <c r="BA954" s="809"/>
      <c r="BB954" s="809"/>
      <c r="BC954" s="809"/>
      <c r="BD954" s="809"/>
      <c r="BE954" s="809"/>
      <c r="BF954" s="809"/>
      <c r="BG954" s="809"/>
      <c r="BH954" s="809"/>
      <c r="BI954" s="809"/>
      <c r="BJ954" s="809"/>
      <c r="BK954" s="809"/>
      <c r="BL954" s="809"/>
      <c r="BM954" s="809"/>
      <c r="BN954" s="809"/>
    </row>
    <row r="955" spans="1:66">
      <c r="A955" s="809"/>
      <c r="B955" s="809"/>
      <c r="C955" s="809"/>
      <c r="D955" s="809"/>
      <c r="E955" s="809"/>
      <c r="F955" s="809"/>
      <c r="G955" s="809"/>
      <c r="H955" s="809"/>
      <c r="I955" s="809"/>
      <c r="J955" s="809"/>
      <c r="K955" s="809"/>
      <c r="L955" s="809"/>
      <c r="M955" s="809"/>
      <c r="N955" s="809"/>
      <c r="O955" s="809"/>
      <c r="P955" s="809"/>
      <c r="Q955" s="809"/>
      <c r="R955" s="809"/>
      <c r="S955" s="809"/>
      <c r="T955" s="809"/>
      <c r="U955" s="809"/>
      <c r="V955" s="809"/>
      <c r="W955" s="809"/>
      <c r="X955" s="809"/>
      <c r="Y955" s="809"/>
      <c r="Z955" s="809"/>
      <c r="AA955" s="809"/>
      <c r="AB955" s="809"/>
      <c r="AC955" s="809"/>
      <c r="AD955" s="809"/>
      <c r="AE955" s="809"/>
      <c r="AF955" s="809"/>
      <c r="AG955" s="809"/>
      <c r="AH955" s="809"/>
      <c r="AI955" s="809"/>
      <c r="AJ955" s="809"/>
      <c r="AK955" s="809"/>
      <c r="AL955" s="809"/>
      <c r="AM955" s="809"/>
      <c r="AN955" s="809"/>
      <c r="AO955" s="809"/>
      <c r="AP955" s="809"/>
      <c r="AQ955" s="809"/>
      <c r="AR955" s="809"/>
      <c r="AS955" s="809"/>
      <c r="AT955" s="809"/>
      <c r="AU955" s="809"/>
      <c r="AV955" s="809"/>
      <c r="AW955" s="809"/>
      <c r="AX955" s="809"/>
      <c r="AY955" s="809"/>
      <c r="AZ955" s="809"/>
      <c r="BA955" s="809"/>
      <c r="BB955" s="809"/>
      <c r="BC955" s="809"/>
      <c r="BD955" s="809"/>
      <c r="BE955" s="809"/>
      <c r="BF955" s="809"/>
      <c r="BG955" s="809"/>
      <c r="BH955" s="809"/>
      <c r="BI955" s="809"/>
      <c r="BJ955" s="809"/>
      <c r="BK955" s="809"/>
      <c r="BL955" s="809"/>
      <c r="BM955" s="809"/>
      <c r="BN955" s="809"/>
    </row>
    <row r="956" spans="1:66">
      <c r="A956" s="809"/>
      <c r="B956" s="809"/>
      <c r="C956" s="809"/>
      <c r="D956" s="809"/>
      <c r="E956" s="809"/>
      <c r="F956" s="809"/>
      <c r="G956" s="809"/>
      <c r="H956" s="809"/>
      <c r="I956" s="809"/>
      <c r="J956" s="809"/>
      <c r="K956" s="809"/>
      <c r="L956" s="809"/>
      <c r="M956" s="809"/>
      <c r="N956" s="809"/>
      <c r="O956" s="809"/>
      <c r="P956" s="809"/>
      <c r="Q956" s="809"/>
      <c r="R956" s="809"/>
      <c r="S956" s="809"/>
      <c r="T956" s="809"/>
      <c r="U956" s="809"/>
      <c r="V956" s="809"/>
      <c r="W956" s="809"/>
      <c r="X956" s="809"/>
      <c r="Y956" s="809"/>
      <c r="Z956" s="809"/>
      <c r="AA956" s="809"/>
      <c r="AB956" s="809"/>
      <c r="AC956" s="809"/>
      <c r="AD956" s="809"/>
      <c r="AE956" s="809"/>
      <c r="AF956" s="809"/>
      <c r="AG956" s="809"/>
      <c r="AH956" s="809"/>
      <c r="AI956" s="809"/>
      <c r="AJ956" s="809"/>
      <c r="AK956" s="809"/>
      <c r="AL956" s="809"/>
      <c r="AM956" s="809"/>
      <c r="AN956" s="809"/>
      <c r="AO956" s="809"/>
      <c r="AP956" s="809"/>
      <c r="AQ956" s="809"/>
      <c r="AR956" s="809"/>
      <c r="AS956" s="809"/>
      <c r="AT956" s="809"/>
      <c r="AU956" s="809"/>
      <c r="AV956" s="809"/>
      <c r="AW956" s="809"/>
      <c r="AX956" s="809"/>
      <c r="AY956" s="809"/>
      <c r="AZ956" s="809"/>
      <c r="BA956" s="809"/>
      <c r="BB956" s="809"/>
      <c r="BC956" s="809"/>
      <c r="BD956" s="809"/>
      <c r="BE956" s="809"/>
      <c r="BF956" s="809"/>
      <c r="BG956" s="809"/>
      <c r="BH956" s="809"/>
      <c r="BI956" s="809"/>
      <c r="BJ956" s="809"/>
      <c r="BK956" s="809"/>
      <c r="BL956" s="809"/>
      <c r="BM956" s="809"/>
      <c r="BN956" s="809"/>
    </row>
    <row r="957" spans="1:66">
      <c r="A957" s="809"/>
      <c r="B957" s="809"/>
      <c r="C957" s="809"/>
      <c r="D957" s="809"/>
      <c r="E957" s="809"/>
      <c r="F957" s="809"/>
      <c r="G957" s="809"/>
      <c r="H957" s="809"/>
      <c r="I957" s="809"/>
      <c r="J957" s="809"/>
      <c r="K957" s="809"/>
      <c r="L957" s="809"/>
      <c r="M957" s="809"/>
      <c r="N957" s="809"/>
      <c r="O957" s="809"/>
      <c r="P957" s="809"/>
      <c r="Q957" s="809"/>
      <c r="R957" s="809"/>
      <c r="S957" s="809"/>
      <c r="T957" s="809"/>
      <c r="U957" s="809"/>
      <c r="V957" s="809"/>
      <c r="W957" s="809"/>
      <c r="X957" s="809"/>
      <c r="Y957" s="809"/>
      <c r="Z957" s="809"/>
      <c r="AA957" s="809"/>
      <c r="AB957" s="809"/>
      <c r="AC957" s="809"/>
      <c r="AD957" s="809"/>
      <c r="AE957" s="809"/>
      <c r="AF957" s="809"/>
      <c r="AG957" s="809"/>
      <c r="AH957" s="809"/>
      <c r="AI957" s="809"/>
      <c r="AJ957" s="809"/>
      <c r="AK957" s="809"/>
      <c r="AL957" s="809"/>
      <c r="AM957" s="809"/>
      <c r="AN957" s="809"/>
      <c r="AO957" s="809"/>
      <c r="AP957" s="809"/>
      <c r="AQ957" s="809"/>
      <c r="AR957" s="809"/>
      <c r="AS957" s="809"/>
      <c r="AT957" s="809"/>
      <c r="AU957" s="809"/>
      <c r="AV957" s="809"/>
      <c r="AW957" s="809"/>
      <c r="AX957" s="809"/>
      <c r="AY957" s="809"/>
      <c r="AZ957" s="809"/>
      <c r="BA957" s="809"/>
      <c r="BB957" s="809"/>
      <c r="BC957" s="809"/>
      <c r="BD957" s="809"/>
      <c r="BE957" s="809"/>
      <c r="BF957" s="809"/>
      <c r="BG957" s="809"/>
      <c r="BH957" s="809"/>
      <c r="BI957" s="809"/>
      <c r="BJ957" s="809"/>
      <c r="BK957" s="809"/>
      <c r="BL957" s="809"/>
      <c r="BM957" s="809"/>
      <c r="BN957" s="809"/>
    </row>
    <row r="958" spans="1:66">
      <c r="A958" s="809"/>
      <c r="B958" s="809"/>
      <c r="C958" s="809"/>
      <c r="D958" s="809"/>
      <c r="E958" s="809"/>
      <c r="F958" s="809"/>
      <c r="G958" s="809"/>
      <c r="H958" s="809"/>
      <c r="I958" s="809"/>
      <c r="J958" s="809"/>
      <c r="K958" s="809"/>
      <c r="L958" s="809"/>
      <c r="M958" s="809"/>
      <c r="N958" s="809"/>
      <c r="O958" s="809"/>
      <c r="P958" s="809"/>
      <c r="Q958" s="809"/>
      <c r="R958" s="809"/>
      <c r="S958" s="809"/>
      <c r="T958" s="809"/>
      <c r="U958" s="809"/>
      <c r="V958" s="809"/>
      <c r="W958" s="809"/>
      <c r="X958" s="809"/>
      <c r="Y958" s="809"/>
      <c r="Z958" s="809"/>
      <c r="AA958" s="809"/>
      <c r="AB958" s="809"/>
      <c r="AC958" s="809"/>
      <c r="AD958" s="809"/>
      <c r="AE958" s="809"/>
      <c r="AF958" s="809"/>
      <c r="AG958" s="809"/>
      <c r="AH958" s="809"/>
      <c r="AI958" s="809"/>
      <c r="AJ958" s="809"/>
      <c r="AK958" s="809"/>
      <c r="AL958" s="809"/>
      <c r="AM958" s="809"/>
      <c r="AN958" s="809"/>
      <c r="AO958" s="809"/>
      <c r="AP958" s="809"/>
      <c r="AQ958" s="809"/>
      <c r="AR958" s="809"/>
      <c r="AS958" s="809"/>
      <c r="AT958" s="809"/>
      <c r="AU958" s="809"/>
      <c r="AV958" s="809"/>
      <c r="AW958" s="809"/>
      <c r="AX958" s="809"/>
      <c r="AY958" s="809"/>
      <c r="AZ958" s="809"/>
      <c r="BA958" s="809"/>
      <c r="BB958" s="809"/>
      <c r="BC958" s="809"/>
      <c r="BD958" s="809"/>
      <c r="BE958" s="809"/>
      <c r="BF958" s="809"/>
      <c r="BG958" s="809"/>
      <c r="BH958" s="809"/>
      <c r="BI958" s="809"/>
      <c r="BJ958" s="809"/>
      <c r="BK958" s="809"/>
      <c r="BL958" s="809"/>
      <c r="BM958" s="809"/>
      <c r="BN958" s="809"/>
    </row>
    <row r="959" spans="1:66">
      <c r="A959" s="809"/>
      <c r="B959" s="809"/>
      <c r="C959" s="809"/>
      <c r="D959" s="809"/>
      <c r="E959" s="809"/>
      <c r="F959" s="809"/>
      <c r="G959" s="809"/>
      <c r="H959" s="809"/>
      <c r="I959" s="809"/>
      <c r="J959" s="809"/>
      <c r="K959" s="809"/>
      <c r="L959" s="809"/>
      <c r="M959" s="809"/>
      <c r="N959" s="809"/>
      <c r="O959" s="809"/>
      <c r="P959" s="809"/>
      <c r="Q959" s="809"/>
      <c r="R959" s="809"/>
      <c r="S959" s="809"/>
      <c r="T959" s="809"/>
      <c r="U959" s="809"/>
      <c r="V959" s="809"/>
      <c r="W959" s="809"/>
      <c r="X959" s="809"/>
      <c r="Y959" s="809"/>
      <c r="Z959" s="809"/>
      <c r="AA959" s="809"/>
      <c r="AB959" s="809"/>
      <c r="AC959" s="809"/>
      <c r="AD959" s="809"/>
      <c r="AE959" s="809"/>
      <c r="AF959" s="809"/>
      <c r="AG959" s="809"/>
      <c r="AH959" s="809"/>
      <c r="AI959" s="809"/>
      <c r="AJ959" s="809"/>
      <c r="AK959" s="809"/>
      <c r="AL959" s="809"/>
      <c r="AM959" s="809"/>
      <c r="AN959" s="809"/>
      <c r="AO959" s="809"/>
      <c r="AP959" s="809"/>
      <c r="AQ959" s="809"/>
      <c r="AR959" s="809"/>
      <c r="AS959" s="809"/>
      <c r="AT959" s="809"/>
      <c r="AU959" s="809"/>
      <c r="AV959" s="809"/>
      <c r="AW959" s="809"/>
      <c r="AX959" s="809"/>
      <c r="AY959" s="809"/>
      <c r="AZ959" s="809"/>
      <c r="BA959" s="809"/>
      <c r="BB959" s="809"/>
      <c r="BC959" s="809"/>
      <c r="BD959" s="809"/>
      <c r="BE959" s="809"/>
      <c r="BF959" s="809"/>
      <c r="BG959" s="809"/>
      <c r="BH959" s="809"/>
      <c r="BI959" s="809"/>
      <c r="BJ959" s="809"/>
      <c r="BK959" s="809"/>
      <c r="BL959" s="809"/>
      <c r="BM959" s="809"/>
      <c r="BN959" s="809"/>
    </row>
    <row r="960" spans="1:66">
      <c r="A960" s="809"/>
      <c r="B960" s="809"/>
      <c r="C960" s="809"/>
      <c r="D960" s="809"/>
      <c r="E960" s="809"/>
      <c r="F960" s="809"/>
      <c r="G960" s="809"/>
      <c r="H960" s="809"/>
      <c r="I960" s="809"/>
      <c r="J960" s="809"/>
      <c r="K960" s="809"/>
      <c r="L960" s="809"/>
      <c r="M960" s="809"/>
      <c r="N960" s="809"/>
      <c r="O960" s="809"/>
      <c r="P960" s="809"/>
      <c r="Q960" s="809"/>
      <c r="R960" s="809"/>
      <c r="S960" s="809"/>
      <c r="T960" s="809"/>
      <c r="U960" s="809"/>
      <c r="V960" s="809"/>
      <c r="W960" s="809"/>
      <c r="X960" s="809"/>
      <c r="Y960" s="809"/>
      <c r="Z960" s="809"/>
      <c r="AA960" s="809"/>
      <c r="AB960" s="809"/>
      <c r="AC960" s="809"/>
      <c r="AD960" s="809"/>
      <c r="AE960" s="809"/>
      <c r="AF960" s="809"/>
      <c r="AG960" s="809"/>
      <c r="AH960" s="809"/>
      <c r="AI960" s="809"/>
      <c r="AJ960" s="809"/>
      <c r="AK960" s="809"/>
      <c r="AL960" s="809"/>
      <c r="AM960" s="809"/>
      <c r="AN960" s="809"/>
      <c r="AO960" s="809"/>
      <c r="AP960" s="809"/>
      <c r="AQ960" s="809"/>
      <c r="AR960" s="809"/>
      <c r="AS960" s="809"/>
      <c r="AT960" s="809"/>
      <c r="AU960" s="809"/>
      <c r="AV960" s="809"/>
      <c r="AW960" s="809"/>
      <c r="AX960" s="809"/>
      <c r="AY960" s="809"/>
      <c r="AZ960" s="809"/>
      <c r="BA960" s="809"/>
      <c r="BB960" s="809"/>
      <c r="BC960" s="809"/>
      <c r="BD960" s="809"/>
      <c r="BE960" s="809"/>
      <c r="BF960" s="809"/>
      <c r="BG960" s="809"/>
      <c r="BH960" s="809"/>
      <c r="BI960" s="809"/>
      <c r="BJ960" s="809"/>
      <c r="BK960" s="809"/>
      <c r="BL960" s="809"/>
      <c r="BM960" s="809"/>
      <c r="BN960" s="809"/>
    </row>
    <row r="961" spans="1:66">
      <c r="A961" s="809"/>
      <c r="B961" s="809"/>
      <c r="C961" s="809"/>
      <c r="D961" s="809"/>
      <c r="E961" s="809"/>
      <c r="F961" s="809"/>
      <c r="G961" s="809"/>
      <c r="H961" s="809"/>
      <c r="I961" s="809"/>
      <c r="J961" s="809"/>
      <c r="K961" s="809"/>
      <c r="L961" s="809"/>
      <c r="M961" s="809"/>
      <c r="N961" s="809"/>
      <c r="O961" s="809"/>
      <c r="P961" s="809"/>
      <c r="Q961" s="809"/>
      <c r="R961" s="809"/>
      <c r="S961" s="809"/>
      <c r="T961" s="809"/>
      <c r="U961" s="809"/>
      <c r="V961" s="809"/>
      <c r="W961" s="809"/>
      <c r="X961" s="809"/>
      <c r="Y961" s="809"/>
      <c r="Z961" s="809"/>
      <c r="AA961" s="809"/>
      <c r="AB961" s="809"/>
      <c r="AC961" s="809"/>
      <c r="AD961" s="809"/>
      <c r="AE961" s="809"/>
      <c r="AF961" s="809"/>
      <c r="AG961" s="809"/>
      <c r="AH961" s="809"/>
      <c r="AI961" s="809"/>
      <c r="AJ961" s="809"/>
      <c r="AK961" s="809"/>
      <c r="AL961" s="809"/>
      <c r="AM961" s="809"/>
      <c r="AN961" s="809"/>
      <c r="AO961" s="809"/>
      <c r="AP961" s="809"/>
      <c r="AQ961" s="809"/>
      <c r="AR961" s="809"/>
      <c r="AS961" s="809"/>
      <c r="AT961" s="809"/>
      <c r="AU961" s="809"/>
      <c r="AV961" s="809"/>
      <c r="AW961" s="809"/>
      <c r="AX961" s="809"/>
      <c r="AY961" s="809"/>
      <c r="AZ961" s="809"/>
      <c r="BA961" s="809"/>
      <c r="BB961" s="809"/>
      <c r="BC961" s="809"/>
      <c r="BD961" s="809"/>
      <c r="BE961" s="809"/>
      <c r="BF961" s="809"/>
      <c r="BG961" s="809"/>
      <c r="BH961" s="809"/>
      <c r="BI961" s="809"/>
      <c r="BJ961" s="809"/>
      <c r="BK961" s="809"/>
      <c r="BL961" s="809"/>
      <c r="BM961" s="809"/>
      <c r="BN961" s="809"/>
    </row>
    <row r="962" spans="1:66">
      <c r="A962" s="809"/>
      <c r="B962" s="809"/>
      <c r="C962" s="809"/>
      <c r="D962" s="809"/>
      <c r="E962" s="809"/>
      <c r="F962" s="809"/>
      <c r="G962" s="809"/>
      <c r="H962" s="809"/>
      <c r="I962" s="809"/>
      <c r="J962" s="809"/>
      <c r="K962" s="809"/>
      <c r="L962" s="809"/>
      <c r="M962" s="809"/>
      <c r="N962" s="809"/>
      <c r="O962" s="809"/>
      <c r="P962" s="809"/>
      <c r="Q962" s="809"/>
      <c r="R962" s="809"/>
      <c r="S962" s="809"/>
      <c r="T962" s="809"/>
      <c r="U962" s="809"/>
      <c r="V962" s="809"/>
      <c r="W962" s="809"/>
      <c r="X962" s="809"/>
      <c r="Y962" s="809"/>
      <c r="Z962" s="809"/>
      <c r="AA962" s="809"/>
      <c r="AB962" s="809"/>
      <c r="AC962" s="809"/>
      <c r="AD962" s="809"/>
      <c r="AE962" s="809"/>
      <c r="AF962" s="809"/>
      <c r="AG962" s="809"/>
      <c r="AH962" s="809"/>
      <c r="AI962" s="809"/>
      <c r="AJ962" s="809"/>
      <c r="AK962" s="809"/>
      <c r="AL962" s="809"/>
      <c r="AM962" s="809"/>
      <c r="AN962" s="809"/>
      <c r="AO962" s="809"/>
      <c r="AP962" s="809"/>
      <c r="AQ962" s="809"/>
      <c r="AR962" s="809"/>
      <c r="AS962" s="809"/>
      <c r="AT962" s="809"/>
      <c r="AU962" s="809"/>
      <c r="AV962" s="809"/>
      <c r="AW962" s="809"/>
      <c r="AX962" s="809"/>
      <c r="AY962" s="809"/>
      <c r="AZ962" s="809"/>
      <c r="BA962" s="809"/>
      <c r="BB962" s="809"/>
      <c r="BC962" s="809"/>
      <c r="BD962" s="809"/>
      <c r="BE962" s="809"/>
      <c r="BF962" s="809"/>
      <c r="BG962" s="809"/>
      <c r="BH962" s="809"/>
      <c r="BI962" s="809"/>
      <c r="BJ962" s="809"/>
      <c r="BK962" s="809"/>
      <c r="BL962" s="809"/>
      <c r="BM962" s="809"/>
      <c r="BN962" s="809"/>
    </row>
    <row r="963" spans="1:66">
      <c r="A963" s="809"/>
      <c r="B963" s="809"/>
      <c r="C963" s="809"/>
      <c r="D963" s="809"/>
      <c r="E963" s="809"/>
      <c r="F963" s="809"/>
      <c r="G963" s="809"/>
      <c r="H963" s="809"/>
      <c r="I963" s="809"/>
      <c r="J963" s="809"/>
      <c r="K963" s="809"/>
      <c r="L963" s="809"/>
      <c r="M963" s="809"/>
      <c r="N963" s="809"/>
      <c r="O963" s="809"/>
      <c r="P963" s="809"/>
      <c r="Q963" s="809"/>
      <c r="R963" s="809"/>
      <c r="S963" s="809"/>
      <c r="T963" s="809"/>
      <c r="U963" s="809"/>
      <c r="V963" s="809"/>
      <c r="W963" s="809"/>
      <c r="X963" s="809"/>
      <c r="Y963" s="809"/>
      <c r="Z963" s="809"/>
      <c r="AA963" s="809"/>
      <c r="AB963" s="809"/>
      <c r="AC963" s="809"/>
      <c r="AD963" s="809"/>
      <c r="AE963" s="809"/>
      <c r="AF963" s="809"/>
      <c r="AG963" s="809"/>
      <c r="AH963" s="809"/>
      <c r="AI963" s="809"/>
      <c r="AJ963" s="809"/>
      <c r="AK963" s="809"/>
      <c r="AL963" s="809"/>
      <c r="AM963" s="809"/>
      <c r="AN963" s="809"/>
      <c r="AO963" s="809"/>
      <c r="AP963" s="809"/>
      <c r="AQ963" s="809"/>
      <c r="AR963" s="809"/>
      <c r="AS963" s="809"/>
      <c r="AT963" s="809"/>
      <c r="AU963" s="809"/>
      <c r="AV963" s="809"/>
      <c r="AW963" s="809"/>
      <c r="AX963" s="809"/>
      <c r="AY963" s="809"/>
      <c r="AZ963" s="809"/>
      <c r="BA963" s="809"/>
      <c r="BB963" s="809"/>
      <c r="BC963" s="809"/>
      <c r="BD963" s="809"/>
      <c r="BE963" s="809"/>
      <c r="BF963" s="809"/>
      <c r="BG963" s="809"/>
      <c r="BH963" s="809"/>
      <c r="BI963" s="809"/>
      <c r="BJ963" s="809"/>
      <c r="BK963" s="809"/>
      <c r="BL963" s="809"/>
      <c r="BM963" s="809"/>
      <c r="BN963" s="809"/>
    </row>
    <row r="964" spans="1:66">
      <c r="A964" s="809"/>
      <c r="B964" s="809"/>
      <c r="C964" s="809"/>
      <c r="D964" s="809"/>
      <c r="E964" s="809"/>
      <c r="F964" s="809"/>
      <c r="G964" s="809"/>
      <c r="H964" s="809"/>
      <c r="I964" s="809"/>
      <c r="J964" s="809"/>
      <c r="K964" s="809"/>
      <c r="L964" s="809"/>
      <c r="M964" s="809"/>
      <c r="N964" s="809"/>
      <c r="O964" s="809"/>
      <c r="P964" s="809"/>
      <c r="Q964" s="809"/>
      <c r="R964" s="809"/>
      <c r="S964" s="809"/>
      <c r="T964" s="809"/>
      <c r="U964" s="809"/>
      <c r="V964" s="809"/>
      <c r="W964" s="809"/>
      <c r="X964" s="809"/>
      <c r="Y964" s="809"/>
      <c r="Z964" s="809"/>
      <c r="AA964" s="809"/>
      <c r="AB964" s="809"/>
      <c r="AC964" s="809"/>
      <c r="AD964" s="809"/>
      <c r="AE964" s="809"/>
      <c r="AF964" s="809"/>
      <c r="AG964" s="809"/>
      <c r="AH964" s="809"/>
      <c r="AI964" s="809"/>
      <c r="AJ964" s="809"/>
      <c r="AK964" s="809"/>
      <c r="AL964" s="809"/>
      <c r="AM964" s="809"/>
      <c r="AN964" s="809"/>
      <c r="AO964" s="809"/>
      <c r="AP964" s="809"/>
      <c r="AQ964" s="809"/>
      <c r="AR964" s="809"/>
      <c r="AS964" s="809"/>
      <c r="AT964" s="809"/>
      <c r="AU964" s="809"/>
      <c r="AV964" s="809"/>
      <c r="AW964" s="809"/>
      <c r="AX964" s="809"/>
      <c r="AY964" s="809"/>
      <c r="AZ964" s="809"/>
      <c r="BA964" s="809"/>
      <c r="BB964" s="809"/>
      <c r="BC964" s="809"/>
      <c r="BD964" s="809"/>
      <c r="BE964" s="809"/>
      <c r="BF964" s="809"/>
      <c r="BG964" s="809"/>
      <c r="BH964" s="809"/>
      <c r="BI964" s="809"/>
      <c r="BJ964" s="809"/>
      <c r="BK964" s="809"/>
      <c r="BL964" s="809"/>
      <c r="BM964" s="809"/>
      <c r="BN964" s="809"/>
    </row>
    <row r="965" spans="1:66">
      <c r="A965" s="809"/>
      <c r="B965" s="809"/>
      <c r="C965" s="809"/>
      <c r="D965" s="809"/>
      <c r="E965" s="809"/>
      <c r="F965" s="809"/>
      <c r="G965" s="809"/>
      <c r="H965" s="809"/>
      <c r="I965" s="809"/>
      <c r="J965" s="809"/>
      <c r="K965" s="809"/>
      <c r="L965" s="809"/>
      <c r="M965" s="809"/>
      <c r="N965" s="809"/>
      <c r="O965" s="809"/>
      <c r="P965" s="809"/>
      <c r="Q965" s="809"/>
      <c r="R965" s="809"/>
      <c r="S965" s="809"/>
      <c r="T965" s="809"/>
      <c r="U965" s="809"/>
      <c r="V965" s="809"/>
      <c r="W965" s="809"/>
      <c r="X965" s="809"/>
      <c r="Y965" s="809"/>
      <c r="Z965" s="809"/>
      <c r="AA965" s="809"/>
      <c r="AB965" s="809"/>
      <c r="AC965" s="809"/>
      <c r="AD965" s="809"/>
      <c r="AE965" s="809"/>
      <c r="AF965" s="809"/>
      <c r="AG965" s="809"/>
      <c r="AH965" s="809"/>
      <c r="AI965" s="809"/>
      <c r="AJ965" s="809"/>
      <c r="AK965" s="809"/>
      <c r="AL965" s="809"/>
      <c r="AM965" s="809"/>
      <c r="AN965" s="809"/>
      <c r="AO965" s="809"/>
      <c r="AP965" s="809"/>
      <c r="AQ965" s="809"/>
      <c r="AR965" s="809"/>
      <c r="AS965" s="809"/>
      <c r="AT965" s="809"/>
      <c r="AU965" s="809"/>
      <c r="AV965" s="809"/>
      <c r="AW965" s="809"/>
      <c r="AX965" s="809"/>
      <c r="AY965" s="809"/>
      <c r="AZ965" s="809"/>
      <c r="BA965" s="809"/>
      <c r="BB965" s="809"/>
      <c r="BC965" s="809"/>
      <c r="BD965" s="809"/>
      <c r="BE965" s="809"/>
      <c r="BF965" s="809"/>
      <c r="BG965" s="809"/>
      <c r="BH965" s="809"/>
      <c r="BI965" s="809"/>
      <c r="BJ965" s="809"/>
      <c r="BK965" s="809"/>
      <c r="BL965" s="809"/>
      <c r="BM965" s="809"/>
      <c r="BN965" s="809"/>
    </row>
    <row r="966" spans="1:66">
      <c r="A966" s="809"/>
      <c r="B966" s="809"/>
      <c r="C966" s="809"/>
      <c r="D966" s="809"/>
      <c r="E966" s="809"/>
      <c r="F966" s="809"/>
      <c r="G966" s="809"/>
      <c r="H966" s="809"/>
      <c r="I966" s="809"/>
      <c r="J966" s="809"/>
      <c r="K966" s="809"/>
      <c r="L966" s="809"/>
      <c r="M966" s="809"/>
      <c r="N966" s="809"/>
      <c r="O966" s="809"/>
      <c r="P966" s="809"/>
      <c r="Q966" s="809"/>
      <c r="R966" s="809"/>
      <c r="S966" s="809"/>
      <c r="T966" s="809"/>
      <c r="U966" s="809"/>
      <c r="V966" s="809"/>
      <c r="W966" s="809"/>
      <c r="X966" s="809"/>
      <c r="Y966" s="809"/>
      <c r="Z966" s="809"/>
      <c r="AA966" s="809"/>
      <c r="AB966" s="809"/>
      <c r="AC966" s="809"/>
      <c r="AD966" s="809"/>
      <c r="AE966" s="809"/>
      <c r="AF966" s="809"/>
      <c r="AG966" s="809"/>
      <c r="AH966" s="809"/>
      <c r="AI966" s="809"/>
      <c r="AJ966" s="809"/>
      <c r="AK966" s="809"/>
      <c r="AL966" s="809"/>
      <c r="AM966" s="809"/>
      <c r="AN966" s="809"/>
      <c r="AO966" s="809"/>
      <c r="AP966" s="809"/>
      <c r="AQ966" s="809"/>
      <c r="AR966" s="809"/>
      <c r="AS966" s="809"/>
      <c r="AT966" s="809"/>
      <c r="AU966" s="809"/>
      <c r="AV966" s="809"/>
      <c r="AW966" s="809"/>
      <c r="AX966" s="809"/>
      <c r="AY966" s="809"/>
      <c r="AZ966" s="809"/>
      <c r="BA966" s="809"/>
      <c r="BB966" s="809"/>
      <c r="BC966" s="809"/>
      <c r="BD966" s="809"/>
      <c r="BE966" s="809"/>
      <c r="BF966" s="809"/>
      <c r="BG966" s="809"/>
      <c r="BH966" s="809"/>
      <c r="BI966" s="809"/>
      <c r="BJ966" s="809"/>
      <c r="BK966" s="809"/>
      <c r="BL966" s="809"/>
      <c r="BM966" s="809"/>
      <c r="BN966" s="809"/>
    </row>
    <row r="967" spans="1:66">
      <c r="A967" s="809"/>
      <c r="B967" s="809"/>
      <c r="C967" s="809"/>
      <c r="D967" s="809"/>
      <c r="E967" s="809"/>
      <c r="F967" s="809"/>
      <c r="G967" s="809"/>
      <c r="H967" s="809"/>
      <c r="I967" s="809"/>
      <c r="J967" s="809"/>
      <c r="K967" s="809"/>
      <c r="L967" s="809"/>
      <c r="M967" s="809"/>
      <c r="N967" s="809"/>
      <c r="O967" s="809"/>
      <c r="P967" s="809"/>
      <c r="Q967" s="809"/>
      <c r="R967" s="809"/>
      <c r="S967" s="809"/>
      <c r="T967" s="809"/>
      <c r="U967" s="809"/>
      <c r="V967" s="809"/>
      <c r="W967" s="809"/>
      <c r="X967" s="809"/>
      <c r="Y967" s="809"/>
      <c r="Z967" s="809"/>
      <c r="AA967" s="809"/>
      <c r="AB967" s="809"/>
      <c r="AC967" s="809"/>
      <c r="AD967" s="809"/>
      <c r="AE967" s="809"/>
      <c r="AF967" s="809"/>
      <c r="AG967" s="809"/>
      <c r="AH967" s="809"/>
      <c r="AI967" s="809"/>
      <c r="AJ967" s="809"/>
      <c r="AK967" s="809"/>
      <c r="AL967" s="809"/>
      <c r="AM967" s="809"/>
      <c r="AN967" s="809"/>
      <c r="AO967" s="809"/>
      <c r="AP967" s="809"/>
      <c r="AQ967" s="809"/>
      <c r="AR967" s="809"/>
      <c r="AS967" s="809"/>
      <c r="AT967" s="809"/>
      <c r="AU967" s="809"/>
      <c r="AV967" s="809"/>
      <c r="AW967" s="809"/>
      <c r="AX967" s="809"/>
      <c r="AY967" s="809"/>
      <c r="AZ967" s="809"/>
      <c r="BA967" s="809"/>
      <c r="BB967" s="809"/>
      <c r="BC967" s="809"/>
      <c r="BD967" s="809"/>
      <c r="BE967" s="809"/>
      <c r="BF967" s="809"/>
      <c r="BG967" s="809"/>
      <c r="BH967" s="809"/>
      <c r="BI967" s="809"/>
      <c r="BJ967" s="809"/>
      <c r="BK967" s="809"/>
      <c r="BL967" s="809"/>
      <c r="BM967" s="809"/>
      <c r="BN967" s="809"/>
    </row>
    <row r="968" spans="1:66">
      <c r="A968" s="809"/>
      <c r="B968" s="809"/>
      <c r="C968" s="809"/>
      <c r="D968" s="809"/>
      <c r="E968" s="809"/>
      <c r="F968" s="809"/>
      <c r="G968" s="809"/>
      <c r="H968" s="809"/>
      <c r="I968" s="809"/>
      <c r="J968" s="809"/>
      <c r="K968" s="809"/>
      <c r="L968" s="809"/>
      <c r="M968" s="809"/>
      <c r="N968" s="809"/>
      <c r="O968" s="809"/>
      <c r="P968" s="809"/>
      <c r="Q968" s="809"/>
      <c r="R968" s="809"/>
      <c r="S968" s="809"/>
      <c r="T968" s="809"/>
      <c r="U968" s="809"/>
      <c r="V968" s="809"/>
      <c r="W968" s="809"/>
      <c r="X968" s="809"/>
      <c r="Y968" s="809"/>
      <c r="Z968" s="809"/>
      <c r="AA968" s="809"/>
      <c r="AB968" s="809"/>
      <c r="AC968" s="809"/>
      <c r="AD968" s="809"/>
      <c r="AE968" s="809"/>
      <c r="AF968" s="809"/>
      <c r="AG968" s="809"/>
      <c r="AH968" s="809"/>
      <c r="AI968" s="809"/>
      <c r="AJ968" s="809"/>
      <c r="AK968" s="809"/>
      <c r="AL968" s="809"/>
      <c r="AM968" s="809"/>
      <c r="AN968" s="809"/>
      <c r="AO968" s="809"/>
      <c r="AP968" s="809"/>
      <c r="AQ968" s="809"/>
      <c r="AR968" s="809"/>
      <c r="AS968" s="809"/>
      <c r="AT968" s="809"/>
      <c r="AU968" s="809"/>
      <c r="AV968" s="809"/>
      <c r="AW968" s="809"/>
      <c r="AX968" s="809"/>
      <c r="AY968" s="809"/>
      <c r="AZ968" s="809"/>
      <c r="BA968" s="809"/>
      <c r="BB968" s="809"/>
      <c r="BC968" s="809"/>
      <c r="BD968" s="809"/>
      <c r="BE968" s="809"/>
      <c r="BF968" s="809"/>
      <c r="BG968" s="809"/>
      <c r="BH968" s="809"/>
      <c r="BI968" s="809"/>
      <c r="BJ968" s="809"/>
      <c r="BK968" s="809"/>
      <c r="BL968" s="809"/>
      <c r="BM968" s="809"/>
      <c r="BN968" s="809"/>
    </row>
    <row r="969" spans="1:66">
      <c r="A969" s="809"/>
      <c r="B969" s="809"/>
      <c r="C969" s="809"/>
      <c r="D969" s="809"/>
      <c r="E969" s="809"/>
      <c r="F969" s="809"/>
      <c r="G969" s="809"/>
      <c r="H969" s="809"/>
      <c r="I969" s="809"/>
      <c r="J969" s="809"/>
      <c r="K969" s="809"/>
      <c r="L969" s="809"/>
      <c r="M969" s="809"/>
      <c r="N969" s="809"/>
      <c r="O969" s="809"/>
      <c r="P969" s="809"/>
      <c r="Q969" s="809"/>
      <c r="R969" s="809"/>
      <c r="S969" s="809"/>
      <c r="T969" s="809"/>
      <c r="U969" s="809"/>
      <c r="V969" s="809"/>
      <c r="W969" s="809"/>
      <c r="X969" s="809"/>
      <c r="Y969" s="809"/>
      <c r="Z969" s="809"/>
      <c r="AA969" s="809"/>
      <c r="AB969" s="809"/>
      <c r="AC969" s="809"/>
      <c r="AD969" s="809"/>
      <c r="AE969" s="809"/>
      <c r="AF969" s="809"/>
      <c r="AG969" s="809"/>
      <c r="AH969" s="809"/>
      <c r="AI969" s="809"/>
      <c r="AJ969" s="809"/>
      <c r="AK969" s="809"/>
      <c r="AL969" s="809"/>
      <c r="AM969" s="809"/>
      <c r="AN969" s="809"/>
      <c r="AO969" s="809"/>
      <c r="AP969" s="809"/>
      <c r="AQ969" s="809"/>
      <c r="AR969" s="809"/>
      <c r="AS969" s="809"/>
      <c r="AT969" s="809"/>
      <c r="AU969" s="809"/>
      <c r="AV969" s="809"/>
      <c r="AW969" s="809"/>
      <c r="AX969" s="809"/>
      <c r="AY969" s="809"/>
      <c r="AZ969" s="809"/>
      <c r="BA969" s="809"/>
      <c r="BB969" s="809"/>
      <c r="BC969" s="809"/>
      <c r="BD969" s="809"/>
      <c r="BE969" s="809"/>
      <c r="BF969" s="809"/>
      <c r="BG969" s="809"/>
      <c r="BH969" s="809"/>
      <c r="BI969" s="809"/>
      <c r="BJ969" s="809"/>
      <c r="BK969" s="809"/>
      <c r="BL969" s="809"/>
      <c r="BM969" s="809"/>
      <c r="BN969" s="809"/>
    </row>
    <row r="970" spans="1:66">
      <c r="A970" s="809"/>
      <c r="B970" s="809"/>
      <c r="C970" s="809"/>
      <c r="D970" s="809"/>
      <c r="E970" s="809"/>
      <c r="F970" s="809"/>
      <c r="G970" s="809"/>
      <c r="H970" s="809"/>
      <c r="I970" s="809"/>
      <c r="J970" s="809"/>
      <c r="K970" s="809"/>
      <c r="L970" s="809"/>
      <c r="M970" s="809"/>
      <c r="N970" s="809"/>
      <c r="O970" s="809"/>
      <c r="P970" s="809"/>
      <c r="Q970" s="809"/>
      <c r="R970" s="809"/>
      <c r="S970" s="809"/>
      <c r="T970" s="809"/>
      <c r="U970" s="809"/>
      <c r="V970" s="809"/>
      <c r="W970" s="809"/>
      <c r="X970" s="809"/>
      <c r="Y970" s="809"/>
      <c r="Z970" s="809"/>
      <c r="AA970" s="809"/>
      <c r="AB970" s="809"/>
      <c r="AC970" s="809"/>
      <c r="AD970" s="809"/>
      <c r="AE970" s="809"/>
      <c r="AF970" s="809"/>
      <c r="AG970" s="809"/>
      <c r="AH970" s="809"/>
      <c r="AI970" s="809"/>
      <c r="AJ970" s="809"/>
      <c r="AK970" s="809"/>
      <c r="AL970" s="809"/>
      <c r="AM970" s="809"/>
      <c r="AN970" s="809"/>
      <c r="AO970" s="809"/>
      <c r="AP970" s="809"/>
      <c r="AQ970" s="809"/>
      <c r="AR970" s="809"/>
      <c r="AS970" s="809"/>
      <c r="AT970" s="809"/>
      <c r="AU970" s="809"/>
      <c r="AV970" s="809"/>
      <c r="AW970" s="809"/>
      <c r="AX970" s="809"/>
      <c r="AY970" s="809"/>
      <c r="AZ970" s="809"/>
      <c r="BA970" s="809"/>
      <c r="BB970" s="809"/>
      <c r="BC970" s="809"/>
      <c r="BD970" s="809"/>
      <c r="BE970" s="809"/>
      <c r="BF970" s="809"/>
      <c r="BG970" s="809"/>
      <c r="BH970" s="809"/>
      <c r="BI970" s="809"/>
      <c r="BJ970" s="809"/>
      <c r="BK970" s="809"/>
      <c r="BL970" s="809"/>
      <c r="BM970" s="809"/>
      <c r="BN970" s="809"/>
    </row>
    <row r="971" spans="1:66">
      <c r="A971" s="809"/>
      <c r="B971" s="809"/>
      <c r="C971" s="809"/>
      <c r="D971" s="809"/>
      <c r="E971" s="809"/>
      <c r="F971" s="809"/>
      <c r="G971" s="809"/>
      <c r="H971" s="809"/>
      <c r="I971" s="809"/>
      <c r="J971" s="809"/>
      <c r="K971" s="809"/>
      <c r="L971" s="809"/>
      <c r="M971" s="809"/>
      <c r="N971" s="809"/>
      <c r="O971" s="809"/>
      <c r="P971" s="809"/>
      <c r="Q971" s="809"/>
      <c r="R971" s="809"/>
      <c r="S971" s="809"/>
      <c r="T971" s="809"/>
      <c r="U971" s="809"/>
      <c r="V971" s="809"/>
      <c r="W971" s="809"/>
      <c r="X971" s="809"/>
      <c r="Y971" s="809"/>
      <c r="Z971" s="809"/>
      <c r="AA971" s="809"/>
      <c r="AB971" s="809"/>
      <c r="AC971" s="809"/>
      <c r="AD971" s="809"/>
      <c r="AE971" s="809"/>
      <c r="AF971" s="809"/>
      <c r="AG971" s="809"/>
      <c r="AH971" s="809"/>
      <c r="AI971" s="809"/>
      <c r="AJ971" s="809"/>
      <c r="AK971" s="809"/>
      <c r="AL971" s="809"/>
      <c r="AM971" s="809"/>
      <c r="AN971" s="809"/>
      <c r="AO971" s="809"/>
      <c r="AP971" s="809"/>
      <c r="AQ971" s="809"/>
      <c r="AR971" s="809"/>
      <c r="AS971" s="809"/>
      <c r="AT971" s="809"/>
      <c r="AU971" s="809"/>
      <c r="AV971" s="809"/>
      <c r="AW971" s="809"/>
      <c r="AX971" s="809"/>
      <c r="AY971" s="809"/>
      <c r="AZ971" s="809"/>
      <c r="BA971" s="809"/>
      <c r="BB971" s="809"/>
      <c r="BC971" s="809"/>
      <c r="BD971" s="809"/>
      <c r="BE971" s="809"/>
      <c r="BF971" s="809"/>
      <c r="BG971" s="809"/>
      <c r="BH971" s="809"/>
      <c r="BI971" s="809"/>
      <c r="BJ971" s="809"/>
      <c r="BK971" s="809"/>
      <c r="BL971" s="809"/>
      <c r="BM971" s="809"/>
      <c r="BN971" s="809"/>
    </row>
    <row r="972" spans="1:66">
      <c r="A972" s="809"/>
      <c r="B972" s="809"/>
      <c r="C972" s="809"/>
      <c r="D972" s="809"/>
      <c r="E972" s="809"/>
      <c r="F972" s="809"/>
      <c r="G972" s="809"/>
      <c r="H972" s="809"/>
      <c r="I972" s="809"/>
      <c r="J972" s="809"/>
      <c r="K972" s="809"/>
      <c r="L972" s="809"/>
      <c r="M972" s="809"/>
      <c r="N972" s="809"/>
      <c r="O972" s="809"/>
      <c r="P972" s="809"/>
      <c r="Q972" s="809"/>
      <c r="R972" s="809"/>
      <c r="S972" s="809"/>
      <c r="T972" s="809"/>
      <c r="U972" s="809"/>
      <c r="V972" s="809"/>
      <c r="W972" s="809"/>
      <c r="X972" s="809"/>
      <c r="Y972" s="809"/>
      <c r="Z972" s="809"/>
      <c r="AA972" s="809"/>
      <c r="AB972" s="809"/>
      <c r="AC972" s="809"/>
      <c r="AD972" s="809"/>
      <c r="AE972" s="809"/>
      <c r="AF972" s="809"/>
      <c r="AG972" s="809"/>
      <c r="AH972" s="809"/>
      <c r="AI972" s="809"/>
      <c r="AJ972" s="809"/>
      <c r="AK972" s="809"/>
      <c r="AL972" s="809"/>
      <c r="AM972" s="809"/>
      <c r="AN972" s="809"/>
      <c r="AO972" s="809"/>
      <c r="AP972" s="809"/>
      <c r="AQ972" s="809"/>
      <c r="AR972" s="809"/>
      <c r="AS972" s="809"/>
      <c r="AT972" s="809"/>
      <c r="AU972" s="809"/>
      <c r="AV972" s="809"/>
      <c r="AW972" s="809"/>
      <c r="AX972" s="809"/>
      <c r="AY972" s="809"/>
      <c r="AZ972" s="809"/>
      <c r="BA972" s="809"/>
      <c r="BB972" s="809"/>
      <c r="BC972" s="809"/>
      <c r="BD972" s="809"/>
      <c r="BE972" s="809"/>
      <c r="BF972" s="809"/>
      <c r="BG972" s="809"/>
      <c r="BH972" s="809"/>
      <c r="BI972" s="809"/>
      <c r="BJ972" s="809"/>
      <c r="BK972" s="809"/>
      <c r="BL972" s="809"/>
      <c r="BM972" s="809"/>
      <c r="BN972" s="809"/>
    </row>
    <row r="973" spans="1:66">
      <c r="A973" s="809"/>
      <c r="B973" s="809"/>
      <c r="C973" s="809"/>
      <c r="D973" s="809"/>
      <c r="E973" s="809"/>
      <c r="F973" s="809"/>
      <c r="G973" s="809"/>
      <c r="H973" s="809"/>
      <c r="I973" s="809"/>
      <c r="J973" s="809"/>
      <c r="K973" s="809"/>
      <c r="L973" s="809"/>
      <c r="M973" s="809"/>
      <c r="N973" s="809"/>
      <c r="O973" s="809"/>
      <c r="P973" s="809"/>
      <c r="Q973" s="809"/>
      <c r="R973" s="809"/>
      <c r="S973" s="809"/>
      <c r="T973" s="809"/>
      <c r="U973" s="809"/>
      <c r="V973" s="809"/>
      <c r="W973" s="809"/>
      <c r="X973" s="809"/>
      <c r="Y973" s="809"/>
      <c r="Z973" s="809"/>
      <c r="AA973" s="809"/>
      <c r="AB973" s="809"/>
      <c r="AC973" s="809"/>
      <c r="AD973" s="809"/>
      <c r="AE973" s="809"/>
      <c r="AF973" s="809"/>
      <c r="AG973" s="809"/>
      <c r="AH973" s="809"/>
      <c r="AI973" s="809"/>
      <c r="AJ973" s="809"/>
      <c r="AK973" s="809"/>
      <c r="AL973" s="809"/>
      <c r="AM973" s="809"/>
      <c r="AN973" s="809"/>
      <c r="AO973" s="809"/>
      <c r="AP973" s="809"/>
      <c r="AQ973" s="809"/>
      <c r="AR973" s="809"/>
      <c r="AS973" s="809"/>
      <c r="AT973" s="809"/>
      <c r="AU973" s="809"/>
      <c r="AV973" s="809"/>
      <c r="AW973" s="809"/>
      <c r="AX973" s="809"/>
      <c r="AY973" s="809"/>
      <c r="AZ973" s="809"/>
      <c r="BA973" s="809"/>
      <c r="BB973" s="809"/>
      <c r="BC973" s="809"/>
      <c r="BD973" s="809"/>
      <c r="BE973" s="809"/>
      <c r="BF973" s="809"/>
      <c r="BG973" s="809"/>
      <c r="BH973" s="809"/>
      <c r="BI973" s="809"/>
      <c r="BJ973" s="809"/>
      <c r="BK973" s="809"/>
      <c r="BL973" s="809"/>
      <c r="BM973" s="809"/>
      <c r="BN973" s="809"/>
    </row>
    <row r="974" spans="1:66">
      <c r="A974" s="809"/>
      <c r="B974" s="809"/>
      <c r="C974" s="809"/>
      <c r="D974" s="809"/>
      <c r="E974" s="809"/>
      <c r="F974" s="809"/>
      <c r="G974" s="809"/>
      <c r="H974" s="809"/>
      <c r="I974" s="809"/>
      <c r="J974" s="809"/>
      <c r="K974" s="809"/>
      <c r="L974" s="809"/>
      <c r="M974" s="809"/>
      <c r="N974" s="809"/>
      <c r="O974" s="809"/>
      <c r="P974" s="809"/>
      <c r="Q974" s="809"/>
      <c r="R974" s="809"/>
      <c r="S974" s="809"/>
      <c r="T974" s="809"/>
      <c r="U974" s="809"/>
      <c r="V974" s="809"/>
      <c r="W974" s="809"/>
      <c r="X974" s="809"/>
      <c r="Y974" s="809"/>
      <c r="Z974" s="809"/>
      <c r="AA974" s="809"/>
      <c r="AB974" s="809"/>
      <c r="AC974" s="809"/>
      <c r="AD974" s="809"/>
      <c r="AE974" s="809"/>
      <c r="AF974" s="809"/>
      <c r="AG974" s="809"/>
      <c r="AH974" s="809"/>
      <c r="AI974" s="809"/>
      <c r="AJ974" s="809"/>
      <c r="AK974" s="809"/>
      <c r="AL974" s="809"/>
      <c r="AM974" s="809"/>
      <c r="AN974" s="809"/>
      <c r="AO974" s="809"/>
      <c r="AP974" s="809"/>
      <c r="AQ974" s="809"/>
      <c r="AR974" s="809"/>
      <c r="AS974" s="809"/>
      <c r="AT974" s="809"/>
      <c r="AU974" s="809"/>
      <c r="AV974" s="809"/>
      <c r="AW974" s="809"/>
      <c r="AX974" s="809"/>
      <c r="AY974" s="809"/>
      <c r="AZ974" s="809"/>
      <c r="BA974" s="809"/>
      <c r="BB974" s="809"/>
      <c r="BC974" s="809"/>
      <c r="BD974" s="809"/>
      <c r="BE974" s="809"/>
      <c r="BF974" s="809"/>
      <c r="BG974" s="809"/>
      <c r="BH974" s="809"/>
      <c r="BI974" s="809"/>
      <c r="BJ974" s="809"/>
      <c r="BK974" s="809"/>
      <c r="BL974" s="809"/>
      <c r="BM974" s="809"/>
      <c r="BN974" s="809"/>
    </row>
    <row r="975" spans="1:66">
      <c r="A975" s="809"/>
      <c r="B975" s="809"/>
      <c r="C975" s="809"/>
      <c r="D975" s="809"/>
      <c r="E975" s="809"/>
      <c r="F975" s="809"/>
      <c r="G975" s="809"/>
      <c r="H975" s="809"/>
      <c r="I975" s="809"/>
      <c r="J975" s="809"/>
      <c r="K975" s="809"/>
      <c r="L975" s="809"/>
      <c r="M975" s="809"/>
      <c r="N975" s="809"/>
      <c r="O975" s="809"/>
      <c r="P975" s="809"/>
      <c r="Q975" s="809"/>
      <c r="R975" s="809"/>
      <c r="S975" s="809"/>
      <c r="T975" s="809"/>
      <c r="U975" s="809"/>
      <c r="V975" s="809"/>
      <c r="W975" s="809"/>
      <c r="X975" s="809"/>
      <c r="Y975" s="809"/>
      <c r="Z975" s="809"/>
      <c r="AA975" s="809"/>
      <c r="AB975" s="809"/>
      <c r="AC975" s="809"/>
      <c r="AD975" s="809"/>
      <c r="AE975" s="809"/>
      <c r="AF975" s="809"/>
      <c r="AG975" s="809"/>
      <c r="AH975" s="809"/>
      <c r="AI975" s="809"/>
      <c r="AJ975" s="809"/>
      <c r="AK975" s="809"/>
      <c r="AL975" s="809"/>
      <c r="AM975" s="809"/>
      <c r="AN975" s="809"/>
      <c r="AO975" s="809"/>
      <c r="AP975" s="809"/>
      <c r="AQ975" s="809"/>
      <c r="AR975" s="809"/>
      <c r="AS975" s="809"/>
      <c r="AT975" s="809"/>
      <c r="AU975" s="809"/>
      <c r="AV975" s="809"/>
      <c r="AW975" s="809"/>
      <c r="AX975" s="809"/>
      <c r="AY975" s="809"/>
      <c r="AZ975" s="809"/>
      <c r="BA975" s="809"/>
      <c r="BB975" s="809"/>
      <c r="BC975" s="809"/>
      <c r="BD975" s="809"/>
      <c r="BE975" s="809"/>
      <c r="BF975" s="809"/>
      <c r="BG975" s="809"/>
      <c r="BH975" s="809"/>
      <c r="BI975" s="809"/>
      <c r="BJ975" s="809"/>
      <c r="BK975" s="809"/>
      <c r="BL975" s="809"/>
      <c r="BM975" s="809"/>
      <c r="BN975" s="809"/>
    </row>
    <row r="976" spans="1:66">
      <c r="A976" s="809"/>
      <c r="B976" s="809"/>
      <c r="C976" s="809"/>
      <c r="D976" s="809"/>
      <c r="E976" s="809"/>
      <c r="F976" s="809"/>
      <c r="G976" s="809"/>
      <c r="H976" s="809"/>
      <c r="I976" s="809"/>
      <c r="J976" s="809"/>
      <c r="K976" s="809"/>
      <c r="L976" s="809"/>
      <c r="M976" s="809"/>
      <c r="N976" s="809"/>
      <c r="O976" s="809"/>
      <c r="P976" s="809"/>
      <c r="Q976" s="809"/>
      <c r="R976" s="809"/>
      <c r="S976" s="809"/>
      <c r="T976" s="809"/>
      <c r="U976" s="809"/>
      <c r="V976" s="809"/>
      <c r="W976" s="809"/>
      <c r="X976" s="809"/>
      <c r="Y976" s="809"/>
      <c r="Z976" s="809"/>
      <c r="AA976" s="809"/>
      <c r="AB976" s="809"/>
      <c r="AC976" s="809"/>
      <c r="AD976" s="809"/>
      <c r="AE976" s="809"/>
      <c r="AF976" s="809"/>
      <c r="AG976" s="809"/>
      <c r="AH976" s="809"/>
      <c r="AI976" s="809"/>
      <c r="AJ976" s="809"/>
      <c r="AK976" s="809"/>
      <c r="AL976" s="809"/>
      <c r="AM976" s="809"/>
      <c r="AN976" s="809"/>
      <c r="AO976" s="809"/>
      <c r="AP976" s="809"/>
      <c r="AQ976" s="809"/>
      <c r="AR976" s="809"/>
      <c r="AS976" s="809"/>
      <c r="AT976" s="809"/>
      <c r="AU976" s="809"/>
      <c r="AV976" s="809"/>
      <c r="AW976" s="809"/>
      <c r="AX976" s="809"/>
      <c r="AY976" s="809"/>
      <c r="AZ976" s="809"/>
      <c r="BA976" s="809"/>
      <c r="BB976" s="809"/>
      <c r="BC976" s="809"/>
      <c r="BD976" s="809"/>
      <c r="BE976" s="809"/>
      <c r="BF976" s="809"/>
      <c r="BG976" s="809"/>
      <c r="BH976" s="809"/>
      <c r="BI976" s="809"/>
      <c r="BJ976" s="809"/>
      <c r="BK976" s="809"/>
      <c r="BL976" s="809"/>
      <c r="BM976" s="809"/>
      <c r="BN976" s="809"/>
    </row>
    <row r="977" spans="1:66">
      <c r="A977" s="809"/>
      <c r="B977" s="809"/>
      <c r="C977" s="809"/>
      <c r="D977" s="809"/>
      <c r="E977" s="809"/>
      <c r="F977" s="809"/>
      <c r="G977" s="809"/>
      <c r="H977" s="809"/>
      <c r="I977" s="809"/>
      <c r="J977" s="809"/>
      <c r="K977" s="809"/>
      <c r="L977" s="809"/>
      <c r="M977" s="809"/>
      <c r="N977" s="809"/>
      <c r="O977" s="809"/>
      <c r="P977" s="809"/>
      <c r="Q977" s="809"/>
      <c r="R977" s="809"/>
      <c r="S977" s="809"/>
      <c r="T977" s="809"/>
      <c r="U977" s="809"/>
      <c r="V977" s="809"/>
      <c r="W977" s="809"/>
      <c r="X977" s="809"/>
      <c r="Y977" s="809"/>
      <c r="Z977" s="809"/>
      <c r="AA977" s="809"/>
      <c r="AB977" s="809"/>
      <c r="AC977" s="809"/>
      <c r="AD977" s="809"/>
      <c r="AE977" s="809"/>
      <c r="AF977" s="809"/>
      <c r="AG977" s="809"/>
      <c r="AH977" s="809"/>
      <c r="AI977" s="809"/>
      <c r="AJ977" s="809"/>
      <c r="AK977" s="809"/>
      <c r="AL977" s="809"/>
      <c r="AM977" s="809"/>
      <c r="AN977" s="809"/>
      <c r="AO977" s="809"/>
      <c r="AP977" s="809"/>
      <c r="AQ977" s="809"/>
      <c r="AR977" s="809"/>
      <c r="AS977" s="809"/>
      <c r="AT977" s="809"/>
      <c r="AU977" s="809"/>
      <c r="AV977" s="809"/>
      <c r="AW977" s="809"/>
      <c r="AX977" s="809"/>
      <c r="AY977" s="809"/>
      <c r="AZ977" s="809"/>
      <c r="BA977" s="809"/>
      <c r="BB977" s="809"/>
      <c r="BC977" s="809"/>
      <c r="BD977" s="809"/>
      <c r="BE977" s="809"/>
      <c r="BF977" s="809"/>
      <c r="BG977" s="809"/>
      <c r="BH977" s="809"/>
      <c r="BI977" s="809"/>
      <c r="BJ977" s="809"/>
      <c r="BK977" s="809"/>
      <c r="BL977" s="809"/>
      <c r="BM977" s="809"/>
      <c r="BN977" s="809"/>
    </row>
    <row r="978" spans="1:66">
      <c r="A978" s="809"/>
      <c r="B978" s="809"/>
      <c r="C978" s="809"/>
      <c r="D978" s="809"/>
      <c r="E978" s="809"/>
      <c r="F978" s="809"/>
      <c r="G978" s="809"/>
      <c r="H978" s="809"/>
      <c r="I978" s="809"/>
      <c r="J978" s="809"/>
      <c r="K978" s="809"/>
      <c r="L978" s="809"/>
      <c r="M978" s="809"/>
      <c r="N978" s="809"/>
      <c r="O978" s="809"/>
      <c r="P978" s="809"/>
      <c r="Q978" s="809"/>
      <c r="R978" s="809"/>
      <c r="S978" s="809"/>
      <c r="T978" s="809"/>
      <c r="U978" s="809"/>
      <c r="V978" s="809"/>
      <c r="W978" s="809"/>
      <c r="X978" s="809"/>
      <c r="Y978" s="809"/>
      <c r="Z978" s="809"/>
      <c r="AA978" s="809"/>
      <c r="AB978" s="809"/>
      <c r="AC978" s="809"/>
      <c r="AD978" s="809"/>
      <c r="AE978" s="809"/>
      <c r="AF978" s="809"/>
      <c r="AG978" s="809"/>
      <c r="AH978" s="809"/>
      <c r="AI978" s="809"/>
      <c r="AJ978" s="809"/>
      <c r="AK978" s="809"/>
      <c r="AL978" s="809"/>
      <c r="AM978" s="809"/>
      <c r="AN978" s="809"/>
      <c r="AO978" s="809"/>
      <c r="AP978" s="809"/>
      <c r="AQ978" s="809"/>
      <c r="AR978" s="809"/>
      <c r="AS978" s="809"/>
      <c r="AT978" s="809"/>
      <c r="AU978" s="809"/>
      <c r="AV978" s="809"/>
      <c r="AW978" s="809"/>
      <c r="AX978" s="809"/>
      <c r="AY978" s="809"/>
      <c r="AZ978" s="809"/>
      <c r="BA978" s="809"/>
      <c r="BB978" s="809"/>
      <c r="BC978" s="809"/>
      <c r="BD978" s="809"/>
      <c r="BE978" s="809"/>
      <c r="BF978" s="809"/>
      <c r="BG978" s="809"/>
      <c r="BH978" s="809"/>
      <c r="BI978" s="809"/>
      <c r="BJ978" s="809"/>
      <c r="BK978" s="809"/>
      <c r="BL978" s="809"/>
      <c r="BM978" s="809"/>
      <c r="BN978" s="809"/>
    </row>
    <row r="979" spans="1:66">
      <c r="A979" s="809"/>
      <c r="B979" s="809"/>
      <c r="C979" s="809"/>
      <c r="D979" s="809"/>
      <c r="E979" s="809"/>
      <c r="F979" s="809"/>
      <c r="G979" s="809"/>
      <c r="H979" s="809"/>
      <c r="I979" s="809"/>
      <c r="J979" s="809"/>
      <c r="K979" s="809"/>
      <c r="L979" s="809"/>
      <c r="M979" s="809"/>
      <c r="N979" s="809"/>
      <c r="O979" s="809"/>
      <c r="P979" s="809"/>
      <c r="Q979" s="809"/>
      <c r="R979" s="809"/>
      <c r="S979" s="809"/>
      <c r="T979" s="809"/>
      <c r="U979" s="809"/>
      <c r="V979" s="809"/>
      <c r="W979" s="809"/>
      <c r="X979" s="809"/>
      <c r="Y979" s="809"/>
      <c r="Z979" s="809"/>
      <c r="AA979" s="809"/>
      <c r="AB979" s="809"/>
      <c r="AC979" s="809"/>
      <c r="AD979" s="809"/>
      <c r="AE979" s="809"/>
      <c r="AF979" s="809"/>
      <c r="AG979" s="809"/>
      <c r="AH979" s="809"/>
      <c r="AI979" s="809"/>
      <c r="AJ979" s="809"/>
      <c r="AK979" s="809"/>
      <c r="AL979" s="809"/>
      <c r="AM979" s="809"/>
      <c r="AN979" s="809"/>
      <c r="AO979" s="809"/>
      <c r="AP979" s="809"/>
      <c r="AQ979" s="809"/>
      <c r="AR979" s="809"/>
      <c r="AS979" s="809"/>
      <c r="AT979" s="809"/>
      <c r="AU979" s="809"/>
      <c r="AV979" s="809"/>
      <c r="AW979" s="809"/>
      <c r="AX979" s="809"/>
      <c r="AY979" s="809"/>
      <c r="AZ979" s="809"/>
      <c r="BA979" s="809"/>
      <c r="BB979" s="809"/>
      <c r="BC979" s="809"/>
      <c r="BD979" s="809"/>
      <c r="BE979" s="809"/>
      <c r="BF979" s="809"/>
      <c r="BG979" s="809"/>
      <c r="BH979" s="809"/>
      <c r="BI979" s="809"/>
      <c r="BJ979" s="809"/>
      <c r="BK979" s="809"/>
      <c r="BL979" s="809"/>
      <c r="BM979" s="809"/>
      <c r="BN979" s="809"/>
    </row>
    <row r="980" spans="1:66">
      <c r="A980" s="809"/>
      <c r="B980" s="809"/>
      <c r="C980" s="809"/>
      <c r="D980" s="809"/>
      <c r="E980" s="809"/>
      <c r="F980" s="809"/>
      <c r="G980" s="809"/>
      <c r="H980" s="809"/>
      <c r="I980" s="809"/>
      <c r="J980" s="809"/>
      <c r="K980" s="809"/>
      <c r="L980" s="809"/>
      <c r="M980" s="809"/>
      <c r="N980" s="809"/>
      <c r="O980" s="809"/>
      <c r="P980" s="809"/>
      <c r="Q980" s="809"/>
      <c r="R980" s="809"/>
      <c r="S980" s="809"/>
      <c r="T980" s="809"/>
      <c r="U980" s="809"/>
      <c r="V980" s="809"/>
      <c r="W980" s="809"/>
      <c r="X980" s="809"/>
      <c r="Y980" s="809"/>
      <c r="Z980" s="809"/>
      <c r="AA980" s="809"/>
      <c r="AB980" s="809"/>
      <c r="AC980" s="809"/>
      <c r="AD980" s="809"/>
      <c r="AE980" s="809"/>
      <c r="AF980" s="809"/>
      <c r="AG980" s="809"/>
      <c r="AH980" s="809"/>
      <c r="AI980" s="809"/>
      <c r="AJ980" s="809"/>
      <c r="AK980" s="809"/>
      <c r="AL980" s="809"/>
      <c r="AM980" s="809"/>
      <c r="AN980" s="809"/>
      <c r="AO980" s="809"/>
      <c r="AP980" s="809"/>
      <c r="AQ980" s="809"/>
      <c r="AR980" s="809"/>
      <c r="AS980" s="809"/>
      <c r="AT980" s="809"/>
      <c r="AU980" s="809"/>
      <c r="AV980" s="809"/>
      <c r="AW980" s="809"/>
      <c r="AX980" s="809"/>
      <c r="AY980" s="809"/>
      <c r="AZ980" s="809"/>
      <c r="BA980" s="809"/>
      <c r="BB980" s="809"/>
      <c r="BC980" s="809"/>
      <c r="BD980" s="809"/>
      <c r="BE980" s="809"/>
      <c r="BF980" s="809"/>
      <c r="BG980" s="809"/>
      <c r="BH980" s="809"/>
      <c r="BI980" s="809"/>
      <c r="BJ980" s="809"/>
      <c r="BK980" s="809"/>
      <c r="BL980" s="809"/>
      <c r="BM980" s="809"/>
      <c r="BN980" s="809"/>
    </row>
    <row r="981" spans="1:66">
      <c r="A981" s="809"/>
      <c r="B981" s="809"/>
      <c r="C981" s="809"/>
      <c r="D981" s="809"/>
      <c r="E981" s="809"/>
      <c r="F981" s="809"/>
      <c r="G981" s="809"/>
      <c r="H981" s="809"/>
      <c r="I981" s="809"/>
      <c r="J981" s="809"/>
      <c r="K981" s="809"/>
      <c r="L981" s="809"/>
      <c r="M981" s="809"/>
      <c r="N981" s="809"/>
      <c r="O981" s="809"/>
      <c r="P981" s="809"/>
      <c r="Q981" s="809"/>
      <c r="R981" s="809"/>
      <c r="S981" s="809"/>
      <c r="T981" s="809"/>
      <c r="U981" s="809"/>
      <c r="V981" s="809"/>
      <c r="W981" s="809"/>
      <c r="X981" s="809"/>
      <c r="Y981" s="809"/>
      <c r="Z981" s="809"/>
      <c r="AA981" s="809"/>
      <c r="AB981" s="809"/>
      <c r="AC981" s="809"/>
      <c r="AD981" s="809"/>
      <c r="AE981" s="809"/>
      <c r="AF981" s="809"/>
      <c r="AG981" s="809"/>
      <c r="AH981" s="809"/>
      <c r="AI981" s="809"/>
      <c r="AJ981" s="809"/>
      <c r="AK981" s="809"/>
      <c r="AL981" s="809"/>
      <c r="AM981" s="809"/>
      <c r="AN981" s="809"/>
      <c r="AO981" s="809"/>
      <c r="AP981" s="809"/>
      <c r="AQ981" s="809"/>
      <c r="AR981" s="809"/>
      <c r="AS981" s="809"/>
      <c r="AT981" s="809"/>
      <c r="AU981" s="809"/>
      <c r="AV981" s="809"/>
      <c r="AW981" s="809"/>
      <c r="AX981" s="809"/>
      <c r="AY981" s="809"/>
      <c r="AZ981" s="809"/>
      <c r="BA981" s="809"/>
      <c r="BB981" s="809"/>
      <c r="BC981" s="809"/>
      <c r="BD981" s="809"/>
      <c r="BE981" s="809"/>
      <c r="BF981" s="809"/>
      <c r="BG981" s="809"/>
      <c r="BH981" s="809"/>
      <c r="BI981" s="809"/>
      <c r="BJ981" s="809"/>
      <c r="BK981" s="809"/>
      <c r="BL981" s="809"/>
      <c r="BM981" s="809"/>
      <c r="BN981" s="809"/>
    </row>
    <row r="982" spans="1:66">
      <c r="A982" s="809"/>
      <c r="B982" s="809"/>
      <c r="C982" s="809"/>
      <c r="D982" s="809"/>
      <c r="E982" s="809"/>
      <c r="F982" s="809"/>
      <c r="G982" s="809"/>
      <c r="H982" s="809"/>
      <c r="I982" s="809"/>
      <c r="J982" s="809"/>
      <c r="K982" s="809"/>
      <c r="L982" s="809"/>
      <c r="M982" s="809"/>
      <c r="N982" s="809"/>
      <c r="O982" s="809"/>
      <c r="P982" s="809"/>
      <c r="Q982" s="809"/>
      <c r="R982" s="809"/>
      <c r="S982" s="809"/>
      <c r="T982" s="809"/>
      <c r="U982" s="809"/>
      <c r="V982" s="809"/>
      <c r="W982" s="809"/>
      <c r="X982" s="809"/>
      <c r="Y982" s="809"/>
      <c r="Z982" s="809"/>
      <c r="AA982" s="809"/>
      <c r="AB982" s="809"/>
      <c r="AC982" s="809"/>
      <c r="AD982" s="809"/>
      <c r="AE982" s="809"/>
      <c r="AF982" s="809"/>
      <c r="AG982" s="809"/>
      <c r="AH982" s="809"/>
      <c r="AI982" s="809"/>
      <c r="AJ982" s="809"/>
      <c r="AK982" s="809"/>
      <c r="AL982" s="809"/>
      <c r="AM982" s="809"/>
      <c r="AN982" s="809"/>
      <c r="AO982" s="809"/>
      <c r="AP982" s="809"/>
      <c r="AQ982" s="809"/>
      <c r="AR982" s="809"/>
      <c r="AS982" s="809"/>
      <c r="AT982" s="809"/>
      <c r="AU982" s="809"/>
      <c r="AV982" s="809"/>
      <c r="AW982" s="809"/>
      <c r="AX982" s="809"/>
      <c r="AY982" s="809"/>
      <c r="AZ982" s="809"/>
      <c r="BA982" s="809"/>
      <c r="BB982" s="809"/>
      <c r="BC982" s="809"/>
      <c r="BD982" s="809"/>
      <c r="BE982" s="809"/>
      <c r="BF982" s="809"/>
      <c r="BG982" s="809"/>
      <c r="BH982" s="809"/>
      <c r="BI982" s="809"/>
      <c r="BJ982" s="809"/>
      <c r="BK982" s="809"/>
      <c r="BL982" s="809"/>
      <c r="BM982" s="809"/>
      <c r="BN982" s="809"/>
    </row>
    <row r="983" spans="1:66">
      <c r="A983" s="809"/>
      <c r="B983" s="809"/>
      <c r="C983" s="809"/>
      <c r="D983" s="809"/>
      <c r="E983" s="809"/>
      <c r="F983" s="809"/>
      <c r="G983" s="809"/>
      <c r="H983" s="809"/>
      <c r="I983" s="809"/>
      <c r="J983" s="809"/>
      <c r="K983" s="809"/>
      <c r="L983" s="809"/>
      <c r="M983" s="809"/>
      <c r="N983" s="809"/>
      <c r="O983" s="809"/>
      <c r="P983" s="809"/>
      <c r="Q983" s="809"/>
      <c r="R983" s="809"/>
      <c r="S983" s="809"/>
      <c r="T983" s="809"/>
      <c r="U983" s="809"/>
      <c r="V983" s="809"/>
      <c r="W983" s="809"/>
      <c r="X983" s="809"/>
      <c r="Y983" s="809"/>
      <c r="Z983" s="809"/>
      <c r="AA983" s="809"/>
      <c r="AB983" s="809"/>
      <c r="AC983" s="809"/>
      <c r="AD983" s="809"/>
      <c r="AE983" s="809"/>
      <c r="AF983" s="809"/>
      <c r="AG983" s="809"/>
      <c r="AH983" s="809"/>
      <c r="AI983" s="809"/>
      <c r="AJ983" s="809"/>
      <c r="AK983" s="809"/>
      <c r="AL983" s="809"/>
      <c r="AM983" s="809"/>
      <c r="AN983" s="809"/>
      <c r="AO983" s="809"/>
      <c r="AP983" s="809"/>
      <c r="AQ983" s="809"/>
      <c r="AR983" s="809"/>
      <c r="AS983" s="809"/>
      <c r="AT983" s="809"/>
      <c r="AU983" s="809"/>
      <c r="AV983" s="809"/>
      <c r="AW983" s="809"/>
      <c r="AX983" s="809"/>
      <c r="AY983" s="809"/>
      <c r="AZ983" s="809"/>
      <c r="BA983" s="809"/>
      <c r="BB983" s="809"/>
      <c r="BC983" s="809"/>
      <c r="BD983" s="809"/>
      <c r="BE983" s="809"/>
      <c r="BF983" s="809"/>
      <c r="BG983" s="809"/>
      <c r="BH983" s="809"/>
      <c r="BI983" s="809"/>
      <c r="BJ983" s="809"/>
      <c r="BK983" s="809"/>
      <c r="BL983" s="809"/>
      <c r="BM983" s="809"/>
      <c r="BN983" s="809"/>
    </row>
    <row r="984" spans="1:66">
      <c r="A984" s="809"/>
      <c r="B984" s="809"/>
      <c r="C984" s="809"/>
      <c r="D984" s="809"/>
      <c r="E984" s="809"/>
      <c r="F984" s="809"/>
      <c r="G984" s="809"/>
      <c r="H984" s="809"/>
      <c r="I984" s="809"/>
      <c r="J984" s="809"/>
      <c r="K984" s="809"/>
      <c r="L984" s="809"/>
      <c r="M984" s="809"/>
      <c r="N984" s="809"/>
      <c r="O984" s="809"/>
      <c r="P984" s="809"/>
      <c r="Q984" s="809"/>
      <c r="R984" s="809"/>
      <c r="S984" s="809"/>
      <c r="T984" s="809"/>
      <c r="U984" s="809"/>
      <c r="V984" s="809"/>
      <c r="W984" s="809"/>
      <c r="X984" s="809"/>
      <c r="Y984" s="809"/>
      <c r="Z984" s="809"/>
      <c r="AA984" s="809"/>
      <c r="AB984" s="809"/>
      <c r="AC984" s="809"/>
      <c r="AD984" s="809"/>
      <c r="AE984" s="809"/>
      <c r="AF984" s="809"/>
      <c r="AG984" s="809"/>
      <c r="AH984" s="809"/>
      <c r="AI984" s="809"/>
      <c r="AJ984" s="809"/>
      <c r="AK984" s="809"/>
      <c r="AL984" s="809"/>
      <c r="AM984" s="809"/>
      <c r="AN984" s="809"/>
      <c r="AO984" s="809"/>
      <c r="AP984" s="809"/>
      <c r="AQ984" s="809"/>
      <c r="AR984" s="809"/>
      <c r="AS984" s="809"/>
      <c r="AT984" s="809"/>
      <c r="AU984" s="809"/>
      <c r="AV984" s="809"/>
      <c r="AW984" s="809"/>
      <c r="AX984" s="809"/>
      <c r="AY984" s="809"/>
      <c r="AZ984" s="809"/>
      <c r="BA984" s="809"/>
      <c r="BB984" s="809"/>
      <c r="BC984" s="809"/>
      <c r="BD984" s="809"/>
      <c r="BE984" s="809"/>
      <c r="BF984" s="809"/>
      <c r="BG984" s="809"/>
      <c r="BH984" s="809"/>
      <c r="BI984" s="809"/>
      <c r="BJ984" s="809"/>
      <c r="BK984" s="809"/>
      <c r="BL984" s="809"/>
      <c r="BM984" s="809"/>
      <c r="BN984" s="809"/>
    </row>
    <row r="985" spans="1:66">
      <c r="A985" s="809"/>
      <c r="B985" s="809"/>
      <c r="C985" s="809"/>
      <c r="D985" s="809"/>
      <c r="E985" s="809"/>
      <c r="F985" s="809"/>
      <c r="G985" s="809"/>
      <c r="H985" s="809"/>
      <c r="I985" s="809"/>
      <c r="J985" s="809"/>
      <c r="K985" s="809"/>
      <c r="L985" s="809"/>
      <c r="M985" s="809"/>
      <c r="N985" s="809"/>
      <c r="O985" s="809"/>
      <c r="P985" s="809"/>
      <c r="Q985" s="809"/>
      <c r="R985" s="809"/>
      <c r="S985" s="809"/>
      <c r="T985" s="809"/>
      <c r="U985" s="809"/>
      <c r="V985" s="809"/>
      <c r="W985" s="809"/>
      <c r="X985" s="809"/>
      <c r="Y985" s="809"/>
      <c r="Z985" s="809"/>
      <c r="AA985" s="809"/>
      <c r="AB985" s="809"/>
      <c r="AC985" s="809"/>
      <c r="AD985" s="809"/>
      <c r="AE985" s="809"/>
      <c r="AF985" s="809"/>
      <c r="AG985" s="809"/>
      <c r="AH985" s="809"/>
      <c r="AI985" s="809"/>
      <c r="AJ985" s="809"/>
      <c r="AK985" s="809"/>
      <c r="AL985" s="809"/>
      <c r="AM985" s="809"/>
      <c r="AN985" s="809"/>
      <c r="AO985" s="809"/>
      <c r="AP985" s="809"/>
      <c r="AQ985" s="809"/>
      <c r="AR985" s="809"/>
      <c r="AS985" s="809"/>
      <c r="AT985" s="809"/>
      <c r="AU985" s="809"/>
      <c r="AV985" s="809"/>
      <c r="AW985" s="809"/>
      <c r="AX985" s="809"/>
      <c r="AY985" s="809"/>
      <c r="AZ985" s="809"/>
      <c r="BA985" s="809"/>
      <c r="BB985" s="809"/>
      <c r="BC985" s="809"/>
      <c r="BD985" s="809"/>
      <c r="BE985" s="809"/>
      <c r="BF985" s="809"/>
      <c r="BG985" s="809"/>
      <c r="BH985" s="809"/>
      <c r="BI985" s="809"/>
      <c r="BJ985" s="809"/>
      <c r="BK985" s="809"/>
      <c r="BL985" s="809"/>
      <c r="BM985" s="809"/>
      <c r="BN985" s="809"/>
    </row>
    <row r="986" spans="1:66">
      <c r="A986" s="809"/>
      <c r="B986" s="809"/>
      <c r="C986" s="809"/>
      <c r="D986" s="809"/>
      <c r="E986" s="809"/>
      <c r="F986" s="809"/>
      <c r="G986" s="809"/>
      <c r="H986" s="809"/>
      <c r="I986" s="809"/>
      <c r="J986" s="809"/>
      <c r="K986" s="809"/>
      <c r="L986" s="809"/>
      <c r="M986" s="809"/>
      <c r="N986" s="809"/>
      <c r="O986" s="809"/>
      <c r="P986" s="809"/>
      <c r="Q986" s="809"/>
      <c r="R986" s="809"/>
      <c r="S986" s="809"/>
      <c r="T986" s="809"/>
      <c r="U986" s="809"/>
      <c r="V986" s="809"/>
      <c r="W986" s="809"/>
      <c r="X986" s="809"/>
      <c r="Y986" s="809"/>
      <c r="Z986" s="809"/>
      <c r="AA986" s="809"/>
      <c r="AB986" s="809"/>
      <c r="AC986" s="809"/>
      <c r="AD986" s="809"/>
      <c r="AE986" s="809"/>
      <c r="AF986" s="809"/>
      <c r="AG986" s="809"/>
      <c r="AH986" s="809"/>
      <c r="AI986" s="809"/>
      <c r="AJ986" s="809"/>
      <c r="AK986" s="809"/>
      <c r="AL986" s="809"/>
      <c r="AM986" s="809"/>
      <c r="AN986" s="809"/>
      <c r="AO986" s="809"/>
      <c r="AP986" s="809"/>
      <c r="AQ986" s="809"/>
      <c r="AR986" s="809"/>
      <c r="AS986" s="809"/>
      <c r="AT986" s="809"/>
      <c r="AU986" s="809"/>
      <c r="AV986" s="809"/>
      <c r="AW986" s="809"/>
      <c r="AX986" s="809"/>
      <c r="AY986" s="809"/>
      <c r="AZ986" s="809"/>
      <c r="BA986" s="809"/>
      <c r="BB986" s="809"/>
      <c r="BC986" s="809"/>
      <c r="BD986" s="809"/>
      <c r="BE986" s="809"/>
      <c r="BF986" s="809"/>
      <c r="BG986" s="809"/>
      <c r="BH986" s="809"/>
      <c r="BI986" s="809"/>
      <c r="BJ986" s="809"/>
      <c r="BK986" s="809"/>
      <c r="BL986" s="809"/>
      <c r="BM986" s="809"/>
      <c r="BN986" s="809"/>
    </row>
    <row r="987" spans="1:66">
      <c r="A987" s="809"/>
      <c r="B987" s="809"/>
      <c r="C987" s="809"/>
      <c r="D987" s="809"/>
      <c r="E987" s="809"/>
      <c r="F987" s="809"/>
      <c r="G987" s="809"/>
      <c r="H987" s="809"/>
      <c r="I987" s="809"/>
      <c r="J987" s="809"/>
      <c r="K987" s="809"/>
      <c r="L987" s="809"/>
      <c r="M987" s="809"/>
      <c r="N987" s="809"/>
      <c r="O987" s="809"/>
      <c r="P987" s="809"/>
      <c r="Q987" s="809"/>
      <c r="R987" s="809"/>
      <c r="S987" s="809"/>
      <c r="T987" s="809"/>
      <c r="U987" s="809"/>
      <c r="V987" s="809"/>
      <c r="W987" s="809"/>
      <c r="X987" s="809"/>
      <c r="Y987" s="809"/>
      <c r="Z987" s="809"/>
      <c r="AA987" s="809"/>
      <c r="AB987" s="809"/>
      <c r="AC987" s="809"/>
      <c r="AD987" s="809"/>
      <c r="AE987" s="809"/>
      <c r="AF987" s="809"/>
      <c r="AG987" s="809"/>
      <c r="AH987" s="809"/>
      <c r="AI987" s="809"/>
      <c r="AJ987" s="809"/>
      <c r="AK987" s="809"/>
      <c r="AL987" s="809"/>
      <c r="AM987" s="809"/>
      <c r="AN987" s="809"/>
      <c r="AO987" s="809"/>
      <c r="AP987" s="809"/>
      <c r="AQ987" s="809"/>
      <c r="AR987" s="809"/>
      <c r="AS987" s="809"/>
      <c r="AT987" s="809"/>
      <c r="AU987" s="809"/>
      <c r="AV987" s="809"/>
      <c r="AW987" s="809"/>
      <c r="AX987" s="809"/>
      <c r="AY987" s="809"/>
      <c r="AZ987" s="809"/>
      <c r="BA987" s="809"/>
      <c r="BB987" s="809"/>
      <c r="BC987" s="809"/>
      <c r="BD987" s="809"/>
      <c r="BE987" s="809"/>
      <c r="BF987" s="809"/>
      <c r="BG987" s="809"/>
      <c r="BH987" s="809"/>
      <c r="BI987" s="809"/>
      <c r="BJ987" s="809"/>
      <c r="BK987" s="809"/>
      <c r="BL987" s="809"/>
      <c r="BM987" s="809"/>
      <c r="BN987" s="809"/>
    </row>
    <row r="988" spans="1:66">
      <c r="A988" s="809"/>
      <c r="B988" s="809"/>
      <c r="C988" s="809"/>
      <c r="D988" s="809"/>
      <c r="E988" s="809"/>
      <c r="F988" s="809"/>
      <c r="G988" s="809"/>
      <c r="H988" s="809"/>
      <c r="I988" s="809"/>
      <c r="J988" s="809"/>
      <c r="K988" s="809"/>
      <c r="L988" s="809"/>
      <c r="M988" s="809"/>
      <c r="N988" s="809"/>
      <c r="O988" s="809"/>
      <c r="P988" s="809"/>
      <c r="Q988" s="809"/>
      <c r="R988" s="809"/>
      <c r="S988" s="809"/>
      <c r="T988" s="809"/>
      <c r="U988" s="809"/>
      <c r="V988" s="809"/>
      <c r="W988" s="809"/>
      <c r="X988" s="809"/>
      <c r="Y988" s="809"/>
      <c r="Z988" s="809"/>
      <c r="AA988" s="809"/>
      <c r="AB988" s="809"/>
      <c r="AC988" s="809"/>
      <c r="AD988" s="809"/>
      <c r="AE988" s="809"/>
      <c r="AF988" s="809"/>
      <c r="AG988" s="809"/>
      <c r="AH988" s="809"/>
      <c r="AI988" s="809"/>
      <c r="AJ988" s="809"/>
      <c r="AK988" s="809"/>
      <c r="AL988" s="809"/>
      <c r="AM988" s="809"/>
      <c r="AN988" s="809"/>
      <c r="AO988" s="809"/>
      <c r="AP988" s="809"/>
      <c r="AQ988" s="809"/>
      <c r="AR988" s="809"/>
      <c r="AS988" s="809"/>
      <c r="AT988" s="809"/>
      <c r="AU988" s="809"/>
      <c r="AV988" s="809"/>
      <c r="AW988" s="809"/>
      <c r="AX988" s="809"/>
      <c r="AY988" s="809"/>
      <c r="AZ988" s="809"/>
      <c r="BA988" s="809"/>
      <c r="BB988" s="809"/>
      <c r="BC988" s="809"/>
      <c r="BD988" s="809"/>
      <c r="BE988" s="809"/>
      <c r="BF988" s="809"/>
      <c r="BG988" s="809"/>
      <c r="BH988" s="809"/>
      <c r="BI988" s="809"/>
      <c r="BJ988" s="809"/>
      <c r="BK988" s="809"/>
      <c r="BL988" s="809"/>
      <c r="BM988" s="809"/>
      <c r="BN988" s="809"/>
    </row>
    <row r="989" spans="1:66">
      <c r="A989" s="809"/>
      <c r="B989" s="809"/>
      <c r="C989" s="809"/>
      <c r="D989" s="809"/>
      <c r="E989" s="809"/>
      <c r="F989" s="809"/>
      <c r="G989" s="809"/>
      <c r="H989" s="809"/>
      <c r="I989" s="809"/>
      <c r="J989" s="809"/>
      <c r="K989" s="809"/>
      <c r="L989" s="809"/>
      <c r="M989" s="809"/>
      <c r="N989" s="809"/>
      <c r="O989" s="809"/>
      <c r="P989" s="809"/>
      <c r="Q989" s="809"/>
      <c r="R989" s="809"/>
      <c r="S989" s="809"/>
      <c r="T989" s="809"/>
      <c r="U989" s="809"/>
      <c r="V989" s="809"/>
      <c r="W989" s="809"/>
      <c r="X989" s="809"/>
      <c r="Y989" s="809"/>
      <c r="Z989" s="809"/>
      <c r="AA989" s="809"/>
      <c r="AB989" s="809"/>
      <c r="AC989" s="809"/>
      <c r="AD989" s="809"/>
      <c r="AE989" s="809"/>
      <c r="AF989" s="809"/>
      <c r="AG989" s="809"/>
      <c r="AH989" s="809"/>
      <c r="AI989" s="809"/>
      <c r="AJ989" s="809"/>
      <c r="AK989" s="809"/>
      <c r="AL989" s="809"/>
      <c r="AM989" s="809"/>
      <c r="AN989" s="809"/>
      <c r="AO989" s="809"/>
      <c r="AP989" s="809"/>
      <c r="AQ989" s="809"/>
      <c r="AR989" s="809"/>
      <c r="AS989" s="809"/>
      <c r="AT989" s="809"/>
      <c r="AU989" s="809"/>
      <c r="AV989" s="809"/>
      <c r="AW989" s="809"/>
      <c r="AX989" s="809"/>
      <c r="AY989" s="809"/>
      <c r="AZ989" s="809"/>
      <c r="BA989" s="809"/>
      <c r="BB989" s="809"/>
      <c r="BC989" s="809"/>
      <c r="BD989" s="809"/>
      <c r="BE989" s="809"/>
      <c r="BF989" s="809"/>
      <c r="BG989" s="809"/>
      <c r="BH989" s="809"/>
      <c r="BI989" s="809"/>
      <c r="BJ989" s="809"/>
      <c r="BK989" s="809"/>
      <c r="BL989" s="809"/>
      <c r="BM989" s="809"/>
      <c r="BN989" s="809"/>
    </row>
    <row r="990" spans="1:66">
      <c r="A990" s="809"/>
      <c r="B990" s="809"/>
      <c r="C990" s="809"/>
      <c r="D990" s="809"/>
      <c r="E990" s="809"/>
      <c r="F990" s="809"/>
      <c r="G990" s="809"/>
      <c r="H990" s="809"/>
      <c r="I990" s="809"/>
      <c r="J990" s="809"/>
      <c r="K990" s="809"/>
      <c r="L990" s="809"/>
      <c r="M990" s="809"/>
      <c r="N990" s="809"/>
      <c r="O990" s="809"/>
      <c r="P990" s="809"/>
      <c r="Q990" s="809"/>
      <c r="R990" s="809"/>
      <c r="S990" s="809"/>
      <c r="T990" s="809"/>
      <c r="U990" s="809"/>
      <c r="V990" s="809"/>
      <c r="W990" s="809"/>
      <c r="X990" s="809"/>
      <c r="Y990" s="809"/>
      <c r="Z990" s="809"/>
      <c r="AA990" s="809"/>
      <c r="AB990" s="809"/>
      <c r="AC990" s="809"/>
      <c r="AD990" s="809"/>
      <c r="AE990" s="809"/>
      <c r="AF990" s="809"/>
      <c r="AG990" s="809"/>
      <c r="AH990" s="809"/>
      <c r="AI990" s="809"/>
      <c r="AJ990" s="809"/>
      <c r="AK990" s="809"/>
      <c r="AL990" s="809"/>
      <c r="AM990" s="809"/>
      <c r="AN990" s="809"/>
      <c r="AO990" s="809"/>
      <c r="AP990" s="809"/>
      <c r="AQ990" s="809"/>
      <c r="AR990" s="809"/>
      <c r="AS990" s="809"/>
      <c r="AT990" s="809"/>
      <c r="AU990" s="809"/>
      <c r="AV990" s="809"/>
      <c r="AW990" s="809"/>
      <c r="AX990" s="809"/>
      <c r="AY990" s="809"/>
      <c r="AZ990" s="809"/>
      <c r="BA990" s="809"/>
      <c r="BB990" s="809"/>
      <c r="BC990" s="809"/>
      <c r="BD990" s="809"/>
      <c r="BE990" s="809"/>
      <c r="BF990" s="809"/>
      <c r="BG990" s="809"/>
      <c r="BH990" s="809"/>
      <c r="BI990" s="809"/>
      <c r="BJ990" s="809"/>
      <c r="BK990" s="809"/>
      <c r="BL990" s="809"/>
      <c r="BM990" s="809"/>
      <c r="BN990" s="809"/>
    </row>
    <row r="991" spans="1:66">
      <c r="A991" s="809"/>
      <c r="B991" s="809"/>
      <c r="C991" s="809"/>
      <c r="D991" s="809"/>
      <c r="E991" s="809"/>
      <c r="F991" s="809"/>
      <c r="G991" s="809"/>
      <c r="H991" s="809"/>
      <c r="I991" s="809"/>
      <c r="J991" s="809"/>
      <c r="K991" s="809"/>
      <c r="L991" s="809"/>
      <c r="M991" s="809"/>
      <c r="N991" s="809"/>
      <c r="O991" s="809"/>
      <c r="P991" s="809"/>
      <c r="Q991" s="809"/>
      <c r="R991" s="809"/>
      <c r="S991" s="809"/>
      <c r="T991" s="809"/>
      <c r="U991" s="809"/>
      <c r="V991" s="809"/>
      <c r="W991" s="809"/>
      <c r="X991" s="809"/>
      <c r="Y991" s="809"/>
      <c r="Z991" s="809"/>
      <c r="AA991" s="809"/>
      <c r="AB991" s="809"/>
      <c r="AC991" s="809"/>
      <c r="AD991" s="809"/>
      <c r="AE991" s="809"/>
      <c r="AF991" s="809"/>
      <c r="AG991" s="809"/>
      <c r="AH991" s="809"/>
      <c r="AI991" s="809"/>
      <c r="AJ991" s="809"/>
      <c r="AK991" s="809"/>
      <c r="AL991" s="809"/>
      <c r="AM991" s="809"/>
      <c r="AN991" s="809"/>
      <c r="AO991" s="809"/>
      <c r="AP991" s="809"/>
      <c r="AQ991" s="809"/>
      <c r="AR991" s="809"/>
      <c r="AS991" s="809"/>
      <c r="AT991" s="809"/>
      <c r="AU991" s="809"/>
      <c r="AV991" s="809"/>
      <c r="AW991" s="809"/>
      <c r="AX991" s="809"/>
      <c r="AY991" s="809"/>
      <c r="AZ991" s="809"/>
      <c r="BA991" s="809"/>
      <c r="BB991" s="809"/>
      <c r="BC991" s="809"/>
      <c r="BD991" s="809"/>
      <c r="BE991" s="809"/>
      <c r="BF991" s="809"/>
      <c r="BG991" s="809"/>
      <c r="BH991" s="809"/>
      <c r="BI991" s="809"/>
      <c r="BJ991" s="809"/>
      <c r="BK991" s="809"/>
      <c r="BL991" s="809"/>
      <c r="BM991" s="809"/>
      <c r="BN991" s="809"/>
    </row>
    <row r="992" spans="1:66">
      <c r="A992" s="809"/>
      <c r="B992" s="809"/>
      <c r="C992" s="809"/>
      <c r="D992" s="809"/>
      <c r="E992" s="809"/>
      <c r="F992" s="809"/>
      <c r="G992" s="809"/>
      <c r="H992" s="809"/>
      <c r="I992" s="809"/>
      <c r="J992" s="809"/>
      <c r="K992" s="809"/>
      <c r="L992" s="809"/>
      <c r="M992" s="809"/>
      <c r="N992" s="809"/>
      <c r="O992" s="809"/>
      <c r="P992" s="809"/>
      <c r="Q992" s="809"/>
      <c r="R992" s="809"/>
      <c r="S992" s="809"/>
      <c r="T992" s="809"/>
      <c r="U992" s="809"/>
      <c r="V992" s="809"/>
      <c r="W992" s="809"/>
      <c r="X992" s="809"/>
      <c r="Y992" s="809"/>
      <c r="Z992" s="809"/>
      <c r="AA992" s="809"/>
      <c r="AB992" s="809"/>
      <c r="AC992" s="809"/>
      <c r="AD992" s="809"/>
      <c r="AE992" s="809"/>
      <c r="AF992" s="809"/>
      <c r="AG992" s="809"/>
      <c r="AH992" s="809"/>
      <c r="AI992" s="809"/>
      <c r="AJ992" s="809"/>
      <c r="AK992" s="809"/>
      <c r="AL992" s="809"/>
      <c r="AM992" s="809"/>
      <c r="AN992" s="809"/>
      <c r="AO992" s="809"/>
      <c r="AP992" s="809"/>
      <c r="AQ992" s="809"/>
      <c r="AR992" s="809"/>
      <c r="AS992" s="809"/>
      <c r="AT992" s="809"/>
      <c r="AU992" s="809"/>
      <c r="AV992" s="809"/>
      <c r="AW992" s="809"/>
      <c r="AX992" s="809"/>
      <c r="AY992" s="809"/>
      <c r="AZ992" s="809"/>
      <c r="BA992" s="809"/>
      <c r="BB992" s="809"/>
      <c r="BC992" s="809"/>
      <c r="BD992" s="809"/>
      <c r="BE992" s="809"/>
      <c r="BF992" s="809"/>
      <c r="BG992" s="809"/>
      <c r="BH992" s="809"/>
      <c r="BI992" s="809"/>
      <c r="BJ992" s="809"/>
      <c r="BK992" s="809"/>
      <c r="BL992" s="809"/>
      <c r="BM992" s="809"/>
      <c r="BN992" s="809"/>
    </row>
    <row r="993" spans="1:66">
      <c r="A993" s="809"/>
      <c r="B993" s="809"/>
      <c r="C993" s="809"/>
      <c r="D993" s="809"/>
      <c r="E993" s="809"/>
      <c r="F993" s="809"/>
      <c r="G993" s="809"/>
      <c r="H993" s="809"/>
      <c r="I993" s="809"/>
      <c r="J993" s="809"/>
      <c r="K993" s="809"/>
      <c r="L993" s="809"/>
      <c r="M993" s="809"/>
      <c r="N993" s="809"/>
      <c r="O993" s="809"/>
      <c r="P993" s="809"/>
      <c r="Q993" s="809"/>
      <c r="R993" s="809"/>
      <c r="S993" s="809"/>
      <c r="T993" s="809"/>
      <c r="U993" s="809"/>
      <c r="V993" s="809"/>
      <c r="W993" s="809"/>
      <c r="X993" s="809"/>
      <c r="Y993" s="809"/>
      <c r="Z993" s="809"/>
      <c r="AA993" s="809"/>
      <c r="AB993" s="809"/>
      <c r="AC993" s="809"/>
      <c r="AD993" s="809"/>
      <c r="AE993" s="809"/>
      <c r="AF993" s="809"/>
      <c r="AG993" s="809"/>
      <c r="AH993" s="809"/>
      <c r="AI993" s="809"/>
      <c r="AJ993" s="809"/>
      <c r="AK993" s="809"/>
      <c r="AL993" s="809"/>
      <c r="AM993" s="809"/>
      <c r="AN993" s="809"/>
      <c r="AO993" s="809"/>
      <c r="AP993" s="809"/>
      <c r="AQ993" s="809"/>
      <c r="AR993" s="809"/>
      <c r="AS993" s="809"/>
      <c r="AT993" s="809"/>
      <c r="AU993" s="809"/>
      <c r="AV993" s="809"/>
      <c r="AW993" s="809"/>
      <c r="AX993" s="809"/>
      <c r="AY993" s="809"/>
      <c r="AZ993" s="809"/>
      <c r="BA993" s="809"/>
      <c r="BB993" s="809"/>
      <c r="BC993" s="809"/>
      <c r="BD993" s="809"/>
      <c r="BE993" s="809"/>
      <c r="BF993" s="809"/>
      <c r="BG993" s="809"/>
      <c r="BH993" s="809"/>
      <c r="BI993" s="809"/>
      <c r="BJ993" s="809"/>
      <c r="BK993" s="809"/>
      <c r="BL993" s="809"/>
      <c r="BM993" s="809"/>
      <c r="BN993" s="809"/>
    </row>
    <row r="994" spans="1:66">
      <c r="A994" s="809"/>
      <c r="B994" s="809"/>
      <c r="C994" s="809"/>
      <c r="D994" s="809"/>
      <c r="E994" s="809"/>
      <c r="F994" s="809"/>
      <c r="G994" s="809"/>
      <c r="H994" s="809"/>
      <c r="I994" s="809"/>
      <c r="J994" s="809"/>
      <c r="K994" s="809"/>
      <c r="L994" s="809"/>
      <c r="M994" s="809"/>
      <c r="N994" s="809"/>
      <c r="O994" s="809"/>
      <c r="P994" s="809"/>
      <c r="Q994" s="809"/>
      <c r="R994" s="809"/>
      <c r="S994" s="809"/>
      <c r="T994" s="809"/>
      <c r="U994" s="809"/>
      <c r="V994" s="809"/>
      <c r="W994" s="809"/>
      <c r="X994" s="809"/>
      <c r="Y994" s="809"/>
      <c r="Z994" s="809"/>
      <c r="AA994" s="809"/>
      <c r="AB994" s="809"/>
      <c r="AC994" s="809"/>
      <c r="AD994" s="809"/>
      <c r="AE994" s="809"/>
      <c r="AF994" s="809"/>
      <c r="AG994" s="809"/>
      <c r="AH994" s="809"/>
      <c r="AI994" s="809"/>
      <c r="AJ994" s="809"/>
      <c r="AK994" s="809"/>
      <c r="AL994" s="809"/>
      <c r="AM994" s="809"/>
      <c r="AN994" s="809"/>
      <c r="AO994" s="809"/>
      <c r="AP994" s="809"/>
      <c r="AQ994" s="809"/>
      <c r="AR994" s="809"/>
      <c r="AS994" s="809"/>
      <c r="AT994" s="809"/>
      <c r="AU994" s="809"/>
      <c r="AV994" s="809"/>
      <c r="AW994" s="809"/>
      <c r="AX994" s="809"/>
      <c r="AY994" s="809"/>
      <c r="AZ994" s="809"/>
      <c r="BA994" s="809"/>
      <c r="BB994" s="809"/>
      <c r="BC994" s="809"/>
      <c r="BD994" s="809"/>
      <c r="BE994" s="809"/>
      <c r="BF994" s="809"/>
      <c r="BG994" s="809"/>
      <c r="BH994" s="809"/>
      <c r="BI994" s="809"/>
      <c r="BJ994" s="809"/>
      <c r="BK994" s="809"/>
      <c r="BL994" s="809"/>
      <c r="BM994" s="809"/>
      <c r="BN994" s="809"/>
    </row>
    <row r="995" spans="1:66">
      <c r="A995" s="809"/>
      <c r="B995" s="809"/>
      <c r="C995" s="809"/>
      <c r="D995" s="809"/>
      <c r="E995" s="809"/>
      <c r="F995" s="809"/>
      <c r="G995" s="809"/>
      <c r="H995" s="809"/>
      <c r="I995" s="809"/>
      <c r="J995" s="809"/>
      <c r="K995" s="809"/>
      <c r="L995" s="809"/>
      <c r="M995" s="809"/>
      <c r="N995" s="809"/>
      <c r="O995" s="809"/>
      <c r="P995" s="809"/>
      <c r="Q995" s="809"/>
      <c r="R995" s="809"/>
      <c r="S995" s="809"/>
      <c r="T995" s="809"/>
      <c r="U995" s="809"/>
      <c r="V995" s="809"/>
      <c r="W995" s="809"/>
      <c r="X995" s="809"/>
      <c r="Y995" s="809"/>
      <c r="Z995" s="809"/>
      <c r="AA995" s="809"/>
      <c r="AB995" s="809"/>
      <c r="AC995" s="809"/>
      <c r="AD995" s="809"/>
      <c r="AE995" s="809"/>
      <c r="AF995" s="809"/>
      <c r="AG995" s="809"/>
      <c r="AH995" s="809"/>
      <c r="AI995" s="809"/>
      <c r="AJ995" s="809"/>
      <c r="AK995" s="809"/>
      <c r="AL995" s="809"/>
      <c r="AM995" s="809"/>
      <c r="AN995" s="809"/>
      <c r="AO995" s="809"/>
      <c r="AP995" s="809"/>
      <c r="AQ995" s="809"/>
      <c r="AR995" s="809"/>
      <c r="AS995" s="809"/>
      <c r="AT995" s="809"/>
      <c r="AU995" s="809"/>
      <c r="AV995" s="809"/>
      <c r="AW995" s="809"/>
      <c r="AX995" s="809"/>
      <c r="AY995" s="809"/>
      <c r="AZ995" s="809"/>
      <c r="BA995" s="809"/>
      <c r="BB995" s="809"/>
      <c r="BC995" s="809"/>
      <c r="BD995" s="809"/>
      <c r="BE995" s="809"/>
      <c r="BF995" s="809"/>
      <c r="BG995" s="809"/>
      <c r="BH995" s="809"/>
      <c r="BI995" s="809"/>
      <c r="BJ995" s="809"/>
      <c r="BK995" s="809"/>
      <c r="BL995" s="809"/>
      <c r="BM995" s="809"/>
      <c r="BN995" s="809"/>
    </row>
    <row r="996" spans="1:66">
      <c r="A996" s="809"/>
      <c r="B996" s="809"/>
      <c r="C996" s="809"/>
      <c r="D996" s="809"/>
      <c r="E996" s="809"/>
      <c r="F996" s="809"/>
      <c r="G996" s="809"/>
      <c r="H996" s="809"/>
      <c r="I996" s="809"/>
      <c r="J996" s="809"/>
      <c r="K996" s="809"/>
      <c r="L996" s="809"/>
      <c r="M996" s="809"/>
      <c r="N996" s="809"/>
      <c r="O996" s="809"/>
      <c r="P996" s="809"/>
      <c r="Q996" s="809"/>
      <c r="R996" s="809"/>
      <c r="S996" s="809"/>
      <c r="T996" s="809"/>
      <c r="U996" s="809"/>
      <c r="V996" s="809"/>
      <c r="W996" s="809"/>
      <c r="X996" s="809"/>
      <c r="Y996" s="809"/>
      <c r="Z996" s="809"/>
      <c r="AA996" s="809"/>
      <c r="AB996" s="809"/>
      <c r="AC996" s="809"/>
      <c r="AD996" s="809"/>
      <c r="AE996" s="809"/>
      <c r="AF996" s="809"/>
      <c r="AG996" s="809"/>
      <c r="AH996" s="809"/>
      <c r="AI996" s="809"/>
      <c r="AJ996" s="809"/>
      <c r="AK996" s="809"/>
      <c r="AL996" s="809"/>
      <c r="AM996" s="809"/>
      <c r="AN996" s="809"/>
      <c r="AO996" s="809"/>
      <c r="AP996" s="809"/>
      <c r="AQ996" s="809"/>
      <c r="AR996" s="809"/>
      <c r="AS996" s="809"/>
      <c r="AT996" s="809"/>
      <c r="AU996" s="809"/>
      <c r="AV996" s="809"/>
      <c r="AW996" s="809"/>
      <c r="AX996" s="809"/>
      <c r="AY996" s="809"/>
      <c r="AZ996" s="809"/>
      <c r="BA996" s="809"/>
      <c r="BB996" s="809"/>
      <c r="BC996" s="809"/>
      <c r="BD996" s="809"/>
      <c r="BE996" s="809"/>
      <c r="BF996" s="809"/>
      <c r="BG996" s="809"/>
      <c r="BH996" s="809"/>
      <c r="BI996" s="809"/>
      <c r="BJ996" s="809"/>
      <c r="BK996" s="809"/>
      <c r="BL996" s="809"/>
      <c r="BM996" s="809"/>
      <c r="BN996" s="809"/>
    </row>
    <row r="997" spans="1:66">
      <c r="A997" s="809"/>
      <c r="B997" s="809"/>
      <c r="C997" s="809"/>
      <c r="D997" s="809"/>
      <c r="E997" s="809"/>
      <c r="F997" s="809"/>
      <c r="G997" s="809"/>
      <c r="H997" s="809"/>
      <c r="I997" s="809"/>
      <c r="J997" s="809"/>
      <c r="K997" s="809"/>
      <c r="L997" s="809"/>
      <c r="M997" s="809"/>
      <c r="N997" s="809"/>
      <c r="O997" s="809"/>
      <c r="P997" s="809"/>
      <c r="Q997" s="809"/>
      <c r="R997" s="809"/>
      <c r="S997" s="809"/>
      <c r="T997" s="809"/>
      <c r="U997" s="809"/>
      <c r="V997" s="809"/>
      <c r="W997" s="809"/>
      <c r="X997" s="809"/>
      <c r="Y997" s="809"/>
      <c r="Z997" s="809"/>
      <c r="AA997" s="809"/>
      <c r="AB997" s="809"/>
      <c r="AC997" s="809"/>
      <c r="AD997" s="809"/>
      <c r="AE997" s="809"/>
      <c r="AF997" s="809"/>
      <c r="AG997" s="809"/>
      <c r="AH997" s="809"/>
      <c r="AI997" s="809"/>
      <c r="AJ997" s="809"/>
      <c r="AK997" s="809"/>
      <c r="AL997" s="809"/>
      <c r="AM997" s="809"/>
      <c r="AN997" s="809"/>
      <c r="AO997" s="809"/>
      <c r="AP997" s="809"/>
      <c r="AQ997" s="809"/>
      <c r="AR997" s="809"/>
      <c r="AS997" s="809"/>
      <c r="AT997" s="809"/>
      <c r="AU997" s="809"/>
      <c r="AV997" s="809"/>
      <c r="AW997" s="809"/>
      <c r="AX997" s="809"/>
      <c r="AY997" s="809"/>
      <c r="AZ997" s="809"/>
      <c r="BA997" s="809"/>
      <c r="BB997" s="809"/>
      <c r="BC997" s="809"/>
      <c r="BD997" s="809"/>
      <c r="BE997" s="809"/>
      <c r="BF997" s="809"/>
      <c r="BG997" s="809"/>
      <c r="BH997" s="809"/>
      <c r="BI997" s="809"/>
      <c r="BJ997" s="809"/>
      <c r="BK997" s="809"/>
      <c r="BL997" s="809"/>
      <c r="BM997" s="809"/>
      <c r="BN997" s="809"/>
    </row>
    <row r="998" spans="1:66">
      <c r="A998" s="809"/>
      <c r="B998" s="809"/>
      <c r="C998" s="809"/>
      <c r="D998" s="809"/>
      <c r="E998" s="809"/>
      <c r="F998" s="809"/>
      <c r="G998" s="809"/>
      <c r="H998" s="809"/>
      <c r="I998" s="809"/>
      <c r="J998" s="809"/>
      <c r="K998" s="809"/>
      <c r="L998" s="809"/>
      <c r="M998" s="809"/>
      <c r="N998" s="809"/>
      <c r="O998" s="809"/>
      <c r="P998" s="809"/>
      <c r="Q998" s="809"/>
      <c r="R998" s="809"/>
      <c r="S998" s="809"/>
      <c r="T998" s="809"/>
      <c r="U998" s="809"/>
      <c r="V998" s="809"/>
      <c r="W998" s="809"/>
      <c r="X998" s="809"/>
      <c r="Y998" s="809"/>
      <c r="Z998" s="809"/>
      <c r="AA998" s="809"/>
      <c r="AB998" s="809"/>
      <c r="AC998" s="809"/>
      <c r="AD998" s="809"/>
      <c r="AE998" s="809"/>
      <c r="AF998" s="809"/>
      <c r="AG998" s="809"/>
      <c r="AH998" s="809"/>
      <c r="AI998" s="809"/>
      <c r="AJ998" s="809"/>
      <c r="AK998" s="809"/>
      <c r="AL998" s="809"/>
      <c r="AM998" s="809"/>
      <c r="AN998" s="809"/>
      <c r="AO998" s="809"/>
      <c r="AP998" s="809"/>
      <c r="AQ998" s="809"/>
      <c r="AR998" s="809"/>
      <c r="AS998" s="809"/>
      <c r="AT998" s="809"/>
      <c r="AU998" s="809"/>
      <c r="AV998" s="809"/>
      <c r="AW998" s="809"/>
      <c r="AX998" s="809"/>
      <c r="AY998" s="809"/>
      <c r="AZ998" s="809"/>
      <c r="BA998" s="809"/>
      <c r="BB998" s="809"/>
      <c r="BC998" s="809"/>
      <c r="BD998" s="809"/>
      <c r="BE998" s="809"/>
      <c r="BF998" s="809"/>
      <c r="BG998" s="809"/>
      <c r="BH998" s="809"/>
      <c r="BI998" s="809"/>
      <c r="BJ998" s="809"/>
      <c r="BK998" s="809"/>
      <c r="BL998" s="809"/>
      <c r="BM998" s="809"/>
      <c r="BN998" s="809"/>
    </row>
    <row r="999" spans="1:66">
      <c r="A999" s="809"/>
      <c r="B999" s="809"/>
      <c r="C999" s="809"/>
      <c r="D999" s="809"/>
      <c r="E999" s="809"/>
      <c r="F999" s="809"/>
      <c r="G999" s="809"/>
      <c r="H999" s="809"/>
      <c r="I999" s="809"/>
      <c r="J999" s="809"/>
      <c r="K999" s="809"/>
      <c r="L999" s="809"/>
      <c r="M999" s="809"/>
      <c r="N999" s="809"/>
      <c r="O999" s="809"/>
      <c r="P999" s="809"/>
      <c r="Q999" s="809"/>
      <c r="R999" s="809"/>
      <c r="S999" s="809"/>
      <c r="T999" s="809"/>
      <c r="U999" s="809"/>
      <c r="V999" s="809"/>
      <c r="W999" s="809"/>
      <c r="X999" s="809"/>
      <c r="Y999" s="809"/>
      <c r="Z999" s="809"/>
      <c r="AA999" s="809"/>
      <c r="AB999" s="809"/>
      <c r="AC999" s="809"/>
      <c r="AD999" s="809"/>
      <c r="AE999" s="809"/>
      <c r="AF999" s="809"/>
      <c r="AG999" s="809"/>
      <c r="AH999" s="809"/>
      <c r="AI999" s="809"/>
      <c r="AJ999" s="809"/>
      <c r="AK999" s="809"/>
      <c r="AL999" s="809"/>
      <c r="AM999" s="809"/>
      <c r="AN999" s="809"/>
      <c r="AO999" s="809"/>
      <c r="AP999" s="809"/>
      <c r="AQ999" s="809"/>
      <c r="AR999" s="809"/>
      <c r="AS999" s="809"/>
      <c r="AT999" s="809"/>
      <c r="AU999" s="809"/>
      <c r="AV999" s="809"/>
      <c r="AW999" s="809"/>
      <c r="AX999" s="809"/>
      <c r="AY999" s="809"/>
      <c r="AZ999" s="809"/>
      <c r="BA999" s="809"/>
      <c r="BB999" s="809"/>
      <c r="BC999" s="809"/>
      <c r="BD999" s="809"/>
      <c r="BE999" s="809"/>
      <c r="BF999" s="809"/>
      <c r="BG999" s="809"/>
      <c r="BH999" s="809"/>
      <c r="BI999" s="809"/>
      <c r="BJ999" s="809"/>
      <c r="BK999" s="809"/>
      <c r="BL999" s="809"/>
      <c r="BM999" s="809"/>
      <c r="BN999" s="809"/>
    </row>
    <row r="1000" spans="1:66">
      <c r="A1000" s="809"/>
      <c r="B1000" s="809"/>
      <c r="C1000" s="809"/>
      <c r="D1000" s="809"/>
      <c r="E1000" s="809"/>
      <c r="F1000" s="809"/>
      <c r="G1000" s="809"/>
      <c r="H1000" s="809"/>
      <c r="I1000" s="809"/>
      <c r="J1000" s="809"/>
      <c r="K1000" s="809"/>
      <c r="L1000" s="809"/>
      <c r="M1000" s="809"/>
      <c r="N1000" s="809"/>
      <c r="O1000" s="809"/>
      <c r="P1000" s="809"/>
      <c r="Q1000" s="809"/>
      <c r="R1000" s="809"/>
      <c r="S1000" s="809"/>
      <c r="T1000" s="809"/>
      <c r="U1000" s="809"/>
      <c r="V1000" s="809"/>
      <c r="W1000" s="809"/>
      <c r="X1000" s="809"/>
      <c r="Y1000" s="809"/>
      <c r="Z1000" s="809"/>
      <c r="AA1000" s="809"/>
      <c r="AB1000" s="809"/>
      <c r="AC1000" s="809"/>
      <c r="AD1000" s="809"/>
      <c r="AE1000" s="809"/>
      <c r="AF1000" s="809"/>
      <c r="AG1000" s="809"/>
      <c r="AH1000" s="809"/>
      <c r="AI1000" s="809"/>
      <c r="AJ1000" s="809"/>
      <c r="AK1000" s="809"/>
      <c r="AL1000" s="809"/>
      <c r="AM1000" s="809"/>
      <c r="AN1000" s="809"/>
      <c r="AO1000" s="809"/>
      <c r="AP1000" s="809"/>
      <c r="AQ1000" s="809"/>
      <c r="AR1000" s="809"/>
      <c r="AS1000" s="809"/>
      <c r="AT1000" s="809"/>
      <c r="AU1000" s="809"/>
      <c r="AV1000" s="809"/>
      <c r="AW1000" s="809"/>
      <c r="AX1000" s="809"/>
      <c r="AY1000" s="809"/>
      <c r="AZ1000" s="809"/>
      <c r="BA1000" s="809"/>
      <c r="BB1000" s="809"/>
      <c r="BC1000" s="809"/>
      <c r="BD1000" s="809"/>
      <c r="BE1000" s="809"/>
      <c r="BF1000" s="809"/>
      <c r="BG1000" s="809"/>
      <c r="BH1000" s="809"/>
      <c r="BI1000" s="809"/>
      <c r="BJ1000" s="809"/>
      <c r="BK1000" s="809"/>
      <c r="BL1000" s="809"/>
      <c r="BM1000" s="809"/>
      <c r="BN1000" s="809"/>
    </row>
    <row r="1001" spans="1:66">
      <c r="A1001" s="809"/>
      <c r="B1001" s="809"/>
      <c r="C1001" s="809"/>
      <c r="D1001" s="809"/>
      <c r="E1001" s="809"/>
      <c r="F1001" s="809"/>
      <c r="G1001" s="809"/>
      <c r="H1001" s="809"/>
      <c r="I1001" s="809"/>
      <c r="J1001" s="809"/>
      <c r="K1001" s="809"/>
      <c r="L1001" s="809"/>
      <c r="M1001" s="809"/>
      <c r="N1001" s="809"/>
      <c r="O1001" s="809"/>
      <c r="P1001" s="809"/>
      <c r="Q1001" s="809"/>
      <c r="R1001" s="809"/>
      <c r="S1001" s="809"/>
      <c r="T1001" s="809"/>
      <c r="U1001" s="809"/>
      <c r="V1001" s="809"/>
      <c r="W1001" s="809"/>
      <c r="X1001" s="809"/>
      <c r="Y1001" s="809"/>
      <c r="Z1001" s="809"/>
      <c r="AA1001" s="809"/>
      <c r="AB1001" s="809"/>
      <c r="AC1001" s="809"/>
      <c r="AD1001" s="809"/>
      <c r="AE1001" s="809"/>
      <c r="AF1001" s="809"/>
      <c r="AG1001" s="809"/>
      <c r="AH1001" s="809"/>
      <c r="AI1001" s="809"/>
      <c r="AJ1001" s="809"/>
      <c r="AK1001" s="809"/>
      <c r="AL1001" s="809"/>
      <c r="AM1001" s="809"/>
      <c r="AN1001" s="809"/>
      <c r="AO1001" s="809"/>
      <c r="AP1001" s="809"/>
      <c r="AQ1001" s="809"/>
      <c r="AR1001" s="809"/>
      <c r="AS1001" s="809"/>
      <c r="AT1001" s="809"/>
      <c r="AU1001" s="809"/>
      <c r="AV1001" s="809"/>
      <c r="AW1001" s="809"/>
      <c r="AX1001" s="809"/>
      <c r="AY1001" s="809"/>
      <c r="AZ1001" s="809"/>
      <c r="BA1001" s="809"/>
      <c r="BB1001" s="809"/>
      <c r="BC1001" s="809"/>
      <c r="BD1001" s="809"/>
      <c r="BE1001" s="809"/>
      <c r="BF1001" s="809"/>
      <c r="BG1001" s="809"/>
      <c r="BH1001" s="809"/>
      <c r="BI1001" s="809"/>
      <c r="BJ1001" s="809"/>
      <c r="BK1001" s="809"/>
      <c r="BL1001" s="809"/>
      <c r="BM1001" s="809"/>
      <c r="BN1001" s="809"/>
    </row>
    <row r="1002" spans="1:66">
      <c r="A1002" s="809"/>
      <c r="B1002" s="809"/>
      <c r="C1002" s="809"/>
      <c r="D1002" s="809"/>
      <c r="E1002" s="809"/>
      <c r="F1002" s="809"/>
      <c r="G1002" s="809"/>
      <c r="H1002" s="809"/>
      <c r="I1002" s="809"/>
      <c r="J1002" s="809"/>
      <c r="K1002" s="809"/>
      <c r="L1002" s="809"/>
      <c r="M1002" s="809"/>
      <c r="N1002" s="809"/>
      <c r="O1002" s="809"/>
      <c r="P1002" s="809"/>
      <c r="Q1002" s="809"/>
      <c r="R1002" s="809"/>
      <c r="S1002" s="809"/>
      <c r="T1002" s="809"/>
      <c r="U1002" s="809"/>
      <c r="V1002" s="809"/>
      <c r="W1002" s="809"/>
      <c r="X1002" s="809"/>
      <c r="Y1002" s="809"/>
      <c r="Z1002" s="809"/>
      <c r="AA1002" s="809"/>
      <c r="AB1002" s="809"/>
      <c r="AC1002" s="809"/>
      <c r="AD1002" s="809"/>
      <c r="AE1002" s="809"/>
      <c r="AF1002" s="809"/>
      <c r="AG1002" s="809"/>
      <c r="AH1002" s="809"/>
      <c r="AI1002" s="809"/>
      <c r="AJ1002" s="809"/>
      <c r="AK1002" s="809"/>
      <c r="AL1002" s="809"/>
      <c r="AM1002" s="809"/>
      <c r="AN1002" s="809"/>
      <c r="AO1002" s="809"/>
      <c r="AP1002" s="809"/>
      <c r="AQ1002" s="809"/>
      <c r="AR1002" s="809"/>
      <c r="AS1002" s="809"/>
      <c r="AT1002" s="809"/>
      <c r="AU1002" s="809"/>
      <c r="AV1002" s="809"/>
      <c r="AW1002" s="809"/>
      <c r="AX1002" s="809"/>
      <c r="AY1002" s="809"/>
      <c r="AZ1002" s="809"/>
      <c r="BA1002" s="809"/>
      <c r="BB1002" s="809"/>
      <c r="BC1002" s="809"/>
      <c r="BD1002" s="809"/>
      <c r="BE1002" s="809"/>
      <c r="BF1002" s="809"/>
      <c r="BG1002" s="809"/>
      <c r="BH1002" s="809"/>
      <c r="BI1002" s="809"/>
      <c r="BJ1002" s="809"/>
      <c r="BK1002" s="809"/>
      <c r="BL1002" s="809"/>
      <c r="BM1002" s="809"/>
      <c r="BN1002" s="809"/>
    </row>
    <row r="1003" spans="1:66">
      <c r="A1003" s="809"/>
      <c r="B1003" s="809"/>
      <c r="C1003" s="809"/>
      <c r="D1003" s="809"/>
      <c r="E1003" s="809"/>
      <c r="F1003" s="809"/>
      <c r="G1003" s="809"/>
      <c r="H1003" s="809"/>
      <c r="I1003" s="809"/>
      <c r="J1003" s="809"/>
      <c r="K1003" s="809"/>
      <c r="L1003" s="809"/>
      <c r="M1003" s="809"/>
      <c r="N1003" s="809"/>
      <c r="O1003" s="809"/>
      <c r="P1003" s="809"/>
      <c r="Q1003" s="809"/>
      <c r="R1003" s="809"/>
      <c r="S1003" s="809"/>
      <c r="T1003" s="809"/>
      <c r="U1003" s="809"/>
      <c r="V1003" s="809"/>
      <c r="W1003" s="809"/>
      <c r="X1003" s="809"/>
      <c r="Y1003" s="809"/>
      <c r="Z1003" s="809"/>
      <c r="AA1003" s="809"/>
      <c r="AB1003" s="809"/>
      <c r="AC1003" s="809"/>
      <c r="AD1003" s="809"/>
      <c r="AE1003" s="809"/>
      <c r="AF1003" s="809"/>
      <c r="AG1003" s="809"/>
      <c r="AH1003" s="809"/>
      <c r="AI1003" s="809"/>
      <c r="AJ1003" s="809"/>
      <c r="AK1003" s="809"/>
      <c r="AL1003" s="809"/>
      <c r="AM1003" s="809"/>
      <c r="AN1003" s="809"/>
      <c r="AO1003" s="809"/>
      <c r="AP1003" s="809"/>
      <c r="AQ1003" s="809"/>
      <c r="AR1003" s="809"/>
      <c r="AS1003" s="809"/>
      <c r="AT1003" s="809"/>
      <c r="AU1003" s="809"/>
      <c r="AV1003" s="809"/>
      <c r="AW1003" s="809"/>
      <c r="AX1003" s="809"/>
      <c r="AY1003" s="809"/>
      <c r="AZ1003" s="809"/>
      <c r="BA1003" s="809"/>
      <c r="BB1003" s="809"/>
      <c r="BC1003" s="809"/>
      <c r="BD1003" s="809"/>
      <c r="BE1003" s="809"/>
      <c r="BF1003" s="809"/>
      <c r="BG1003" s="809"/>
      <c r="BH1003" s="809"/>
      <c r="BI1003" s="809"/>
      <c r="BJ1003" s="809"/>
      <c r="BK1003" s="809"/>
      <c r="BL1003" s="809"/>
      <c r="BM1003" s="809"/>
      <c r="BN1003" s="809"/>
    </row>
    <row r="1004" spans="1:66">
      <c r="A1004" s="809"/>
      <c r="B1004" s="809"/>
      <c r="C1004" s="809"/>
      <c r="D1004" s="809"/>
      <c r="E1004" s="809"/>
      <c r="F1004" s="809"/>
      <c r="G1004" s="809"/>
      <c r="H1004" s="809"/>
      <c r="I1004" s="809"/>
      <c r="J1004" s="809"/>
      <c r="K1004" s="809"/>
      <c r="L1004" s="809"/>
      <c r="M1004" s="809"/>
      <c r="N1004" s="809"/>
      <c r="O1004" s="809"/>
      <c r="P1004" s="809"/>
      <c r="Q1004" s="809"/>
      <c r="R1004" s="809"/>
      <c r="S1004" s="809"/>
      <c r="T1004" s="809"/>
      <c r="U1004" s="809"/>
      <c r="V1004" s="809"/>
      <c r="W1004" s="809"/>
      <c r="X1004" s="809"/>
      <c r="Y1004" s="809"/>
      <c r="Z1004" s="809"/>
      <c r="AA1004" s="809"/>
      <c r="AB1004" s="809"/>
      <c r="AC1004" s="809"/>
      <c r="AD1004" s="809"/>
      <c r="AE1004" s="809"/>
      <c r="AF1004" s="809"/>
      <c r="AG1004" s="809"/>
      <c r="AH1004" s="809"/>
      <c r="AI1004" s="809"/>
      <c r="AJ1004" s="809"/>
      <c r="AK1004" s="809"/>
      <c r="AL1004" s="809"/>
      <c r="AM1004" s="809"/>
      <c r="AN1004" s="809"/>
      <c r="AO1004" s="809"/>
      <c r="AP1004" s="809"/>
      <c r="AQ1004" s="809"/>
      <c r="AR1004" s="809"/>
      <c r="AS1004" s="809"/>
      <c r="AT1004" s="809"/>
      <c r="AU1004" s="809"/>
      <c r="AV1004" s="809"/>
      <c r="AW1004" s="809"/>
      <c r="AX1004" s="809"/>
      <c r="AY1004" s="809"/>
      <c r="AZ1004" s="809"/>
      <c r="BA1004" s="809"/>
      <c r="BB1004" s="809"/>
      <c r="BC1004" s="809"/>
      <c r="BD1004" s="809"/>
      <c r="BE1004" s="809"/>
      <c r="BF1004" s="809"/>
      <c r="BG1004" s="809"/>
      <c r="BH1004" s="809"/>
      <c r="BI1004" s="809"/>
      <c r="BJ1004" s="809"/>
      <c r="BK1004" s="809"/>
      <c r="BL1004" s="809"/>
      <c r="BM1004" s="809"/>
      <c r="BN1004" s="809"/>
    </row>
    <row r="1005" spans="1:66">
      <c r="A1005" s="809"/>
      <c r="B1005" s="809"/>
      <c r="C1005" s="809"/>
      <c r="D1005" s="809"/>
      <c r="E1005" s="809"/>
      <c r="F1005" s="809"/>
      <c r="G1005" s="809"/>
      <c r="H1005" s="809"/>
      <c r="I1005" s="809"/>
      <c r="J1005" s="809"/>
      <c r="K1005" s="809"/>
      <c r="L1005" s="809"/>
      <c r="M1005" s="809"/>
      <c r="N1005" s="809"/>
      <c r="O1005" s="809"/>
      <c r="P1005" s="809"/>
      <c r="Q1005" s="809"/>
      <c r="R1005" s="809"/>
      <c r="S1005" s="809"/>
      <c r="T1005" s="809"/>
      <c r="U1005" s="809"/>
      <c r="V1005" s="809"/>
      <c r="W1005" s="809"/>
      <c r="X1005" s="809"/>
      <c r="Y1005" s="809"/>
      <c r="Z1005" s="809"/>
      <c r="AA1005" s="809"/>
      <c r="AB1005" s="809"/>
      <c r="AC1005" s="809"/>
      <c r="AD1005" s="809"/>
      <c r="AE1005" s="809"/>
      <c r="AF1005" s="809"/>
      <c r="AG1005" s="809"/>
      <c r="AH1005" s="809"/>
      <c r="AI1005" s="809"/>
      <c r="AJ1005" s="809"/>
      <c r="AK1005" s="809"/>
      <c r="AL1005" s="809"/>
      <c r="AM1005" s="809"/>
      <c r="AN1005" s="809"/>
      <c r="AO1005" s="809"/>
      <c r="AP1005" s="809"/>
      <c r="AQ1005" s="809"/>
      <c r="AR1005" s="809"/>
      <c r="AS1005" s="809"/>
      <c r="AT1005" s="809"/>
      <c r="AU1005" s="809"/>
      <c r="AV1005" s="809"/>
      <c r="AW1005" s="809"/>
      <c r="AX1005" s="809"/>
      <c r="AY1005" s="809"/>
      <c r="AZ1005" s="809"/>
      <c r="BA1005" s="809"/>
      <c r="BB1005" s="809"/>
      <c r="BC1005" s="809"/>
      <c r="BD1005" s="809"/>
      <c r="BE1005" s="809"/>
      <c r="BF1005" s="809"/>
      <c r="BG1005" s="809"/>
      <c r="BH1005" s="809"/>
      <c r="BI1005" s="809"/>
      <c r="BJ1005" s="809"/>
      <c r="BK1005" s="809"/>
      <c r="BL1005" s="809"/>
      <c r="BM1005" s="809"/>
      <c r="BN1005" s="809"/>
    </row>
    <row r="1006" spans="1:66">
      <c r="A1006" s="809"/>
      <c r="B1006" s="809"/>
      <c r="C1006" s="809"/>
      <c r="D1006" s="809"/>
      <c r="E1006" s="809"/>
      <c r="F1006" s="809"/>
      <c r="G1006" s="809"/>
      <c r="H1006" s="809"/>
      <c r="I1006" s="809"/>
      <c r="J1006" s="809"/>
      <c r="K1006" s="809"/>
      <c r="L1006" s="809"/>
      <c r="M1006" s="809"/>
      <c r="N1006" s="809"/>
      <c r="O1006" s="809"/>
      <c r="P1006" s="809"/>
      <c r="Q1006" s="809"/>
      <c r="R1006" s="809"/>
      <c r="S1006" s="809"/>
      <c r="T1006" s="809"/>
      <c r="U1006" s="809"/>
      <c r="V1006" s="809"/>
      <c r="W1006" s="809"/>
      <c r="X1006" s="809"/>
      <c r="Y1006" s="809"/>
      <c r="Z1006" s="809"/>
      <c r="AA1006" s="809"/>
      <c r="AB1006" s="809"/>
      <c r="AC1006" s="809"/>
      <c r="AD1006" s="809"/>
      <c r="AE1006" s="809"/>
      <c r="AF1006" s="809"/>
      <c r="AG1006" s="809"/>
      <c r="AH1006" s="809"/>
      <c r="AI1006" s="809"/>
      <c r="AJ1006" s="809"/>
      <c r="AK1006" s="809"/>
      <c r="AL1006" s="809"/>
      <c r="AM1006" s="809"/>
      <c r="AN1006" s="809"/>
      <c r="AO1006" s="809"/>
      <c r="AP1006" s="809"/>
      <c r="AQ1006" s="809"/>
      <c r="AR1006" s="809"/>
      <c r="AS1006" s="809"/>
      <c r="AT1006" s="809"/>
      <c r="AU1006" s="809"/>
      <c r="AV1006" s="809"/>
      <c r="AW1006" s="809"/>
      <c r="AX1006" s="809"/>
      <c r="AY1006" s="809"/>
      <c r="AZ1006" s="809"/>
      <c r="BA1006" s="809"/>
      <c r="BB1006" s="809"/>
      <c r="BC1006" s="809"/>
      <c r="BD1006" s="809"/>
      <c r="BE1006" s="809"/>
      <c r="BF1006" s="809"/>
      <c r="BG1006" s="809"/>
      <c r="BH1006" s="809"/>
      <c r="BI1006" s="809"/>
      <c r="BJ1006" s="809"/>
      <c r="BK1006" s="809"/>
      <c r="BL1006" s="809"/>
      <c r="BM1006" s="809"/>
      <c r="BN1006" s="809"/>
    </row>
    <row r="1007" spans="1:66">
      <c r="A1007" s="809"/>
      <c r="B1007" s="809"/>
      <c r="C1007" s="809"/>
      <c r="D1007" s="809"/>
      <c r="E1007" s="809"/>
      <c r="F1007" s="809"/>
      <c r="G1007" s="809"/>
      <c r="H1007" s="809"/>
      <c r="I1007" s="809"/>
      <c r="J1007" s="809"/>
      <c r="K1007" s="809"/>
      <c r="L1007" s="809"/>
      <c r="M1007" s="809"/>
      <c r="N1007" s="809"/>
      <c r="O1007" s="809"/>
      <c r="P1007" s="809"/>
      <c r="Q1007" s="809"/>
      <c r="R1007" s="809"/>
      <c r="S1007" s="809"/>
      <c r="T1007" s="809"/>
      <c r="U1007" s="809"/>
      <c r="V1007" s="809"/>
      <c r="W1007" s="809"/>
      <c r="X1007" s="809"/>
      <c r="Y1007" s="809"/>
      <c r="Z1007" s="809"/>
      <c r="AA1007" s="809"/>
      <c r="AB1007" s="809"/>
      <c r="AC1007" s="809"/>
      <c r="AD1007" s="809"/>
      <c r="AE1007" s="809"/>
      <c r="AF1007" s="809"/>
      <c r="AG1007" s="809"/>
      <c r="AH1007" s="809"/>
      <c r="AI1007" s="809"/>
      <c r="AJ1007" s="809"/>
      <c r="AK1007" s="809"/>
      <c r="AL1007" s="809"/>
      <c r="AM1007" s="809"/>
      <c r="AN1007" s="809"/>
      <c r="AO1007" s="809"/>
      <c r="AP1007" s="809"/>
      <c r="AQ1007" s="809"/>
      <c r="AR1007" s="809"/>
      <c r="AS1007" s="809"/>
      <c r="AT1007" s="809"/>
      <c r="AU1007" s="809"/>
      <c r="AV1007" s="809"/>
      <c r="AW1007" s="809"/>
      <c r="AX1007" s="809"/>
      <c r="AY1007" s="809"/>
      <c r="AZ1007" s="809"/>
      <c r="BA1007" s="809"/>
      <c r="BB1007" s="809"/>
      <c r="BC1007" s="809"/>
      <c r="BD1007" s="809"/>
      <c r="BE1007" s="809"/>
      <c r="BF1007" s="809"/>
      <c r="BG1007" s="809"/>
      <c r="BH1007" s="809"/>
      <c r="BI1007" s="809"/>
      <c r="BJ1007" s="809"/>
      <c r="BK1007" s="809"/>
      <c r="BL1007" s="809"/>
      <c r="BM1007" s="809"/>
      <c r="BN1007" s="809"/>
    </row>
    <row r="1008" spans="1:66">
      <c r="A1008" s="809"/>
      <c r="B1008" s="809"/>
      <c r="C1008" s="809"/>
      <c r="D1008" s="809"/>
      <c r="E1008" s="809"/>
      <c r="F1008" s="809"/>
      <c r="G1008" s="809"/>
      <c r="H1008" s="809"/>
      <c r="I1008" s="809"/>
      <c r="J1008" s="809"/>
      <c r="K1008" s="809"/>
      <c r="L1008" s="809"/>
      <c r="M1008" s="809"/>
      <c r="N1008" s="809"/>
      <c r="O1008" s="809"/>
      <c r="P1008" s="809"/>
      <c r="Q1008" s="809"/>
      <c r="R1008" s="809"/>
      <c r="S1008" s="809"/>
      <c r="T1008" s="809"/>
      <c r="U1008" s="809"/>
      <c r="V1008" s="809"/>
      <c r="W1008" s="809"/>
      <c r="X1008" s="809"/>
      <c r="Y1008" s="809"/>
      <c r="Z1008" s="809"/>
      <c r="AA1008" s="809"/>
      <c r="AB1008" s="809"/>
      <c r="AC1008" s="809"/>
      <c r="AD1008" s="809"/>
      <c r="AE1008" s="809"/>
      <c r="AF1008" s="809"/>
      <c r="AG1008" s="809"/>
      <c r="AH1008" s="809"/>
      <c r="AI1008" s="809"/>
      <c r="AJ1008" s="809"/>
      <c r="AK1008" s="809"/>
      <c r="AL1008" s="809"/>
      <c r="AM1008" s="809"/>
      <c r="AN1008" s="809"/>
      <c r="AO1008" s="809"/>
      <c r="AP1008" s="809"/>
      <c r="AQ1008" s="809"/>
      <c r="AR1008" s="809"/>
      <c r="AS1008" s="809"/>
      <c r="AT1008" s="809"/>
      <c r="AU1008" s="809"/>
      <c r="AV1008" s="809"/>
      <c r="AW1008" s="809"/>
      <c r="AX1008" s="809"/>
      <c r="AY1008" s="809"/>
      <c r="AZ1008" s="809"/>
      <c r="BA1008" s="809"/>
      <c r="BB1008" s="809"/>
      <c r="BC1008" s="809"/>
      <c r="BD1008" s="809"/>
      <c r="BE1008" s="809"/>
      <c r="BF1008" s="809"/>
      <c r="BG1008" s="809"/>
      <c r="BH1008" s="809"/>
      <c r="BI1008" s="809"/>
      <c r="BJ1008" s="809"/>
      <c r="BK1008" s="809"/>
      <c r="BL1008" s="809"/>
      <c r="BM1008" s="809"/>
      <c r="BN1008" s="809"/>
    </row>
    <row r="1009" spans="1:66">
      <c r="A1009" s="809"/>
      <c r="B1009" s="809"/>
      <c r="C1009" s="809"/>
      <c r="D1009" s="809"/>
      <c r="E1009" s="809"/>
      <c r="F1009" s="809"/>
      <c r="G1009" s="809"/>
      <c r="H1009" s="809"/>
      <c r="I1009" s="809"/>
      <c r="J1009" s="809"/>
      <c r="K1009" s="809"/>
      <c r="L1009" s="809"/>
      <c r="M1009" s="809"/>
      <c r="N1009" s="809"/>
      <c r="O1009" s="809"/>
      <c r="P1009" s="809"/>
      <c r="Q1009" s="809"/>
      <c r="R1009" s="809"/>
      <c r="S1009" s="809"/>
      <c r="T1009" s="809"/>
      <c r="U1009" s="809"/>
      <c r="V1009" s="809"/>
      <c r="W1009" s="809"/>
      <c r="X1009" s="809"/>
      <c r="Y1009" s="809"/>
      <c r="Z1009" s="809"/>
      <c r="AA1009" s="809"/>
      <c r="AB1009" s="809"/>
      <c r="AC1009" s="809"/>
      <c r="AD1009" s="809"/>
      <c r="AE1009" s="809"/>
      <c r="AF1009" s="809"/>
      <c r="AG1009" s="809"/>
      <c r="AH1009" s="809"/>
      <c r="AI1009" s="809"/>
      <c r="AJ1009" s="809"/>
      <c r="AK1009" s="809"/>
      <c r="AL1009" s="809"/>
      <c r="AM1009" s="809"/>
      <c r="AN1009" s="809"/>
      <c r="AO1009" s="809"/>
      <c r="AP1009" s="809"/>
      <c r="AQ1009" s="809"/>
      <c r="AR1009" s="809"/>
      <c r="AS1009" s="809"/>
      <c r="AT1009" s="809"/>
      <c r="AU1009" s="809"/>
      <c r="AV1009" s="809"/>
      <c r="AW1009" s="809"/>
      <c r="AX1009" s="809"/>
      <c r="AY1009" s="809"/>
      <c r="AZ1009" s="809"/>
      <c r="BA1009" s="809"/>
      <c r="BB1009" s="809"/>
      <c r="BC1009" s="809"/>
      <c r="BD1009" s="809"/>
      <c r="BE1009" s="809"/>
      <c r="BF1009" s="809"/>
      <c r="BG1009" s="809"/>
      <c r="BH1009" s="809"/>
      <c r="BI1009" s="809"/>
      <c r="BJ1009" s="809"/>
      <c r="BK1009" s="809"/>
      <c r="BL1009" s="809"/>
      <c r="BM1009" s="809"/>
      <c r="BN1009" s="809"/>
    </row>
    <row r="1010" spans="1:66">
      <c r="A1010" s="809"/>
      <c r="B1010" s="809"/>
      <c r="C1010" s="809"/>
      <c r="D1010" s="809"/>
      <c r="E1010" s="809"/>
      <c r="F1010" s="809"/>
      <c r="G1010" s="809"/>
      <c r="H1010" s="809"/>
      <c r="I1010" s="809"/>
      <c r="J1010" s="809"/>
      <c r="K1010" s="809"/>
      <c r="L1010" s="809"/>
      <c r="M1010" s="809"/>
      <c r="N1010" s="809"/>
      <c r="O1010" s="809"/>
      <c r="P1010" s="809"/>
      <c r="Q1010" s="809"/>
      <c r="R1010" s="809"/>
      <c r="S1010" s="809"/>
      <c r="T1010" s="809"/>
      <c r="U1010" s="809"/>
      <c r="V1010" s="809"/>
      <c r="W1010" s="809"/>
      <c r="X1010" s="809"/>
      <c r="Y1010" s="809"/>
      <c r="Z1010" s="809"/>
      <c r="AA1010" s="809"/>
      <c r="AB1010" s="809"/>
      <c r="AC1010" s="809"/>
      <c r="AD1010" s="809"/>
      <c r="AE1010" s="809"/>
      <c r="AF1010" s="809"/>
      <c r="AG1010" s="809"/>
      <c r="AH1010" s="809"/>
      <c r="AI1010" s="809"/>
      <c r="AJ1010" s="809"/>
      <c r="AK1010" s="809"/>
      <c r="AL1010" s="809"/>
      <c r="AM1010" s="809"/>
      <c r="AN1010" s="809"/>
      <c r="AO1010" s="809"/>
      <c r="AP1010" s="809"/>
      <c r="AQ1010" s="809"/>
      <c r="AR1010" s="809"/>
      <c r="AS1010" s="809"/>
      <c r="AT1010" s="809"/>
      <c r="AU1010" s="809"/>
      <c r="AV1010" s="809"/>
      <c r="AW1010" s="809"/>
      <c r="AX1010" s="809"/>
      <c r="AY1010" s="809"/>
      <c r="AZ1010" s="809"/>
      <c r="BA1010" s="809"/>
      <c r="BB1010" s="809"/>
      <c r="BC1010" s="809"/>
      <c r="BD1010" s="809"/>
      <c r="BE1010" s="809"/>
      <c r="BF1010" s="809"/>
      <c r="BG1010" s="809"/>
      <c r="BH1010" s="809"/>
      <c r="BI1010" s="809"/>
      <c r="BJ1010" s="809"/>
      <c r="BK1010" s="809"/>
      <c r="BL1010" s="809"/>
      <c r="BM1010" s="809"/>
      <c r="BN1010" s="809"/>
    </row>
    <row r="1011" spans="1:66">
      <c r="A1011" s="809"/>
      <c r="B1011" s="809"/>
      <c r="C1011" s="809"/>
      <c r="D1011" s="809"/>
      <c r="E1011" s="809"/>
      <c r="F1011" s="809"/>
      <c r="G1011" s="809"/>
      <c r="H1011" s="809"/>
      <c r="I1011" s="809"/>
      <c r="J1011" s="809"/>
      <c r="K1011" s="809"/>
      <c r="L1011" s="809"/>
      <c r="M1011" s="809"/>
      <c r="N1011" s="809"/>
      <c r="O1011" s="809"/>
      <c r="P1011" s="809"/>
      <c r="Q1011" s="809"/>
      <c r="R1011" s="809"/>
      <c r="S1011" s="809"/>
      <c r="T1011" s="809"/>
      <c r="U1011" s="809"/>
      <c r="V1011" s="809"/>
      <c r="W1011" s="809"/>
      <c r="X1011" s="809"/>
      <c r="Y1011" s="809"/>
      <c r="Z1011" s="809"/>
      <c r="AA1011" s="809"/>
      <c r="AB1011" s="809"/>
      <c r="AC1011" s="809"/>
      <c r="AD1011" s="809"/>
      <c r="AE1011" s="809"/>
      <c r="AF1011" s="809"/>
      <c r="AG1011" s="809"/>
      <c r="AH1011" s="809"/>
      <c r="AI1011" s="809"/>
      <c r="AJ1011" s="809"/>
      <c r="AK1011" s="809"/>
      <c r="AL1011" s="809"/>
      <c r="AM1011" s="809"/>
      <c r="AN1011" s="809"/>
      <c r="AO1011" s="809"/>
      <c r="AP1011" s="809"/>
      <c r="AQ1011" s="809"/>
      <c r="AR1011" s="809"/>
      <c r="AS1011" s="809"/>
      <c r="AT1011" s="809"/>
      <c r="AU1011" s="809"/>
      <c r="AV1011" s="809"/>
      <c r="AW1011" s="809"/>
      <c r="AX1011" s="809"/>
      <c r="AY1011" s="809"/>
      <c r="AZ1011" s="809"/>
      <c r="BA1011" s="809"/>
      <c r="BB1011" s="809"/>
      <c r="BC1011" s="809"/>
      <c r="BD1011" s="809"/>
      <c r="BE1011" s="809"/>
      <c r="BF1011" s="809"/>
      <c r="BG1011" s="809"/>
      <c r="BH1011" s="809"/>
      <c r="BI1011" s="809"/>
      <c r="BJ1011" s="809"/>
      <c r="BK1011" s="809"/>
      <c r="BL1011" s="809"/>
      <c r="BM1011" s="809"/>
      <c r="BN1011" s="809"/>
    </row>
    <row r="1012" spans="1:66">
      <c r="A1012" s="809"/>
      <c r="B1012" s="809"/>
      <c r="C1012" s="809"/>
      <c r="D1012" s="809"/>
      <c r="E1012" s="809"/>
      <c r="F1012" s="809"/>
      <c r="G1012" s="809"/>
      <c r="H1012" s="809"/>
      <c r="I1012" s="809"/>
      <c r="J1012" s="809"/>
      <c r="K1012" s="809"/>
      <c r="L1012" s="809"/>
      <c r="M1012" s="809"/>
      <c r="N1012" s="809"/>
      <c r="O1012" s="809"/>
      <c r="P1012" s="809"/>
      <c r="Q1012" s="809"/>
      <c r="R1012" s="809"/>
      <c r="S1012" s="809"/>
      <c r="T1012" s="809"/>
      <c r="U1012" s="809"/>
      <c r="V1012" s="809"/>
      <c r="W1012" s="809"/>
      <c r="X1012" s="809"/>
      <c r="Y1012" s="809"/>
      <c r="Z1012" s="809"/>
      <c r="AA1012" s="809"/>
      <c r="AB1012" s="809"/>
      <c r="AC1012" s="809"/>
      <c r="AD1012" s="809"/>
      <c r="AE1012" s="809"/>
      <c r="AF1012" s="809"/>
      <c r="AG1012" s="809"/>
      <c r="AH1012" s="809"/>
      <c r="AI1012" s="809"/>
      <c r="AJ1012" s="809"/>
      <c r="AK1012" s="809"/>
      <c r="AL1012" s="809"/>
      <c r="AM1012" s="809"/>
      <c r="AN1012" s="809"/>
      <c r="AO1012" s="809"/>
      <c r="AP1012" s="809"/>
      <c r="AQ1012" s="809"/>
      <c r="AR1012" s="809"/>
      <c r="AS1012" s="809"/>
      <c r="AT1012" s="809"/>
      <c r="AU1012" s="809"/>
      <c r="AV1012" s="809"/>
      <c r="AW1012" s="809"/>
      <c r="AX1012" s="809"/>
      <c r="AY1012" s="809"/>
      <c r="AZ1012" s="809"/>
      <c r="BA1012" s="809"/>
      <c r="BB1012" s="809"/>
      <c r="BC1012" s="809"/>
      <c r="BD1012" s="809"/>
      <c r="BE1012" s="809"/>
      <c r="BF1012" s="809"/>
      <c r="BG1012" s="809"/>
      <c r="BH1012" s="809"/>
      <c r="BI1012" s="809"/>
      <c r="BJ1012" s="809"/>
      <c r="BK1012" s="809"/>
      <c r="BL1012" s="809"/>
      <c r="BM1012" s="809"/>
      <c r="BN1012" s="809"/>
    </row>
    <row r="1013" spans="1:66">
      <c r="A1013" s="809"/>
      <c r="B1013" s="809"/>
      <c r="C1013" s="809"/>
      <c r="D1013" s="809"/>
      <c r="E1013" s="809"/>
      <c r="F1013" s="809"/>
      <c r="G1013" s="809"/>
      <c r="H1013" s="809"/>
      <c r="I1013" s="809"/>
      <c r="J1013" s="809"/>
      <c r="K1013" s="809"/>
      <c r="L1013" s="809"/>
      <c r="M1013" s="809"/>
      <c r="N1013" s="809"/>
      <c r="O1013" s="809"/>
      <c r="P1013" s="809"/>
      <c r="Q1013" s="809"/>
      <c r="R1013" s="809"/>
      <c r="S1013" s="809"/>
      <c r="T1013" s="809"/>
      <c r="U1013" s="809"/>
      <c r="V1013" s="809"/>
      <c r="W1013" s="809"/>
      <c r="X1013" s="809"/>
      <c r="Y1013" s="809"/>
      <c r="Z1013" s="809"/>
      <c r="AA1013" s="809"/>
      <c r="AB1013" s="809"/>
      <c r="AC1013" s="809"/>
      <c r="AD1013" s="809"/>
      <c r="AE1013" s="809"/>
      <c r="AF1013" s="809"/>
      <c r="AG1013" s="809"/>
      <c r="AH1013" s="809"/>
      <c r="AI1013" s="809"/>
      <c r="AJ1013" s="809"/>
      <c r="AK1013" s="809"/>
      <c r="AL1013" s="809"/>
      <c r="AM1013" s="809"/>
      <c r="AN1013" s="809"/>
      <c r="AO1013" s="809"/>
      <c r="AP1013" s="809"/>
      <c r="AQ1013" s="809"/>
      <c r="AR1013" s="809"/>
      <c r="AS1013" s="809"/>
      <c r="AT1013" s="809"/>
      <c r="AU1013" s="809"/>
      <c r="AV1013" s="809"/>
      <c r="AW1013" s="809"/>
      <c r="AX1013" s="809"/>
      <c r="AY1013" s="809"/>
      <c r="AZ1013" s="809"/>
      <c r="BA1013" s="809"/>
      <c r="BB1013" s="809"/>
      <c r="BC1013" s="809"/>
      <c r="BD1013" s="809"/>
      <c r="BE1013" s="809"/>
      <c r="BF1013" s="809"/>
      <c r="BG1013" s="809"/>
      <c r="BH1013" s="809"/>
      <c r="BI1013" s="809"/>
      <c r="BJ1013" s="809"/>
      <c r="BK1013" s="809"/>
      <c r="BL1013" s="809"/>
      <c r="BM1013" s="809"/>
      <c r="BN1013" s="809"/>
    </row>
    <row r="1014" spans="1:66">
      <c r="A1014" s="809"/>
      <c r="B1014" s="809"/>
      <c r="C1014" s="809"/>
      <c r="D1014" s="809"/>
      <c r="E1014" s="809"/>
      <c r="F1014" s="809"/>
      <c r="G1014" s="809"/>
      <c r="H1014" s="809"/>
      <c r="I1014" s="809"/>
      <c r="J1014" s="809"/>
      <c r="K1014" s="809"/>
      <c r="L1014" s="809"/>
      <c r="M1014" s="809"/>
      <c r="N1014" s="809"/>
      <c r="O1014" s="809"/>
      <c r="P1014" s="809"/>
      <c r="Q1014" s="809"/>
      <c r="R1014" s="809"/>
      <c r="S1014" s="809"/>
      <c r="T1014" s="809"/>
      <c r="U1014" s="809"/>
      <c r="V1014" s="809"/>
      <c r="W1014" s="809"/>
      <c r="X1014" s="809"/>
      <c r="Y1014" s="809"/>
      <c r="Z1014" s="809"/>
      <c r="AA1014" s="809"/>
      <c r="AB1014" s="809"/>
      <c r="AC1014" s="809"/>
      <c r="AD1014" s="809"/>
      <c r="AE1014" s="809"/>
      <c r="AF1014" s="809"/>
      <c r="AG1014" s="809"/>
      <c r="AH1014" s="809"/>
      <c r="AI1014" s="809"/>
      <c r="AJ1014" s="809"/>
      <c r="AK1014" s="809"/>
      <c r="AL1014" s="809"/>
      <c r="AM1014" s="809"/>
      <c r="AN1014" s="809"/>
      <c r="AO1014" s="809"/>
      <c r="AP1014" s="809"/>
      <c r="AQ1014" s="809"/>
      <c r="AR1014" s="809"/>
      <c r="AS1014" s="809"/>
      <c r="AT1014" s="809"/>
      <c r="AU1014" s="809"/>
      <c r="AV1014" s="809"/>
      <c r="AW1014" s="809"/>
      <c r="AX1014" s="809"/>
      <c r="AY1014" s="809"/>
      <c r="AZ1014" s="809"/>
      <c r="BA1014" s="809"/>
      <c r="BB1014" s="809"/>
      <c r="BC1014" s="809"/>
      <c r="BD1014" s="809"/>
      <c r="BE1014" s="809"/>
      <c r="BF1014" s="809"/>
      <c r="BG1014" s="809"/>
      <c r="BH1014" s="809"/>
      <c r="BI1014" s="809"/>
      <c r="BJ1014" s="809"/>
      <c r="BK1014" s="809"/>
      <c r="BL1014" s="809"/>
      <c r="BM1014" s="809"/>
      <c r="BN1014" s="809"/>
    </row>
    <row r="1015" spans="1:66">
      <c r="A1015" s="809"/>
      <c r="B1015" s="809"/>
      <c r="C1015" s="809"/>
      <c r="D1015" s="809"/>
      <c r="E1015" s="809"/>
      <c r="F1015" s="809"/>
      <c r="G1015" s="809"/>
      <c r="H1015" s="809"/>
      <c r="I1015" s="809"/>
      <c r="J1015" s="809"/>
      <c r="K1015" s="809"/>
      <c r="L1015" s="809"/>
      <c r="M1015" s="809"/>
      <c r="N1015" s="809"/>
      <c r="O1015" s="809"/>
      <c r="P1015" s="809"/>
      <c r="Q1015" s="809"/>
      <c r="R1015" s="809"/>
      <c r="S1015" s="809"/>
      <c r="T1015" s="809"/>
      <c r="U1015" s="809"/>
      <c r="V1015" s="809"/>
      <c r="W1015" s="809"/>
      <c r="X1015" s="809"/>
      <c r="Y1015" s="809"/>
      <c r="Z1015" s="809"/>
      <c r="AA1015" s="809"/>
      <c r="AB1015" s="809"/>
      <c r="AC1015" s="809"/>
      <c r="AD1015" s="809"/>
      <c r="AE1015" s="809"/>
      <c r="AF1015" s="809"/>
      <c r="AG1015" s="809"/>
      <c r="AH1015" s="809"/>
      <c r="AI1015" s="809"/>
      <c r="AJ1015" s="809"/>
      <c r="AK1015" s="809"/>
      <c r="AL1015" s="809"/>
      <c r="AM1015" s="809"/>
      <c r="AN1015" s="809"/>
      <c r="AO1015" s="809"/>
      <c r="AP1015" s="809"/>
      <c r="AQ1015" s="809"/>
      <c r="AR1015" s="809"/>
      <c r="AS1015" s="809"/>
      <c r="AT1015" s="809"/>
      <c r="AU1015" s="809"/>
      <c r="AV1015" s="809"/>
      <c r="AW1015" s="809"/>
      <c r="AX1015" s="809"/>
      <c r="AY1015" s="809"/>
      <c r="AZ1015" s="809"/>
      <c r="BA1015" s="809"/>
      <c r="BB1015" s="809"/>
      <c r="BC1015" s="809"/>
      <c r="BD1015" s="809"/>
      <c r="BE1015" s="809"/>
      <c r="BF1015" s="809"/>
      <c r="BG1015" s="809"/>
      <c r="BH1015" s="809"/>
      <c r="BI1015" s="809"/>
      <c r="BJ1015" s="809"/>
      <c r="BK1015" s="809"/>
      <c r="BL1015" s="809"/>
      <c r="BM1015" s="809"/>
      <c r="BN1015" s="809"/>
    </row>
    <row r="1016" spans="1:66">
      <c r="A1016" s="809"/>
      <c r="B1016" s="809"/>
      <c r="C1016" s="809"/>
      <c r="D1016" s="809"/>
      <c r="E1016" s="809"/>
      <c r="F1016" s="809"/>
      <c r="G1016" s="809"/>
      <c r="H1016" s="809"/>
      <c r="I1016" s="809"/>
      <c r="J1016" s="809"/>
      <c r="K1016" s="809"/>
      <c r="L1016" s="809"/>
      <c r="M1016" s="809"/>
      <c r="N1016" s="809"/>
      <c r="O1016" s="809"/>
      <c r="P1016" s="809"/>
      <c r="Q1016" s="809"/>
      <c r="R1016" s="809"/>
      <c r="S1016" s="809"/>
      <c r="T1016" s="809"/>
      <c r="U1016" s="809"/>
      <c r="V1016" s="809"/>
      <c r="W1016" s="809"/>
      <c r="X1016" s="809"/>
      <c r="Y1016" s="809"/>
      <c r="Z1016" s="809"/>
      <c r="AA1016" s="809"/>
      <c r="AB1016" s="809"/>
      <c r="AC1016" s="809"/>
      <c r="AD1016" s="809"/>
      <c r="AE1016" s="809"/>
      <c r="AF1016" s="809"/>
      <c r="AG1016" s="809"/>
      <c r="AH1016" s="809"/>
      <c r="AI1016" s="809"/>
      <c r="AJ1016" s="809"/>
      <c r="AK1016" s="809"/>
      <c r="AL1016" s="809"/>
      <c r="AM1016" s="809"/>
      <c r="AN1016" s="809"/>
      <c r="AO1016" s="809"/>
      <c r="AP1016" s="809"/>
      <c r="AQ1016" s="809"/>
      <c r="AR1016" s="809"/>
      <c r="AS1016" s="809"/>
      <c r="AT1016" s="809"/>
      <c r="AU1016" s="809"/>
      <c r="AV1016" s="809"/>
      <c r="AW1016" s="809"/>
      <c r="AX1016" s="809"/>
      <c r="AY1016" s="809"/>
      <c r="AZ1016" s="809"/>
      <c r="BA1016" s="809"/>
      <c r="BB1016" s="809"/>
      <c r="BC1016" s="809"/>
      <c r="BD1016" s="809"/>
      <c r="BE1016" s="809"/>
      <c r="BF1016" s="809"/>
      <c r="BG1016" s="809"/>
      <c r="BH1016" s="809"/>
      <c r="BI1016" s="809"/>
      <c r="BJ1016" s="809"/>
      <c r="BK1016" s="809"/>
      <c r="BL1016" s="809"/>
      <c r="BM1016" s="809"/>
      <c r="BN1016" s="809"/>
    </row>
    <row r="1017" spans="1:66">
      <c r="A1017" s="809"/>
      <c r="B1017" s="809"/>
      <c r="C1017" s="809"/>
      <c r="D1017" s="809"/>
      <c r="E1017" s="809"/>
      <c r="F1017" s="809"/>
      <c r="G1017" s="809"/>
      <c r="H1017" s="809"/>
      <c r="I1017" s="809"/>
      <c r="J1017" s="809"/>
      <c r="K1017" s="809"/>
      <c r="L1017" s="809"/>
      <c r="M1017" s="809"/>
      <c r="N1017" s="809"/>
      <c r="O1017" s="809"/>
      <c r="P1017" s="809"/>
      <c r="Q1017" s="809"/>
      <c r="R1017" s="809"/>
      <c r="S1017" s="809"/>
      <c r="T1017" s="809"/>
      <c r="U1017" s="809"/>
      <c r="V1017" s="809"/>
      <c r="W1017" s="809"/>
      <c r="X1017" s="809"/>
      <c r="Y1017" s="809"/>
      <c r="Z1017" s="809"/>
      <c r="AA1017" s="809"/>
      <c r="AB1017" s="809"/>
      <c r="AC1017" s="809"/>
      <c r="AD1017" s="809"/>
      <c r="AE1017" s="809"/>
      <c r="AF1017" s="809"/>
      <c r="AG1017" s="809"/>
      <c r="AH1017" s="809"/>
      <c r="AI1017" s="809"/>
      <c r="AJ1017" s="809"/>
      <c r="AK1017" s="809"/>
      <c r="AL1017" s="809"/>
      <c r="AM1017" s="809"/>
      <c r="AN1017" s="809"/>
      <c r="AO1017" s="809"/>
      <c r="AP1017" s="809"/>
      <c r="AQ1017" s="809"/>
      <c r="AR1017" s="809"/>
      <c r="AS1017" s="809"/>
      <c r="AT1017" s="809"/>
      <c r="AU1017" s="809"/>
      <c r="AV1017" s="809"/>
      <c r="AW1017" s="809"/>
      <c r="AX1017" s="809"/>
      <c r="AY1017" s="809"/>
      <c r="AZ1017" s="809"/>
      <c r="BA1017" s="809"/>
      <c r="BB1017" s="809"/>
      <c r="BC1017" s="809"/>
      <c r="BD1017" s="809"/>
      <c r="BE1017" s="809"/>
      <c r="BF1017" s="809"/>
      <c r="BG1017" s="809"/>
      <c r="BH1017" s="809"/>
      <c r="BI1017" s="809"/>
      <c r="BJ1017" s="809"/>
      <c r="BK1017" s="809"/>
      <c r="BL1017" s="809"/>
      <c r="BM1017" s="809"/>
      <c r="BN1017" s="809"/>
    </row>
    <row r="1018" spans="1:66">
      <c r="A1018" s="809"/>
      <c r="B1018" s="809"/>
      <c r="C1018" s="809"/>
      <c r="D1018" s="809"/>
      <c r="E1018" s="809"/>
      <c r="F1018" s="809"/>
      <c r="G1018" s="809"/>
      <c r="H1018" s="809"/>
      <c r="I1018" s="809"/>
      <c r="J1018" s="809"/>
      <c r="K1018" s="809"/>
      <c r="L1018" s="809"/>
      <c r="M1018" s="809"/>
      <c r="N1018" s="809"/>
      <c r="O1018" s="809"/>
      <c r="P1018" s="809"/>
      <c r="Q1018" s="809"/>
      <c r="R1018" s="809"/>
      <c r="S1018" s="809"/>
      <c r="T1018" s="809"/>
      <c r="U1018" s="809"/>
      <c r="V1018" s="809"/>
      <c r="W1018" s="809"/>
      <c r="X1018" s="809"/>
      <c r="Y1018" s="809"/>
      <c r="Z1018" s="809"/>
      <c r="AA1018" s="809"/>
      <c r="AB1018" s="809"/>
      <c r="AC1018" s="809"/>
      <c r="AD1018" s="809"/>
      <c r="AE1018" s="809"/>
      <c r="AF1018" s="809"/>
      <c r="AG1018" s="809"/>
      <c r="AH1018" s="809"/>
      <c r="AI1018" s="809"/>
      <c r="AJ1018" s="809"/>
      <c r="AK1018" s="809"/>
      <c r="AL1018" s="809"/>
      <c r="AM1018" s="809"/>
      <c r="AN1018" s="809"/>
      <c r="AO1018" s="809"/>
      <c r="AP1018" s="809"/>
      <c r="AQ1018" s="809"/>
      <c r="AR1018" s="809"/>
      <c r="AS1018" s="809"/>
      <c r="AT1018" s="809"/>
      <c r="AU1018" s="809"/>
      <c r="AV1018" s="809"/>
      <c r="AW1018" s="809"/>
      <c r="AX1018" s="809"/>
      <c r="AY1018" s="809"/>
      <c r="AZ1018" s="809"/>
      <c r="BA1018" s="809"/>
      <c r="BB1018" s="809"/>
      <c r="BC1018" s="809"/>
      <c r="BD1018" s="809"/>
      <c r="BE1018" s="809"/>
      <c r="BF1018" s="809"/>
      <c r="BG1018" s="809"/>
      <c r="BH1018" s="809"/>
      <c r="BI1018" s="809"/>
      <c r="BJ1018" s="809"/>
      <c r="BK1018" s="809"/>
      <c r="BL1018" s="809"/>
      <c r="BM1018" s="809"/>
      <c r="BN1018" s="809"/>
    </row>
    <row r="1019" spans="1:66">
      <c r="A1019" s="809"/>
      <c r="B1019" s="809"/>
      <c r="C1019" s="809"/>
      <c r="D1019" s="809"/>
      <c r="E1019" s="809"/>
      <c r="F1019" s="809"/>
      <c r="G1019" s="809"/>
      <c r="H1019" s="809"/>
      <c r="I1019" s="809"/>
      <c r="J1019" s="809"/>
      <c r="K1019" s="809"/>
      <c r="L1019" s="809"/>
      <c r="M1019" s="809"/>
      <c r="N1019" s="809"/>
      <c r="O1019" s="809"/>
      <c r="P1019" s="809"/>
      <c r="Q1019" s="809"/>
      <c r="R1019" s="809"/>
      <c r="S1019" s="809"/>
      <c r="T1019" s="809"/>
      <c r="U1019" s="809"/>
      <c r="V1019" s="809"/>
      <c r="W1019" s="809"/>
      <c r="X1019" s="809"/>
      <c r="Y1019" s="809"/>
      <c r="Z1019" s="809"/>
      <c r="AA1019" s="809"/>
      <c r="AB1019" s="809"/>
      <c r="AC1019" s="809"/>
      <c r="AD1019" s="809"/>
      <c r="AE1019" s="809"/>
      <c r="AF1019" s="809"/>
      <c r="AG1019" s="809"/>
      <c r="AH1019" s="809"/>
      <c r="AI1019" s="809"/>
      <c r="AJ1019" s="809"/>
      <c r="AK1019" s="809"/>
      <c r="AL1019" s="809"/>
      <c r="AM1019" s="809"/>
      <c r="AN1019" s="809"/>
      <c r="AO1019" s="809"/>
      <c r="AP1019" s="809"/>
      <c r="AQ1019" s="809"/>
      <c r="AR1019" s="809"/>
      <c r="AS1019" s="809"/>
      <c r="AT1019" s="809"/>
      <c r="AU1019" s="809"/>
      <c r="AV1019" s="809"/>
      <c r="AW1019" s="809"/>
      <c r="AX1019" s="809"/>
      <c r="AY1019" s="809"/>
      <c r="AZ1019" s="809"/>
      <c r="BA1019" s="809"/>
      <c r="BB1019" s="809"/>
      <c r="BC1019" s="809"/>
      <c r="BD1019" s="809"/>
      <c r="BE1019" s="809"/>
      <c r="BF1019" s="809"/>
      <c r="BG1019" s="809"/>
      <c r="BH1019" s="809"/>
      <c r="BI1019" s="809"/>
      <c r="BJ1019" s="809"/>
      <c r="BK1019" s="809"/>
      <c r="BL1019" s="809"/>
      <c r="BM1019" s="809"/>
      <c r="BN1019" s="809"/>
    </row>
    <row r="1020" spans="1:66">
      <c r="A1020" s="809"/>
      <c r="B1020" s="809"/>
      <c r="C1020" s="809"/>
      <c r="D1020" s="809"/>
      <c r="E1020" s="809"/>
      <c r="F1020" s="809"/>
      <c r="G1020" s="809"/>
      <c r="H1020" s="809"/>
      <c r="I1020" s="809"/>
      <c r="J1020" s="809"/>
      <c r="K1020" s="809"/>
      <c r="L1020" s="809"/>
      <c r="M1020" s="809"/>
      <c r="N1020" s="809"/>
      <c r="O1020" s="809"/>
      <c r="P1020" s="809"/>
      <c r="Q1020" s="809"/>
      <c r="R1020" s="809"/>
      <c r="S1020" s="809"/>
      <c r="T1020" s="809"/>
      <c r="U1020" s="809"/>
      <c r="V1020" s="809"/>
      <c r="W1020" s="809"/>
      <c r="X1020" s="809"/>
      <c r="Y1020" s="809"/>
      <c r="Z1020" s="809"/>
      <c r="AA1020" s="809"/>
      <c r="AB1020" s="809"/>
      <c r="AC1020" s="809"/>
      <c r="AD1020" s="809"/>
      <c r="AE1020" s="809"/>
      <c r="AF1020" s="809"/>
      <c r="AG1020" s="809"/>
      <c r="AH1020" s="809"/>
      <c r="AI1020" s="809"/>
      <c r="AJ1020" s="809"/>
      <c r="AK1020" s="809"/>
      <c r="AL1020" s="809"/>
      <c r="AM1020" s="809"/>
      <c r="AN1020" s="809"/>
      <c r="AO1020" s="809"/>
      <c r="AP1020" s="809"/>
      <c r="AQ1020" s="809"/>
      <c r="AR1020" s="809"/>
      <c r="AS1020" s="809"/>
      <c r="AT1020" s="809"/>
      <c r="AU1020" s="809"/>
      <c r="AV1020" s="809"/>
      <c r="AW1020" s="809"/>
      <c r="AX1020" s="809"/>
      <c r="AY1020" s="809"/>
      <c r="AZ1020" s="809"/>
      <c r="BA1020" s="809"/>
      <c r="BB1020" s="809"/>
      <c r="BC1020" s="809"/>
      <c r="BD1020" s="809"/>
      <c r="BE1020" s="809"/>
      <c r="BF1020" s="809"/>
      <c r="BG1020" s="809"/>
      <c r="BH1020" s="809"/>
      <c r="BI1020" s="809"/>
      <c r="BJ1020" s="809"/>
      <c r="BK1020" s="809"/>
      <c r="BL1020" s="809"/>
      <c r="BM1020" s="809"/>
      <c r="BN1020" s="809"/>
    </row>
    <row r="1021" spans="1:66">
      <c r="A1021" s="809"/>
      <c r="B1021" s="809"/>
      <c r="C1021" s="809"/>
      <c r="D1021" s="809"/>
      <c r="E1021" s="809"/>
      <c r="F1021" s="809"/>
      <c r="G1021" s="809"/>
      <c r="H1021" s="809"/>
      <c r="I1021" s="809"/>
      <c r="J1021" s="809"/>
      <c r="K1021" s="809"/>
      <c r="L1021" s="809"/>
      <c r="M1021" s="809"/>
      <c r="N1021" s="809"/>
      <c r="O1021" s="809"/>
      <c r="P1021" s="809"/>
      <c r="Q1021" s="809"/>
      <c r="R1021" s="809"/>
      <c r="S1021" s="809"/>
      <c r="T1021" s="809"/>
      <c r="U1021" s="809"/>
      <c r="V1021" s="809"/>
      <c r="W1021" s="809"/>
      <c r="X1021" s="809"/>
      <c r="Y1021" s="809"/>
      <c r="Z1021" s="809"/>
      <c r="AA1021" s="809"/>
      <c r="AB1021" s="809"/>
      <c r="AC1021" s="809"/>
      <c r="AD1021" s="809"/>
      <c r="AE1021" s="809"/>
      <c r="AF1021" s="809"/>
      <c r="AG1021" s="809"/>
      <c r="AH1021" s="809"/>
      <c r="AI1021" s="809"/>
      <c r="AJ1021" s="809"/>
      <c r="AK1021" s="809"/>
      <c r="AL1021" s="809"/>
      <c r="AM1021" s="809"/>
      <c r="AN1021" s="809"/>
      <c r="AO1021" s="809"/>
      <c r="AP1021" s="809"/>
      <c r="AQ1021" s="809"/>
      <c r="AR1021" s="809"/>
      <c r="AS1021" s="809"/>
      <c r="AT1021" s="809"/>
      <c r="AU1021" s="809"/>
      <c r="AV1021" s="809"/>
      <c r="AW1021" s="809"/>
      <c r="AX1021" s="809"/>
      <c r="AY1021" s="809"/>
      <c r="AZ1021" s="809"/>
      <c r="BA1021" s="809"/>
      <c r="BB1021" s="809"/>
      <c r="BC1021" s="809"/>
      <c r="BD1021" s="809"/>
      <c r="BE1021" s="809"/>
      <c r="BF1021" s="809"/>
      <c r="BG1021" s="809"/>
      <c r="BH1021" s="809"/>
      <c r="BI1021" s="809"/>
      <c r="BJ1021" s="809"/>
      <c r="BK1021" s="809"/>
      <c r="BL1021" s="809"/>
      <c r="BM1021" s="809"/>
      <c r="BN1021" s="809"/>
    </row>
    <row r="1022" spans="1:66">
      <c r="A1022" s="809"/>
      <c r="B1022" s="809"/>
      <c r="C1022" s="809"/>
      <c r="D1022" s="809"/>
      <c r="E1022" s="809"/>
      <c r="F1022" s="809"/>
      <c r="G1022" s="809"/>
      <c r="H1022" s="809"/>
      <c r="I1022" s="809"/>
      <c r="J1022" s="809"/>
      <c r="K1022" s="809"/>
      <c r="L1022" s="809"/>
      <c r="M1022" s="809"/>
      <c r="N1022" s="809"/>
      <c r="O1022" s="809"/>
      <c r="P1022" s="809"/>
      <c r="Q1022" s="809"/>
      <c r="R1022" s="809"/>
      <c r="S1022" s="809"/>
      <c r="T1022" s="809"/>
      <c r="U1022" s="809"/>
      <c r="V1022" s="809"/>
      <c r="W1022" s="809"/>
      <c r="X1022" s="809"/>
      <c r="Y1022" s="809"/>
      <c r="Z1022" s="809"/>
      <c r="AA1022" s="809"/>
      <c r="AB1022" s="809"/>
      <c r="AC1022" s="809"/>
      <c r="AD1022" s="809"/>
      <c r="AE1022" s="809"/>
      <c r="AF1022" s="809"/>
      <c r="AG1022" s="809"/>
      <c r="AH1022" s="809"/>
      <c r="AI1022" s="809"/>
      <c r="AJ1022" s="809"/>
      <c r="AK1022" s="809"/>
      <c r="AL1022" s="809"/>
      <c r="AM1022" s="809"/>
      <c r="AN1022" s="809"/>
      <c r="AO1022" s="809"/>
      <c r="AP1022" s="809"/>
      <c r="AQ1022" s="809"/>
      <c r="AR1022" s="809"/>
      <c r="AS1022" s="809"/>
      <c r="AT1022" s="809"/>
      <c r="AU1022" s="809"/>
      <c r="AV1022" s="809"/>
      <c r="AW1022" s="809"/>
      <c r="AX1022" s="809"/>
      <c r="AY1022" s="809"/>
      <c r="AZ1022" s="809"/>
      <c r="BA1022" s="809"/>
      <c r="BB1022" s="809"/>
      <c r="BC1022" s="809"/>
      <c r="BD1022" s="809"/>
      <c r="BE1022" s="809"/>
      <c r="BF1022" s="809"/>
      <c r="BG1022" s="809"/>
      <c r="BH1022" s="809"/>
      <c r="BI1022" s="809"/>
      <c r="BJ1022" s="809"/>
      <c r="BK1022" s="809"/>
      <c r="BL1022" s="809"/>
      <c r="BM1022" s="809"/>
      <c r="BN1022" s="809"/>
    </row>
    <row r="1023" spans="1:66">
      <c r="A1023" s="809"/>
      <c r="B1023" s="809"/>
      <c r="C1023" s="809"/>
      <c r="D1023" s="809"/>
      <c r="E1023" s="809"/>
      <c r="F1023" s="809"/>
      <c r="G1023" s="809"/>
      <c r="H1023" s="809"/>
      <c r="I1023" s="809"/>
      <c r="J1023" s="809"/>
      <c r="K1023" s="809"/>
      <c r="L1023" s="809"/>
      <c r="M1023" s="809"/>
      <c r="N1023" s="809"/>
      <c r="O1023" s="809"/>
      <c r="P1023" s="809"/>
      <c r="Q1023" s="809"/>
      <c r="R1023" s="809"/>
      <c r="S1023" s="809"/>
      <c r="T1023" s="809"/>
      <c r="U1023" s="809"/>
      <c r="V1023" s="809"/>
      <c r="W1023" s="809"/>
      <c r="X1023" s="809"/>
      <c r="Y1023" s="809"/>
      <c r="Z1023" s="809"/>
      <c r="AA1023" s="809"/>
      <c r="AB1023" s="809"/>
      <c r="AC1023" s="809"/>
      <c r="AD1023" s="809"/>
      <c r="AE1023" s="809"/>
      <c r="AF1023" s="809"/>
      <c r="AG1023" s="809"/>
      <c r="AH1023" s="809"/>
      <c r="AI1023" s="809"/>
      <c r="AJ1023" s="809"/>
      <c r="AK1023" s="809"/>
      <c r="AL1023" s="809"/>
      <c r="AM1023" s="809"/>
      <c r="AN1023" s="809"/>
      <c r="AO1023" s="809"/>
      <c r="AP1023" s="809"/>
      <c r="AQ1023" s="809"/>
      <c r="AR1023" s="809"/>
      <c r="AS1023" s="809"/>
      <c r="AT1023" s="809"/>
      <c r="AU1023" s="809"/>
      <c r="AV1023" s="809"/>
      <c r="AW1023" s="809"/>
      <c r="AX1023" s="809"/>
      <c r="AY1023" s="809"/>
      <c r="AZ1023" s="809"/>
      <c r="BA1023" s="809"/>
      <c r="BB1023" s="809"/>
      <c r="BC1023" s="809"/>
      <c r="BD1023" s="809"/>
      <c r="BE1023" s="809"/>
      <c r="BF1023" s="809"/>
      <c r="BG1023" s="809"/>
      <c r="BH1023" s="809"/>
      <c r="BI1023" s="809"/>
      <c r="BJ1023" s="809"/>
      <c r="BK1023" s="809"/>
      <c r="BL1023" s="809"/>
      <c r="BM1023" s="809"/>
      <c r="BN1023" s="809"/>
    </row>
    <row r="1024" spans="1:66">
      <c r="A1024" s="809"/>
      <c r="B1024" s="809"/>
      <c r="C1024" s="809"/>
      <c r="D1024" s="809"/>
      <c r="E1024" s="809"/>
      <c r="F1024" s="809"/>
      <c r="G1024" s="809"/>
      <c r="H1024" s="809"/>
      <c r="I1024" s="809"/>
      <c r="J1024" s="809"/>
      <c r="K1024" s="809"/>
      <c r="L1024" s="809"/>
      <c r="M1024" s="809"/>
      <c r="N1024" s="809"/>
      <c r="O1024" s="809"/>
      <c r="P1024" s="809"/>
      <c r="Q1024" s="809"/>
      <c r="R1024" s="809"/>
      <c r="S1024" s="809"/>
      <c r="T1024" s="809"/>
      <c r="U1024" s="809"/>
      <c r="V1024" s="809"/>
      <c r="W1024" s="809"/>
      <c r="X1024" s="809"/>
      <c r="Y1024" s="809"/>
      <c r="Z1024" s="809"/>
      <c r="AA1024" s="809"/>
      <c r="AB1024" s="809"/>
      <c r="AC1024" s="809"/>
      <c r="AD1024" s="809"/>
      <c r="AE1024" s="809"/>
      <c r="AF1024" s="809"/>
      <c r="AG1024" s="809"/>
      <c r="AH1024" s="809"/>
      <c r="AI1024" s="809"/>
      <c r="AJ1024" s="809"/>
      <c r="AK1024" s="809"/>
      <c r="AL1024" s="809"/>
      <c r="AM1024" s="809"/>
      <c r="AN1024" s="809"/>
      <c r="AO1024" s="809"/>
      <c r="AP1024" s="809"/>
      <c r="AQ1024" s="809"/>
      <c r="AR1024" s="809"/>
      <c r="AS1024" s="809"/>
      <c r="AT1024" s="809"/>
      <c r="AU1024" s="809"/>
      <c r="AV1024" s="809"/>
      <c r="AW1024" s="809"/>
      <c r="AX1024" s="809"/>
      <c r="AY1024" s="809"/>
      <c r="AZ1024" s="809"/>
      <c r="BA1024" s="809"/>
      <c r="BB1024" s="809"/>
      <c r="BC1024" s="809"/>
      <c r="BD1024" s="809"/>
      <c r="BE1024" s="809"/>
      <c r="BF1024" s="809"/>
      <c r="BG1024" s="809"/>
      <c r="BH1024" s="809"/>
      <c r="BI1024" s="809"/>
      <c r="BJ1024" s="809"/>
      <c r="BK1024" s="809"/>
      <c r="BL1024" s="809"/>
      <c r="BM1024" s="809"/>
      <c r="BN1024" s="809"/>
    </row>
    <row r="1025" spans="1:66">
      <c r="A1025" s="809"/>
      <c r="B1025" s="809"/>
      <c r="C1025" s="809"/>
      <c r="D1025" s="809"/>
      <c r="E1025" s="809"/>
      <c r="F1025" s="809"/>
      <c r="G1025" s="809"/>
      <c r="H1025" s="809"/>
      <c r="I1025" s="809"/>
      <c r="J1025" s="809"/>
      <c r="K1025" s="809"/>
      <c r="L1025" s="809"/>
      <c r="M1025" s="809"/>
      <c r="N1025" s="809"/>
      <c r="O1025" s="809"/>
      <c r="P1025" s="809"/>
      <c r="Q1025" s="809"/>
      <c r="R1025" s="809"/>
      <c r="S1025" s="809"/>
      <c r="T1025" s="809"/>
      <c r="U1025" s="809"/>
      <c r="V1025" s="809"/>
      <c r="W1025" s="809"/>
      <c r="X1025" s="809"/>
      <c r="Y1025" s="809"/>
      <c r="Z1025" s="809"/>
      <c r="AA1025" s="809"/>
      <c r="AB1025" s="809"/>
      <c r="AC1025" s="809"/>
      <c r="AD1025" s="809"/>
      <c r="AE1025" s="809"/>
      <c r="AF1025" s="809"/>
      <c r="AG1025" s="809"/>
      <c r="AH1025" s="809"/>
      <c r="AI1025" s="809"/>
      <c r="AJ1025" s="809"/>
      <c r="AK1025" s="809"/>
      <c r="AL1025" s="809"/>
      <c r="AM1025" s="809"/>
      <c r="AN1025" s="809"/>
      <c r="AO1025" s="809"/>
      <c r="AP1025" s="809"/>
      <c r="AQ1025" s="809"/>
      <c r="AR1025" s="809"/>
      <c r="AS1025" s="809"/>
      <c r="AT1025" s="809"/>
      <c r="AU1025" s="809"/>
      <c r="AV1025" s="809"/>
      <c r="AW1025" s="809"/>
      <c r="AX1025" s="809"/>
      <c r="AY1025" s="809"/>
      <c r="AZ1025" s="809"/>
      <c r="BA1025" s="809"/>
      <c r="BB1025" s="809"/>
      <c r="BC1025" s="809"/>
      <c r="BD1025" s="809"/>
      <c r="BE1025" s="809"/>
      <c r="BF1025" s="809"/>
      <c r="BG1025" s="809"/>
      <c r="BH1025" s="809"/>
      <c r="BI1025" s="809"/>
      <c r="BJ1025" s="809"/>
      <c r="BK1025" s="809"/>
      <c r="BL1025" s="809"/>
      <c r="BM1025" s="809"/>
      <c r="BN1025" s="809"/>
    </row>
    <row r="1026" spans="1:66">
      <c r="A1026" s="809"/>
      <c r="B1026" s="809"/>
      <c r="C1026" s="809"/>
      <c r="D1026" s="809"/>
      <c r="E1026" s="809"/>
      <c r="F1026" s="809"/>
      <c r="G1026" s="809"/>
      <c r="H1026" s="809"/>
      <c r="I1026" s="809"/>
      <c r="J1026" s="809"/>
      <c r="K1026" s="809"/>
      <c r="L1026" s="809"/>
      <c r="M1026" s="809"/>
      <c r="N1026" s="809"/>
      <c r="O1026" s="809"/>
      <c r="P1026" s="809"/>
      <c r="Q1026" s="809"/>
      <c r="R1026" s="809"/>
      <c r="S1026" s="809"/>
      <c r="T1026" s="809"/>
      <c r="U1026" s="809"/>
      <c r="V1026" s="809"/>
      <c r="W1026" s="809"/>
      <c r="X1026" s="809"/>
      <c r="Y1026" s="809"/>
      <c r="Z1026" s="809"/>
      <c r="AA1026" s="809"/>
      <c r="AB1026" s="809"/>
      <c r="AC1026" s="809"/>
      <c r="AD1026" s="809"/>
      <c r="AE1026" s="809"/>
      <c r="AF1026" s="809"/>
      <c r="AG1026" s="809"/>
      <c r="AH1026" s="809"/>
      <c r="AI1026" s="809"/>
      <c r="AJ1026" s="809"/>
      <c r="AK1026" s="809"/>
      <c r="AL1026" s="809"/>
      <c r="AM1026" s="809"/>
      <c r="AN1026" s="809"/>
      <c r="AO1026" s="809"/>
      <c r="AP1026" s="809"/>
      <c r="AQ1026" s="809"/>
      <c r="AR1026" s="809"/>
      <c r="AS1026" s="809"/>
      <c r="AT1026" s="809"/>
      <c r="AU1026" s="809"/>
      <c r="AV1026" s="809"/>
      <c r="AW1026" s="809"/>
      <c r="AX1026" s="809"/>
      <c r="AY1026" s="809"/>
      <c r="AZ1026" s="809"/>
      <c r="BA1026" s="809"/>
      <c r="BB1026" s="809"/>
      <c r="BC1026" s="809"/>
      <c r="BD1026" s="809"/>
      <c r="BE1026" s="809"/>
      <c r="BF1026" s="809"/>
      <c r="BG1026" s="809"/>
      <c r="BH1026" s="809"/>
      <c r="BI1026" s="809"/>
      <c r="BJ1026" s="809"/>
      <c r="BK1026" s="809"/>
      <c r="BL1026" s="809"/>
      <c r="BM1026" s="809"/>
      <c r="BN1026" s="809"/>
    </row>
    <row r="1027" spans="1:66">
      <c r="A1027" s="809"/>
      <c r="B1027" s="809"/>
      <c r="C1027" s="809"/>
      <c r="D1027" s="809"/>
      <c r="E1027" s="809"/>
      <c r="F1027" s="809"/>
      <c r="G1027" s="809"/>
      <c r="H1027" s="809"/>
      <c r="I1027" s="809"/>
      <c r="J1027" s="809"/>
      <c r="K1027" s="809"/>
      <c r="L1027" s="809"/>
      <c r="M1027" s="809"/>
      <c r="N1027" s="809"/>
      <c r="O1027" s="809"/>
      <c r="P1027" s="809"/>
      <c r="Q1027" s="809"/>
      <c r="R1027" s="809"/>
      <c r="S1027" s="809"/>
      <c r="T1027" s="809"/>
      <c r="U1027" s="809"/>
      <c r="V1027" s="809"/>
      <c r="W1027" s="809"/>
      <c r="X1027" s="809"/>
      <c r="Y1027" s="809"/>
      <c r="Z1027" s="809"/>
      <c r="AA1027" s="809"/>
      <c r="AB1027" s="809"/>
      <c r="AC1027" s="809"/>
      <c r="AD1027" s="809"/>
      <c r="AE1027" s="809"/>
      <c r="AF1027" s="809"/>
      <c r="AG1027" s="809"/>
      <c r="AH1027" s="809"/>
      <c r="AI1027" s="809"/>
      <c r="AJ1027" s="809"/>
      <c r="AK1027" s="809"/>
      <c r="AL1027" s="809"/>
      <c r="AM1027" s="809"/>
      <c r="AN1027" s="809"/>
      <c r="AO1027" s="809"/>
      <c r="AP1027" s="809"/>
      <c r="AQ1027" s="809"/>
      <c r="AR1027" s="809"/>
      <c r="AS1027" s="809"/>
      <c r="AT1027" s="809"/>
      <c r="AU1027" s="809"/>
      <c r="AV1027" s="809"/>
      <c r="AW1027" s="809"/>
      <c r="AX1027" s="809"/>
      <c r="AY1027" s="809"/>
      <c r="AZ1027" s="809"/>
      <c r="BA1027" s="809"/>
      <c r="BB1027" s="809"/>
      <c r="BC1027" s="809"/>
      <c r="BD1027" s="809"/>
      <c r="BE1027" s="809"/>
      <c r="BF1027" s="809"/>
      <c r="BG1027" s="809"/>
      <c r="BH1027" s="809"/>
      <c r="BI1027" s="809"/>
      <c r="BJ1027" s="809"/>
      <c r="BK1027" s="809"/>
      <c r="BL1027" s="809"/>
      <c r="BM1027" s="809"/>
      <c r="BN1027" s="809"/>
    </row>
    <row r="1028" spans="1:66">
      <c r="A1028" s="809"/>
      <c r="B1028" s="809"/>
      <c r="C1028" s="809"/>
      <c r="D1028" s="809"/>
      <c r="E1028" s="809"/>
      <c r="F1028" s="809"/>
      <c r="G1028" s="809"/>
      <c r="H1028" s="809"/>
      <c r="I1028" s="809"/>
      <c r="J1028" s="809"/>
      <c r="K1028" s="809"/>
      <c r="L1028" s="809"/>
      <c r="M1028" s="809"/>
      <c r="N1028" s="809"/>
      <c r="O1028" s="809"/>
      <c r="P1028" s="809"/>
      <c r="Q1028" s="809"/>
      <c r="R1028" s="809"/>
      <c r="S1028" s="809"/>
      <c r="T1028" s="809"/>
      <c r="U1028" s="809"/>
      <c r="V1028" s="809"/>
      <c r="W1028" s="809"/>
      <c r="X1028" s="809"/>
      <c r="Y1028" s="809"/>
      <c r="Z1028" s="809"/>
      <c r="AA1028" s="809"/>
      <c r="AB1028" s="809"/>
      <c r="AC1028" s="809"/>
      <c r="AD1028" s="809"/>
      <c r="AE1028" s="809"/>
      <c r="AF1028" s="809"/>
      <c r="AG1028" s="809"/>
      <c r="AH1028" s="809"/>
      <c r="AI1028" s="809"/>
      <c r="AJ1028" s="809"/>
      <c r="AK1028" s="809"/>
      <c r="AL1028" s="809"/>
      <c r="AM1028" s="809"/>
      <c r="AN1028" s="809"/>
      <c r="AO1028" s="809"/>
      <c r="AP1028" s="809"/>
      <c r="AQ1028" s="809"/>
      <c r="AR1028" s="809"/>
      <c r="AS1028" s="809"/>
      <c r="AT1028" s="809"/>
      <c r="AU1028" s="809"/>
      <c r="AV1028" s="809"/>
      <c r="AW1028" s="809"/>
      <c r="AX1028" s="809"/>
      <c r="AY1028" s="809"/>
      <c r="AZ1028" s="809"/>
      <c r="BA1028" s="809"/>
      <c r="BB1028" s="809"/>
      <c r="BC1028" s="809"/>
      <c r="BD1028" s="809"/>
      <c r="BE1028" s="809"/>
      <c r="BF1028" s="809"/>
      <c r="BG1028" s="809"/>
      <c r="BH1028" s="809"/>
      <c r="BI1028" s="809"/>
      <c r="BJ1028" s="809"/>
      <c r="BK1028" s="809"/>
      <c r="BL1028" s="809"/>
      <c r="BM1028" s="809"/>
      <c r="BN1028" s="809"/>
    </row>
    <row r="1029" spans="1:66">
      <c r="A1029" s="809"/>
      <c r="B1029" s="809"/>
      <c r="C1029" s="809"/>
      <c r="D1029" s="809"/>
      <c r="E1029" s="809"/>
      <c r="F1029" s="809"/>
      <c r="G1029" s="809"/>
      <c r="H1029" s="809"/>
      <c r="I1029" s="809"/>
      <c r="J1029" s="809"/>
      <c r="K1029" s="809"/>
      <c r="L1029" s="809"/>
      <c r="M1029" s="809"/>
      <c r="N1029" s="809"/>
      <c r="O1029" s="809"/>
      <c r="P1029" s="809"/>
      <c r="Q1029" s="809"/>
      <c r="R1029" s="809"/>
      <c r="S1029" s="809"/>
      <c r="T1029" s="809"/>
      <c r="U1029" s="809"/>
      <c r="V1029" s="809"/>
      <c r="W1029" s="809"/>
      <c r="X1029" s="809"/>
      <c r="Y1029" s="809"/>
      <c r="Z1029" s="809"/>
      <c r="AA1029" s="809"/>
      <c r="AB1029" s="809"/>
      <c r="AC1029" s="809"/>
      <c r="AD1029" s="809"/>
      <c r="AE1029" s="809"/>
      <c r="AF1029" s="809"/>
      <c r="AG1029" s="809"/>
      <c r="AH1029" s="809"/>
      <c r="AI1029" s="809"/>
      <c r="AJ1029" s="809"/>
      <c r="AK1029" s="809"/>
      <c r="AL1029" s="809"/>
      <c r="AM1029" s="809"/>
      <c r="AN1029" s="809"/>
      <c r="AO1029" s="809"/>
      <c r="AP1029" s="809"/>
      <c r="AQ1029" s="809"/>
      <c r="AR1029" s="809"/>
      <c r="AS1029" s="809"/>
      <c r="AT1029" s="809"/>
      <c r="AU1029" s="809"/>
      <c r="AV1029" s="809"/>
      <c r="AW1029" s="809"/>
      <c r="AX1029" s="809"/>
      <c r="AY1029" s="809"/>
      <c r="AZ1029" s="809"/>
      <c r="BA1029" s="809"/>
      <c r="BB1029" s="809"/>
      <c r="BC1029" s="809"/>
      <c r="BD1029" s="809"/>
      <c r="BE1029" s="809"/>
      <c r="BF1029" s="809"/>
      <c r="BG1029" s="809"/>
      <c r="BH1029" s="809"/>
      <c r="BI1029" s="809"/>
      <c r="BJ1029" s="809"/>
      <c r="BK1029" s="809"/>
      <c r="BL1029" s="809"/>
      <c r="BM1029" s="809"/>
      <c r="BN1029" s="809"/>
    </row>
    <row r="1030" spans="1:66">
      <c r="A1030" s="809"/>
      <c r="B1030" s="809"/>
      <c r="C1030" s="809"/>
      <c r="D1030" s="809"/>
      <c r="E1030" s="809"/>
      <c r="F1030" s="809"/>
      <c r="G1030" s="809"/>
      <c r="H1030" s="809"/>
      <c r="I1030" s="809"/>
      <c r="J1030" s="809"/>
      <c r="K1030" s="809"/>
      <c r="L1030" s="809"/>
      <c r="M1030" s="809"/>
      <c r="N1030" s="809"/>
      <c r="O1030" s="809"/>
      <c r="P1030" s="809"/>
      <c r="Q1030" s="809"/>
      <c r="R1030" s="809"/>
      <c r="S1030" s="809"/>
      <c r="T1030" s="809"/>
      <c r="U1030" s="809"/>
      <c r="V1030" s="809"/>
      <c r="W1030" s="809"/>
      <c r="X1030" s="809"/>
      <c r="Y1030" s="809"/>
      <c r="Z1030" s="809"/>
      <c r="AA1030" s="809"/>
      <c r="AB1030" s="809"/>
      <c r="AC1030" s="809"/>
      <c r="AD1030" s="809"/>
      <c r="AE1030" s="809"/>
      <c r="AF1030" s="809"/>
      <c r="AG1030" s="809"/>
      <c r="AH1030" s="809"/>
      <c r="AI1030" s="809"/>
      <c r="AJ1030" s="809"/>
      <c r="AK1030" s="809"/>
      <c r="AL1030" s="809"/>
      <c r="AM1030" s="809"/>
      <c r="AN1030" s="809"/>
      <c r="AO1030" s="809"/>
      <c r="AP1030" s="809"/>
      <c r="AQ1030" s="809"/>
      <c r="AR1030" s="809"/>
      <c r="AS1030" s="809"/>
      <c r="AT1030" s="809"/>
      <c r="AU1030" s="809"/>
      <c r="AV1030" s="809"/>
      <c r="AW1030" s="809"/>
      <c r="AX1030" s="809"/>
      <c r="AY1030" s="809"/>
      <c r="AZ1030" s="809"/>
      <c r="BA1030" s="809"/>
      <c r="BB1030" s="809"/>
      <c r="BC1030" s="809"/>
      <c r="BD1030" s="809"/>
      <c r="BE1030" s="809"/>
      <c r="BF1030" s="809"/>
      <c r="BG1030" s="809"/>
      <c r="BH1030" s="809"/>
      <c r="BI1030" s="809"/>
      <c r="BJ1030" s="809"/>
      <c r="BK1030" s="809"/>
      <c r="BL1030" s="809"/>
      <c r="BM1030" s="809"/>
      <c r="BN1030" s="809"/>
    </row>
    <row r="1031" spans="1:66">
      <c r="A1031" s="809"/>
      <c r="B1031" s="809"/>
      <c r="C1031" s="809"/>
      <c r="D1031" s="809"/>
      <c r="E1031" s="809"/>
      <c r="F1031" s="809"/>
      <c r="G1031" s="809"/>
      <c r="H1031" s="809"/>
      <c r="I1031" s="809"/>
      <c r="J1031" s="809"/>
      <c r="K1031" s="809"/>
      <c r="L1031" s="809"/>
      <c r="M1031" s="809"/>
      <c r="N1031" s="809"/>
      <c r="O1031" s="809"/>
      <c r="P1031" s="809"/>
      <c r="Q1031" s="809"/>
      <c r="R1031" s="809"/>
      <c r="S1031" s="809"/>
      <c r="T1031" s="809"/>
      <c r="U1031" s="809"/>
      <c r="V1031" s="809"/>
      <c r="W1031" s="809"/>
      <c r="X1031" s="809"/>
      <c r="Y1031" s="809"/>
      <c r="Z1031" s="809"/>
      <c r="AA1031" s="809"/>
      <c r="AB1031" s="809"/>
      <c r="AC1031" s="809"/>
      <c r="AD1031" s="809"/>
      <c r="AE1031" s="809"/>
      <c r="AF1031" s="809"/>
      <c r="AG1031" s="809"/>
      <c r="AH1031" s="809"/>
      <c r="AI1031" s="809"/>
      <c r="AJ1031" s="809"/>
      <c r="AK1031" s="809"/>
      <c r="AL1031" s="809"/>
      <c r="AM1031" s="809"/>
      <c r="AN1031" s="809"/>
      <c r="AO1031" s="809"/>
      <c r="AP1031" s="809"/>
      <c r="AQ1031" s="809"/>
      <c r="AR1031" s="809"/>
      <c r="AS1031" s="809"/>
      <c r="AT1031" s="809"/>
      <c r="AU1031" s="809"/>
      <c r="AV1031" s="809"/>
      <c r="AW1031" s="809"/>
      <c r="AX1031" s="809"/>
      <c r="AY1031" s="809"/>
      <c r="AZ1031" s="809"/>
      <c r="BA1031" s="809"/>
      <c r="BB1031" s="809"/>
      <c r="BC1031" s="809"/>
      <c r="BD1031" s="809"/>
      <c r="BE1031" s="809"/>
      <c r="BF1031" s="809"/>
      <c r="BG1031" s="809"/>
      <c r="BH1031" s="809"/>
      <c r="BI1031" s="809"/>
      <c r="BJ1031" s="809"/>
      <c r="BK1031" s="809"/>
      <c r="BL1031" s="809"/>
      <c r="BM1031" s="809"/>
      <c r="BN1031" s="809"/>
    </row>
    <row r="1032" spans="1:66">
      <c r="A1032" s="809"/>
      <c r="B1032" s="809"/>
      <c r="C1032" s="809"/>
      <c r="D1032" s="809"/>
      <c r="E1032" s="809"/>
      <c r="F1032" s="809"/>
      <c r="G1032" s="809"/>
      <c r="H1032" s="809"/>
      <c r="I1032" s="809"/>
      <c r="J1032" s="809"/>
      <c r="K1032" s="809"/>
      <c r="L1032" s="809"/>
      <c r="M1032" s="809"/>
      <c r="N1032" s="809"/>
      <c r="O1032" s="809"/>
      <c r="P1032" s="809"/>
      <c r="Q1032" s="809"/>
      <c r="R1032" s="809"/>
      <c r="S1032" s="809"/>
      <c r="T1032" s="809"/>
      <c r="U1032" s="809"/>
      <c r="V1032" s="809"/>
      <c r="W1032" s="809"/>
      <c r="X1032" s="809"/>
      <c r="Y1032" s="809"/>
      <c r="Z1032" s="809"/>
      <c r="AA1032" s="809"/>
      <c r="AB1032" s="809"/>
      <c r="AC1032" s="809"/>
      <c r="AD1032" s="809"/>
      <c r="AE1032" s="809"/>
      <c r="AF1032" s="809"/>
      <c r="AG1032" s="809"/>
      <c r="AH1032" s="809"/>
      <c r="AI1032" s="809"/>
      <c r="AJ1032" s="809"/>
      <c r="AK1032" s="809"/>
      <c r="AL1032" s="809"/>
      <c r="AM1032" s="809"/>
      <c r="AN1032" s="809"/>
      <c r="AO1032" s="809"/>
      <c r="AP1032" s="809"/>
      <c r="AQ1032" s="809"/>
      <c r="AR1032" s="809"/>
      <c r="AS1032" s="809"/>
      <c r="AT1032" s="809"/>
      <c r="AU1032" s="809"/>
      <c r="AV1032" s="809"/>
      <c r="AW1032" s="809"/>
      <c r="AX1032" s="809"/>
      <c r="AY1032" s="809"/>
      <c r="AZ1032" s="809"/>
      <c r="BA1032" s="809"/>
      <c r="BB1032" s="809"/>
      <c r="BC1032" s="809"/>
      <c r="BD1032" s="809"/>
      <c r="BE1032" s="809"/>
      <c r="BF1032" s="809"/>
      <c r="BG1032" s="809"/>
      <c r="BH1032" s="809"/>
      <c r="BI1032" s="809"/>
      <c r="BJ1032" s="809"/>
      <c r="BK1032" s="809"/>
      <c r="BL1032" s="809"/>
      <c r="BM1032" s="809"/>
      <c r="BN1032" s="809"/>
    </row>
    <row r="1033" spans="1:66">
      <c r="A1033" s="809"/>
      <c r="B1033" s="809"/>
      <c r="C1033" s="809"/>
      <c r="D1033" s="809"/>
      <c r="E1033" s="809"/>
      <c r="F1033" s="809"/>
      <c r="G1033" s="809"/>
      <c r="H1033" s="809"/>
      <c r="I1033" s="809"/>
      <c r="J1033" s="809"/>
      <c r="K1033" s="809"/>
      <c r="L1033" s="809"/>
      <c r="M1033" s="809"/>
      <c r="N1033" s="809"/>
      <c r="O1033" s="809"/>
      <c r="P1033" s="809"/>
      <c r="Q1033" s="809"/>
      <c r="R1033" s="809"/>
      <c r="S1033" s="809"/>
      <c r="T1033" s="809"/>
      <c r="U1033" s="809"/>
      <c r="V1033" s="809"/>
      <c r="W1033" s="809"/>
      <c r="X1033" s="809"/>
      <c r="Y1033" s="809"/>
      <c r="Z1033" s="809"/>
      <c r="AA1033" s="809"/>
      <c r="AB1033" s="809"/>
      <c r="AC1033" s="809"/>
      <c r="AD1033" s="809"/>
      <c r="AE1033" s="809"/>
      <c r="AF1033" s="809"/>
      <c r="AG1033" s="809"/>
      <c r="AH1033" s="809"/>
      <c r="AI1033" s="809"/>
      <c r="AJ1033" s="809"/>
      <c r="AK1033" s="809"/>
      <c r="AL1033" s="809"/>
      <c r="AM1033" s="809"/>
      <c r="AN1033" s="809"/>
      <c r="AO1033" s="809"/>
      <c r="AP1033" s="809"/>
      <c r="AQ1033" s="809"/>
      <c r="AR1033" s="809"/>
      <c r="AS1033" s="809"/>
      <c r="AT1033" s="809"/>
      <c r="AU1033" s="809"/>
      <c r="AV1033" s="809"/>
      <c r="AW1033" s="809"/>
      <c r="AX1033" s="809"/>
      <c r="AY1033" s="809"/>
      <c r="AZ1033" s="809"/>
      <c r="BA1033" s="809"/>
      <c r="BB1033" s="809"/>
      <c r="BC1033" s="809"/>
      <c r="BD1033" s="809"/>
      <c r="BE1033" s="809"/>
      <c r="BF1033" s="809"/>
      <c r="BG1033" s="809"/>
      <c r="BH1033" s="809"/>
      <c r="BI1033" s="809"/>
      <c r="BJ1033" s="809"/>
      <c r="BK1033" s="809"/>
      <c r="BL1033" s="809"/>
      <c r="BM1033" s="809"/>
      <c r="BN1033" s="809"/>
    </row>
    <row r="1034" spans="1:66">
      <c r="A1034" s="809"/>
      <c r="B1034" s="809"/>
      <c r="C1034" s="809"/>
      <c r="D1034" s="809"/>
      <c r="E1034" s="809"/>
      <c r="F1034" s="809"/>
      <c r="G1034" s="809"/>
      <c r="H1034" s="809"/>
      <c r="I1034" s="809"/>
      <c r="J1034" s="809"/>
      <c r="K1034" s="809"/>
      <c r="L1034" s="809"/>
      <c r="M1034" s="809"/>
      <c r="N1034" s="809"/>
      <c r="O1034" s="809"/>
      <c r="P1034" s="809"/>
      <c r="Q1034" s="809"/>
      <c r="R1034" s="809"/>
      <c r="S1034" s="809"/>
      <c r="T1034" s="809"/>
      <c r="U1034" s="809"/>
      <c r="V1034" s="809"/>
      <c r="W1034" s="809"/>
      <c r="X1034" s="809"/>
      <c r="Y1034" s="809"/>
      <c r="Z1034" s="809"/>
      <c r="AA1034" s="809"/>
      <c r="AB1034" s="809"/>
      <c r="AC1034" s="809"/>
      <c r="AD1034" s="809"/>
      <c r="AE1034" s="809"/>
      <c r="AF1034" s="809"/>
      <c r="AG1034" s="809"/>
      <c r="AH1034" s="809"/>
      <c r="AI1034" s="809"/>
      <c r="AJ1034" s="809"/>
      <c r="AK1034" s="809"/>
      <c r="AL1034" s="809"/>
      <c r="AM1034" s="809"/>
      <c r="AN1034" s="809"/>
      <c r="AO1034" s="809"/>
      <c r="AP1034" s="809"/>
      <c r="AQ1034" s="809"/>
      <c r="AR1034" s="809"/>
      <c r="AS1034" s="809"/>
      <c r="AT1034" s="809"/>
      <c r="AU1034" s="809"/>
      <c r="AV1034" s="809"/>
      <c r="AW1034" s="809"/>
      <c r="AX1034" s="809"/>
      <c r="AY1034" s="809"/>
      <c r="AZ1034" s="809"/>
      <c r="BA1034" s="809"/>
      <c r="BB1034" s="809"/>
      <c r="BC1034" s="809"/>
      <c r="BD1034" s="809"/>
      <c r="BE1034" s="809"/>
      <c r="BF1034" s="809"/>
      <c r="BG1034" s="809"/>
      <c r="BH1034" s="809"/>
      <c r="BI1034" s="809"/>
      <c r="BJ1034" s="809"/>
      <c r="BK1034" s="809"/>
      <c r="BL1034" s="809"/>
      <c r="BM1034" s="809"/>
      <c r="BN1034" s="809"/>
    </row>
    <row r="1035" spans="1:66">
      <c r="A1035" s="809"/>
      <c r="B1035" s="809"/>
      <c r="C1035" s="809"/>
      <c r="D1035" s="809"/>
      <c r="E1035" s="809"/>
      <c r="F1035" s="809"/>
      <c r="G1035" s="809"/>
      <c r="H1035" s="809"/>
      <c r="I1035" s="809"/>
      <c r="J1035" s="809"/>
      <c r="K1035" s="809"/>
      <c r="L1035" s="809"/>
      <c r="M1035" s="809"/>
      <c r="N1035" s="809"/>
      <c r="O1035" s="809"/>
      <c r="P1035" s="809"/>
      <c r="Q1035" s="809"/>
      <c r="R1035" s="809"/>
      <c r="S1035" s="809"/>
      <c r="T1035" s="809"/>
      <c r="U1035" s="809"/>
      <c r="V1035" s="809"/>
      <c r="W1035" s="809"/>
      <c r="X1035" s="809"/>
      <c r="Y1035" s="809"/>
      <c r="Z1035" s="809"/>
      <c r="AA1035" s="809"/>
      <c r="AB1035" s="809"/>
      <c r="AC1035" s="809"/>
      <c r="AD1035" s="809"/>
      <c r="AE1035" s="809"/>
      <c r="AF1035" s="809"/>
      <c r="AG1035" s="809"/>
      <c r="AH1035" s="809"/>
      <c r="AI1035" s="809"/>
      <c r="AJ1035" s="809"/>
      <c r="AK1035" s="809"/>
      <c r="AL1035" s="809"/>
      <c r="AM1035" s="809"/>
      <c r="AN1035" s="809"/>
      <c r="AO1035" s="809"/>
      <c r="AP1035" s="809"/>
      <c r="AQ1035" s="809"/>
      <c r="AR1035" s="809"/>
      <c r="AS1035" s="809"/>
      <c r="AT1035" s="809"/>
      <c r="AU1035" s="809"/>
      <c r="AV1035" s="809"/>
      <c r="AW1035" s="809"/>
      <c r="AX1035" s="809"/>
      <c r="AY1035" s="809"/>
      <c r="AZ1035" s="809"/>
      <c r="BA1035" s="809"/>
      <c r="BB1035" s="809"/>
      <c r="BC1035" s="809"/>
      <c r="BD1035" s="809"/>
      <c r="BE1035" s="809"/>
      <c r="BF1035" s="809"/>
      <c r="BG1035" s="809"/>
      <c r="BH1035" s="809"/>
      <c r="BI1035" s="809"/>
      <c r="BJ1035" s="809"/>
      <c r="BK1035" s="809"/>
      <c r="BL1035" s="809"/>
      <c r="BM1035" s="809"/>
      <c r="BN1035" s="809"/>
    </row>
    <row r="1036" spans="1:66">
      <c r="A1036" s="809"/>
      <c r="B1036" s="809"/>
      <c r="C1036" s="809"/>
      <c r="D1036" s="809"/>
      <c r="E1036" s="809"/>
      <c r="F1036" s="809"/>
      <c r="G1036" s="809"/>
      <c r="H1036" s="809"/>
      <c r="I1036" s="809"/>
      <c r="J1036" s="809"/>
      <c r="K1036" s="809"/>
      <c r="L1036" s="809"/>
      <c r="M1036" s="809"/>
      <c r="N1036" s="809"/>
      <c r="O1036" s="809"/>
      <c r="P1036" s="809"/>
      <c r="Q1036" s="809"/>
      <c r="R1036" s="809"/>
      <c r="S1036" s="809"/>
      <c r="T1036" s="809"/>
      <c r="U1036" s="809"/>
      <c r="V1036" s="809"/>
      <c r="W1036" s="809"/>
      <c r="X1036" s="809"/>
      <c r="Y1036" s="809"/>
      <c r="Z1036" s="809"/>
      <c r="AA1036" s="809"/>
      <c r="AB1036" s="809"/>
      <c r="AC1036" s="809"/>
      <c r="AD1036" s="809"/>
      <c r="AE1036" s="809"/>
      <c r="AF1036" s="809"/>
      <c r="AG1036" s="809"/>
      <c r="AH1036" s="809"/>
      <c r="AI1036" s="809"/>
      <c r="AJ1036" s="809"/>
      <c r="AK1036" s="809"/>
      <c r="AL1036" s="809"/>
      <c r="AM1036" s="809"/>
      <c r="AN1036" s="809"/>
      <c r="AO1036" s="809"/>
      <c r="AP1036" s="809"/>
      <c r="AQ1036" s="809"/>
      <c r="AR1036" s="809"/>
      <c r="AS1036" s="809"/>
      <c r="AT1036" s="809"/>
      <c r="AU1036" s="809"/>
      <c r="AV1036" s="809"/>
      <c r="AW1036" s="809"/>
      <c r="AX1036" s="809"/>
      <c r="AY1036" s="809"/>
      <c r="AZ1036" s="809"/>
      <c r="BA1036" s="809"/>
      <c r="BB1036" s="809"/>
      <c r="BC1036" s="809"/>
      <c r="BD1036" s="809"/>
      <c r="BE1036" s="809"/>
      <c r="BF1036" s="809"/>
      <c r="BG1036" s="809"/>
      <c r="BH1036" s="809"/>
      <c r="BI1036" s="809"/>
      <c r="BJ1036" s="809"/>
      <c r="BK1036" s="809"/>
      <c r="BL1036" s="809"/>
      <c r="BM1036" s="809"/>
      <c r="BN1036" s="809"/>
    </row>
    <row r="1037" spans="1:66">
      <c r="A1037" s="809"/>
      <c r="B1037" s="809"/>
      <c r="C1037" s="809"/>
      <c r="D1037" s="809"/>
      <c r="E1037" s="809"/>
      <c r="F1037" s="809"/>
      <c r="G1037" s="809"/>
      <c r="H1037" s="809"/>
      <c r="I1037" s="809"/>
      <c r="J1037" s="809"/>
      <c r="K1037" s="809"/>
      <c r="L1037" s="809"/>
      <c r="M1037" s="809"/>
      <c r="N1037" s="809"/>
      <c r="O1037" s="809"/>
      <c r="P1037" s="809"/>
      <c r="Q1037" s="809"/>
      <c r="R1037" s="809"/>
      <c r="S1037" s="809"/>
      <c r="T1037" s="809"/>
      <c r="U1037" s="809"/>
      <c r="V1037" s="809"/>
      <c r="W1037" s="809"/>
      <c r="X1037" s="809"/>
      <c r="Y1037" s="809"/>
      <c r="Z1037" s="809"/>
      <c r="AA1037" s="809"/>
      <c r="AB1037" s="809"/>
      <c r="AC1037" s="809"/>
      <c r="AD1037" s="809"/>
      <c r="AE1037" s="809"/>
      <c r="AF1037" s="809"/>
      <c r="AG1037" s="809"/>
      <c r="AH1037" s="809"/>
      <c r="AI1037" s="809"/>
      <c r="AJ1037" s="809"/>
      <c r="AK1037" s="809"/>
      <c r="AL1037" s="809"/>
      <c r="AM1037" s="809"/>
      <c r="AN1037" s="809"/>
      <c r="AO1037" s="809"/>
      <c r="AP1037" s="809"/>
      <c r="AQ1037" s="809"/>
      <c r="AR1037" s="809"/>
      <c r="AS1037" s="809"/>
      <c r="AT1037" s="809"/>
      <c r="AU1037" s="809"/>
      <c r="AV1037" s="809"/>
      <c r="AW1037" s="809"/>
      <c r="AX1037" s="809"/>
      <c r="AY1037" s="809"/>
      <c r="AZ1037" s="809"/>
      <c r="BA1037" s="809"/>
      <c r="BB1037" s="809"/>
      <c r="BC1037" s="809"/>
      <c r="BD1037" s="809"/>
      <c r="BE1037" s="809"/>
      <c r="BF1037" s="809"/>
      <c r="BG1037" s="809"/>
      <c r="BH1037" s="809"/>
      <c r="BI1037" s="809"/>
      <c r="BJ1037" s="809"/>
      <c r="BK1037" s="809"/>
      <c r="BL1037" s="809"/>
      <c r="BM1037" s="809"/>
      <c r="BN1037" s="809"/>
    </row>
    <row r="1038" spans="1:66">
      <c r="A1038" s="809"/>
      <c r="B1038" s="809"/>
      <c r="C1038" s="809"/>
      <c r="D1038" s="809"/>
      <c r="E1038" s="809"/>
      <c r="F1038" s="809"/>
      <c r="G1038" s="809"/>
      <c r="H1038" s="809"/>
      <c r="I1038" s="809"/>
      <c r="J1038" s="809"/>
      <c r="K1038" s="809"/>
      <c r="L1038" s="809"/>
      <c r="M1038" s="809"/>
      <c r="N1038" s="809"/>
      <c r="O1038" s="809"/>
      <c r="P1038" s="809"/>
      <c r="Q1038" s="809"/>
      <c r="R1038" s="809"/>
      <c r="S1038" s="809"/>
      <c r="T1038" s="809"/>
      <c r="U1038" s="809"/>
      <c r="V1038" s="809"/>
      <c r="W1038" s="809"/>
      <c r="X1038" s="809"/>
      <c r="Y1038" s="809"/>
      <c r="Z1038" s="809"/>
      <c r="AA1038" s="809"/>
      <c r="AB1038" s="809"/>
      <c r="AC1038" s="809"/>
      <c r="AD1038" s="809"/>
      <c r="AE1038" s="809"/>
      <c r="AF1038" s="809"/>
      <c r="AG1038" s="809"/>
      <c r="AH1038" s="809"/>
      <c r="AI1038" s="809"/>
      <c r="AJ1038" s="809"/>
      <c r="AK1038" s="809"/>
      <c r="AL1038" s="809"/>
      <c r="AM1038" s="809"/>
      <c r="AN1038" s="809"/>
      <c r="AO1038" s="809"/>
      <c r="AP1038" s="809"/>
      <c r="AQ1038" s="809"/>
      <c r="AR1038" s="809"/>
      <c r="AS1038" s="809"/>
      <c r="AT1038" s="809"/>
      <c r="AU1038" s="809"/>
      <c r="AV1038" s="809"/>
      <c r="AW1038" s="809"/>
      <c r="AX1038" s="809"/>
      <c r="AY1038" s="809"/>
      <c r="AZ1038" s="809"/>
      <c r="BA1038" s="809"/>
      <c r="BB1038" s="809"/>
      <c r="BC1038" s="809"/>
      <c r="BD1038" s="809"/>
      <c r="BE1038" s="809"/>
      <c r="BF1038" s="809"/>
      <c r="BG1038" s="809"/>
      <c r="BH1038" s="809"/>
      <c r="BI1038" s="809"/>
      <c r="BJ1038" s="809"/>
      <c r="BK1038" s="809"/>
      <c r="BL1038" s="809"/>
      <c r="BM1038" s="809"/>
      <c r="BN1038" s="809"/>
    </row>
    <row r="1039" spans="1:66">
      <c r="A1039" s="809"/>
      <c r="B1039" s="809"/>
      <c r="C1039" s="809"/>
      <c r="D1039" s="809"/>
      <c r="E1039" s="809"/>
      <c r="F1039" s="809"/>
      <c r="G1039" s="809"/>
      <c r="H1039" s="809"/>
      <c r="I1039" s="809"/>
      <c r="J1039" s="809"/>
      <c r="K1039" s="809"/>
      <c r="L1039" s="809"/>
      <c r="M1039" s="809"/>
      <c r="N1039" s="809"/>
      <c r="O1039" s="809"/>
      <c r="P1039" s="809"/>
      <c r="Q1039" s="809"/>
      <c r="R1039" s="809"/>
      <c r="S1039" s="809"/>
      <c r="T1039" s="809"/>
      <c r="U1039" s="809"/>
      <c r="V1039" s="809"/>
      <c r="W1039" s="809"/>
      <c r="X1039" s="809"/>
      <c r="Y1039" s="809"/>
      <c r="Z1039" s="809"/>
      <c r="AA1039" s="809"/>
      <c r="AB1039" s="809"/>
      <c r="AC1039" s="809"/>
      <c r="AD1039" s="809"/>
      <c r="AE1039" s="809"/>
      <c r="AF1039" s="809"/>
      <c r="AG1039" s="809"/>
      <c r="AH1039" s="809"/>
      <c r="AI1039" s="809"/>
      <c r="AJ1039" s="809"/>
      <c r="AK1039" s="809"/>
      <c r="AL1039" s="809"/>
      <c r="AM1039" s="809"/>
      <c r="AN1039" s="809"/>
      <c r="AO1039" s="809"/>
      <c r="AP1039" s="809"/>
      <c r="AQ1039" s="809"/>
      <c r="AR1039" s="809"/>
      <c r="AS1039" s="809"/>
      <c r="AT1039" s="809"/>
      <c r="AU1039" s="809"/>
      <c r="AV1039" s="809"/>
      <c r="AW1039" s="809"/>
      <c r="AX1039" s="809"/>
      <c r="AY1039" s="809"/>
      <c r="AZ1039" s="809"/>
      <c r="BA1039" s="809"/>
      <c r="BB1039" s="809"/>
      <c r="BC1039" s="809"/>
      <c r="BD1039" s="809"/>
      <c r="BE1039" s="809"/>
      <c r="BF1039" s="809"/>
      <c r="BG1039" s="809"/>
      <c r="BH1039" s="809"/>
      <c r="BI1039" s="809"/>
      <c r="BJ1039" s="809"/>
      <c r="BK1039" s="809"/>
      <c r="BL1039" s="809"/>
      <c r="BM1039" s="809"/>
      <c r="BN1039" s="809"/>
    </row>
    <row r="1040" spans="1:66">
      <c r="A1040" s="809"/>
      <c r="B1040" s="809"/>
      <c r="C1040" s="809"/>
      <c r="D1040" s="809"/>
      <c r="E1040" s="809"/>
      <c r="F1040" s="809"/>
      <c r="G1040" s="809"/>
      <c r="H1040" s="809"/>
      <c r="I1040" s="809"/>
      <c r="J1040" s="809"/>
      <c r="K1040" s="809"/>
      <c r="L1040" s="809"/>
      <c r="M1040" s="809"/>
      <c r="N1040" s="809"/>
      <c r="O1040" s="809"/>
      <c r="P1040" s="809"/>
      <c r="Q1040" s="809"/>
      <c r="R1040" s="809"/>
      <c r="S1040" s="809"/>
      <c r="T1040" s="809"/>
      <c r="U1040" s="809"/>
      <c r="V1040" s="809"/>
      <c r="W1040" s="809"/>
      <c r="X1040" s="809"/>
      <c r="Y1040" s="809"/>
      <c r="Z1040" s="809"/>
      <c r="AA1040" s="809"/>
      <c r="AB1040" s="809"/>
      <c r="AC1040" s="809"/>
      <c r="AD1040" s="809"/>
      <c r="AE1040" s="809"/>
      <c r="AF1040" s="809"/>
      <c r="AG1040" s="809"/>
      <c r="AH1040" s="809"/>
      <c r="AI1040" s="809"/>
      <c r="AJ1040" s="809"/>
      <c r="AK1040" s="809"/>
      <c r="AL1040" s="809"/>
      <c r="AM1040" s="809"/>
      <c r="AN1040" s="809"/>
      <c r="AO1040" s="809"/>
      <c r="AP1040" s="809"/>
      <c r="AQ1040" s="809"/>
      <c r="AR1040" s="809"/>
      <c r="AS1040" s="809"/>
      <c r="AT1040" s="809"/>
      <c r="AU1040" s="809"/>
      <c r="AV1040" s="809"/>
      <c r="AW1040" s="809"/>
      <c r="AX1040" s="809"/>
      <c r="AY1040" s="809"/>
      <c r="AZ1040" s="809"/>
      <c r="BA1040" s="809"/>
      <c r="BB1040" s="809"/>
      <c r="BC1040" s="809"/>
      <c r="BD1040" s="809"/>
      <c r="BE1040" s="809"/>
      <c r="BF1040" s="809"/>
      <c r="BG1040" s="809"/>
      <c r="BH1040" s="809"/>
      <c r="BI1040" s="809"/>
      <c r="BJ1040" s="809"/>
      <c r="BK1040" s="809"/>
      <c r="BL1040" s="809"/>
      <c r="BM1040" s="809"/>
      <c r="BN1040" s="809"/>
    </row>
    <row r="1041" spans="1:66">
      <c r="A1041" s="809"/>
      <c r="B1041" s="809"/>
      <c r="C1041" s="809"/>
      <c r="D1041" s="809"/>
      <c r="E1041" s="809"/>
      <c r="F1041" s="809"/>
      <c r="G1041" s="809"/>
      <c r="H1041" s="809"/>
      <c r="I1041" s="809"/>
      <c r="J1041" s="809"/>
      <c r="K1041" s="809"/>
      <c r="L1041" s="809"/>
      <c r="M1041" s="809"/>
      <c r="N1041" s="809"/>
      <c r="O1041" s="809"/>
      <c r="P1041" s="809"/>
      <c r="Q1041" s="809"/>
      <c r="R1041" s="809"/>
      <c r="S1041" s="809"/>
      <c r="T1041" s="809"/>
      <c r="U1041" s="809"/>
      <c r="V1041" s="809"/>
      <c r="W1041" s="809"/>
      <c r="X1041" s="809"/>
      <c r="Y1041" s="809"/>
      <c r="Z1041" s="809"/>
      <c r="AA1041" s="809"/>
      <c r="AB1041" s="809"/>
      <c r="AC1041" s="809"/>
      <c r="AD1041" s="809"/>
      <c r="AE1041" s="809"/>
      <c r="AF1041" s="809"/>
      <c r="AG1041" s="809"/>
      <c r="AH1041" s="809"/>
      <c r="AI1041" s="809"/>
      <c r="AJ1041" s="809"/>
      <c r="AK1041" s="809"/>
      <c r="AL1041" s="809"/>
      <c r="AM1041" s="809"/>
      <c r="AN1041" s="809"/>
      <c r="AO1041" s="809"/>
      <c r="AP1041" s="809"/>
      <c r="AQ1041" s="809"/>
      <c r="AR1041" s="809"/>
      <c r="AS1041" s="809"/>
      <c r="AT1041" s="809"/>
      <c r="AU1041" s="809"/>
      <c r="AV1041" s="809"/>
      <c r="AW1041" s="809"/>
      <c r="AX1041" s="809"/>
      <c r="AY1041" s="809"/>
      <c r="AZ1041" s="809"/>
      <c r="BA1041" s="809"/>
      <c r="BB1041" s="809"/>
      <c r="BC1041" s="809"/>
      <c r="BD1041" s="809"/>
      <c r="BE1041" s="809"/>
      <c r="BF1041" s="809"/>
      <c r="BG1041" s="809"/>
      <c r="BH1041" s="809"/>
      <c r="BI1041" s="809"/>
      <c r="BJ1041" s="809"/>
      <c r="BK1041" s="809"/>
      <c r="BL1041" s="809"/>
      <c r="BM1041" s="809"/>
      <c r="BN1041" s="809"/>
    </row>
    <row r="1042" spans="1:66">
      <c r="A1042" s="809"/>
      <c r="B1042" s="809"/>
      <c r="C1042" s="809"/>
      <c r="D1042" s="809"/>
      <c r="E1042" s="809"/>
      <c r="F1042" s="809"/>
      <c r="G1042" s="809"/>
      <c r="H1042" s="809"/>
      <c r="I1042" s="809"/>
      <c r="J1042" s="809"/>
      <c r="K1042" s="809"/>
      <c r="L1042" s="809"/>
      <c r="M1042" s="809"/>
      <c r="N1042" s="809"/>
      <c r="O1042" s="809"/>
      <c r="P1042" s="809"/>
      <c r="Q1042" s="809"/>
      <c r="R1042" s="809"/>
      <c r="S1042" s="809"/>
      <c r="T1042" s="809"/>
      <c r="U1042" s="809"/>
      <c r="V1042" s="809"/>
      <c r="W1042" s="809"/>
      <c r="X1042" s="809"/>
      <c r="Y1042" s="809"/>
      <c r="Z1042" s="809"/>
      <c r="AA1042" s="809"/>
      <c r="AB1042" s="809"/>
      <c r="AC1042" s="809"/>
      <c r="AD1042" s="809"/>
      <c r="AE1042" s="809"/>
      <c r="AF1042" s="809"/>
      <c r="AG1042" s="809"/>
      <c r="AH1042" s="809"/>
      <c r="AI1042" s="809"/>
      <c r="AJ1042" s="809"/>
      <c r="AK1042" s="809"/>
      <c r="AL1042" s="809"/>
      <c r="AM1042" s="809"/>
      <c r="AN1042" s="809"/>
      <c r="AO1042" s="809"/>
      <c r="AP1042" s="809"/>
      <c r="AQ1042" s="809"/>
      <c r="AR1042" s="809"/>
      <c r="AS1042" s="809"/>
      <c r="AT1042" s="809"/>
      <c r="AU1042" s="809"/>
      <c r="AV1042" s="809"/>
      <c r="AW1042" s="809"/>
      <c r="AX1042" s="809"/>
      <c r="AY1042" s="809"/>
      <c r="AZ1042" s="809"/>
      <c r="BA1042" s="809"/>
      <c r="BB1042" s="809"/>
      <c r="BC1042" s="809"/>
      <c r="BD1042" s="809"/>
      <c r="BE1042" s="809"/>
      <c r="BF1042" s="809"/>
      <c r="BG1042" s="809"/>
      <c r="BH1042" s="809"/>
      <c r="BI1042" s="809"/>
      <c r="BJ1042" s="809"/>
      <c r="BK1042" s="809"/>
      <c r="BL1042" s="809"/>
      <c r="BM1042" s="809"/>
      <c r="BN1042" s="809"/>
    </row>
    <row r="1043" spans="1:66">
      <c r="A1043" s="809"/>
      <c r="B1043" s="809"/>
      <c r="C1043" s="809"/>
      <c r="D1043" s="809"/>
      <c r="E1043" s="809"/>
      <c r="F1043" s="809"/>
      <c r="G1043" s="809"/>
      <c r="H1043" s="809"/>
      <c r="I1043" s="809"/>
      <c r="J1043" s="809"/>
      <c r="K1043" s="809"/>
      <c r="L1043" s="809"/>
      <c r="M1043" s="809"/>
      <c r="N1043" s="809"/>
      <c r="O1043" s="809"/>
      <c r="P1043" s="809"/>
      <c r="Q1043" s="809"/>
      <c r="R1043" s="809"/>
      <c r="S1043" s="809"/>
      <c r="T1043" s="809"/>
      <c r="U1043" s="809"/>
      <c r="V1043" s="809"/>
      <c r="W1043" s="809"/>
      <c r="X1043" s="809"/>
      <c r="Y1043" s="809"/>
      <c r="Z1043" s="809"/>
      <c r="AA1043" s="809"/>
      <c r="AB1043" s="809"/>
      <c r="AC1043" s="809"/>
      <c r="AD1043" s="809"/>
      <c r="AE1043" s="809"/>
      <c r="AF1043" s="809"/>
      <c r="AG1043" s="809"/>
      <c r="AH1043" s="809"/>
      <c r="AI1043" s="809"/>
      <c r="AJ1043" s="809"/>
      <c r="AK1043" s="809"/>
      <c r="AL1043" s="809"/>
      <c r="AM1043" s="809"/>
      <c r="AN1043" s="809"/>
      <c r="AO1043" s="809"/>
      <c r="AP1043" s="809"/>
      <c r="AQ1043" s="809"/>
      <c r="AR1043" s="809"/>
      <c r="AS1043" s="809"/>
      <c r="AT1043" s="809"/>
      <c r="AU1043" s="809"/>
      <c r="AV1043" s="809"/>
      <c r="AW1043" s="809"/>
      <c r="AX1043" s="809"/>
      <c r="AY1043" s="809"/>
      <c r="AZ1043" s="809"/>
      <c r="BA1043" s="809"/>
      <c r="BB1043" s="809"/>
      <c r="BC1043" s="809"/>
      <c r="BD1043" s="809"/>
      <c r="BE1043" s="809"/>
      <c r="BF1043" s="809"/>
      <c r="BG1043" s="809"/>
      <c r="BH1043" s="809"/>
      <c r="BI1043" s="809"/>
      <c r="BJ1043" s="809"/>
      <c r="BK1043" s="809"/>
      <c r="BL1043" s="809"/>
      <c r="BM1043" s="809"/>
      <c r="BN1043" s="809"/>
    </row>
    <row r="1044" spans="1:66">
      <c r="A1044" s="809"/>
      <c r="B1044" s="809"/>
      <c r="C1044" s="809"/>
      <c r="D1044" s="809"/>
      <c r="E1044" s="809"/>
      <c r="F1044" s="809"/>
      <c r="G1044" s="809"/>
      <c r="H1044" s="809"/>
      <c r="I1044" s="809"/>
      <c r="J1044" s="809"/>
      <c r="K1044" s="809"/>
      <c r="L1044" s="809"/>
      <c r="M1044" s="809"/>
      <c r="N1044" s="809"/>
      <c r="O1044" s="809"/>
      <c r="P1044" s="809"/>
      <c r="Q1044" s="809"/>
      <c r="R1044" s="809"/>
      <c r="S1044" s="809"/>
      <c r="T1044" s="809"/>
      <c r="U1044" s="809"/>
      <c r="V1044" s="809"/>
      <c r="W1044" s="809"/>
      <c r="X1044" s="809"/>
      <c r="Y1044" s="809"/>
      <c r="Z1044" s="809"/>
      <c r="AA1044" s="809"/>
      <c r="AB1044" s="809"/>
      <c r="AC1044" s="809"/>
      <c r="AD1044" s="809"/>
      <c r="AE1044" s="809"/>
      <c r="AF1044" s="809"/>
      <c r="AG1044" s="809"/>
      <c r="AH1044" s="809"/>
      <c r="AI1044" s="809"/>
      <c r="AJ1044" s="809"/>
      <c r="AK1044" s="809"/>
      <c r="AL1044" s="809"/>
      <c r="AM1044" s="809"/>
      <c r="AN1044" s="809"/>
      <c r="AO1044" s="809"/>
      <c r="AP1044" s="809"/>
      <c r="AQ1044" s="809"/>
      <c r="AR1044" s="809"/>
      <c r="AS1044" s="809"/>
      <c r="AT1044" s="809"/>
      <c r="AU1044" s="809"/>
      <c r="AV1044" s="809"/>
      <c r="AW1044" s="809"/>
      <c r="AX1044" s="809"/>
      <c r="AY1044" s="809"/>
      <c r="AZ1044" s="809"/>
      <c r="BA1044" s="809"/>
      <c r="BB1044" s="809"/>
      <c r="BC1044" s="809"/>
      <c r="BD1044" s="809"/>
      <c r="BE1044" s="809"/>
      <c r="BF1044" s="809"/>
      <c r="BG1044" s="809"/>
      <c r="BH1044" s="809"/>
      <c r="BI1044" s="809"/>
      <c r="BJ1044" s="809"/>
      <c r="BK1044" s="809"/>
      <c r="BL1044" s="809"/>
      <c r="BM1044" s="809"/>
      <c r="BN1044" s="809"/>
    </row>
    <row r="1045" spans="1:66">
      <c r="A1045" s="809"/>
      <c r="B1045" s="809"/>
      <c r="C1045" s="809"/>
      <c r="D1045" s="809"/>
      <c r="E1045" s="809"/>
      <c r="F1045" s="809"/>
      <c r="G1045" s="809"/>
      <c r="H1045" s="809"/>
      <c r="I1045" s="809"/>
      <c r="J1045" s="809"/>
      <c r="K1045" s="809"/>
      <c r="L1045" s="809"/>
      <c r="M1045" s="809"/>
      <c r="N1045" s="809"/>
      <c r="O1045" s="809"/>
      <c r="P1045" s="809"/>
      <c r="Q1045" s="809"/>
      <c r="R1045" s="809"/>
      <c r="S1045" s="809"/>
      <c r="T1045" s="809"/>
      <c r="U1045" s="809"/>
      <c r="V1045" s="809"/>
      <c r="W1045" s="809"/>
      <c r="X1045" s="809"/>
      <c r="Y1045" s="809"/>
      <c r="Z1045" s="809"/>
      <c r="AA1045" s="809"/>
      <c r="AB1045" s="809"/>
      <c r="AC1045" s="809"/>
      <c r="AD1045" s="809"/>
      <c r="AE1045" s="809"/>
      <c r="AF1045" s="809"/>
      <c r="AG1045" s="809"/>
      <c r="AH1045" s="809"/>
      <c r="AI1045" s="809"/>
      <c r="AJ1045" s="809"/>
      <c r="AK1045" s="809"/>
      <c r="AL1045" s="809"/>
      <c r="AM1045" s="809"/>
      <c r="AN1045" s="809"/>
      <c r="AO1045" s="809"/>
      <c r="AP1045" s="809"/>
      <c r="AQ1045" s="809"/>
      <c r="AR1045" s="809"/>
      <c r="AS1045" s="809"/>
      <c r="AT1045" s="809"/>
      <c r="AU1045" s="809"/>
      <c r="AV1045" s="809"/>
      <c r="AW1045" s="809"/>
      <c r="AX1045" s="809"/>
      <c r="AY1045" s="809"/>
      <c r="AZ1045" s="809"/>
      <c r="BA1045" s="809"/>
      <c r="BB1045" s="809"/>
      <c r="BC1045" s="809"/>
      <c r="BD1045" s="809"/>
      <c r="BE1045" s="809"/>
      <c r="BF1045" s="809"/>
      <c r="BG1045" s="809"/>
      <c r="BH1045" s="809"/>
      <c r="BI1045" s="809"/>
      <c r="BJ1045" s="809"/>
      <c r="BK1045" s="809"/>
      <c r="BL1045" s="809"/>
      <c r="BM1045" s="809"/>
      <c r="BN1045" s="809"/>
    </row>
    <row r="1046" spans="1:66">
      <c r="A1046" s="809"/>
      <c r="B1046" s="809"/>
      <c r="C1046" s="809"/>
      <c r="D1046" s="809"/>
      <c r="E1046" s="809"/>
      <c r="F1046" s="809"/>
      <c r="G1046" s="809"/>
      <c r="H1046" s="809"/>
      <c r="I1046" s="809"/>
      <c r="J1046" s="809"/>
      <c r="K1046" s="809"/>
      <c r="L1046" s="809"/>
      <c r="M1046" s="809"/>
      <c r="N1046" s="809"/>
      <c r="O1046" s="809"/>
      <c r="P1046" s="809"/>
      <c r="Q1046" s="809"/>
      <c r="R1046" s="809"/>
      <c r="S1046" s="809"/>
      <c r="T1046" s="809"/>
      <c r="U1046" s="809"/>
      <c r="V1046" s="809"/>
      <c r="W1046" s="809"/>
      <c r="X1046" s="809"/>
      <c r="Y1046" s="809"/>
      <c r="Z1046" s="809"/>
      <c r="AA1046" s="809"/>
      <c r="AB1046" s="809"/>
      <c r="AC1046" s="809"/>
      <c r="AD1046" s="809"/>
      <c r="AE1046" s="809"/>
      <c r="AF1046" s="809"/>
      <c r="AG1046" s="809"/>
      <c r="AH1046" s="809"/>
      <c r="AI1046" s="809"/>
      <c r="AJ1046" s="809"/>
      <c r="AK1046" s="809"/>
      <c r="AL1046" s="809"/>
      <c r="AM1046" s="809"/>
      <c r="AN1046" s="809"/>
      <c r="AO1046" s="809"/>
      <c r="AP1046" s="809"/>
      <c r="AQ1046" s="809"/>
      <c r="AR1046" s="809"/>
      <c r="AS1046" s="809"/>
      <c r="AT1046" s="809"/>
      <c r="AU1046" s="809"/>
      <c r="AV1046" s="809"/>
      <c r="AW1046" s="809"/>
      <c r="AX1046" s="809"/>
      <c r="AY1046" s="809"/>
      <c r="AZ1046" s="809"/>
      <c r="BA1046" s="809"/>
      <c r="BB1046" s="809"/>
      <c r="BC1046" s="809"/>
      <c r="BD1046" s="809"/>
      <c r="BE1046" s="809"/>
      <c r="BF1046" s="809"/>
      <c r="BG1046" s="809"/>
      <c r="BH1046" s="809"/>
      <c r="BI1046" s="809"/>
      <c r="BJ1046" s="809"/>
      <c r="BK1046" s="809"/>
      <c r="BL1046" s="809"/>
      <c r="BM1046" s="809"/>
      <c r="BN1046" s="809"/>
    </row>
    <row r="1047" spans="1:66">
      <c r="A1047" s="809"/>
      <c r="B1047" s="809"/>
      <c r="C1047" s="809"/>
      <c r="D1047" s="809"/>
      <c r="E1047" s="809"/>
      <c r="F1047" s="809"/>
      <c r="G1047" s="809"/>
      <c r="H1047" s="809"/>
      <c r="I1047" s="809"/>
      <c r="J1047" s="809"/>
      <c r="K1047" s="809"/>
      <c r="L1047" s="809"/>
      <c r="M1047" s="809"/>
      <c r="N1047" s="809"/>
      <c r="O1047" s="809"/>
      <c r="P1047" s="809"/>
      <c r="Q1047" s="809"/>
      <c r="R1047" s="809"/>
      <c r="S1047" s="809"/>
      <c r="T1047" s="809"/>
      <c r="U1047" s="809"/>
      <c r="V1047" s="809"/>
      <c r="W1047" s="809"/>
      <c r="X1047" s="809"/>
      <c r="Y1047" s="809"/>
      <c r="Z1047" s="809"/>
      <c r="AA1047" s="809"/>
      <c r="AB1047" s="809"/>
      <c r="AC1047" s="809"/>
      <c r="AD1047" s="809"/>
      <c r="AE1047" s="809"/>
      <c r="AF1047" s="809"/>
      <c r="AG1047" s="809"/>
      <c r="AH1047" s="809"/>
      <c r="AI1047" s="809"/>
      <c r="AJ1047" s="809"/>
      <c r="AK1047" s="809"/>
      <c r="AL1047" s="809"/>
      <c r="AM1047" s="809"/>
      <c r="AN1047" s="809"/>
      <c r="AO1047" s="809"/>
      <c r="AP1047" s="809"/>
      <c r="AQ1047" s="809"/>
      <c r="AR1047" s="809"/>
      <c r="AS1047" s="809"/>
      <c r="AT1047" s="809"/>
      <c r="AU1047" s="809"/>
      <c r="AV1047" s="809"/>
      <c r="AW1047" s="809"/>
      <c r="AX1047" s="809"/>
      <c r="AY1047" s="809"/>
      <c r="AZ1047" s="809"/>
      <c r="BA1047" s="809"/>
      <c r="BB1047" s="809"/>
      <c r="BC1047" s="809"/>
      <c r="BD1047" s="809"/>
      <c r="BE1047" s="809"/>
      <c r="BF1047" s="809"/>
      <c r="BG1047" s="809"/>
      <c r="BH1047" s="809"/>
      <c r="BI1047" s="809"/>
      <c r="BJ1047" s="809"/>
      <c r="BK1047" s="809"/>
      <c r="BL1047" s="809"/>
      <c r="BM1047" s="809"/>
      <c r="BN1047" s="809"/>
    </row>
    <row r="1048" spans="1:66">
      <c r="A1048" s="809"/>
      <c r="B1048" s="809"/>
      <c r="C1048" s="809"/>
      <c r="D1048" s="809"/>
      <c r="E1048" s="809"/>
      <c r="F1048" s="809"/>
      <c r="G1048" s="809"/>
      <c r="H1048" s="809"/>
      <c r="I1048" s="809"/>
      <c r="J1048" s="809"/>
      <c r="K1048" s="809"/>
      <c r="L1048" s="809"/>
      <c r="M1048" s="809"/>
      <c r="N1048" s="809"/>
      <c r="O1048" s="809"/>
      <c r="P1048" s="809"/>
      <c r="Q1048" s="809"/>
      <c r="R1048" s="809"/>
      <c r="S1048" s="809"/>
      <c r="T1048" s="809"/>
      <c r="U1048" s="809"/>
      <c r="V1048" s="809"/>
      <c r="W1048" s="809"/>
      <c r="X1048" s="809"/>
      <c r="Y1048" s="809"/>
      <c r="Z1048" s="809"/>
      <c r="AA1048" s="809"/>
      <c r="AB1048" s="809"/>
      <c r="AC1048" s="809"/>
      <c r="AD1048" s="809"/>
      <c r="AE1048" s="809"/>
      <c r="AF1048" s="809"/>
      <c r="AG1048" s="809"/>
      <c r="AH1048" s="809"/>
      <c r="AI1048" s="809"/>
      <c r="AJ1048" s="809"/>
      <c r="AK1048" s="809"/>
      <c r="AL1048" s="809"/>
      <c r="AM1048" s="809"/>
      <c r="AN1048" s="809"/>
      <c r="AO1048" s="809"/>
      <c r="AP1048" s="809"/>
      <c r="AQ1048" s="809"/>
      <c r="AR1048" s="809"/>
      <c r="AS1048" s="809"/>
      <c r="AT1048" s="809"/>
      <c r="AU1048" s="809"/>
      <c r="AV1048" s="809"/>
      <c r="AW1048" s="809"/>
      <c r="AX1048" s="809"/>
      <c r="AY1048" s="809"/>
      <c r="AZ1048" s="809"/>
      <c r="BA1048" s="809"/>
      <c r="BB1048" s="809"/>
      <c r="BC1048" s="809"/>
      <c r="BD1048" s="809"/>
      <c r="BE1048" s="809"/>
      <c r="BF1048" s="809"/>
      <c r="BG1048" s="809"/>
      <c r="BH1048" s="809"/>
      <c r="BI1048" s="809"/>
      <c r="BJ1048" s="809"/>
      <c r="BK1048" s="809"/>
      <c r="BL1048" s="809"/>
      <c r="BM1048" s="809"/>
      <c r="BN1048" s="809"/>
    </row>
    <row r="1049" spans="1:66">
      <c r="A1049" s="809"/>
      <c r="B1049" s="809"/>
      <c r="C1049" s="809"/>
      <c r="D1049" s="809"/>
      <c r="E1049" s="809"/>
      <c r="F1049" s="809"/>
      <c r="G1049" s="809"/>
      <c r="H1049" s="809"/>
      <c r="I1049" s="809"/>
      <c r="J1049" s="809"/>
      <c r="K1049" s="809"/>
      <c r="L1049" s="809"/>
      <c r="M1049" s="809"/>
      <c r="N1049" s="809"/>
      <c r="O1049" s="809"/>
      <c r="P1049" s="809"/>
      <c r="Q1049" s="809"/>
      <c r="R1049" s="809"/>
      <c r="S1049" s="809"/>
      <c r="T1049" s="809"/>
      <c r="U1049" s="809"/>
      <c r="V1049" s="809"/>
      <c r="W1049" s="809"/>
      <c r="X1049" s="809"/>
      <c r="Y1049" s="809"/>
      <c r="Z1049" s="809"/>
      <c r="AA1049" s="809"/>
      <c r="AB1049" s="809"/>
      <c r="AC1049" s="809"/>
      <c r="AD1049" s="809"/>
      <c r="AE1049" s="809"/>
      <c r="AF1049" s="809"/>
      <c r="AG1049" s="809"/>
      <c r="AH1049" s="809"/>
      <c r="AI1049" s="809"/>
      <c r="AJ1049" s="809"/>
      <c r="AK1049" s="809"/>
      <c r="AL1049" s="809"/>
      <c r="AM1049" s="809"/>
      <c r="AN1049" s="809"/>
      <c r="AO1049" s="809"/>
      <c r="AP1049" s="809"/>
      <c r="AQ1049" s="809"/>
      <c r="AR1049" s="809"/>
      <c r="AS1049" s="809"/>
      <c r="AT1049" s="809"/>
      <c r="AU1049" s="809"/>
      <c r="AV1049" s="809"/>
      <c r="AW1049" s="809"/>
      <c r="AX1049" s="809"/>
      <c r="AY1049" s="809"/>
      <c r="AZ1049" s="809"/>
      <c r="BA1049" s="809"/>
      <c r="BB1049" s="809"/>
      <c r="BC1049" s="809"/>
      <c r="BD1049" s="809"/>
      <c r="BE1049" s="809"/>
      <c r="BF1049" s="809"/>
      <c r="BG1049" s="809"/>
      <c r="BH1049" s="809"/>
      <c r="BI1049" s="809"/>
      <c r="BJ1049" s="809"/>
      <c r="BK1049" s="809"/>
      <c r="BL1049" s="809"/>
      <c r="BM1049" s="809"/>
      <c r="BN1049" s="809"/>
    </row>
    <row r="1050" spans="1:66">
      <c r="A1050" s="809"/>
      <c r="B1050" s="809"/>
      <c r="C1050" s="809"/>
      <c r="D1050" s="809"/>
      <c r="E1050" s="809"/>
      <c r="F1050" s="809"/>
      <c r="G1050" s="809"/>
      <c r="H1050" s="809"/>
      <c r="I1050" s="809"/>
      <c r="J1050" s="809"/>
      <c r="K1050" s="809"/>
      <c r="L1050" s="809"/>
      <c r="M1050" s="809"/>
      <c r="N1050" s="809"/>
      <c r="O1050" s="809"/>
      <c r="P1050" s="809"/>
      <c r="Q1050" s="809"/>
      <c r="R1050" s="809"/>
      <c r="S1050" s="809"/>
      <c r="T1050" s="809"/>
      <c r="U1050" s="809"/>
      <c r="V1050" s="809"/>
      <c r="W1050" s="809"/>
      <c r="X1050" s="809"/>
      <c r="Y1050" s="809"/>
      <c r="Z1050" s="809"/>
      <c r="AA1050" s="809"/>
      <c r="AB1050" s="809"/>
      <c r="AC1050" s="809"/>
      <c r="AD1050" s="809"/>
      <c r="AE1050" s="809"/>
      <c r="AF1050" s="809"/>
      <c r="AG1050" s="809"/>
      <c r="AH1050" s="809"/>
      <c r="AI1050" s="809"/>
      <c r="AJ1050" s="809"/>
      <c r="AK1050" s="809"/>
      <c r="AL1050" s="809"/>
      <c r="AM1050" s="809"/>
      <c r="AN1050" s="809"/>
      <c r="AO1050" s="809"/>
      <c r="AP1050" s="809"/>
      <c r="AQ1050" s="809"/>
      <c r="AR1050" s="809"/>
      <c r="AS1050" s="809"/>
      <c r="AT1050" s="809"/>
      <c r="AU1050" s="809"/>
      <c r="AV1050" s="809"/>
      <c r="AW1050" s="809"/>
      <c r="AX1050" s="809"/>
      <c r="AY1050" s="809"/>
      <c r="AZ1050" s="809"/>
      <c r="BA1050" s="809"/>
      <c r="BB1050" s="809"/>
      <c r="BC1050" s="809"/>
      <c r="BD1050" s="809"/>
      <c r="BE1050" s="809"/>
      <c r="BF1050" s="809"/>
      <c r="BG1050" s="809"/>
      <c r="BH1050" s="809"/>
      <c r="BI1050" s="809"/>
      <c r="BJ1050" s="809"/>
      <c r="BK1050" s="809"/>
      <c r="BL1050" s="809"/>
      <c r="BM1050" s="809"/>
      <c r="BN1050" s="809"/>
    </row>
    <row r="1051" spans="1:66">
      <c r="A1051" s="809"/>
      <c r="B1051" s="809"/>
      <c r="C1051" s="809"/>
      <c r="D1051" s="809"/>
      <c r="E1051" s="809"/>
      <c r="F1051" s="809"/>
      <c r="G1051" s="809"/>
      <c r="H1051" s="809"/>
      <c r="I1051" s="809"/>
      <c r="J1051" s="809"/>
      <c r="K1051" s="809"/>
      <c r="L1051" s="809"/>
      <c r="M1051" s="809"/>
      <c r="N1051" s="809"/>
      <c r="O1051" s="809"/>
      <c r="P1051" s="809"/>
      <c r="Q1051" s="809"/>
      <c r="R1051" s="809"/>
      <c r="S1051" s="809"/>
      <c r="T1051" s="809"/>
      <c r="U1051" s="809"/>
      <c r="V1051" s="809"/>
      <c r="W1051" s="809"/>
      <c r="X1051" s="809"/>
      <c r="Y1051" s="809"/>
      <c r="Z1051" s="809"/>
      <c r="AA1051" s="809"/>
      <c r="AB1051" s="809"/>
      <c r="AC1051" s="809"/>
      <c r="AD1051" s="809"/>
      <c r="AE1051" s="809"/>
      <c r="AF1051" s="809"/>
      <c r="AG1051" s="809"/>
      <c r="AH1051" s="809"/>
      <c r="AI1051" s="809"/>
      <c r="AJ1051" s="809"/>
      <c r="AK1051" s="809"/>
      <c r="AL1051" s="809"/>
      <c r="AM1051" s="809"/>
      <c r="AN1051" s="809"/>
      <c r="AO1051" s="809"/>
      <c r="AP1051" s="809"/>
      <c r="AQ1051" s="809"/>
      <c r="AR1051" s="809"/>
      <c r="AS1051" s="809"/>
      <c r="AT1051" s="809"/>
      <c r="AU1051" s="809"/>
      <c r="AV1051" s="809"/>
      <c r="AW1051" s="809"/>
      <c r="AX1051" s="809"/>
      <c r="AY1051" s="809"/>
      <c r="AZ1051" s="809"/>
      <c r="BA1051" s="809"/>
      <c r="BB1051" s="809"/>
      <c r="BC1051" s="809"/>
      <c r="BD1051" s="809"/>
      <c r="BE1051" s="809"/>
      <c r="BF1051" s="809"/>
      <c r="BG1051" s="809"/>
      <c r="BH1051" s="809"/>
      <c r="BI1051" s="809"/>
      <c r="BJ1051" s="809"/>
      <c r="BK1051" s="809"/>
      <c r="BL1051" s="809"/>
      <c r="BM1051" s="809"/>
      <c r="BN1051" s="809"/>
    </row>
    <row r="1052" spans="1:66">
      <c r="A1052" s="809"/>
      <c r="B1052" s="809"/>
      <c r="C1052" s="809"/>
      <c r="D1052" s="809"/>
      <c r="E1052" s="809"/>
      <c r="F1052" s="809"/>
      <c r="G1052" s="809"/>
      <c r="H1052" s="809"/>
      <c r="I1052" s="809"/>
      <c r="J1052" s="809"/>
      <c r="K1052" s="809"/>
      <c r="L1052" s="809"/>
      <c r="M1052" s="809"/>
      <c r="N1052" s="809"/>
      <c r="O1052" s="809"/>
      <c r="P1052" s="809"/>
      <c r="Q1052" s="809"/>
      <c r="R1052" s="809"/>
      <c r="S1052" s="809"/>
      <c r="T1052" s="809"/>
      <c r="U1052" s="809"/>
      <c r="V1052" s="809"/>
      <c r="W1052" s="809"/>
      <c r="X1052" s="809"/>
      <c r="Y1052" s="809"/>
      <c r="Z1052" s="809"/>
      <c r="AA1052" s="809"/>
      <c r="AB1052" s="809"/>
      <c r="AC1052" s="809"/>
      <c r="AD1052" s="809"/>
      <c r="AE1052" s="809"/>
      <c r="AF1052" s="809"/>
      <c r="AG1052" s="809"/>
      <c r="AH1052" s="809"/>
      <c r="AI1052" s="809"/>
      <c r="AJ1052" s="809"/>
      <c r="AK1052" s="809"/>
      <c r="AL1052" s="809"/>
      <c r="AM1052" s="809"/>
      <c r="AN1052" s="809"/>
      <c r="AO1052" s="809"/>
      <c r="AP1052" s="809"/>
      <c r="AQ1052" s="809"/>
      <c r="AR1052" s="809"/>
      <c r="AS1052" s="809"/>
      <c r="AT1052" s="809"/>
      <c r="AU1052" s="809"/>
      <c r="AV1052" s="809"/>
      <c r="AW1052" s="809"/>
      <c r="AX1052" s="809"/>
      <c r="AY1052" s="809"/>
      <c r="AZ1052" s="809"/>
      <c r="BA1052" s="809"/>
      <c r="BB1052" s="809"/>
      <c r="BC1052" s="809"/>
      <c r="BD1052" s="809"/>
      <c r="BE1052" s="809"/>
      <c r="BF1052" s="809"/>
      <c r="BG1052" s="809"/>
      <c r="BH1052" s="809"/>
      <c r="BI1052" s="809"/>
      <c r="BJ1052" s="809"/>
      <c r="BK1052" s="809"/>
      <c r="BL1052" s="809"/>
      <c r="BM1052" s="809"/>
      <c r="BN1052" s="809"/>
    </row>
    <row r="1053" spans="1:66">
      <c r="A1053" s="809"/>
      <c r="B1053" s="809"/>
      <c r="C1053" s="809"/>
      <c r="D1053" s="809"/>
      <c r="E1053" s="809"/>
      <c r="F1053" s="809"/>
      <c r="G1053" s="809"/>
      <c r="H1053" s="809"/>
      <c r="I1053" s="809"/>
      <c r="J1053" s="809"/>
      <c r="K1053" s="809"/>
      <c r="L1053" s="809"/>
      <c r="M1053" s="809"/>
      <c r="N1053" s="809"/>
      <c r="O1053" s="809"/>
      <c r="P1053" s="809"/>
      <c r="Q1053" s="809"/>
      <c r="R1053" s="809"/>
      <c r="S1053" s="809"/>
      <c r="T1053" s="809"/>
      <c r="U1053" s="809"/>
      <c r="V1053" s="809"/>
      <c r="W1053" s="809"/>
      <c r="X1053" s="809"/>
      <c r="Y1053" s="809"/>
      <c r="Z1053" s="809"/>
      <c r="AA1053" s="809"/>
      <c r="AB1053" s="809"/>
      <c r="AC1053" s="809"/>
      <c r="AD1053" s="809"/>
      <c r="AE1053" s="809"/>
      <c r="AF1053" s="809"/>
      <c r="AG1053" s="809"/>
      <c r="AH1053" s="809"/>
      <c r="AI1053" s="809"/>
      <c r="AJ1053" s="809"/>
      <c r="AK1053" s="809"/>
      <c r="AL1053" s="809"/>
      <c r="AM1053" s="809"/>
      <c r="AN1053" s="809"/>
      <c r="AO1053" s="809"/>
      <c r="AP1053" s="809"/>
      <c r="AQ1053" s="809"/>
      <c r="AR1053" s="809"/>
      <c r="AS1053" s="809"/>
      <c r="AT1053" s="809"/>
      <c r="AU1053" s="809"/>
      <c r="AV1053" s="809"/>
      <c r="AW1053" s="809"/>
      <c r="AX1053" s="809"/>
      <c r="AY1053" s="809"/>
      <c r="AZ1053" s="809"/>
      <c r="BA1053" s="809"/>
      <c r="BB1053" s="809"/>
      <c r="BC1053" s="809"/>
      <c r="BD1053" s="809"/>
      <c r="BE1053" s="809"/>
      <c r="BF1053" s="809"/>
      <c r="BG1053" s="809"/>
      <c r="BH1053" s="809"/>
      <c r="BI1053" s="809"/>
      <c r="BJ1053" s="809"/>
      <c r="BK1053" s="809"/>
      <c r="BL1053" s="809"/>
      <c r="BM1053" s="809"/>
      <c r="BN1053" s="809"/>
    </row>
    <row r="1054" spans="1:66">
      <c r="A1054" s="809"/>
      <c r="B1054" s="809"/>
      <c r="C1054" s="809"/>
      <c r="D1054" s="809"/>
      <c r="E1054" s="809"/>
      <c r="F1054" s="809"/>
      <c r="G1054" s="809"/>
      <c r="H1054" s="809"/>
      <c r="I1054" s="809"/>
      <c r="J1054" s="809"/>
      <c r="K1054" s="809"/>
      <c r="L1054" s="809"/>
      <c r="M1054" s="809"/>
      <c r="N1054" s="809"/>
      <c r="O1054" s="809"/>
      <c r="P1054" s="809"/>
      <c r="Q1054" s="809"/>
      <c r="R1054" s="809"/>
      <c r="S1054" s="809"/>
      <c r="T1054" s="809"/>
      <c r="U1054" s="809"/>
      <c r="V1054" s="809"/>
      <c r="W1054" s="809"/>
      <c r="X1054" s="809"/>
      <c r="Y1054" s="809"/>
      <c r="Z1054" s="809"/>
      <c r="AA1054" s="809"/>
      <c r="AB1054" s="809"/>
      <c r="AC1054" s="809"/>
      <c r="AD1054" s="809"/>
      <c r="AE1054" s="809"/>
      <c r="AF1054" s="809"/>
      <c r="AG1054" s="809"/>
      <c r="AH1054" s="809"/>
      <c r="AI1054" s="809"/>
      <c r="AJ1054" s="809"/>
      <c r="AK1054" s="809"/>
      <c r="AL1054" s="809"/>
      <c r="AM1054" s="809"/>
      <c r="AN1054" s="809"/>
      <c r="AO1054" s="809"/>
      <c r="AP1054" s="809"/>
      <c r="AQ1054" s="809"/>
      <c r="AR1054" s="809"/>
      <c r="AS1054" s="809"/>
      <c r="AT1054" s="809"/>
      <c r="AU1054" s="809"/>
      <c r="AV1054" s="809"/>
      <c r="AW1054" s="809"/>
      <c r="AX1054" s="809"/>
      <c r="AY1054" s="809"/>
      <c r="AZ1054" s="809"/>
      <c r="BA1054" s="809"/>
      <c r="BB1054" s="809"/>
      <c r="BC1054" s="809"/>
      <c r="BD1054" s="809"/>
      <c r="BE1054" s="809"/>
      <c r="BF1054" s="809"/>
      <c r="BG1054" s="809"/>
      <c r="BH1054" s="809"/>
      <c r="BI1054" s="809"/>
      <c r="BJ1054" s="809"/>
      <c r="BK1054" s="809"/>
      <c r="BL1054" s="809"/>
      <c r="BM1054" s="809"/>
      <c r="BN1054" s="809"/>
    </row>
    <row r="1055" spans="1:66">
      <c r="A1055" s="809"/>
      <c r="B1055" s="809"/>
      <c r="C1055" s="809"/>
      <c r="D1055" s="809"/>
      <c r="E1055" s="809"/>
      <c r="F1055" s="809"/>
      <c r="G1055" s="809"/>
      <c r="H1055" s="809"/>
      <c r="I1055" s="809"/>
      <c r="J1055" s="809"/>
      <c r="K1055" s="809"/>
      <c r="L1055" s="809"/>
      <c r="M1055" s="809"/>
      <c r="N1055" s="809"/>
      <c r="O1055" s="809"/>
      <c r="P1055" s="809"/>
      <c r="Q1055" s="809"/>
      <c r="R1055" s="809"/>
      <c r="S1055" s="809"/>
      <c r="T1055" s="809"/>
      <c r="U1055" s="809"/>
      <c r="V1055" s="809"/>
      <c r="W1055" s="809"/>
      <c r="X1055" s="809"/>
      <c r="Y1055" s="809"/>
      <c r="Z1055" s="809"/>
      <c r="AA1055" s="809"/>
      <c r="AB1055" s="809"/>
      <c r="AC1055" s="809"/>
      <c r="AD1055" s="809"/>
      <c r="AE1055" s="809"/>
      <c r="AF1055" s="809"/>
      <c r="AG1055" s="809"/>
      <c r="AH1055" s="809"/>
      <c r="AI1055" s="809"/>
      <c r="AJ1055" s="809"/>
      <c r="AK1055" s="809"/>
      <c r="AL1055" s="809"/>
      <c r="AM1055" s="809"/>
      <c r="AN1055" s="809"/>
      <c r="AO1055" s="809"/>
      <c r="AP1055" s="809"/>
      <c r="AQ1055" s="809"/>
      <c r="AR1055" s="809"/>
      <c r="AS1055" s="809"/>
      <c r="AT1055" s="809"/>
      <c r="AU1055" s="809"/>
      <c r="AV1055" s="809"/>
      <c r="AW1055" s="809"/>
      <c r="AX1055" s="809"/>
      <c r="AY1055" s="809"/>
      <c r="AZ1055" s="809"/>
      <c r="BA1055" s="809"/>
      <c r="BB1055" s="809"/>
      <c r="BC1055" s="809"/>
      <c r="BD1055" s="809"/>
      <c r="BE1055" s="809"/>
      <c r="BF1055" s="809"/>
      <c r="BG1055" s="809"/>
      <c r="BH1055" s="809"/>
      <c r="BI1055" s="809"/>
      <c r="BJ1055" s="809"/>
      <c r="BK1055" s="809"/>
      <c r="BL1055" s="809"/>
      <c r="BM1055" s="809"/>
      <c r="BN1055" s="809"/>
    </row>
    <row r="1056" spans="1:66">
      <c r="A1056" s="809"/>
      <c r="B1056" s="809"/>
      <c r="C1056" s="809"/>
      <c r="D1056" s="809"/>
      <c r="E1056" s="809"/>
      <c r="F1056" s="809"/>
      <c r="G1056" s="809"/>
      <c r="H1056" s="809"/>
      <c r="I1056" s="809"/>
      <c r="J1056" s="809"/>
      <c r="K1056" s="809"/>
      <c r="L1056" s="809"/>
      <c r="M1056" s="809"/>
      <c r="N1056" s="809"/>
      <c r="O1056" s="809"/>
      <c r="P1056" s="809"/>
      <c r="Q1056" s="809"/>
      <c r="R1056" s="809"/>
      <c r="S1056" s="809"/>
      <c r="T1056" s="809"/>
      <c r="U1056" s="809"/>
      <c r="V1056" s="809"/>
      <c r="W1056" s="809"/>
      <c r="X1056" s="809"/>
      <c r="Y1056" s="809"/>
      <c r="Z1056" s="809"/>
      <c r="AA1056" s="809"/>
      <c r="AB1056" s="809"/>
      <c r="AC1056" s="809"/>
      <c r="AD1056" s="809"/>
      <c r="AE1056" s="809"/>
      <c r="AF1056" s="809"/>
      <c r="AG1056" s="809"/>
      <c r="AH1056" s="809"/>
      <c r="AI1056" s="809"/>
      <c r="AJ1056" s="809"/>
      <c r="AK1056" s="809"/>
      <c r="AL1056" s="809"/>
      <c r="AM1056" s="809"/>
      <c r="AN1056" s="809"/>
      <c r="AO1056" s="809"/>
      <c r="AP1056" s="809"/>
      <c r="AQ1056" s="809"/>
      <c r="AR1056" s="809"/>
      <c r="AS1056" s="809"/>
      <c r="AT1056" s="809"/>
      <c r="AU1056" s="809"/>
      <c r="AV1056" s="809"/>
      <c r="AW1056" s="809"/>
      <c r="AX1056" s="809"/>
      <c r="AY1056" s="809"/>
      <c r="AZ1056" s="809"/>
      <c r="BA1056" s="809"/>
      <c r="BB1056" s="809"/>
      <c r="BC1056" s="809"/>
      <c r="BD1056" s="809"/>
      <c r="BE1056" s="809"/>
      <c r="BF1056" s="809"/>
      <c r="BG1056" s="809"/>
      <c r="BH1056" s="809"/>
      <c r="BI1056" s="809"/>
      <c r="BJ1056" s="809"/>
      <c r="BK1056" s="809"/>
      <c r="BL1056" s="809"/>
      <c r="BM1056" s="809"/>
      <c r="BN1056" s="809"/>
    </row>
    <row r="1057" spans="1:66">
      <c r="A1057" s="809"/>
      <c r="B1057" s="809"/>
      <c r="C1057" s="809"/>
      <c r="D1057" s="809"/>
      <c r="E1057" s="809"/>
      <c r="F1057" s="809"/>
      <c r="G1057" s="809"/>
      <c r="H1057" s="809"/>
      <c r="I1057" s="809"/>
      <c r="J1057" s="809"/>
      <c r="K1057" s="809"/>
      <c r="L1057" s="809"/>
      <c r="M1057" s="809"/>
      <c r="N1057" s="809"/>
      <c r="O1057" s="809"/>
      <c r="P1057" s="809"/>
      <c r="Q1057" s="809"/>
      <c r="R1057" s="809"/>
      <c r="S1057" s="809"/>
      <c r="T1057" s="809"/>
      <c r="U1057" s="809"/>
      <c r="V1057" s="809"/>
      <c r="W1057" s="809"/>
      <c r="X1057" s="809"/>
      <c r="Y1057" s="809"/>
      <c r="Z1057" s="809"/>
      <c r="AA1057" s="809"/>
      <c r="AB1057" s="809"/>
      <c r="AC1057" s="809"/>
      <c r="AD1057" s="809"/>
      <c r="AE1057" s="809"/>
      <c r="AF1057" s="809"/>
      <c r="AG1057" s="809"/>
      <c r="AH1057" s="809"/>
      <c r="AI1057" s="809"/>
      <c r="AJ1057" s="809"/>
      <c r="AK1057" s="809"/>
      <c r="AL1057" s="809"/>
      <c r="AM1057" s="809"/>
      <c r="AN1057" s="809"/>
      <c r="AO1057" s="809"/>
      <c r="AP1057" s="809"/>
      <c r="AQ1057" s="809"/>
      <c r="AR1057" s="809"/>
      <c r="AS1057" s="809"/>
      <c r="AT1057" s="809"/>
      <c r="AU1057" s="809"/>
      <c r="AV1057" s="809"/>
      <c r="AW1057" s="809"/>
      <c r="AX1057" s="809"/>
      <c r="AY1057" s="809"/>
      <c r="AZ1057" s="809"/>
      <c r="BA1057" s="809"/>
      <c r="BB1057" s="809"/>
      <c r="BC1057" s="809"/>
      <c r="BD1057" s="809"/>
      <c r="BE1057" s="809"/>
      <c r="BF1057" s="809"/>
      <c r="BG1057" s="809"/>
      <c r="BH1057" s="809"/>
      <c r="BI1057" s="809"/>
      <c r="BJ1057" s="809"/>
      <c r="BK1057" s="809"/>
      <c r="BL1057" s="809"/>
      <c r="BM1057" s="809"/>
      <c r="BN1057" s="809"/>
    </row>
    <row r="1058" spans="1:66">
      <c r="A1058" s="809"/>
      <c r="B1058" s="809"/>
      <c r="C1058" s="809"/>
      <c r="D1058" s="809"/>
      <c r="E1058" s="809"/>
      <c r="F1058" s="809"/>
      <c r="G1058" s="809"/>
      <c r="H1058" s="809"/>
      <c r="I1058" s="809"/>
      <c r="J1058" s="809"/>
      <c r="K1058" s="809"/>
      <c r="L1058" s="809"/>
      <c r="M1058" s="809"/>
      <c r="N1058" s="809"/>
      <c r="O1058" s="809"/>
      <c r="P1058" s="809"/>
      <c r="Q1058" s="809"/>
      <c r="R1058" s="809"/>
      <c r="S1058" s="809"/>
      <c r="T1058" s="809"/>
      <c r="U1058" s="809"/>
      <c r="V1058" s="809"/>
      <c r="W1058" s="809"/>
      <c r="X1058" s="809"/>
      <c r="Y1058" s="809"/>
      <c r="Z1058" s="809"/>
      <c r="AA1058" s="809"/>
      <c r="AB1058" s="809"/>
      <c r="AC1058" s="809"/>
      <c r="AD1058" s="809"/>
      <c r="AE1058" s="809"/>
      <c r="AF1058" s="809"/>
      <c r="AG1058" s="809"/>
      <c r="AH1058" s="809"/>
      <c r="AI1058" s="809"/>
      <c r="AJ1058" s="809"/>
      <c r="AK1058" s="809"/>
      <c r="AL1058" s="809"/>
      <c r="AM1058" s="809"/>
      <c r="AN1058" s="809"/>
      <c r="AO1058" s="809"/>
      <c r="AP1058" s="809"/>
      <c r="AQ1058" s="809"/>
      <c r="AR1058" s="809"/>
      <c r="AS1058" s="809"/>
      <c r="AT1058" s="809"/>
      <c r="AU1058" s="809"/>
      <c r="AV1058" s="809"/>
      <c r="AW1058" s="809"/>
      <c r="AX1058" s="809"/>
      <c r="AY1058" s="809"/>
      <c r="AZ1058" s="809"/>
      <c r="BA1058" s="809"/>
      <c r="BB1058" s="809"/>
      <c r="BC1058" s="809"/>
      <c r="BD1058" s="809"/>
      <c r="BE1058" s="809"/>
      <c r="BF1058" s="809"/>
      <c r="BG1058" s="809"/>
      <c r="BH1058" s="809"/>
      <c r="BI1058" s="809"/>
      <c r="BJ1058" s="809"/>
      <c r="BK1058" s="809"/>
      <c r="BL1058" s="809"/>
      <c r="BM1058" s="809"/>
      <c r="BN1058" s="809"/>
    </row>
    <row r="1059" spans="1:66">
      <c r="A1059" s="809"/>
      <c r="B1059" s="809"/>
      <c r="C1059" s="809"/>
      <c r="D1059" s="809"/>
      <c r="E1059" s="809"/>
      <c r="F1059" s="809"/>
      <c r="G1059" s="809"/>
      <c r="H1059" s="809"/>
      <c r="I1059" s="809"/>
      <c r="J1059" s="809"/>
      <c r="K1059" s="809"/>
      <c r="L1059" s="809"/>
      <c r="M1059" s="809"/>
      <c r="N1059" s="809"/>
      <c r="O1059" s="809"/>
      <c r="P1059" s="809"/>
      <c r="Q1059" s="809"/>
      <c r="R1059" s="809"/>
      <c r="S1059" s="809"/>
      <c r="T1059" s="809"/>
      <c r="U1059" s="809"/>
      <c r="V1059" s="809"/>
      <c r="W1059" s="809"/>
      <c r="X1059" s="809"/>
      <c r="Y1059" s="809"/>
      <c r="Z1059" s="809"/>
      <c r="AA1059" s="809"/>
      <c r="AB1059" s="809"/>
      <c r="AC1059" s="809"/>
      <c r="AD1059" s="809"/>
      <c r="AE1059" s="809"/>
      <c r="AF1059" s="809"/>
      <c r="AG1059" s="809"/>
      <c r="AH1059" s="809"/>
      <c r="AI1059" s="809"/>
      <c r="AJ1059" s="809"/>
      <c r="AK1059" s="809"/>
      <c r="AL1059" s="809"/>
      <c r="AM1059" s="809"/>
      <c r="AN1059" s="809"/>
      <c r="AO1059" s="809"/>
      <c r="AP1059" s="809"/>
      <c r="AQ1059" s="809"/>
      <c r="AR1059" s="809"/>
      <c r="AS1059" s="809"/>
      <c r="AT1059" s="809"/>
      <c r="AU1059" s="809"/>
      <c r="AV1059" s="809"/>
      <c r="AW1059" s="809"/>
      <c r="AX1059" s="809"/>
      <c r="AY1059" s="809"/>
      <c r="AZ1059" s="809"/>
      <c r="BA1059" s="809"/>
      <c r="BB1059" s="809"/>
      <c r="BC1059" s="809"/>
      <c r="BD1059" s="809"/>
      <c r="BE1059" s="809"/>
      <c r="BF1059" s="809"/>
      <c r="BG1059" s="809"/>
      <c r="BH1059" s="809"/>
      <c r="BI1059" s="809"/>
      <c r="BJ1059" s="809"/>
      <c r="BK1059" s="809"/>
      <c r="BL1059" s="809"/>
      <c r="BM1059" s="809"/>
      <c r="BN1059" s="809"/>
    </row>
    <row r="1060" spans="1:66">
      <c r="A1060" s="809"/>
      <c r="B1060" s="809"/>
      <c r="C1060" s="809"/>
      <c r="D1060" s="809"/>
      <c r="E1060" s="809"/>
      <c r="F1060" s="809"/>
      <c r="G1060" s="809"/>
      <c r="H1060" s="809"/>
      <c r="I1060" s="809"/>
      <c r="J1060" s="809"/>
      <c r="K1060" s="809"/>
      <c r="L1060" s="809"/>
      <c r="M1060" s="809"/>
      <c r="N1060" s="809"/>
      <c r="O1060" s="809"/>
      <c r="P1060" s="809"/>
      <c r="Q1060" s="809"/>
      <c r="R1060" s="809"/>
      <c r="S1060" s="809"/>
      <c r="T1060" s="809"/>
      <c r="U1060" s="809"/>
      <c r="V1060" s="809"/>
      <c r="W1060" s="809"/>
      <c r="X1060" s="809"/>
      <c r="Y1060" s="809"/>
      <c r="Z1060" s="809"/>
      <c r="AA1060" s="809"/>
      <c r="AB1060" s="809"/>
      <c r="AC1060" s="809"/>
      <c r="AD1060" s="809"/>
      <c r="AE1060" s="809"/>
      <c r="AF1060" s="809"/>
      <c r="AG1060" s="809"/>
      <c r="AH1060" s="809"/>
      <c r="AI1060" s="809"/>
      <c r="AJ1060" s="809"/>
      <c r="AK1060" s="809"/>
      <c r="AL1060" s="809"/>
      <c r="AM1060" s="809"/>
      <c r="AN1060" s="809"/>
      <c r="AO1060" s="809"/>
      <c r="AP1060" s="809"/>
      <c r="AQ1060" s="809"/>
      <c r="AR1060" s="809"/>
      <c r="AS1060" s="809"/>
      <c r="AT1060" s="809"/>
      <c r="AU1060" s="809"/>
      <c r="AV1060" s="809"/>
      <c r="AW1060" s="809"/>
      <c r="AX1060" s="809"/>
      <c r="AY1060" s="809"/>
      <c r="AZ1060" s="809"/>
      <c r="BA1060" s="809"/>
      <c r="BB1060" s="809"/>
      <c r="BC1060" s="809"/>
      <c r="BD1060" s="809"/>
      <c r="BE1060" s="809"/>
      <c r="BF1060" s="809"/>
      <c r="BG1060" s="809"/>
      <c r="BH1060" s="809"/>
      <c r="BI1060" s="809"/>
      <c r="BJ1060" s="809"/>
      <c r="BK1060" s="809"/>
      <c r="BL1060" s="809"/>
      <c r="BM1060" s="809"/>
      <c r="BN1060" s="809"/>
    </row>
    <row r="1061" spans="1:66">
      <c r="A1061" s="809"/>
      <c r="B1061" s="809"/>
      <c r="C1061" s="809"/>
      <c r="D1061" s="809"/>
      <c r="E1061" s="809"/>
      <c r="F1061" s="809"/>
      <c r="G1061" s="809"/>
      <c r="H1061" s="809"/>
      <c r="I1061" s="809"/>
      <c r="J1061" s="809"/>
      <c r="K1061" s="809"/>
      <c r="L1061" s="809"/>
      <c r="M1061" s="809"/>
      <c r="N1061" s="809"/>
      <c r="O1061" s="809"/>
      <c r="P1061" s="809"/>
      <c r="Q1061" s="809"/>
      <c r="R1061" s="809"/>
      <c r="S1061" s="809"/>
      <c r="T1061" s="809"/>
      <c r="U1061" s="809"/>
      <c r="V1061" s="809"/>
      <c r="W1061" s="809"/>
      <c r="X1061" s="809"/>
      <c r="Y1061" s="809"/>
      <c r="Z1061" s="809"/>
      <c r="AA1061" s="809"/>
      <c r="AB1061" s="809"/>
      <c r="AC1061" s="809"/>
      <c r="AD1061" s="809"/>
      <c r="AE1061" s="809"/>
      <c r="AF1061" s="809"/>
      <c r="AG1061" s="809"/>
      <c r="AH1061" s="809"/>
      <c r="AI1061" s="809"/>
      <c r="AJ1061" s="809"/>
      <c r="AK1061" s="809"/>
      <c r="AL1061" s="809"/>
      <c r="AM1061" s="809"/>
      <c r="AN1061" s="809"/>
      <c r="AO1061" s="809"/>
      <c r="AP1061" s="809"/>
      <c r="AQ1061" s="809"/>
      <c r="AR1061" s="809"/>
      <c r="AS1061" s="809"/>
      <c r="AT1061" s="809"/>
      <c r="AU1061" s="809"/>
      <c r="AV1061" s="809"/>
      <c r="AW1061" s="809"/>
      <c r="AX1061" s="809"/>
      <c r="AY1061" s="809"/>
      <c r="AZ1061" s="809"/>
      <c r="BA1061" s="809"/>
      <c r="BB1061" s="809"/>
      <c r="BC1061" s="809"/>
      <c r="BD1061" s="809"/>
      <c r="BE1061" s="809"/>
      <c r="BF1061" s="809"/>
      <c r="BG1061" s="809"/>
      <c r="BH1061" s="809"/>
      <c r="BI1061" s="809"/>
      <c r="BJ1061" s="809"/>
      <c r="BK1061" s="809"/>
      <c r="BL1061" s="809"/>
      <c r="BM1061" s="809"/>
      <c r="BN1061" s="809"/>
    </row>
    <row r="1062" spans="1:66">
      <c r="A1062" s="809"/>
      <c r="B1062" s="809"/>
      <c r="C1062" s="809"/>
      <c r="D1062" s="809"/>
      <c r="E1062" s="809"/>
      <c r="F1062" s="809"/>
      <c r="G1062" s="809"/>
      <c r="H1062" s="809"/>
      <c r="I1062" s="809"/>
      <c r="J1062" s="809"/>
      <c r="K1062" s="809"/>
      <c r="L1062" s="809"/>
      <c r="M1062" s="809"/>
      <c r="N1062" s="809"/>
      <c r="O1062" s="809"/>
      <c r="P1062" s="809"/>
      <c r="Q1062" s="809"/>
      <c r="R1062" s="809"/>
      <c r="S1062" s="809"/>
      <c r="T1062" s="809"/>
      <c r="U1062" s="809"/>
      <c r="V1062" s="809"/>
      <c r="W1062" s="809"/>
      <c r="X1062" s="809"/>
      <c r="Y1062" s="809"/>
      <c r="Z1062" s="809"/>
      <c r="AA1062" s="809"/>
      <c r="AB1062" s="809"/>
      <c r="AC1062" s="809"/>
      <c r="AD1062" s="809"/>
      <c r="AE1062" s="809"/>
      <c r="AF1062" s="809"/>
      <c r="AG1062" s="809"/>
      <c r="AH1062" s="809"/>
      <c r="AI1062" s="809"/>
      <c r="AJ1062" s="809"/>
      <c r="AK1062" s="809"/>
      <c r="AL1062" s="809"/>
      <c r="AM1062" s="809"/>
      <c r="AN1062" s="809"/>
      <c r="AO1062" s="809"/>
      <c r="AP1062" s="809"/>
      <c r="AQ1062" s="809"/>
      <c r="AR1062" s="809"/>
      <c r="AS1062" s="809"/>
      <c r="AT1062" s="809"/>
      <c r="AU1062" s="809"/>
      <c r="AV1062" s="809"/>
      <c r="AW1062" s="809"/>
      <c r="AX1062" s="809"/>
      <c r="AY1062" s="809"/>
      <c r="AZ1062" s="809"/>
      <c r="BA1062" s="809"/>
      <c r="BB1062" s="809"/>
      <c r="BC1062" s="809"/>
      <c r="BD1062" s="809"/>
      <c r="BE1062" s="809"/>
      <c r="BF1062" s="809"/>
      <c r="BG1062" s="809"/>
      <c r="BH1062" s="809"/>
      <c r="BI1062" s="809"/>
      <c r="BJ1062" s="809"/>
      <c r="BK1062" s="809"/>
      <c r="BL1062" s="809"/>
      <c r="BM1062" s="809"/>
      <c r="BN1062" s="809"/>
    </row>
    <row r="1063" spans="1:66">
      <c r="A1063" s="809"/>
      <c r="B1063" s="809"/>
      <c r="C1063" s="809"/>
      <c r="D1063" s="809"/>
      <c r="E1063" s="809"/>
      <c r="F1063" s="809"/>
      <c r="G1063" s="809"/>
      <c r="H1063" s="809"/>
      <c r="I1063" s="809"/>
      <c r="J1063" s="809"/>
      <c r="K1063" s="809"/>
      <c r="L1063" s="809"/>
      <c r="M1063" s="809"/>
      <c r="N1063" s="809"/>
      <c r="O1063" s="809"/>
      <c r="P1063" s="809"/>
      <c r="Q1063" s="809"/>
      <c r="R1063" s="809"/>
      <c r="S1063" s="809"/>
      <c r="T1063" s="809"/>
      <c r="U1063" s="809"/>
      <c r="V1063" s="809"/>
      <c r="W1063" s="809"/>
      <c r="X1063" s="809"/>
      <c r="Y1063" s="809"/>
      <c r="Z1063" s="809"/>
      <c r="AA1063" s="809"/>
      <c r="AB1063" s="809"/>
      <c r="AC1063" s="809"/>
      <c r="AD1063" s="809"/>
      <c r="AE1063" s="809"/>
      <c r="AF1063" s="809"/>
      <c r="AG1063" s="809"/>
      <c r="AH1063" s="809"/>
      <c r="AI1063" s="809"/>
      <c r="AJ1063" s="809"/>
      <c r="AK1063" s="809"/>
      <c r="AL1063" s="809"/>
      <c r="AM1063" s="809"/>
      <c r="AN1063" s="809"/>
      <c r="AO1063" s="809"/>
      <c r="AP1063" s="809"/>
      <c r="AQ1063" s="809"/>
      <c r="AR1063" s="809"/>
      <c r="AS1063" s="809"/>
      <c r="AT1063" s="809"/>
      <c r="AU1063" s="809"/>
      <c r="AV1063" s="809"/>
      <c r="AW1063" s="809"/>
      <c r="AX1063" s="809"/>
      <c r="AY1063" s="809"/>
      <c r="AZ1063" s="809"/>
      <c r="BA1063" s="809"/>
      <c r="BB1063" s="809"/>
      <c r="BC1063" s="809"/>
      <c r="BD1063" s="809"/>
      <c r="BE1063" s="809"/>
      <c r="BF1063" s="809"/>
      <c r="BG1063" s="809"/>
      <c r="BH1063" s="809"/>
      <c r="BI1063" s="809"/>
      <c r="BJ1063" s="809"/>
      <c r="BK1063" s="809"/>
      <c r="BL1063" s="809"/>
      <c r="BM1063" s="809"/>
      <c r="BN1063" s="809"/>
    </row>
    <row r="1064" spans="1:66">
      <c r="A1064" s="809"/>
      <c r="B1064" s="809"/>
      <c r="C1064" s="809"/>
      <c r="D1064" s="809"/>
      <c r="E1064" s="809"/>
      <c r="F1064" s="809"/>
      <c r="G1064" s="809"/>
      <c r="H1064" s="809"/>
      <c r="I1064" s="809"/>
      <c r="J1064" s="809"/>
      <c r="K1064" s="809"/>
      <c r="L1064" s="809"/>
      <c r="M1064" s="809"/>
      <c r="N1064" s="809"/>
      <c r="O1064" s="809"/>
      <c r="P1064" s="809"/>
      <c r="Q1064" s="809"/>
      <c r="R1064" s="809"/>
      <c r="S1064" s="809"/>
      <c r="T1064" s="809"/>
      <c r="U1064" s="809"/>
      <c r="V1064" s="809"/>
      <c r="W1064" s="809"/>
      <c r="X1064" s="809"/>
      <c r="Y1064" s="809"/>
      <c r="Z1064" s="809"/>
      <c r="AA1064" s="809"/>
      <c r="AB1064" s="809"/>
      <c r="AC1064" s="809"/>
      <c r="AD1064" s="809"/>
      <c r="AE1064" s="809"/>
      <c r="AF1064" s="809"/>
      <c r="AG1064" s="809"/>
      <c r="AH1064" s="809"/>
      <c r="AI1064" s="809"/>
      <c r="AJ1064" s="809"/>
      <c r="AK1064" s="809"/>
      <c r="AL1064" s="809"/>
      <c r="AM1064" s="809"/>
      <c r="AN1064" s="809"/>
      <c r="AO1064" s="809"/>
      <c r="AP1064" s="809"/>
      <c r="AQ1064" s="809"/>
      <c r="AR1064" s="809"/>
      <c r="AS1064" s="809"/>
      <c r="AT1064" s="809"/>
      <c r="AU1064" s="809"/>
      <c r="AV1064" s="809"/>
      <c r="AW1064" s="809"/>
      <c r="AX1064" s="809"/>
      <c r="AY1064" s="809"/>
      <c r="AZ1064" s="809"/>
      <c r="BA1064" s="809"/>
      <c r="BB1064" s="809"/>
      <c r="BC1064" s="809"/>
      <c r="BD1064" s="809"/>
      <c r="BE1064" s="809"/>
      <c r="BF1064" s="809"/>
      <c r="BG1064" s="809"/>
      <c r="BH1064" s="809"/>
      <c r="BI1064" s="809"/>
      <c r="BJ1064" s="809"/>
      <c r="BK1064" s="809"/>
      <c r="BL1064" s="809"/>
      <c r="BM1064" s="809"/>
      <c r="BN1064" s="809"/>
    </row>
    <row r="1065" spans="1:66">
      <c r="A1065" s="809"/>
      <c r="B1065" s="809"/>
      <c r="C1065" s="809"/>
      <c r="D1065" s="809"/>
      <c r="E1065" s="809"/>
      <c r="F1065" s="809"/>
      <c r="G1065" s="809"/>
      <c r="H1065" s="809"/>
      <c r="I1065" s="809"/>
      <c r="J1065" s="809"/>
      <c r="K1065" s="809"/>
      <c r="L1065" s="809"/>
      <c r="M1065" s="809"/>
      <c r="N1065" s="809"/>
      <c r="O1065" s="809"/>
      <c r="P1065" s="809"/>
      <c r="Q1065" s="809"/>
      <c r="R1065" s="809"/>
      <c r="S1065" s="809"/>
      <c r="T1065" s="809"/>
      <c r="U1065" s="809"/>
      <c r="V1065" s="809"/>
      <c r="W1065" s="809"/>
      <c r="X1065" s="809"/>
      <c r="Y1065" s="809"/>
      <c r="Z1065" s="809"/>
      <c r="AA1065" s="809"/>
      <c r="AB1065" s="809"/>
      <c r="AC1065" s="809"/>
      <c r="AD1065" s="809"/>
      <c r="AE1065" s="809"/>
      <c r="AF1065" s="809"/>
      <c r="AG1065" s="809"/>
      <c r="AH1065" s="809"/>
      <c r="AI1065" s="809"/>
      <c r="AJ1065" s="809"/>
      <c r="AK1065" s="809"/>
      <c r="AL1065" s="809"/>
      <c r="AM1065" s="809"/>
      <c r="AN1065" s="809"/>
      <c r="AO1065" s="809"/>
      <c r="AP1065" s="809"/>
      <c r="AQ1065" s="809"/>
      <c r="AR1065" s="809"/>
      <c r="AS1065" s="809"/>
      <c r="AT1065" s="809"/>
      <c r="AU1065" s="809"/>
      <c r="AV1065" s="809"/>
      <c r="AW1065" s="809"/>
      <c r="AX1065" s="809"/>
      <c r="AY1065" s="809"/>
      <c r="AZ1065" s="809"/>
      <c r="BA1065" s="809"/>
      <c r="BB1065" s="809"/>
      <c r="BC1065" s="809"/>
      <c r="BD1065" s="809"/>
      <c r="BE1065" s="809"/>
      <c r="BF1065" s="809"/>
      <c r="BG1065" s="809"/>
      <c r="BH1065" s="809"/>
      <c r="BI1065" s="809"/>
      <c r="BJ1065" s="809"/>
      <c r="BK1065" s="809"/>
      <c r="BL1065" s="809"/>
      <c r="BM1065" s="809"/>
      <c r="BN1065" s="809"/>
    </row>
    <row r="1066" spans="1:66">
      <c r="A1066" s="809"/>
      <c r="B1066" s="809"/>
      <c r="C1066" s="809"/>
      <c r="D1066" s="809"/>
      <c r="E1066" s="809"/>
      <c r="F1066" s="809"/>
      <c r="G1066" s="809"/>
      <c r="H1066" s="809"/>
      <c r="I1066" s="809"/>
      <c r="J1066" s="809"/>
      <c r="K1066" s="809"/>
      <c r="L1066" s="809"/>
      <c r="M1066" s="809"/>
      <c r="N1066" s="809"/>
      <c r="O1066" s="809"/>
      <c r="P1066" s="809"/>
      <c r="Q1066" s="809"/>
      <c r="R1066" s="809"/>
      <c r="S1066" s="809"/>
      <c r="T1066" s="809"/>
      <c r="U1066" s="809"/>
      <c r="V1066" s="809"/>
      <c r="W1066" s="809"/>
      <c r="X1066" s="809"/>
      <c r="Y1066" s="809"/>
      <c r="Z1066" s="809"/>
      <c r="AA1066" s="809"/>
      <c r="AB1066" s="809"/>
      <c r="AC1066" s="809"/>
      <c r="AD1066" s="809"/>
      <c r="AE1066" s="809"/>
      <c r="AF1066" s="809"/>
      <c r="AG1066" s="809"/>
      <c r="AH1066" s="809"/>
      <c r="AI1066" s="809"/>
      <c r="AJ1066" s="809"/>
      <c r="AK1066" s="809"/>
      <c r="AL1066" s="809"/>
      <c r="AM1066" s="809"/>
      <c r="AN1066" s="809"/>
      <c r="AO1066" s="809"/>
      <c r="AP1066" s="809"/>
      <c r="AQ1066" s="809"/>
      <c r="AR1066" s="809"/>
      <c r="AS1066" s="809"/>
      <c r="AT1066" s="809"/>
      <c r="AU1066" s="809"/>
      <c r="AV1066" s="809"/>
      <c r="AW1066" s="809"/>
      <c r="AX1066" s="809"/>
      <c r="AY1066" s="809"/>
      <c r="AZ1066" s="809"/>
      <c r="BA1066" s="809"/>
      <c r="BB1066" s="809"/>
      <c r="BC1066" s="809"/>
      <c r="BD1066" s="809"/>
      <c r="BE1066" s="809"/>
      <c r="BF1066" s="809"/>
      <c r="BG1066" s="809"/>
      <c r="BH1066" s="809"/>
      <c r="BI1066" s="809"/>
      <c r="BJ1066" s="809"/>
      <c r="BK1066" s="809"/>
      <c r="BL1066" s="809"/>
      <c r="BM1066" s="809"/>
      <c r="BN1066" s="809"/>
    </row>
    <row r="1067" spans="1:66">
      <c r="A1067" s="809"/>
      <c r="B1067" s="809"/>
      <c r="C1067" s="809"/>
      <c r="D1067" s="809"/>
      <c r="E1067" s="809"/>
      <c r="F1067" s="809"/>
      <c r="G1067" s="809"/>
      <c r="H1067" s="809"/>
      <c r="I1067" s="809"/>
      <c r="J1067" s="809"/>
      <c r="K1067" s="809"/>
      <c r="L1067" s="809"/>
      <c r="M1067" s="809"/>
      <c r="N1067" s="809"/>
      <c r="O1067" s="809"/>
      <c r="P1067" s="809"/>
      <c r="Q1067" s="809"/>
      <c r="R1067" s="809"/>
      <c r="S1067" s="809"/>
      <c r="T1067" s="809"/>
      <c r="U1067" s="809"/>
      <c r="V1067" s="809"/>
      <c r="W1067" s="809"/>
      <c r="X1067" s="809"/>
      <c r="Y1067" s="809"/>
      <c r="Z1067" s="809"/>
      <c r="AA1067" s="809"/>
      <c r="AB1067" s="809"/>
      <c r="AC1067" s="809"/>
      <c r="AD1067" s="809"/>
      <c r="AE1067" s="809"/>
      <c r="AF1067" s="809"/>
      <c r="AG1067" s="809"/>
      <c r="AH1067" s="809"/>
      <c r="AI1067" s="809"/>
      <c r="AJ1067" s="809"/>
      <c r="AK1067" s="809"/>
      <c r="AL1067" s="809"/>
      <c r="AM1067" s="809"/>
      <c r="AN1067" s="809"/>
      <c r="AO1067" s="809"/>
      <c r="AP1067" s="809"/>
      <c r="AQ1067" s="809"/>
      <c r="AR1067" s="809"/>
      <c r="AS1067" s="809"/>
      <c r="AT1067" s="809"/>
      <c r="AU1067" s="809"/>
      <c r="AV1067" s="809"/>
      <c r="AW1067" s="809"/>
      <c r="AX1067" s="809"/>
      <c r="AY1067" s="809"/>
      <c r="AZ1067" s="809"/>
      <c r="BA1067" s="809"/>
      <c r="BB1067" s="809"/>
      <c r="BC1067" s="809"/>
      <c r="BD1067" s="809"/>
      <c r="BE1067" s="809"/>
      <c r="BF1067" s="809"/>
      <c r="BG1067" s="809"/>
      <c r="BH1067" s="809"/>
      <c r="BI1067" s="809"/>
      <c r="BJ1067" s="809"/>
      <c r="BK1067" s="809"/>
      <c r="BL1067" s="809"/>
      <c r="BM1067" s="809"/>
      <c r="BN1067" s="809"/>
    </row>
    <row r="1068" spans="1:66">
      <c r="A1068" s="809"/>
      <c r="B1068" s="809"/>
      <c r="C1068" s="809"/>
      <c r="D1068" s="809"/>
      <c r="E1068" s="809"/>
      <c r="F1068" s="809"/>
      <c r="G1068" s="809"/>
      <c r="H1068" s="809"/>
      <c r="I1068" s="809"/>
      <c r="J1068" s="809"/>
      <c r="K1068" s="809"/>
      <c r="L1068" s="809"/>
      <c r="M1068" s="809"/>
      <c r="N1068" s="809"/>
      <c r="O1068" s="809"/>
      <c r="P1068" s="809"/>
      <c r="Q1068" s="809"/>
      <c r="R1068" s="809"/>
      <c r="S1068" s="809"/>
      <c r="T1068" s="809"/>
      <c r="U1068" s="809"/>
      <c r="V1068" s="809"/>
      <c r="W1068" s="809"/>
      <c r="X1068" s="809"/>
      <c r="Y1068" s="809"/>
      <c r="Z1068" s="809"/>
      <c r="AA1068" s="809"/>
      <c r="AB1068" s="809"/>
      <c r="AC1068" s="809"/>
      <c r="AD1068" s="809"/>
      <c r="AE1068" s="809"/>
      <c r="AF1068" s="809"/>
      <c r="AG1068" s="809"/>
      <c r="AH1068" s="809"/>
      <c r="AI1068" s="809"/>
      <c r="AJ1068" s="809"/>
      <c r="AK1068" s="809"/>
      <c r="AL1068" s="809"/>
      <c r="AM1068" s="809"/>
      <c r="AN1068" s="809"/>
      <c r="AO1068" s="809"/>
      <c r="AP1068" s="809"/>
      <c r="AQ1068" s="809"/>
      <c r="AR1068" s="809"/>
      <c r="AS1068" s="809"/>
      <c r="AT1068" s="809"/>
      <c r="AU1068" s="809"/>
      <c r="AV1068" s="809"/>
      <c r="AW1068" s="809"/>
      <c r="AX1068" s="809"/>
      <c r="AY1068" s="809"/>
      <c r="AZ1068" s="809"/>
      <c r="BA1068" s="809"/>
      <c r="BB1068" s="809"/>
      <c r="BC1068" s="809"/>
      <c r="BD1068" s="809"/>
      <c r="BE1068" s="809"/>
      <c r="BF1068" s="809"/>
      <c r="BG1068" s="809"/>
      <c r="BH1068" s="809"/>
      <c r="BI1068" s="809"/>
      <c r="BJ1068" s="809"/>
      <c r="BK1068" s="809"/>
      <c r="BL1068" s="809"/>
      <c r="BM1068" s="809"/>
      <c r="BN1068" s="809"/>
    </row>
    <row r="1069" spans="1:66">
      <c r="A1069" s="809"/>
      <c r="B1069" s="809"/>
      <c r="C1069" s="809"/>
      <c r="D1069" s="809"/>
      <c r="E1069" s="809"/>
      <c r="F1069" s="809"/>
      <c r="G1069" s="809"/>
      <c r="H1069" s="809"/>
      <c r="I1069" s="809"/>
      <c r="J1069" s="809"/>
      <c r="K1069" s="809"/>
      <c r="L1069" s="809"/>
      <c r="M1069" s="809"/>
      <c r="N1069" s="809"/>
      <c r="O1069" s="809"/>
      <c r="P1069" s="809"/>
      <c r="Q1069" s="809"/>
      <c r="R1069" s="809"/>
      <c r="S1069" s="809"/>
      <c r="T1069" s="809"/>
      <c r="U1069" s="809"/>
      <c r="V1069" s="809"/>
      <c r="W1069" s="809"/>
      <c r="X1069" s="809"/>
      <c r="Y1069" s="809"/>
      <c r="Z1069" s="809"/>
      <c r="AA1069" s="809"/>
      <c r="AB1069" s="809"/>
      <c r="AC1069" s="809"/>
      <c r="AD1069" s="809"/>
      <c r="AE1069" s="809"/>
      <c r="AF1069" s="809"/>
      <c r="AG1069" s="809"/>
      <c r="AH1069" s="809"/>
      <c r="AI1069" s="809"/>
      <c r="AJ1069" s="809"/>
      <c r="AK1069" s="809"/>
      <c r="AL1069" s="809"/>
      <c r="AM1069" s="809"/>
      <c r="AN1069" s="809"/>
      <c r="AO1069" s="809"/>
      <c r="AP1069" s="809"/>
      <c r="AQ1069" s="809"/>
      <c r="AR1069" s="809"/>
      <c r="AS1069" s="809"/>
      <c r="AT1069" s="809"/>
      <c r="AU1069" s="809"/>
      <c r="AV1069" s="809"/>
      <c r="AW1069" s="809"/>
      <c r="AX1069" s="809"/>
      <c r="AY1069" s="809"/>
      <c r="AZ1069" s="809"/>
      <c r="BA1069" s="809"/>
      <c r="BB1069" s="809"/>
      <c r="BC1069" s="809"/>
      <c r="BD1069" s="809"/>
      <c r="BE1069" s="809"/>
      <c r="BF1069" s="809"/>
      <c r="BG1069" s="809"/>
      <c r="BH1069" s="809"/>
      <c r="BI1069" s="809"/>
      <c r="BJ1069" s="809"/>
      <c r="BK1069" s="809"/>
      <c r="BL1069" s="809"/>
      <c r="BM1069" s="809"/>
      <c r="BN1069" s="809"/>
    </row>
    <row r="1070" spans="1:66">
      <c r="A1070" s="809"/>
      <c r="B1070" s="809"/>
      <c r="C1070" s="809"/>
      <c r="D1070" s="809"/>
      <c r="E1070" s="809"/>
      <c r="F1070" s="809"/>
      <c r="G1070" s="809"/>
      <c r="H1070" s="809"/>
      <c r="I1070" s="809"/>
      <c r="J1070" s="809"/>
      <c r="K1070" s="809"/>
      <c r="L1070" s="809"/>
      <c r="M1070" s="809"/>
      <c r="N1070" s="809"/>
      <c r="O1070" s="809"/>
      <c r="P1070" s="809"/>
      <c r="Q1070" s="809"/>
      <c r="R1070" s="809"/>
      <c r="S1070" s="809"/>
      <c r="T1070" s="809"/>
      <c r="U1070" s="809"/>
      <c r="V1070" s="809"/>
      <c r="W1070" s="809"/>
      <c r="X1070" s="809"/>
      <c r="Y1070" s="809"/>
      <c r="Z1070" s="809"/>
      <c r="AA1070" s="809"/>
      <c r="AB1070" s="809"/>
      <c r="AC1070" s="809"/>
      <c r="AD1070" s="809"/>
      <c r="AE1070" s="809"/>
      <c r="AF1070" s="809"/>
      <c r="AG1070" s="809"/>
      <c r="AH1070" s="809"/>
      <c r="AI1070" s="809"/>
      <c r="AJ1070" s="809"/>
      <c r="AK1070" s="809"/>
      <c r="AL1070" s="809"/>
      <c r="AM1070" s="809"/>
      <c r="AN1070" s="809"/>
      <c r="AO1070" s="809"/>
      <c r="AP1070" s="809"/>
      <c r="AQ1070" s="809"/>
      <c r="AR1070" s="809"/>
      <c r="AS1070" s="809"/>
      <c r="AT1070" s="809"/>
      <c r="AU1070" s="809"/>
      <c r="AV1070" s="809"/>
      <c r="AW1070" s="809"/>
      <c r="AX1070" s="809"/>
      <c r="AY1070" s="809"/>
      <c r="AZ1070" s="809"/>
      <c r="BA1070" s="809"/>
      <c r="BB1070" s="809"/>
      <c r="BC1070" s="809"/>
      <c r="BD1070" s="809"/>
      <c r="BE1070" s="809"/>
      <c r="BF1070" s="809"/>
      <c r="BG1070" s="809"/>
      <c r="BH1070" s="809"/>
      <c r="BI1070" s="809"/>
      <c r="BJ1070" s="809"/>
      <c r="BK1070" s="809"/>
      <c r="BL1070" s="809"/>
      <c r="BM1070" s="809"/>
      <c r="BN1070" s="809"/>
    </row>
    <row r="1071" spans="1:66">
      <c r="A1071" s="809"/>
      <c r="B1071" s="809"/>
      <c r="C1071" s="809"/>
      <c r="D1071" s="809"/>
      <c r="E1071" s="809"/>
      <c r="F1071" s="809"/>
      <c r="G1071" s="809"/>
      <c r="H1071" s="809"/>
      <c r="I1071" s="809"/>
      <c r="J1071" s="809"/>
      <c r="K1071" s="809"/>
      <c r="L1071" s="809"/>
      <c r="M1071" s="809"/>
      <c r="N1071" s="809"/>
      <c r="O1071" s="809"/>
      <c r="P1071" s="809"/>
      <c r="Q1071" s="809"/>
      <c r="R1071" s="809"/>
      <c r="S1071" s="809"/>
      <c r="T1071" s="809"/>
      <c r="U1071" s="809"/>
      <c r="V1071" s="809"/>
      <c r="W1071" s="809"/>
      <c r="X1071" s="809"/>
      <c r="Y1071" s="809"/>
      <c r="Z1071" s="809"/>
      <c r="AA1071" s="809"/>
      <c r="AB1071" s="809"/>
      <c r="AC1071" s="809"/>
      <c r="AD1071" s="809"/>
      <c r="AE1071" s="809"/>
      <c r="AF1071" s="809"/>
      <c r="AG1071" s="809"/>
      <c r="AH1071" s="809"/>
      <c r="AI1071" s="809"/>
      <c r="AJ1071" s="809"/>
      <c r="AK1071" s="809"/>
      <c r="AL1071" s="809"/>
      <c r="AM1071" s="809"/>
      <c r="AN1071" s="809"/>
      <c r="AO1071" s="809"/>
      <c r="AP1071" s="809"/>
      <c r="AQ1071" s="809"/>
      <c r="AR1071" s="809"/>
      <c r="AS1071" s="809"/>
      <c r="AT1071" s="809"/>
      <c r="AU1071" s="809"/>
      <c r="AV1071" s="809"/>
      <c r="AW1071" s="809"/>
      <c r="AX1071" s="809"/>
      <c r="AY1071" s="809"/>
      <c r="AZ1071" s="809"/>
      <c r="BA1071" s="809"/>
      <c r="BB1071" s="809"/>
      <c r="BC1071" s="809"/>
      <c r="BD1071" s="809"/>
      <c r="BE1071" s="809"/>
      <c r="BF1071" s="809"/>
      <c r="BG1071" s="809"/>
      <c r="BH1071" s="809"/>
      <c r="BI1071" s="809"/>
      <c r="BJ1071" s="809"/>
      <c r="BK1071" s="809"/>
      <c r="BL1071" s="809"/>
      <c r="BM1071" s="809"/>
      <c r="BN1071" s="809"/>
    </row>
    <row r="1072" spans="1:66">
      <c r="A1072" s="809"/>
      <c r="B1072" s="809"/>
      <c r="C1072" s="809"/>
      <c r="D1072" s="809"/>
      <c r="E1072" s="809"/>
      <c r="F1072" s="809"/>
      <c r="G1072" s="809"/>
      <c r="H1072" s="809"/>
      <c r="I1072" s="809"/>
      <c r="J1072" s="809"/>
      <c r="K1072" s="809"/>
      <c r="L1072" s="809"/>
      <c r="M1072" s="809"/>
      <c r="N1072" s="809"/>
      <c r="O1072" s="809"/>
      <c r="P1072" s="809"/>
      <c r="Q1072" s="809"/>
      <c r="R1072" s="809"/>
      <c r="S1072" s="809"/>
      <c r="T1072" s="809"/>
      <c r="U1072" s="809"/>
      <c r="V1072" s="809"/>
      <c r="W1072" s="809"/>
      <c r="X1072" s="809"/>
      <c r="Y1072" s="809"/>
      <c r="Z1072" s="809"/>
      <c r="AA1072" s="809"/>
      <c r="AB1072" s="809"/>
      <c r="AC1072" s="809"/>
      <c r="AD1072" s="809"/>
      <c r="AE1072" s="809"/>
      <c r="AF1072" s="809"/>
      <c r="AG1072" s="809"/>
      <c r="AH1072" s="809"/>
      <c r="AI1072" s="809"/>
      <c r="AJ1072" s="809"/>
      <c r="AK1072" s="809"/>
      <c r="AL1072" s="809"/>
      <c r="AM1072" s="809"/>
      <c r="AN1072" s="809"/>
      <c r="AO1072" s="809"/>
      <c r="AP1072" s="809"/>
      <c r="AQ1072" s="809"/>
      <c r="AR1072" s="809"/>
      <c r="AS1072" s="809"/>
      <c r="AT1072" s="809"/>
      <c r="AU1072" s="809"/>
      <c r="AV1072" s="809"/>
      <c r="AW1072" s="809"/>
      <c r="AX1072" s="809"/>
      <c r="AY1072" s="809"/>
      <c r="AZ1072" s="809"/>
      <c r="BA1072" s="809"/>
      <c r="BB1072" s="809"/>
      <c r="BC1072" s="809"/>
      <c r="BD1072" s="809"/>
      <c r="BE1072" s="809"/>
      <c r="BF1072" s="809"/>
      <c r="BG1072" s="809"/>
      <c r="BH1072" s="809"/>
      <c r="BI1072" s="809"/>
      <c r="BJ1072" s="809"/>
      <c r="BK1072" s="809"/>
      <c r="BL1072" s="809"/>
      <c r="BM1072" s="809"/>
      <c r="BN1072" s="809"/>
    </row>
    <row r="1073" spans="1:66">
      <c r="A1073" s="809"/>
      <c r="B1073" s="809"/>
      <c r="C1073" s="809"/>
      <c r="D1073" s="809"/>
      <c r="E1073" s="809"/>
      <c r="F1073" s="809"/>
      <c r="G1073" s="809"/>
      <c r="H1073" s="809"/>
      <c r="I1073" s="809"/>
      <c r="J1073" s="809"/>
      <c r="K1073" s="809"/>
      <c r="L1073" s="809"/>
      <c r="M1073" s="809"/>
      <c r="N1073" s="809"/>
      <c r="O1073" s="809"/>
      <c r="P1073" s="809"/>
      <c r="Q1073" s="809"/>
      <c r="R1073" s="809"/>
      <c r="S1073" s="809"/>
      <c r="T1073" s="809"/>
      <c r="U1073" s="809"/>
      <c r="V1073" s="809"/>
      <c r="W1073" s="809"/>
      <c r="X1073" s="809"/>
      <c r="Y1073" s="809"/>
      <c r="Z1073" s="809"/>
      <c r="AA1073" s="809"/>
      <c r="AB1073" s="809"/>
      <c r="AC1073" s="809"/>
      <c r="AD1073" s="809"/>
      <c r="AE1073" s="809"/>
      <c r="AF1073" s="809"/>
      <c r="AG1073" s="809"/>
      <c r="AH1073" s="809"/>
      <c r="AI1073" s="809"/>
      <c r="AJ1073" s="809"/>
      <c r="AK1073" s="809"/>
      <c r="AL1073" s="809"/>
      <c r="AM1073" s="809"/>
      <c r="AN1073" s="809"/>
      <c r="AO1073" s="809"/>
      <c r="AP1073" s="809"/>
      <c r="AQ1073" s="809"/>
      <c r="AR1073" s="809"/>
      <c r="AS1073" s="809"/>
      <c r="AT1073" s="809"/>
      <c r="AU1073" s="809"/>
      <c r="AV1073" s="809"/>
      <c r="AW1073" s="809"/>
      <c r="AX1073" s="809"/>
      <c r="AY1073" s="809"/>
      <c r="AZ1073" s="809"/>
      <c r="BA1073" s="809"/>
      <c r="BB1073" s="809"/>
      <c r="BC1073" s="809"/>
      <c r="BD1073" s="809"/>
      <c r="BE1073" s="809"/>
      <c r="BF1073" s="809"/>
      <c r="BG1073" s="809"/>
      <c r="BH1073" s="809"/>
      <c r="BI1073" s="809"/>
      <c r="BJ1073" s="809"/>
      <c r="BK1073" s="809"/>
      <c r="BL1073" s="809"/>
      <c r="BM1073" s="809"/>
      <c r="BN1073" s="809"/>
    </row>
    <row r="1074" spans="1:66">
      <c r="A1074" s="809"/>
      <c r="B1074" s="809"/>
      <c r="C1074" s="809"/>
      <c r="D1074" s="809"/>
      <c r="E1074" s="809"/>
      <c r="F1074" s="809"/>
      <c r="G1074" s="809"/>
      <c r="H1074" s="809"/>
      <c r="I1074" s="809"/>
      <c r="J1074" s="809"/>
      <c r="K1074" s="809"/>
      <c r="L1074" s="809"/>
      <c r="M1074" s="809"/>
      <c r="N1074" s="809"/>
      <c r="O1074" s="809"/>
      <c r="P1074" s="809"/>
      <c r="Q1074" s="809"/>
      <c r="R1074" s="809"/>
      <c r="S1074" s="809"/>
      <c r="T1074" s="809"/>
      <c r="U1074" s="809"/>
      <c r="V1074" s="809"/>
      <c r="W1074" s="809"/>
      <c r="X1074" s="809"/>
      <c r="Y1074" s="809"/>
      <c r="Z1074" s="809"/>
      <c r="AA1074" s="809"/>
      <c r="AB1074" s="809"/>
      <c r="AC1074" s="809"/>
      <c r="AD1074" s="809"/>
      <c r="AE1074" s="809"/>
      <c r="AF1074" s="809"/>
      <c r="AG1074" s="809"/>
      <c r="AH1074" s="809"/>
      <c r="AI1074" s="809"/>
      <c r="AJ1074" s="809"/>
      <c r="AK1074" s="809"/>
      <c r="AL1074" s="809"/>
      <c r="AM1074" s="809"/>
      <c r="AN1074" s="809"/>
      <c r="AO1074" s="809"/>
      <c r="AP1074" s="809"/>
      <c r="AQ1074" s="809"/>
      <c r="AR1074" s="809"/>
      <c r="AS1074" s="809"/>
      <c r="AT1074" s="809"/>
      <c r="AU1074" s="809"/>
      <c r="AV1074" s="809"/>
      <c r="AW1074" s="809"/>
      <c r="AX1074" s="809"/>
      <c r="AY1074" s="809"/>
      <c r="AZ1074" s="809"/>
      <c r="BA1074" s="809"/>
      <c r="BB1074" s="809"/>
      <c r="BC1074" s="809"/>
      <c r="BD1074" s="809"/>
      <c r="BE1074" s="809"/>
      <c r="BF1074" s="809"/>
      <c r="BG1074" s="809"/>
      <c r="BH1074" s="809"/>
      <c r="BI1074" s="809"/>
      <c r="BJ1074" s="809"/>
      <c r="BK1074" s="809"/>
      <c r="BL1074" s="809"/>
      <c r="BM1074" s="809"/>
      <c r="BN1074" s="809"/>
    </row>
    <row r="1075" spans="1:66">
      <c r="A1075" s="809"/>
      <c r="B1075" s="809"/>
      <c r="C1075" s="809"/>
      <c r="D1075" s="809"/>
      <c r="E1075" s="809"/>
      <c r="F1075" s="809"/>
      <c r="G1075" s="809"/>
      <c r="H1075" s="809"/>
      <c r="I1075" s="809"/>
      <c r="J1075" s="809"/>
      <c r="K1075" s="809"/>
      <c r="L1075" s="809"/>
      <c r="M1075" s="809"/>
      <c r="N1075" s="809"/>
      <c r="O1075" s="809"/>
      <c r="P1075" s="809"/>
      <c r="Q1075" s="809"/>
      <c r="R1075" s="809"/>
      <c r="S1075" s="809"/>
      <c r="T1075" s="809"/>
      <c r="U1075" s="809"/>
      <c r="V1075" s="809"/>
      <c r="W1075" s="809"/>
      <c r="X1075" s="809"/>
      <c r="Y1075" s="809"/>
      <c r="Z1075" s="809"/>
      <c r="AA1075" s="809"/>
      <c r="AB1075" s="809"/>
      <c r="AC1075" s="809"/>
      <c r="AD1075" s="809"/>
      <c r="AE1075" s="809"/>
      <c r="AF1075" s="809"/>
      <c r="AG1075" s="809"/>
      <c r="AH1075" s="809"/>
      <c r="AI1075" s="809"/>
      <c r="AJ1075" s="809"/>
      <c r="AK1075" s="809"/>
      <c r="AL1075" s="809"/>
      <c r="AM1075" s="809"/>
      <c r="AN1075" s="809"/>
      <c r="AO1075" s="809"/>
      <c r="AP1075" s="809"/>
      <c r="AQ1075" s="809"/>
      <c r="AR1075" s="809"/>
      <c r="AS1075" s="809"/>
      <c r="AT1075" s="809"/>
      <c r="AU1075" s="809"/>
      <c r="AV1075" s="809"/>
      <c r="AW1075" s="809"/>
      <c r="AX1075" s="809"/>
      <c r="AY1075" s="809"/>
      <c r="AZ1075" s="809"/>
      <c r="BA1075" s="809"/>
      <c r="BB1075" s="809"/>
      <c r="BC1075" s="809"/>
      <c r="BD1075" s="809"/>
      <c r="BE1075" s="809"/>
      <c r="BF1075" s="809"/>
      <c r="BG1075" s="809"/>
      <c r="BH1075" s="809"/>
      <c r="BI1075" s="809"/>
      <c r="BJ1075" s="809"/>
      <c r="BK1075" s="809"/>
      <c r="BL1075" s="809"/>
      <c r="BM1075" s="809"/>
      <c r="BN1075" s="809"/>
    </row>
    <row r="1076" spans="1:66">
      <c r="A1076" s="809"/>
      <c r="B1076" s="809"/>
      <c r="C1076" s="809"/>
      <c r="D1076" s="809"/>
      <c r="E1076" s="809"/>
      <c r="F1076" s="809"/>
      <c r="G1076" s="809"/>
      <c r="H1076" s="809"/>
      <c r="I1076" s="809"/>
      <c r="J1076" s="809"/>
      <c r="K1076" s="809"/>
      <c r="L1076" s="809"/>
      <c r="M1076" s="809"/>
      <c r="N1076" s="809"/>
      <c r="O1076" s="809"/>
      <c r="P1076" s="809"/>
      <c r="Q1076" s="809"/>
      <c r="R1076" s="809"/>
      <c r="S1076" s="809"/>
      <c r="T1076" s="809"/>
      <c r="U1076" s="809"/>
      <c r="V1076" s="809"/>
      <c r="W1076" s="809"/>
      <c r="X1076" s="809"/>
      <c r="Y1076" s="809"/>
      <c r="Z1076" s="809"/>
      <c r="AA1076" s="809"/>
      <c r="AB1076" s="809"/>
      <c r="AC1076" s="809"/>
      <c r="AD1076" s="809"/>
      <c r="AE1076" s="809"/>
      <c r="AF1076" s="809"/>
      <c r="AG1076" s="809"/>
      <c r="AH1076" s="809"/>
      <c r="AI1076" s="809"/>
      <c r="AJ1076" s="809"/>
      <c r="AK1076" s="809"/>
      <c r="AL1076" s="809"/>
      <c r="AM1076" s="809"/>
      <c r="AN1076" s="809"/>
      <c r="AO1076" s="809"/>
      <c r="AP1076" s="809"/>
      <c r="AQ1076" s="809"/>
      <c r="AR1076" s="809"/>
      <c r="AS1076" s="809"/>
      <c r="AT1076" s="809"/>
      <c r="AU1076" s="809"/>
      <c r="AV1076" s="809"/>
      <c r="AW1076" s="809"/>
      <c r="AX1076" s="809"/>
      <c r="AY1076" s="809"/>
      <c r="AZ1076" s="809"/>
      <c r="BA1076" s="809"/>
      <c r="BB1076" s="809"/>
      <c r="BC1076" s="809"/>
      <c r="BD1076" s="809"/>
      <c r="BE1076" s="809"/>
      <c r="BF1076" s="809"/>
      <c r="BG1076" s="809"/>
      <c r="BH1076" s="809"/>
      <c r="BI1076" s="809"/>
      <c r="BJ1076" s="809"/>
      <c r="BK1076" s="809"/>
      <c r="BL1076" s="809"/>
      <c r="BM1076" s="809"/>
      <c r="BN1076" s="809"/>
    </row>
    <row r="1077" spans="1:66">
      <c r="A1077" s="809"/>
      <c r="B1077" s="809"/>
      <c r="C1077" s="809"/>
      <c r="D1077" s="809"/>
      <c r="E1077" s="809"/>
      <c r="F1077" s="809"/>
      <c r="G1077" s="809"/>
      <c r="H1077" s="809"/>
      <c r="I1077" s="809"/>
      <c r="J1077" s="809"/>
      <c r="K1077" s="809"/>
      <c r="L1077" s="809"/>
      <c r="M1077" s="809"/>
      <c r="N1077" s="809"/>
      <c r="O1077" s="809"/>
      <c r="P1077" s="809"/>
      <c r="Q1077" s="809"/>
      <c r="R1077" s="809"/>
      <c r="S1077" s="809"/>
      <c r="T1077" s="809"/>
      <c r="U1077" s="809"/>
      <c r="V1077" s="809"/>
      <c r="W1077" s="809"/>
      <c r="X1077" s="809"/>
      <c r="Y1077" s="809"/>
      <c r="Z1077" s="809"/>
      <c r="AA1077" s="809"/>
      <c r="AB1077" s="809"/>
      <c r="AC1077" s="809"/>
      <c r="AD1077" s="809"/>
      <c r="AE1077" s="809"/>
      <c r="AF1077" s="809"/>
      <c r="AG1077" s="809"/>
      <c r="AH1077" s="809"/>
      <c r="AI1077" s="809"/>
      <c r="AJ1077" s="809"/>
      <c r="AK1077" s="809"/>
      <c r="AL1077" s="809"/>
      <c r="AM1077" s="809"/>
      <c r="AN1077" s="809"/>
      <c r="AO1077" s="809"/>
      <c r="AP1077" s="809"/>
      <c r="AQ1077" s="809"/>
      <c r="AR1077" s="809"/>
      <c r="AS1077" s="809"/>
      <c r="AT1077" s="809"/>
      <c r="AU1077" s="809"/>
      <c r="AV1077" s="809"/>
      <c r="AW1077" s="809"/>
      <c r="AX1077" s="809"/>
      <c r="AY1077" s="809"/>
      <c r="AZ1077" s="809"/>
      <c r="BA1077" s="809"/>
      <c r="BB1077" s="809"/>
      <c r="BC1077" s="809"/>
      <c r="BD1077" s="809"/>
      <c r="BE1077" s="809"/>
      <c r="BF1077" s="809"/>
      <c r="BG1077" s="809"/>
      <c r="BH1077" s="809"/>
      <c r="BI1077" s="809"/>
      <c r="BJ1077" s="809"/>
      <c r="BK1077" s="809"/>
      <c r="BL1077" s="809"/>
      <c r="BM1077" s="809"/>
      <c r="BN1077" s="809"/>
    </row>
    <row r="1078" spans="1:66">
      <c r="A1078" s="809"/>
      <c r="B1078" s="809"/>
      <c r="C1078" s="809"/>
      <c r="D1078" s="809"/>
      <c r="E1078" s="809"/>
      <c r="F1078" s="809"/>
      <c r="G1078" s="809"/>
      <c r="H1078" s="809"/>
      <c r="I1078" s="809"/>
      <c r="J1078" s="809"/>
      <c r="K1078" s="809"/>
      <c r="L1078" s="809"/>
      <c r="M1078" s="809"/>
      <c r="N1078" s="809"/>
      <c r="O1078" s="809"/>
      <c r="P1078" s="809"/>
      <c r="Q1078" s="809"/>
      <c r="R1078" s="809"/>
      <c r="S1078" s="809"/>
      <c r="T1078" s="809"/>
      <c r="U1078" s="809"/>
      <c r="V1078" s="809"/>
      <c r="W1078" s="809"/>
      <c r="X1078" s="809"/>
      <c r="Y1078" s="809"/>
      <c r="Z1078" s="809"/>
      <c r="AA1078" s="809"/>
      <c r="AB1078" s="809"/>
      <c r="AC1078" s="809"/>
      <c r="AD1078" s="809"/>
      <c r="AE1078" s="809"/>
      <c r="AF1078" s="809"/>
      <c r="AG1078" s="809"/>
      <c r="AH1078" s="809"/>
      <c r="AI1078" s="809"/>
      <c r="AJ1078" s="809"/>
      <c r="AK1078" s="809"/>
      <c r="AL1078" s="809"/>
      <c r="AM1078" s="809"/>
      <c r="AN1078" s="809"/>
      <c r="AO1078" s="809"/>
      <c r="AP1078" s="809"/>
      <c r="AQ1078" s="809"/>
      <c r="AR1078" s="809"/>
      <c r="AS1078" s="809"/>
      <c r="AT1078" s="809"/>
      <c r="AU1078" s="809"/>
      <c r="AV1078" s="809"/>
      <c r="AW1078" s="809"/>
      <c r="AX1078" s="809"/>
      <c r="AY1078" s="809"/>
      <c r="AZ1078" s="809"/>
      <c r="BA1078" s="809"/>
      <c r="BB1078" s="809"/>
      <c r="BC1078" s="809"/>
      <c r="BD1078" s="809"/>
      <c r="BE1078" s="809"/>
      <c r="BF1078" s="809"/>
      <c r="BG1078" s="809"/>
      <c r="BH1078" s="809"/>
      <c r="BI1078" s="809"/>
      <c r="BJ1078" s="809"/>
      <c r="BK1078" s="809"/>
      <c r="BL1078" s="809"/>
      <c r="BM1078" s="809"/>
      <c r="BN1078" s="809"/>
    </row>
    <row r="1079" spans="1:66">
      <c r="A1079" s="809"/>
      <c r="B1079" s="809"/>
      <c r="C1079" s="809"/>
      <c r="D1079" s="809"/>
      <c r="E1079" s="809"/>
      <c r="F1079" s="809"/>
      <c r="G1079" s="809"/>
      <c r="H1079" s="809"/>
      <c r="I1079" s="809"/>
      <c r="J1079" s="809"/>
      <c r="K1079" s="809"/>
      <c r="L1079" s="809"/>
      <c r="M1079" s="809"/>
      <c r="N1079" s="809"/>
      <c r="O1079" s="809"/>
      <c r="P1079" s="809"/>
      <c r="Q1079" s="809"/>
      <c r="R1079" s="809"/>
      <c r="S1079" s="809"/>
      <c r="T1079" s="809"/>
      <c r="U1079" s="809"/>
      <c r="V1079" s="809"/>
      <c r="W1079" s="809"/>
      <c r="X1079" s="809"/>
      <c r="Y1079" s="809"/>
      <c r="Z1079" s="809"/>
      <c r="AA1079" s="809"/>
      <c r="AB1079" s="809"/>
      <c r="AC1079" s="809"/>
      <c r="AD1079" s="809"/>
      <c r="AE1079" s="809"/>
      <c r="AF1079" s="809"/>
      <c r="AG1079" s="809"/>
      <c r="AH1079" s="809"/>
      <c r="AI1079" s="809"/>
      <c r="AJ1079" s="809"/>
      <c r="AK1079" s="809"/>
      <c r="AL1079" s="809"/>
      <c r="AM1079" s="809"/>
      <c r="AN1079" s="809"/>
      <c r="AO1079" s="809"/>
      <c r="AP1079" s="809"/>
      <c r="AQ1079" s="809"/>
      <c r="AR1079" s="809"/>
      <c r="AS1079" s="809"/>
      <c r="AT1079" s="809"/>
      <c r="AU1079" s="809"/>
      <c r="AV1079" s="809"/>
      <c r="AW1079" s="809"/>
      <c r="AX1079" s="809"/>
      <c r="AY1079" s="809"/>
      <c r="AZ1079" s="809"/>
      <c r="BA1079" s="809"/>
      <c r="BB1079" s="809"/>
      <c r="BC1079" s="809"/>
      <c r="BD1079" s="809"/>
      <c r="BE1079" s="809"/>
      <c r="BF1079" s="809"/>
      <c r="BG1079" s="809"/>
      <c r="BH1079" s="809"/>
      <c r="BI1079" s="809"/>
      <c r="BJ1079" s="809"/>
      <c r="BK1079" s="809"/>
      <c r="BL1079" s="809"/>
      <c r="BM1079" s="809"/>
      <c r="BN1079" s="809"/>
    </row>
    <row r="1080" spans="1:66">
      <c r="A1080" s="809"/>
      <c r="B1080" s="809"/>
      <c r="C1080" s="809"/>
      <c r="D1080" s="809"/>
      <c r="E1080" s="809"/>
      <c r="F1080" s="809"/>
      <c r="G1080" s="809"/>
      <c r="H1080" s="809"/>
      <c r="I1080" s="809"/>
      <c r="J1080" s="809"/>
      <c r="K1080" s="809"/>
      <c r="L1080" s="809"/>
      <c r="M1080" s="809"/>
      <c r="N1080" s="809"/>
      <c r="O1080" s="809"/>
      <c r="P1080" s="809"/>
      <c r="Q1080" s="809"/>
      <c r="R1080" s="809"/>
      <c r="S1080" s="809"/>
      <c r="T1080" s="809"/>
      <c r="U1080" s="809"/>
      <c r="V1080" s="809"/>
      <c r="W1080" s="809"/>
      <c r="X1080" s="809"/>
      <c r="Y1080" s="809"/>
      <c r="Z1080" s="809"/>
      <c r="AA1080" s="809"/>
      <c r="AB1080" s="809"/>
      <c r="AC1080" s="809"/>
      <c r="AD1080" s="809"/>
      <c r="AE1080" s="809"/>
      <c r="AF1080" s="809"/>
      <c r="AG1080" s="809"/>
      <c r="AH1080" s="809"/>
      <c r="AI1080" s="809"/>
      <c r="AJ1080" s="809"/>
      <c r="AK1080" s="809"/>
      <c r="AL1080" s="809"/>
      <c r="AM1080" s="809"/>
      <c r="AN1080" s="809"/>
      <c r="AO1080" s="809"/>
      <c r="AP1080" s="809"/>
      <c r="AQ1080" s="809"/>
      <c r="AR1080" s="809"/>
      <c r="AS1080" s="809"/>
      <c r="AT1080" s="809"/>
      <c r="AU1080" s="809"/>
      <c r="AV1080" s="809"/>
      <c r="AW1080" s="809"/>
      <c r="AX1080" s="809"/>
      <c r="AY1080" s="809"/>
      <c r="AZ1080" s="809"/>
      <c r="BA1080" s="809"/>
      <c r="BB1080" s="809"/>
      <c r="BC1080" s="809"/>
      <c r="BD1080" s="809"/>
      <c r="BE1080" s="809"/>
      <c r="BF1080" s="809"/>
      <c r="BG1080" s="809"/>
      <c r="BH1080" s="809"/>
      <c r="BI1080" s="809"/>
      <c r="BJ1080" s="809"/>
      <c r="BK1080" s="809"/>
      <c r="BL1080" s="809"/>
      <c r="BM1080" s="809"/>
      <c r="BN1080" s="809"/>
    </row>
    <row r="1081" spans="1:66">
      <c r="A1081" s="809"/>
      <c r="B1081" s="809"/>
      <c r="C1081" s="809"/>
      <c r="D1081" s="809"/>
      <c r="E1081" s="809"/>
      <c r="F1081" s="809"/>
      <c r="G1081" s="809"/>
      <c r="H1081" s="809"/>
      <c r="I1081" s="809"/>
      <c r="J1081" s="809"/>
      <c r="K1081" s="809"/>
      <c r="L1081" s="809"/>
      <c r="M1081" s="809"/>
      <c r="N1081" s="809"/>
      <c r="O1081" s="809"/>
      <c r="P1081" s="809"/>
      <c r="Q1081" s="809"/>
      <c r="R1081" s="809"/>
      <c r="S1081" s="809"/>
      <c r="T1081" s="809"/>
      <c r="U1081" s="809"/>
      <c r="V1081" s="809"/>
      <c r="W1081" s="809"/>
      <c r="X1081" s="809"/>
      <c r="Y1081" s="809"/>
      <c r="Z1081" s="809"/>
      <c r="AA1081" s="809"/>
      <c r="AB1081" s="809"/>
      <c r="AC1081" s="809"/>
      <c r="AD1081" s="809"/>
      <c r="AE1081" s="809"/>
      <c r="AF1081" s="809"/>
      <c r="AG1081" s="809"/>
      <c r="AH1081" s="809"/>
      <c r="AI1081" s="809"/>
      <c r="AJ1081" s="809"/>
      <c r="AK1081" s="809"/>
      <c r="AL1081" s="809"/>
      <c r="AM1081" s="809"/>
      <c r="AN1081" s="809"/>
      <c r="AO1081" s="809"/>
      <c r="AP1081" s="809"/>
      <c r="AQ1081" s="809"/>
      <c r="AR1081" s="809"/>
      <c r="AS1081" s="809"/>
      <c r="AT1081" s="809"/>
      <c r="AU1081" s="809"/>
      <c r="AV1081" s="809"/>
      <c r="AW1081" s="809"/>
      <c r="AX1081" s="809"/>
      <c r="AY1081" s="809"/>
      <c r="AZ1081" s="809"/>
      <c r="BA1081" s="809"/>
      <c r="BB1081" s="809"/>
      <c r="BC1081" s="809"/>
      <c r="BD1081" s="809"/>
      <c r="BE1081" s="809"/>
      <c r="BF1081" s="809"/>
      <c r="BG1081" s="809"/>
      <c r="BH1081" s="809"/>
      <c r="BI1081" s="809"/>
      <c r="BJ1081" s="809"/>
      <c r="BK1081" s="809"/>
      <c r="BL1081" s="809"/>
      <c r="BM1081" s="809"/>
      <c r="BN1081" s="809"/>
    </row>
    <row r="1082" spans="1:66">
      <c r="A1082" s="809"/>
      <c r="B1082" s="809"/>
      <c r="C1082" s="809"/>
      <c r="D1082" s="809"/>
      <c r="E1082" s="809"/>
      <c r="F1082" s="809"/>
      <c r="G1082" s="809"/>
      <c r="H1082" s="809"/>
      <c r="I1082" s="809"/>
      <c r="J1082" s="809"/>
      <c r="K1082" s="809"/>
      <c r="L1082" s="809"/>
      <c r="M1082" s="809"/>
      <c r="N1082" s="809"/>
      <c r="O1082" s="809"/>
      <c r="P1082" s="809"/>
      <c r="Q1082" s="809"/>
      <c r="R1082" s="809"/>
      <c r="S1082" s="809"/>
      <c r="T1082" s="809"/>
      <c r="U1082" s="809"/>
      <c r="V1082" s="809"/>
      <c r="W1082" s="809"/>
      <c r="X1082" s="809"/>
      <c r="Y1082" s="809"/>
      <c r="Z1082" s="809"/>
      <c r="AA1082" s="809"/>
      <c r="AB1082" s="809"/>
      <c r="AC1082" s="809"/>
      <c r="AD1082" s="809"/>
      <c r="AE1082" s="809"/>
      <c r="AF1082" s="809"/>
      <c r="AG1082" s="809"/>
      <c r="AH1082" s="809"/>
      <c r="AI1082" s="809"/>
      <c r="AJ1082" s="809"/>
      <c r="AK1082" s="809"/>
      <c r="AL1082" s="809"/>
      <c r="AM1082" s="809"/>
      <c r="AN1082" s="809"/>
      <c r="AO1082" s="809"/>
      <c r="AP1082" s="809"/>
      <c r="AQ1082" s="809"/>
      <c r="AR1082" s="809"/>
      <c r="AS1082" s="809"/>
      <c r="AT1082" s="809"/>
      <c r="AU1082" s="809"/>
      <c r="AV1082" s="809"/>
      <c r="AW1082" s="809"/>
      <c r="AX1082" s="809"/>
      <c r="AY1082" s="809"/>
      <c r="AZ1082" s="809"/>
      <c r="BA1082" s="809"/>
      <c r="BB1082" s="809"/>
      <c r="BC1082" s="809"/>
      <c r="BD1082" s="809"/>
      <c r="BE1082" s="809"/>
      <c r="BF1082" s="809"/>
      <c r="BG1082" s="809"/>
      <c r="BH1082" s="809"/>
      <c r="BI1082" s="809"/>
      <c r="BJ1082" s="809"/>
      <c r="BK1082" s="809"/>
      <c r="BL1082" s="809"/>
      <c r="BM1082" s="809"/>
      <c r="BN1082" s="809"/>
    </row>
    <row r="1083" spans="1:66">
      <c r="A1083" s="809"/>
      <c r="B1083" s="809"/>
      <c r="C1083" s="809"/>
      <c r="D1083" s="809"/>
      <c r="E1083" s="809"/>
      <c r="F1083" s="809"/>
      <c r="G1083" s="809"/>
      <c r="H1083" s="809"/>
      <c r="I1083" s="809"/>
      <c r="J1083" s="809"/>
      <c r="K1083" s="809"/>
      <c r="L1083" s="809"/>
      <c r="M1083" s="809"/>
      <c r="N1083" s="809"/>
      <c r="O1083" s="809"/>
      <c r="P1083" s="809"/>
      <c r="Q1083" s="809"/>
      <c r="R1083" s="809"/>
      <c r="S1083" s="809"/>
      <c r="T1083" s="809"/>
      <c r="U1083" s="809"/>
      <c r="V1083" s="809"/>
      <c r="W1083" s="809"/>
      <c r="X1083" s="809"/>
      <c r="Y1083" s="809"/>
      <c r="Z1083" s="809"/>
      <c r="AA1083" s="809"/>
      <c r="AB1083" s="809"/>
      <c r="AC1083" s="809"/>
      <c r="AD1083" s="809"/>
      <c r="AE1083" s="809"/>
      <c r="AF1083" s="809"/>
      <c r="AG1083" s="809"/>
      <c r="AH1083" s="809"/>
      <c r="AI1083" s="809"/>
      <c r="AJ1083" s="809"/>
      <c r="AK1083" s="809"/>
      <c r="AL1083" s="809"/>
      <c r="AM1083" s="809"/>
      <c r="AN1083" s="809"/>
      <c r="AO1083" s="809"/>
      <c r="AP1083" s="809"/>
      <c r="AQ1083" s="809"/>
      <c r="AR1083" s="809"/>
      <c r="AS1083" s="809"/>
      <c r="AT1083" s="809"/>
      <c r="AU1083" s="809"/>
      <c r="AV1083" s="809"/>
      <c r="AW1083" s="809"/>
      <c r="AX1083" s="809"/>
      <c r="AY1083" s="809"/>
      <c r="AZ1083" s="809"/>
      <c r="BA1083" s="809"/>
      <c r="BB1083" s="809"/>
      <c r="BC1083" s="809"/>
      <c r="BD1083" s="809"/>
      <c r="BE1083" s="809"/>
      <c r="BF1083" s="809"/>
      <c r="BG1083" s="809"/>
      <c r="BH1083" s="809"/>
      <c r="BI1083" s="809"/>
      <c r="BJ1083" s="809"/>
      <c r="BK1083" s="809"/>
      <c r="BL1083" s="809"/>
      <c r="BM1083" s="809"/>
      <c r="BN1083" s="809"/>
    </row>
    <row r="1084" spans="1:66">
      <c r="A1084" s="809"/>
      <c r="B1084" s="809"/>
      <c r="C1084" s="809"/>
      <c r="D1084" s="809"/>
      <c r="E1084" s="809"/>
      <c r="F1084" s="809"/>
      <c r="G1084" s="809"/>
      <c r="H1084" s="809"/>
      <c r="I1084" s="809"/>
      <c r="J1084" s="809"/>
      <c r="K1084" s="809"/>
      <c r="L1084" s="809"/>
      <c r="M1084" s="809"/>
      <c r="N1084" s="809"/>
      <c r="O1084" s="809"/>
      <c r="P1084" s="809"/>
      <c r="Q1084" s="809"/>
      <c r="R1084" s="809"/>
      <c r="S1084" s="809"/>
      <c r="T1084" s="809"/>
      <c r="U1084" s="809"/>
      <c r="V1084" s="809"/>
      <c r="W1084" s="809"/>
      <c r="X1084" s="809"/>
      <c r="Y1084" s="809"/>
      <c r="Z1084" s="809"/>
      <c r="AA1084" s="809"/>
      <c r="AB1084" s="809"/>
      <c r="AC1084" s="809"/>
      <c r="AD1084" s="809"/>
      <c r="AE1084" s="809"/>
      <c r="AF1084" s="809"/>
      <c r="AG1084" s="809"/>
      <c r="AH1084" s="809"/>
      <c r="AI1084" s="809"/>
      <c r="AJ1084" s="809"/>
      <c r="AK1084" s="809"/>
      <c r="AL1084" s="809"/>
      <c r="AM1084" s="809"/>
      <c r="AN1084" s="809"/>
      <c r="AO1084" s="809"/>
      <c r="AP1084" s="809"/>
      <c r="AQ1084" s="809"/>
      <c r="AR1084" s="809"/>
      <c r="AS1084" s="809"/>
      <c r="AT1084" s="809"/>
      <c r="AU1084" s="809"/>
      <c r="AV1084" s="809"/>
      <c r="AW1084" s="809"/>
      <c r="AX1084" s="809"/>
      <c r="AY1084" s="809"/>
      <c r="AZ1084" s="809"/>
      <c r="BA1084" s="809"/>
      <c r="BB1084" s="809"/>
      <c r="BC1084" s="809"/>
      <c r="BD1084" s="809"/>
      <c r="BE1084" s="809"/>
      <c r="BF1084" s="809"/>
      <c r="BG1084" s="809"/>
      <c r="BH1084" s="809"/>
      <c r="BI1084" s="809"/>
      <c r="BJ1084" s="809"/>
      <c r="BK1084" s="809"/>
      <c r="BL1084" s="809"/>
      <c r="BM1084" s="809"/>
      <c r="BN1084" s="809"/>
    </row>
    <row r="1085" spans="1:66">
      <c r="A1085" s="809"/>
      <c r="B1085" s="809"/>
      <c r="C1085" s="809"/>
      <c r="D1085" s="809"/>
      <c r="E1085" s="809"/>
      <c r="F1085" s="809"/>
      <c r="G1085" s="809"/>
      <c r="H1085" s="809"/>
      <c r="I1085" s="809"/>
      <c r="J1085" s="809"/>
      <c r="K1085" s="809"/>
      <c r="L1085" s="809"/>
      <c r="M1085" s="809"/>
      <c r="N1085" s="809"/>
      <c r="O1085" s="809"/>
      <c r="P1085" s="809"/>
      <c r="Q1085" s="809"/>
      <c r="R1085" s="809"/>
      <c r="S1085" s="809"/>
      <c r="T1085" s="809"/>
      <c r="U1085" s="809"/>
      <c r="V1085" s="809"/>
      <c r="W1085" s="809"/>
      <c r="X1085" s="809"/>
      <c r="Y1085" s="809"/>
      <c r="Z1085" s="809"/>
      <c r="AA1085" s="809"/>
      <c r="AB1085" s="809"/>
      <c r="AC1085" s="809"/>
      <c r="AD1085" s="809"/>
      <c r="AE1085" s="809"/>
      <c r="AF1085" s="809"/>
      <c r="AG1085" s="809"/>
      <c r="AH1085" s="809"/>
      <c r="AI1085" s="809"/>
      <c r="AJ1085" s="809"/>
      <c r="AK1085" s="809"/>
      <c r="AL1085" s="809"/>
      <c r="AM1085" s="809"/>
      <c r="AN1085" s="809"/>
      <c r="AO1085" s="809"/>
      <c r="AP1085" s="809"/>
      <c r="AQ1085" s="809"/>
      <c r="AR1085" s="809"/>
      <c r="AS1085" s="809"/>
      <c r="AT1085" s="809"/>
      <c r="AU1085" s="809"/>
      <c r="AV1085" s="809"/>
      <c r="AW1085" s="809"/>
      <c r="AX1085" s="809"/>
      <c r="AY1085" s="809"/>
      <c r="AZ1085" s="809"/>
      <c r="BA1085" s="809"/>
      <c r="BB1085" s="809"/>
      <c r="BC1085" s="809"/>
      <c r="BD1085" s="809"/>
      <c r="BE1085" s="809"/>
      <c r="BF1085" s="809"/>
      <c r="BG1085" s="809"/>
      <c r="BH1085" s="809"/>
      <c r="BI1085" s="809"/>
      <c r="BJ1085" s="809"/>
      <c r="BK1085" s="809"/>
      <c r="BL1085" s="809"/>
      <c r="BM1085" s="809"/>
      <c r="BN1085" s="809"/>
    </row>
    <row r="1086" spans="1:66">
      <c r="A1086" s="809"/>
      <c r="B1086" s="809"/>
      <c r="C1086" s="809"/>
      <c r="D1086" s="809"/>
      <c r="E1086" s="809"/>
      <c r="F1086" s="809"/>
      <c r="G1086" s="809"/>
      <c r="H1086" s="809"/>
      <c r="I1086" s="809"/>
      <c r="J1086" s="809"/>
      <c r="K1086" s="809"/>
      <c r="L1086" s="809"/>
      <c r="M1086" s="809"/>
      <c r="N1086" s="809"/>
      <c r="O1086" s="809"/>
      <c r="P1086" s="809"/>
      <c r="Q1086" s="809"/>
      <c r="R1086" s="809"/>
      <c r="S1086" s="809"/>
      <c r="T1086" s="809"/>
      <c r="U1086" s="809"/>
      <c r="V1086" s="809"/>
      <c r="W1086" s="809"/>
      <c r="X1086" s="809"/>
      <c r="Y1086" s="809"/>
      <c r="Z1086" s="809"/>
      <c r="AA1086" s="809"/>
      <c r="AB1086" s="809"/>
      <c r="AC1086" s="809"/>
      <c r="AD1086" s="809"/>
      <c r="AE1086" s="809"/>
      <c r="AF1086" s="809"/>
      <c r="AG1086" s="809"/>
      <c r="AH1086" s="809"/>
      <c r="AI1086" s="809"/>
      <c r="AJ1086" s="809"/>
      <c r="AK1086" s="809"/>
      <c r="AL1086" s="809"/>
      <c r="AM1086" s="809"/>
      <c r="AN1086" s="809"/>
      <c r="AO1086" s="809"/>
      <c r="AP1086" s="809"/>
      <c r="AQ1086" s="809"/>
      <c r="AR1086" s="809"/>
      <c r="AS1086" s="809"/>
      <c r="AT1086" s="809"/>
      <c r="AU1086" s="809"/>
      <c r="AV1086" s="809"/>
      <c r="AW1086" s="809"/>
      <c r="AX1086" s="809"/>
      <c r="AY1086" s="809"/>
      <c r="AZ1086" s="809"/>
      <c r="BA1086" s="809"/>
      <c r="BB1086" s="809"/>
      <c r="BC1086" s="809"/>
      <c r="BD1086" s="809"/>
      <c r="BE1086" s="809"/>
      <c r="BF1086" s="809"/>
      <c r="BG1086" s="809"/>
      <c r="BH1086" s="809"/>
      <c r="BI1086" s="809"/>
      <c r="BJ1086" s="809"/>
      <c r="BK1086" s="809"/>
      <c r="BL1086" s="809"/>
      <c r="BM1086" s="809"/>
      <c r="BN1086" s="809"/>
    </row>
    <row r="1087" spans="1:66">
      <c r="A1087" s="809"/>
      <c r="B1087" s="809"/>
      <c r="C1087" s="809"/>
      <c r="D1087" s="809"/>
      <c r="E1087" s="809"/>
      <c r="F1087" s="809"/>
      <c r="G1087" s="809"/>
      <c r="H1087" s="809"/>
      <c r="I1087" s="809"/>
      <c r="J1087" s="809"/>
      <c r="K1087" s="809"/>
      <c r="L1087" s="809"/>
      <c r="M1087" s="809"/>
      <c r="N1087" s="809"/>
      <c r="O1087" s="809"/>
      <c r="P1087" s="809"/>
      <c r="Q1087" s="809"/>
      <c r="R1087" s="809"/>
      <c r="S1087" s="809"/>
      <c r="T1087" s="809"/>
      <c r="U1087" s="809"/>
      <c r="V1087" s="809"/>
      <c r="W1087" s="809"/>
      <c r="X1087" s="809"/>
      <c r="Y1087" s="809"/>
      <c r="Z1087" s="809"/>
      <c r="AA1087" s="809"/>
      <c r="AB1087" s="809"/>
      <c r="AC1087" s="809"/>
      <c r="AD1087" s="809"/>
      <c r="AE1087" s="809"/>
      <c r="AF1087" s="809"/>
      <c r="AG1087" s="809"/>
      <c r="AH1087" s="809"/>
      <c r="AI1087" s="809"/>
      <c r="AJ1087" s="809"/>
      <c r="AK1087" s="809"/>
      <c r="AL1087" s="809"/>
      <c r="AM1087" s="809"/>
      <c r="AN1087" s="809"/>
      <c r="AO1087" s="809"/>
      <c r="AP1087" s="809"/>
      <c r="AQ1087" s="809"/>
      <c r="AR1087" s="809"/>
      <c r="AS1087" s="809"/>
      <c r="AT1087" s="809"/>
      <c r="AU1087" s="809"/>
      <c r="AV1087" s="809"/>
      <c r="AW1087" s="809"/>
      <c r="AX1087" s="809"/>
      <c r="AY1087" s="809"/>
      <c r="AZ1087" s="809"/>
      <c r="BA1087" s="809"/>
      <c r="BB1087" s="809"/>
      <c r="BC1087" s="809"/>
      <c r="BD1087" s="809"/>
      <c r="BE1087" s="809"/>
      <c r="BF1087" s="809"/>
      <c r="BG1087" s="809"/>
      <c r="BH1087" s="809"/>
      <c r="BI1087" s="809"/>
      <c r="BJ1087" s="809"/>
      <c r="BK1087" s="809"/>
      <c r="BL1087" s="809"/>
      <c r="BM1087" s="809"/>
      <c r="BN1087" s="809"/>
    </row>
    <row r="1088" spans="1:66">
      <c r="A1088" s="809"/>
      <c r="B1088" s="809"/>
      <c r="C1088" s="809"/>
      <c r="D1088" s="809"/>
      <c r="E1088" s="809"/>
      <c r="F1088" s="809"/>
      <c r="G1088" s="809"/>
      <c r="H1088" s="809"/>
      <c r="I1088" s="809"/>
      <c r="J1088" s="809"/>
      <c r="K1088" s="809"/>
      <c r="L1088" s="809"/>
      <c r="M1088" s="809"/>
      <c r="N1088" s="809"/>
      <c r="O1088" s="809"/>
      <c r="P1088" s="809"/>
      <c r="Q1088" s="809"/>
      <c r="R1088" s="809"/>
      <c r="S1088" s="809"/>
      <c r="T1088" s="809"/>
      <c r="U1088" s="809"/>
      <c r="V1088" s="809"/>
      <c r="W1088" s="809"/>
      <c r="X1088" s="809"/>
      <c r="Y1088" s="809"/>
      <c r="Z1088" s="809"/>
      <c r="AA1088" s="809"/>
      <c r="AB1088" s="809"/>
      <c r="AC1088" s="809"/>
      <c r="AD1088" s="809"/>
      <c r="AE1088" s="809"/>
      <c r="AF1088" s="809"/>
      <c r="AG1088" s="809"/>
      <c r="AH1088" s="809"/>
      <c r="AI1088" s="809"/>
      <c r="AJ1088" s="809"/>
      <c r="AK1088" s="809"/>
      <c r="AL1088" s="809"/>
      <c r="AM1088" s="809"/>
      <c r="AN1088" s="809"/>
      <c r="AO1088" s="809"/>
      <c r="AP1088" s="809"/>
      <c r="AQ1088" s="809"/>
      <c r="AR1088" s="809"/>
      <c r="AS1088" s="809"/>
      <c r="AT1088" s="809"/>
      <c r="AU1088" s="809"/>
      <c r="AV1088" s="809"/>
      <c r="AW1088" s="809"/>
      <c r="AX1088" s="809"/>
      <c r="AY1088" s="809"/>
      <c r="AZ1088" s="809"/>
      <c r="BA1088" s="809"/>
      <c r="BB1088" s="809"/>
      <c r="BC1088" s="809"/>
      <c r="BD1088" s="809"/>
      <c r="BE1088" s="809"/>
      <c r="BF1088" s="809"/>
      <c r="BG1088" s="809"/>
      <c r="BH1088" s="809"/>
      <c r="BI1088" s="809"/>
      <c r="BJ1088" s="809"/>
      <c r="BK1088" s="809"/>
      <c r="BL1088" s="809"/>
      <c r="BM1088" s="809"/>
      <c r="BN1088" s="809"/>
    </row>
    <row r="1089" spans="1:66">
      <c r="A1089" s="809"/>
      <c r="B1089" s="809"/>
      <c r="C1089" s="809"/>
      <c r="D1089" s="809"/>
      <c r="E1089" s="809"/>
      <c r="F1089" s="809"/>
      <c r="G1089" s="809"/>
      <c r="H1089" s="809"/>
      <c r="I1089" s="809"/>
      <c r="J1089" s="809"/>
      <c r="K1089" s="809"/>
      <c r="L1089" s="809"/>
      <c r="M1089" s="809"/>
      <c r="N1089" s="809"/>
      <c r="O1089" s="809"/>
      <c r="P1089" s="809"/>
      <c r="Q1089" s="809"/>
      <c r="R1089" s="809"/>
      <c r="S1089" s="809"/>
      <c r="T1089" s="809"/>
      <c r="U1089" s="809"/>
      <c r="V1089" s="809"/>
      <c r="W1089" s="809"/>
      <c r="X1089" s="809"/>
      <c r="Y1089" s="809"/>
      <c r="Z1089" s="809"/>
      <c r="AA1089" s="809"/>
      <c r="AB1089" s="809"/>
      <c r="AC1089" s="809"/>
      <c r="AD1089" s="809"/>
      <c r="AE1089" s="809"/>
      <c r="AF1089" s="809"/>
      <c r="AG1089" s="809"/>
      <c r="AH1089" s="809"/>
      <c r="AI1089" s="809"/>
      <c r="AJ1089" s="809"/>
      <c r="AK1089" s="809"/>
      <c r="AL1089" s="809"/>
      <c r="AM1089" s="809"/>
      <c r="AN1089" s="809"/>
      <c r="AO1089" s="809"/>
      <c r="AP1089" s="809"/>
      <c r="AQ1089" s="809"/>
      <c r="AR1089" s="809"/>
      <c r="AS1089" s="809"/>
      <c r="AT1089" s="809"/>
      <c r="AU1089" s="809"/>
      <c r="AV1089" s="809"/>
      <c r="AW1089" s="809"/>
      <c r="AX1089" s="809"/>
      <c r="AY1089" s="809"/>
      <c r="AZ1089" s="809"/>
      <c r="BA1089" s="809"/>
      <c r="BB1089" s="809"/>
      <c r="BC1089" s="809"/>
      <c r="BD1089" s="809"/>
      <c r="BE1089" s="809"/>
      <c r="BF1089" s="809"/>
      <c r="BG1089" s="809"/>
      <c r="BH1089" s="809"/>
      <c r="BI1089" s="809"/>
      <c r="BJ1089" s="809"/>
      <c r="BK1089" s="809"/>
      <c r="BL1089" s="809"/>
      <c r="BM1089" s="809"/>
      <c r="BN1089" s="809"/>
    </row>
    <row r="1090" spans="1:66">
      <c r="A1090" s="809"/>
      <c r="B1090" s="809"/>
      <c r="C1090" s="809"/>
      <c r="D1090" s="809"/>
      <c r="E1090" s="809"/>
      <c r="F1090" s="809"/>
      <c r="G1090" s="809"/>
      <c r="H1090" s="809"/>
      <c r="I1090" s="809"/>
      <c r="J1090" s="809"/>
      <c r="K1090" s="809"/>
      <c r="L1090" s="809"/>
      <c r="M1090" s="809"/>
      <c r="N1090" s="809"/>
      <c r="O1090" s="809"/>
      <c r="P1090" s="809"/>
      <c r="Q1090" s="809"/>
      <c r="R1090" s="809"/>
      <c r="S1090" s="809"/>
      <c r="T1090" s="809"/>
      <c r="U1090" s="809"/>
      <c r="V1090" s="809"/>
      <c r="W1090" s="809"/>
      <c r="X1090" s="809"/>
      <c r="Y1090" s="809"/>
      <c r="Z1090" s="809"/>
      <c r="AA1090" s="809"/>
      <c r="AB1090" s="809"/>
      <c r="AC1090" s="809"/>
      <c r="AD1090" s="809"/>
      <c r="AE1090" s="809"/>
      <c r="AF1090" s="809"/>
      <c r="AG1090" s="809"/>
      <c r="AH1090" s="809"/>
      <c r="AI1090" s="809"/>
      <c r="AJ1090" s="809"/>
      <c r="AK1090" s="809"/>
      <c r="AL1090" s="809"/>
      <c r="AM1090" s="809"/>
      <c r="AN1090" s="809"/>
      <c r="AO1090" s="809"/>
      <c r="AP1090" s="809"/>
      <c r="AQ1090" s="809"/>
      <c r="AR1090" s="809"/>
      <c r="AS1090" s="809"/>
      <c r="AT1090" s="809"/>
      <c r="AU1090" s="809"/>
      <c r="AV1090" s="809"/>
      <c r="AW1090" s="809"/>
      <c r="AX1090" s="809"/>
      <c r="AY1090" s="809"/>
      <c r="AZ1090" s="809"/>
      <c r="BA1090" s="809"/>
      <c r="BB1090" s="809"/>
      <c r="BC1090" s="809"/>
      <c r="BD1090" s="809"/>
      <c r="BE1090" s="809"/>
      <c r="BF1090" s="809"/>
      <c r="BG1090" s="809"/>
      <c r="BH1090" s="809"/>
      <c r="BI1090" s="809"/>
      <c r="BJ1090" s="809"/>
      <c r="BK1090" s="809"/>
      <c r="BL1090" s="809"/>
      <c r="BM1090" s="809"/>
      <c r="BN1090" s="809"/>
    </row>
    <row r="1091" spans="1:66">
      <c r="A1091" s="809"/>
      <c r="B1091" s="809"/>
      <c r="C1091" s="809"/>
      <c r="D1091" s="809"/>
      <c r="E1091" s="809"/>
      <c r="F1091" s="809"/>
      <c r="G1091" s="809"/>
      <c r="H1091" s="809"/>
      <c r="I1091" s="809"/>
      <c r="J1091" s="809"/>
      <c r="K1091" s="809"/>
      <c r="L1091" s="809"/>
      <c r="M1091" s="809"/>
      <c r="N1091" s="809"/>
      <c r="O1091" s="809"/>
      <c r="P1091" s="809"/>
      <c r="Q1091" s="809"/>
      <c r="R1091" s="809"/>
      <c r="S1091" s="809"/>
      <c r="T1091" s="809"/>
      <c r="U1091" s="809"/>
      <c r="V1091" s="809"/>
      <c r="W1091" s="809"/>
      <c r="X1091" s="809"/>
      <c r="Y1091" s="809"/>
      <c r="Z1091" s="809"/>
      <c r="AA1091" s="809"/>
      <c r="AB1091" s="809"/>
      <c r="AC1091" s="809"/>
      <c r="AD1091" s="809"/>
      <c r="AE1091" s="809"/>
      <c r="AF1091" s="809"/>
      <c r="AG1091" s="809"/>
      <c r="AH1091" s="809"/>
      <c r="AI1091" s="809"/>
      <c r="AJ1091" s="809"/>
      <c r="AK1091" s="809"/>
      <c r="AL1091" s="809"/>
      <c r="AM1091" s="809"/>
      <c r="AN1091" s="809"/>
      <c r="AO1091" s="809"/>
      <c r="AP1091" s="809"/>
      <c r="AQ1091" s="809"/>
      <c r="AR1091" s="809"/>
      <c r="AS1091" s="809"/>
      <c r="AT1091" s="809"/>
      <c r="AU1091" s="809"/>
      <c r="AV1091" s="809"/>
      <c r="AW1091" s="809"/>
      <c r="AX1091" s="809"/>
      <c r="AY1091" s="809"/>
      <c r="AZ1091" s="809"/>
      <c r="BA1091" s="809"/>
      <c r="BB1091" s="809"/>
      <c r="BC1091" s="809"/>
      <c r="BD1091" s="809"/>
      <c r="BE1091" s="809"/>
      <c r="BF1091" s="809"/>
      <c r="BG1091" s="809"/>
      <c r="BH1091" s="809"/>
      <c r="BI1091" s="809"/>
      <c r="BJ1091" s="809"/>
      <c r="BK1091" s="809"/>
      <c r="BL1091" s="809"/>
      <c r="BM1091" s="809"/>
      <c r="BN1091" s="809"/>
    </row>
    <row r="1092" spans="1:66">
      <c r="A1092" s="809"/>
      <c r="B1092" s="809"/>
      <c r="C1092" s="809"/>
      <c r="D1092" s="809"/>
      <c r="E1092" s="809"/>
      <c r="F1092" s="809"/>
      <c r="G1092" s="809"/>
      <c r="H1092" s="809"/>
      <c r="I1092" s="809"/>
      <c r="J1092" s="809"/>
      <c r="K1092" s="809"/>
      <c r="L1092" s="809"/>
      <c r="M1092" s="809"/>
      <c r="N1092" s="809"/>
      <c r="O1092" s="809"/>
      <c r="P1092" s="809"/>
      <c r="Q1092" s="809"/>
      <c r="R1092" s="809"/>
      <c r="S1092" s="809"/>
      <c r="T1092" s="809"/>
      <c r="U1092" s="809"/>
      <c r="V1092" s="809"/>
      <c r="W1092" s="809"/>
      <c r="X1092" s="809"/>
      <c r="Y1092" s="809"/>
      <c r="Z1092" s="809"/>
      <c r="AA1092" s="809"/>
      <c r="AB1092" s="809"/>
      <c r="AC1092" s="809"/>
      <c r="AD1092" s="809"/>
      <c r="AE1092" s="809"/>
      <c r="AF1092" s="809"/>
      <c r="AG1092" s="809"/>
      <c r="AH1092" s="809"/>
      <c r="AI1092" s="809"/>
      <c r="AJ1092" s="809"/>
      <c r="AK1092" s="809"/>
      <c r="AL1092" s="809"/>
      <c r="AM1092" s="809"/>
      <c r="AN1092" s="809"/>
      <c r="AO1092" s="809"/>
      <c r="AP1092" s="809"/>
      <c r="AQ1092" s="809"/>
      <c r="AR1092" s="809"/>
      <c r="AS1092" s="809"/>
      <c r="AT1092" s="809"/>
      <c r="AU1092" s="809"/>
      <c r="AV1092" s="809"/>
      <c r="AW1092" s="809"/>
      <c r="AX1092" s="809"/>
      <c r="AY1092" s="809"/>
      <c r="AZ1092" s="809"/>
      <c r="BA1092" s="809"/>
      <c r="BB1092" s="809"/>
      <c r="BC1092" s="809"/>
      <c r="BD1092" s="809"/>
      <c r="BE1092" s="809"/>
      <c r="BF1092" s="809"/>
      <c r="BG1092" s="809"/>
      <c r="BH1092" s="809"/>
      <c r="BI1092" s="809"/>
      <c r="BJ1092" s="809"/>
      <c r="BK1092" s="809"/>
      <c r="BL1092" s="809"/>
      <c r="BM1092" s="809"/>
      <c r="BN1092" s="809"/>
    </row>
    <row r="1093" spans="1:66">
      <c r="A1093" s="809"/>
      <c r="B1093" s="809"/>
      <c r="C1093" s="809"/>
      <c r="D1093" s="809"/>
      <c r="E1093" s="809"/>
      <c r="F1093" s="809"/>
      <c r="G1093" s="809"/>
      <c r="H1093" s="809"/>
      <c r="I1093" s="809"/>
      <c r="J1093" s="809"/>
      <c r="K1093" s="809"/>
      <c r="L1093" s="809"/>
      <c r="M1093" s="809"/>
      <c r="N1093" s="809"/>
      <c r="O1093" s="809"/>
      <c r="P1093" s="809"/>
      <c r="Q1093" s="809"/>
      <c r="R1093" s="809"/>
      <c r="S1093" s="809"/>
      <c r="T1093" s="809"/>
      <c r="U1093" s="809"/>
      <c r="V1093" s="809"/>
      <c r="W1093" s="809"/>
      <c r="X1093" s="809"/>
      <c r="Y1093" s="809"/>
      <c r="Z1093" s="809"/>
      <c r="AA1093" s="809"/>
      <c r="AB1093" s="809"/>
      <c r="AC1093" s="809"/>
      <c r="AD1093" s="809"/>
      <c r="AE1093" s="809"/>
      <c r="AF1093" s="809"/>
      <c r="AG1093" s="809"/>
      <c r="AH1093" s="809"/>
      <c r="AI1093" s="809"/>
      <c r="AJ1093" s="809"/>
      <c r="AK1093" s="809"/>
      <c r="AL1093" s="809"/>
      <c r="AM1093" s="809"/>
      <c r="AN1093" s="809"/>
      <c r="AO1093" s="809"/>
      <c r="AP1093" s="809"/>
      <c r="AQ1093" s="809"/>
      <c r="AR1093" s="809"/>
      <c r="AS1093" s="809"/>
      <c r="AT1093" s="809"/>
      <c r="AU1093" s="809"/>
      <c r="AV1093" s="809"/>
      <c r="AW1093" s="809"/>
      <c r="AX1093" s="809"/>
      <c r="AY1093" s="809"/>
      <c r="AZ1093" s="809"/>
      <c r="BA1093" s="809"/>
      <c r="BB1093" s="809"/>
      <c r="BC1093" s="809"/>
      <c r="BD1093" s="809"/>
      <c r="BE1093" s="809"/>
      <c r="BF1093" s="809"/>
      <c r="BG1093" s="809"/>
      <c r="BH1093" s="809"/>
      <c r="BI1093" s="809"/>
      <c r="BJ1093" s="809"/>
      <c r="BK1093" s="809"/>
      <c r="BL1093" s="809"/>
      <c r="BM1093" s="809"/>
      <c r="BN1093" s="809"/>
    </row>
    <row r="1094" spans="1:66">
      <c r="A1094" s="809"/>
      <c r="B1094" s="809"/>
      <c r="C1094" s="809"/>
      <c r="D1094" s="809"/>
      <c r="E1094" s="809"/>
      <c r="F1094" s="809"/>
      <c r="G1094" s="809"/>
      <c r="H1094" s="809"/>
      <c r="I1094" s="809"/>
      <c r="J1094" s="809"/>
      <c r="K1094" s="809"/>
      <c r="L1094" s="809"/>
      <c r="M1094" s="809"/>
      <c r="N1094" s="809"/>
      <c r="O1094" s="809"/>
      <c r="P1094" s="809"/>
      <c r="Q1094" s="809"/>
      <c r="R1094" s="809"/>
      <c r="S1094" s="809"/>
      <c r="T1094" s="809"/>
      <c r="U1094" s="809"/>
      <c r="V1094" s="809"/>
      <c r="W1094" s="809"/>
      <c r="X1094" s="809"/>
      <c r="Y1094" s="809"/>
      <c r="Z1094" s="809"/>
      <c r="AA1094" s="809"/>
      <c r="AB1094" s="809"/>
      <c r="AC1094" s="809"/>
      <c r="AD1094" s="809"/>
      <c r="AE1094" s="809"/>
      <c r="AF1094" s="809"/>
      <c r="AG1094" s="809"/>
      <c r="AH1094" s="809"/>
      <c r="AI1094" s="809"/>
      <c r="AJ1094" s="809"/>
      <c r="AK1094" s="809"/>
      <c r="AL1094" s="809"/>
      <c r="AM1094" s="809"/>
      <c r="AN1094" s="809"/>
      <c r="AO1094" s="809"/>
      <c r="AP1094" s="809"/>
      <c r="AQ1094" s="809"/>
      <c r="AR1094" s="809"/>
      <c r="AS1094" s="809"/>
      <c r="AT1094" s="809"/>
      <c r="AU1094" s="809"/>
      <c r="AV1094" s="809"/>
      <c r="AW1094" s="809"/>
      <c r="AX1094" s="809"/>
      <c r="AY1094" s="809"/>
      <c r="AZ1094" s="809"/>
      <c r="BA1094" s="809"/>
      <c r="BB1094" s="809"/>
      <c r="BC1094" s="809"/>
      <c r="BD1094" s="809"/>
      <c r="BE1094" s="809"/>
      <c r="BF1094" s="809"/>
      <c r="BG1094" s="809"/>
      <c r="BH1094" s="809"/>
      <c r="BI1094" s="809"/>
      <c r="BJ1094" s="809"/>
      <c r="BK1094" s="809"/>
      <c r="BL1094" s="809"/>
      <c r="BM1094" s="809"/>
      <c r="BN1094" s="809"/>
    </row>
    <row r="1095" spans="1:66">
      <c r="A1095" s="809"/>
      <c r="B1095" s="809"/>
      <c r="C1095" s="809"/>
      <c r="D1095" s="809"/>
      <c r="E1095" s="809"/>
      <c r="F1095" s="809"/>
      <c r="G1095" s="809"/>
      <c r="H1095" s="809"/>
      <c r="I1095" s="809"/>
      <c r="J1095" s="809"/>
      <c r="K1095" s="809"/>
      <c r="L1095" s="809"/>
      <c r="M1095" s="809"/>
      <c r="N1095" s="809"/>
      <c r="O1095" s="809"/>
      <c r="P1095" s="809"/>
      <c r="Q1095" s="809"/>
      <c r="R1095" s="809"/>
      <c r="S1095" s="809"/>
      <c r="T1095" s="809"/>
      <c r="U1095" s="809"/>
      <c r="V1095" s="809"/>
      <c r="W1095" s="809"/>
      <c r="X1095" s="809"/>
      <c r="Y1095" s="809"/>
      <c r="Z1095" s="809"/>
      <c r="AA1095" s="809"/>
      <c r="AB1095" s="809"/>
      <c r="AC1095" s="809"/>
      <c r="AD1095" s="809"/>
      <c r="AE1095" s="809"/>
      <c r="AF1095" s="809"/>
      <c r="AG1095" s="809"/>
      <c r="AH1095" s="809"/>
      <c r="AI1095" s="809"/>
      <c r="AJ1095" s="809"/>
      <c r="AK1095" s="809"/>
      <c r="AL1095" s="809"/>
      <c r="AM1095" s="809"/>
      <c r="AN1095" s="809"/>
      <c r="AO1095" s="809"/>
      <c r="AP1095" s="809"/>
      <c r="AQ1095" s="809"/>
      <c r="AR1095" s="809"/>
      <c r="AS1095" s="809"/>
      <c r="AT1095" s="809"/>
      <c r="AU1095" s="809"/>
      <c r="AV1095" s="809"/>
      <c r="AW1095" s="809"/>
      <c r="AX1095" s="809"/>
      <c r="AY1095" s="809"/>
      <c r="AZ1095" s="809"/>
      <c r="BA1095" s="809"/>
      <c r="BB1095" s="809"/>
      <c r="BC1095" s="809"/>
      <c r="BD1095" s="809"/>
      <c r="BE1095" s="809"/>
      <c r="BF1095" s="809"/>
      <c r="BG1095" s="809"/>
      <c r="BH1095" s="809"/>
      <c r="BI1095" s="809"/>
      <c r="BJ1095" s="809"/>
      <c r="BK1095" s="809"/>
      <c r="BL1095" s="809"/>
      <c r="BM1095" s="809"/>
      <c r="BN1095" s="809"/>
    </row>
    <row r="1096" spans="1:66">
      <c r="A1096" s="809"/>
      <c r="B1096" s="809"/>
      <c r="C1096" s="809"/>
      <c r="D1096" s="809"/>
      <c r="E1096" s="809"/>
      <c r="F1096" s="809"/>
      <c r="G1096" s="809"/>
      <c r="H1096" s="809"/>
      <c r="I1096" s="809"/>
      <c r="J1096" s="809"/>
      <c r="K1096" s="809"/>
      <c r="L1096" s="809"/>
      <c r="M1096" s="809"/>
      <c r="N1096" s="809"/>
      <c r="O1096" s="809"/>
      <c r="P1096" s="809"/>
      <c r="Q1096" s="809"/>
      <c r="R1096" s="809"/>
      <c r="S1096" s="809"/>
      <c r="T1096" s="809"/>
      <c r="U1096" s="809"/>
      <c r="V1096" s="809"/>
      <c r="W1096" s="809"/>
      <c r="X1096" s="809"/>
      <c r="Y1096" s="809"/>
      <c r="Z1096" s="809"/>
      <c r="AA1096" s="809"/>
      <c r="AB1096" s="809"/>
      <c r="AC1096" s="809"/>
      <c r="AD1096" s="809"/>
      <c r="AE1096" s="809"/>
      <c r="AF1096" s="809"/>
      <c r="AG1096" s="809"/>
      <c r="AH1096" s="809"/>
      <c r="AI1096" s="809"/>
      <c r="AJ1096" s="809"/>
      <c r="AK1096" s="809"/>
      <c r="AL1096" s="809"/>
      <c r="AM1096" s="809"/>
      <c r="AN1096" s="809"/>
      <c r="AO1096" s="809"/>
      <c r="AP1096" s="809"/>
      <c r="AQ1096" s="809"/>
      <c r="AR1096" s="809"/>
      <c r="AS1096" s="809"/>
      <c r="AT1096" s="809"/>
      <c r="AU1096" s="809"/>
      <c r="AV1096" s="809"/>
      <c r="AW1096" s="809"/>
      <c r="AX1096" s="809"/>
      <c r="AY1096" s="809"/>
      <c r="AZ1096" s="809"/>
      <c r="BA1096" s="809"/>
      <c r="BB1096" s="809"/>
      <c r="BC1096" s="809"/>
      <c r="BD1096" s="809"/>
      <c r="BE1096" s="809"/>
      <c r="BF1096" s="809"/>
      <c r="BG1096" s="809"/>
      <c r="BH1096" s="809"/>
      <c r="BI1096" s="809"/>
      <c r="BJ1096" s="809"/>
      <c r="BK1096" s="809"/>
      <c r="BL1096" s="809"/>
      <c r="BM1096" s="809"/>
      <c r="BN1096" s="809"/>
    </row>
    <row r="1097" spans="1:66">
      <c r="A1097" s="809"/>
      <c r="B1097" s="809"/>
      <c r="C1097" s="809"/>
      <c r="D1097" s="809"/>
      <c r="E1097" s="809"/>
      <c r="F1097" s="809"/>
      <c r="G1097" s="809"/>
      <c r="H1097" s="809"/>
      <c r="I1097" s="809"/>
      <c r="J1097" s="809"/>
      <c r="K1097" s="809"/>
      <c r="L1097" s="809"/>
      <c r="M1097" s="809"/>
      <c r="N1097" s="809"/>
      <c r="O1097" s="809"/>
      <c r="P1097" s="809"/>
      <c r="Q1097" s="809"/>
      <c r="R1097" s="809"/>
      <c r="S1097" s="809"/>
      <c r="T1097" s="809"/>
      <c r="U1097" s="809"/>
      <c r="V1097" s="809"/>
      <c r="W1097" s="809"/>
      <c r="X1097" s="809"/>
      <c r="Y1097" s="809"/>
      <c r="Z1097" s="809"/>
      <c r="AA1097" s="809"/>
      <c r="AB1097" s="809"/>
      <c r="AC1097" s="809"/>
      <c r="AD1097" s="809"/>
      <c r="AE1097" s="809"/>
      <c r="AF1097" s="809"/>
      <c r="AG1097" s="809"/>
      <c r="AH1097" s="809"/>
      <c r="AI1097" s="809"/>
      <c r="AJ1097" s="809"/>
      <c r="AK1097" s="809"/>
      <c r="AL1097" s="809"/>
      <c r="AM1097" s="809"/>
      <c r="AN1097" s="809"/>
      <c r="AO1097" s="809"/>
      <c r="AP1097" s="809"/>
      <c r="AQ1097" s="809"/>
      <c r="AR1097" s="809"/>
      <c r="AS1097" s="809"/>
      <c r="AT1097" s="809"/>
      <c r="AU1097" s="809"/>
      <c r="AV1097" s="809"/>
      <c r="AW1097" s="809"/>
      <c r="AX1097" s="809"/>
      <c r="AY1097" s="809"/>
      <c r="AZ1097" s="809"/>
      <c r="BA1097" s="809"/>
      <c r="BB1097" s="809"/>
      <c r="BC1097" s="809"/>
      <c r="BD1097" s="809"/>
      <c r="BE1097" s="809"/>
      <c r="BF1097" s="809"/>
      <c r="BG1097" s="809"/>
      <c r="BH1097" s="809"/>
      <c r="BI1097" s="809"/>
      <c r="BJ1097" s="809"/>
      <c r="BK1097" s="809"/>
      <c r="BL1097" s="809"/>
      <c r="BM1097" s="809"/>
      <c r="BN1097" s="809"/>
    </row>
    <row r="1098" spans="1:66">
      <c r="A1098" s="809"/>
      <c r="B1098" s="809"/>
      <c r="C1098" s="809"/>
      <c r="D1098" s="809"/>
      <c r="E1098" s="809"/>
      <c r="F1098" s="809"/>
      <c r="G1098" s="809"/>
      <c r="H1098" s="809"/>
      <c r="I1098" s="809"/>
      <c r="J1098" s="809"/>
      <c r="K1098" s="809"/>
      <c r="L1098" s="809"/>
      <c r="M1098" s="809"/>
      <c r="N1098" s="809"/>
      <c r="O1098" s="809"/>
      <c r="P1098" s="809"/>
      <c r="Q1098" s="809"/>
      <c r="R1098" s="809"/>
      <c r="S1098" s="809"/>
      <c r="T1098" s="809"/>
      <c r="U1098" s="809"/>
      <c r="V1098" s="809"/>
      <c r="W1098" s="809"/>
      <c r="X1098" s="809"/>
      <c r="Y1098" s="809"/>
      <c r="Z1098" s="809"/>
      <c r="AA1098" s="809"/>
      <c r="AB1098" s="809"/>
      <c r="AC1098" s="809"/>
      <c r="AD1098" s="809"/>
      <c r="AE1098" s="809"/>
      <c r="AF1098" s="809"/>
      <c r="AG1098" s="809"/>
      <c r="AH1098" s="809"/>
      <c r="AI1098" s="809"/>
      <c r="AJ1098" s="809"/>
      <c r="AK1098" s="809"/>
      <c r="AL1098" s="809"/>
      <c r="AM1098" s="809"/>
      <c r="AN1098" s="809"/>
      <c r="AO1098" s="809"/>
      <c r="AP1098" s="809"/>
      <c r="AQ1098" s="809"/>
      <c r="AR1098" s="809"/>
      <c r="AS1098" s="809"/>
      <c r="AT1098" s="809"/>
      <c r="AU1098" s="809"/>
      <c r="AV1098" s="809"/>
      <c r="AW1098" s="809"/>
      <c r="AX1098" s="809"/>
      <c r="AY1098" s="809"/>
      <c r="AZ1098" s="809"/>
      <c r="BA1098" s="809"/>
      <c r="BB1098" s="809"/>
      <c r="BC1098" s="809"/>
      <c r="BD1098" s="809"/>
      <c r="BE1098" s="809"/>
      <c r="BF1098" s="809"/>
      <c r="BG1098" s="809"/>
      <c r="BH1098" s="809"/>
      <c r="BI1098" s="809"/>
      <c r="BJ1098" s="809"/>
      <c r="BK1098" s="809"/>
      <c r="BL1098" s="809"/>
      <c r="BM1098" s="809"/>
      <c r="BN1098" s="809"/>
    </row>
    <row r="1099" spans="1:66">
      <c r="A1099" s="809"/>
      <c r="B1099" s="809"/>
      <c r="C1099" s="809"/>
      <c r="D1099" s="809"/>
      <c r="E1099" s="809"/>
      <c r="F1099" s="809"/>
      <c r="G1099" s="809"/>
      <c r="H1099" s="809"/>
      <c r="I1099" s="809"/>
      <c r="J1099" s="809"/>
      <c r="K1099" s="809"/>
      <c r="L1099" s="809"/>
      <c r="M1099" s="809"/>
      <c r="N1099" s="809"/>
      <c r="O1099" s="809"/>
      <c r="P1099" s="809"/>
      <c r="Q1099" s="809"/>
      <c r="R1099" s="809"/>
      <c r="S1099" s="809"/>
      <c r="T1099" s="809"/>
      <c r="U1099" s="809"/>
      <c r="V1099" s="809"/>
      <c r="W1099" s="809"/>
      <c r="X1099" s="809"/>
      <c r="Y1099" s="809"/>
      <c r="Z1099" s="809"/>
      <c r="AA1099" s="809"/>
      <c r="AB1099" s="809"/>
      <c r="AC1099" s="809"/>
      <c r="AD1099" s="809"/>
      <c r="AE1099" s="809"/>
      <c r="AF1099" s="809"/>
      <c r="AG1099" s="809"/>
      <c r="AH1099" s="809"/>
      <c r="AI1099" s="809"/>
      <c r="AJ1099" s="809"/>
      <c r="AK1099" s="809"/>
      <c r="AL1099" s="809"/>
      <c r="AM1099" s="809"/>
      <c r="AN1099" s="809"/>
      <c r="AO1099" s="809"/>
      <c r="AP1099" s="809"/>
      <c r="AQ1099" s="809"/>
      <c r="AR1099" s="809"/>
      <c r="AS1099" s="809"/>
      <c r="AT1099" s="809"/>
      <c r="AU1099" s="809"/>
      <c r="AV1099" s="809"/>
      <c r="AW1099" s="809"/>
      <c r="AX1099" s="809"/>
      <c r="AY1099" s="809"/>
      <c r="AZ1099" s="809"/>
      <c r="BA1099" s="809"/>
      <c r="BB1099" s="809"/>
      <c r="BC1099" s="809"/>
      <c r="BD1099" s="809"/>
      <c r="BE1099" s="809"/>
      <c r="BF1099" s="809"/>
      <c r="BG1099" s="809"/>
      <c r="BH1099" s="809"/>
      <c r="BI1099" s="809"/>
      <c r="BJ1099" s="809"/>
      <c r="BK1099" s="809"/>
      <c r="BL1099" s="809"/>
      <c r="BM1099" s="809"/>
      <c r="BN1099" s="809"/>
    </row>
    <row r="1100" spans="1:66">
      <c r="A1100" s="809"/>
      <c r="B1100" s="809"/>
      <c r="C1100" s="809"/>
      <c r="D1100" s="809"/>
      <c r="E1100" s="809"/>
      <c r="F1100" s="809"/>
      <c r="G1100" s="809"/>
      <c r="H1100" s="809"/>
      <c r="I1100" s="809"/>
      <c r="J1100" s="809"/>
      <c r="K1100" s="809"/>
      <c r="L1100" s="809"/>
      <c r="M1100" s="809"/>
      <c r="N1100" s="809"/>
      <c r="O1100" s="809"/>
      <c r="P1100" s="809"/>
      <c r="Q1100" s="809"/>
      <c r="R1100" s="809"/>
      <c r="S1100" s="809"/>
      <c r="T1100" s="809"/>
      <c r="U1100" s="809"/>
      <c r="V1100" s="809"/>
      <c r="W1100" s="809"/>
      <c r="X1100" s="809"/>
      <c r="Y1100" s="809"/>
      <c r="Z1100" s="809"/>
      <c r="AA1100" s="809"/>
      <c r="AB1100" s="809"/>
      <c r="AC1100" s="809"/>
      <c r="AD1100" s="809"/>
      <c r="AE1100" s="809"/>
      <c r="AF1100" s="809"/>
      <c r="AG1100" s="809"/>
      <c r="AH1100" s="809"/>
      <c r="AI1100" s="809"/>
      <c r="AJ1100" s="809"/>
      <c r="AK1100" s="809"/>
      <c r="AL1100" s="809"/>
      <c r="AM1100" s="809"/>
      <c r="AN1100" s="809"/>
      <c r="AO1100" s="809"/>
      <c r="AP1100" s="809"/>
      <c r="AQ1100" s="809"/>
      <c r="AR1100" s="809"/>
      <c r="AS1100" s="809"/>
      <c r="AT1100" s="809"/>
      <c r="AU1100" s="809"/>
      <c r="AV1100" s="809"/>
      <c r="AW1100" s="809"/>
      <c r="AX1100" s="809"/>
      <c r="AY1100" s="809"/>
      <c r="AZ1100" s="809"/>
      <c r="BA1100" s="809"/>
      <c r="BB1100" s="809"/>
      <c r="BC1100" s="809"/>
      <c r="BD1100" s="809"/>
      <c r="BE1100" s="809"/>
      <c r="BF1100" s="809"/>
      <c r="BG1100" s="809"/>
      <c r="BH1100" s="809"/>
      <c r="BI1100" s="809"/>
      <c r="BJ1100" s="809"/>
      <c r="BK1100" s="809"/>
      <c r="BL1100" s="809"/>
      <c r="BM1100" s="809"/>
      <c r="BN1100" s="809"/>
    </row>
    <row r="1101" spans="1:66">
      <c r="A1101" s="809"/>
      <c r="B1101" s="809"/>
      <c r="C1101" s="809"/>
      <c r="D1101" s="809"/>
      <c r="E1101" s="809"/>
      <c r="F1101" s="809"/>
      <c r="G1101" s="809"/>
      <c r="H1101" s="809"/>
      <c r="I1101" s="809"/>
      <c r="J1101" s="809"/>
      <c r="K1101" s="809"/>
      <c r="L1101" s="809"/>
      <c r="M1101" s="809"/>
      <c r="N1101" s="809"/>
      <c r="O1101" s="809"/>
      <c r="P1101" s="809"/>
      <c r="Q1101" s="809"/>
      <c r="R1101" s="809"/>
      <c r="S1101" s="809"/>
      <c r="T1101" s="809"/>
      <c r="U1101" s="809"/>
      <c r="V1101" s="809"/>
      <c r="W1101" s="809"/>
      <c r="X1101" s="809"/>
      <c r="Y1101" s="809"/>
      <c r="Z1101" s="809"/>
      <c r="AA1101" s="809"/>
      <c r="AB1101" s="809"/>
      <c r="AC1101" s="809"/>
      <c r="AD1101" s="809"/>
      <c r="AE1101" s="809"/>
      <c r="AF1101" s="809"/>
      <c r="AG1101" s="809"/>
      <c r="AH1101" s="809"/>
      <c r="AI1101" s="809"/>
      <c r="AJ1101" s="809"/>
      <c r="AK1101" s="809"/>
      <c r="AL1101" s="809"/>
      <c r="AM1101" s="809"/>
      <c r="AN1101" s="809"/>
      <c r="AO1101" s="809"/>
      <c r="AP1101" s="809"/>
      <c r="AQ1101" s="809"/>
      <c r="AR1101" s="809"/>
      <c r="AS1101" s="809"/>
      <c r="AT1101" s="809"/>
      <c r="AU1101" s="809"/>
      <c r="AV1101" s="809"/>
      <c r="AW1101" s="809"/>
      <c r="AX1101" s="809"/>
      <c r="AY1101" s="809"/>
      <c r="AZ1101" s="809"/>
      <c r="BA1101" s="809"/>
      <c r="BB1101" s="809"/>
      <c r="BC1101" s="809"/>
      <c r="BD1101" s="809"/>
      <c r="BE1101" s="809"/>
      <c r="BF1101" s="809"/>
      <c r="BG1101" s="809"/>
      <c r="BH1101" s="809"/>
      <c r="BI1101" s="809"/>
      <c r="BJ1101" s="809"/>
      <c r="BK1101" s="809"/>
      <c r="BL1101" s="809"/>
      <c r="BM1101" s="809"/>
      <c r="BN1101" s="809"/>
    </row>
    <row r="1102" spans="1:66">
      <c r="A1102" s="809"/>
      <c r="B1102" s="809"/>
      <c r="C1102" s="809"/>
      <c r="D1102" s="809"/>
      <c r="E1102" s="809"/>
      <c r="F1102" s="809"/>
      <c r="G1102" s="809"/>
      <c r="H1102" s="809"/>
      <c r="I1102" s="809"/>
      <c r="J1102" s="809"/>
      <c r="K1102" s="809"/>
      <c r="L1102" s="809"/>
      <c r="M1102" s="809"/>
      <c r="N1102" s="809"/>
      <c r="O1102" s="809"/>
      <c r="P1102" s="809"/>
      <c r="Q1102" s="809"/>
      <c r="R1102" s="809"/>
      <c r="S1102" s="809"/>
      <c r="T1102" s="809"/>
      <c r="U1102" s="809"/>
      <c r="V1102" s="809"/>
      <c r="W1102" s="809"/>
      <c r="X1102" s="809"/>
      <c r="Y1102" s="809"/>
      <c r="Z1102" s="809"/>
      <c r="AA1102" s="809"/>
      <c r="AB1102" s="809"/>
      <c r="AC1102" s="809"/>
      <c r="AD1102" s="809"/>
      <c r="AE1102" s="809"/>
      <c r="AF1102" s="809"/>
      <c r="AG1102" s="809"/>
      <c r="AH1102" s="809"/>
      <c r="AI1102" s="809"/>
      <c r="AJ1102" s="809"/>
      <c r="AK1102" s="809"/>
      <c r="AL1102" s="809"/>
      <c r="AM1102" s="809"/>
      <c r="AN1102" s="809"/>
      <c r="AO1102" s="809"/>
      <c r="AP1102" s="809"/>
      <c r="AQ1102" s="809"/>
      <c r="AR1102" s="809"/>
      <c r="AS1102" s="809"/>
      <c r="AT1102" s="809"/>
      <c r="AU1102" s="809"/>
      <c r="AV1102" s="809"/>
      <c r="AW1102" s="809"/>
      <c r="AX1102" s="809"/>
      <c r="AY1102" s="809"/>
      <c r="AZ1102" s="809"/>
      <c r="BA1102" s="809"/>
      <c r="BB1102" s="809"/>
      <c r="BC1102" s="809"/>
      <c r="BD1102" s="809"/>
      <c r="BE1102" s="809"/>
      <c r="BF1102" s="809"/>
      <c r="BG1102" s="809"/>
      <c r="BH1102" s="809"/>
      <c r="BI1102" s="809"/>
      <c r="BJ1102" s="809"/>
      <c r="BK1102" s="809"/>
      <c r="BL1102" s="809"/>
      <c r="BM1102" s="809"/>
      <c r="BN1102" s="809"/>
    </row>
    <row r="1103" spans="1:66">
      <c r="A1103" s="809"/>
      <c r="B1103" s="809"/>
      <c r="C1103" s="809"/>
      <c r="D1103" s="809"/>
      <c r="E1103" s="809"/>
      <c r="F1103" s="809"/>
      <c r="G1103" s="809"/>
      <c r="H1103" s="809"/>
      <c r="I1103" s="809"/>
      <c r="J1103" s="809"/>
      <c r="K1103" s="809"/>
      <c r="L1103" s="809"/>
      <c r="M1103" s="809"/>
      <c r="N1103" s="809"/>
      <c r="O1103" s="809"/>
      <c r="P1103" s="809"/>
      <c r="Q1103" s="809"/>
      <c r="R1103" s="809"/>
      <c r="S1103" s="809"/>
      <c r="T1103" s="809"/>
      <c r="U1103" s="809"/>
      <c r="V1103" s="809"/>
      <c r="W1103" s="809"/>
      <c r="X1103" s="809"/>
      <c r="Y1103" s="809"/>
      <c r="Z1103" s="809"/>
      <c r="AA1103" s="809"/>
      <c r="AB1103" s="809"/>
      <c r="AC1103" s="809"/>
      <c r="AD1103" s="809"/>
      <c r="AE1103" s="809"/>
      <c r="AF1103" s="809"/>
      <c r="AG1103" s="809"/>
      <c r="AH1103" s="809"/>
      <c r="AI1103" s="809"/>
      <c r="AJ1103" s="809"/>
      <c r="AK1103" s="809"/>
      <c r="AL1103" s="809"/>
      <c r="AM1103" s="809"/>
      <c r="AN1103" s="809"/>
      <c r="AO1103" s="809"/>
      <c r="AP1103" s="809"/>
      <c r="AQ1103" s="809"/>
      <c r="AR1103" s="809"/>
      <c r="AS1103" s="809"/>
      <c r="AT1103" s="809"/>
      <c r="AU1103" s="809"/>
      <c r="AV1103" s="809"/>
      <c r="AW1103" s="809"/>
      <c r="AX1103" s="809"/>
      <c r="AY1103" s="809"/>
      <c r="AZ1103" s="809"/>
      <c r="BA1103" s="809"/>
      <c r="BB1103" s="809"/>
      <c r="BC1103" s="809"/>
      <c r="BD1103" s="809"/>
      <c r="BE1103" s="809"/>
      <c r="BF1103" s="809"/>
      <c r="BG1103" s="809"/>
      <c r="BH1103" s="809"/>
      <c r="BI1103" s="809"/>
      <c r="BJ1103" s="809"/>
      <c r="BK1103" s="809"/>
      <c r="BL1103" s="809"/>
      <c r="BM1103" s="809"/>
      <c r="BN1103" s="809"/>
    </row>
    <row r="1104" spans="1:66">
      <c r="A1104" s="809"/>
      <c r="B1104" s="809"/>
      <c r="C1104" s="809"/>
      <c r="D1104" s="809"/>
      <c r="E1104" s="809"/>
      <c r="F1104" s="809"/>
      <c r="G1104" s="809"/>
      <c r="H1104" s="809"/>
      <c r="I1104" s="809"/>
      <c r="J1104" s="809"/>
      <c r="K1104" s="809"/>
      <c r="L1104" s="809"/>
      <c r="M1104" s="809"/>
      <c r="N1104" s="809"/>
      <c r="O1104" s="809"/>
      <c r="P1104" s="809"/>
      <c r="Q1104" s="809"/>
      <c r="R1104" s="809"/>
      <c r="S1104" s="809"/>
      <c r="T1104" s="809"/>
      <c r="U1104" s="809"/>
      <c r="V1104" s="809"/>
      <c r="W1104" s="809"/>
      <c r="X1104" s="809"/>
      <c r="Y1104" s="809"/>
      <c r="Z1104" s="809"/>
      <c r="AA1104" s="809"/>
      <c r="AB1104" s="809"/>
      <c r="AC1104" s="809"/>
      <c r="AD1104" s="809"/>
      <c r="AE1104" s="809"/>
      <c r="AF1104" s="809"/>
      <c r="AG1104" s="809"/>
      <c r="AH1104" s="809"/>
      <c r="AI1104" s="809"/>
      <c r="AJ1104" s="809"/>
      <c r="AK1104" s="809"/>
      <c r="AL1104" s="809"/>
      <c r="AM1104" s="809"/>
      <c r="AN1104" s="809"/>
      <c r="AO1104" s="809"/>
      <c r="AP1104" s="809"/>
      <c r="AQ1104" s="809"/>
      <c r="AR1104" s="809"/>
      <c r="AS1104" s="809"/>
      <c r="AT1104" s="809"/>
      <c r="AU1104" s="809"/>
      <c r="AV1104" s="809"/>
      <c r="AW1104" s="809"/>
      <c r="AX1104" s="809"/>
      <c r="AY1104" s="809"/>
      <c r="AZ1104" s="809"/>
      <c r="BA1104" s="809"/>
      <c r="BB1104" s="809"/>
      <c r="BC1104" s="809"/>
      <c r="BD1104" s="809"/>
      <c r="BE1104" s="809"/>
      <c r="BF1104" s="809"/>
      <c r="BG1104" s="809"/>
      <c r="BH1104" s="809"/>
      <c r="BI1104" s="809"/>
      <c r="BJ1104" s="809"/>
      <c r="BK1104" s="809"/>
      <c r="BL1104" s="809"/>
      <c r="BM1104" s="809"/>
      <c r="BN1104" s="809"/>
    </row>
    <row r="1105" spans="1:66">
      <c r="A1105" s="809"/>
      <c r="B1105" s="809"/>
      <c r="C1105" s="809"/>
      <c r="D1105" s="809"/>
      <c r="E1105" s="809"/>
      <c r="F1105" s="809"/>
      <c r="G1105" s="809"/>
      <c r="H1105" s="809"/>
      <c r="I1105" s="809"/>
      <c r="J1105" s="809"/>
      <c r="K1105" s="809"/>
      <c r="L1105" s="809"/>
      <c r="M1105" s="809"/>
      <c r="N1105" s="809"/>
      <c r="O1105" s="809"/>
      <c r="P1105" s="809"/>
      <c r="Q1105" s="809"/>
      <c r="R1105" s="809"/>
      <c r="S1105" s="809"/>
      <c r="T1105" s="809"/>
      <c r="U1105" s="809"/>
      <c r="V1105" s="809"/>
      <c r="W1105" s="809"/>
      <c r="X1105" s="809"/>
      <c r="Y1105" s="809"/>
      <c r="Z1105" s="809"/>
      <c r="AA1105" s="809"/>
      <c r="AB1105" s="809"/>
      <c r="AC1105" s="809"/>
      <c r="AD1105" s="809"/>
      <c r="AE1105" s="809"/>
      <c r="AF1105" s="809"/>
      <c r="AG1105" s="809"/>
      <c r="AH1105" s="809"/>
      <c r="AI1105" s="809"/>
      <c r="AJ1105" s="809"/>
      <c r="AK1105" s="809"/>
      <c r="AL1105" s="809"/>
      <c r="AM1105" s="809"/>
      <c r="AN1105" s="809"/>
      <c r="AO1105" s="809"/>
      <c r="AP1105" s="809"/>
      <c r="AQ1105" s="809"/>
      <c r="AR1105" s="809"/>
      <c r="AS1105" s="809"/>
      <c r="AT1105" s="809"/>
      <c r="AU1105" s="809"/>
      <c r="AV1105" s="809"/>
      <c r="AW1105" s="809"/>
      <c r="AX1105" s="809"/>
      <c r="AY1105" s="809"/>
      <c r="AZ1105" s="809"/>
      <c r="BA1105" s="809"/>
      <c r="BB1105" s="809"/>
      <c r="BC1105" s="809"/>
      <c r="BD1105" s="809"/>
      <c r="BE1105" s="809"/>
      <c r="BF1105" s="809"/>
      <c r="BG1105" s="809"/>
      <c r="BH1105" s="809"/>
      <c r="BI1105" s="809"/>
      <c r="BJ1105" s="809"/>
      <c r="BK1105" s="809"/>
      <c r="BL1105" s="809"/>
      <c r="BM1105" s="809"/>
      <c r="BN1105" s="809"/>
    </row>
    <row r="1106" spans="1:66">
      <c r="A1106" s="809"/>
      <c r="B1106" s="809"/>
      <c r="C1106" s="809"/>
      <c r="D1106" s="809"/>
      <c r="E1106" s="809"/>
      <c r="F1106" s="809"/>
      <c r="G1106" s="809"/>
      <c r="H1106" s="809"/>
      <c r="I1106" s="809"/>
      <c r="J1106" s="809"/>
      <c r="K1106" s="809"/>
      <c r="L1106" s="809"/>
      <c r="M1106" s="809"/>
      <c r="N1106" s="809"/>
      <c r="O1106" s="809"/>
      <c r="P1106" s="809"/>
      <c r="Q1106" s="809"/>
      <c r="R1106" s="809"/>
      <c r="S1106" s="809"/>
      <c r="T1106" s="809"/>
      <c r="U1106" s="809"/>
      <c r="V1106" s="809"/>
      <c r="W1106" s="809"/>
      <c r="X1106" s="809"/>
      <c r="Y1106" s="809"/>
      <c r="Z1106" s="809"/>
      <c r="AA1106" s="809"/>
      <c r="AB1106" s="809"/>
      <c r="AC1106" s="809"/>
      <c r="AD1106" s="809"/>
      <c r="AE1106" s="809"/>
      <c r="AF1106" s="809"/>
      <c r="AG1106" s="809"/>
      <c r="AH1106" s="809"/>
      <c r="AI1106" s="809"/>
      <c r="AJ1106" s="809"/>
      <c r="AK1106" s="809"/>
      <c r="AL1106" s="809"/>
      <c r="AM1106" s="809"/>
      <c r="AN1106" s="809"/>
      <c r="AO1106" s="809"/>
      <c r="AP1106" s="809"/>
      <c r="AQ1106" s="809"/>
      <c r="AR1106" s="809"/>
      <c r="AS1106" s="809"/>
      <c r="AT1106" s="809"/>
      <c r="AU1106" s="809"/>
      <c r="AV1106" s="809"/>
      <c r="AW1106" s="809"/>
      <c r="AX1106" s="809"/>
      <c r="AY1106" s="809"/>
      <c r="AZ1106" s="809"/>
      <c r="BA1106" s="809"/>
      <c r="BB1106" s="809"/>
      <c r="BC1106" s="809"/>
      <c r="BD1106" s="809"/>
      <c r="BE1106" s="809"/>
      <c r="BF1106" s="809"/>
      <c r="BG1106" s="809"/>
      <c r="BH1106" s="809"/>
      <c r="BI1106" s="809"/>
      <c r="BJ1106" s="809"/>
      <c r="BK1106" s="809"/>
      <c r="BL1106" s="809"/>
      <c r="BM1106" s="809"/>
      <c r="BN1106" s="809"/>
    </row>
    <row r="1107" spans="1:66">
      <c r="A1107" s="809"/>
      <c r="B1107" s="809"/>
      <c r="C1107" s="809"/>
      <c r="D1107" s="809"/>
      <c r="E1107" s="809"/>
      <c r="F1107" s="809"/>
      <c r="G1107" s="809"/>
      <c r="H1107" s="809"/>
      <c r="I1107" s="809"/>
      <c r="J1107" s="809"/>
      <c r="K1107" s="809"/>
      <c r="L1107" s="809"/>
      <c r="M1107" s="809"/>
      <c r="N1107" s="809"/>
      <c r="O1107" s="809"/>
      <c r="P1107" s="809"/>
      <c r="Q1107" s="809"/>
      <c r="R1107" s="809"/>
      <c r="S1107" s="809"/>
      <c r="T1107" s="809"/>
      <c r="U1107" s="809"/>
      <c r="V1107" s="809"/>
      <c r="W1107" s="809"/>
      <c r="X1107" s="809"/>
      <c r="Y1107" s="809"/>
      <c r="Z1107" s="809"/>
      <c r="AA1107" s="809"/>
      <c r="AB1107" s="809"/>
      <c r="AC1107" s="809"/>
      <c r="AD1107" s="809"/>
      <c r="AE1107" s="809"/>
      <c r="AF1107" s="809"/>
      <c r="AG1107" s="809"/>
      <c r="AH1107" s="809"/>
      <c r="AI1107" s="809"/>
      <c r="AJ1107" s="809"/>
      <c r="AK1107" s="809"/>
      <c r="AL1107" s="809"/>
      <c r="AM1107" s="809"/>
      <c r="AN1107" s="809"/>
      <c r="AO1107" s="809"/>
      <c r="AP1107" s="809"/>
      <c r="AQ1107" s="809"/>
      <c r="AR1107" s="809"/>
      <c r="AS1107" s="809"/>
      <c r="AT1107" s="809"/>
      <c r="AU1107" s="809"/>
      <c r="AV1107" s="809"/>
      <c r="AW1107" s="809"/>
      <c r="AX1107" s="809"/>
      <c r="AY1107" s="809"/>
      <c r="AZ1107" s="809"/>
      <c r="BA1107" s="809"/>
      <c r="BB1107" s="809"/>
      <c r="BC1107" s="809"/>
      <c r="BD1107" s="809"/>
      <c r="BE1107" s="809"/>
      <c r="BF1107" s="809"/>
      <c r="BG1107" s="809"/>
      <c r="BH1107" s="809"/>
      <c r="BI1107" s="809"/>
      <c r="BJ1107" s="809"/>
      <c r="BK1107" s="809"/>
      <c r="BL1107" s="809"/>
      <c r="BM1107" s="809"/>
      <c r="BN1107" s="809"/>
    </row>
    <row r="1108" spans="1:66">
      <c r="A1108" s="809"/>
      <c r="B1108" s="809"/>
      <c r="C1108" s="809"/>
      <c r="D1108" s="809"/>
      <c r="E1108" s="809"/>
      <c r="F1108" s="809"/>
      <c r="G1108" s="809"/>
      <c r="H1108" s="809"/>
      <c r="I1108" s="809"/>
      <c r="J1108" s="809"/>
      <c r="K1108" s="809"/>
      <c r="L1108" s="809"/>
      <c r="M1108" s="809"/>
      <c r="N1108" s="809"/>
      <c r="O1108" s="809"/>
      <c r="P1108" s="809"/>
      <c r="Q1108" s="809"/>
      <c r="R1108" s="809"/>
      <c r="S1108" s="809"/>
      <c r="T1108" s="809"/>
      <c r="U1108" s="809"/>
      <c r="V1108" s="809"/>
      <c r="W1108" s="809"/>
      <c r="X1108" s="809"/>
      <c r="Y1108" s="809"/>
      <c r="Z1108" s="809"/>
      <c r="AA1108" s="809"/>
      <c r="AB1108" s="809"/>
      <c r="AC1108" s="809"/>
      <c r="AD1108" s="809"/>
      <c r="AE1108" s="809"/>
      <c r="AF1108" s="809"/>
      <c r="AG1108" s="809"/>
      <c r="AH1108" s="809"/>
      <c r="AI1108" s="809"/>
      <c r="AJ1108" s="809"/>
      <c r="AK1108" s="809"/>
      <c r="AL1108" s="809"/>
      <c r="AM1108" s="809"/>
      <c r="AN1108" s="809"/>
      <c r="AO1108" s="809"/>
      <c r="AP1108" s="809"/>
      <c r="AQ1108" s="809"/>
      <c r="AR1108" s="809"/>
      <c r="AS1108" s="809"/>
      <c r="AT1108" s="809"/>
      <c r="AU1108" s="809"/>
      <c r="AV1108" s="809"/>
      <c r="AW1108" s="809"/>
      <c r="AX1108" s="809"/>
      <c r="AY1108" s="809"/>
      <c r="AZ1108" s="809"/>
      <c r="BA1108" s="809"/>
      <c r="BB1108" s="809"/>
      <c r="BC1108" s="809"/>
      <c r="BD1108" s="809"/>
      <c r="BE1108" s="809"/>
      <c r="BF1108" s="809"/>
      <c r="BG1108" s="809"/>
      <c r="BH1108" s="809"/>
      <c r="BI1108" s="809"/>
      <c r="BJ1108" s="809"/>
      <c r="BK1108" s="809"/>
      <c r="BL1108" s="809"/>
      <c r="BM1108" s="809"/>
      <c r="BN1108" s="809"/>
    </row>
    <row r="1109" spans="1:66">
      <c r="A1109" s="809"/>
      <c r="B1109" s="809"/>
      <c r="C1109" s="809"/>
      <c r="D1109" s="809"/>
      <c r="E1109" s="809"/>
      <c r="F1109" s="809"/>
      <c r="G1109" s="809"/>
      <c r="H1109" s="809"/>
      <c r="I1109" s="809"/>
      <c r="J1109" s="809"/>
      <c r="K1109" s="809"/>
      <c r="L1109" s="809"/>
      <c r="M1109" s="809"/>
      <c r="N1109" s="809"/>
      <c r="O1109" s="809"/>
      <c r="P1109" s="809"/>
      <c r="Q1109" s="809"/>
      <c r="R1109" s="809"/>
      <c r="S1109" s="809"/>
      <c r="T1109" s="809"/>
      <c r="U1109" s="809"/>
      <c r="V1109" s="809"/>
      <c r="W1109" s="809"/>
      <c r="X1109" s="809"/>
      <c r="Y1109" s="809"/>
      <c r="Z1109" s="809"/>
      <c r="AA1109" s="809"/>
      <c r="AB1109" s="809"/>
      <c r="AC1109" s="809"/>
      <c r="AD1109" s="809"/>
      <c r="AE1109" s="809"/>
      <c r="AF1109" s="809"/>
      <c r="AG1109" s="809"/>
      <c r="AH1109" s="809"/>
      <c r="AI1109" s="809"/>
      <c r="AJ1109" s="809"/>
      <c r="AK1109" s="809"/>
      <c r="AL1109" s="809"/>
      <c r="AM1109" s="809"/>
      <c r="AN1109" s="809"/>
      <c r="AO1109" s="809"/>
      <c r="AP1109" s="809"/>
      <c r="AQ1109" s="809"/>
      <c r="AR1109" s="809"/>
      <c r="AS1109" s="809"/>
      <c r="AT1109" s="809"/>
      <c r="AU1109" s="809"/>
      <c r="AV1109" s="809"/>
      <c r="AW1109" s="809"/>
      <c r="AX1109" s="809"/>
      <c r="AY1109" s="809"/>
      <c r="AZ1109" s="809"/>
      <c r="BA1109" s="809"/>
      <c r="BB1109" s="809"/>
      <c r="BC1109" s="809"/>
      <c r="BD1109" s="809"/>
      <c r="BE1109" s="809"/>
      <c r="BF1109" s="809"/>
      <c r="BG1109" s="809"/>
      <c r="BH1109" s="809"/>
      <c r="BI1109" s="809"/>
      <c r="BJ1109" s="809"/>
      <c r="BK1109" s="809"/>
      <c r="BL1109" s="809"/>
      <c r="BM1109" s="809"/>
      <c r="BN1109" s="809"/>
    </row>
    <row r="1110" spans="1:66">
      <c r="A1110" s="809"/>
      <c r="B1110" s="809"/>
      <c r="C1110" s="809"/>
      <c r="D1110" s="809"/>
      <c r="E1110" s="809"/>
      <c r="F1110" s="809"/>
      <c r="G1110" s="809"/>
      <c r="H1110" s="809"/>
      <c r="I1110" s="809"/>
      <c r="J1110" s="809"/>
      <c r="K1110" s="809"/>
      <c r="L1110" s="809"/>
      <c r="M1110" s="809"/>
      <c r="N1110" s="809"/>
      <c r="O1110" s="809"/>
      <c r="P1110" s="809"/>
      <c r="Q1110" s="809"/>
      <c r="R1110" s="809"/>
      <c r="S1110" s="809"/>
      <c r="T1110" s="809"/>
      <c r="U1110" s="809"/>
      <c r="V1110" s="809"/>
      <c r="W1110" s="809"/>
      <c r="X1110" s="809"/>
      <c r="Y1110" s="809"/>
      <c r="Z1110" s="809"/>
      <c r="AA1110" s="809"/>
      <c r="AB1110" s="809"/>
      <c r="AC1110" s="809"/>
      <c r="AD1110" s="809"/>
      <c r="AE1110" s="809"/>
      <c r="AF1110" s="809"/>
      <c r="AG1110" s="809"/>
      <c r="AH1110" s="809"/>
      <c r="AI1110" s="809"/>
      <c r="AJ1110" s="809"/>
      <c r="AK1110" s="809"/>
      <c r="AL1110" s="809"/>
      <c r="AM1110" s="809"/>
      <c r="AN1110" s="809"/>
      <c r="AO1110" s="809"/>
      <c r="AP1110" s="809"/>
      <c r="AQ1110" s="809"/>
      <c r="AR1110" s="809"/>
      <c r="AS1110" s="809"/>
      <c r="AT1110" s="809"/>
      <c r="AU1110" s="809"/>
      <c r="AV1110" s="809"/>
      <c r="AW1110" s="809"/>
      <c r="AX1110" s="809"/>
      <c r="AY1110" s="809"/>
      <c r="AZ1110" s="809"/>
      <c r="BA1110" s="809"/>
      <c r="BB1110" s="809"/>
      <c r="BC1110" s="809"/>
      <c r="BD1110" s="809"/>
      <c r="BE1110" s="809"/>
      <c r="BF1110" s="809"/>
      <c r="BG1110" s="809"/>
      <c r="BH1110" s="809"/>
      <c r="BI1110" s="809"/>
      <c r="BJ1110" s="809"/>
      <c r="BK1110" s="809"/>
      <c r="BL1110" s="809"/>
      <c r="BM1110" s="809"/>
      <c r="BN1110" s="809"/>
    </row>
    <row r="1111" spans="1:66">
      <c r="A1111" s="809"/>
      <c r="B1111" s="809"/>
      <c r="C1111" s="809"/>
      <c r="D1111" s="809"/>
      <c r="E1111" s="809"/>
      <c r="F1111" s="809"/>
      <c r="G1111" s="809"/>
      <c r="H1111" s="809"/>
      <c r="I1111" s="809"/>
      <c r="J1111" s="809"/>
      <c r="K1111" s="809"/>
      <c r="L1111" s="809"/>
      <c r="M1111" s="809"/>
      <c r="N1111" s="809"/>
      <c r="O1111" s="809"/>
      <c r="P1111" s="809"/>
      <c r="Q1111" s="809"/>
      <c r="R1111" s="809"/>
      <c r="S1111" s="809"/>
      <c r="T1111" s="809"/>
      <c r="U1111" s="809"/>
      <c r="V1111" s="809"/>
      <c r="W1111" s="809"/>
      <c r="X1111" s="809"/>
      <c r="Y1111" s="809"/>
      <c r="Z1111" s="809"/>
      <c r="AA1111" s="809"/>
      <c r="AB1111" s="809"/>
      <c r="AC1111" s="809"/>
      <c r="AD1111" s="809"/>
      <c r="AE1111" s="809"/>
      <c r="AF1111" s="809"/>
      <c r="AG1111" s="809"/>
      <c r="AH1111" s="809"/>
      <c r="AI1111" s="809"/>
      <c r="AJ1111" s="809"/>
      <c r="AK1111" s="809"/>
      <c r="AL1111" s="809"/>
      <c r="AM1111" s="809"/>
      <c r="AN1111" s="809"/>
      <c r="AO1111" s="809"/>
      <c r="AP1111" s="809"/>
      <c r="AQ1111" s="809"/>
      <c r="AR1111" s="809"/>
      <c r="AS1111" s="809"/>
      <c r="AT1111" s="809"/>
      <c r="AU1111" s="809"/>
      <c r="AV1111" s="809"/>
      <c r="AW1111" s="809"/>
      <c r="AX1111" s="809"/>
      <c r="AY1111" s="809"/>
      <c r="AZ1111" s="809"/>
      <c r="BA1111" s="809"/>
      <c r="BB1111" s="809"/>
      <c r="BC1111" s="809"/>
      <c r="BD1111" s="809"/>
      <c r="BE1111" s="809"/>
      <c r="BF1111" s="809"/>
      <c r="BG1111" s="809"/>
      <c r="BH1111" s="809"/>
      <c r="BI1111" s="809"/>
      <c r="BJ1111" s="809"/>
      <c r="BK1111" s="809"/>
      <c r="BL1111" s="809"/>
      <c r="BM1111" s="809"/>
      <c r="BN1111" s="809"/>
    </row>
    <row r="1112" spans="1:66">
      <c r="A1112" s="809"/>
      <c r="B1112" s="809"/>
      <c r="C1112" s="809"/>
      <c r="D1112" s="809"/>
      <c r="E1112" s="809"/>
      <c r="F1112" s="809"/>
      <c r="G1112" s="809"/>
      <c r="H1112" s="809"/>
      <c r="I1112" s="809"/>
      <c r="J1112" s="809"/>
      <c r="K1112" s="809"/>
      <c r="L1112" s="809"/>
      <c r="M1112" s="809"/>
      <c r="N1112" s="809"/>
      <c r="O1112" s="809"/>
      <c r="P1112" s="809"/>
      <c r="Q1112" s="809"/>
      <c r="R1112" s="809"/>
      <c r="S1112" s="809"/>
      <c r="T1112" s="809"/>
      <c r="U1112" s="809"/>
      <c r="V1112" s="809"/>
      <c r="W1112" s="809"/>
      <c r="X1112" s="809"/>
      <c r="Y1112" s="809"/>
      <c r="Z1112" s="809"/>
      <c r="AA1112" s="809"/>
      <c r="AB1112" s="809"/>
      <c r="AC1112" s="809"/>
      <c r="AD1112" s="809"/>
      <c r="AE1112" s="809"/>
      <c r="AF1112" s="809"/>
      <c r="AG1112" s="809"/>
      <c r="AH1112" s="809"/>
      <c r="AI1112" s="809"/>
      <c r="AJ1112" s="809"/>
      <c r="AK1112" s="809"/>
      <c r="AL1112" s="809"/>
      <c r="AM1112" s="809"/>
      <c r="AN1112" s="809"/>
      <c r="AO1112" s="809"/>
      <c r="AP1112" s="809"/>
      <c r="AQ1112" s="809"/>
      <c r="AR1112" s="809"/>
      <c r="AS1112" s="809"/>
      <c r="AT1112" s="809"/>
      <c r="AU1112" s="809"/>
      <c r="AV1112" s="809"/>
      <c r="AW1112" s="809"/>
      <c r="AX1112" s="809"/>
      <c r="AY1112" s="809"/>
      <c r="AZ1112" s="809"/>
      <c r="BA1112" s="809"/>
      <c r="BB1112" s="809"/>
      <c r="BC1112" s="809"/>
      <c r="BD1112" s="809"/>
      <c r="BE1112" s="809"/>
      <c r="BF1112" s="809"/>
      <c r="BG1112" s="809"/>
      <c r="BH1112" s="809"/>
      <c r="BI1112" s="809"/>
      <c r="BJ1112" s="809"/>
      <c r="BK1112" s="809"/>
      <c r="BL1112" s="809"/>
      <c r="BM1112" s="809"/>
      <c r="BN1112" s="809"/>
    </row>
    <row r="1113" spans="1:66">
      <c r="A1113" s="809"/>
      <c r="B1113" s="809"/>
      <c r="C1113" s="809"/>
      <c r="D1113" s="809"/>
      <c r="E1113" s="809"/>
      <c r="F1113" s="809"/>
      <c r="G1113" s="809"/>
      <c r="H1113" s="809"/>
      <c r="I1113" s="809"/>
      <c r="J1113" s="809"/>
      <c r="K1113" s="809"/>
      <c r="L1113" s="809"/>
      <c r="M1113" s="809"/>
      <c r="N1113" s="809"/>
      <c r="O1113" s="809"/>
      <c r="P1113" s="809"/>
      <c r="Q1113" s="809"/>
      <c r="R1113" s="809"/>
      <c r="S1113" s="809"/>
      <c r="T1113" s="809"/>
      <c r="U1113" s="809"/>
      <c r="V1113" s="809"/>
      <c r="W1113" s="809"/>
      <c r="X1113" s="809"/>
      <c r="Y1113" s="809"/>
      <c r="Z1113" s="809"/>
      <c r="AA1113" s="809"/>
      <c r="AB1113" s="809"/>
      <c r="AC1113" s="809"/>
      <c r="AD1113" s="809"/>
      <c r="AE1113" s="809"/>
      <c r="AF1113" s="809"/>
      <c r="AG1113" s="809"/>
      <c r="AH1113" s="809"/>
      <c r="AI1113" s="809"/>
      <c r="AJ1113" s="809"/>
      <c r="AK1113" s="809"/>
      <c r="AL1113" s="809"/>
      <c r="AM1113" s="809"/>
      <c r="AN1113" s="809"/>
      <c r="AO1113" s="809"/>
      <c r="AP1113" s="809"/>
      <c r="AQ1113" s="809"/>
      <c r="AR1113" s="809"/>
      <c r="AS1113" s="809"/>
      <c r="AT1113" s="809"/>
      <c r="AU1113" s="809"/>
      <c r="AV1113" s="809"/>
      <c r="AW1113" s="809"/>
      <c r="AX1113" s="809"/>
      <c r="AY1113" s="809"/>
      <c r="AZ1113" s="809"/>
      <c r="BA1113" s="809"/>
      <c r="BB1113" s="809"/>
      <c r="BC1113" s="809"/>
      <c r="BD1113" s="809"/>
      <c r="BE1113" s="809"/>
      <c r="BF1113" s="809"/>
      <c r="BG1113" s="809"/>
      <c r="BH1113" s="809"/>
      <c r="BI1113" s="809"/>
      <c r="BJ1113" s="809"/>
      <c r="BK1113" s="809"/>
      <c r="BL1113" s="809"/>
      <c r="BM1113" s="809"/>
      <c r="BN1113" s="809"/>
    </row>
    <row r="1114" spans="1:66">
      <c r="A1114" s="809"/>
      <c r="B1114" s="809"/>
      <c r="C1114" s="809"/>
      <c r="D1114" s="809"/>
      <c r="E1114" s="809"/>
      <c r="F1114" s="809"/>
      <c r="G1114" s="809"/>
      <c r="H1114" s="809"/>
      <c r="I1114" s="809"/>
      <c r="J1114" s="809"/>
      <c r="K1114" s="809"/>
      <c r="L1114" s="809"/>
      <c r="M1114" s="809"/>
      <c r="N1114" s="809"/>
      <c r="O1114" s="809"/>
      <c r="P1114" s="809"/>
      <c r="Q1114" s="809"/>
      <c r="R1114" s="809"/>
      <c r="S1114" s="809"/>
      <c r="T1114" s="809"/>
      <c r="U1114" s="809"/>
      <c r="V1114" s="809"/>
      <c r="W1114" s="809"/>
      <c r="X1114" s="809"/>
      <c r="Y1114" s="809"/>
      <c r="Z1114" s="809"/>
      <c r="AA1114" s="809"/>
      <c r="AB1114" s="809"/>
      <c r="AC1114" s="809"/>
      <c r="AD1114" s="809"/>
      <c r="AE1114" s="809"/>
      <c r="AF1114" s="809"/>
      <c r="AG1114" s="809"/>
      <c r="AH1114" s="809"/>
      <c r="AI1114" s="809"/>
      <c r="AJ1114" s="809"/>
      <c r="AK1114" s="809"/>
      <c r="AL1114" s="809"/>
      <c r="AM1114" s="809"/>
      <c r="AN1114" s="809"/>
      <c r="AO1114" s="809"/>
      <c r="AP1114" s="809"/>
      <c r="AQ1114" s="809"/>
      <c r="AR1114" s="809"/>
      <c r="AS1114" s="809"/>
      <c r="AT1114" s="809"/>
      <c r="AU1114" s="809"/>
      <c r="AV1114" s="809"/>
      <c r="AW1114" s="809"/>
      <c r="AX1114" s="809"/>
      <c r="AY1114" s="809"/>
      <c r="AZ1114" s="809"/>
      <c r="BA1114" s="809"/>
      <c r="BB1114" s="809"/>
      <c r="BC1114" s="809"/>
      <c r="BD1114" s="809"/>
      <c r="BE1114" s="809"/>
      <c r="BF1114" s="809"/>
      <c r="BG1114" s="809"/>
      <c r="BH1114" s="809"/>
      <c r="BI1114" s="809"/>
      <c r="BJ1114" s="809"/>
      <c r="BK1114" s="809"/>
      <c r="BL1114" s="809"/>
      <c r="BM1114" s="809"/>
      <c r="BN1114" s="809"/>
    </row>
    <row r="1115" spans="1:66">
      <c r="A1115" s="809"/>
      <c r="B1115" s="809"/>
      <c r="C1115" s="809"/>
      <c r="D1115" s="809"/>
      <c r="E1115" s="809"/>
      <c r="F1115" s="809"/>
      <c r="G1115" s="809"/>
      <c r="H1115" s="809"/>
      <c r="I1115" s="809"/>
      <c r="J1115" s="809"/>
      <c r="K1115" s="809"/>
      <c r="L1115" s="809"/>
      <c r="M1115" s="809"/>
      <c r="N1115" s="809"/>
      <c r="O1115" s="809"/>
      <c r="P1115" s="809"/>
      <c r="Q1115" s="809"/>
      <c r="R1115" s="809"/>
      <c r="S1115" s="809"/>
      <c r="T1115" s="809"/>
      <c r="U1115" s="809"/>
      <c r="V1115" s="809"/>
      <c r="W1115" s="809"/>
      <c r="X1115" s="809"/>
      <c r="Y1115" s="809"/>
      <c r="Z1115" s="809"/>
      <c r="AA1115" s="809"/>
      <c r="AB1115" s="809"/>
      <c r="AC1115" s="809"/>
      <c r="AD1115" s="809"/>
      <c r="AE1115" s="809"/>
      <c r="AF1115" s="809"/>
      <c r="AG1115" s="809"/>
      <c r="AH1115" s="809"/>
      <c r="AI1115" s="809"/>
      <c r="AJ1115" s="809"/>
      <c r="AK1115" s="809"/>
      <c r="AL1115" s="809"/>
      <c r="AM1115" s="809"/>
      <c r="AN1115" s="809"/>
      <c r="AO1115" s="809"/>
      <c r="AP1115" s="809"/>
      <c r="AQ1115" s="809"/>
      <c r="AR1115" s="809"/>
      <c r="AS1115" s="809"/>
      <c r="AT1115" s="809"/>
      <c r="AU1115" s="809"/>
      <c r="AV1115" s="809"/>
      <c r="AW1115" s="809"/>
      <c r="AX1115" s="809"/>
      <c r="AY1115" s="809"/>
      <c r="AZ1115" s="809"/>
      <c r="BA1115" s="809"/>
      <c r="BB1115" s="809"/>
      <c r="BC1115" s="809"/>
      <c r="BD1115" s="809"/>
      <c r="BE1115" s="809"/>
      <c r="BF1115" s="809"/>
      <c r="BG1115" s="809"/>
      <c r="BH1115" s="809"/>
      <c r="BI1115" s="809"/>
      <c r="BJ1115" s="809"/>
      <c r="BK1115" s="809"/>
      <c r="BL1115" s="809"/>
      <c r="BM1115" s="809"/>
      <c r="BN1115" s="809"/>
    </row>
    <row r="1116" spans="1:66">
      <c r="A1116" s="809"/>
      <c r="B1116" s="809"/>
      <c r="C1116" s="809"/>
      <c r="D1116" s="809"/>
      <c r="E1116" s="809"/>
      <c r="F1116" s="809"/>
      <c r="G1116" s="809"/>
      <c r="H1116" s="809"/>
      <c r="I1116" s="809"/>
      <c r="J1116" s="809"/>
      <c r="K1116" s="809"/>
      <c r="L1116" s="809"/>
      <c r="M1116" s="809"/>
      <c r="N1116" s="809"/>
      <c r="O1116" s="809"/>
      <c r="P1116" s="809"/>
      <c r="Q1116" s="809"/>
      <c r="R1116" s="809"/>
      <c r="S1116" s="809"/>
      <c r="T1116" s="809"/>
      <c r="U1116" s="809"/>
      <c r="V1116" s="809"/>
      <c r="W1116" s="809"/>
      <c r="X1116" s="809"/>
      <c r="Y1116" s="809"/>
      <c r="Z1116" s="809"/>
      <c r="AA1116" s="809"/>
      <c r="AB1116" s="809"/>
      <c r="AC1116" s="809"/>
      <c r="AD1116" s="809"/>
      <c r="AE1116" s="809"/>
      <c r="AF1116" s="809"/>
      <c r="AG1116" s="809"/>
      <c r="AH1116" s="809"/>
      <c r="AI1116" s="809"/>
      <c r="AJ1116" s="809"/>
      <c r="AK1116" s="809"/>
      <c r="AL1116" s="809"/>
      <c r="AM1116" s="809"/>
      <c r="AN1116" s="809"/>
      <c r="AO1116" s="809"/>
      <c r="AP1116" s="809"/>
      <c r="AQ1116" s="809"/>
      <c r="AR1116" s="809"/>
      <c r="AS1116" s="809"/>
      <c r="AT1116" s="809"/>
      <c r="AU1116" s="809"/>
      <c r="AV1116" s="809"/>
      <c r="AW1116" s="809"/>
      <c r="AX1116" s="809"/>
      <c r="AY1116" s="809"/>
      <c r="AZ1116" s="809"/>
      <c r="BA1116" s="809"/>
      <c r="BB1116" s="809"/>
      <c r="BC1116" s="809"/>
      <c r="BD1116" s="809"/>
      <c r="BE1116" s="809"/>
      <c r="BF1116" s="809"/>
      <c r="BG1116" s="809"/>
      <c r="BH1116" s="809"/>
      <c r="BI1116" s="809"/>
      <c r="BJ1116" s="809"/>
      <c r="BK1116" s="809"/>
      <c r="BL1116" s="809"/>
      <c r="BM1116" s="809"/>
      <c r="BN1116" s="809"/>
    </row>
    <row r="1117" spans="1:66">
      <c r="A1117" s="809"/>
      <c r="B1117" s="809"/>
      <c r="C1117" s="809"/>
      <c r="D1117" s="809"/>
      <c r="E1117" s="809"/>
      <c r="F1117" s="809"/>
      <c r="G1117" s="809"/>
      <c r="H1117" s="809"/>
      <c r="I1117" s="809"/>
      <c r="J1117" s="809"/>
      <c r="K1117" s="809"/>
      <c r="L1117" s="809"/>
      <c r="M1117" s="809"/>
      <c r="N1117" s="809"/>
      <c r="O1117" s="809"/>
      <c r="P1117" s="809"/>
      <c r="Q1117" s="809"/>
      <c r="R1117" s="809"/>
      <c r="S1117" s="809"/>
      <c r="T1117" s="809"/>
      <c r="U1117" s="809"/>
      <c r="V1117" s="809"/>
      <c r="W1117" s="809"/>
      <c r="X1117" s="809"/>
      <c r="Y1117" s="809"/>
      <c r="Z1117" s="809"/>
      <c r="AA1117" s="809"/>
      <c r="AB1117" s="809"/>
      <c r="AC1117" s="809"/>
      <c r="AD1117" s="809"/>
      <c r="AE1117" s="809"/>
      <c r="AF1117" s="809"/>
      <c r="AG1117" s="809"/>
      <c r="AH1117" s="809"/>
      <c r="AI1117" s="809"/>
      <c r="AJ1117" s="809"/>
      <c r="AK1117" s="809"/>
      <c r="AL1117" s="809"/>
      <c r="AM1117" s="809"/>
      <c r="AN1117" s="809"/>
      <c r="AO1117" s="809"/>
      <c r="AP1117" s="809"/>
      <c r="AQ1117" s="809"/>
      <c r="AR1117" s="809"/>
      <c r="AS1117" s="809"/>
      <c r="AT1117" s="809"/>
      <c r="AU1117" s="809"/>
      <c r="AV1117" s="809"/>
      <c r="AW1117" s="809"/>
      <c r="AX1117" s="809"/>
      <c r="AY1117" s="809"/>
      <c r="AZ1117" s="809"/>
      <c r="BA1117" s="809"/>
      <c r="BB1117" s="809"/>
      <c r="BC1117" s="809"/>
      <c r="BD1117" s="809"/>
      <c r="BE1117" s="809"/>
      <c r="BF1117" s="809"/>
      <c r="BG1117" s="809"/>
      <c r="BH1117" s="809"/>
      <c r="BI1117" s="809"/>
      <c r="BJ1117" s="809"/>
      <c r="BK1117" s="809"/>
      <c r="BL1117" s="809"/>
      <c r="BM1117" s="809"/>
      <c r="BN1117" s="809"/>
    </row>
    <row r="1118" spans="1:66">
      <c r="A1118" s="809"/>
      <c r="B1118" s="809"/>
      <c r="C1118" s="809"/>
      <c r="D1118" s="809"/>
      <c r="E1118" s="809"/>
      <c r="F1118" s="809"/>
      <c r="G1118" s="809"/>
      <c r="H1118" s="809"/>
      <c r="I1118" s="809"/>
      <c r="J1118" s="809"/>
      <c r="K1118" s="809"/>
      <c r="L1118" s="809"/>
      <c r="M1118" s="809"/>
      <c r="N1118" s="809"/>
      <c r="O1118" s="809"/>
      <c r="P1118" s="809"/>
      <c r="Q1118" s="809"/>
      <c r="R1118" s="809"/>
      <c r="S1118" s="809"/>
      <c r="T1118" s="809"/>
      <c r="U1118" s="809"/>
      <c r="V1118" s="809"/>
      <c r="W1118" s="809"/>
      <c r="X1118" s="809"/>
      <c r="Y1118" s="809"/>
      <c r="Z1118" s="809"/>
      <c r="AA1118" s="809"/>
      <c r="AB1118" s="809"/>
      <c r="AC1118" s="809"/>
      <c r="AD1118" s="809"/>
      <c r="AE1118" s="809"/>
      <c r="AF1118" s="809"/>
      <c r="AG1118" s="809"/>
      <c r="AH1118" s="809"/>
      <c r="AI1118" s="809"/>
      <c r="AJ1118" s="809"/>
      <c r="AK1118" s="809"/>
      <c r="AL1118" s="809"/>
      <c r="AM1118" s="809"/>
      <c r="AN1118" s="809"/>
      <c r="AO1118" s="809"/>
      <c r="AP1118" s="809"/>
      <c r="AQ1118" s="809"/>
      <c r="AR1118" s="809"/>
      <c r="AS1118" s="809"/>
      <c r="AT1118" s="809"/>
      <c r="AU1118" s="809"/>
      <c r="AV1118" s="809"/>
      <c r="AW1118" s="809"/>
      <c r="AX1118" s="809"/>
      <c r="AY1118" s="809"/>
      <c r="AZ1118" s="809"/>
      <c r="BA1118" s="809"/>
      <c r="BB1118" s="809"/>
      <c r="BC1118" s="809"/>
      <c r="BD1118" s="809"/>
      <c r="BE1118" s="809"/>
      <c r="BF1118" s="809"/>
      <c r="BG1118" s="809"/>
      <c r="BH1118" s="809"/>
      <c r="BI1118" s="809"/>
      <c r="BJ1118" s="809"/>
      <c r="BK1118" s="809"/>
      <c r="BL1118" s="809"/>
      <c r="BM1118" s="809"/>
      <c r="BN1118" s="809"/>
    </row>
    <row r="1119" spans="1:66">
      <c r="A1119" s="809"/>
      <c r="B1119" s="809"/>
      <c r="C1119" s="809"/>
      <c r="D1119" s="809"/>
      <c r="E1119" s="809"/>
      <c r="F1119" s="809"/>
      <c r="G1119" s="809"/>
      <c r="H1119" s="809"/>
      <c r="I1119" s="809"/>
      <c r="J1119" s="809"/>
      <c r="K1119" s="809"/>
      <c r="L1119" s="809"/>
      <c r="M1119" s="809"/>
      <c r="N1119" s="809"/>
      <c r="O1119" s="809"/>
      <c r="P1119" s="809"/>
      <c r="Q1119" s="809"/>
      <c r="R1119" s="809"/>
      <c r="S1119" s="809"/>
      <c r="T1119" s="809"/>
      <c r="U1119" s="809"/>
      <c r="V1119" s="809"/>
      <c r="W1119" s="809"/>
      <c r="X1119" s="809"/>
      <c r="Y1119" s="809"/>
      <c r="Z1119" s="809"/>
      <c r="AA1119" s="809"/>
      <c r="AB1119" s="809"/>
      <c r="AC1119" s="809"/>
      <c r="AD1119" s="809"/>
      <c r="AE1119" s="809"/>
      <c r="AF1119" s="809"/>
      <c r="AG1119" s="809"/>
      <c r="AH1119" s="809"/>
      <c r="AI1119" s="809"/>
      <c r="AJ1119" s="809"/>
      <c r="AK1119" s="809"/>
      <c r="AL1119" s="809"/>
      <c r="AM1119" s="809"/>
      <c r="AN1119" s="809"/>
      <c r="AO1119" s="809"/>
      <c r="AP1119" s="809"/>
      <c r="AQ1119" s="809"/>
      <c r="AR1119" s="809"/>
      <c r="AS1119" s="809"/>
      <c r="AT1119" s="809"/>
      <c r="AU1119" s="809"/>
      <c r="AV1119" s="809"/>
      <c r="AW1119" s="809"/>
      <c r="AX1119" s="809"/>
      <c r="AY1119" s="809"/>
      <c r="AZ1119" s="809"/>
      <c r="BA1119" s="809"/>
      <c r="BB1119" s="809"/>
      <c r="BC1119" s="809"/>
      <c r="BD1119" s="809"/>
      <c r="BE1119" s="809"/>
      <c r="BF1119" s="809"/>
      <c r="BG1119" s="809"/>
      <c r="BH1119" s="809"/>
      <c r="BI1119" s="809"/>
      <c r="BJ1119" s="809"/>
      <c r="BK1119" s="809"/>
      <c r="BL1119" s="809"/>
      <c r="BM1119" s="809"/>
      <c r="BN1119" s="809"/>
    </row>
    <row r="1120" spans="1:66">
      <c r="A1120" s="809"/>
      <c r="B1120" s="809"/>
      <c r="C1120" s="809"/>
      <c r="D1120" s="809"/>
      <c r="E1120" s="809"/>
      <c r="F1120" s="809"/>
      <c r="G1120" s="809"/>
      <c r="H1120" s="809"/>
      <c r="I1120" s="809"/>
      <c r="J1120" s="809"/>
      <c r="K1120" s="809"/>
      <c r="L1120" s="809"/>
      <c r="M1120" s="809"/>
      <c r="N1120" s="809"/>
      <c r="O1120" s="809"/>
      <c r="P1120" s="809"/>
      <c r="Q1120" s="809"/>
      <c r="R1120" s="809"/>
      <c r="S1120" s="809"/>
      <c r="T1120" s="809"/>
      <c r="U1120" s="809"/>
      <c r="V1120" s="809"/>
      <c r="W1120" s="809"/>
      <c r="X1120" s="809"/>
      <c r="Y1120" s="809"/>
      <c r="Z1120" s="809"/>
      <c r="AA1120" s="809"/>
      <c r="AB1120" s="809"/>
      <c r="AC1120" s="809"/>
      <c r="AD1120" s="809"/>
      <c r="AE1120" s="809"/>
      <c r="AF1120" s="809"/>
      <c r="AG1120" s="809"/>
      <c r="AH1120" s="809"/>
      <c r="AI1120" s="809"/>
      <c r="AJ1120" s="809"/>
      <c r="AK1120" s="809"/>
      <c r="AL1120" s="809"/>
      <c r="AM1120" s="809"/>
      <c r="AN1120" s="809"/>
      <c r="AO1120" s="809"/>
      <c r="AP1120" s="809"/>
      <c r="AQ1120" s="809"/>
      <c r="AR1120" s="809"/>
      <c r="AS1120" s="809"/>
      <c r="AT1120" s="809"/>
      <c r="AU1120" s="809"/>
      <c r="AV1120" s="809"/>
      <c r="AW1120" s="809"/>
      <c r="AX1120" s="809"/>
      <c r="AY1120" s="809"/>
      <c r="AZ1120" s="809"/>
      <c r="BA1120" s="809"/>
      <c r="BB1120" s="809"/>
      <c r="BC1120" s="809"/>
      <c r="BD1120" s="809"/>
      <c r="BE1120" s="809"/>
      <c r="BF1120" s="809"/>
      <c r="BG1120" s="809"/>
      <c r="BH1120" s="809"/>
      <c r="BI1120" s="809"/>
      <c r="BJ1120" s="809"/>
      <c r="BK1120" s="809"/>
      <c r="BL1120" s="809"/>
      <c r="BM1120" s="809"/>
      <c r="BN1120" s="809"/>
    </row>
    <row r="1121" spans="1:66">
      <c r="A1121" s="809"/>
      <c r="B1121" s="809"/>
      <c r="C1121" s="809"/>
      <c r="D1121" s="809"/>
      <c r="E1121" s="809"/>
      <c r="F1121" s="809"/>
      <c r="G1121" s="809"/>
      <c r="H1121" s="809"/>
      <c r="I1121" s="809"/>
      <c r="J1121" s="809"/>
      <c r="K1121" s="809"/>
      <c r="L1121" s="809"/>
      <c r="M1121" s="809"/>
      <c r="N1121" s="809"/>
      <c r="O1121" s="809"/>
      <c r="P1121" s="809"/>
      <c r="Q1121" s="809"/>
      <c r="R1121" s="809"/>
      <c r="S1121" s="809"/>
      <c r="T1121" s="809"/>
      <c r="U1121" s="809"/>
      <c r="V1121" s="809"/>
      <c r="W1121" s="809"/>
      <c r="X1121" s="809"/>
      <c r="Y1121" s="809"/>
      <c r="Z1121" s="809"/>
      <c r="AA1121" s="809"/>
      <c r="AB1121" s="809"/>
      <c r="AC1121" s="809"/>
      <c r="AD1121" s="809"/>
      <c r="AE1121" s="809"/>
      <c r="AF1121" s="809"/>
      <c r="AG1121" s="809"/>
      <c r="AH1121" s="809"/>
      <c r="AI1121" s="809"/>
      <c r="AJ1121" s="809"/>
      <c r="AK1121" s="809"/>
      <c r="AL1121" s="809"/>
      <c r="AM1121" s="809"/>
      <c r="AN1121" s="809"/>
      <c r="AO1121" s="809"/>
      <c r="AP1121" s="809"/>
      <c r="AQ1121" s="809"/>
      <c r="AR1121" s="809"/>
      <c r="AS1121" s="809"/>
      <c r="AT1121" s="809"/>
      <c r="AU1121" s="809"/>
      <c r="AV1121" s="809"/>
      <c r="AW1121" s="809"/>
      <c r="AX1121" s="809"/>
      <c r="AY1121" s="809"/>
      <c r="AZ1121" s="809"/>
      <c r="BA1121" s="809"/>
      <c r="BB1121" s="809"/>
      <c r="BC1121" s="809"/>
      <c r="BD1121" s="809"/>
      <c r="BE1121" s="809"/>
      <c r="BF1121" s="809"/>
      <c r="BG1121" s="809"/>
      <c r="BH1121" s="809"/>
      <c r="BI1121" s="809"/>
      <c r="BJ1121" s="809"/>
      <c r="BK1121" s="809"/>
      <c r="BL1121" s="809"/>
      <c r="BM1121" s="809"/>
      <c r="BN1121" s="809"/>
    </row>
    <row r="1122" spans="1:66">
      <c r="A1122" s="809"/>
      <c r="B1122" s="809"/>
      <c r="C1122" s="809"/>
      <c r="D1122" s="809"/>
      <c r="E1122" s="809"/>
      <c r="F1122" s="809"/>
      <c r="G1122" s="809"/>
      <c r="H1122" s="809"/>
      <c r="I1122" s="809"/>
      <c r="J1122" s="809"/>
      <c r="K1122" s="809"/>
      <c r="L1122" s="809"/>
      <c r="M1122" s="809"/>
      <c r="N1122" s="809"/>
      <c r="O1122" s="809"/>
      <c r="P1122" s="809"/>
      <c r="Q1122" s="809"/>
      <c r="R1122" s="809"/>
      <c r="S1122" s="809"/>
      <c r="T1122" s="809"/>
      <c r="U1122" s="809"/>
      <c r="V1122" s="809"/>
      <c r="W1122" s="809"/>
      <c r="X1122" s="809"/>
      <c r="Y1122" s="809"/>
      <c r="Z1122" s="809"/>
      <c r="AA1122" s="809"/>
      <c r="AB1122" s="809"/>
      <c r="AC1122" s="809"/>
      <c r="AD1122" s="809"/>
      <c r="AE1122" s="809"/>
      <c r="AF1122" s="809"/>
      <c r="AG1122" s="809"/>
      <c r="AH1122" s="809"/>
      <c r="AI1122" s="809"/>
      <c r="AJ1122" s="809"/>
      <c r="AK1122" s="809"/>
      <c r="AL1122" s="809"/>
      <c r="AM1122" s="809"/>
      <c r="AN1122" s="809"/>
      <c r="AO1122" s="809"/>
      <c r="AP1122" s="809"/>
      <c r="AQ1122" s="809"/>
      <c r="AR1122" s="809"/>
      <c r="AS1122" s="809"/>
      <c r="AT1122" s="809"/>
      <c r="AU1122" s="809"/>
      <c r="AV1122" s="809"/>
      <c r="AW1122" s="809"/>
      <c r="AX1122" s="809"/>
      <c r="AY1122" s="809"/>
      <c r="AZ1122" s="809"/>
      <c r="BA1122" s="809"/>
      <c r="BB1122" s="809"/>
      <c r="BC1122" s="809"/>
      <c r="BD1122" s="809"/>
      <c r="BE1122" s="809"/>
      <c r="BF1122" s="809"/>
      <c r="BG1122" s="809"/>
      <c r="BH1122" s="809"/>
      <c r="BI1122" s="809"/>
      <c r="BJ1122" s="809"/>
      <c r="BK1122" s="809"/>
      <c r="BL1122" s="809"/>
      <c r="BM1122" s="809"/>
      <c r="BN1122" s="809"/>
    </row>
    <row r="1123" spans="1:66">
      <c r="A1123" s="809"/>
      <c r="B1123" s="809"/>
      <c r="C1123" s="809"/>
      <c r="D1123" s="809"/>
      <c r="E1123" s="809"/>
      <c r="F1123" s="809"/>
      <c r="G1123" s="809"/>
      <c r="H1123" s="809"/>
      <c r="I1123" s="809"/>
      <c r="J1123" s="809"/>
      <c r="K1123" s="809"/>
      <c r="L1123" s="809"/>
      <c r="M1123" s="809"/>
      <c r="N1123" s="809"/>
      <c r="O1123" s="809"/>
      <c r="P1123" s="809"/>
      <c r="Q1123" s="809"/>
      <c r="R1123" s="809"/>
      <c r="S1123" s="809"/>
      <c r="T1123" s="809"/>
      <c r="U1123" s="809"/>
      <c r="V1123" s="809"/>
      <c r="W1123" s="809"/>
      <c r="X1123" s="809"/>
      <c r="Y1123" s="809"/>
      <c r="Z1123" s="809"/>
      <c r="AA1123" s="809"/>
      <c r="AB1123" s="809"/>
      <c r="AC1123" s="809"/>
      <c r="AD1123" s="809"/>
      <c r="AE1123" s="809"/>
      <c r="AF1123" s="809"/>
      <c r="AG1123" s="809"/>
      <c r="AH1123" s="809"/>
      <c r="AI1123" s="809"/>
      <c r="AJ1123" s="809"/>
      <c r="AK1123" s="809"/>
      <c r="AL1123" s="809"/>
      <c r="AM1123" s="809"/>
      <c r="AN1123" s="809"/>
      <c r="AO1123" s="809"/>
      <c r="AP1123" s="809"/>
      <c r="AQ1123" s="809"/>
      <c r="AR1123" s="809"/>
      <c r="AS1123" s="809"/>
      <c r="AT1123" s="809"/>
      <c r="AU1123" s="809"/>
      <c r="AV1123" s="809"/>
      <c r="AW1123" s="809"/>
      <c r="AX1123" s="809"/>
      <c r="AY1123" s="809"/>
      <c r="AZ1123" s="809"/>
      <c r="BA1123" s="809"/>
      <c r="BB1123" s="809"/>
      <c r="BC1123" s="809"/>
      <c r="BD1123" s="809"/>
      <c r="BE1123" s="809"/>
      <c r="BF1123" s="809"/>
      <c r="BG1123" s="809"/>
      <c r="BH1123" s="809"/>
      <c r="BI1123" s="809"/>
      <c r="BJ1123" s="809"/>
      <c r="BK1123" s="809"/>
      <c r="BL1123" s="809"/>
      <c r="BM1123" s="809"/>
      <c r="BN1123" s="809"/>
    </row>
    <row r="1124" spans="1:66">
      <c r="A1124" s="809"/>
      <c r="B1124" s="809"/>
      <c r="C1124" s="809"/>
      <c r="D1124" s="809"/>
      <c r="E1124" s="809"/>
      <c r="F1124" s="809"/>
      <c r="G1124" s="809"/>
      <c r="H1124" s="809"/>
      <c r="I1124" s="809"/>
      <c r="J1124" s="809"/>
      <c r="K1124" s="809"/>
      <c r="L1124" s="809"/>
      <c r="M1124" s="809"/>
      <c r="N1124" s="809"/>
      <c r="O1124" s="809"/>
      <c r="P1124" s="809"/>
      <c r="Q1124" s="809"/>
      <c r="R1124" s="809"/>
      <c r="S1124" s="809"/>
      <c r="T1124" s="809"/>
      <c r="U1124" s="809"/>
      <c r="V1124" s="809"/>
      <c r="W1124" s="809"/>
      <c r="X1124" s="809"/>
      <c r="Y1124" s="809"/>
      <c r="Z1124" s="809"/>
      <c r="AA1124" s="809"/>
      <c r="AB1124" s="809"/>
      <c r="AC1124" s="809"/>
      <c r="AD1124" s="809"/>
      <c r="AE1124" s="809"/>
      <c r="AF1124" s="809"/>
      <c r="AG1124" s="809"/>
      <c r="AH1124" s="809"/>
      <c r="AI1124" s="809"/>
      <c r="AJ1124" s="809"/>
      <c r="AK1124" s="809"/>
      <c r="AL1124" s="809"/>
      <c r="AM1124" s="809"/>
      <c r="AN1124" s="809"/>
      <c r="AO1124" s="809"/>
      <c r="AP1124" s="809"/>
      <c r="AQ1124" s="809"/>
      <c r="AR1124" s="809"/>
      <c r="AS1124" s="809"/>
      <c r="AT1124" s="809"/>
      <c r="AU1124" s="809"/>
      <c r="AV1124" s="809"/>
      <c r="AW1124" s="809"/>
      <c r="AX1124" s="809"/>
      <c r="AY1124" s="809"/>
      <c r="AZ1124" s="809"/>
      <c r="BA1124" s="809"/>
      <c r="BB1124" s="809"/>
      <c r="BC1124" s="809"/>
      <c r="BD1124" s="809"/>
      <c r="BE1124" s="809"/>
      <c r="BF1124" s="809"/>
      <c r="BG1124" s="809"/>
      <c r="BH1124" s="809"/>
      <c r="BI1124" s="809"/>
      <c r="BJ1124" s="809"/>
      <c r="BK1124" s="809"/>
      <c r="BL1124" s="809"/>
      <c r="BM1124" s="809"/>
      <c r="BN1124" s="809"/>
    </row>
    <row r="1125" spans="1:66">
      <c r="A1125" s="809"/>
      <c r="B1125" s="809"/>
      <c r="C1125" s="809"/>
      <c r="D1125" s="809"/>
      <c r="E1125" s="809"/>
      <c r="F1125" s="809"/>
      <c r="G1125" s="809"/>
      <c r="H1125" s="809"/>
      <c r="I1125" s="809"/>
      <c r="J1125" s="809"/>
      <c r="K1125" s="809"/>
      <c r="L1125" s="809"/>
      <c r="M1125" s="809"/>
      <c r="N1125" s="809"/>
      <c r="O1125" s="809"/>
      <c r="P1125" s="809"/>
      <c r="Q1125" s="809"/>
      <c r="R1125" s="809"/>
      <c r="S1125" s="809"/>
      <c r="T1125" s="809"/>
      <c r="U1125" s="809"/>
      <c r="V1125" s="809"/>
      <c r="W1125" s="809"/>
      <c r="X1125" s="809"/>
      <c r="Y1125" s="809"/>
      <c r="Z1125" s="809"/>
      <c r="AA1125" s="809"/>
      <c r="AB1125" s="809"/>
      <c r="AC1125" s="809"/>
      <c r="AD1125" s="809"/>
      <c r="AE1125" s="809"/>
      <c r="AF1125" s="809"/>
      <c r="AG1125" s="809"/>
      <c r="AH1125" s="809"/>
      <c r="AI1125" s="809"/>
      <c r="AJ1125" s="809"/>
      <c r="AK1125" s="809"/>
      <c r="AL1125" s="809"/>
      <c r="AM1125" s="809"/>
      <c r="AN1125" s="809"/>
      <c r="AO1125" s="809"/>
      <c r="AP1125" s="809"/>
      <c r="AQ1125" s="809"/>
      <c r="AR1125" s="809"/>
      <c r="AS1125" s="809"/>
      <c r="AT1125" s="809"/>
      <c r="AU1125" s="809"/>
      <c r="AV1125" s="809"/>
      <c r="AW1125" s="809"/>
      <c r="AX1125" s="809"/>
      <c r="AY1125" s="809"/>
      <c r="AZ1125" s="809"/>
      <c r="BA1125" s="809"/>
      <c r="BB1125" s="809"/>
      <c r="BC1125" s="809"/>
      <c r="BD1125" s="809"/>
      <c r="BE1125" s="809"/>
      <c r="BF1125" s="809"/>
      <c r="BG1125" s="809"/>
      <c r="BH1125" s="809"/>
      <c r="BI1125" s="809"/>
      <c r="BJ1125" s="809"/>
      <c r="BK1125" s="809"/>
      <c r="BL1125" s="809"/>
      <c r="BM1125" s="809"/>
      <c r="BN1125" s="809"/>
    </row>
    <row r="1126" spans="1:66">
      <c r="A1126" s="809"/>
      <c r="B1126" s="809"/>
      <c r="C1126" s="809"/>
      <c r="D1126" s="809"/>
      <c r="E1126" s="809"/>
      <c r="F1126" s="809"/>
      <c r="G1126" s="809"/>
      <c r="H1126" s="809"/>
      <c r="I1126" s="809"/>
      <c r="J1126" s="809"/>
      <c r="K1126" s="809"/>
      <c r="L1126" s="809"/>
      <c r="M1126" s="809"/>
      <c r="N1126" s="809"/>
      <c r="O1126" s="809"/>
      <c r="P1126" s="809"/>
      <c r="Q1126" s="809"/>
      <c r="R1126" s="809"/>
      <c r="S1126" s="809"/>
      <c r="T1126" s="809"/>
      <c r="U1126" s="809"/>
      <c r="V1126" s="809"/>
      <c r="W1126" s="809"/>
      <c r="X1126" s="809"/>
      <c r="Y1126" s="809"/>
      <c r="Z1126" s="809"/>
      <c r="AA1126" s="809"/>
      <c r="AB1126" s="809"/>
      <c r="AC1126" s="809"/>
      <c r="AD1126" s="809"/>
      <c r="AE1126" s="809"/>
      <c r="AF1126" s="809"/>
      <c r="AG1126" s="809"/>
      <c r="AH1126" s="809"/>
      <c r="AI1126" s="809"/>
      <c r="AJ1126" s="809"/>
      <c r="AK1126" s="809"/>
      <c r="AL1126" s="809"/>
      <c r="AM1126" s="809"/>
      <c r="AN1126" s="809"/>
      <c r="AO1126" s="809"/>
      <c r="AP1126" s="809"/>
      <c r="AQ1126" s="809"/>
      <c r="AR1126" s="809"/>
      <c r="AS1126" s="809"/>
      <c r="AT1126" s="809"/>
      <c r="AU1126" s="809"/>
      <c r="AV1126" s="809"/>
      <c r="AW1126" s="809"/>
      <c r="AX1126" s="809"/>
      <c r="AY1126" s="809"/>
      <c r="AZ1126" s="809"/>
      <c r="BA1126" s="809"/>
      <c r="BB1126" s="809"/>
      <c r="BC1126" s="809"/>
      <c r="BD1126" s="809"/>
      <c r="BE1126" s="809"/>
      <c r="BF1126" s="809"/>
      <c r="BG1126" s="809"/>
      <c r="BH1126" s="809"/>
      <c r="BI1126" s="809"/>
      <c r="BJ1126" s="809"/>
      <c r="BK1126" s="809"/>
      <c r="BL1126" s="809"/>
      <c r="BM1126" s="809"/>
      <c r="BN1126" s="809"/>
    </row>
    <row r="1127" spans="1:66">
      <c r="A1127" s="809"/>
      <c r="B1127" s="809"/>
      <c r="C1127" s="809"/>
      <c r="D1127" s="809"/>
      <c r="E1127" s="809"/>
      <c r="F1127" s="809"/>
      <c r="G1127" s="809"/>
      <c r="H1127" s="809"/>
      <c r="I1127" s="809"/>
      <c r="J1127" s="809"/>
      <c r="K1127" s="809"/>
      <c r="L1127" s="809"/>
      <c r="M1127" s="809"/>
      <c r="N1127" s="809"/>
      <c r="O1127" s="809"/>
      <c r="P1127" s="809"/>
      <c r="Q1127" s="809"/>
      <c r="R1127" s="809"/>
      <c r="S1127" s="809"/>
      <c r="T1127" s="809"/>
      <c r="U1127" s="809"/>
      <c r="V1127" s="809"/>
      <c r="W1127" s="809"/>
      <c r="X1127" s="809"/>
      <c r="Y1127" s="809"/>
      <c r="Z1127" s="809"/>
      <c r="AA1127" s="809"/>
      <c r="AB1127" s="809"/>
      <c r="AC1127" s="809"/>
      <c r="AD1127" s="809"/>
      <c r="AE1127" s="809"/>
      <c r="AF1127" s="809"/>
      <c r="AG1127" s="809"/>
      <c r="AH1127" s="809"/>
      <c r="AI1127" s="809"/>
      <c r="AJ1127" s="809"/>
      <c r="AK1127" s="809"/>
      <c r="AL1127" s="809"/>
      <c r="AM1127" s="809"/>
      <c r="AN1127" s="809"/>
      <c r="AO1127" s="809"/>
      <c r="AP1127" s="809"/>
      <c r="AQ1127" s="809"/>
      <c r="AR1127" s="809"/>
      <c r="AS1127" s="809"/>
      <c r="AT1127" s="809"/>
      <c r="AU1127" s="809"/>
      <c r="AV1127" s="809"/>
      <c r="AW1127" s="809"/>
      <c r="AX1127" s="809"/>
      <c r="AY1127" s="809"/>
      <c r="AZ1127" s="809"/>
      <c r="BA1127" s="809"/>
      <c r="BB1127" s="809"/>
      <c r="BC1127" s="809"/>
      <c r="BD1127" s="809"/>
      <c r="BE1127" s="809"/>
      <c r="BF1127" s="809"/>
      <c r="BG1127" s="809"/>
      <c r="BH1127" s="809"/>
      <c r="BI1127" s="809"/>
      <c r="BJ1127" s="809"/>
      <c r="BK1127" s="809"/>
      <c r="BL1127" s="809"/>
      <c r="BM1127" s="809"/>
      <c r="BN1127" s="809"/>
    </row>
    <row r="1128" spans="1:66">
      <c r="A1128" s="809"/>
      <c r="B1128" s="809"/>
      <c r="C1128" s="809"/>
      <c r="D1128" s="809"/>
      <c r="E1128" s="809"/>
      <c r="F1128" s="809"/>
      <c r="G1128" s="809"/>
      <c r="H1128" s="809"/>
      <c r="I1128" s="809"/>
      <c r="J1128" s="809"/>
      <c r="K1128" s="809"/>
      <c r="L1128" s="809"/>
      <c r="M1128" s="809"/>
      <c r="N1128" s="809"/>
      <c r="O1128" s="809"/>
      <c r="P1128" s="809"/>
      <c r="Q1128" s="809"/>
      <c r="R1128" s="809"/>
      <c r="S1128" s="809"/>
      <c r="T1128" s="809"/>
      <c r="U1128" s="809"/>
      <c r="V1128" s="809"/>
      <c r="W1128" s="809"/>
      <c r="X1128" s="809"/>
      <c r="Y1128" s="809"/>
      <c r="Z1128" s="809"/>
      <c r="AA1128" s="809"/>
      <c r="AB1128" s="809"/>
      <c r="AC1128" s="809"/>
      <c r="AD1128" s="809"/>
      <c r="AE1128" s="809"/>
      <c r="AF1128" s="809"/>
      <c r="AG1128" s="809"/>
      <c r="AH1128" s="809"/>
      <c r="AI1128" s="809"/>
      <c r="AJ1128" s="809"/>
      <c r="AK1128" s="809"/>
      <c r="AL1128" s="809"/>
      <c r="AM1128" s="809"/>
      <c r="AN1128" s="809"/>
      <c r="AO1128" s="809"/>
      <c r="AP1128" s="809"/>
      <c r="AQ1128" s="809"/>
      <c r="AR1128" s="809"/>
      <c r="AS1128" s="809"/>
      <c r="AT1128" s="809"/>
      <c r="AU1128" s="809"/>
      <c r="AV1128" s="809"/>
      <c r="AW1128" s="809"/>
      <c r="AX1128" s="809"/>
      <c r="AY1128" s="809"/>
      <c r="AZ1128" s="809"/>
      <c r="BA1128" s="809"/>
      <c r="BB1128" s="809"/>
      <c r="BC1128" s="809"/>
      <c r="BD1128" s="809"/>
      <c r="BE1128" s="809"/>
      <c r="BF1128" s="809"/>
      <c r="BG1128" s="809"/>
      <c r="BH1128" s="809"/>
      <c r="BI1128" s="809"/>
      <c r="BJ1128" s="809"/>
      <c r="BK1128" s="809"/>
      <c r="BL1128" s="809"/>
      <c r="BM1128" s="809"/>
      <c r="BN1128" s="809"/>
    </row>
    <row r="1129" spans="1:66">
      <c r="A1129" s="809"/>
      <c r="B1129" s="809"/>
      <c r="C1129" s="809"/>
      <c r="D1129" s="809"/>
      <c r="E1129" s="809"/>
      <c r="F1129" s="809"/>
      <c r="G1129" s="809"/>
      <c r="H1129" s="809"/>
      <c r="I1129" s="809"/>
      <c r="J1129" s="809"/>
      <c r="K1129" s="809"/>
      <c r="L1129" s="809"/>
      <c r="M1129" s="809"/>
      <c r="N1129" s="809"/>
      <c r="O1129" s="809"/>
      <c r="P1129" s="809"/>
      <c r="Q1129" s="809"/>
      <c r="R1129" s="809"/>
      <c r="S1129" s="809"/>
      <c r="T1129" s="809"/>
      <c r="U1129" s="809"/>
      <c r="V1129" s="809"/>
      <c r="W1129" s="809"/>
      <c r="X1129" s="809"/>
      <c r="Y1129" s="809"/>
      <c r="Z1129" s="809"/>
      <c r="AA1129" s="809"/>
      <c r="AB1129" s="809"/>
      <c r="AC1129" s="809"/>
      <c r="AD1129" s="809"/>
      <c r="AE1129" s="809"/>
      <c r="AF1129" s="809"/>
      <c r="AG1129" s="809"/>
      <c r="AH1129" s="809"/>
      <c r="AI1129" s="809"/>
      <c r="AJ1129" s="809"/>
      <c r="AK1129" s="809"/>
      <c r="AL1129" s="809"/>
      <c r="AM1129" s="809"/>
      <c r="AN1129" s="809"/>
      <c r="AO1129" s="809"/>
      <c r="AP1129" s="809"/>
      <c r="AQ1129" s="809"/>
      <c r="AR1129" s="809"/>
      <c r="AS1129" s="809"/>
      <c r="AT1129" s="809"/>
      <c r="AU1129" s="809"/>
      <c r="AV1129" s="809"/>
      <c r="AW1129" s="809"/>
      <c r="AX1129" s="809"/>
      <c r="AY1129" s="809"/>
      <c r="AZ1129" s="809"/>
      <c r="BA1129" s="809"/>
      <c r="BB1129" s="809"/>
      <c r="BC1129" s="809"/>
      <c r="BD1129" s="809"/>
      <c r="BE1129" s="809"/>
      <c r="BF1129" s="809"/>
      <c r="BG1129" s="809"/>
      <c r="BH1129" s="809"/>
      <c r="BI1129" s="809"/>
      <c r="BJ1129" s="809"/>
      <c r="BK1129" s="809"/>
      <c r="BL1129" s="809"/>
      <c r="BM1129" s="809"/>
      <c r="BN1129" s="809"/>
    </row>
    <row r="1130" spans="1:66">
      <c r="A1130" s="809"/>
      <c r="B1130" s="809"/>
      <c r="C1130" s="809"/>
      <c r="D1130" s="809"/>
      <c r="E1130" s="809"/>
      <c r="F1130" s="809"/>
      <c r="G1130" s="809"/>
      <c r="H1130" s="809"/>
      <c r="I1130" s="809"/>
      <c r="J1130" s="809"/>
      <c r="K1130" s="809"/>
      <c r="L1130" s="809"/>
      <c r="M1130" s="809"/>
      <c r="N1130" s="809"/>
      <c r="O1130" s="809"/>
      <c r="P1130" s="809"/>
      <c r="Q1130" s="809"/>
      <c r="R1130" s="809"/>
      <c r="S1130" s="809"/>
      <c r="T1130" s="809"/>
      <c r="U1130" s="809"/>
      <c r="V1130" s="809"/>
      <c r="W1130" s="809"/>
      <c r="X1130" s="809"/>
      <c r="Y1130" s="809"/>
      <c r="Z1130" s="809"/>
      <c r="AA1130" s="809"/>
      <c r="AB1130" s="809"/>
      <c r="AC1130" s="809"/>
      <c r="AD1130" s="809"/>
      <c r="AE1130" s="809"/>
      <c r="AF1130" s="809"/>
      <c r="AG1130" s="809"/>
      <c r="AH1130" s="809"/>
      <c r="AI1130" s="809"/>
      <c r="AJ1130" s="809"/>
      <c r="AK1130" s="809"/>
      <c r="AL1130" s="809"/>
      <c r="AM1130" s="809"/>
      <c r="AN1130" s="809"/>
      <c r="AO1130" s="809"/>
      <c r="AP1130" s="809"/>
      <c r="AQ1130" s="809"/>
      <c r="AR1130" s="809"/>
      <c r="AS1130" s="809"/>
      <c r="AT1130" s="809"/>
      <c r="AU1130" s="809"/>
      <c r="AV1130" s="809"/>
      <c r="AW1130" s="809"/>
      <c r="AX1130" s="809"/>
      <c r="AY1130" s="809"/>
      <c r="AZ1130" s="809"/>
      <c r="BA1130" s="809"/>
      <c r="BB1130" s="809"/>
      <c r="BC1130" s="809"/>
      <c r="BD1130" s="809"/>
      <c r="BE1130" s="809"/>
      <c r="BF1130" s="809"/>
      <c r="BG1130" s="809"/>
      <c r="BH1130" s="809"/>
      <c r="BI1130" s="809"/>
      <c r="BJ1130" s="809"/>
      <c r="BK1130" s="809"/>
      <c r="BL1130" s="809"/>
      <c r="BM1130" s="809"/>
      <c r="BN1130" s="809"/>
    </row>
    <row r="1131" spans="1:66">
      <c r="A1131" s="809"/>
      <c r="B1131" s="809"/>
      <c r="C1131" s="809"/>
      <c r="D1131" s="809"/>
      <c r="E1131" s="809"/>
      <c r="F1131" s="809"/>
      <c r="G1131" s="809"/>
      <c r="H1131" s="809"/>
      <c r="I1131" s="809"/>
      <c r="J1131" s="809"/>
      <c r="K1131" s="809"/>
      <c r="L1131" s="809"/>
      <c r="M1131" s="809"/>
      <c r="N1131" s="809"/>
      <c r="O1131" s="809"/>
      <c r="P1131" s="809"/>
      <c r="Q1131" s="809"/>
      <c r="R1131" s="809"/>
      <c r="S1131" s="809"/>
      <c r="T1131" s="809"/>
      <c r="U1131" s="809"/>
      <c r="V1131" s="809"/>
      <c r="W1131" s="809"/>
      <c r="X1131" s="809"/>
      <c r="Y1131" s="809"/>
      <c r="Z1131" s="809"/>
      <c r="AA1131" s="809"/>
      <c r="AB1131" s="809"/>
      <c r="AC1131" s="809"/>
      <c r="AD1131" s="809"/>
      <c r="AE1131" s="809"/>
      <c r="AF1131" s="809"/>
      <c r="AG1131" s="809"/>
      <c r="AH1131" s="809"/>
      <c r="AI1131" s="809"/>
      <c r="AJ1131" s="809"/>
      <c r="AK1131" s="809"/>
      <c r="AL1131" s="809"/>
      <c r="AM1131" s="809"/>
      <c r="AN1131" s="809"/>
      <c r="AO1131" s="809"/>
      <c r="AP1131" s="809"/>
      <c r="AQ1131" s="809"/>
      <c r="AR1131" s="809"/>
      <c r="AS1131" s="809"/>
      <c r="AT1131" s="809"/>
      <c r="AU1131" s="809"/>
      <c r="AV1131" s="809"/>
      <c r="AW1131" s="809"/>
      <c r="AX1131" s="809"/>
      <c r="AY1131" s="809"/>
      <c r="AZ1131" s="809"/>
      <c r="BA1131" s="809"/>
      <c r="BB1131" s="809"/>
      <c r="BC1131" s="809"/>
      <c r="BD1131" s="809"/>
      <c r="BE1131" s="809"/>
      <c r="BF1131" s="809"/>
      <c r="BG1131" s="809"/>
      <c r="BH1131" s="809"/>
      <c r="BI1131" s="809"/>
      <c r="BJ1131" s="809"/>
      <c r="BK1131" s="809"/>
      <c r="BL1131" s="809"/>
      <c r="BM1131" s="809"/>
      <c r="BN1131" s="809"/>
    </row>
    <row r="1132" spans="1:66">
      <c r="A1132" s="809"/>
      <c r="B1132" s="809"/>
      <c r="C1132" s="809"/>
      <c r="D1132" s="809"/>
      <c r="E1132" s="809"/>
      <c r="F1132" s="809"/>
      <c r="G1132" s="809"/>
      <c r="H1132" s="809"/>
      <c r="I1132" s="809"/>
      <c r="J1132" s="809"/>
      <c r="K1132" s="809"/>
      <c r="L1132" s="809"/>
      <c r="M1132" s="809"/>
      <c r="N1132" s="809"/>
      <c r="O1132" s="809"/>
      <c r="P1132" s="809"/>
      <c r="Q1132" s="809"/>
      <c r="R1132" s="809"/>
      <c r="S1132" s="809"/>
      <c r="T1132" s="809"/>
      <c r="U1132" s="809"/>
      <c r="V1132" s="809"/>
      <c r="W1132" s="809"/>
      <c r="X1132" s="809"/>
      <c r="Y1132" s="809"/>
      <c r="Z1132" s="809"/>
      <c r="AA1132" s="809"/>
      <c r="AB1132" s="809"/>
      <c r="AC1132" s="809"/>
      <c r="AD1132" s="809"/>
      <c r="AE1132" s="809"/>
      <c r="AF1132" s="809"/>
      <c r="AG1132" s="809"/>
      <c r="AH1132" s="809"/>
      <c r="AI1132" s="809"/>
      <c r="AJ1132" s="809"/>
      <c r="AK1132" s="809"/>
      <c r="AL1132" s="809"/>
      <c r="AM1132" s="809"/>
      <c r="AN1132" s="809"/>
      <c r="AO1132" s="809"/>
      <c r="AP1132" s="809"/>
      <c r="AQ1132" s="809"/>
      <c r="AR1132" s="809"/>
      <c r="AS1132" s="809"/>
      <c r="AT1132" s="809"/>
      <c r="AU1132" s="809"/>
      <c r="AV1132" s="809"/>
      <c r="AW1132" s="809"/>
      <c r="AX1132" s="809"/>
      <c r="AY1132" s="809"/>
      <c r="AZ1132" s="809"/>
      <c r="BA1132" s="809"/>
      <c r="BB1132" s="809"/>
      <c r="BC1132" s="809"/>
      <c r="BD1132" s="809"/>
      <c r="BE1132" s="809"/>
      <c r="BF1132" s="809"/>
      <c r="BG1132" s="809"/>
      <c r="BH1132" s="809"/>
      <c r="BI1132" s="809"/>
      <c r="BJ1132" s="809"/>
      <c r="BK1132" s="809"/>
      <c r="BL1132" s="809"/>
      <c r="BM1132" s="809"/>
      <c r="BN1132" s="809"/>
    </row>
    <row r="1133" spans="1:66">
      <c r="A1133" s="809"/>
      <c r="B1133" s="809"/>
      <c r="C1133" s="809"/>
      <c r="D1133" s="809"/>
      <c r="E1133" s="809"/>
      <c r="F1133" s="809"/>
      <c r="G1133" s="809"/>
      <c r="H1133" s="809"/>
      <c r="I1133" s="809"/>
      <c r="J1133" s="809"/>
      <c r="K1133" s="809"/>
      <c r="L1133" s="809"/>
      <c r="M1133" s="809"/>
      <c r="N1133" s="809"/>
      <c r="O1133" s="809"/>
      <c r="P1133" s="809"/>
      <c r="Q1133" s="809"/>
      <c r="R1133" s="809"/>
      <c r="S1133" s="809"/>
      <c r="T1133" s="809"/>
      <c r="U1133" s="809"/>
      <c r="V1133" s="809"/>
      <c r="W1133" s="809"/>
      <c r="X1133" s="809"/>
      <c r="Y1133" s="809"/>
      <c r="Z1133" s="809"/>
      <c r="AA1133" s="809"/>
      <c r="AB1133" s="809"/>
      <c r="AC1133" s="809"/>
      <c r="AD1133" s="809"/>
      <c r="AE1133" s="809"/>
      <c r="AF1133" s="809"/>
      <c r="AG1133" s="809"/>
      <c r="AH1133" s="809"/>
      <c r="AI1133" s="809"/>
      <c r="AJ1133" s="809"/>
      <c r="AK1133" s="809"/>
      <c r="AL1133" s="809"/>
      <c r="AM1133" s="809"/>
      <c r="AN1133" s="809"/>
      <c r="AO1133" s="809"/>
      <c r="AP1133" s="809"/>
      <c r="AQ1133" s="809"/>
      <c r="AR1133" s="809"/>
      <c r="AS1133" s="809"/>
      <c r="AT1133" s="809"/>
      <c r="AU1133" s="809"/>
      <c r="AV1133" s="809"/>
      <c r="AW1133" s="809"/>
      <c r="AX1133" s="809"/>
      <c r="AY1133" s="809"/>
      <c r="AZ1133" s="809"/>
      <c r="BA1133" s="809"/>
      <c r="BB1133" s="809"/>
      <c r="BC1133" s="809"/>
      <c r="BD1133" s="809"/>
      <c r="BE1133" s="809"/>
      <c r="BF1133" s="809"/>
      <c r="BG1133" s="809"/>
      <c r="BH1133" s="809"/>
      <c r="BI1133" s="809"/>
      <c r="BJ1133" s="809"/>
      <c r="BK1133" s="809"/>
      <c r="BL1133" s="809"/>
      <c r="BM1133" s="809"/>
      <c r="BN1133" s="809"/>
    </row>
    <row r="1134" spans="1:66">
      <c r="A1134" s="809"/>
      <c r="B1134" s="809"/>
      <c r="C1134" s="809"/>
      <c r="D1134" s="809"/>
      <c r="E1134" s="809"/>
      <c r="F1134" s="809"/>
      <c r="G1134" s="809"/>
      <c r="H1134" s="809"/>
      <c r="I1134" s="809"/>
      <c r="J1134" s="809"/>
      <c r="K1134" s="809"/>
      <c r="L1134" s="809"/>
      <c r="M1134" s="809"/>
      <c r="N1134" s="809"/>
      <c r="O1134" s="809"/>
      <c r="P1134" s="809"/>
      <c r="Q1134" s="809"/>
      <c r="R1134" s="809"/>
      <c r="S1134" s="809"/>
      <c r="T1134" s="809"/>
      <c r="U1134" s="809"/>
      <c r="V1134" s="809"/>
      <c r="W1134" s="809"/>
      <c r="X1134" s="809"/>
      <c r="Y1134" s="809"/>
      <c r="Z1134" s="809"/>
      <c r="AA1134" s="809"/>
      <c r="AB1134" s="809"/>
      <c r="AC1134" s="809"/>
      <c r="AD1134" s="809"/>
      <c r="AE1134" s="809"/>
      <c r="AF1134" s="809"/>
      <c r="AG1134" s="809"/>
      <c r="AH1134" s="809"/>
      <c r="AI1134" s="809"/>
      <c r="AJ1134" s="809"/>
      <c r="AK1134" s="809"/>
      <c r="AL1134" s="809"/>
      <c r="AM1134" s="809"/>
      <c r="AN1134" s="809"/>
      <c r="AO1134" s="809"/>
      <c r="AP1134" s="809"/>
      <c r="AQ1134" s="809"/>
      <c r="AR1134" s="809"/>
      <c r="AS1134" s="809"/>
      <c r="AT1134" s="809"/>
      <c r="AU1134" s="809"/>
      <c r="AV1134" s="809"/>
      <c r="AW1134" s="809"/>
      <c r="AX1134" s="809"/>
      <c r="AY1134" s="809"/>
      <c r="AZ1134" s="809"/>
      <c r="BA1134" s="809"/>
      <c r="BB1134" s="809"/>
      <c r="BC1134" s="809"/>
      <c r="BD1134" s="809"/>
      <c r="BE1134" s="809"/>
      <c r="BF1134" s="809"/>
      <c r="BG1134" s="809"/>
      <c r="BH1134" s="809"/>
      <c r="BI1134" s="809"/>
      <c r="BJ1134" s="809"/>
      <c r="BK1134" s="809"/>
      <c r="BL1134" s="809"/>
      <c r="BM1134" s="809"/>
      <c r="BN1134" s="809"/>
    </row>
    <row r="1135" spans="1:66">
      <c r="A1135" s="809"/>
      <c r="B1135" s="809"/>
      <c r="C1135" s="809"/>
      <c r="D1135" s="809"/>
      <c r="E1135" s="809"/>
      <c r="F1135" s="809"/>
      <c r="G1135" s="809"/>
      <c r="H1135" s="809"/>
      <c r="I1135" s="809"/>
      <c r="J1135" s="809"/>
      <c r="K1135" s="809"/>
      <c r="L1135" s="809"/>
      <c r="M1135" s="809"/>
      <c r="N1135" s="809"/>
      <c r="O1135" s="809"/>
      <c r="P1135" s="809"/>
      <c r="Q1135" s="809"/>
      <c r="R1135" s="809"/>
      <c r="S1135" s="809"/>
      <c r="T1135" s="809"/>
      <c r="U1135" s="809"/>
      <c r="V1135" s="809"/>
      <c r="W1135" s="809"/>
      <c r="X1135" s="809"/>
      <c r="Y1135" s="809"/>
      <c r="Z1135" s="809"/>
      <c r="AA1135" s="809"/>
      <c r="AB1135" s="809"/>
      <c r="AC1135" s="809"/>
      <c r="AD1135" s="809"/>
      <c r="AE1135" s="809"/>
      <c r="AF1135" s="809"/>
      <c r="AG1135" s="809"/>
      <c r="AH1135" s="809"/>
      <c r="AI1135" s="809"/>
      <c r="AJ1135" s="809"/>
      <c r="AK1135" s="809"/>
      <c r="AL1135" s="809"/>
      <c r="AM1135" s="809"/>
      <c r="AN1135" s="809"/>
      <c r="AO1135" s="809"/>
      <c r="AP1135" s="809"/>
      <c r="AQ1135" s="809"/>
      <c r="AR1135" s="809"/>
      <c r="AS1135" s="809"/>
      <c r="AT1135" s="809"/>
      <c r="AU1135" s="809"/>
      <c r="AV1135" s="809"/>
      <c r="AW1135" s="809"/>
      <c r="AX1135" s="809"/>
      <c r="AY1135" s="809"/>
      <c r="AZ1135" s="809"/>
      <c r="BA1135" s="809"/>
      <c r="BB1135" s="809"/>
      <c r="BC1135" s="809"/>
      <c r="BD1135" s="809"/>
      <c r="BE1135" s="809"/>
      <c r="BF1135" s="809"/>
      <c r="BG1135" s="809"/>
      <c r="BH1135" s="809"/>
      <c r="BI1135" s="809"/>
      <c r="BJ1135" s="809"/>
      <c r="BK1135" s="809"/>
      <c r="BL1135" s="809"/>
      <c r="BM1135" s="809"/>
      <c r="BN1135" s="809"/>
    </row>
    <row r="1136" spans="1:66">
      <c r="A1136" s="809"/>
      <c r="B1136" s="809"/>
      <c r="C1136" s="809"/>
      <c r="D1136" s="809"/>
      <c r="E1136" s="809"/>
      <c r="F1136" s="809"/>
      <c r="G1136" s="809"/>
      <c r="H1136" s="809"/>
      <c r="I1136" s="809"/>
      <c r="J1136" s="809"/>
      <c r="K1136" s="809"/>
      <c r="L1136" s="809"/>
      <c r="M1136" s="809"/>
      <c r="N1136" s="809"/>
      <c r="O1136" s="809"/>
      <c r="P1136" s="809"/>
      <c r="Q1136" s="809"/>
      <c r="R1136" s="809"/>
      <c r="S1136" s="809"/>
      <c r="T1136" s="809"/>
      <c r="U1136" s="809"/>
      <c r="V1136" s="809"/>
      <c r="W1136" s="809"/>
      <c r="X1136" s="809"/>
      <c r="Y1136" s="809"/>
      <c r="Z1136" s="809"/>
      <c r="AA1136" s="809"/>
      <c r="AB1136" s="809"/>
      <c r="AC1136" s="809"/>
      <c r="AD1136" s="809"/>
      <c r="AE1136" s="809"/>
      <c r="AF1136" s="809"/>
      <c r="AG1136" s="809"/>
      <c r="AH1136" s="809"/>
      <c r="AI1136" s="809"/>
      <c r="AJ1136" s="809"/>
      <c r="AK1136" s="809"/>
      <c r="AL1136" s="809"/>
      <c r="AM1136" s="809"/>
      <c r="AN1136" s="809"/>
      <c r="AO1136" s="809"/>
      <c r="AP1136" s="809"/>
      <c r="AQ1136" s="809"/>
      <c r="AR1136" s="809"/>
      <c r="AS1136" s="809"/>
      <c r="AT1136" s="809"/>
      <c r="AU1136" s="809"/>
      <c r="AV1136" s="809"/>
      <c r="AW1136" s="809"/>
      <c r="AX1136" s="809"/>
      <c r="AY1136" s="809"/>
      <c r="AZ1136" s="809"/>
      <c r="BA1136" s="809"/>
      <c r="BB1136" s="809"/>
      <c r="BC1136" s="809"/>
      <c r="BD1136" s="809"/>
      <c r="BE1136" s="809"/>
      <c r="BF1136" s="809"/>
      <c r="BG1136" s="809"/>
      <c r="BH1136" s="809"/>
      <c r="BI1136" s="809"/>
      <c r="BJ1136" s="809"/>
      <c r="BK1136" s="809"/>
      <c r="BL1136" s="809"/>
      <c r="BM1136" s="809"/>
      <c r="BN1136" s="809"/>
    </row>
    <row r="1137" spans="1:66">
      <c r="A1137" s="809"/>
      <c r="B1137" s="809"/>
      <c r="C1137" s="809"/>
      <c r="D1137" s="809"/>
      <c r="E1137" s="809"/>
      <c r="F1137" s="809"/>
      <c r="G1137" s="809"/>
      <c r="H1137" s="809"/>
      <c r="I1137" s="809"/>
      <c r="J1137" s="809"/>
      <c r="K1137" s="809"/>
      <c r="L1137" s="809"/>
      <c r="M1137" s="809"/>
      <c r="N1137" s="809"/>
      <c r="O1137" s="809"/>
      <c r="P1137" s="809"/>
      <c r="Q1137" s="809"/>
      <c r="R1137" s="809"/>
      <c r="S1137" s="809"/>
      <c r="T1137" s="809"/>
      <c r="U1137" s="809"/>
      <c r="V1137" s="809"/>
      <c r="W1137" s="809"/>
      <c r="X1137" s="809"/>
      <c r="Y1137" s="809"/>
      <c r="Z1137" s="809"/>
      <c r="AA1137" s="809"/>
      <c r="AB1137" s="809"/>
      <c r="AC1137" s="809"/>
      <c r="AD1137" s="809"/>
      <c r="AE1137" s="809"/>
      <c r="AF1137" s="809"/>
      <c r="AG1137" s="809"/>
      <c r="AH1137" s="809"/>
      <c r="AI1137" s="809"/>
      <c r="AJ1137" s="809"/>
      <c r="AK1137" s="809"/>
      <c r="AL1137" s="809"/>
      <c r="AM1137" s="809"/>
      <c r="AN1137" s="809"/>
      <c r="AO1137" s="809"/>
      <c r="AP1137" s="809"/>
      <c r="AQ1137" s="809"/>
      <c r="AR1137" s="809"/>
      <c r="AS1137" s="809"/>
      <c r="AT1137" s="809"/>
      <c r="AU1137" s="809"/>
      <c r="AV1137" s="809"/>
      <c r="AW1137" s="809"/>
      <c r="AX1137" s="809"/>
      <c r="AY1137" s="809"/>
      <c r="AZ1137" s="809"/>
      <c r="BA1137" s="809"/>
      <c r="BB1137" s="809"/>
      <c r="BC1137" s="809"/>
      <c r="BD1137" s="809"/>
      <c r="BE1137" s="809"/>
      <c r="BF1137" s="809"/>
      <c r="BG1137" s="809"/>
      <c r="BH1137" s="809"/>
      <c r="BI1137" s="809"/>
      <c r="BJ1137" s="809"/>
      <c r="BK1137" s="809"/>
      <c r="BL1137" s="809"/>
      <c r="BM1137" s="809"/>
      <c r="BN1137" s="809"/>
    </row>
    <row r="1138" spans="1:66">
      <c r="A1138" s="809"/>
      <c r="B1138" s="809"/>
      <c r="C1138" s="809"/>
      <c r="D1138" s="809"/>
      <c r="E1138" s="809"/>
      <c r="F1138" s="809"/>
      <c r="G1138" s="809"/>
      <c r="H1138" s="809"/>
      <c r="I1138" s="809"/>
      <c r="J1138" s="809"/>
      <c r="K1138" s="809"/>
      <c r="L1138" s="809"/>
      <c r="M1138" s="809"/>
      <c r="N1138" s="809"/>
      <c r="O1138" s="809"/>
      <c r="P1138" s="809"/>
      <c r="Q1138" s="809"/>
      <c r="R1138" s="809"/>
      <c r="S1138" s="809"/>
      <c r="T1138" s="809"/>
      <c r="U1138" s="809"/>
      <c r="V1138" s="809"/>
      <c r="W1138" s="809"/>
      <c r="X1138" s="809"/>
      <c r="Y1138" s="809"/>
      <c r="Z1138" s="809"/>
      <c r="AA1138" s="809"/>
      <c r="AB1138" s="809"/>
      <c r="AC1138" s="809"/>
      <c r="AD1138" s="809"/>
      <c r="AE1138" s="809"/>
      <c r="AF1138" s="809"/>
      <c r="AG1138" s="809"/>
      <c r="AH1138" s="809"/>
      <c r="AI1138" s="809"/>
      <c r="AJ1138" s="809"/>
      <c r="AK1138" s="809"/>
      <c r="AL1138" s="809"/>
      <c r="AM1138" s="809"/>
      <c r="AN1138" s="809"/>
      <c r="AO1138" s="809"/>
      <c r="AP1138" s="809"/>
      <c r="AQ1138" s="809"/>
      <c r="AR1138" s="809"/>
      <c r="AS1138" s="809"/>
      <c r="AT1138" s="809"/>
      <c r="AU1138" s="809"/>
      <c r="AV1138" s="809"/>
      <c r="AW1138" s="809"/>
      <c r="AX1138" s="809"/>
      <c r="AY1138" s="809"/>
      <c r="AZ1138" s="809"/>
      <c r="BA1138" s="809"/>
      <c r="BB1138" s="809"/>
      <c r="BC1138" s="809"/>
      <c r="BD1138" s="809"/>
      <c r="BE1138" s="809"/>
      <c r="BF1138" s="809"/>
      <c r="BG1138" s="809"/>
      <c r="BH1138" s="809"/>
      <c r="BI1138" s="809"/>
      <c r="BJ1138" s="809"/>
      <c r="BK1138" s="809"/>
      <c r="BL1138" s="809"/>
      <c r="BM1138" s="809"/>
      <c r="BN1138" s="809"/>
    </row>
    <row r="1139" spans="1:66">
      <c r="A1139" s="809"/>
      <c r="B1139" s="809"/>
      <c r="C1139" s="809"/>
      <c r="D1139" s="809"/>
      <c r="E1139" s="809"/>
      <c r="F1139" s="809"/>
      <c r="G1139" s="809"/>
      <c r="H1139" s="809"/>
      <c r="I1139" s="809"/>
      <c r="J1139" s="809"/>
      <c r="K1139" s="809"/>
      <c r="L1139" s="809"/>
      <c r="M1139" s="809"/>
      <c r="N1139" s="809"/>
      <c r="O1139" s="809"/>
      <c r="P1139" s="809"/>
      <c r="Q1139" s="809"/>
      <c r="R1139" s="809"/>
      <c r="S1139" s="809"/>
      <c r="T1139" s="809"/>
      <c r="U1139" s="809"/>
      <c r="V1139" s="809"/>
      <c r="W1139" s="809"/>
      <c r="X1139" s="809"/>
      <c r="Y1139" s="809"/>
      <c r="Z1139" s="809"/>
      <c r="AA1139" s="809"/>
      <c r="AB1139" s="809"/>
      <c r="AC1139" s="809"/>
      <c r="AD1139" s="809"/>
      <c r="AE1139" s="809"/>
      <c r="AF1139" s="809"/>
      <c r="AG1139" s="809"/>
      <c r="AH1139" s="809"/>
      <c r="AI1139" s="809"/>
      <c r="AJ1139" s="809"/>
      <c r="AK1139" s="809"/>
      <c r="AL1139" s="809"/>
      <c r="AM1139" s="809"/>
      <c r="AN1139" s="809"/>
      <c r="AO1139" s="809"/>
      <c r="AP1139" s="809"/>
      <c r="AQ1139" s="809"/>
      <c r="AR1139" s="809"/>
      <c r="AS1139" s="809"/>
      <c r="AT1139" s="809"/>
      <c r="AU1139" s="809"/>
      <c r="AV1139" s="809"/>
      <c r="AW1139" s="809"/>
      <c r="AX1139" s="809"/>
      <c r="AY1139" s="809"/>
      <c r="AZ1139" s="809"/>
      <c r="BA1139" s="809"/>
      <c r="BB1139" s="809"/>
      <c r="BC1139" s="809"/>
      <c r="BD1139" s="809"/>
      <c r="BE1139" s="809"/>
      <c r="BF1139" s="809"/>
      <c r="BG1139" s="809"/>
      <c r="BH1139" s="809"/>
      <c r="BI1139" s="809"/>
      <c r="BJ1139" s="809"/>
      <c r="BK1139" s="809"/>
      <c r="BL1139" s="809"/>
      <c r="BM1139" s="809"/>
      <c r="BN1139" s="809"/>
    </row>
    <row r="1140" spans="1:66">
      <c r="A1140" s="809"/>
      <c r="B1140" s="809"/>
      <c r="C1140" s="809"/>
      <c r="D1140" s="809"/>
      <c r="E1140" s="809"/>
      <c r="F1140" s="809"/>
      <c r="G1140" s="809"/>
      <c r="H1140" s="809"/>
      <c r="I1140" s="809"/>
      <c r="J1140" s="809"/>
      <c r="K1140" s="809"/>
      <c r="L1140" s="809"/>
      <c r="M1140" s="809"/>
      <c r="N1140" s="809"/>
      <c r="O1140" s="809"/>
      <c r="P1140" s="809"/>
      <c r="Q1140" s="809"/>
      <c r="R1140" s="809"/>
      <c r="S1140" s="809"/>
      <c r="T1140" s="809"/>
      <c r="U1140" s="809"/>
      <c r="V1140" s="809"/>
      <c r="W1140" s="809"/>
      <c r="X1140" s="809"/>
      <c r="Y1140" s="809"/>
      <c r="Z1140" s="809"/>
      <c r="AA1140" s="809"/>
      <c r="AB1140" s="809"/>
      <c r="AC1140" s="809"/>
      <c r="AD1140" s="809"/>
      <c r="AE1140" s="809"/>
      <c r="AF1140" s="809"/>
      <c r="AG1140" s="809"/>
      <c r="AH1140" s="809"/>
      <c r="AI1140" s="809"/>
      <c r="AJ1140" s="809"/>
      <c r="AK1140" s="809"/>
      <c r="AL1140" s="809"/>
      <c r="AM1140" s="809"/>
      <c r="AN1140" s="809"/>
      <c r="AO1140" s="809"/>
      <c r="AP1140" s="809"/>
      <c r="AQ1140" s="809"/>
      <c r="AR1140" s="809"/>
      <c r="AS1140" s="809"/>
      <c r="AT1140" s="809"/>
      <c r="AU1140" s="809"/>
      <c r="AV1140" s="809"/>
      <c r="AW1140" s="809"/>
      <c r="AX1140" s="809"/>
      <c r="AY1140" s="809"/>
      <c r="AZ1140" s="809"/>
      <c r="BA1140" s="809"/>
      <c r="BB1140" s="809"/>
      <c r="BC1140" s="809"/>
      <c r="BD1140" s="809"/>
      <c r="BE1140" s="809"/>
      <c r="BF1140" s="809"/>
      <c r="BG1140" s="809"/>
      <c r="BH1140" s="809"/>
      <c r="BI1140" s="809"/>
      <c r="BJ1140" s="809"/>
      <c r="BK1140" s="809"/>
      <c r="BL1140" s="809"/>
      <c r="BM1140" s="809"/>
      <c r="BN1140" s="809"/>
    </row>
    <row r="1141" spans="1:66">
      <c r="A1141" s="809"/>
      <c r="B1141" s="809"/>
      <c r="C1141" s="809"/>
      <c r="D1141" s="809"/>
      <c r="E1141" s="809"/>
      <c r="F1141" s="809"/>
      <c r="G1141" s="809"/>
      <c r="H1141" s="809"/>
      <c r="I1141" s="809"/>
      <c r="J1141" s="809"/>
      <c r="K1141" s="809"/>
      <c r="L1141" s="809"/>
      <c r="M1141" s="809"/>
      <c r="N1141" s="809"/>
      <c r="O1141" s="809"/>
      <c r="P1141" s="809"/>
      <c r="Q1141" s="809"/>
      <c r="R1141" s="809"/>
      <c r="S1141" s="809"/>
      <c r="T1141" s="809"/>
      <c r="U1141" s="809"/>
      <c r="V1141" s="809"/>
      <c r="W1141" s="809"/>
      <c r="X1141" s="809"/>
      <c r="Y1141" s="809"/>
      <c r="Z1141" s="809"/>
      <c r="AA1141" s="809"/>
      <c r="AB1141" s="809"/>
      <c r="AC1141" s="809"/>
      <c r="AD1141" s="809"/>
      <c r="AE1141" s="809"/>
      <c r="AF1141" s="809"/>
      <c r="AG1141" s="809"/>
      <c r="AH1141" s="809"/>
      <c r="AI1141" s="809"/>
      <c r="AJ1141" s="809"/>
      <c r="AK1141" s="809"/>
      <c r="AL1141" s="809"/>
      <c r="AM1141" s="809"/>
      <c r="AN1141" s="809"/>
      <c r="AO1141" s="809"/>
      <c r="AP1141" s="809"/>
      <c r="AQ1141" s="809"/>
      <c r="AR1141" s="809"/>
      <c r="AS1141" s="809"/>
      <c r="AT1141" s="809"/>
      <c r="AU1141" s="809"/>
      <c r="AV1141" s="809"/>
      <c r="AW1141" s="809"/>
      <c r="AX1141" s="809"/>
      <c r="AY1141" s="809"/>
      <c r="AZ1141" s="809"/>
      <c r="BA1141" s="809"/>
      <c r="BB1141" s="809"/>
      <c r="BC1141" s="809"/>
      <c r="BD1141" s="809"/>
      <c r="BE1141" s="809"/>
      <c r="BF1141" s="809"/>
      <c r="BG1141" s="809"/>
      <c r="BH1141" s="809"/>
      <c r="BI1141" s="809"/>
      <c r="BJ1141" s="809"/>
      <c r="BK1141" s="809"/>
      <c r="BL1141" s="809"/>
      <c r="BM1141" s="809"/>
      <c r="BN1141" s="809"/>
    </row>
    <row r="1142" spans="1:66">
      <c r="A1142" s="809"/>
      <c r="B1142" s="809"/>
      <c r="C1142" s="809"/>
      <c r="D1142" s="809"/>
      <c r="E1142" s="809"/>
      <c r="F1142" s="809"/>
      <c r="G1142" s="809"/>
      <c r="H1142" s="809"/>
      <c r="I1142" s="809"/>
      <c r="J1142" s="809"/>
      <c r="K1142" s="809"/>
      <c r="L1142" s="809"/>
      <c r="M1142" s="809"/>
      <c r="N1142" s="809"/>
      <c r="O1142" s="809"/>
      <c r="P1142" s="809"/>
      <c r="Q1142" s="809"/>
      <c r="R1142" s="809"/>
      <c r="S1142" s="809"/>
      <c r="T1142" s="809"/>
      <c r="U1142" s="809"/>
      <c r="V1142" s="809"/>
      <c r="W1142" s="809"/>
      <c r="X1142" s="809"/>
      <c r="Y1142" s="809"/>
      <c r="Z1142" s="809"/>
      <c r="AA1142" s="809"/>
      <c r="AB1142" s="809"/>
      <c r="AC1142" s="809"/>
      <c r="AD1142" s="809"/>
      <c r="AE1142" s="809"/>
      <c r="AF1142" s="809"/>
      <c r="AG1142" s="809"/>
      <c r="AH1142" s="809"/>
      <c r="AI1142" s="809"/>
      <c r="AJ1142" s="809"/>
      <c r="AK1142" s="809"/>
      <c r="AL1142" s="809"/>
      <c r="AM1142" s="809"/>
      <c r="AN1142" s="809"/>
      <c r="AO1142" s="809"/>
      <c r="AP1142" s="809"/>
      <c r="AQ1142" s="809"/>
      <c r="AR1142" s="809"/>
      <c r="AS1142" s="809"/>
      <c r="AT1142" s="809"/>
      <c r="AU1142" s="809"/>
      <c r="AV1142" s="809"/>
      <c r="AW1142" s="809"/>
      <c r="AX1142" s="809"/>
      <c r="AY1142" s="809"/>
      <c r="AZ1142" s="809"/>
      <c r="BA1142" s="809"/>
      <c r="BB1142" s="809"/>
      <c r="BC1142" s="809"/>
      <c r="BD1142" s="809"/>
      <c r="BE1142" s="809"/>
      <c r="BF1142" s="809"/>
      <c r="BG1142" s="809"/>
      <c r="BH1142" s="809"/>
      <c r="BI1142" s="809"/>
      <c r="BJ1142" s="809"/>
      <c r="BK1142" s="809"/>
      <c r="BL1142" s="809"/>
      <c r="BM1142" s="809"/>
      <c r="BN1142" s="809"/>
    </row>
    <row r="1143" spans="1:66">
      <c r="A1143" s="809"/>
      <c r="B1143" s="809"/>
      <c r="C1143" s="809"/>
      <c r="D1143" s="809"/>
      <c r="E1143" s="809"/>
      <c r="F1143" s="809"/>
      <c r="G1143" s="809"/>
      <c r="H1143" s="809"/>
      <c r="I1143" s="809"/>
      <c r="J1143" s="809"/>
      <c r="K1143" s="809"/>
      <c r="L1143" s="809"/>
      <c r="M1143" s="809"/>
      <c r="N1143" s="809"/>
      <c r="O1143" s="809"/>
      <c r="P1143" s="809"/>
      <c r="Q1143" s="809"/>
      <c r="R1143" s="809"/>
      <c r="S1143" s="809"/>
      <c r="T1143" s="809"/>
      <c r="U1143" s="809"/>
      <c r="V1143" s="809"/>
      <c r="W1143" s="809"/>
      <c r="X1143" s="809"/>
      <c r="Y1143" s="809"/>
      <c r="Z1143" s="809"/>
      <c r="AA1143" s="809"/>
      <c r="AB1143" s="809"/>
      <c r="AC1143" s="809"/>
      <c r="AD1143" s="809"/>
      <c r="AE1143" s="809"/>
      <c r="AF1143" s="809"/>
      <c r="AG1143" s="809"/>
      <c r="AH1143" s="809"/>
      <c r="AI1143" s="809"/>
      <c r="AJ1143" s="809"/>
      <c r="AK1143" s="809"/>
      <c r="AL1143" s="809"/>
      <c r="AM1143" s="809"/>
      <c r="AN1143" s="809"/>
      <c r="AO1143" s="809"/>
      <c r="AP1143" s="809"/>
      <c r="AQ1143" s="809"/>
      <c r="AR1143" s="809"/>
      <c r="AS1143" s="809"/>
      <c r="AT1143" s="809"/>
      <c r="AU1143" s="809"/>
      <c r="AV1143" s="809"/>
      <c r="AW1143" s="809"/>
      <c r="AX1143" s="809"/>
      <c r="AY1143" s="809"/>
      <c r="AZ1143" s="809"/>
      <c r="BA1143" s="809"/>
      <c r="BB1143" s="809"/>
      <c r="BC1143" s="809"/>
      <c r="BD1143" s="809"/>
      <c r="BE1143" s="809"/>
      <c r="BF1143" s="809"/>
      <c r="BG1143" s="809"/>
      <c r="BH1143" s="809"/>
      <c r="BI1143" s="809"/>
      <c r="BJ1143" s="809"/>
      <c r="BK1143" s="809"/>
      <c r="BL1143" s="809"/>
      <c r="BM1143" s="809"/>
      <c r="BN1143" s="809"/>
    </row>
    <row r="1144" spans="1:66">
      <c r="A1144" s="809"/>
      <c r="B1144" s="809"/>
      <c r="C1144" s="809"/>
      <c r="D1144" s="809"/>
      <c r="E1144" s="809"/>
      <c r="F1144" s="809"/>
      <c r="G1144" s="809"/>
      <c r="H1144" s="809"/>
      <c r="I1144" s="809"/>
      <c r="J1144" s="809"/>
      <c r="K1144" s="809"/>
      <c r="L1144" s="809"/>
      <c r="M1144" s="809"/>
      <c r="N1144" s="809"/>
      <c r="O1144" s="809"/>
      <c r="P1144" s="809"/>
      <c r="Q1144" s="809"/>
      <c r="R1144" s="809"/>
      <c r="S1144" s="809"/>
      <c r="T1144" s="809"/>
      <c r="U1144" s="809"/>
      <c r="V1144" s="809"/>
      <c r="W1144" s="809"/>
      <c r="X1144" s="809"/>
      <c r="Y1144" s="809"/>
      <c r="Z1144" s="809"/>
      <c r="AA1144" s="809"/>
      <c r="AB1144" s="809"/>
      <c r="AC1144" s="809"/>
      <c r="AD1144" s="809"/>
      <c r="AE1144" s="809"/>
      <c r="AF1144" s="809"/>
      <c r="AG1144" s="809"/>
      <c r="AH1144" s="809"/>
      <c r="AI1144" s="809"/>
      <c r="AJ1144" s="809"/>
      <c r="AK1144" s="809"/>
      <c r="AL1144" s="809"/>
      <c r="AM1144" s="809"/>
      <c r="AN1144" s="809"/>
      <c r="AO1144" s="809"/>
      <c r="AP1144" s="809"/>
      <c r="AQ1144" s="809"/>
      <c r="AR1144" s="809"/>
      <c r="AS1144" s="809"/>
      <c r="AT1144" s="809"/>
      <c r="AU1144" s="809"/>
      <c r="AV1144" s="809"/>
      <c r="AW1144" s="809"/>
      <c r="AX1144" s="809"/>
      <c r="AY1144" s="809"/>
      <c r="AZ1144" s="809"/>
      <c r="BA1144" s="809"/>
      <c r="BB1144" s="809"/>
      <c r="BC1144" s="809"/>
      <c r="BD1144" s="809"/>
      <c r="BE1144" s="809"/>
      <c r="BF1144" s="809"/>
      <c r="BG1144" s="809"/>
      <c r="BH1144" s="809"/>
      <c r="BI1144" s="809"/>
      <c r="BJ1144" s="809"/>
      <c r="BK1144" s="809"/>
      <c r="BL1144" s="809"/>
      <c r="BM1144" s="809"/>
      <c r="BN1144" s="809"/>
    </row>
    <row r="1145" spans="1:66">
      <c r="A1145" s="809"/>
      <c r="B1145" s="809"/>
      <c r="C1145" s="809"/>
      <c r="D1145" s="809"/>
      <c r="E1145" s="809"/>
      <c r="F1145" s="809"/>
      <c r="G1145" s="809"/>
      <c r="H1145" s="809"/>
      <c r="I1145" s="809"/>
      <c r="J1145" s="809"/>
      <c r="K1145" s="809"/>
      <c r="L1145" s="809"/>
      <c r="M1145" s="809"/>
      <c r="N1145" s="809"/>
      <c r="O1145" s="809"/>
      <c r="P1145" s="809"/>
      <c r="Q1145" s="809"/>
      <c r="R1145" s="809"/>
      <c r="S1145" s="809"/>
      <c r="T1145" s="809"/>
      <c r="U1145" s="809"/>
      <c r="V1145" s="809"/>
      <c r="W1145" s="809"/>
      <c r="X1145" s="809"/>
      <c r="Y1145" s="809"/>
      <c r="Z1145" s="809"/>
      <c r="AA1145" s="809"/>
      <c r="AB1145" s="809"/>
      <c r="AC1145" s="809"/>
      <c r="AD1145" s="809"/>
      <c r="AE1145" s="809"/>
      <c r="AF1145" s="809"/>
      <c r="AG1145" s="809"/>
      <c r="AH1145" s="809"/>
      <c r="AI1145" s="809"/>
      <c r="AJ1145" s="809"/>
      <c r="AK1145" s="809"/>
      <c r="AL1145" s="809"/>
      <c r="AM1145" s="809"/>
      <c r="AN1145" s="809"/>
      <c r="AO1145" s="809"/>
      <c r="AP1145" s="809"/>
      <c r="AQ1145" s="809"/>
      <c r="AR1145" s="809"/>
      <c r="AS1145" s="809"/>
      <c r="AT1145" s="809"/>
      <c r="AU1145" s="809"/>
      <c r="AV1145" s="809"/>
      <c r="AW1145" s="809"/>
      <c r="AX1145" s="809"/>
      <c r="AY1145" s="809"/>
      <c r="AZ1145" s="809"/>
      <c r="BA1145" s="809"/>
      <c r="BB1145" s="809"/>
      <c r="BC1145" s="809"/>
      <c r="BD1145" s="809"/>
      <c r="BE1145" s="809"/>
      <c r="BF1145" s="809"/>
      <c r="BG1145" s="809"/>
      <c r="BH1145" s="809"/>
      <c r="BI1145" s="809"/>
      <c r="BJ1145" s="809"/>
      <c r="BK1145" s="809"/>
      <c r="BL1145" s="809"/>
      <c r="BM1145" s="809"/>
      <c r="BN1145" s="809"/>
    </row>
    <row r="1146" spans="1:66">
      <c r="A1146" s="809"/>
      <c r="B1146" s="809"/>
      <c r="C1146" s="809"/>
      <c r="D1146" s="809"/>
      <c r="E1146" s="809"/>
      <c r="F1146" s="809"/>
      <c r="G1146" s="809"/>
      <c r="H1146" s="809"/>
      <c r="I1146" s="809"/>
      <c r="J1146" s="809"/>
      <c r="K1146" s="809"/>
      <c r="L1146" s="809"/>
      <c r="M1146" s="809"/>
      <c r="N1146" s="809"/>
      <c r="O1146" s="809"/>
      <c r="P1146" s="809"/>
      <c r="Q1146" s="809"/>
      <c r="R1146" s="809"/>
      <c r="S1146" s="809"/>
      <c r="T1146" s="809"/>
      <c r="U1146" s="809"/>
      <c r="V1146" s="809"/>
      <c r="W1146" s="809"/>
      <c r="X1146" s="809"/>
      <c r="Y1146" s="809"/>
      <c r="Z1146" s="809"/>
      <c r="AA1146" s="809"/>
      <c r="AB1146" s="809"/>
      <c r="AC1146" s="809"/>
      <c r="AD1146" s="809"/>
      <c r="AE1146" s="809"/>
      <c r="AF1146" s="809"/>
      <c r="AG1146" s="809"/>
      <c r="AH1146" s="809"/>
      <c r="AI1146" s="809"/>
      <c r="AJ1146" s="809"/>
      <c r="AK1146" s="809"/>
      <c r="AL1146" s="809"/>
      <c r="AM1146" s="809"/>
      <c r="AN1146" s="809"/>
      <c r="AO1146" s="809"/>
      <c r="AP1146" s="809"/>
      <c r="AQ1146" s="809"/>
      <c r="AR1146" s="809"/>
      <c r="AS1146" s="809"/>
      <c r="AT1146" s="809"/>
      <c r="AU1146" s="809"/>
      <c r="AV1146" s="809"/>
      <c r="AW1146" s="809"/>
      <c r="AX1146" s="809"/>
      <c r="AY1146" s="809"/>
      <c r="AZ1146" s="809"/>
      <c r="BA1146" s="809"/>
      <c r="BB1146" s="809"/>
      <c r="BC1146" s="809"/>
      <c r="BD1146" s="809"/>
      <c r="BE1146" s="809"/>
      <c r="BF1146" s="809"/>
      <c r="BG1146" s="809"/>
      <c r="BH1146" s="809"/>
      <c r="BI1146" s="809"/>
      <c r="BJ1146" s="809"/>
      <c r="BK1146" s="809"/>
      <c r="BL1146" s="809"/>
      <c r="BM1146" s="809"/>
      <c r="BN1146" s="809"/>
    </row>
    <row r="1147" spans="1:66">
      <c r="A1147" s="809"/>
      <c r="B1147" s="809"/>
      <c r="C1147" s="809"/>
      <c r="D1147" s="809"/>
      <c r="E1147" s="809"/>
      <c r="F1147" s="809"/>
      <c r="G1147" s="809"/>
      <c r="H1147" s="809"/>
      <c r="I1147" s="809"/>
      <c r="J1147" s="809"/>
      <c r="K1147" s="809"/>
      <c r="L1147" s="809"/>
      <c r="M1147" s="809"/>
      <c r="N1147" s="809"/>
      <c r="O1147" s="809"/>
      <c r="P1147" s="809"/>
      <c r="Q1147" s="809"/>
      <c r="R1147" s="809"/>
      <c r="S1147" s="809"/>
      <c r="T1147" s="809"/>
      <c r="U1147" s="809"/>
      <c r="V1147" s="809"/>
      <c r="W1147" s="809"/>
      <c r="X1147" s="809"/>
      <c r="Y1147" s="809"/>
      <c r="Z1147" s="809"/>
      <c r="AA1147" s="809"/>
      <c r="AB1147" s="809"/>
      <c r="AC1147" s="809"/>
      <c r="AD1147" s="809"/>
      <c r="AE1147" s="809"/>
      <c r="AF1147" s="809"/>
      <c r="AG1147" s="809"/>
      <c r="AH1147" s="809"/>
      <c r="AI1147" s="809"/>
      <c r="AJ1147" s="809"/>
      <c r="AK1147" s="809"/>
      <c r="AL1147" s="809"/>
      <c r="AM1147" s="809"/>
      <c r="AN1147" s="809"/>
      <c r="AO1147" s="809"/>
      <c r="AP1147" s="809"/>
      <c r="AQ1147" s="809"/>
      <c r="AR1147" s="809"/>
      <c r="AS1147" s="809"/>
      <c r="AT1147" s="809"/>
      <c r="AU1147" s="809"/>
      <c r="AV1147" s="809"/>
      <c r="AW1147" s="809"/>
      <c r="AX1147" s="809"/>
      <c r="AY1147" s="809"/>
      <c r="AZ1147" s="809"/>
      <c r="BA1147" s="809"/>
      <c r="BB1147" s="809"/>
      <c r="BC1147" s="809"/>
      <c r="BD1147" s="809"/>
      <c r="BE1147" s="809"/>
      <c r="BF1147" s="809"/>
      <c r="BG1147" s="809"/>
      <c r="BH1147" s="809"/>
      <c r="BI1147" s="809"/>
      <c r="BJ1147" s="809"/>
      <c r="BK1147" s="809"/>
      <c r="BL1147" s="809"/>
      <c r="BM1147" s="809"/>
      <c r="BN1147" s="809"/>
    </row>
    <row r="1148" spans="1:66">
      <c r="A1148" s="809"/>
      <c r="B1148" s="809"/>
      <c r="C1148" s="809"/>
      <c r="D1148" s="809"/>
      <c r="E1148" s="809"/>
      <c r="F1148" s="809"/>
      <c r="G1148" s="809"/>
      <c r="H1148" s="809"/>
      <c r="I1148" s="809"/>
      <c r="J1148" s="809"/>
      <c r="K1148" s="809"/>
      <c r="L1148" s="809"/>
      <c r="M1148" s="809"/>
      <c r="N1148" s="809"/>
      <c r="O1148" s="809"/>
      <c r="P1148" s="809"/>
      <c r="Q1148" s="809"/>
      <c r="R1148" s="809"/>
      <c r="S1148" s="809"/>
      <c r="T1148" s="809"/>
      <c r="U1148" s="809"/>
      <c r="V1148" s="809"/>
      <c r="W1148" s="809"/>
      <c r="X1148" s="809"/>
      <c r="Y1148" s="809"/>
      <c r="Z1148" s="809"/>
      <c r="AA1148" s="809"/>
      <c r="AB1148" s="809"/>
      <c r="AC1148" s="809"/>
      <c r="AD1148" s="809"/>
      <c r="AE1148" s="809"/>
      <c r="AF1148" s="809"/>
      <c r="AG1148" s="809"/>
      <c r="AH1148" s="809"/>
      <c r="AI1148" s="809"/>
      <c r="AJ1148" s="809"/>
      <c r="AK1148" s="809"/>
      <c r="AL1148" s="809"/>
      <c r="AM1148" s="809"/>
      <c r="AN1148" s="809"/>
      <c r="AO1148" s="809"/>
      <c r="AP1148" s="809"/>
      <c r="AQ1148" s="809"/>
      <c r="AR1148" s="809"/>
      <c r="AS1148" s="809"/>
      <c r="AT1148" s="809"/>
      <c r="AU1148" s="809"/>
      <c r="AV1148" s="809"/>
      <c r="AW1148" s="809"/>
      <c r="AX1148" s="809"/>
      <c r="AY1148" s="809"/>
      <c r="AZ1148" s="809"/>
      <c r="BA1148" s="809"/>
      <c r="BB1148" s="809"/>
      <c r="BC1148" s="809"/>
      <c r="BD1148" s="809"/>
      <c r="BE1148" s="809"/>
      <c r="BF1148" s="809"/>
      <c r="BG1148" s="809"/>
      <c r="BH1148" s="809"/>
      <c r="BI1148" s="809"/>
      <c r="BJ1148" s="809"/>
      <c r="BK1148" s="809"/>
      <c r="BL1148" s="809"/>
      <c r="BM1148" s="809"/>
      <c r="BN1148" s="809"/>
    </row>
    <row r="1149" spans="1:66">
      <c r="A1149" s="809"/>
      <c r="B1149" s="809"/>
      <c r="C1149" s="809"/>
      <c r="D1149" s="809"/>
      <c r="E1149" s="809"/>
      <c r="F1149" s="809"/>
      <c r="G1149" s="809"/>
      <c r="H1149" s="809"/>
      <c r="I1149" s="809"/>
      <c r="J1149" s="809"/>
      <c r="K1149" s="809"/>
      <c r="L1149" s="809"/>
      <c r="M1149" s="809"/>
      <c r="N1149" s="809"/>
      <c r="O1149" s="809"/>
      <c r="P1149" s="809"/>
      <c r="Q1149" s="809"/>
      <c r="R1149" s="809"/>
      <c r="S1149" s="809"/>
      <c r="T1149" s="809"/>
      <c r="U1149" s="809"/>
      <c r="V1149" s="809"/>
      <c r="W1149" s="809"/>
      <c r="X1149" s="809"/>
      <c r="Y1149" s="809"/>
      <c r="Z1149" s="809"/>
      <c r="AA1149" s="809"/>
      <c r="AB1149" s="809"/>
      <c r="AC1149" s="809"/>
      <c r="AD1149" s="809"/>
      <c r="AE1149" s="809"/>
      <c r="AF1149" s="809"/>
      <c r="AG1149" s="809"/>
      <c r="AH1149" s="809"/>
      <c r="AI1149" s="809"/>
      <c r="AJ1149" s="809"/>
      <c r="AK1149" s="809"/>
      <c r="AL1149" s="809"/>
      <c r="AM1149" s="809"/>
      <c r="AN1149" s="809"/>
      <c r="AO1149" s="809"/>
      <c r="AP1149" s="809"/>
      <c r="AQ1149" s="809"/>
      <c r="AR1149" s="809"/>
      <c r="AS1149" s="809"/>
      <c r="AT1149" s="809"/>
      <c r="AU1149" s="809"/>
      <c r="AV1149" s="809"/>
      <c r="AW1149" s="809"/>
      <c r="AX1149" s="809"/>
      <c r="AY1149" s="809"/>
      <c r="AZ1149" s="809"/>
      <c r="BA1149" s="809"/>
      <c r="BB1149" s="809"/>
      <c r="BC1149" s="809"/>
      <c r="BD1149" s="809"/>
      <c r="BE1149" s="809"/>
      <c r="BF1149" s="809"/>
      <c r="BG1149" s="809"/>
      <c r="BH1149" s="809"/>
      <c r="BI1149" s="809"/>
      <c r="BJ1149" s="809"/>
      <c r="BK1149" s="809"/>
      <c r="BL1149" s="809"/>
      <c r="BM1149" s="809"/>
      <c r="BN1149" s="809"/>
    </row>
    <row r="1150" spans="1:66">
      <c r="A1150" s="809"/>
      <c r="B1150" s="809"/>
      <c r="C1150" s="809"/>
      <c r="D1150" s="809"/>
      <c r="E1150" s="809"/>
      <c r="F1150" s="809"/>
      <c r="G1150" s="809"/>
      <c r="H1150" s="809"/>
      <c r="I1150" s="809"/>
      <c r="J1150" s="809"/>
      <c r="K1150" s="809"/>
      <c r="L1150" s="809"/>
      <c r="M1150" s="809"/>
      <c r="N1150" s="809"/>
      <c r="O1150" s="809"/>
      <c r="P1150" s="809"/>
      <c r="Q1150" s="809"/>
      <c r="R1150" s="809"/>
      <c r="S1150" s="809"/>
      <c r="T1150" s="809"/>
      <c r="U1150" s="809"/>
      <c r="V1150" s="809"/>
      <c r="W1150" s="809"/>
      <c r="X1150" s="809"/>
      <c r="Y1150" s="809"/>
      <c r="Z1150" s="809"/>
      <c r="AA1150" s="809"/>
      <c r="AB1150" s="809"/>
      <c r="AC1150" s="809"/>
      <c r="AD1150" s="809"/>
      <c r="AE1150" s="809"/>
      <c r="AF1150" s="809"/>
      <c r="AG1150" s="809"/>
      <c r="AH1150" s="809"/>
      <c r="AI1150" s="809"/>
      <c r="AJ1150" s="809"/>
      <c r="AK1150" s="809"/>
      <c r="AL1150" s="809"/>
      <c r="AM1150" s="809"/>
      <c r="AN1150" s="809"/>
      <c r="AO1150" s="809"/>
      <c r="AP1150" s="809"/>
      <c r="AQ1150" s="809"/>
      <c r="AR1150" s="809"/>
      <c r="AS1150" s="809"/>
      <c r="AT1150" s="809"/>
      <c r="AU1150" s="809"/>
      <c r="AV1150" s="809"/>
      <c r="AW1150" s="809"/>
      <c r="AX1150" s="809"/>
      <c r="AY1150" s="809"/>
      <c r="AZ1150" s="809"/>
      <c r="BA1150" s="809"/>
      <c r="BB1150" s="809"/>
      <c r="BC1150" s="809"/>
      <c r="BD1150" s="809"/>
      <c r="BE1150" s="809"/>
      <c r="BF1150" s="809"/>
      <c r="BG1150" s="809"/>
      <c r="BH1150" s="809"/>
      <c r="BI1150" s="809"/>
      <c r="BJ1150" s="809"/>
      <c r="BK1150" s="809"/>
      <c r="BL1150" s="809"/>
      <c r="BM1150" s="809"/>
      <c r="BN1150" s="809"/>
    </row>
    <row r="1151" spans="1:66">
      <c r="A1151" s="809"/>
      <c r="B1151" s="809"/>
      <c r="C1151" s="809"/>
      <c r="D1151" s="809"/>
      <c r="E1151" s="809"/>
      <c r="F1151" s="809"/>
      <c r="G1151" s="809"/>
      <c r="H1151" s="809"/>
      <c r="I1151" s="809"/>
      <c r="J1151" s="809"/>
      <c r="K1151" s="809"/>
      <c r="L1151" s="809"/>
      <c r="M1151" s="809"/>
      <c r="N1151" s="809"/>
      <c r="O1151" s="809"/>
      <c r="P1151" s="809"/>
      <c r="Q1151" s="809"/>
      <c r="R1151" s="809"/>
      <c r="S1151" s="809"/>
      <c r="T1151" s="809"/>
      <c r="U1151" s="809"/>
      <c r="V1151" s="809"/>
      <c r="W1151" s="809"/>
      <c r="X1151" s="809"/>
      <c r="Y1151" s="809"/>
      <c r="Z1151" s="809"/>
      <c r="AA1151" s="809"/>
      <c r="AB1151" s="809"/>
      <c r="AC1151" s="809"/>
      <c r="AD1151" s="809"/>
      <c r="AE1151" s="809"/>
      <c r="AF1151" s="809"/>
      <c r="AG1151" s="809"/>
      <c r="AH1151" s="809"/>
      <c r="AI1151" s="809"/>
      <c r="AJ1151" s="809"/>
      <c r="AK1151" s="809"/>
      <c r="AL1151" s="809"/>
      <c r="AM1151" s="809"/>
      <c r="AN1151" s="809"/>
      <c r="AO1151" s="809"/>
      <c r="AP1151" s="809"/>
      <c r="AQ1151" s="809"/>
      <c r="AR1151" s="809"/>
      <c r="AS1151" s="809"/>
      <c r="AT1151" s="809"/>
      <c r="AU1151" s="809"/>
      <c r="AV1151" s="809"/>
      <c r="AW1151" s="809"/>
      <c r="AX1151" s="809"/>
      <c r="AY1151" s="809"/>
      <c r="AZ1151" s="809"/>
      <c r="BA1151" s="809"/>
      <c r="BB1151" s="809"/>
      <c r="BC1151" s="809"/>
      <c r="BD1151" s="809"/>
      <c r="BE1151" s="809"/>
      <c r="BF1151" s="809"/>
      <c r="BG1151" s="809"/>
      <c r="BH1151" s="809"/>
      <c r="BI1151" s="809"/>
      <c r="BJ1151" s="809"/>
      <c r="BK1151" s="809"/>
      <c r="BL1151" s="809"/>
      <c r="BM1151" s="809"/>
      <c r="BN1151" s="809"/>
    </row>
    <row r="1152" spans="1:66">
      <c r="A1152" s="809"/>
      <c r="B1152" s="809"/>
      <c r="C1152" s="809"/>
      <c r="D1152" s="809"/>
      <c r="E1152" s="809"/>
      <c r="F1152" s="809"/>
      <c r="G1152" s="809"/>
      <c r="H1152" s="809"/>
      <c r="I1152" s="809"/>
      <c r="J1152" s="809"/>
      <c r="K1152" s="809"/>
      <c r="L1152" s="809"/>
      <c r="M1152" s="809"/>
      <c r="N1152" s="809"/>
      <c r="O1152" s="809"/>
      <c r="P1152" s="809"/>
      <c r="Q1152" s="809"/>
      <c r="R1152" s="809"/>
      <c r="S1152" s="809"/>
      <c r="T1152" s="809"/>
      <c r="U1152" s="809"/>
      <c r="V1152" s="809"/>
      <c r="W1152" s="809"/>
      <c r="X1152" s="809"/>
      <c r="Y1152" s="809"/>
      <c r="Z1152" s="809"/>
      <c r="AA1152" s="809"/>
      <c r="AB1152" s="809"/>
      <c r="AC1152" s="809"/>
      <c r="AD1152" s="809"/>
      <c r="AE1152" s="809"/>
      <c r="AF1152" s="809"/>
      <c r="AG1152" s="809"/>
      <c r="AH1152" s="809"/>
      <c r="AI1152" s="809"/>
      <c r="AJ1152" s="809"/>
      <c r="AK1152" s="809"/>
      <c r="AL1152" s="809"/>
      <c r="AM1152" s="809"/>
      <c r="AN1152" s="809"/>
      <c r="AO1152" s="809"/>
      <c r="AP1152" s="809"/>
      <c r="AQ1152" s="809"/>
      <c r="AR1152" s="809"/>
      <c r="AS1152" s="809"/>
      <c r="AT1152" s="809"/>
      <c r="AU1152" s="809"/>
      <c r="AV1152" s="809"/>
      <c r="AW1152" s="809"/>
      <c r="AX1152" s="809"/>
      <c r="AY1152" s="809"/>
      <c r="AZ1152" s="809"/>
      <c r="BA1152" s="809"/>
      <c r="BB1152" s="809"/>
      <c r="BC1152" s="809"/>
      <c r="BD1152" s="809"/>
      <c r="BE1152" s="809"/>
      <c r="BF1152" s="809"/>
      <c r="BG1152" s="809"/>
      <c r="BH1152" s="809"/>
      <c r="BI1152" s="809"/>
      <c r="BJ1152" s="809"/>
      <c r="BK1152" s="809"/>
      <c r="BL1152" s="809"/>
      <c r="BM1152" s="809"/>
      <c r="BN1152" s="809"/>
    </row>
    <row r="1153" spans="1:66">
      <c r="A1153" s="809"/>
      <c r="B1153" s="809"/>
      <c r="C1153" s="809"/>
      <c r="D1153" s="809"/>
      <c r="E1153" s="809"/>
      <c r="F1153" s="809"/>
      <c r="G1153" s="809"/>
      <c r="H1153" s="809"/>
      <c r="I1153" s="809"/>
      <c r="J1153" s="809"/>
      <c r="K1153" s="809"/>
      <c r="L1153" s="809"/>
      <c r="M1153" s="809"/>
      <c r="N1153" s="809"/>
      <c r="O1153" s="809"/>
      <c r="P1153" s="809"/>
      <c r="Q1153" s="809"/>
      <c r="R1153" s="809"/>
      <c r="S1153" s="809"/>
      <c r="T1153" s="809"/>
      <c r="U1153" s="809"/>
      <c r="V1153" s="809"/>
      <c r="W1153" s="809"/>
      <c r="X1153" s="809"/>
      <c r="Y1153" s="809"/>
      <c r="Z1153" s="809"/>
      <c r="AA1153" s="809"/>
      <c r="AB1153" s="809"/>
      <c r="AC1153" s="809"/>
      <c r="AD1153" s="809"/>
      <c r="AE1153" s="809"/>
      <c r="AF1153" s="809"/>
      <c r="AG1153" s="809"/>
      <c r="AH1153" s="809"/>
      <c r="AI1153" s="809"/>
      <c r="AJ1153" s="809"/>
      <c r="AK1153" s="809"/>
      <c r="AL1153" s="809"/>
      <c r="AM1153" s="809"/>
      <c r="AN1153" s="809"/>
      <c r="AO1153" s="809"/>
      <c r="AP1153" s="809"/>
      <c r="AQ1153" s="809"/>
      <c r="AR1153" s="809"/>
      <c r="AS1153" s="809"/>
      <c r="AT1153" s="809"/>
      <c r="AU1153" s="809"/>
      <c r="AV1153" s="809"/>
      <c r="AW1153" s="809"/>
      <c r="AX1153" s="809"/>
      <c r="AY1153" s="809"/>
      <c r="AZ1153" s="809"/>
      <c r="BA1153" s="809"/>
      <c r="BB1153" s="809"/>
      <c r="BC1153" s="809"/>
      <c r="BD1153" s="809"/>
      <c r="BE1153" s="809"/>
      <c r="BF1153" s="809"/>
      <c r="BG1153" s="809"/>
      <c r="BH1153" s="809"/>
      <c r="BI1153" s="809"/>
      <c r="BJ1153" s="809"/>
      <c r="BK1153" s="809"/>
      <c r="BL1153" s="809"/>
      <c r="BM1153" s="809"/>
      <c r="BN1153" s="809"/>
    </row>
    <row r="1154" spans="1:66">
      <c r="A1154" s="809"/>
      <c r="B1154" s="809"/>
      <c r="C1154" s="809"/>
      <c r="D1154" s="809"/>
      <c r="E1154" s="809"/>
      <c r="F1154" s="809"/>
      <c r="G1154" s="809"/>
      <c r="H1154" s="809"/>
      <c r="I1154" s="809"/>
      <c r="J1154" s="809"/>
      <c r="K1154" s="809"/>
      <c r="L1154" s="809"/>
      <c r="M1154" s="809"/>
      <c r="N1154" s="809"/>
      <c r="O1154" s="809"/>
      <c r="P1154" s="809"/>
      <c r="Q1154" s="809"/>
      <c r="R1154" s="809"/>
      <c r="S1154" s="809"/>
      <c r="T1154" s="809"/>
      <c r="U1154" s="809"/>
      <c r="V1154" s="809"/>
      <c r="W1154" s="809"/>
      <c r="X1154" s="809"/>
      <c r="Y1154" s="809"/>
      <c r="Z1154" s="809"/>
      <c r="AA1154" s="809"/>
      <c r="AB1154" s="809"/>
      <c r="AC1154" s="809"/>
      <c r="AD1154" s="809"/>
      <c r="AE1154" s="809"/>
      <c r="AF1154" s="809"/>
      <c r="AG1154" s="809"/>
      <c r="AH1154" s="809"/>
      <c r="AI1154" s="809"/>
      <c r="AJ1154" s="809"/>
      <c r="AK1154" s="809"/>
      <c r="AL1154" s="809"/>
      <c r="AM1154" s="809"/>
      <c r="AN1154" s="809"/>
      <c r="AO1154" s="809"/>
      <c r="AP1154" s="809"/>
      <c r="AQ1154" s="809"/>
      <c r="AR1154" s="809"/>
      <c r="AS1154" s="809"/>
      <c r="AT1154" s="809"/>
      <c r="AU1154" s="809"/>
      <c r="AV1154" s="809"/>
      <c r="AW1154" s="809"/>
      <c r="AX1154" s="809"/>
      <c r="AY1154" s="809"/>
      <c r="AZ1154" s="809"/>
      <c r="BA1154" s="809"/>
      <c r="BB1154" s="809"/>
      <c r="BC1154" s="809"/>
      <c r="BD1154" s="809"/>
      <c r="BE1154" s="809"/>
      <c r="BF1154" s="809"/>
      <c r="BG1154" s="809"/>
      <c r="BH1154" s="809"/>
      <c r="BI1154" s="809"/>
      <c r="BJ1154" s="809"/>
      <c r="BK1154" s="809"/>
      <c r="BL1154" s="809"/>
      <c r="BM1154" s="809"/>
      <c r="BN1154" s="809"/>
    </row>
    <row r="1155" spans="1:66">
      <c r="A1155" s="809"/>
      <c r="B1155" s="809"/>
      <c r="C1155" s="809"/>
      <c r="D1155" s="809"/>
      <c r="E1155" s="809"/>
      <c r="F1155" s="809"/>
      <c r="G1155" s="809"/>
      <c r="H1155" s="809"/>
      <c r="I1155" s="809"/>
      <c r="J1155" s="809"/>
      <c r="K1155" s="809"/>
      <c r="L1155" s="809"/>
      <c r="M1155" s="809"/>
      <c r="N1155" s="809"/>
      <c r="O1155" s="809"/>
      <c r="P1155" s="809"/>
      <c r="Q1155" s="809"/>
      <c r="R1155" s="809"/>
      <c r="S1155" s="809"/>
      <c r="T1155" s="809"/>
      <c r="U1155" s="809"/>
      <c r="V1155" s="809"/>
      <c r="W1155" s="809"/>
      <c r="X1155" s="809"/>
      <c r="Y1155" s="809"/>
      <c r="Z1155" s="809"/>
      <c r="AA1155" s="809"/>
      <c r="AB1155" s="809"/>
      <c r="AC1155" s="809"/>
      <c r="AD1155" s="809"/>
      <c r="AE1155" s="809"/>
      <c r="AF1155" s="809"/>
      <c r="AG1155" s="809"/>
      <c r="AH1155" s="809"/>
      <c r="AI1155" s="809"/>
      <c r="AJ1155" s="809"/>
      <c r="AK1155" s="809"/>
      <c r="AL1155" s="809"/>
      <c r="AM1155" s="809"/>
      <c r="AN1155" s="809"/>
      <c r="AO1155" s="809"/>
      <c r="AP1155" s="809"/>
      <c r="AQ1155" s="809"/>
      <c r="AR1155" s="809"/>
      <c r="AS1155" s="809"/>
      <c r="AT1155" s="809"/>
      <c r="AU1155" s="809"/>
      <c r="AV1155" s="809"/>
      <c r="AW1155" s="809"/>
      <c r="AX1155" s="809"/>
      <c r="AY1155" s="809"/>
      <c r="AZ1155" s="809"/>
      <c r="BA1155" s="809"/>
      <c r="BB1155" s="809"/>
      <c r="BC1155" s="809"/>
      <c r="BD1155" s="809"/>
      <c r="BE1155" s="809"/>
      <c r="BF1155" s="809"/>
      <c r="BG1155" s="809"/>
      <c r="BH1155" s="809"/>
      <c r="BI1155" s="809"/>
      <c r="BJ1155" s="809"/>
      <c r="BK1155" s="809"/>
      <c r="BL1155" s="809"/>
      <c r="BM1155" s="809"/>
      <c r="BN1155" s="809"/>
    </row>
    <row r="1156" spans="1:66">
      <c r="A1156" s="809"/>
      <c r="B1156" s="809"/>
      <c r="C1156" s="809"/>
      <c r="D1156" s="809"/>
      <c r="E1156" s="809"/>
      <c r="F1156" s="809"/>
      <c r="G1156" s="809"/>
      <c r="H1156" s="809"/>
      <c r="I1156" s="809"/>
      <c r="J1156" s="809"/>
      <c r="K1156" s="809"/>
      <c r="L1156" s="809"/>
      <c r="M1156" s="809"/>
      <c r="N1156" s="809"/>
      <c r="O1156" s="809"/>
      <c r="P1156" s="809"/>
      <c r="Q1156" s="809"/>
      <c r="R1156" s="809"/>
      <c r="S1156" s="809"/>
      <c r="T1156" s="809"/>
      <c r="U1156" s="809"/>
      <c r="V1156" s="809"/>
      <c r="W1156" s="809"/>
      <c r="X1156" s="809"/>
      <c r="Y1156" s="809"/>
      <c r="Z1156" s="809"/>
      <c r="AA1156" s="809"/>
      <c r="AB1156" s="809"/>
      <c r="AC1156" s="809"/>
      <c r="AD1156" s="809"/>
      <c r="AE1156" s="809"/>
      <c r="AF1156" s="809"/>
      <c r="AG1156" s="809"/>
      <c r="AH1156" s="809"/>
      <c r="AI1156" s="809"/>
      <c r="AJ1156" s="809"/>
      <c r="AK1156" s="809"/>
      <c r="AL1156" s="809"/>
      <c r="AM1156" s="809"/>
      <c r="AN1156" s="809"/>
      <c r="AO1156" s="809"/>
      <c r="AP1156" s="809"/>
      <c r="AQ1156" s="809"/>
      <c r="AR1156" s="809"/>
      <c r="AS1156" s="809"/>
      <c r="AT1156" s="809"/>
      <c r="AU1156" s="809"/>
      <c r="AV1156" s="809"/>
      <c r="AW1156" s="809"/>
      <c r="AX1156" s="809"/>
      <c r="AY1156" s="809"/>
      <c r="AZ1156" s="809"/>
      <c r="BA1156" s="809"/>
      <c r="BB1156" s="809"/>
      <c r="BC1156" s="809"/>
      <c r="BD1156" s="809"/>
      <c r="BE1156" s="809"/>
      <c r="BF1156" s="809"/>
      <c r="BG1156" s="809"/>
      <c r="BH1156" s="809"/>
      <c r="BI1156" s="809"/>
      <c r="BJ1156" s="809"/>
      <c r="BK1156" s="809"/>
      <c r="BL1156" s="809"/>
      <c r="BM1156" s="809"/>
      <c r="BN1156" s="809"/>
    </row>
    <row r="1157" spans="1:66">
      <c r="A1157" s="809"/>
      <c r="B1157" s="809"/>
      <c r="C1157" s="809"/>
      <c r="D1157" s="809"/>
      <c r="E1157" s="809"/>
      <c r="F1157" s="809"/>
      <c r="G1157" s="809"/>
      <c r="H1157" s="809"/>
      <c r="I1157" s="809"/>
      <c r="J1157" s="809"/>
      <c r="K1157" s="809"/>
      <c r="L1157" s="809"/>
      <c r="M1157" s="809"/>
      <c r="N1157" s="809"/>
      <c r="O1157" s="809"/>
      <c r="P1157" s="809"/>
      <c r="Q1157" s="809"/>
      <c r="R1157" s="809"/>
      <c r="S1157" s="809"/>
      <c r="T1157" s="809"/>
      <c r="U1157" s="809"/>
      <c r="V1157" s="809"/>
      <c r="W1157" s="809"/>
      <c r="X1157" s="809"/>
      <c r="Y1157" s="809"/>
      <c r="Z1157" s="809"/>
      <c r="AA1157" s="809"/>
      <c r="AB1157" s="809"/>
      <c r="AC1157" s="809"/>
      <c r="AD1157" s="809"/>
      <c r="AE1157" s="809"/>
      <c r="AF1157" s="809"/>
      <c r="AG1157" s="809"/>
      <c r="AH1157" s="809"/>
      <c r="AI1157" s="809"/>
      <c r="AJ1157" s="809"/>
      <c r="AK1157" s="809"/>
      <c r="AL1157" s="809"/>
      <c r="AM1157" s="809"/>
      <c r="AN1157" s="809"/>
      <c r="AO1157" s="809"/>
      <c r="AP1157" s="809"/>
      <c r="AQ1157" s="809"/>
      <c r="AR1157" s="809"/>
      <c r="AS1157" s="809"/>
      <c r="AT1157" s="809"/>
      <c r="AU1157" s="809"/>
      <c r="AV1157" s="809"/>
      <c r="AW1157" s="809"/>
      <c r="AX1157" s="809"/>
      <c r="AY1157" s="809"/>
      <c r="AZ1157" s="809"/>
      <c r="BA1157" s="809"/>
      <c r="BB1157" s="809"/>
      <c r="BC1157" s="809"/>
      <c r="BD1157" s="809"/>
      <c r="BE1157" s="809"/>
      <c r="BF1157" s="809"/>
      <c r="BG1157" s="809"/>
      <c r="BH1157" s="809"/>
      <c r="BI1157" s="809"/>
      <c r="BJ1157" s="809"/>
      <c r="BK1157" s="809"/>
      <c r="BL1157" s="809"/>
      <c r="BM1157" s="809"/>
      <c r="BN1157" s="809"/>
    </row>
    <row r="1158" spans="1:66">
      <c r="A1158" s="809"/>
      <c r="B1158" s="809"/>
      <c r="C1158" s="809"/>
      <c r="D1158" s="809"/>
      <c r="E1158" s="809"/>
      <c r="F1158" s="809"/>
      <c r="G1158" s="809"/>
      <c r="H1158" s="809"/>
      <c r="I1158" s="809"/>
      <c r="J1158" s="809"/>
      <c r="K1158" s="809"/>
      <c r="L1158" s="809"/>
      <c r="M1158" s="809"/>
      <c r="N1158" s="809"/>
      <c r="O1158" s="809"/>
      <c r="P1158" s="809"/>
      <c r="Q1158" s="809"/>
      <c r="R1158" s="809"/>
      <c r="S1158" s="809"/>
      <c r="T1158" s="809"/>
      <c r="U1158" s="809"/>
      <c r="V1158" s="809"/>
      <c r="W1158" s="809"/>
      <c r="X1158" s="809"/>
      <c r="Y1158" s="809"/>
      <c r="Z1158" s="809"/>
      <c r="AA1158" s="809"/>
      <c r="AB1158" s="809"/>
      <c r="AC1158" s="809"/>
      <c r="AD1158" s="809"/>
      <c r="AE1158" s="809"/>
      <c r="AF1158" s="809"/>
      <c r="AG1158" s="809"/>
      <c r="AH1158" s="809"/>
      <c r="AI1158" s="809"/>
      <c r="AJ1158" s="809"/>
      <c r="AK1158" s="809"/>
      <c r="AL1158" s="809"/>
      <c r="AM1158" s="809"/>
      <c r="AN1158" s="809"/>
      <c r="AO1158" s="809"/>
      <c r="AP1158" s="809"/>
      <c r="AQ1158" s="809"/>
      <c r="AR1158" s="809"/>
      <c r="AS1158" s="809"/>
      <c r="AT1158" s="809"/>
      <c r="AU1158" s="809"/>
      <c r="AV1158" s="809"/>
      <c r="AW1158" s="809"/>
      <c r="AX1158" s="809"/>
      <c r="AY1158" s="809"/>
      <c r="AZ1158" s="809"/>
      <c r="BA1158" s="809"/>
      <c r="BB1158" s="809"/>
      <c r="BC1158" s="809"/>
      <c r="BD1158" s="809"/>
      <c r="BE1158" s="809"/>
      <c r="BF1158" s="809"/>
      <c r="BG1158" s="809"/>
      <c r="BH1158" s="809"/>
      <c r="BI1158" s="809"/>
      <c r="BJ1158" s="809"/>
      <c r="BK1158" s="809"/>
      <c r="BL1158" s="809"/>
      <c r="BM1158" s="809"/>
      <c r="BN1158" s="809"/>
    </row>
    <row r="1159" spans="1:66">
      <c r="A1159" s="809"/>
      <c r="B1159" s="809"/>
      <c r="C1159" s="809"/>
      <c r="D1159" s="809"/>
      <c r="E1159" s="809"/>
      <c r="F1159" s="809"/>
      <c r="G1159" s="809"/>
      <c r="H1159" s="809"/>
      <c r="I1159" s="809"/>
      <c r="J1159" s="809"/>
      <c r="K1159" s="809"/>
      <c r="L1159" s="809"/>
      <c r="M1159" s="809"/>
      <c r="N1159" s="809"/>
      <c r="O1159" s="809"/>
      <c r="P1159" s="809"/>
      <c r="Q1159" s="809"/>
      <c r="R1159" s="809"/>
      <c r="S1159" s="809"/>
      <c r="T1159" s="809"/>
      <c r="U1159" s="809"/>
      <c r="V1159" s="809"/>
      <c r="W1159" s="809"/>
      <c r="X1159" s="809"/>
      <c r="Y1159" s="809"/>
      <c r="Z1159" s="809"/>
      <c r="AA1159" s="809"/>
      <c r="AB1159" s="809"/>
      <c r="AC1159" s="809"/>
      <c r="AD1159" s="809"/>
      <c r="AE1159" s="809"/>
      <c r="AF1159" s="809"/>
      <c r="AG1159" s="809"/>
      <c r="AH1159" s="809"/>
      <c r="AI1159" s="809"/>
      <c r="AJ1159" s="809"/>
      <c r="AK1159" s="809"/>
      <c r="AL1159" s="809"/>
      <c r="AM1159" s="809"/>
      <c r="AN1159" s="809"/>
      <c r="AO1159" s="809"/>
      <c r="AP1159" s="809"/>
      <c r="AQ1159" s="809"/>
      <c r="AR1159" s="809"/>
      <c r="AS1159" s="809"/>
      <c r="AT1159" s="809"/>
      <c r="AU1159" s="809"/>
      <c r="AV1159" s="809"/>
      <c r="AW1159" s="809"/>
      <c r="AX1159" s="809"/>
      <c r="AY1159" s="809"/>
      <c r="AZ1159" s="809"/>
      <c r="BA1159" s="809"/>
      <c r="BB1159" s="809"/>
      <c r="BC1159" s="809"/>
      <c r="BD1159" s="809"/>
      <c r="BE1159" s="809"/>
      <c r="BF1159" s="809"/>
      <c r="BG1159" s="809"/>
      <c r="BH1159" s="809"/>
      <c r="BI1159" s="809"/>
      <c r="BJ1159" s="809"/>
      <c r="BK1159" s="809"/>
      <c r="BL1159" s="809"/>
      <c r="BM1159" s="809"/>
      <c r="BN1159" s="809"/>
    </row>
    <row r="1160" spans="1:66">
      <c r="A1160" s="809"/>
      <c r="B1160" s="809"/>
      <c r="C1160" s="809"/>
      <c r="D1160" s="809"/>
      <c r="E1160" s="809"/>
      <c r="F1160" s="809"/>
      <c r="G1160" s="809"/>
      <c r="H1160" s="809"/>
      <c r="I1160" s="809"/>
      <c r="J1160" s="809"/>
      <c r="K1160" s="809"/>
      <c r="L1160" s="809"/>
      <c r="M1160" s="809"/>
      <c r="N1160" s="809"/>
      <c r="O1160" s="809"/>
      <c r="P1160" s="809"/>
      <c r="Q1160" s="809"/>
      <c r="R1160" s="809"/>
      <c r="S1160" s="809"/>
      <c r="T1160" s="809"/>
      <c r="U1160" s="809"/>
      <c r="V1160" s="809"/>
      <c r="W1160" s="809"/>
      <c r="X1160" s="809"/>
      <c r="Y1160" s="809"/>
      <c r="Z1160" s="809"/>
      <c r="AA1160" s="809"/>
      <c r="AB1160" s="809"/>
      <c r="AC1160" s="809"/>
      <c r="AD1160" s="809"/>
      <c r="AE1160" s="809"/>
      <c r="AF1160" s="809"/>
      <c r="AG1160" s="809"/>
      <c r="AH1160" s="809"/>
      <c r="AI1160" s="809"/>
      <c r="AJ1160" s="809"/>
      <c r="AK1160" s="809"/>
      <c r="AL1160" s="809"/>
      <c r="AM1160" s="809"/>
      <c r="AN1160" s="809"/>
      <c r="AO1160" s="809"/>
      <c r="AP1160" s="809"/>
      <c r="AQ1160" s="809"/>
      <c r="AR1160" s="809"/>
      <c r="AS1160" s="809"/>
      <c r="AT1160" s="809"/>
      <c r="AU1160" s="809"/>
      <c r="AV1160" s="809"/>
      <c r="AW1160" s="809"/>
      <c r="AX1160" s="809"/>
      <c r="AY1160" s="809"/>
      <c r="AZ1160" s="809"/>
      <c r="BA1160" s="809"/>
      <c r="BB1160" s="809"/>
      <c r="BC1160" s="809"/>
      <c r="BD1160" s="809"/>
      <c r="BE1160" s="809"/>
      <c r="BF1160" s="809"/>
      <c r="BG1160" s="809"/>
      <c r="BH1160" s="809"/>
      <c r="BI1160" s="809"/>
      <c r="BJ1160" s="809"/>
      <c r="BK1160" s="809"/>
      <c r="BL1160" s="809"/>
      <c r="BM1160" s="809"/>
      <c r="BN1160" s="809"/>
    </row>
    <row r="1161" spans="1:66">
      <c r="A1161" s="809"/>
      <c r="B1161" s="809"/>
      <c r="C1161" s="809"/>
      <c r="D1161" s="809"/>
      <c r="E1161" s="809"/>
      <c r="F1161" s="809"/>
      <c r="G1161" s="809"/>
      <c r="H1161" s="809"/>
      <c r="I1161" s="809"/>
      <c r="J1161" s="809"/>
      <c r="K1161" s="809"/>
      <c r="L1161" s="809"/>
      <c r="M1161" s="809"/>
      <c r="N1161" s="809"/>
      <c r="O1161" s="809"/>
      <c r="P1161" s="809"/>
      <c r="Q1161" s="809"/>
      <c r="R1161" s="809"/>
      <c r="S1161" s="809"/>
      <c r="T1161" s="809"/>
      <c r="U1161" s="809"/>
      <c r="V1161" s="809"/>
      <c r="W1161" s="809"/>
      <c r="X1161" s="809"/>
      <c r="Y1161" s="809"/>
      <c r="Z1161" s="809"/>
      <c r="AA1161" s="809"/>
      <c r="AB1161" s="809"/>
      <c r="AC1161" s="809"/>
      <c r="AD1161" s="809"/>
      <c r="AE1161" s="809"/>
      <c r="AF1161" s="809"/>
      <c r="AG1161" s="809"/>
      <c r="AH1161" s="809"/>
      <c r="AI1161" s="809"/>
      <c r="AJ1161" s="809"/>
      <c r="AK1161" s="809"/>
      <c r="AL1161" s="809"/>
      <c r="AM1161" s="809"/>
      <c r="AN1161" s="809"/>
      <c r="AO1161" s="809"/>
      <c r="AP1161" s="809"/>
      <c r="AQ1161" s="809"/>
      <c r="AR1161" s="809"/>
      <c r="AS1161" s="809"/>
      <c r="AT1161" s="809"/>
      <c r="AU1161" s="809"/>
      <c r="AV1161" s="809"/>
      <c r="AW1161" s="809"/>
      <c r="AX1161" s="809"/>
      <c r="AY1161" s="809"/>
      <c r="AZ1161" s="809"/>
      <c r="BA1161" s="809"/>
      <c r="BB1161" s="809"/>
      <c r="BC1161" s="809"/>
      <c r="BD1161" s="809"/>
      <c r="BE1161" s="809"/>
      <c r="BF1161" s="809"/>
      <c r="BG1161" s="809"/>
      <c r="BH1161" s="809"/>
      <c r="BI1161" s="809"/>
      <c r="BJ1161" s="809"/>
      <c r="BK1161" s="809"/>
      <c r="BL1161" s="809"/>
      <c r="BM1161" s="809"/>
      <c r="BN1161" s="809"/>
    </row>
    <row r="1162" spans="1:66">
      <c r="A1162" s="809"/>
      <c r="B1162" s="809"/>
      <c r="C1162" s="809"/>
      <c r="D1162" s="809"/>
      <c r="E1162" s="809"/>
      <c r="F1162" s="809"/>
      <c r="G1162" s="809"/>
      <c r="H1162" s="809"/>
      <c r="I1162" s="809"/>
      <c r="J1162" s="809"/>
      <c r="K1162" s="809"/>
      <c r="L1162" s="809"/>
      <c r="M1162" s="809"/>
      <c r="N1162" s="809"/>
      <c r="O1162" s="809"/>
      <c r="P1162" s="809"/>
      <c r="Q1162" s="809"/>
      <c r="R1162" s="809"/>
      <c r="S1162" s="809"/>
      <c r="T1162" s="809"/>
      <c r="U1162" s="809"/>
      <c r="V1162" s="809"/>
      <c r="W1162" s="809"/>
      <c r="X1162" s="809"/>
      <c r="Y1162" s="809"/>
      <c r="Z1162" s="809"/>
      <c r="AA1162" s="809"/>
      <c r="AB1162" s="809"/>
      <c r="AC1162" s="809"/>
      <c r="AD1162" s="809"/>
      <c r="AE1162" s="809"/>
      <c r="AF1162" s="809"/>
      <c r="AG1162" s="809"/>
      <c r="AH1162" s="809"/>
      <c r="AI1162" s="809"/>
      <c r="AJ1162" s="809"/>
      <c r="AK1162" s="809"/>
      <c r="AL1162" s="809"/>
      <c r="AM1162" s="809"/>
      <c r="AN1162" s="809"/>
      <c r="AO1162" s="809"/>
      <c r="AP1162" s="809"/>
      <c r="AQ1162" s="809"/>
      <c r="AR1162" s="809"/>
      <c r="AS1162" s="809"/>
      <c r="AT1162" s="809"/>
      <c r="AU1162" s="809"/>
      <c r="AV1162" s="809"/>
      <c r="AW1162" s="809"/>
      <c r="AX1162" s="809"/>
      <c r="AY1162" s="809"/>
      <c r="AZ1162" s="809"/>
      <c r="BA1162" s="809"/>
      <c r="BB1162" s="809"/>
      <c r="BC1162" s="809"/>
      <c r="BD1162" s="809"/>
      <c r="BE1162" s="809"/>
      <c r="BF1162" s="809"/>
      <c r="BG1162" s="809"/>
      <c r="BH1162" s="809"/>
      <c r="BI1162" s="809"/>
      <c r="BJ1162" s="809"/>
      <c r="BK1162" s="809"/>
      <c r="BL1162" s="809"/>
      <c r="BM1162" s="809"/>
      <c r="BN1162" s="809"/>
    </row>
    <row r="1163" spans="1:66">
      <c r="A1163" s="809"/>
      <c r="B1163" s="809"/>
      <c r="C1163" s="809"/>
      <c r="D1163" s="809"/>
      <c r="E1163" s="809"/>
      <c r="F1163" s="809"/>
      <c r="G1163" s="809"/>
      <c r="H1163" s="809"/>
      <c r="I1163" s="809"/>
      <c r="J1163" s="809"/>
      <c r="K1163" s="809"/>
      <c r="L1163" s="809"/>
      <c r="M1163" s="809"/>
      <c r="N1163" s="809"/>
      <c r="O1163" s="809"/>
      <c r="P1163" s="809"/>
      <c r="Q1163" s="809"/>
      <c r="R1163" s="809"/>
      <c r="S1163" s="809"/>
      <c r="T1163" s="809"/>
      <c r="U1163" s="809"/>
      <c r="V1163" s="809"/>
      <c r="W1163" s="809"/>
      <c r="X1163" s="809"/>
      <c r="Y1163" s="809"/>
      <c r="Z1163" s="809"/>
      <c r="AA1163" s="809"/>
      <c r="AB1163" s="809"/>
      <c r="AC1163" s="809"/>
      <c r="AD1163" s="809"/>
      <c r="AE1163" s="809"/>
      <c r="AF1163" s="809"/>
      <c r="AG1163" s="809"/>
      <c r="AH1163" s="809"/>
      <c r="AI1163" s="809"/>
      <c r="AJ1163" s="809"/>
      <c r="AK1163" s="809"/>
      <c r="AL1163" s="809"/>
      <c r="AM1163" s="809"/>
      <c r="AN1163" s="809"/>
      <c r="AO1163" s="809"/>
      <c r="AP1163" s="809"/>
      <c r="AQ1163" s="809"/>
      <c r="AR1163" s="809"/>
      <c r="AS1163" s="809"/>
      <c r="AT1163" s="809"/>
      <c r="AU1163" s="809"/>
      <c r="AV1163" s="809"/>
      <c r="AW1163" s="809"/>
      <c r="AX1163" s="809"/>
      <c r="AY1163" s="809"/>
      <c r="AZ1163" s="809"/>
      <c r="BA1163" s="809"/>
      <c r="BB1163" s="809"/>
      <c r="BC1163" s="809"/>
      <c r="BD1163" s="809"/>
      <c r="BE1163" s="809"/>
      <c r="BF1163" s="809"/>
      <c r="BG1163" s="809"/>
      <c r="BH1163" s="809"/>
      <c r="BI1163" s="809"/>
      <c r="BJ1163" s="809"/>
      <c r="BK1163" s="809"/>
      <c r="BL1163" s="809"/>
      <c r="BM1163" s="809"/>
      <c r="BN1163" s="809"/>
    </row>
    <row r="1164" spans="1:66">
      <c r="A1164" s="809"/>
      <c r="B1164" s="809"/>
      <c r="C1164" s="809"/>
      <c r="D1164" s="809"/>
      <c r="E1164" s="809"/>
      <c r="F1164" s="809"/>
      <c r="G1164" s="809"/>
      <c r="H1164" s="809"/>
      <c r="I1164" s="809"/>
      <c r="J1164" s="809"/>
      <c r="K1164" s="809"/>
      <c r="L1164" s="809"/>
      <c r="M1164" s="809"/>
      <c r="N1164" s="809"/>
      <c r="O1164" s="809"/>
      <c r="P1164" s="809"/>
      <c r="Q1164" s="809"/>
      <c r="R1164" s="809"/>
      <c r="S1164" s="809"/>
      <c r="T1164" s="809"/>
      <c r="U1164" s="809"/>
      <c r="V1164" s="809"/>
      <c r="W1164" s="809"/>
      <c r="X1164" s="809"/>
      <c r="Y1164" s="809"/>
      <c r="Z1164" s="809"/>
      <c r="AA1164" s="809"/>
      <c r="AB1164" s="809"/>
      <c r="AC1164" s="809"/>
      <c r="AD1164" s="809"/>
      <c r="AE1164" s="809"/>
      <c r="AF1164" s="809"/>
      <c r="AG1164" s="809"/>
      <c r="AH1164" s="809"/>
      <c r="AI1164" s="809"/>
      <c r="AJ1164" s="809"/>
      <c r="AK1164" s="809"/>
      <c r="AL1164" s="809"/>
      <c r="AM1164" s="809"/>
      <c r="AN1164" s="809"/>
      <c r="AO1164" s="809"/>
      <c r="AP1164" s="809"/>
      <c r="AQ1164" s="809"/>
      <c r="AR1164" s="809"/>
      <c r="AS1164" s="809"/>
      <c r="AT1164" s="809"/>
      <c r="AU1164" s="809"/>
      <c r="AV1164" s="809"/>
      <c r="AW1164" s="809"/>
      <c r="AX1164" s="809"/>
      <c r="AY1164" s="809"/>
      <c r="AZ1164" s="809"/>
      <c r="BA1164" s="809"/>
      <c r="BB1164" s="809"/>
      <c r="BC1164" s="809"/>
      <c r="BD1164" s="809"/>
      <c r="BE1164" s="809"/>
      <c r="BF1164" s="809"/>
      <c r="BG1164" s="809"/>
      <c r="BH1164" s="809"/>
      <c r="BI1164" s="809"/>
      <c r="BJ1164" s="809"/>
      <c r="BK1164" s="809"/>
      <c r="BL1164" s="809"/>
      <c r="BM1164" s="809"/>
      <c r="BN1164" s="809"/>
    </row>
    <row r="1165" spans="1:66">
      <c r="A1165" s="809"/>
      <c r="B1165" s="809"/>
      <c r="C1165" s="809"/>
      <c r="D1165" s="809"/>
      <c r="E1165" s="809"/>
      <c r="F1165" s="809"/>
      <c r="G1165" s="809"/>
      <c r="H1165" s="809"/>
      <c r="I1165" s="809"/>
      <c r="J1165" s="809"/>
      <c r="K1165" s="809"/>
      <c r="L1165" s="809"/>
      <c r="M1165" s="809"/>
      <c r="N1165" s="809"/>
      <c r="O1165" s="809"/>
      <c r="P1165" s="809"/>
      <c r="Q1165" s="809"/>
      <c r="R1165" s="809"/>
      <c r="S1165" s="809"/>
      <c r="T1165" s="809"/>
      <c r="U1165" s="809"/>
      <c r="V1165" s="809"/>
      <c r="W1165" s="809"/>
      <c r="X1165" s="809"/>
      <c r="Y1165" s="809"/>
      <c r="Z1165" s="809"/>
      <c r="AA1165" s="809"/>
      <c r="AB1165" s="809"/>
      <c r="AC1165" s="809"/>
      <c r="AD1165" s="809"/>
      <c r="AE1165" s="809"/>
      <c r="AF1165" s="809"/>
      <c r="AG1165" s="809"/>
      <c r="AH1165" s="809"/>
      <c r="AI1165" s="809"/>
      <c r="AJ1165" s="809"/>
      <c r="AK1165" s="809"/>
      <c r="AL1165" s="809"/>
      <c r="AM1165" s="809"/>
      <c r="AN1165" s="809"/>
      <c r="AO1165" s="809"/>
      <c r="AP1165" s="809"/>
      <c r="AQ1165" s="809"/>
      <c r="AR1165" s="809"/>
      <c r="AS1165" s="809"/>
      <c r="AT1165" s="809"/>
      <c r="AU1165" s="809"/>
      <c r="AV1165" s="809"/>
      <c r="AW1165" s="809"/>
      <c r="AX1165" s="809"/>
      <c r="AY1165" s="809"/>
      <c r="AZ1165" s="809"/>
      <c r="BA1165" s="809"/>
      <c r="BB1165" s="809"/>
      <c r="BC1165" s="809"/>
      <c r="BD1165" s="809"/>
      <c r="BE1165" s="809"/>
      <c r="BF1165" s="809"/>
      <c r="BG1165" s="809"/>
      <c r="BH1165" s="809"/>
      <c r="BI1165" s="809"/>
      <c r="BJ1165" s="809"/>
      <c r="BK1165" s="809"/>
      <c r="BL1165" s="809"/>
      <c r="BM1165" s="809"/>
      <c r="BN1165" s="809"/>
    </row>
    <row r="1166" spans="1:66">
      <c r="A1166" s="809"/>
      <c r="B1166" s="809"/>
      <c r="C1166" s="809"/>
      <c r="D1166" s="809"/>
      <c r="E1166" s="809"/>
      <c r="F1166" s="809"/>
      <c r="G1166" s="809"/>
      <c r="H1166" s="809"/>
      <c r="I1166" s="809"/>
      <c r="J1166" s="809"/>
      <c r="K1166" s="809"/>
      <c r="L1166" s="809"/>
      <c r="M1166" s="809"/>
      <c r="N1166" s="809"/>
      <c r="O1166" s="809"/>
      <c r="P1166" s="809"/>
      <c r="Q1166" s="809"/>
      <c r="R1166" s="809"/>
      <c r="S1166" s="809"/>
      <c r="T1166" s="809"/>
      <c r="U1166" s="809"/>
      <c r="V1166" s="809"/>
      <c r="W1166" s="809"/>
      <c r="X1166" s="809"/>
      <c r="Y1166" s="809"/>
      <c r="Z1166" s="809"/>
      <c r="AA1166" s="809"/>
      <c r="AB1166" s="809"/>
      <c r="AC1166" s="809"/>
      <c r="AD1166" s="809"/>
      <c r="AE1166" s="809"/>
      <c r="AF1166" s="809"/>
      <c r="AG1166" s="809"/>
      <c r="AH1166" s="809"/>
      <c r="AI1166" s="809"/>
      <c r="AJ1166" s="809"/>
      <c r="AK1166" s="809"/>
      <c r="AL1166" s="809"/>
      <c r="AM1166" s="809"/>
      <c r="AN1166" s="809"/>
      <c r="AO1166" s="809"/>
      <c r="AP1166" s="809"/>
      <c r="AQ1166" s="809"/>
      <c r="AR1166" s="809"/>
      <c r="AS1166" s="809"/>
      <c r="AT1166" s="809"/>
      <c r="AU1166" s="809"/>
      <c r="AV1166" s="809"/>
      <c r="AW1166" s="809"/>
      <c r="AX1166" s="809"/>
      <c r="AY1166" s="809"/>
      <c r="AZ1166" s="809"/>
      <c r="BA1166" s="809"/>
      <c r="BB1166" s="809"/>
      <c r="BC1166" s="809"/>
      <c r="BD1166" s="809"/>
      <c r="BE1166" s="809"/>
      <c r="BF1166" s="809"/>
      <c r="BG1166" s="809"/>
      <c r="BH1166" s="809"/>
      <c r="BI1166" s="809"/>
      <c r="BJ1166" s="809"/>
      <c r="BK1166" s="809"/>
      <c r="BL1166" s="809"/>
      <c r="BM1166" s="809"/>
      <c r="BN1166" s="809"/>
    </row>
    <row r="1167" spans="1:66">
      <c r="A1167" s="809"/>
      <c r="B1167" s="809"/>
      <c r="C1167" s="809"/>
      <c r="D1167" s="809"/>
      <c r="E1167" s="809"/>
      <c r="F1167" s="809"/>
      <c r="G1167" s="809"/>
      <c r="H1167" s="809"/>
      <c r="I1167" s="809"/>
      <c r="J1167" s="809"/>
      <c r="K1167" s="809"/>
      <c r="L1167" s="809"/>
      <c r="M1167" s="809"/>
      <c r="N1167" s="809"/>
      <c r="O1167" s="809"/>
      <c r="P1167" s="809"/>
      <c r="Q1167" s="809"/>
      <c r="R1167" s="809"/>
      <c r="S1167" s="809"/>
      <c r="T1167" s="809"/>
      <c r="U1167" s="809"/>
      <c r="V1167" s="809"/>
      <c r="W1167" s="809"/>
      <c r="X1167" s="809"/>
      <c r="Y1167" s="809"/>
      <c r="Z1167" s="809"/>
      <c r="AA1167" s="809"/>
      <c r="AB1167" s="809"/>
      <c r="AC1167" s="809"/>
      <c r="AD1167" s="809"/>
      <c r="AE1167" s="809"/>
      <c r="AF1167" s="809"/>
      <c r="AG1167" s="809"/>
      <c r="AH1167" s="809"/>
      <c r="AI1167" s="809"/>
      <c r="AJ1167" s="809"/>
      <c r="AK1167" s="809"/>
      <c r="AL1167" s="809"/>
      <c r="AM1167" s="809"/>
      <c r="AN1167" s="809"/>
      <c r="AO1167" s="809"/>
      <c r="AP1167" s="809"/>
      <c r="AQ1167" s="809"/>
      <c r="AR1167" s="809"/>
      <c r="AS1167" s="809"/>
      <c r="AT1167" s="809"/>
      <c r="AU1167" s="809"/>
      <c r="AV1167" s="809"/>
      <c r="AW1167" s="809"/>
      <c r="AX1167" s="809"/>
      <c r="AY1167" s="809"/>
      <c r="AZ1167" s="809"/>
      <c r="BA1167" s="809"/>
      <c r="BB1167" s="809"/>
      <c r="BC1167" s="809"/>
      <c r="BD1167" s="809"/>
      <c r="BE1167" s="809"/>
      <c r="BF1167" s="809"/>
      <c r="BG1167" s="809"/>
      <c r="BH1167" s="809"/>
      <c r="BI1167" s="809"/>
      <c r="BJ1167" s="809"/>
      <c r="BK1167" s="809"/>
      <c r="BL1167" s="809"/>
      <c r="BM1167" s="809"/>
      <c r="BN1167" s="809"/>
    </row>
    <row r="1168" spans="1:66">
      <c r="A1168" s="809"/>
      <c r="B1168" s="809"/>
      <c r="C1168" s="809"/>
      <c r="D1168" s="809"/>
      <c r="E1168" s="809"/>
      <c r="F1168" s="809"/>
      <c r="G1168" s="809"/>
      <c r="H1168" s="809"/>
      <c r="I1168" s="809"/>
      <c r="J1168" s="809"/>
      <c r="K1168" s="809"/>
      <c r="L1168" s="809"/>
      <c r="M1168" s="809"/>
      <c r="N1168" s="809"/>
      <c r="O1168" s="809"/>
      <c r="P1168" s="809"/>
      <c r="Q1168" s="809"/>
      <c r="R1168" s="809"/>
      <c r="S1168" s="809"/>
      <c r="T1168" s="809"/>
      <c r="U1168" s="809"/>
      <c r="V1168" s="809"/>
      <c r="W1168" s="809"/>
      <c r="X1168" s="809"/>
      <c r="Y1168" s="809"/>
      <c r="Z1168" s="809"/>
      <c r="AA1168" s="809"/>
      <c r="AB1168" s="809"/>
      <c r="AC1168" s="809"/>
      <c r="AD1168" s="809"/>
      <c r="AE1168" s="809"/>
      <c r="AF1168" s="809"/>
      <c r="AG1168" s="809"/>
      <c r="AH1168" s="809"/>
      <c r="AI1168" s="809"/>
      <c r="AJ1168" s="809"/>
      <c r="AK1168" s="809"/>
      <c r="AL1168" s="809"/>
      <c r="AM1168" s="809"/>
      <c r="AN1168" s="809"/>
      <c r="AO1168" s="809"/>
      <c r="AP1168" s="809"/>
      <c r="AQ1168" s="809"/>
      <c r="AR1168" s="809"/>
      <c r="AS1168" s="809"/>
      <c r="AT1168" s="809"/>
      <c r="AU1168" s="809"/>
      <c r="AV1168" s="809"/>
      <c r="AW1168" s="809"/>
      <c r="AX1168" s="809"/>
      <c r="AY1168" s="809"/>
      <c r="AZ1168" s="809"/>
      <c r="BA1168" s="809"/>
      <c r="BB1168" s="809"/>
      <c r="BC1168" s="809"/>
      <c r="BD1168" s="809"/>
      <c r="BE1168" s="809"/>
      <c r="BF1168" s="809"/>
      <c r="BG1168" s="809"/>
      <c r="BH1168" s="809"/>
      <c r="BI1168" s="809"/>
      <c r="BJ1168" s="809"/>
      <c r="BK1168" s="809"/>
      <c r="BL1168" s="809"/>
      <c r="BM1168" s="809"/>
      <c r="BN1168" s="809"/>
    </row>
    <row r="1169" spans="1:66">
      <c r="A1169" s="809"/>
      <c r="B1169" s="809"/>
      <c r="C1169" s="809"/>
      <c r="D1169" s="809"/>
      <c r="E1169" s="809"/>
      <c r="F1169" s="809"/>
      <c r="G1169" s="809"/>
      <c r="H1169" s="809"/>
      <c r="I1169" s="809"/>
      <c r="J1169" s="809"/>
      <c r="K1169" s="809"/>
      <c r="L1169" s="809"/>
      <c r="M1169" s="809"/>
      <c r="N1169" s="809"/>
      <c r="O1169" s="809"/>
      <c r="P1169" s="809"/>
      <c r="Q1169" s="809"/>
      <c r="R1169" s="809"/>
      <c r="S1169" s="809"/>
      <c r="T1169" s="809"/>
      <c r="U1169" s="809"/>
      <c r="V1169" s="809"/>
      <c r="W1169" s="809"/>
      <c r="X1169" s="809"/>
      <c r="Y1169" s="809"/>
      <c r="Z1169" s="809"/>
      <c r="AA1169" s="809"/>
      <c r="AB1169" s="809"/>
      <c r="AC1169" s="809"/>
      <c r="AD1169" s="809"/>
      <c r="AE1169" s="809"/>
      <c r="AF1169" s="809"/>
      <c r="AG1169" s="809"/>
      <c r="AH1169" s="809"/>
      <c r="AI1169" s="809"/>
      <c r="AJ1169" s="809"/>
      <c r="AK1169" s="809"/>
      <c r="AL1169" s="809"/>
      <c r="AM1169" s="809"/>
      <c r="AN1169" s="809"/>
      <c r="AO1169" s="809"/>
      <c r="AP1169" s="809"/>
      <c r="AQ1169" s="809"/>
      <c r="AR1169" s="809"/>
      <c r="AS1169" s="809"/>
      <c r="AT1169" s="809"/>
      <c r="AU1169" s="809"/>
      <c r="AV1169" s="809"/>
      <c r="AW1169" s="809"/>
      <c r="AX1169" s="809"/>
      <c r="AY1169" s="809"/>
      <c r="AZ1169" s="809"/>
      <c r="BA1169" s="809"/>
      <c r="BB1169" s="809"/>
      <c r="BC1169" s="809"/>
      <c r="BD1169" s="809"/>
      <c r="BE1169" s="809"/>
      <c r="BF1169" s="809"/>
      <c r="BG1169" s="809"/>
      <c r="BH1169" s="809"/>
      <c r="BI1169" s="809"/>
      <c r="BJ1169" s="809"/>
      <c r="BK1169" s="809"/>
      <c r="BL1169" s="809"/>
      <c r="BM1169" s="809"/>
      <c r="BN1169" s="809"/>
    </row>
    <row r="1170" spans="1:66">
      <c r="A1170" s="809"/>
      <c r="B1170" s="809"/>
      <c r="C1170" s="809"/>
      <c r="D1170" s="809"/>
      <c r="E1170" s="809"/>
      <c r="F1170" s="809"/>
      <c r="G1170" s="809"/>
      <c r="H1170" s="809"/>
      <c r="I1170" s="809"/>
      <c r="J1170" s="809"/>
      <c r="K1170" s="809"/>
      <c r="L1170" s="809"/>
      <c r="M1170" s="809"/>
      <c r="N1170" s="809"/>
      <c r="O1170" s="809"/>
      <c r="P1170" s="809"/>
      <c r="Q1170" s="809"/>
      <c r="R1170" s="809"/>
      <c r="S1170" s="809"/>
      <c r="T1170" s="809"/>
      <c r="U1170" s="809"/>
      <c r="V1170" s="809"/>
      <c r="W1170" s="809"/>
      <c r="X1170" s="809"/>
      <c r="Y1170" s="809"/>
      <c r="Z1170" s="809"/>
      <c r="AA1170" s="809"/>
      <c r="AB1170" s="809"/>
      <c r="AC1170" s="809"/>
      <c r="AD1170" s="809"/>
      <c r="AE1170" s="809"/>
      <c r="AF1170" s="809"/>
      <c r="AG1170" s="809"/>
      <c r="AH1170" s="809"/>
      <c r="AI1170" s="809"/>
      <c r="AJ1170" s="809"/>
      <c r="AK1170" s="809"/>
      <c r="AL1170" s="809"/>
      <c r="AM1170" s="809"/>
      <c r="AN1170" s="809"/>
      <c r="AO1170" s="809"/>
      <c r="AP1170" s="809"/>
      <c r="AQ1170" s="809"/>
      <c r="AR1170" s="809"/>
      <c r="AS1170" s="809"/>
      <c r="AT1170" s="809"/>
      <c r="AU1170" s="809"/>
      <c r="AV1170" s="809"/>
      <c r="AW1170" s="809"/>
      <c r="AX1170" s="809"/>
      <c r="AY1170" s="809"/>
      <c r="AZ1170" s="809"/>
      <c r="BA1170" s="809"/>
      <c r="BB1170" s="809"/>
      <c r="BC1170" s="809"/>
      <c r="BD1170" s="809"/>
      <c r="BE1170" s="809"/>
      <c r="BF1170" s="809"/>
      <c r="BG1170" s="809"/>
      <c r="BH1170" s="809"/>
      <c r="BI1170" s="809"/>
      <c r="BJ1170" s="809"/>
      <c r="BK1170" s="809"/>
      <c r="BL1170" s="809"/>
      <c r="BM1170" s="809"/>
      <c r="BN1170" s="809"/>
    </row>
    <row r="1171" spans="1:66">
      <c r="A1171" s="809"/>
      <c r="B1171" s="809"/>
      <c r="C1171" s="809"/>
      <c r="D1171" s="809"/>
      <c r="E1171" s="809"/>
      <c r="F1171" s="809"/>
      <c r="G1171" s="809"/>
      <c r="H1171" s="809"/>
      <c r="I1171" s="809"/>
      <c r="J1171" s="809"/>
      <c r="K1171" s="809"/>
      <c r="L1171" s="809"/>
      <c r="M1171" s="809"/>
      <c r="N1171" s="809"/>
      <c r="O1171" s="809"/>
      <c r="P1171" s="809"/>
      <c r="Q1171" s="809"/>
      <c r="R1171" s="809"/>
      <c r="S1171" s="809"/>
      <c r="T1171" s="809"/>
      <c r="U1171" s="809"/>
      <c r="V1171" s="809"/>
      <c r="W1171" s="809"/>
      <c r="X1171" s="809"/>
      <c r="Y1171" s="809"/>
      <c r="Z1171" s="809"/>
      <c r="AA1171" s="809"/>
      <c r="AB1171" s="809"/>
      <c r="AC1171" s="809"/>
      <c r="AD1171" s="809"/>
      <c r="AE1171" s="809"/>
      <c r="AF1171" s="809"/>
      <c r="AG1171" s="809"/>
      <c r="AH1171" s="809"/>
      <c r="AI1171" s="809"/>
      <c r="AJ1171" s="809"/>
      <c r="AK1171" s="809"/>
      <c r="AL1171" s="809"/>
      <c r="AM1171" s="809"/>
      <c r="AN1171" s="809"/>
      <c r="AO1171" s="809"/>
      <c r="AP1171" s="809"/>
      <c r="AQ1171" s="809"/>
      <c r="AR1171" s="809"/>
      <c r="AS1171" s="809"/>
      <c r="AT1171" s="809"/>
      <c r="AU1171" s="809"/>
      <c r="AV1171" s="809"/>
      <c r="AW1171" s="809"/>
      <c r="AX1171" s="809"/>
      <c r="AY1171" s="809"/>
      <c r="AZ1171" s="809"/>
      <c r="BA1171" s="809"/>
      <c r="BB1171" s="809"/>
      <c r="BC1171" s="809"/>
      <c r="BD1171" s="809"/>
      <c r="BE1171" s="809"/>
      <c r="BF1171" s="809"/>
      <c r="BG1171" s="809"/>
      <c r="BH1171" s="809"/>
      <c r="BI1171" s="809"/>
      <c r="BJ1171" s="809"/>
      <c r="BK1171" s="809"/>
      <c r="BL1171" s="809"/>
      <c r="BM1171" s="809"/>
      <c r="BN1171" s="809"/>
    </row>
    <row r="1172" spans="1:66">
      <c r="A1172" s="809"/>
      <c r="B1172" s="809"/>
      <c r="C1172" s="809"/>
      <c r="D1172" s="809"/>
      <c r="E1172" s="809"/>
      <c r="F1172" s="809"/>
      <c r="G1172" s="809"/>
      <c r="H1172" s="809"/>
      <c r="I1172" s="809"/>
      <c r="J1172" s="809"/>
      <c r="K1172" s="809"/>
      <c r="L1172" s="809"/>
      <c r="M1172" s="809"/>
      <c r="N1172" s="809"/>
      <c r="O1172" s="809"/>
      <c r="P1172" s="809"/>
      <c r="Q1172" s="809"/>
      <c r="R1172" s="809"/>
      <c r="S1172" s="809"/>
      <c r="T1172" s="809"/>
      <c r="U1172" s="809"/>
      <c r="V1172" s="809"/>
      <c r="W1172" s="809"/>
      <c r="X1172" s="809"/>
      <c r="Y1172" s="809"/>
      <c r="Z1172" s="809"/>
      <c r="AA1172" s="809"/>
      <c r="AB1172" s="809"/>
      <c r="AC1172" s="809"/>
      <c r="AD1172" s="809"/>
      <c r="AE1172" s="809"/>
      <c r="AF1172" s="809"/>
      <c r="AG1172" s="809"/>
      <c r="AH1172" s="809"/>
      <c r="AI1172" s="809"/>
      <c r="AJ1172" s="809"/>
      <c r="AK1172" s="809"/>
      <c r="AL1172" s="809"/>
      <c r="AM1172" s="809"/>
      <c r="AN1172" s="809"/>
      <c r="AO1172" s="809"/>
      <c r="AP1172" s="809"/>
      <c r="AQ1172" s="809"/>
      <c r="AR1172" s="809"/>
      <c r="AS1172" s="809"/>
      <c r="AT1172" s="809"/>
      <c r="AU1172" s="809"/>
      <c r="AV1172" s="809"/>
      <c r="AW1172" s="809"/>
      <c r="AX1172" s="809"/>
      <c r="AY1172" s="809"/>
      <c r="AZ1172" s="809"/>
      <c r="BA1172" s="809"/>
      <c r="BB1172" s="809"/>
      <c r="BC1172" s="809"/>
      <c r="BD1172" s="809"/>
      <c r="BE1172" s="809"/>
      <c r="BF1172" s="809"/>
      <c r="BG1172" s="809"/>
      <c r="BH1172" s="809"/>
      <c r="BI1172" s="809"/>
      <c r="BJ1172" s="809"/>
      <c r="BK1172" s="809"/>
      <c r="BL1172" s="809"/>
      <c r="BM1172" s="809"/>
      <c r="BN1172" s="809"/>
    </row>
    <row r="1173" spans="1:66">
      <c r="A1173" s="809"/>
      <c r="B1173" s="809"/>
      <c r="C1173" s="809"/>
      <c r="D1173" s="809"/>
      <c r="E1173" s="809"/>
      <c r="F1173" s="809"/>
      <c r="G1173" s="809"/>
      <c r="H1173" s="809"/>
      <c r="I1173" s="809"/>
      <c r="J1173" s="809"/>
      <c r="K1173" s="809"/>
      <c r="L1173" s="809"/>
      <c r="M1173" s="809"/>
      <c r="N1173" s="809"/>
      <c r="O1173" s="809"/>
      <c r="P1173" s="809"/>
      <c r="Q1173" s="809"/>
      <c r="R1173" s="809"/>
      <c r="S1173" s="809"/>
      <c r="T1173" s="809"/>
      <c r="U1173" s="809"/>
      <c r="V1173" s="809"/>
      <c r="W1173" s="809"/>
      <c r="X1173" s="809"/>
      <c r="Y1173" s="809"/>
      <c r="Z1173" s="809"/>
      <c r="AA1173" s="809"/>
      <c r="AB1173" s="809"/>
      <c r="AC1173" s="809"/>
      <c r="AD1173" s="809"/>
      <c r="AE1173" s="809"/>
      <c r="AF1173" s="809"/>
      <c r="AG1173" s="809"/>
      <c r="AH1173" s="809"/>
      <c r="AI1173" s="809"/>
      <c r="AJ1173" s="809"/>
      <c r="AK1173" s="809"/>
      <c r="AL1173" s="809"/>
      <c r="AM1173" s="809"/>
      <c r="AN1173" s="809"/>
      <c r="AO1173" s="809"/>
      <c r="AP1173" s="809"/>
      <c r="AQ1173" s="809"/>
      <c r="AR1173" s="809"/>
      <c r="AS1173" s="809"/>
      <c r="AT1173" s="809"/>
      <c r="AU1173" s="809"/>
      <c r="AV1173" s="809"/>
      <c r="AW1173" s="809"/>
      <c r="AX1173" s="809"/>
      <c r="AY1173" s="809"/>
      <c r="AZ1173" s="809"/>
      <c r="BA1173" s="809"/>
      <c r="BB1173" s="809"/>
      <c r="BC1173" s="809"/>
      <c r="BD1173" s="809"/>
      <c r="BE1173" s="809"/>
      <c r="BF1173" s="809"/>
      <c r="BG1173" s="809"/>
      <c r="BH1173" s="809"/>
      <c r="BI1173" s="809"/>
      <c r="BJ1173" s="809"/>
      <c r="BK1173" s="809"/>
      <c r="BL1173" s="809"/>
      <c r="BM1173" s="809"/>
      <c r="BN1173" s="809"/>
    </row>
    <row r="1174" spans="1:66">
      <c r="A1174" s="809"/>
      <c r="B1174" s="809"/>
      <c r="C1174" s="809"/>
      <c r="D1174" s="809"/>
      <c r="E1174" s="809"/>
      <c r="F1174" s="809"/>
      <c r="G1174" s="809"/>
      <c r="H1174" s="809"/>
      <c r="I1174" s="809"/>
      <c r="J1174" s="809"/>
      <c r="K1174" s="809"/>
      <c r="L1174" s="809"/>
      <c r="M1174" s="809"/>
      <c r="N1174" s="809"/>
      <c r="O1174" s="809"/>
      <c r="P1174" s="809"/>
      <c r="Q1174" s="809"/>
      <c r="R1174" s="809"/>
      <c r="S1174" s="809"/>
      <c r="T1174" s="809"/>
      <c r="U1174" s="809"/>
      <c r="V1174" s="809"/>
      <c r="W1174" s="809"/>
      <c r="X1174" s="809"/>
      <c r="Y1174" s="809"/>
      <c r="Z1174" s="809"/>
      <c r="AA1174" s="809"/>
      <c r="AB1174" s="809"/>
      <c r="AC1174" s="809"/>
      <c r="AD1174" s="809"/>
      <c r="AE1174" s="809"/>
      <c r="AF1174" s="809"/>
      <c r="AG1174" s="809"/>
      <c r="AH1174" s="809"/>
      <c r="AI1174" s="809"/>
      <c r="AJ1174" s="809"/>
      <c r="AK1174" s="809"/>
      <c r="AL1174" s="809"/>
      <c r="AM1174" s="809"/>
      <c r="AN1174" s="809"/>
      <c r="AO1174" s="809"/>
      <c r="AP1174" s="809"/>
      <c r="AQ1174" s="809"/>
      <c r="AR1174" s="809"/>
      <c r="AS1174" s="809"/>
      <c r="AT1174" s="809"/>
      <c r="AU1174" s="809"/>
      <c r="AV1174" s="809"/>
      <c r="AW1174" s="809"/>
      <c r="AX1174" s="809"/>
      <c r="AY1174" s="809"/>
      <c r="AZ1174" s="809"/>
      <c r="BA1174" s="809"/>
      <c r="BB1174" s="809"/>
      <c r="BC1174" s="809"/>
      <c r="BD1174" s="809"/>
      <c r="BE1174" s="809"/>
      <c r="BF1174" s="809"/>
      <c r="BG1174" s="809"/>
      <c r="BH1174" s="809"/>
      <c r="BI1174" s="809"/>
      <c r="BJ1174" s="809"/>
      <c r="BK1174" s="809"/>
      <c r="BL1174" s="809"/>
      <c r="BM1174" s="809"/>
      <c r="BN1174" s="809"/>
    </row>
    <row r="1175" spans="1:66">
      <c r="A1175" s="809"/>
      <c r="B1175" s="809"/>
      <c r="C1175" s="809"/>
      <c r="D1175" s="809"/>
      <c r="E1175" s="809"/>
      <c r="F1175" s="809"/>
      <c r="G1175" s="809"/>
      <c r="H1175" s="809"/>
      <c r="I1175" s="809"/>
      <c r="J1175" s="809"/>
      <c r="K1175" s="809"/>
      <c r="L1175" s="809"/>
      <c r="M1175" s="809"/>
      <c r="N1175" s="809"/>
      <c r="O1175" s="809"/>
      <c r="P1175" s="809"/>
      <c r="Q1175" s="809"/>
      <c r="R1175" s="809"/>
      <c r="S1175" s="809"/>
      <c r="T1175" s="809"/>
      <c r="U1175" s="809"/>
      <c r="V1175" s="809"/>
      <c r="W1175" s="809"/>
      <c r="X1175" s="809"/>
      <c r="Y1175" s="809"/>
      <c r="Z1175" s="809"/>
      <c r="AA1175" s="809"/>
      <c r="AB1175" s="809"/>
      <c r="AC1175" s="809"/>
      <c r="AD1175" s="809"/>
      <c r="AE1175" s="809"/>
      <c r="AF1175" s="809"/>
      <c r="AG1175" s="809"/>
      <c r="AH1175" s="809"/>
      <c r="AI1175" s="809"/>
      <c r="AJ1175" s="809"/>
      <c r="AK1175" s="809"/>
      <c r="AL1175" s="809"/>
      <c r="AM1175" s="809"/>
      <c r="AN1175" s="809"/>
      <c r="AO1175" s="809"/>
      <c r="AP1175" s="809"/>
      <c r="AQ1175" s="809"/>
      <c r="AR1175" s="809"/>
      <c r="AS1175" s="809"/>
      <c r="AT1175" s="809"/>
      <c r="AU1175" s="809"/>
      <c r="AV1175" s="809"/>
      <c r="AW1175" s="809"/>
      <c r="AX1175" s="809"/>
      <c r="AY1175" s="809"/>
      <c r="AZ1175" s="809"/>
      <c r="BA1175" s="809"/>
      <c r="BB1175" s="809"/>
      <c r="BC1175" s="809"/>
      <c r="BD1175" s="809"/>
      <c r="BE1175" s="809"/>
      <c r="BF1175" s="809"/>
      <c r="BG1175" s="809"/>
      <c r="BH1175" s="809"/>
      <c r="BI1175" s="809"/>
      <c r="BJ1175" s="809"/>
      <c r="BK1175" s="809"/>
      <c r="BL1175" s="809"/>
      <c r="BM1175" s="809"/>
      <c r="BN1175" s="809"/>
    </row>
    <row r="1176" spans="1:66">
      <c r="A1176" s="809"/>
      <c r="B1176" s="809"/>
      <c r="C1176" s="809"/>
      <c r="D1176" s="809"/>
      <c r="E1176" s="809"/>
      <c r="F1176" s="809"/>
      <c r="G1176" s="809"/>
      <c r="H1176" s="809"/>
      <c r="I1176" s="809"/>
      <c r="J1176" s="809"/>
      <c r="K1176" s="809"/>
      <c r="L1176" s="809"/>
      <c r="M1176" s="809"/>
      <c r="N1176" s="809"/>
      <c r="O1176" s="809"/>
      <c r="P1176" s="809"/>
      <c r="Q1176" s="809"/>
      <c r="R1176" s="809"/>
      <c r="S1176" s="809"/>
      <c r="T1176" s="809"/>
      <c r="U1176" s="809"/>
      <c r="V1176" s="809"/>
      <c r="W1176" s="809"/>
      <c r="X1176" s="809"/>
      <c r="Y1176" s="809"/>
      <c r="Z1176" s="809"/>
      <c r="AA1176" s="809"/>
      <c r="AB1176" s="809"/>
      <c r="AC1176" s="809"/>
      <c r="AD1176" s="809"/>
      <c r="AE1176" s="809"/>
      <c r="AF1176" s="809"/>
      <c r="AG1176" s="809"/>
      <c r="AH1176" s="809"/>
      <c r="AI1176" s="809"/>
      <c r="AJ1176" s="809"/>
      <c r="AK1176" s="809"/>
      <c r="AL1176" s="809"/>
      <c r="AM1176" s="809"/>
      <c r="AN1176" s="809"/>
      <c r="AO1176" s="809"/>
      <c r="AP1176" s="809"/>
      <c r="AQ1176" s="809"/>
      <c r="AR1176" s="809"/>
      <c r="AS1176" s="809"/>
      <c r="AT1176" s="809"/>
      <c r="AU1176" s="809"/>
      <c r="AV1176" s="809"/>
      <c r="AW1176" s="809"/>
      <c r="AX1176" s="809"/>
      <c r="AY1176" s="809"/>
      <c r="AZ1176" s="809"/>
      <c r="BA1176" s="809"/>
      <c r="BB1176" s="809"/>
      <c r="BC1176" s="809"/>
      <c r="BD1176" s="809"/>
      <c r="BE1176" s="809"/>
      <c r="BF1176" s="809"/>
      <c r="BG1176" s="809"/>
      <c r="BH1176" s="809"/>
      <c r="BI1176" s="809"/>
      <c r="BJ1176" s="809"/>
      <c r="BK1176" s="809"/>
      <c r="BL1176" s="809"/>
      <c r="BM1176" s="809"/>
      <c r="BN1176" s="809"/>
    </row>
    <row r="1177" spans="1:66">
      <c r="A1177" s="809"/>
      <c r="B1177" s="809"/>
      <c r="C1177" s="809"/>
      <c r="D1177" s="809"/>
      <c r="E1177" s="809"/>
      <c r="F1177" s="809"/>
      <c r="G1177" s="809"/>
      <c r="H1177" s="809"/>
      <c r="I1177" s="809"/>
      <c r="J1177" s="809"/>
      <c r="K1177" s="809"/>
      <c r="L1177" s="809"/>
      <c r="M1177" s="809"/>
      <c r="N1177" s="809"/>
      <c r="O1177" s="809"/>
      <c r="P1177" s="809"/>
      <c r="Q1177" s="809"/>
      <c r="R1177" s="809"/>
      <c r="S1177" s="809"/>
      <c r="T1177" s="809"/>
      <c r="U1177" s="809"/>
      <c r="V1177" s="809"/>
      <c r="W1177" s="809"/>
      <c r="X1177" s="809"/>
      <c r="Y1177" s="809"/>
      <c r="Z1177" s="809"/>
      <c r="AA1177" s="809"/>
      <c r="AB1177" s="809"/>
      <c r="AC1177" s="809"/>
      <c r="AD1177" s="809"/>
      <c r="AE1177" s="809"/>
      <c r="AF1177" s="809"/>
      <c r="AG1177" s="809"/>
      <c r="AH1177" s="809"/>
      <c r="AI1177" s="809"/>
      <c r="AJ1177" s="809"/>
      <c r="AK1177" s="809"/>
      <c r="AL1177" s="809"/>
      <c r="AM1177" s="809"/>
      <c r="AN1177" s="809"/>
      <c r="AO1177" s="809"/>
      <c r="AP1177" s="809"/>
      <c r="AQ1177" s="809"/>
      <c r="AR1177" s="809"/>
      <c r="AS1177" s="809"/>
      <c r="AT1177" s="809"/>
      <c r="AU1177" s="809"/>
      <c r="AV1177" s="809"/>
      <c r="AW1177" s="809"/>
      <c r="AX1177" s="809"/>
      <c r="AY1177" s="809"/>
      <c r="AZ1177" s="809"/>
      <c r="BA1177" s="809"/>
      <c r="BB1177" s="809"/>
      <c r="BC1177" s="809"/>
      <c r="BD1177" s="809"/>
      <c r="BE1177" s="809"/>
      <c r="BF1177" s="809"/>
      <c r="BG1177" s="809"/>
      <c r="BH1177" s="809"/>
      <c r="BI1177" s="809"/>
      <c r="BJ1177" s="809"/>
      <c r="BK1177" s="809"/>
      <c r="BL1177" s="809"/>
      <c r="BM1177" s="809"/>
      <c r="BN1177" s="809"/>
    </row>
    <row r="1178" spans="1:66">
      <c r="A1178" s="809"/>
      <c r="B1178" s="809"/>
      <c r="C1178" s="809"/>
      <c r="D1178" s="809"/>
      <c r="E1178" s="809"/>
      <c r="F1178" s="809"/>
      <c r="G1178" s="809"/>
      <c r="H1178" s="809"/>
      <c r="I1178" s="809"/>
      <c r="J1178" s="809"/>
      <c r="K1178" s="809"/>
      <c r="L1178" s="809"/>
      <c r="M1178" s="809"/>
      <c r="N1178" s="809"/>
      <c r="O1178" s="809"/>
      <c r="P1178" s="809"/>
      <c r="Q1178" s="809"/>
      <c r="R1178" s="809"/>
      <c r="S1178" s="809"/>
      <c r="T1178" s="809"/>
      <c r="U1178" s="809"/>
      <c r="V1178" s="809"/>
      <c r="W1178" s="809"/>
      <c r="X1178" s="809"/>
      <c r="Y1178" s="809"/>
      <c r="Z1178" s="809"/>
      <c r="AA1178" s="809"/>
      <c r="AB1178" s="809"/>
      <c r="AC1178" s="809"/>
      <c r="AD1178" s="809"/>
      <c r="AE1178" s="809"/>
      <c r="AF1178" s="809"/>
      <c r="AG1178" s="809"/>
      <c r="AH1178" s="809"/>
      <c r="AI1178" s="809"/>
      <c r="AJ1178" s="809"/>
      <c r="AK1178" s="809"/>
      <c r="AL1178" s="809"/>
      <c r="AM1178" s="809"/>
      <c r="AN1178" s="809"/>
      <c r="AO1178" s="809"/>
      <c r="AP1178" s="809"/>
      <c r="AQ1178" s="809"/>
      <c r="AR1178" s="809"/>
      <c r="AS1178" s="809"/>
      <c r="AT1178" s="809"/>
      <c r="AU1178" s="809"/>
      <c r="AV1178" s="809"/>
      <c r="AW1178" s="809"/>
      <c r="AX1178" s="809"/>
      <c r="AY1178" s="809"/>
      <c r="AZ1178" s="809"/>
      <c r="BA1178" s="809"/>
      <c r="BB1178" s="809"/>
      <c r="BC1178" s="809"/>
      <c r="BD1178" s="809"/>
      <c r="BE1178" s="809"/>
      <c r="BF1178" s="809"/>
      <c r="BG1178" s="809"/>
      <c r="BH1178" s="809"/>
      <c r="BI1178" s="809"/>
      <c r="BJ1178" s="809"/>
      <c r="BK1178" s="809"/>
      <c r="BL1178" s="809"/>
      <c r="BM1178" s="809"/>
      <c r="BN1178" s="809"/>
    </row>
    <row r="1179" spans="1:66">
      <c r="A1179" s="809"/>
      <c r="B1179" s="809"/>
      <c r="C1179" s="809"/>
      <c r="D1179" s="809"/>
      <c r="E1179" s="809"/>
      <c r="F1179" s="809"/>
      <c r="G1179" s="809"/>
      <c r="H1179" s="809"/>
      <c r="I1179" s="809"/>
      <c r="J1179" s="809"/>
      <c r="K1179" s="809"/>
      <c r="L1179" s="809"/>
      <c r="M1179" s="809"/>
      <c r="N1179" s="809"/>
      <c r="O1179" s="809"/>
      <c r="P1179" s="809"/>
      <c r="Q1179" s="809"/>
      <c r="R1179" s="809"/>
      <c r="S1179" s="809"/>
      <c r="T1179" s="809"/>
      <c r="U1179" s="809"/>
      <c r="V1179" s="809"/>
      <c r="W1179" s="809"/>
      <c r="X1179" s="809"/>
      <c r="Y1179" s="809"/>
      <c r="Z1179" s="809"/>
      <c r="AA1179" s="809"/>
      <c r="AB1179" s="809"/>
      <c r="AC1179" s="809"/>
      <c r="AD1179" s="809"/>
      <c r="AE1179" s="809"/>
      <c r="AF1179" s="809"/>
      <c r="AG1179" s="809"/>
      <c r="AH1179" s="809"/>
      <c r="AI1179" s="809"/>
      <c r="AJ1179" s="809"/>
      <c r="AK1179" s="809"/>
      <c r="AL1179" s="809"/>
      <c r="AM1179" s="809"/>
      <c r="AN1179" s="809"/>
      <c r="AO1179" s="809"/>
      <c r="AP1179" s="809"/>
      <c r="AQ1179" s="809"/>
      <c r="AR1179" s="809"/>
      <c r="AS1179" s="809"/>
      <c r="AT1179" s="809"/>
      <c r="AU1179" s="809"/>
      <c r="AV1179" s="809"/>
      <c r="AW1179" s="809"/>
      <c r="AX1179" s="809"/>
      <c r="AY1179" s="809"/>
      <c r="AZ1179" s="809"/>
      <c r="BA1179" s="809"/>
      <c r="BB1179" s="809"/>
      <c r="BC1179" s="809"/>
      <c r="BD1179" s="809"/>
      <c r="BE1179" s="809"/>
      <c r="BF1179" s="809"/>
      <c r="BG1179" s="809"/>
      <c r="BH1179" s="809"/>
      <c r="BI1179" s="809"/>
      <c r="BJ1179" s="809"/>
      <c r="BK1179" s="809"/>
      <c r="BL1179" s="809"/>
      <c r="BM1179" s="809"/>
      <c r="BN1179" s="809"/>
    </row>
    <row r="1180" spans="1:66">
      <c r="A1180" s="809"/>
      <c r="B1180" s="809"/>
      <c r="C1180" s="809"/>
      <c r="D1180" s="809"/>
      <c r="E1180" s="809"/>
      <c r="F1180" s="809"/>
      <c r="G1180" s="809"/>
      <c r="H1180" s="809"/>
      <c r="I1180" s="809"/>
      <c r="J1180" s="809"/>
      <c r="K1180" s="809"/>
      <c r="L1180" s="809"/>
      <c r="M1180" s="809"/>
      <c r="N1180" s="809"/>
      <c r="O1180" s="809"/>
      <c r="P1180" s="809"/>
      <c r="Q1180" s="809"/>
      <c r="R1180" s="809"/>
      <c r="S1180" s="809"/>
      <c r="T1180" s="809"/>
      <c r="U1180" s="809"/>
      <c r="V1180" s="809"/>
      <c r="W1180" s="809"/>
      <c r="X1180" s="809"/>
      <c r="Y1180" s="809"/>
      <c r="Z1180" s="809"/>
      <c r="AA1180" s="809"/>
      <c r="AB1180" s="809"/>
      <c r="AC1180" s="809"/>
      <c r="AD1180" s="809"/>
      <c r="AE1180" s="809"/>
      <c r="AF1180" s="809"/>
      <c r="AG1180" s="809"/>
      <c r="AH1180" s="809"/>
      <c r="AI1180" s="809"/>
      <c r="AJ1180" s="809"/>
      <c r="AK1180" s="809"/>
      <c r="AL1180" s="809"/>
      <c r="AM1180" s="809"/>
      <c r="AN1180" s="809"/>
      <c r="AO1180" s="809"/>
      <c r="AP1180" s="809"/>
      <c r="AQ1180" s="809"/>
      <c r="AR1180" s="809"/>
      <c r="AS1180" s="809"/>
      <c r="AT1180" s="809"/>
      <c r="AU1180" s="809"/>
      <c r="AV1180" s="809"/>
      <c r="AW1180" s="809"/>
      <c r="AX1180" s="809"/>
      <c r="AY1180" s="809"/>
      <c r="AZ1180" s="809"/>
      <c r="BA1180" s="809"/>
      <c r="BB1180" s="809"/>
      <c r="BC1180" s="809"/>
      <c r="BD1180" s="809"/>
      <c r="BE1180" s="809"/>
      <c r="BF1180" s="809"/>
      <c r="BG1180" s="809"/>
      <c r="BH1180" s="809"/>
      <c r="BI1180" s="809"/>
      <c r="BJ1180" s="809"/>
      <c r="BK1180" s="809"/>
      <c r="BL1180" s="809"/>
      <c r="BM1180" s="809"/>
      <c r="BN1180" s="809"/>
    </row>
    <row r="1181" spans="1:66">
      <c r="A1181" s="809"/>
      <c r="B1181" s="809"/>
      <c r="C1181" s="809"/>
      <c r="D1181" s="809"/>
      <c r="E1181" s="809"/>
      <c r="F1181" s="809"/>
      <c r="G1181" s="809"/>
      <c r="H1181" s="809"/>
      <c r="I1181" s="809"/>
      <c r="J1181" s="809"/>
      <c r="K1181" s="809"/>
      <c r="L1181" s="809"/>
      <c r="M1181" s="809"/>
      <c r="N1181" s="809"/>
      <c r="O1181" s="809"/>
      <c r="P1181" s="809"/>
      <c r="Q1181" s="809"/>
      <c r="R1181" s="809"/>
      <c r="S1181" s="809"/>
      <c r="T1181" s="809"/>
      <c r="U1181" s="809"/>
      <c r="V1181" s="809"/>
      <c r="W1181" s="809"/>
      <c r="X1181" s="809"/>
      <c r="Y1181" s="809"/>
      <c r="Z1181" s="809"/>
      <c r="AA1181" s="809"/>
      <c r="AB1181" s="809"/>
      <c r="AC1181" s="809"/>
      <c r="AD1181" s="809"/>
      <c r="AE1181" s="809"/>
      <c r="AF1181" s="809"/>
      <c r="AG1181" s="809"/>
      <c r="AH1181" s="809"/>
      <c r="AI1181" s="809"/>
      <c r="AJ1181" s="809"/>
      <c r="AK1181" s="809"/>
      <c r="AL1181" s="809"/>
      <c r="AM1181" s="809"/>
      <c r="AN1181" s="809"/>
      <c r="AO1181" s="809"/>
      <c r="AP1181" s="809"/>
      <c r="AQ1181" s="809"/>
      <c r="AR1181" s="809"/>
      <c r="AS1181" s="809"/>
      <c r="AT1181" s="809"/>
      <c r="AU1181" s="809"/>
      <c r="AV1181" s="809"/>
      <c r="AW1181" s="809"/>
      <c r="AX1181" s="809"/>
      <c r="AY1181" s="809"/>
      <c r="AZ1181" s="809"/>
      <c r="BA1181" s="809"/>
      <c r="BB1181" s="809"/>
      <c r="BC1181" s="809"/>
      <c r="BD1181" s="809"/>
      <c r="BE1181" s="809"/>
      <c r="BF1181" s="809"/>
      <c r="BG1181" s="809"/>
      <c r="BH1181" s="809"/>
      <c r="BI1181" s="809"/>
      <c r="BJ1181" s="809"/>
      <c r="BK1181" s="809"/>
      <c r="BL1181" s="809"/>
      <c r="BM1181" s="809"/>
      <c r="BN1181" s="809"/>
    </row>
    <row r="1182" spans="1:66">
      <c r="A1182" s="809"/>
      <c r="B1182" s="809"/>
      <c r="C1182" s="809"/>
      <c r="D1182" s="809"/>
      <c r="E1182" s="809"/>
      <c r="F1182" s="809"/>
      <c r="G1182" s="809"/>
      <c r="H1182" s="809"/>
      <c r="I1182" s="809"/>
      <c r="J1182" s="809"/>
      <c r="K1182" s="809"/>
      <c r="L1182" s="809"/>
      <c r="M1182" s="809"/>
      <c r="N1182" s="809"/>
      <c r="O1182" s="809"/>
      <c r="P1182" s="809"/>
      <c r="Q1182" s="809"/>
      <c r="R1182" s="809"/>
      <c r="S1182" s="809"/>
      <c r="T1182" s="809"/>
      <c r="U1182" s="809"/>
      <c r="V1182" s="809"/>
      <c r="W1182" s="809"/>
      <c r="X1182" s="809"/>
      <c r="Y1182" s="809"/>
      <c r="Z1182" s="809"/>
      <c r="AA1182" s="809"/>
      <c r="AB1182" s="809"/>
      <c r="AC1182" s="809"/>
      <c r="AD1182" s="809"/>
      <c r="AE1182" s="809"/>
      <c r="AF1182" s="809"/>
      <c r="AG1182" s="809"/>
      <c r="AH1182" s="809"/>
      <c r="AI1182" s="809"/>
      <c r="AJ1182" s="809"/>
      <c r="AK1182" s="809"/>
      <c r="AL1182" s="809"/>
      <c r="AM1182" s="809"/>
      <c r="AN1182" s="809"/>
      <c r="AO1182" s="809"/>
      <c r="AP1182" s="809"/>
      <c r="AQ1182" s="809"/>
      <c r="AR1182" s="809"/>
      <c r="AS1182" s="809"/>
      <c r="AT1182" s="809"/>
      <c r="AU1182" s="809"/>
      <c r="AV1182" s="809"/>
      <c r="AW1182" s="809"/>
      <c r="AX1182" s="809"/>
      <c r="AY1182" s="809"/>
      <c r="AZ1182" s="809"/>
      <c r="BA1182" s="809"/>
      <c r="BB1182" s="809"/>
      <c r="BC1182" s="809"/>
      <c r="BD1182" s="809"/>
      <c r="BE1182" s="809"/>
      <c r="BF1182" s="809"/>
      <c r="BG1182" s="809"/>
      <c r="BH1182" s="809"/>
      <c r="BI1182" s="809"/>
      <c r="BJ1182" s="809"/>
      <c r="BK1182" s="809"/>
      <c r="BL1182" s="809"/>
      <c r="BM1182" s="809"/>
      <c r="BN1182" s="809"/>
    </row>
    <row r="1183" spans="1:66">
      <c r="A1183" s="809"/>
      <c r="B1183" s="809"/>
      <c r="C1183" s="809"/>
      <c r="D1183" s="809"/>
      <c r="E1183" s="809"/>
      <c r="F1183" s="809"/>
      <c r="G1183" s="809"/>
      <c r="H1183" s="809"/>
      <c r="I1183" s="809"/>
      <c r="J1183" s="809"/>
      <c r="K1183" s="809"/>
      <c r="L1183" s="809"/>
      <c r="M1183" s="809"/>
      <c r="N1183" s="809"/>
      <c r="O1183" s="809"/>
      <c r="P1183" s="809"/>
      <c r="Q1183" s="809"/>
      <c r="R1183" s="809"/>
      <c r="S1183" s="809"/>
      <c r="T1183" s="809"/>
      <c r="U1183" s="809"/>
      <c r="V1183" s="809"/>
      <c r="W1183" s="809"/>
      <c r="X1183" s="809"/>
      <c r="Y1183" s="809"/>
      <c r="Z1183" s="809"/>
      <c r="AA1183" s="809"/>
      <c r="AB1183" s="809"/>
      <c r="AC1183" s="809"/>
      <c r="AD1183" s="809"/>
      <c r="AE1183" s="809"/>
      <c r="AF1183" s="809"/>
      <c r="AG1183" s="809"/>
      <c r="AH1183" s="809"/>
      <c r="AI1183" s="809"/>
      <c r="AJ1183" s="809"/>
      <c r="AK1183" s="809"/>
      <c r="AL1183" s="809"/>
      <c r="AM1183" s="809"/>
      <c r="AN1183" s="809"/>
      <c r="AO1183" s="809"/>
      <c r="AP1183" s="809"/>
      <c r="AQ1183" s="809"/>
      <c r="AR1183" s="809"/>
      <c r="AS1183" s="809"/>
      <c r="AT1183" s="809"/>
      <c r="AU1183" s="809"/>
      <c r="AV1183" s="809"/>
      <c r="AW1183" s="809"/>
      <c r="AX1183" s="809"/>
      <c r="AY1183" s="809"/>
      <c r="AZ1183" s="809"/>
      <c r="BA1183" s="809"/>
      <c r="BB1183" s="809"/>
      <c r="BC1183" s="809"/>
      <c r="BD1183" s="809"/>
      <c r="BE1183" s="809"/>
      <c r="BF1183" s="809"/>
      <c r="BG1183" s="809"/>
      <c r="BH1183" s="809"/>
      <c r="BI1183" s="809"/>
      <c r="BJ1183" s="809"/>
      <c r="BK1183" s="809"/>
      <c r="BL1183" s="809"/>
      <c r="BM1183" s="809"/>
      <c r="BN1183" s="809"/>
    </row>
    <row r="1184" spans="1:66">
      <c r="A1184" s="809"/>
      <c r="B1184" s="809"/>
      <c r="C1184" s="809"/>
      <c r="D1184" s="809"/>
      <c r="E1184" s="809"/>
      <c r="F1184" s="809"/>
      <c r="G1184" s="809"/>
      <c r="H1184" s="809"/>
      <c r="I1184" s="809"/>
      <c r="J1184" s="809"/>
      <c r="K1184" s="809"/>
      <c r="L1184" s="809"/>
      <c r="M1184" s="809"/>
      <c r="N1184" s="809"/>
      <c r="O1184" s="809"/>
      <c r="P1184" s="809"/>
      <c r="Q1184" s="809"/>
      <c r="R1184" s="809"/>
      <c r="S1184" s="809"/>
      <c r="T1184" s="809"/>
      <c r="U1184" s="809"/>
      <c r="V1184" s="809"/>
      <c r="W1184" s="809"/>
      <c r="X1184" s="809"/>
      <c r="Y1184" s="809"/>
      <c r="Z1184" s="809"/>
      <c r="AA1184" s="809"/>
      <c r="AB1184" s="809"/>
      <c r="AC1184" s="809"/>
      <c r="AD1184" s="809"/>
      <c r="AE1184" s="809"/>
      <c r="AF1184" s="809"/>
      <c r="AG1184" s="809"/>
      <c r="AH1184" s="809"/>
      <c r="AI1184" s="809"/>
      <c r="AJ1184" s="809"/>
      <c r="AK1184" s="809"/>
      <c r="AL1184" s="809"/>
      <c r="AM1184" s="809"/>
      <c r="AN1184" s="809"/>
      <c r="AO1184" s="809"/>
      <c r="AP1184" s="809"/>
      <c r="AQ1184" s="809"/>
      <c r="AR1184" s="809"/>
      <c r="AS1184" s="809"/>
      <c r="AT1184" s="809"/>
      <c r="AU1184" s="809"/>
      <c r="AV1184" s="809"/>
      <c r="AW1184" s="809"/>
      <c r="AX1184" s="809"/>
      <c r="AY1184" s="809"/>
      <c r="AZ1184" s="809"/>
      <c r="BA1184" s="809"/>
      <c r="BB1184" s="809"/>
      <c r="BC1184" s="809"/>
      <c r="BD1184" s="809"/>
      <c r="BE1184" s="809"/>
      <c r="BF1184" s="809"/>
      <c r="BG1184" s="809"/>
      <c r="BH1184" s="809"/>
      <c r="BI1184" s="809"/>
      <c r="BJ1184" s="809"/>
      <c r="BK1184" s="809"/>
      <c r="BL1184" s="809"/>
      <c r="BM1184" s="809"/>
      <c r="BN1184" s="809"/>
    </row>
    <row r="1185" spans="1:66">
      <c r="A1185" s="809"/>
      <c r="B1185" s="809"/>
      <c r="C1185" s="809"/>
      <c r="D1185" s="809"/>
      <c r="E1185" s="809"/>
      <c r="F1185" s="809"/>
      <c r="G1185" s="809"/>
      <c r="H1185" s="809"/>
      <c r="I1185" s="809"/>
      <c r="J1185" s="809"/>
      <c r="K1185" s="809"/>
      <c r="L1185" s="809"/>
      <c r="M1185" s="809"/>
      <c r="N1185" s="809"/>
      <c r="O1185" s="809"/>
      <c r="P1185" s="809"/>
      <c r="Q1185" s="809"/>
      <c r="R1185" s="809"/>
      <c r="S1185" s="809"/>
      <c r="T1185" s="809"/>
      <c r="U1185" s="809"/>
      <c r="V1185" s="809"/>
      <c r="W1185" s="809"/>
      <c r="X1185" s="809"/>
      <c r="Y1185" s="809"/>
      <c r="Z1185" s="809"/>
      <c r="AA1185" s="809"/>
      <c r="AB1185" s="809"/>
      <c r="AC1185" s="809"/>
      <c r="AD1185" s="809"/>
      <c r="AE1185" s="809"/>
      <c r="AF1185" s="809"/>
      <c r="AG1185" s="809"/>
      <c r="AH1185" s="809"/>
      <c r="AI1185" s="809"/>
      <c r="AJ1185" s="809"/>
      <c r="AK1185" s="809"/>
      <c r="AL1185" s="809"/>
      <c r="AM1185" s="809"/>
      <c r="AN1185" s="809"/>
      <c r="AO1185" s="809"/>
      <c r="AP1185" s="809"/>
      <c r="AQ1185" s="809"/>
      <c r="AR1185" s="809"/>
      <c r="AS1185" s="809"/>
      <c r="AT1185" s="809"/>
      <c r="AU1185" s="809"/>
      <c r="AV1185" s="809"/>
      <c r="AW1185" s="809"/>
      <c r="AX1185" s="809"/>
      <c r="AY1185" s="809"/>
      <c r="AZ1185" s="809"/>
      <c r="BA1185" s="809"/>
      <c r="BB1185" s="809"/>
      <c r="BC1185" s="809"/>
      <c r="BD1185" s="809"/>
      <c r="BE1185" s="809"/>
      <c r="BF1185" s="809"/>
      <c r="BG1185" s="809"/>
      <c r="BH1185" s="809"/>
      <c r="BI1185" s="809"/>
      <c r="BJ1185" s="809"/>
      <c r="BK1185" s="809"/>
      <c r="BL1185" s="809"/>
      <c r="BM1185" s="809"/>
      <c r="BN1185" s="809"/>
    </row>
    <row r="1186" spans="1:66">
      <c r="A1186" s="809"/>
      <c r="B1186" s="809"/>
      <c r="C1186" s="809"/>
      <c r="D1186" s="809"/>
      <c r="E1186" s="809"/>
      <c r="F1186" s="809"/>
      <c r="G1186" s="809"/>
      <c r="H1186" s="809"/>
      <c r="I1186" s="809"/>
      <c r="J1186" s="809"/>
      <c r="K1186" s="809"/>
      <c r="L1186" s="809"/>
      <c r="M1186" s="809"/>
      <c r="N1186" s="809"/>
      <c r="O1186" s="809"/>
      <c r="P1186" s="809"/>
      <c r="Q1186" s="809"/>
      <c r="R1186" s="809"/>
      <c r="S1186" s="809"/>
      <c r="T1186" s="809"/>
      <c r="U1186" s="809"/>
      <c r="V1186" s="809"/>
      <c r="W1186" s="809"/>
      <c r="X1186" s="809"/>
      <c r="Y1186" s="809"/>
      <c r="Z1186" s="809"/>
      <c r="AA1186" s="809"/>
      <c r="AB1186" s="809"/>
      <c r="AC1186" s="809"/>
      <c r="AD1186" s="809"/>
      <c r="AE1186" s="809"/>
      <c r="AF1186" s="809"/>
      <c r="AG1186" s="809"/>
      <c r="AH1186" s="809"/>
      <c r="AI1186" s="809"/>
      <c r="AJ1186" s="809"/>
      <c r="AK1186" s="809"/>
      <c r="AL1186" s="809"/>
      <c r="AM1186" s="809"/>
      <c r="AN1186" s="809"/>
      <c r="AO1186" s="809"/>
      <c r="AP1186" s="809"/>
      <c r="AQ1186" s="809"/>
      <c r="AR1186" s="809"/>
      <c r="AS1186" s="809"/>
      <c r="AT1186" s="809"/>
      <c r="AU1186" s="809"/>
      <c r="AV1186" s="809"/>
      <c r="AW1186" s="809"/>
      <c r="AX1186" s="809"/>
      <c r="AY1186" s="809"/>
      <c r="AZ1186" s="809"/>
      <c r="BA1186" s="809"/>
      <c r="BB1186" s="809"/>
      <c r="BC1186" s="809"/>
      <c r="BD1186" s="809"/>
      <c r="BE1186" s="809"/>
      <c r="BF1186" s="809"/>
      <c r="BG1186" s="809"/>
      <c r="BH1186" s="809"/>
      <c r="BI1186" s="809"/>
      <c r="BJ1186" s="809"/>
      <c r="BK1186" s="809"/>
      <c r="BL1186" s="809"/>
      <c r="BM1186" s="809"/>
      <c r="BN1186" s="809"/>
    </row>
    <row r="1187" spans="1:66">
      <c r="A1187" s="809"/>
      <c r="B1187" s="809"/>
      <c r="C1187" s="809"/>
      <c r="D1187" s="809"/>
      <c r="E1187" s="809"/>
      <c r="F1187" s="809"/>
      <c r="G1187" s="809"/>
      <c r="H1187" s="809"/>
      <c r="I1187" s="809"/>
      <c r="J1187" s="809"/>
      <c r="K1187" s="809"/>
      <c r="L1187" s="809"/>
      <c r="M1187" s="809"/>
      <c r="N1187" s="809"/>
      <c r="O1187" s="809"/>
      <c r="P1187" s="809"/>
      <c r="Q1187" s="809"/>
      <c r="R1187" s="809"/>
      <c r="S1187" s="809"/>
      <c r="T1187" s="809"/>
      <c r="U1187" s="809"/>
      <c r="V1187" s="809"/>
      <c r="W1187" s="809"/>
      <c r="X1187" s="809"/>
      <c r="Y1187" s="809"/>
      <c r="Z1187" s="809"/>
      <c r="AA1187" s="809"/>
      <c r="AB1187" s="809"/>
      <c r="AC1187" s="809"/>
      <c r="AD1187" s="809"/>
      <c r="AE1187" s="809"/>
      <c r="AF1187" s="809"/>
      <c r="AG1187" s="809"/>
      <c r="AH1187" s="809"/>
      <c r="AI1187" s="809"/>
      <c r="AJ1187" s="809"/>
      <c r="AK1187" s="809"/>
      <c r="AL1187" s="809"/>
      <c r="AM1187" s="809"/>
      <c r="AN1187" s="809"/>
      <c r="AO1187" s="809"/>
      <c r="AP1187" s="809"/>
      <c r="AQ1187" s="809"/>
      <c r="AR1187" s="809"/>
      <c r="AS1187" s="809"/>
      <c r="AT1187" s="809"/>
      <c r="AU1187" s="809"/>
      <c r="AV1187" s="809"/>
      <c r="AW1187" s="809"/>
      <c r="AX1187" s="809"/>
      <c r="AY1187" s="809"/>
      <c r="AZ1187" s="809"/>
      <c r="BA1187" s="809"/>
      <c r="BB1187" s="809"/>
      <c r="BC1187" s="809"/>
      <c r="BD1187" s="809"/>
      <c r="BE1187" s="809"/>
      <c r="BF1187" s="809"/>
      <c r="BG1187" s="809"/>
      <c r="BH1187" s="809"/>
      <c r="BI1187" s="809"/>
      <c r="BJ1187" s="809"/>
      <c r="BK1187" s="809"/>
      <c r="BL1187" s="809"/>
      <c r="BM1187" s="809"/>
      <c r="BN1187" s="809"/>
    </row>
    <row r="1188" spans="1:66">
      <c r="A1188" s="809"/>
      <c r="B1188" s="809"/>
      <c r="C1188" s="809"/>
      <c r="D1188" s="809"/>
      <c r="E1188" s="809"/>
      <c r="F1188" s="809"/>
      <c r="G1188" s="809"/>
      <c r="H1188" s="809"/>
      <c r="I1188" s="809"/>
      <c r="J1188" s="809"/>
      <c r="K1188" s="809"/>
      <c r="L1188" s="809"/>
      <c r="M1188" s="809"/>
      <c r="N1188" s="809"/>
      <c r="O1188" s="809"/>
      <c r="P1188" s="809"/>
      <c r="Q1188" s="809"/>
      <c r="R1188" s="809"/>
      <c r="S1188" s="809"/>
      <c r="T1188" s="809"/>
      <c r="U1188" s="809"/>
      <c r="V1188" s="809"/>
      <c r="W1188" s="809"/>
      <c r="X1188" s="809"/>
      <c r="Y1188" s="809"/>
      <c r="Z1188" s="809"/>
      <c r="AA1188" s="809"/>
      <c r="AB1188" s="809"/>
      <c r="AC1188" s="809"/>
      <c r="AD1188" s="809"/>
      <c r="AE1188" s="809"/>
      <c r="AF1188" s="809"/>
      <c r="AG1188" s="809"/>
      <c r="AH1188" s="809"/>
      <c r="AI1188" s="809"/>
      <c r="AJ1188" s="809"/>
      <c r="AK1188" s="809"/>
      <c r="AL1188" s="809"/>
      <c r="AM1188" s="809"/>
      <c r="AN1188" s="809"/>
      <c r="AO1188" s="809"/>
      <c r="AP1188" s="809"/>
      <c r="AQ1188" s="809"/>
      <c r="AR1188" s="809"/>
      <c r="AS1188" s="809"/>
      <c r="AT1188" s="809"/>
      <c r="AU1188" s="809"/>
      <c r="AV1188" s="809"/>
      <c r="AW1188" s="809"/>
      <c r="AX1188" s="809"/>
      <c r="AY1188" s="809"/>
      <c r="AZ1188" s="809"/>
      <c r="BA1188" s="809"/>
      <c r="BB1188" s="809"/>
      <c r="BC1188" s="809"/>
      <c r="BD1188" s="809"/>
      <c r="BE1188" s="809"/>
      <c r="BF1188" s="809"/>
      <c r="BG1188" s="809"/>
      <c r="BH1188" s="809"/>
      <c r="BI1188" s="809"/>
      <c r="BJ1188" s="809"/>
      <c r="BK1188" s="809"/>
      <c r="BL1188" s="809"/>
      <c r="BM1188" s="809"/>
      <c r="BN1188" s="809"/>
    </row>
    <row r="1189" spans="1:66">
      <c r="A1189" s="809"/>
      <c r="B1189" s="809"/>
      <c r="C1189" s="809"/>
      <c r="D1189" s="809"/>
      <c r="E1189" s="809"/>
      <c r="F1189" s="809"/>
      <c r="G1189" s="809"/>
      <c r="H1189" s="809"/>
      <c r="I1189" s="809"/>
      <c r="J1189" s="809"/>
      <c r="K1189" s="809"/>
      <c r="L1189" s="809"/>
      <c r="M1189" s="809"/>
      <c r="N1189" s="809"/>
      <c r="O1189" s="809"/>
      <c r="P1189" s="809"/>
      <c r="Q1189" s="809"/>
      <c r="R1189" s="809"/>
      <c r="S1189" s="809"/>
      <c r="T1189" s="809"/>
      <c r="U1189" s="809"/>
      <c r="V1189" s="809"/>
      <c r="W1189" s="809"/>
      <c r="X1189" s="809"/>
      <c r="Y1189" s="809"/>
      <c r="Z1189" s="809"/>
      <c r="AA1189" s="809"/>
      <c r="AB1189" s="809"/>
      <c r="AC1189" s="809"/>
      <c r="AD1189" s="809"/>
      <c r="AE1189" s="809"/>
      <c r="AF1189" s="809"/>
      <c r="AG1189" s="809"/>
      <c r="AH1189" s="809"/>
      <c r="AI1189" s="809"/>
      <c r="AJ1189" s="809"/>
      <c r="AK1189" s="809"/>
      <c r="AL1189" s="809"/>
      <c r="AM1189" s="809"/>
      <c r="AN1189" s="809"/>
      <c r="AO1189" s="809"/>
      <c r="AP1189" s="809"/>
      <c r="AQ1189" s="809"/>
      <c r="AR1189" s="809"/>
      <c r="AS1189" s="809"/>
      <c r="AT1189" s="809"/>
      <c r="AU1189" s="809"/>
      <c r="AV1189" s="809"/>
      <c r="AW1189" s="809"/>
      <c r="AX1189" s="809"/>
      <c r="AY1189" s="809"/>
      <c r="AZ1189" s="809"/>
      <c r="BA1189" s="809"/>
      <c r="BB1189" s="809"/>
      <c r="BC1189" s="809"/>
      <c r="BD1189" s="809"/>
      <c r="BE1189" s="809"/>
      <c r="BF1189" s="809"/>
      <c r="BG1189" s="809"/>
      <c r="BH1189" s="809"/>
      <c r="BI1189" s="809"/>
      <c r="BJ1189" s="809"/>
      <c r="BK1189" s="809"/>
      <c r="BL1189" s="809"/>
      <c r="BM1189" s="809"/>
      <c r="BN1189" s="809"/>
    </row>
    <row r="1190" spans="1:66">
      <c r="A1190" s="809"/>
      <c r="B1190" s="809"/>
      <c r="C1190" s="809"/>
      <c r="D1190" s="809"/>
      <c r="E1190" s="809"/>
      <c r="F1190" s="809"/>
      <c r="G1190" s="809"/>
      <c r="H1190" s="809"/>
      <c r="I1190" s="809"/>
      <c r="J1190" s="809"/>
      <c r="K1190" s="809"/>
      <c r="L1190" s="809"/>
      <c r="M1190" s="809"/>
      <c r="N1190" s="809"/>
      <c r="O1190" s="809"/>
      <c r="P1190" s="809"/>
      <c r="Q1190" s="809"/>
      <c r="R1190" s="809"/>
      <c r="S1190" s="809"/>
      <c r="T1190" s="809"/>
      <c r="U1190" s="809"/>
      <c r="V1190" s="809"/>
      <c r="W1190" s="809"/>
      <c r="X1190" s="809"/>
      <c r="Y1190" s="809"/>
      <c r="Z1190" s="809"/>
      <c r="AA1190" s="809"/>
      <c r="AB1190" s="809"/>
      <c r="AC1190" s="809"/>
      <c r="AD1190" s="809"/>
      <c r="AE1190" s="809"/>
      <c r="AF1190" s="809"/>
      <c r="AG1190" s="809"/>
      <c r="AH1190" s="809"/>
      <c r="AI1190" s="809"/>
      <c r="AJ1190" s="809"/>
      <c r="AK1190" s="809"/>
      <c r="AL1190" s="809"/>
      <c r="AM1190" s="809"/>
      <c r="AN1190" s="809"/>
      <c r="AO1190" s="809"/>
      <c r="AP1190" s="809"/>
      <c r="AQ1190" s="809"/>
      <c r="AR1190" s="809"/>
      <c r="AS1190" s="809"/>
      <c r="AT1190" s="809"/>
      <c r="AU1190" s="809"/>
      <c r="AV1190" s="809"/>
      <c r="AW1190" s="809"/>
      <c r="AX1190" s="809"/>
      <c r="AY1190" s="809"/>
      <c r="AZ1190" s="809"/>
      <c r="BA1190" s="809"/>
      <c r="BB1190" s="809"/>
      <c r="BC1190" s="809"/>
      <c r="BD1190" s="809"/>
      <c r="BE1190" s="809"/>
      <c r="BF1190" s="809"/>
      <c r="BG1190" s="809"/>
      <c r="BH1190" s="809"/>
      <c r="BI1190" s="809"/>
      <c r="BJ1190" s="809"/>
      <c r="BK1190" s="809"/>
      <c r="BL1190" s="809"/>
      <c r="BM1190" s="809"/>
      <c r="BN1190" s="809"/>
    </row>
    <row r="1191" spans="1:66">
      <c r="A1191" s="809"/>
      <c r="B1191" s="809"/>
      <c r="C1191" s="809"/>
      <c r="D1191" s="809"/>
      <c r="E1191" s="809"/>
      <c r="F1191" s="809"/>
      <c r="G1191" s="809"/>
      <c r="H1191" s="809"/>
      <c r="I1191" s="809"/>
      <c r="J1191" s="809"/>
      <c r="K1191" s="809"/>
      <c r="L1191" s="809"/>
      <c r="M1191" s="809"/>
      <c r="N1191" s="809"/>
      <c r="O1191" s="809"/>
      <c r="P1191" s="809"/>
      <c r="Q1191" s="809"/>
      <c r="R1191" s="809"/>
      <c r="S1191" s="809"/>
      <c r="T1191" s="809"/>
      <c r="U1191" s="809"/>
      <c r="V1191" s="809"/>
      <c r="W1191" s="809"/>
      <c r="X1191" s="809"/>
      <c r="Y1191" s="809"/>
      <c r="Z1191" s="809"/>
      <c r="AA1191" s="809"/>
      <c r="AB1191" s="809"/>
      <c r="AC1191" s="809"/>
      <c r="AD1191" s="809"/>
      <c r="AE1191" s="809"/>
      <c r="AF1191" s="809"/>
      <c r="AG1191" s="809"/>
      <c r="AH1191" s="809"/>
      <c r="AI1191" s="809"/>
      <c r="AJ1191" s="809"/>
      <c r="AK1191" s="809"/>
      <c r="AL1191" s="809"/>
      <c r="AM1191" s="809"/>
      <c r="AN1191" s="809"/>
      <c r="AO1191" s="809"/>
      <c r="AP1191" s="809"/>
      <c r="AQ1191" s="809"/>
      <c r="AR1191" s="809"/>
      <c r="AS1191" s="809"/>
      <c r="AT1191" s="809"/>
      <c r="AU1191" s="809"/>
      <c r="AV1191" s="809"/>
      <c r="AW1191" s="809"/>
      <c r="AX1191" s="809"/>
      <c r="AY1191" s="809"/>
      <c r="AZ1191" s="809"/>
      <c r="BA1191" s="809"/>
      <c r="BB1191" s="809"/>
      <c r="BC1191" s="809"/>
      <c r="BD1191" s="809"/>
      <c r="BE1191" s="809"/>
      <c r="BF1191" s="809"/>
      <c r="BG1191" s="809"/>
      <c r="BH1191" s="809"/>
      <c r="BI1191" s="809"/>
      <c r="BJ1191" s="809"/>
      <c r="BK1191" s="809"/>
      <c r="BL1191" s="809"/>
      <c r="BM1191" s="809"/>
      <c r="BN1191" s="809"/>
    </row>
    <row r="1192" spans="1:66">
      <c r="A1192" s="809"/>
      <c r="B1192" s="809"/>
      <c r="C1192" s="809"/>
      <c r="D1192" s="809"/>
      <c r="E1192" s="809"/>
      <c r="F1192" s="809"/>
      <c r="G1192" s="809"/>
      <c r="H1192" s="809"/>
      <c r="I1192" s="809"/>
      <c r="J1192" s="809"/>
      <c r="K1192" s="809"/>
      <c r="L1192" s="809"/>
      <c r="M1192" s="809"/>
      <c r="N1192" s="809"/>
      <c r="O1192" s="809"/>
      <c r="P1192" s="809"/>
      <c r="Q1192" s="809"/>
      <c r="R1192" s="809"/>
      <c r="S1192" s="809"/>
      <c r="T1192" s="809"/>
      <c r="U1192" s="809"/>
      <c r="V1192" s="809"/>
      <c r="W1192" s="809"/>
      <c r="X1192" s="809"/>
      <c r="Y1192" s="809"/>
      <c r="Z1192" s="809"/>
      <c r="AA1192" s="809"/>
      <c r="AB1192" s="809"/>
      <c r="AC1192" s="809"/>
      <c r="AD1192" s="809"/>
      <c r="AE1192" s="809"/>
      <c r="AF1192" s="809"/>
      <c r="AG1192" s="809"/>
      <c r="AH1192" s="809"/>
      <c r="AI1192" s="809"/>
      <c r="AJ1192" s="809"/>
      <c r="AK1192" s="809"/>
      <c r="AL1192" s="809"/>
      <c r="AM1192" s="809"/>
      <c r="AN1192" s="809"/>
      <c r="AO1192" s="809"/>
      <c r="AP1192" s="809"/>
      <c r="AQ1192" s="809"/>
      <c r="AR1192" s="809"/>
      <c r="AS1192" s="809"/>
      <c r="AT1192" s="809"/>
      <c r="AU1192" s="809"/>
      <c r="AV1192" s="809"/>
      <c r="AW1192" s="809"/>
      <c r="AX1192" s="809"/>
      <c r="AY1192" s="809"/>
      <c r="AZ1192" s="809"/>
      <c r="BA1192" s="809"/>
      <c r="BB1192" s="809"/>
      <c r="BC1192" s="809"/>
      <c r="BD1192" s="809"/>
      <c r="BE1192" s="809"/>
      <c r="BF1192" s="809"/>
      <c r="BG1192" s="809"/>
      <c r="BH1192" s="809"/>
      <c r="BI1192" s="809"/>
      <c r="BJ1192" s="809"/>
      <c r="BK1192" s="809"/>
      <c r="BL1192" s="809"/>
      <c r="BM1192" s="809"/>
      <c r="BN1192" s="809"/>
    </row>
    <row r="1193" spans="1:66">
      <c r="A1193" s="809"/>
      <c r="B1193" s="809"/>
      <c r="C1193" s="809"/>
      <c r="D1193" s="809"/>
      <c r="E1193" s="809"/>
      <c r="F1193" s="809"/>
      <c r="G1193" s="809"/>
      <c r="H1193" s="809"/>
      <c r="I1193" s="809"/>
      <c r="J1193" s="809"/>
      <c r="K1193" s="809"/>
      <c r="L1193" s="809"/>
      <c r="M1193" s="809"/>
      <c r="N1193" s="809"/>
      <c r="O1193" s="809"/>
      <c r="P1193" s="809"/>
      <c r="Q1193" s="809"/>
      <c r="R1193" s="809"/>
      <c r="S1193" s="809"/>
      <c r="T1193" s="809"/>
      <c r="U1193" s="809"/>
      <c r="V1193" s="809"/>
      <c r="W1193" s="809"/>
      <c r="X1193" s="809"/>
      <c r="Y1193" s="809"/>
      <c r="Z1193" s="809"/>
      <c r="AA1193" s="809"/>
      <c r="AB1193" s="809"/>
      <c r="AC1193" s="809"/>
      <c r="AD1193" s="809"/>
      <c r="AE1193" s="809"/>
      <c r="AF1193" s="809"/>
      <c r="AG1193" s="809"/>
      <c r="AH1193" s="809"/>
      <c r="AI1193" s="809"/>
      <c r="AJ1193" s="809"/>
      <c r="AK1193" s="809"/>
      <c r="AL1193" s="809"/>
      <c r="AM1193" s="809"/>
      <c r="AN1193" s="809"/>
      <c r="AO1193" s="809"/>
      <c r="AP1193" s="809"/>
      <c r="AQ1193" s="809"/>
      <c r="AR1193" s="809"/>
      <c r="AS1193" s="809"/>
      <c r="AT1193" s="809"/>
      <c r="AU1193" s="809"/>
      <c r="AV1193" s="809"/>
      <c r="AW1193" s="809"/>
      <c r="AX1193" s="809"/>
      <c r="AY1193" s="809"/>
      <c r="AZ1193" s="809"/>
      <c r="BA1193" s="809"/>
      <c r="BB1193" s="809"/>
      <c r="BC1193" s="809"/>
      <c r="BD1193" s="809"/>
      <c r="BE1193" s="809"/>
      <c r="BF1193" s="809"/>
      <c r="BG1193" s="809"/>
      <c r="BH1193" s="809"/>
      <c r="BI1193" s="809"/>
      <c r="BJ1193" s="809"/>
      <c r="BK1193" s="809"/>
      <c r="BL1193" s="809"/>
      <c r="BM1193" s="809"/>
      <c r="BN1193" s="809"/>
    </row>
    <row r="1194" spans="1:66">
      <c r="A1194" s="809"/>
      <c r="B1194" s="809"/>
      <c r="C1194" s="809"/>
      <c r="D1194" s="809"/>
      <c r="E1194" s="809"/>
      <c r="F1194" s="809"/>
      <c r="G1194" s="809"/>
      <c r="H1194" s="809"/>
      <c r="I1194" s="809"/>
      <c r="J1194" s="809"/>
      <c r="K1194" s="809"/>
      <c r="L1194" s="809"/>
      <c r="M1194" s="809"/>
      <c r="N1194" s="809"/>
      <c r="O1194" s="809"/>
      <c r="P1194" s="809"/>
      <c r="Q1194" s="809"/>
      <c r="R1194" s="809"/>
      <c r="S1194" s="809"/>
      <c r="T1194" s="809"/>
      <c r="U1194" s="809"/>
      <c r="V1194" s="809"/>
      <c r="W1194" s="809"/>
      <c r="X1194" s="809"/>
      <c r="Y1194" s="809"/>
      <c r="Z1194" s="809"/>
      <c r="AA1194" s="809"/>
      <c r="AB1194" s="809"/>
      <c r="AC1194" s="809"/>
      <c r="AD1194" s="809"/>
      <c r="AE1194" s="809"/>
      <c r="AF1194" s="809"/>
      <c r="AG1194" s="809"/>
      <c r="AH1194" s="809"/>
      <c r="AI1194" s="809"/>
      <c r="AJ1194" s="809"/>
      <c r="AK1194" s="809"/>
      <c r="AL1194" s="809"/>
      <c r="AM1194" s="809"/>
      <c r="AN1194" s="809"/>
      <c r="AO1194" s="809"/>
      <c r="AP1194" s="809"/>
      <c r="AQ1194" s="809"/>
      <c r="AR1194" s="809"/>
      <c r="AS1194" s="809"/>
      <c r="AT1194" s="809"/>
      <c r="AU1194" s="809"/>
      <c r="AV1194" s="809"/>
      <c r="AW1194" s="809"/>
      <c r="AX1194" s="809"/>
      <c r="AY1194" s="809"/>
      <c r="AZ1194" s="809"/>
      <c r="BA1194" s="809"/>
      <c r="BB1194" s="809"/>
      <c r="BC1194" s="809"/>
      <c r="BD1194" s="809"/>
      <c r="BE1194" s="809"/>
      <c r="BF1194" s="809"/>
      <c r="BG1194" s="809"/>
      <c r="BH1194" s="809"/>
      <c r="BI1194" s="809"/>
      <c r="BJ1194" s="809"/>
      <c r="BK1194" s="809"/>
      <c r="BL1194" s="809"/>
      <c r="BM1194" s="809"/>
      <c r="BN1194" s="809"/>
    </row>
    <row r="1195" spans="1:66">
      <c r="A1195" s="809"/>
      <c r="B1195" s="809"/>
      <c r="C1195" s="809"/>
      <c r="D1195" s="809"/>
      <c r="E1195" s="809"/>
      <c r="F1195" s="809"/>
      <c r="G1195" s="809"/>
      <c r="H1195" s="809"/>
      <c r="I1195" s="809"/>
      <c r="J1195" s="809"/>
      <c r="K1195" s="809"/>
      <c r="L1195" s="809"/>
      <c r="M1195" s="809"/>
      <c r="N1195" s="809"/>
      <c r="O1195" s="809"/>
      <c r="P1195" s="809"/>
      <c r="Q1195" s="809"/>
      <c r="R1195" s="809"/>
      <c r="S1195" s="809"/>
      <c r="T1195" s="809"/>
      <c r="U1195" s="809"/>
      <c r="V1195" s="809"/>
      <c r="W1195" s="809"/>
      <c r="X1195" s="809"/>
      <c r="Y1195" s="809"/>
      <c r="Z1195" s="809"/>
      <c r="AA1195" s="809"/>
      <c r="AB1195" s="809"/>
      <c r="AC1195" s="809"/>
      <c r="AD1195" s="809"/>
      <c r="AE1195" s="809"/>
      <c r="AF1195" s="809"/>
      <c r="AG1195" s="809"/>
      <c r="AH1195" s="809"/>
      <c r="AI1195" s="809"/>
      <c r="AJ1195" s="809"/>
      <c r="AK1195" s="809"/>
      <c r="AL1195" s="809"/>
      <c r="AM1195" s="809"/>
      <c r="AN1195" s="809"/>
      <c r="AO1195" s="809"/>
      <c r="AP1195" s="809"/>
      <c r="AQ1195" s="809"/>
      <c r="AR1195" s="809"/>
      <c r="AS1195" s="809"/>
      <c r="AT1195" s="809"/>
      <c r="AU1195" s="809"/>
      <c r="AV1195" s="809"/>
      <c r="AW1195" s="809"/>
      <c r="AX1195" s="809"/>
      <c r="AY1195" s="809"/>
      <c r="AZ1195" s="809"/>
      <c r="BA1195" s="809"/>
      <c r="BB1195" s="809"/>
      <c r="BC1195" s="809"/>
      <c r="BD1195" s="809"/>
      <c r="BE1195" s="809"/>
      <c r="BF1195" s="809"/>
      <c r="BG1195" s="809"/>
      <c r="BH1195" s="809"/>
      <c r="BI1195" s="809"/>
      <c r="BJ1195" s="809"/>
      <c r="BK1195" s="809"/>
      <c r="BL1195" s="809"/>
      <c r="BM1195" s="809"/>
      <c r="BN1195" s="809"/>
    </row>
    <row r="1196" spans="1:66">
      <c r="A1196" s="809"/>
      <c r="B1196" s="809"/>
      <c r="C1196" s="809"/>
      <c r="D1196" s="809"/>
      <c r="E1196" s="809"/>
      <c r="F1196" s="809"/>
      <c r="G1196" s="809"/>
      <c r="H1196" s="809"/>
      <c r="I1196" s="809"/>
      <c r="J1196" s="809"/>
      <c r="K1196" s="809"/>
      <c r="L1196" s="809"/>
      <c r="M1196" s="809"/>
      <c r="N1196" s="809"/>
      <c r="O1196" s="809"/>
      <c r="P1196" s="809"/>
      <c r="Q1196" s="809"/>
      <c r="R1196" s="809"/>
      <c r="S1196" s="809"/>
      <c r="T1196" s="809"/>
      <c r="U1196" s="809"/>
      <c r="V1196" s="809"/>
      <c r="W1196" s="809"/>
      <c r="X1196" s="809"/>
      <c r="Y1196" s="809"/>
      <c r="Z1196" s="809"/>
      <c r="AA1196" s="809"/>
      <c r="AB1196" s="809"/>
      <c r="AC1196" s="809"/>
      <c r="AD1196" s="809"/>
      <c r="AE1196" s="809"/>
      <c r="AF1196" s="809"/>
      <c r="AG1196" s="809"/>
      <c r="AH1196" s="809"/>
      <c r="AI1196" s="809"/>
      <c r="AJ1196" s="809"/>
      <c r="AK1196" s="809"/>
      <c r="AL1196" s="809"/>
      <c r="AM1196" s="809"/>
      <c r="AN1196" s="809"/>
      <c r="AO1196" s="809"/>
      <c r="AP1196" s="809"/>
      <c r="AQ1196" s="809"/>
      <c r="AR1196" s="809"/>
      <c r="AS1196" s="809"/>
      <c r="AT1196" s="809"/>
      <c r="AU1196" s="809"/>
      <c r="AV1196" s="809"/>
      <c r="AW1196" s="809"/>
      <c r="AX1196" s="809"/>
      <c r="AY1196" s="809"/>
      <c r="AZ1196" s="809"/>
      <c r="BA1196" s="809"/>
      <c r="BB1196" s="809"/>
      <c r="BC1196" s="809"/>
      <c r="BD1196" s="809"/>
      <c r="BE1196" s="809"/>
      <c r="BF1196" s="809"/>
      <c r="BG1196" s="809"/>
      <c r="BH1196" s="809"/>
      <c r="BI1196" s="809"/>
      <c r="BJ1196" s="809"/>
      <c r="BK1196" s="809"/>
      <c r="BL1196" s="809"/>
      <c r="BM1196" s="809"/>
      <c r="BN1196" s="809"/>
    </row>
    <row r="1197" spans="1:66">
      <c r="A1197" s="809"/>
      <c r="B1197" s="809"/>
      <c r="C1197" s="809"/>
      <c r="D1197" s="809"/>
      <c r="E1197" s="809"/>
      <c r="F1197" s="809"/>
      <c r="G1197" s="809"/>
      <c r="H1197" s="809"/>
      <c r="I1197" s="809"/>
      <c r="J1197" s="809"/>
      <c r="K1197" s="809"/>
      <c r="L1197" s="809"/>
      <c r="M1197" s="809"/>
      <c r="N1197" s="809"/>
      <c r="O1197" s="809"/>
      <c r="P1197" s="809"/>
      <c r="Q1197" s="809"/>
      <c r="R1197" s="809"/>
      <c r="S1197" s="809"/>
      <c r="T1197" s="809"/>
      <c r="U1197" s="809"/>
      <c r="V1197" s="809"/>
      <c r="W1197" s="809"/>
      <c r="X1197" s="809"/>
      <c r="Y1197" s="809"/>
      <c r="Z1197" s="809"/>
      <c r="AA1197" s="809"/>
      <c r="AB1197" s="809"/>
      <c r="AC1197" s="809"/>
      <c r="AD1197" s="809"/>
      <c r="AE1197" s="809"/>
      <c r="AF1197" s="809"/>
      <c r="AG1197" s="809"/>
      <c r="AH1197" s="809"/>
      <c r="AI1197" s="809"/>
      <c r="AJ1197" s="809"/>
      <c r="AK1197" s="809"/>
      <c r="AL1197" s="809"/>
      <c r="AM1197" s="809"/>
      <c r="AN1197" s="809"/>
      <c r="AO1197" s="809"/>
      <c r="AP1197" s="809"/>
      <c r="AQ1197" s="809"/>
      <c r="AR1197" s="809"/>
      <c r="AS1197" s="809"/>
      <c r="AT1197" s="809"/>
      <c r="AU1197" s="809"/>
      <c r="AV1197" s="809"/>
      <c r="AW1197" s="809"/>
      <c r="AX1197" s="809"/>
      <c r="AY1197" s="809"/>
      <c r="AZ1197" s="809"/>
      <c r="BA1197" s="809"/>
      <c r="BB1197" s="809"/>
      <c r="BC1197" s="809"/>
      <c r="BD1197" s="809"/>
      <c r="BE1197" s="809"/>
      <c r="BF1197" s="809"/>
      <c r="BG1197" s="809"/>
      <c r="BH1197" s="809"/>
      <c r="BI1197" s="809"/>
      <c r="BJ1197" s="809"/>
      <c r="BK1197" s="809"/>
      <c r="BL1197" s="809"/>
      <c r="BM1197" s="809"/>
      <c r="BN1197" s="809"/>
    </row>
    <row r="1198" spans="1:66">
      <c r="A1198" s="809"/>
      <c r="B1198" s="809"/>
      <c r="C1198" s="809"/>
      <c r="D1198" s="809"/>
      <c r="E1198" s="809"/>
      <c r="F1198" s="809"/>
      <c r="G1198" s="809"/>
      <c r="H1198" s="809"/>
      <c r="I1198" s="809"/>
      <c r="J1198" s="809"/>
      <c r="K1198" s="809"/>
      <c r="L1198" s="809"/>
      <c r="M1198" s="809"/>
      <c r="N1198" s="809"/>
      <c r="O1198" s="809"/>
      <c r="P1198" s="809"/>
      <c r="Q1198" s="809"/>
      <c r="R1198" s="809"/>
      <c r="S1198" s="809"/>
      <c r="T1198" s="809"/>
      <c r="U1198" s="809"/>
      <c r="V1198" s="809"/>
      <c r="W1198" s="809"/>
      <c r="X1198" s="809"/>
      <c r="Y1198" s="809"/>
      <c r="Z1198" s="809"/>
      <c r="AA1198" s="809"/>
      <c r="AB1198" s="809"/>
      <c r="AC1198" s="809"/>
      <c r="AD1198" s="809"/>
      <c r="AE1198" s="809"/>
      <c r="AF1198" s="809"/>
      <c r="AG1198" s="809"/>
      <c r="AH1198" s="809"/>
      <c r="AI1198" s="809"/>
      <c r="AJ1198" s="809"/>
      <c r="AK1198" s="809"/>
      <c r="AL1198" s="809"/>
      <c r="AM1198" s="809"/>
      <c r="AN1198" s="809"/>
      <c r="AO1198" s="809"/>
      <c r="AP1198" s="809"/>
      <c r="AQ1198" s="809"/>
      <c r="AR1198" s="809"/>
      <c r="AS1198" s="809"/>
      <c r="AT1198" s="809"/>
      <c r="AU1198" s="809"/>
      <c r="AV1198" s="809"/>
      <c r="AW1198" s="809"/>
      <c r="AX1198" s="809"/>
      <c r="AY1198" s="809"/>
      <c r="AZ1198" s="809"/>
      <c r="BA1198" s="809"/>
      <c r="BB1198" s="809"/>
      <c r="BC1198" s="809"/>
      <c r="BD1198" s="809"/>
      <c r="BE1198" s="809"/>
      <c r="BF1198" s="809"/>
      <c r="BG1198" s="809"/>
      <c r="BH1198" s="809"/>
      <c r="BI1198" s="809"/>
      <c r="BJ1198" s="809"/>
      <c r="BK1198" s="809"/>
      <c r="BL1198" s="809"/>
      <c r="BM1198" s="809"/>
      <c r="BN1198" s="809"/>
    </row>
    <row r="1199" spans="1:66">
      <c r="A1199" s="809"/>
      <c r="B1199" s="809"/>
      <c r="C1199" s="809"/>
      <c r="D1199" s="809"/>
      <c r="E1199" s="809"/>
      <c r="F1199" s="809"/>
      <c r="G1199" s="809"/>
      <c r="H1199" s="809"/>
      <c r="I1199" s="809"/>
      <c r="J1199" s="809"/>
      <c r="K1199" s="809"/>
      <c r="L1199" s="809"/>
      <c r="M1199" s="809"/>
      <c r="N1199" s="809"/>
      <c r="O1199" s="809"/>
      <c r="P1199" s="809"/>
      <c r="Q1199" s="809"/>
      <c r="R1199" s="809"/>
      <c r="S1199" s="809"/>
      <c r="T1199" s="809"/>
      <c r="U1199" s="809"/>
      <c r="V1199" s="809"/>
      <c r="W1199" s="809"/>
      <c r="X1199" s="809"/>
      <c r="Y1199" s="809"/>
      <c r="Z1199" s="809"/>
      <c r="AA1199" s="809"/>
      <c r="AB1199" s="809"/>
      <c r="AC1199" s="809"/>
      <c r="AD1199" s="809"/>
      <c r="AE1199" s="809"/>
      <c r="AF1199" s="809"/>
      <c r="AG1199" s="809"/>
      <c r="AH1199" s="809"/>
      <c r="AI1199" s="809"/>
      <c r="AJ1199" s="809"/>
      <c r="AK1199" s="809"/>
      <c r="AL1199" s="809"/>
      <c r="AM1199" s="809"/>
      <c r="AN1199" s="809"/>
      <c r="AO1199" s="809"/>
      <c r="AP1199" s="809"/>
      <c r="AQ1199" s="809"/>
      <c r="AR1199" s="809"/>
      <c r="AS1199" s="809"/>
      <c r="AT1199" s="809"/>
      <c r="AU1199" s="809"/>
      <c r="AV1199" s="809"/>
      <c r="AW1199" s="809"/>
      <c r="AX1199" s="809"/>
      <c r="AY1199" s="809"/>
      <c r="AZ1199" s="809"/>
      <c r="BA1199" s="809"/>
      <c r="BB1199" s="809"/>
      <c r="BC1199" s="809"/>
      <c r="BD1199" s="809"/>
      <c r="BE1199" s="809"/>
      <c r="BF1199" s="809"/>
      <c r="BG1199" s="809"/>
      <c r="BH1199" s="809"/>
      <c r="BI1199" s="809"/>
      <c r="BJ1199" s="809"/>
      <c r="BK1199" s="809"/>
      <c r="BL1199" s="809"/>
      <c r="BM1199" s="809"/>
      <c r="BN1199" s="809"/>
    </row>
    <row r="1200" spans="1:66">
      <c r="A1200" s="809"/>
      <c r="B1200" s="809"/>
      <c r="C1200" s="809"/>
      <c r="D1200" s="809"/>
      <c r="E1200" s="809"/>
      <c r="F1200" s="809"/>
      <c r="G1200" s="809"/>
      <c r="H1200" s="809"/>
      <c r="I1200" s="809"/>
      <c r="J1200" s="809"/>
      <c r="K1200" s="809"/>
      <c r="L1200" s="809"/>
      <c r="M1200" s="809"/>
      <c r="N1200" s="809"/>
      <c r="O1200" s="809"/>
      <c r="P1200" s="809"/>
      <c r="Q1200" s="809"/>
      <c r="R1200" s="809"/>
      <c r="S1200" s="809"/>
      <c r="T1200" s="809"/>
      <c r="U1200" s="809"/>
      <c r="V1200" s="809"/>
      <c r="W1200" s="809"/>
      <c r="X1200" s="809"/>
      <c r="Y1200" s="809"/>
      <c r="Z1200" s="809"/>
      <c r="AA1200" s="809"/>
      <c r="AB1200" s="809"/>
      <c r="AC1200" s="809"/>
      <c r="AD1200" s="809"/>
      <c r="AE1200" s="809"/>
      <c r="AF1200" s="809"/>
      <c r="AG1200" s="809"/>
      <c r="AH1200" s="809"/>
      <c r="AI1200" s="809"/>
      <c r="AJ1200" s="809"/>
      <c r="AK1200" s="809"/>
      <c r="AL1200" s="809"/>
      <c r="AM1200" s="809"/>
      <c r="AN1200" s="809"/>
      <c r="AO1200" s="809"/>
      <c r="AP1200" s="809"/>
      <c r="AQ1200" s="809"/>
      <c r="AR1200" s="809"/>
      <c r="AS1200" s="809"/>
      <c r="AT1200" s="809"/>
      <c r="AU1200" s="809"/>
      <c r="AV1200" s="809"/>
      <c r="AW1200" s="809"/>
      <c r="AX1200" s="809"/>
      <c r="AY1200" s="809"/>
      <c r="AZ1200" s="809"/>
      <c r="BA1200" s="809"/>
      <c r="BB1200" s="809"/>
      <c r="BC1200" s="809"/>
      <c r="BD1200" s="809"/>
      <c r="BE1200" s="809"/>
      <c r="BF1200" s="809"/>
      <c r="BG1200" s="809"/>
      <c r="BH1200" s="809"/>
      <c r="BI1200" s="809"/>
      <c r="BJ1200" s="809"/>
      <c r="BK1200" s="809"/>
      <c r="BL1200" s="809"/>
      <c r="BM1200" s="809"/>
      <c r="BN1200" s="809"/>
    </row>
    <row r="1201" spans="1:66">
      <c r="A1201" s="809"/>
      <c r="B1201" s="809"/>
      <c r="C1201" s="809"/>
      <c r="D1201" s="809"/>
      <c r="E1201" s="809"/>
      <c r="F1201" s="809"/>
      <c r="G1201" s="809"/>
      <c r="H1201" s="809"/>
      <c r="I1201" s="809"/>
      <c r="J1201" s="809"/>
      <c r="K1201" s="809"/>
      <c r="L1201" s="809"/>
      <c r="M1201" s="809"/>
      <c r="N1201" s="809"/>
      <c r="O1201" s="809"/>
      <c r="P1201" s="809"/>
      <c r="Q1201" s="809"/>
      <c r="R1201" s="809"/>
      <c r="S1201" s="809"/>
      <c r="T1201" s="809"/>
      <c r="U1201" s="809"/>
      <c r="V1201" s="809"/>
      <c r="W1201" s="809"/>
      <c r="X1201" s="809"/>
      <c r="Y1201" s="809"/>
      <c r="Z1201" s="809"/>
      <c r="AA1201" s="809"/>
      <c r="AB1201" s="809"/>
      <c r="AC1201" s="809"/>
      <c r="AD1201" s="809"/>
      <c r="AE1201" s="809"/>
      <c r="AF1201" s="809"/>
      <c r="AG1201" s="809"/>
      <c r="AH1201" s="809"/>
      <c r="AI1201" s="809"/>
      <c r="AJ1201" s="809"/>
      <c r="AK1201" s="809"/>
      <c r="AL1201" s="809"/>
      <c r="AM1201" s="809"/>
      <c r="AN1201" s="809"/>
      <c r="AO1201" s="809"/>
      <c r="AP1201" s="809"/>
      <c r="AQ1201" s="809"/>
      <c r="AR1201" s="809"/>
      <c r="AS1201" s="809"/>
      <c r="AT1201" s="809"/>
      <c r="AU1201" s="809"/>
      <c r="AV1201" s="809"/>
      <c r="AW1201" s="809"/>
      <c r="AX1201" s="809"/>
      <c r="AY1201" s="809"/>
      <c r="AZ1201" s="809"/>
      <c r="BA1201" s="809"/>
      <c r="BB1201" s="809"/>
      <c r="BC1201" s="809"/>
      <c r="BD1201" s="809"/>
      <c r="BE1201" s="809"/>
      <c r="BF1201" s="809"/>
      <c r="BG1201" s="809"/>
      <c r="BH1201" s="809"/>
      <c r="BI1201" s="809"/>
      <c r="BJ1201" s="809"/>
      <c r="BK1201" s="809"/>
      <c r="BL1201" s="809"/>
      <c r="BM1201" s="809"/>
      <c r="BN1201" s="809"/>
    </row>
    <row r="1202" spans="1:66">
      <c r="A1202" s="809"/>
      <c r="B1202" s="809"/>
      <c r="C1202" s="809"/>
      <c r="D1202" s="809"/>
      <c r="E1202" s="809"/>
      <c r="F1202" s="809"/>
      <c r="G1202" s="809"/>
      <c r="H1202" s="809"/>
      <c r="I1202" s="809"/>
      <c r="J1202" s="809"/>
      <c r="K1202" s="809"/>
      <c r="L1202" s="809"/>
      <c r="M1202" s="809"/>
      <c r="N1202" s="809"/>
      <c r="O1202" s="809"/>
      <c r="P1202" s="809"/>
      <c r="Q1202" s="809"/>
      <c r="R1202" s="809"/>
      <c r="S1202" s="809"/>
      <c r="T1202" s="809"/>
      <c r="U1202" s="809"/>
      <c r="V1202" s="809"/>
      <c r="W1202" s="809"/>
      <c r="X1202" s="809"/>
      <c r="Y1202" s="809"/>
      <c r="Z1202" s="809"/>
      <c r="AA1202" s="809"/>
      <c r="AB1202" s="809"/>
      <c r="AC1202" s="809"/>
      <c r="AD1202" s="809"/>
      <c r="AE1202" s="809"/>
      <c r="AF1202" s="809"/>
      <c r="AG1202" s="809"/>
      <c r="AH1202" s="809"/>
      <c r="AI1202" s="809"/>
      <c r="AJ1202" s="809"/>
      <c r="AK1202" s="809"/>
      <c r="AL1202" s="809"/>
      <c r="AM1202" s="809"/>
      <c r="AN1202" s="809"/>
      <c r="AO1202" s="809"/>
      <c r="AP1202" s="809"/>
      <c r="AQ1202" s="809"/>
      <c r="AR1202" s="809"/>
      <c r="AS1202" s="809"/>
      <c r="AT1202" s="809"/>
      <c r="AU1202" s="809"/>
      <c r="AV1202" s="809"/>
      <c r="AW1202" s="809"/>
      <c r="AX1202" s="809"/>
      <c r="AY1202" s="809"/>
      <c r="AZ1202" s="809"/>
      <c r="BA1202" s="809"/>
      <c r="BB1202" s="809"/>
      <c r="BC1202" s="809"/>
      <c r="BD1202" s="809"/>
      <c r="BE1202" s="809"/>
      <c r="BF1202" s="809"/>
      <c r="BG1202" s="809"/>
      <c r="BH1202" s="809"/>
      <c r="BI1202" s="809"/>
      <c r="BJ1202" s="809"/>
      <c r="BK1202" s="809"/>
      <c r="BL1202" s="809"/>
      <c r="BM1202" s="809"/>
      <c r="BN1202" s="809"/>
    </row>
    <row r="1203" spans="1:66">
      <c r="A1203" s="809"/>
      <c r="B1203" s="809"/>
      <c r="C1203" s="809"/>
      <c r="D1203" s="809"/>
      <c r="E1203" s="809"/>
      <c r="F1203" s="809"/>
      <c r="G1203" s="809"/>
      <c r="H1203" s="809"/>
      <c r="I1203" s="809"/>
      <c r="J1203" s="809"/>
      <c r="K1203" s="809"/>
      <c r="L1203" s="809"/>
      <c r="M1203" s="809"/>
      <c r="N1203" s="809"/>
      <c r="O1203" s="809"/>
      <c r="P1203" s="809"/>
      <c r="Q1203" s="809"/>
      <c r="R1203" s="809"/>
      <c r="S1203" s="809"/>
      <c r="T1203" s="809"/>
      <c r="U1203" s="809"/>
      <c r="V1203" s="809"/>
      <c r="W1203" s="809"/>
      <c r="X1203" s="809"/>
      <c r="Y1203" s="809"/>
      <c r="Z1203" s="809"/>
      <c r="AA1203" s="809"/>
      <c r="AB1203" s="809"/>
      <c r="AC1203" s="809"/>
      <c r="AD1203" s="809"/>
      <c r="AE1203" s="809"/>
      <c r="AF1203" s="809"/>
      <c r="AG1203" s="809"/>
      <c r="AH1203" s="809"/>
      <c r="AI1203" s="809"/>
      <c r="AJ1203" s="809"/>
      <c r="AK1203" s="809"/>
      <c r="AL1203" s="809"/>
      <c r="AM1203" s="809"/>
      <c r="AN1203" s="809"/>
      <c r="AO1203" s="809"/>
      <c r="AP1203" s="809"/>
      <c r="AQ1203" s="809"/>
      <c r="AR1203" s="809"/>
      <c r="AS1203" s="809"/>
      <c r="AT1203" s="809"/>
      <c r="AU1203" s="809"/>
      <c r="AV1203" s="809"/>
      <c r="AW1203" s="809"/>
      <c r="AX1203" s="809"/>
      <c r="AY1203" s="809"/>
      <c r="AZ1203" s="809"/>
      <c r="BA1203" s="809"/>
      <c r="BB1203" s="809"/>
      <c r="BC1203" s="809"/>
      <c r="BD1203" s="809"/>
      <c r="BE1203" s="809"/>
      <c r="BF1203" s="809"/>
      <c r="BG1203" s="809"/>
      <c r="BH1203" s="809"/>
      <c r="BI1203" s="809"/>
      <c r="BJ1203" s="809"/>
      <c r="BK1203" s="809"/>
      <c r="BL1203" s="809"/>
      <c r="BM1203" s="809"/>
      <c r="BN1203" s="809"/>
    </row>
    <row r="1204" spans="1:66">
      <c r="A1204" s="809"/>
      <c r="B1204" s="809"/>
      <c r="C1204" s="809"/>
      <c r="D1204" s="809"/>
      <c r="E1204" s="809"/>
      <c r="F1204" s="809"/>
      <c r="G1204" s="809"/>
      <c r="H1204" s="809"/>
      <c r="I1204" s="809"/>
      <c r="J1204" s="809"/>
      <c r="K1204" s="809"/>
      <c r="L1204" s="809"/>
      <c r="M1204" s="809"/>
      <c r="N1204" s="809"/>
      <c r="O1204" s="809"/>
      <c r="P1204" s="809"/>
      <c r="Q1204" s="809"/>
      <c r="R1204" s="809"/>
      <c r="S1204" s="809"/>
      <c r="T1204" s="809"/>
      <c r="U1204" s="809"/>
      <c r="V1204" s="809"/>
      <c r="W1204" s="809"/>
      <c r="X1204" s="809"/>
      <c r="Y1204" s="809"/>
      <c r="Z1204" s="809"/>
      <c r="AA1204" s="809"/>
      <c r="AB1204" s="809"/>
      <c r="AC1204" s="809"/>
      <c r="AD1204" s="809"/>
      <c r="AE1204" s="809"/>
      <c r="AF1204" s="809"/>
      <c r="AG1204" s="809"/>
      <c r="AH1204" s="809"/>
      <c r="AI1204" s="809"/>
      <c r="AJ1204" s="809"/>
      <c r="AK1204" s="809"/>
      <c r="AL1204" s="809"/>
      <c r="AM1204" s="809"/>
      <c r="AN1204" s="809"/>
      <c r="AO1204" s="809"/>
      <c r="AP1204" s="809"/>
      <c r="AQ1204" s="809"/>
      <c r="AR1204" s="809"/>
      <c r="AS1204" s="809"/>
      <c r="AT1204" s="809"/>
      <c r="AU1204" s="809"/>
      <c r="AV1204" s="809"/>
      <c r="AW1204" s="809"/>
      <c r="AX1204" s="809"/>
      <c r="AY1204" s="809"/>
      <c r="AZ1204" s="809"/>
      <c r="BA1204" s="809"/>
      <c r="BB1204" s="809"/>
      <c r="BC1204" s="809"/>
      <c r="BD1204" s="809"/>
      <c r="BE1204" s="809"/>
      <c r="BF1204" s="809"/>
      <c r="BG1204" s="809"/>
      <c r="BH1204" s="809"/>
      <c r="BI1204" s="809"/>
      <c r="BJ1204" s="809"/>
      <c r="BK1204" s="809"/>
      <c r="BL1204" s="809"/>
      <c r="BM1204" s="809"/>
      <c r="BN1204" s="809"/>
    </row>
    <row r="1205" spans="1:66">
      <c r="A1205" s="809"/>
      <c r="B1205" s="809"/>
      <c r="C1205" s="809"/>
      <c r="D1205" s="809"/>
      <c r="E1205" s="809"/>
      <c r="F1205" s="809"/>
      <c r="G1205" s="809"/>
      <c r="H1205" s="809"/>
      <c r="I1205" s="809"/>
      <c r="J1205" s="809"/>
      <c r="K1205" s="809"/>
      <c r="L1205" s="809"/>
      <c r="M1205" s="809"/>
      <c r="N1205" s="809"/>
      <c r="O1205" s="809"/>
      <c r="P1205" s="809"/>
      <c r="Q1205" s="809"/>
      <c r="R1205" s="809"/>
      <c r="S1205" s="809"/>
      <c r="T1205" s="809"/>
      <c r="U1205" s="809"/>
      <c r="V1205" s="809"/>
      <c r="W1205" s="809"/>
      <c r="X1205" s="809"/>
      <c r="Y1205" s="809"/>
      <c r="Z1205" s="809"/>
      <c r="AA1205" s="809"/>
      <c r="AB1205" s="809"/>
      <c r="AC1205" s="809"/>
      <c r="AD1205" s="809"/>
      <c r="AE1205" s="809"/>
      <c r="AF1205" s="809"/>
      <c r="AG1205" s="809"/>
      <c r="AH1205" s="809"/>
      <c r="AI1205" s="809"/>
      <c r="AJ1205" s="809"/>
      <c r="AK1205" s="809"/>
      <c r="AL1205" s="809"/>
      <c r="AM1205" s="809"/>
      <c r="AN1205" s="809"/>
      <c r="AO1205" s="809"/>
      <c r="AP1205" s="809"/>
      <c r="AQ1205" s="809"/>
      <c r="AR1205" s="809"/>
      <c r="AS1205" s="809"/>
      <c r="AT1205" s="809"/>
      <c r="AU1205" s="809"/>
      <c r="AV1205" s="809"/>
      <c r="AW1205" s="809"/>
      <c r="AX1205" s="809"/>
      <c r="AY1205" s="809"/>
      <c r="AZ1205" s="809"/>
      <c r="BA1205" s="809"/>
      <c r="BB1205" s="809"/>
      <c r="BC1205" s="809"/>
      <c r="BD1205" s="809"/>
      <c r="BE1205" s="809"/>
      <c r="BF1205" s="809"/>
      <c r="BG1205" s="809"/>
      <c r="BH1205" s="809"/>
      <c r="BI1205" s="809"/>
      <c r="BJ1205" s="809"/>
      <c r="BK1205" s="809"/>
      <c r="BL1205" s="809"/>
      <c r="BM1205" s="809"/>
      <c r="BN1205" s="809"/>
    </row>
    <row r="1206" spans="1:66">
      <c r="A1206" s="809"/>
      <c r="B1206" s="809"/>
      <c r="C1206" s="809"/>
      <c r="D1206" s="809"/>
      <c r="E1206" s="809"/>
      <c r="F1206" s="809"/>
      <c r="G1206" s="809"/>
      <c r="H1206" s="809"/>
      <c r="I1206" s="809"/>
      <c r="J1206" s="809"/>
      <c r="K1206" s="809"/>
      <c r="L1206" s="809"/>
      <c r="M1206" s="809"/>
      <c r="N1206" s="809"/>
      <c r="O1206" s="809"/>
      <c r="P1206" s="809"/>
      <c r="Q1206" s="809"/>
      <c r="R1206" s="809"/>
      <c r="S1206" s="809"/>
      <c r="T1206" s="809"/>
      <c r="U1206" s="809"/>
      <c r="V1206" s="809"/>
      <c r="W1206" s="809"/>
      <c r="X1206" s="809"/>
      <c r="Y1206" s="809"/>
      <c r="Z1206" s="809"/>
      <c r="AA1206" s="809"/>
      <c r="AB1206" s="809"/>
      <c r="AC1206" s="809"/>
      <c r="AD1206" s="809"/>
      <c r="AE1206" s="809"/>
      <c r="AF1206" s="809"/>
      <c r="AG1206" s="809"/>
      <c r="AH1206" s="809"/>
      <c r="AI1206" s="809"/>
      <c r="AJ1206" s="809"/>
      <c r="AK1206" s="809"/>
      <c r="AL1206" s="809"/>
      <c r="AM1206" s="809"/>
      <c r="AN1206" s="809"/>
      <c r="AO1206" s="809"/>
      <c r="AP1206" s="809"/>
      <c r="AQ1206" s="809"/>
      <c r="AR1206" s="809"/>
      <c r="AS1206" s="809"/>
      <c r="AT1206" s="809"/>
      <c r="AU1206" s="809"/>
      <c r="AV1206" s="809"/>
      <c r="AW1206" s="809"/>
      <c r="AX1206" s="809"/>
      <c r="AY1206" s="809"/>
      <c r="AZ1206" s="809"/>
      <c r="BA1206" s="809"/>
      <c r="BB1206" s="809"/>
      <c r="BC1206" s="809"/>
      <c r="BD1206" s="809"/>
      <c r="BE1206" s="809"/>
      <c r="BF1206" s="809"/>
      <c r="BG1206" s="809"/>
      <c r="BH1206" s="809"/>
      <c r="BI1206" s="809"/>
      <c r="BJ1206" s="809"/>
      <c r="BK1206" s="809"/>
      <c r="BL1206" s="809"/>
      <c r="BM1206" s="809"/>
      <c r="BN1206" s="809"/>
    </row>
    <row r="1207" spans="1:66">
      <c r="A1207" s="809"/>
      <c r="B1207" s="809"/>
      <c r="C1207" s="809"/>
      <c r="D1207" s="809"/>
      <c r="E1207" s="809"/>
      <c r="F1207" s="809"/>
      <c r="G1207" s="809"/>
      <c r="H1207" s="809"/>
      <c r="I1207" s="809"/>
      <c r="J1207" s="809"/>
      <c r="K1207" s="809"/>
      <c r="L1207" s="809"/>
      <c r="M1207" s="809"/>
      <c r="N1207" s="809"/>
      <c r="O1207" s="809"/>
      <c r="P1207" s="809"/>
      <c r="Q1207" s="809"/>
      <c r="R1207" s="809"/>
      <c r="S1207" s="809"/>
      <c r="T1207" s="809"/>
      <c r="U1207" s="809"/>
      <c r="V1207" s="809"/>
      <c r="W1207" s="809"/>
      <c r="X1207" s="809"/>
      <c r="Y1207" s="809"/>
      <c r="Z1207" s="809"/>
      <c r="AA1207" s="809"/>
      <c r="AB1207" s="809"/>
      <c r="AC1207" s="809"/>
      <c r="AD1207" s="809"/>
      <c r="AE1207" s="809"/>
      <c r="AF1207" s="809"/>
      <c r="AG1207" s="809"/>
      <c r="AH1207" s="809"/>
      <c r="AI1207" s="809"/>
      <c r="AJ1207" s="809"/>
      <c r="AK1207" s="809"/>
      <c r="AL1207" s="809"/>
      <c r="AM1207" s="809"/>
      <c r="AN1207" s="809"/>
      <c r="AO1207" s="809"/>
      <c r="AP1207" s="809"/>
      <c r="AQ1207" s="809"/>
      <c r="AR1207" s="809"/>
      <c r="AS1207" s="809"/>
      <c r="AT1207" s="809"/>
      <c r="AU1207" s="809"/>
      <c r="AV1207" s="809"/>
      <c r="AW1207" s="809"/>
      <c r="AX1207" s="809"/>
      <c r="AY1207" s="809"/>
      <c r="AZ1207" s="809"/>
      <c r="BA1207" s="809"/>
      <c r="BB1207" s="809"/>
      <c r="BC1207" s="809"/>
      <c r="BD1207" s="809"/>
      <c r="BE1207" s="809"/>
      <c r="BF1207" s="809"/>
      <c r="BG1207" s="809"/>
      <c r="BH1207" s="809"/>
      <c r="BI1207" s="809"/>
      <c r="BJ1207" s="809"/>
      <c r="BK1207" s="809"/>
      <c r="BL1207" s="809"/>
      <c r="BM1207" s="809"/>
      <c r="BN1207" s="809"/>
    </row>
    <row r="1208" spans="1:66">
      <c r="A1208" s="809"/>
      <c r="B1208" s="809"/>
      <c r="C1208" s="809"/>
      <c r="D1208" s="809"/>
      <c r="E1208" s="809"/>
      <c r="F1208" s="809"/>
      <c r="G1208" s="809"/>
      <c r="H1208" s="809"/>
      <c r="I1208" s="809"/>
      <c r="J1208" s="809"/>
      <c r="K1208" s="809"/>
      <c r="L1208" s="809"/>
      <c r="M1208" s="809"/>
      <c r="N1208" s="809"/>
      <c r="O1208" s="809"/>
      <c r="P1208" s="809"/>
      <c r="Q1208" s="809"/>
      <c r="R1208" s="809"/>
      <c r="S1208" s="809"/>
      <c r="T1208" s="809"/>
      <c r="U1208" s="809"/>
      <c r="V1208" s="809"/>
      <c r="W1208" s="809"/>
      <c r="X1208" s="809"/>
      <c r="Y1208" s="809"/>
      <c r="Z1208" s="809"/>
      <c r="AA1208" s="809"/>
      <c r="AB1208" s="809"/>
      <c r="AC1208" s="809"/>
      <c r="AD1208" s="809"/>
      <c r="AE1208" s="809"/>
      <c r="AF1208" s="809"/>
      <c r="AG1208" s="809"/>
      <c r="AH1208" s="809"/>
      <c r="AI1208" s="809"/>
      <c r="AJ1208" s="809"/>
      <c r="AK1208" s="809"/>
      <c r="AL1208" s="809"/>
      <c r="AM1208" s="809"/>
      <c r="AN1208" s="809"/>
      <c r="AO1208" s="809"/>
      <c r="AP1208" s="809"/>
      <c r="AQ1208" s="809"/>
      <c r="AR1208" s="809"/>
      <c r="AS1208" s="809"/>
      <c r="AT1208" s="809"/>
      <c r="AU1208" s="809"/>
      <c r="AV1208" s="809"/>
      <c r="AW1208" s="809"/>
      <c r="AX1208" s="809"/>
      <c r="AY1208" s="809"/>
      <c r="AZ1208" s="809"/>
      <c r="BA1208" s="809"/>
      <c r="BB1208" s="809"/>
      <c r="BC1208" s="809"/>
      <c r="BD1208" s="809"/>
      <c r="BE1208" s="809"/>
      <c r="BF1208" s="809"/>
      <c r="BG1208" s="809"/>
      <c r="BH1208" s="809"/>
      <c r="BI1208" s="809"/>
      <c r="BJ1208" s="809"/>
      <c r="BK1208" s="809"/>
      <c r="BL1208" s="809"/>
      <c r="BM1208" s="809"/>
      <c r="BN1208" s="809"/>
    </row>
    <row r="1209" spans="1:66">
      <c r="A1209" s="809"/>
      <c r="B1209" s="809"/>
      <c r="C1209" s="809"/>
      <c r="D1209" s="809"/>
      <c r="E1209" s="809"/>
      <c r="F1209" s="809"/>
      <c r="G1209" s="809"/>
      <c r="H1209" s="809"/>
      <c r="I1209" s="809"/>
      <c r="J1209" s="809"/>
      <c r="K1209" s="809"/>
      <c r="L1209" s="809"/>
      <c r="M1209" s="809"/>
      <c r="N1209" s="809"/>
      <c r="O1209" s="809"/>
      <c r="P1209" s="809"/>
      <c r="Q1209" s="809"/>
      <c r="R1209" s="809"/>
      <c r="S1209" s="809"/>
      <c r="T1209" s="809"/>
      <c r="U1209" s="809"/>
      <c r="V1209" s="809"/>
      <c r="W1209" s="809"/>
      <c r="X1209" s="809"/>
      <c r="Y1209" s="809"/>
      <c r="Z1209" s="809"/>
      <c r="AA1209" s="809"/>
      <c r="AB1209" s="809"/>
      <c r="AC1209" s="809"/>
      <c r="AD1209" s="809"/>
      <c r="AE1209" s="809"/>
      <c r="AF1209" s="809"/>
      <c r="AG1209" s="809"/>
      <c r="AH1209" s="809"/>
      <c r="AI1209" s="809"/>
      <c r="AJ1209" s="809"/>
      <c r="AK1209" s="809"/>
      <c r="AL1209" s="809"/>
      <c r="AM1209" s="809"/>
      <c r="AN1209" s="809"/>
      <c r="AO1209" s="809"/>
      <c r="AP1209" s="809"/>
      <c r="AQ1209" s="809"/>
      <c r="AR1209" s="809"/>
      <c r="AS1209" s="809"/>
      <c r="AT1209" s="809"/>
      <c r="AU1209" s="809"/>
      <c r="AV1209" s="809"/>
      <c r="AW1209" s="809"/>
      <c r="AX1209" s="809"/>
      <c r="AY1209" s="809"/>
      <c r="AZ1209" s="809"/>
      <c r="BA1209" s="809"/>
      <c r="BB1209" s="809"/>
      <c r="BC1209" s="809"/>
      <c r="BD1209" s="809"/>
      <c r="BE1209" s="809"/>
      <c r="BF1209" s="809"/>
      <c r="BG1209" s="809"/>
      <c r="BH1209" s="809"/>
      <c r="BI1209" s="809"/>
      <c r="BJ1209" s="809"/>
      <c r="BK1209" s="809"/>
      <c r="BL1209" s="809"/>
      <c r="BM1209" s="809"/>
      <c r="BN1209" s="809"/>
    </row>
    <row r="1210" spans="1:66">
      <c r="A1210" s="809"/>
      <c r="B1210" s="809"/>
      <c r="C1210" s="809"/>
      <c r="D1210" s="809"/>
      <c r="E1210" s="809"/>
      <c r="F1210" s="809"/>
      <c r="G1210" s="809"/>
      <c r="H1210" s="809"/>
      <c r="I1210" s="809"/>
      <c r="J1210" s="809"/>
      <c r="K1210" s="809"/>
      <c r="L1210" s="809"/>
      <c r="M1210" s="809"/>
      <c r="N1210" s="809"/>
      <c r="O1210" s="809"/>
      <c r="P1210" s="809"/>
      <c r="Q1210" s="809"/>
      <c r="R1210" s="809"/>
      <c r="S1210" s="809"/>
      <c r="T1210" s="809"/>
      <c r="U1210" s="809"/>
      <c r="V1210" s="809"/>
      <c r="W1210" s="809"/>
      <c r="X1210" s="809"/>
      <c r="Y1210" s="809"/>
      <c r="Z1210" s="809"/>
      <c r="AA1210" s="809"/>
      <c r="AB1210" s="809"/>
      <c r="AC1210" s="809"/>
      <c r="AD1210" s="809"/>
      <c r="AE1210" s="809"/>
      <c r="AF1210" s="809"/>
      <c r="AG1210" s="809"/>
      <c r="AH1210" s="809"/>
      <c r="AI1210" s="809"/>
      <c r="AJ1210" s="809"/>
      <c r="AK1210" s="809"/>
      <c r="AL1210" s="809"/>
      <c r="AM1210" s="809"/>
      <c r="AN1210" s="809"/>
      <c r="AO1210" s="809"/>
      <c r="AP1210" s="809"/>
      <c r="AQ1210" s="809"/>
      <c r="AR1210" s="809"/>
      <c r="AS1210" s="809"/>
      <c r="AT1210" s="809"/>
      <c r="AU1210" s="809"/>
      <c r="AV1210" s="809"/>
      <c r="AW1210" s="809"/>
      <c r="AX1210" s="809"/>
      <c r="AY1210" s="809"/>
      <c r="AZ1210" s="809"/>
      <c r="BA1210" s="809"/>
      <c r="BB1210" s="809"/>
      <c r="BC1210" s="809"/>
      <c r="BD1210" s="809"/>
      <c r="BE1210" s="809"/>
      <c r="BF1210" s="809"/>
      <c r="BG1210" s="809"/>
      <c r="BH1210" s="809"/>
      <c r="BI1210" s="809"/>
      <c r="BJ1210" s="809"/>
      <c r="BK1210" s="809"/>
      <c r="BL1210" s="809"/>
      <c r="BM1210" s="809"/>
      <c r="BN1210" s="809"/>
    </row>
    <row r="1211" spans="1:66">
      <c r="A1211" s="809"/>
      <c r="B1211" s="809"/>
      <c r="C1211" s="809"/>
      <c r="D1211" s="809"/>
      <c r="E1211" s="809"/>
      <c r="F1211" s="809"/>
      <c r="G1211" s="809"/>
      <c r="H1211" s="809"/>
      <c r="I1211" s="809"/>
      <c r="J1211" s="809"/>
      <c r="K1211" s="809"/>
      <c r="L1211" s="809"/>
      <c r="M1211" s="809"/>
      <c r="N1211" s="809"/>
      <c r="O1211" s="809"/>
      <c r="P1211" s="809"/>
      <c r="Q1211" s="809"/>
      <c r="R1211" s="809"/>
      <c r="S1211" s="809"/>
      <c r="T1211" s="809"/>
      <c r="U1211" s="809"/>
      <c r="V1211" s="809"/>
      <c r="W1211" s="809"/>
      <c r="X1211" s="809"/>
      <c r="Y1211" s="809"/>
      <c r="Z1211" s="809"/>
      <c r="AA1211" s="809"/>
      <c r="AB1211" s="809"/>
      <c r="AC1211" s="809"/>
      <c r="AD1211" s="809"/>
      <c r="AE1211" s="809"/>
      <c r="AF1211" s="809"/>
      <c r="AG1211" s="809"/>
      <c r="AH1211" s="809"/>
      <c r="AI1211" s="809"/>
      <c r="AJ1211" s="809"/>
      <c r="AK1211" s="809"/>
      <c r="AL1211" s="809"/>
      <c r="AM1211" s="809"/>
      <c r="AN1211" s="809"/>
      <c r="AO1211" s="809"/>
      <c r="AP1211" s="809"/>
      <c r="AQ1211" s="809"/>
      <c r="AR1211" s="809"/>
      <c r="AS1211" s="809"/>
      <c r="AT1211" s="809"/>
      <c r="AU1211" s="809"/>
      <c r="AV1211" s="809"/>
      <c r="AW1211" s="809"/>
      <c r="AX1211" s="809"/>
      <c r="AY1211" s="809"/>
      <c r="AZ1211" s="809"/>
      <c r="BA1211" s="809"/>
      <c r="BB1211" s="809"/>
      <c r="BC1211" s="809"/>
      <c r="BD1211" s="809"/>
      <c r="BE1211" s="809"/>
      <c r="BF1211" s="809"/>
      <c r="BG1211" s="809"/>
      <c r="BH1211" s="809"/>
      <c r="BI1211" s="809"/>
      <c r="BJ1211" s="809"/>
      <c r="BK1211" s="809"/>
      <c r="BL1211" s="809"/>
      <c r="BM1211" s="809"/>
      <c r="BN1211" s="809"/>
    </row>
    <row r="1212" spans="1:66">
      <c r="A1212" s="809"/>
      <c r="B1212" s="809"/>
      <c r="C1212" s="809"/>
      <c r="D1212" s="809"/>
      <c r="E1212" s="809"/>
      <c r="F1212" s="809"/>
      <c r="G1212" s="809"/>
      <c r="H1212" s="809"/>
      <c r="I1212" s="809"/>
      <c r="J1212" s="809"/>
      <c r="K1212" s="809"/>
      <c r="L1212" s="809"/>
      <c r="M1212" s="809"/>
      <c r="N1212" s="809"/>
      <c r="O1212" s="809"/>
      <c r="P1212" s="809"/>
      <c r="Q1212" s="809"/>
      <c r="R1212" s="809"/>
      <c r="S1212" s="809"/>
      <c r="T1212" s="809"/>
      <c r="U1212" s="809"/>
      <c r="V1212" s="809"/>
      <c r="W1212" s="809"/>
      <c r="X1212" s="809"/>
      <c r="Y1212" s="809"/>
      <c r="Z1212" s="809"/>
      <c r="AA1212" s="809"/>
      <c r="AB1212" s="809"/>
      <c r="AC1212" s="809"/>
      <c r="AD1212" s="809"/>
      <c r="AE1212" s="809"/>
      <c r="AF1212" s="809"/>
      <c r="AG1212" s="809"/>
      <c r="AH1212" s="809"/>
      <c r="AI1212" s="809"/>
      <c r="AJ1212" s="809"/>
      <c r="AK1212" s="809"/>
      <c r="AL1212" s="809"/>
      <c r="AM1212" s="809"/>
      <c r="AN1212" s="809"/>
      <c r="AO1212" s="809"/>
      <c r="AP1212" s="809"/>
      <c r="AQ1212" s="809"/>
      <c r="AR1212" s="809"/>
      <c r="AS1212" s="809"/>
      <c r="AT1212" s="809"/>
      <c r="AU1212" s="809"/>
      <c r="AV1212" s="809"/>
      <c r="AW1212" s="809"/>
      <c r="AX1212" s="809"/>
      <c r="AY1212" s="809"/>
      <c r="AZ1212" s="809"/>
      <c r="BA1212" s="809"/>
      <c r="BB1212" s="809"/>
      <c r="BC1212" s="809"/>
      <c r="BD1212" s="809"/>
      <c r="BE1212" s="809"/>
      <c r="BF1212" s="809"/>
      <c r="BG1212" s="809"/>
      <c r="BH1212" s="809"/>
      <c r="BI1212" s="809"/>
      <c r="BJ1212" s="809"/>
      <c r="BK1212" s="809"/>
      <c r="BL1212" s="809"/>
      <c r="BM1212" s="809"/>
      <c r="BN1212" s="809"/>
    </row>
    <row r="1213" spans="1:66">
      <c r="A1213" s="809"/>
      <c r="B1213" s="809"/>
      <c r="C1213" s="809"/>
      <c r="D1213" s="809"/>
      <c r="E1213" s="809"/>
      <c r="F1213" s="809"/>
      <c r="G1213" s="809"/>
      <c r="H1213" s="809"/>
      <c r="I1213" s="809"/>
      <c r="J1213" s="809"/>
      <c r="K1213" s="809"/>
      <c r="L1213" s="809"/>
      <c r="M1213" s="809"/>
      <c r="N1213" s="809"/>
      <c r="O1213" s="809"/>
      <c r="P1213" s="809"/>
      <c r="Q1213" s="809"/>
      <c r="R1213" s="809"/>
      <c r="S1213" s="809"/>
      <c r="T1213" s="809"/>
      <c r="U1213" s="809"/>
      <c r="V1213" s="809"/>
      <c r="W1213" s="809"/>
      <c r="X1213" s="809"/>
      <c r="Y1213" s="809"/>
      <c r="Z1213" s="809"/>
      <c r="AA1213" s="809"/>
      <c r="AB1213" s="809"/>
      <c r="AC1213" s="809"/>
      <c r="AD1213" s="809"/>
      <c r="AE1213" s="809"/>
      <c r="AF1213" s="809"/>
      <c r="AG1213" s="809"/>
      <c r="AH1213" s="809"/>
      <c r="AI1213" s="809"/>
      <c r="AJ1213" s="809"/>
      <c r="AK1213" s="809"/>
      <c r="AL1213" s="809"/>
      <c r="AM1213" s="809"/>
      <c r="AN1213" s="809"/>
      <c r="AO1213" s="809"/>
      <c r="AP1213" s="809"/>
      <c r="AQ1213" s="809"/>
      <c r="AR1213" s="809"/>
      <c r="AS1213" s="809"/>
      <c r="AT1213" s="809"/>
      <c r="AU1213" s="809"/>
      <c r="AV1213" s="809"/>
      <c r="AW1213" s="809"/>
      <c r="AX1213" s="809"/>
      <c r="AY1213" s="809"/>
      <c r="AZ1213" s="809"/>
      <c r="BA1213" s="809"/>
      <c r="BB1213" s="809"/>
      <c r="BC1213" s="809"/>
      <c r="BD1213" s="809"/>
      <c r="BE1213" s="809"/>
      <c r="BF1213" s="809"/>
      <c r="BG1213" s="809"/>
      <c r="BH1213" s="809"/>
      <c r="BI1213" s="809"/>
      <c r="BJ1213" s="809"/>
      <c r="BK1213" s="809"/>
      <c r="BL1213" s="809"/>
      <c r="BM1213" s="809"/>
      <c r="BN1213" s="809"/>
    </row>
    <row r="1214" spans="1:66">
      <c r="A1214" s="809"/>
      <c r="B1214" s="809"/>
      <c r="C1214" s="809"/>
      <c r="D1214" s="809"/>
      <c r="E1214" s="809"/>
      <c r="F1214" s="809"/>
      <c r="G1214" s="809"/>
      <c r="H1214" s="809"/>
      <c r="I1214" s="809"/>
      <c r="J1214" s="809"/>
      <c r="K1214" s="809"/>
      <c r="L1214" s="809"/>
      <c r="M1214" s="809"/>
      <c r="N1214" s="809"/>
      <c r="O1214" s="809"/>
      <c r="P1214" s="809"/>
      <c r="Q1214" s="809"/>
      <c r="R1214" s="809"/>
      <c r="S1214" s="809"/>
      <c r="T1214" s="809"/>
      <c r="U1214" s="809"/>
      <c r="V1214" s="809"/>
      <c r="W1214" s="809"/>
      <c r="X1214" s="809"/>
      <c r="Y1214" s="809"/>
      <c r="Z1214" s="809"/>
      <c r="AA1214" s="809"/>
      <c r="AB1214" s="809"/>
      <c r="AC1214" s="809"/>
      <c r="AD1214" s="809"/>
      <c r="AE1214" s="809"/>
      <c r="AF1214" s="809"/>
      <c r="AG1214" s="809"/>
      <c r="AH1214" s="809"/>
      <c r="AI1214" s="809"/>
      <c r="AJ1214" s="809"/>
      <c r="AK1214" s="809"/>
      <c r="AL1214" s="809"/>
      <c r="AM1214" s="809"/>
      <c r="AN1214" s="809"/>
      <c r="AO1214" s="809"/>
      <c r="AP1214" s="809"/>
      <c r="AQ1214" s="809"/>
      <c r="AR1214" s="809"/>
      <c r="AS1214" s="809"/>
      <c r="AT1214" s="809"/>
      <c r="AU1214" s="809"/>
      <c r="AV1214" s="809"/>
      <c r="AW1214" s="809"/>
      <c r="AX1214" s="809"/>
      <c r="AY1214" s="809"/>
      <c r="AZ1214" s="809"/>
      <c r="BA1214" s="809"/>
      <c r="BB1214" s="809"/>
      <c r="BC1214" s="809"/>
      <c r="BD1214" s="809"/>
      <c r="BE1214" s="809"/>
      <c r="BF1214" s="809"/>
      <c r="BG1214" s="809"/>
      <c r="BH1214" s="809"/>
      <c r="BI1214" s="809"/>
      <c r="BJ1214" s="809"/>
      <c r="BK1214" s="809"/>
      <c r="BL1214" s="809"/>
      <c r="BM1214" s="809"/>
      <c r="BN1214" s="809"/>
    </row>
    <row r="1215" spans="1:66">
      <c r="A1215" s="809"/>
      <c r="B1215" s="809"/>
      <c r="C1215" s="809"/>
      <c r="D1215" s="809"/>
      <c r="E1215" s="809"/>
      <c r="F1215" s="809"/>
      <c r="G1215" s="809"/>
      <c r="H1215" s="809"/>
      <c r="I1215" s="809"/>
      <c r="J1215" s="809"/>
      <c r="K1215" s="809"/>
      <c r="L1215" s="809"/>
      <c r="M1215" s="809"/>
      <c r="N1215" s="809"/>
      <c r="O1215" s="809"/>
      <c r="P1215" s="809"/>
      <c r="Q1215" s="809"/>
      <c r="R1215" s="809"/>
      <c r="S1215" s="809"/>
      <c r="T1215" s="809"/>
      <c r="U1215" s="809"/>
      <c r="V1215" s="809"/>
      <c r="W1215" s="809"/>
      <c r="X1215" s="809"/>
      <c r="Y1215" s="809"/>
      <c r="Z1215" s="809"/>
      <c r="AA1215" s="809"/>
      <c r="AB1215" s="809"/>
      <c r="AC1215" s="809"/>
      <c r="AD1215" s="809"/>
      <c r="AE1215" s="809"/>
      <c r="AF1215" s="809"/>
      <c r="AG1215" s="809"/>
      <c r="AH1215" s="809"/>
      <c r="AI1215" s="809"/>
      <c r="AJ1215" s="809"/>
      <c r="AK1215" s="809"/>
      <c r="AL1215" s="809"/>
      <c r="AM1215" s="809"/>
      <c r="AN1215" s="809"/>
      <c r="AO1215" s="809"/>
      <c r="AP1215" s="809"/>
      <c r="AQ1215" s="809"/>
      <c r="AR1215" s="809"/>
      <c r="AS1215" s="809"/>
      <c r="AT1215" s="809"/>
      <c r="AU1215" s="809"/>
      <c r="AV1215" s="809"/>
      <c r="AW1215" s="809"/>
      <c r="AX1215" s="809"/>
      <c r="AY1215" s="809"/>
      <c r="AZ1215" s="809"/>
      <c r="BA1215" s="809"/>
      <c r="BB1215" s="809"/>
      <c r="BC1215" s="809"/>
      <c r="BD1215" s="809"/>
      <c r="BE1215" s="809"/>
      <c r="BF1215" s="809"/>
      <c r="BG1215" s="809"/>
      <c r="BH1215" s="809"/>
      <c r="BI1215" s="809"/>
      <c r="BJ1215" s="809"/>
      <c r="BK1215" s="809"/>
      <c r="BL1215" s="809"/>
      <c r="BM1215" s="809"/>
      <c r="BN1215" s="809"/>
    </row>
    <row r="1216" spans="1:66">
      <c r="A1216" s="809"/>
      <c r="B1216" s="809"/>
      <c r="C1216" s="809"/>
      <c r="D1216" s="809"/>
      <c r="E1216" s="809"/>
      <c r="F1216" s="809"/>
      <c r="G1216" s="809"/>
      <c r="H1216" s="809"/>
      <c r="I1216" s="809"/>
      <c r="J1216" s="809"/>
      <c r="K1216" s="809"/>
      <c r="L1216" s="809"/>
      <c r="M1216" s="809"/>
      <c r="N1216" s="809"/>
      <c r="O1216" s="809"/>
      <c r="P1216" s="809"/>
      <c r="Q1216" s="809"/>
      <c r="R1216" s="809"/>
      <c r="S1216" s="809"/>
      <c r="T1216" s="809"/>
      <c r="U1216" s="809"/>
      <c r="V1216" s="809"/>
      <c r="W1216" s="809"/>
      <c r="X1216" s="809"/>
      <c r="Y1216" s="809"/>
      <c r="Z1216" s="809"/>
      <c r="AA1216" s="809"/>
      <c r="AB1216" s="809"/>
      <c r="AC1216" s="809"/>
      <c r="AD1216" s="809"/>
      <c r="AE1216" s="809"/>
      <c r="AF1216" s="809"/>
      <c r="AG1216" s="809"/>
      <c r="AH1216" s="809"/>
      <c r="AI1216" s="809"/>
      <c r="AJ1216" s="809"/>
      <c r="AK1216" s="809"/>
      <c r="AL1216" s="809"/>
      <c r="AM1216" s="809"/>
      <c r="AN1216" s="809"/>
      <c r="AO1216" s="809"/>
      <c r="AP1216" s="809"/>
      <c r="AQ1216" s="809"/>
      <c r="AR1216" s="809"/>
      <c r="AS1216" s="809"/>
      <c r="AT1216" s="809"/>
      <c r="AU1216" s="809"/>
      <c r="AV1216" s="809"/>
      <c r="AW1216" s="809"/>
      <c r="AX1216" s="809"/>
      <c r="AY1216" s="809"/>
      <c r="AZ1216" s="809"/>
      <c r="BA1216" s="809"/>
      <c r="BB1216" s="809"/>
      <c r="BC1216" s="809"/>
      <c r="BD1216" s="809"/>
      <c r="BE1216" s="809"/>
      <c r="BF1216" s="809"/>
      <c r="BG1216" s="809"/>
      <c r="BH1216" s="809"/>
      <c r="BI1216" s="809"/>
      <c r="BJ1216" s="809"/>
      <c r="BK1216" s="809"/>
      <c r="BL1216" s="809"/>
      <c r="BM1216" s="809"/>
      <c r="BN1216" s="809"/>
    </row>
    <row r="1217" spans="1:66">
      <c r="A1217" s="809"/>
      <c r="B1217" s="809"/>
      <c r="C1217" s="809"/>
      <c r="D1217" s="809"/>
      <c r="E1217" s="809"/>
      <c r="F1217" s="809"/>
      <c r="G1217" s="809"/>
      <c r="H1217" s="809"/>
      <c r="I1217" s="809"/>
      <c r="J1217" s="809"/>
      <c r="K1217" s="809"/>
      <c r="L1217" s="809"/>
      <c r="M1217" s="809"/>
      <c r="N1217" s="809"/>
      <c r="O1217" s="809"/>
      <c r="P1217" s="809"/>
      <c r="Q1217" s="809"/>
      <c r="R1217" s="809"/>
      <c r="S1217" s="809"/>
      <c r="T1217" s="809"/>
      <c r="U1217" s="809"/>
      <c r="V1217" s="809"/>
      <c r="W1217" s="809"/>
      <c r="X1217" s="809"/>
      <c r="Y1217" s="809"/>
      <c r="Z1217" s="809"/>
      <c r="AA1217" s="809"/>
      <c r="AB1217" s="809"/>
      <c r="AC1217" s="809"/>
      <c r="AD1217" s="809"/>
      <c r="AE1217" s="809"/>
      <c r="AF1217" s="809"/>
      <c r="AG1217" s="809"/>
      <c r="AH1217" s="809"/>
      <c r="AI1217" s="809"/>
      <c r="AJ1217" s="809"/>
      <c r="AK1217" s="809"/>
      <c r="AL1217" s="809"/>
      <c r="AM1217" s="809"/>
      <c r="AN1217" s="809"/>
      <c r="AO1217" s="809"/>
      <c r="AP1217" s="809"/>
      <c r="AQ1217" s="809"/>
      <c r="AR1217" s="809"/>
      <c r="AS1217" s="809"/>
      <c r="AT1217" s="809"/>
      <c r="AU1217" s="809"/>
      <c r="AV1217" s="809"/>
      <c r="AW1217" s="809"/>
      <c r="AX1217" s="809"/>
      <c r="AY1217" s="809"/>
      <c r="AZ1217" s="809"/>
      <c r="BA1217" s="809"/>
      <c r="BB1217" s="809"/>
      <c r="BC1217" s="809"/>
      <c r="BD1217" s="809"/>
      <c r="BE1217" s="809"/>
      <c r="BF1217" s="809"/>
      <c r="BG1217" s="809"/>
      <c r="BH1217" s="809"/>
      <c r="BI1217" s="809"/>
      <c r="BJ1217" s="809"/>
      <c r="BK1217" s="809"/>
      <c r="BL1217" s="809"/>
      <c r="BM1217" s="809"/>
      <c r="BN1217" s="809"/>
    </row>
    <row r="1218" spans="1:66">
      <c r="A1218" s="809"/>
      <c r="B1218" s="809"/>
      <c r="C1218" s="809"/>
      <c r="D1218" s="809"/>
      <c r="E1218" s="809"/>
      <c r="F1218" s="809"/>
      <c r="G1218" s="809"/>
      <c r="H1218" s="809"/>
      <c r="I1218" s="809"/>
      <c r="J1218" s="809"/>
      <c r="K1218" s="809"/>
      <c r="L1218" s="809"/>
      <c r="M1218" s="809"/>
      <c r="N1218" s="809"/>
      <c r="O1218" s="809"/>
      <c r="P1218" s="809"/>
      <c r="Q1218" s="809"/>
      <c r="R1218" s="809"/>
      <c r="S1218" s="809"/>
      <c r="T1218" s="809"/>
      <c r="U1218" s="809"/>
      <c r="V1218" s="809"/>
      <c r="W1218" s="809"/>
      <c r="X1218" s="809"/>
      <c r="Y1218" s="809"/>
      <c r="Z1218" s="809"/>
      <c r="AA1218" s="809"/>
      <c r="AB1218" s="809"/>
      <c r="AC1218" s="809"/>
      <c r="AD1218" s="809"/>
      <c r="AE1218" s="809"/>
      <c r="AF1218" s="809"/>
      <c r="AG1218" s="809"/>
      <c r="AH1218" s="809"/>
      <c r="AI1218" s="809"/>
      <c r="AJ1218" s="809"/>
      <c r="AK1218" s="809"/>
      <c r="AL1218" s="809"/>
      <c r="AM1218" s="809"/>
      <c r="AN1218" s="809"/>
      <c r="AO1218" s="809"/>
      <c r="AP1218" s="809"/>
      <c r="AQ1218" s="809"/>
      <c r="AR1218" s="809"/>
      <c r="AS1218" s="809"/>
      <c r="AT1218" s="809"/>
      <c r="AU1218" s="809"/>
      <c r="AV1218" s="809"/>
      <c r="AW1218" s="809"/>
      <c r="AX1218" s="809"/>
      <c r="AY1218" s="809"/>
      <c r="AZ1218" s="809"/>
      <c r="BA1218" s="809"/>
      <c r="BB1218" s="809"/>
      <c r="BC1218" s="809"/>
      <c r="BD1218" s="809"/>
      <c r="BE1218" s="809"/>
      <c r="BF1218" s="809"/>
      <c r="BG1218" s="809"/>
      <c r="BH1218" s="809"/>
      <c r="BI1218" s="809"/>
      <c r="BJ1218" s="809"/>
      <c r="BK1218" s="809"/>
      <c r="BL1218" s="809"/>
      <c r="BM1218" s="809"/>
      <c r="BN1218" s="809"/>
    </row>
    <row r="1219" spans="1:66">
      <c r="A1219" s="809"/>
      <c r="B1219" s="809"/>
      <c r="C1219" s="809"/>
      <c r="D1219" s="809"/>
      <c r="E1219" s="809"/>
      <c r="F1219" s="809"/>
      <c r="G1219" s="809"/>
      <c r="H1219" s="809"/>
      <c r="I1219" s="809"/>
      <c r="J1219" s="809"/>
      <c r="K1219" s="809"/>
      <c r="L1219" s="809"/>
      <c r="M1219" s="809"/>
      <c r="N1219" s="809"/>
      <c r="O1219" s="809"/>
      <c r="P1219" s="809"/>
      <c r="Q1219" s="809"/>
      <c r="R1219" s="809"/>
      <c r="S1219" s="809"/>
      <c r="T1219" s="809"/>
      <c r="U1219" s="809"/>
      <c r="V1219" s="809"/>
      <c r="W1219" s="809"/>
      <c r="X1219" s="809"/>
      <c r="Y1219" s="809"/>
      <c r="Z1219" s="809"/>
      <c r="AA1219" s="809"/>
      <c r="AB1219" s="809"/>
      <c r="AC1219" s="809"/>
      <c r="AD1219" s="809"/>
      <c r="AE1219" s="809"/>
      <c r="AF1219" s="809"/>
      <c r="AG1219" s="809"/>
      <c r="AH1219" s="809"/>
      <c r="AI1219" s="809"/>
      <c r="AJ1219" s="809"/>
      <c r="AK1219" s="809"/>
      <c r="AL1219" s="809"/>
      <c r="AM1219" s="809"/>
      <c r="AN1219" s="809"/>
      <c r="AO1219" s="809"/>
      <c r="AP1219" s="809"/>
      <c r="AQ1219" s="809"/>
      <c r="AR1219" s="809"/>
      <c r="AS1219" s="809"/>
      <c r="AT1219" s="809"/>
      <c r="AU1219" s="809"/>
      <c r="AV1219" s="809"/>
      <c r="AW1219" s="809"/>
      <c r="AX1219" s="809"/>
      <c r="AY1219" s="809"/>
      <c r="AZ1219" s="809"/>
      <c r="BA1219" s="809"/>
      <c r="BB1219" s="809"/>
      <c r="BC1219" s="809"/>
      <c r="BD1219" s="809"/>
      <c r="BE1219" s="809"/>
      <c r="BF1219" s="809"/>
      <c r="BG1219" s="809"/>
      <c r="BH1219" s="809"/>
      <c r="BI1219" s="809"/>
      <c r="BJ1219" s="809"/>
      <c r="BK1219" s="809"/>
      <c r="BL1219" s="809"/>
      <c r="BM1219" s="809"/>
      <c r="BN1219" s="809"/>
    </row>
    <row r="1220" spans="1:66">
      <c r="A1220" s="809"/>
      <c r="B1220" s="809"/>
      <c r="C1220" s="809"/>
      <c r="D1220" s="809"/>
      <c r="E1220" s="809"/>
      <c r="F1220" s="809"/>
      <c r="G1220" s="809"/>
      <c r="H1220" s="809"/>
      <c r="I1220" s="809"/>
      <c r="J1220" s="809"/>
      <c r="K1220" s="809"/>
      <c r="L1220" s="809"/>
      <c r="M1220" s="809"/>
      <c r="N1220" s="809"/>
      <c r="O1220" s="809"/>
      <c r="P1220" s="809"/>
      <c r="Q1220" s="809"/>
      <c r="R1220" s="809"/>
      <c r="S1220" s="809"/>
      <c r="T1220" s="809"/>
      <c r="U1220" s="809"/>
      <c r="V1220" s="809"/>
      <c r="W1220" s="809"/>
      <c r="X1220" s="809"/>
      <c r="Y1220" s="809"/>
      <c r="Z1220" s="809"/>
      <c r="AA1220" s="809"/>
      <c r="AB1220" s="809"/>
      <c r="AC1220" s="809"/>
      <c r="AD1220" s="809"/>
      <c r="AE1220" s="809"/>
      <c r="AF1220" s="809"/>
      <c r="AG1220" s="809"/>
      <c r="AH1220" s="809"/>
      <c r="AI1220" s="809"/>
      <c r="AJ1220" s="809"/>
      <c r="AK1220" s="809"/>
      <c r="AL1220" s="809"/>
      <c r="AM1220" s="809"/>
      <c r="AN1220" s="809"/>
      <c r="AO1220" s="809"/>
      <c r="AP1220" s="809"/>
      <c r="AQ1220" s="809"/>
      <c r="AR1220" s="809"/>
      <c r="AS1220" s="809"/>
      <c r="AT1220" s="809"/>
      <c r="AU1220" s="809"/>
      <c r="AV1220" s="809"/>
      <c r="AW1220" s="809"/>
      <c r="AX1220" s="809"/>
      <c r="AY1220" s="809"/>
      <c r="AZ1220" s="809"/>
      <c r="BA1220" s="809"/>
      <c r="BB1220" s="809"/>
      <c r="BC1220" s="809"/>
      <c r="BD1220" s="809"/>
      <c r="BE1220" s="809"/>
      <c r="BF1220" s="809"/>
      <c r="BG1220" s="809"/>
      <c r="BH1220" s="809"/>
      <c r="BI1220" s="809"/>
      <c r="BJ1220" s="809"/>
      <c r="BK1220" s="809"/>
      <c r="BL1220" s="809"/>
      <c r="BM1220" s="809"/>
      <c r="BN1220" s="809"/>
    </row>
    <row r="1221" spans="1:66">
      <c r="A1221" s="809"/>
      <c r="B1221" s="809"/>
      <c r="C1221" s="809"/>
      <c r="D1221" s="809"/>
      <c r="E1221" s="809"/>
      <c r="F1221" s="809"/>
      <c r="G1221" s="809"/>
      <c r="H1221" s="809"/>
      <c r="I1221" s="809"/>
      <c r="J1221" s="809"/>
      <c r="K1221" s="809"/>
      <c r="L1221" s="809"/>
      <c r="M1221" s="809"/>
      <c r="N1221" s="809"/>
      <c r="O1221" s="809"/>
      <c r="P1221" s="809"/>
      <c r="Q1221" s="809"/>
      <c r="R1221" s="809"/>
      <c r="S1221" s="809"/>
      <c r="T1221" s="809"/>
      <c r="U1221" s="809"/>
      <c r="V1221" s="809"/>
      <c r="W1221" s="809"/>
      <c r="X1221" s="809"/>
      <c r="Y1221" s="809"/>
      <c r="Z1221" s="809"/>
      <c r="AA1221" s="809"/>
      <c r="AB1221" s="809"/>
      <c r="AC1221" s="809"/>
      <c r="AD1221" s="809"/>
      <c r="AE1221" s="809"/>
      <c r="AF1221" s="809"/>
      <c r="AG1221" s="809"/>
      <c r="AH1221" s="809"/>
      <c r="AI1221" s="809"/>
      <c r="AJ1221" s="809"/>
      <c r="AK1221" s="809"/>
      <c r="AL1221" s="809"/>
      <c r="AM1221" s="809"/>
      <c r="AN1221" s="809"/>
      <c r="AO1221" s="809"/>
      <c r="AP1221" s="809"/>
      <c r="AQ1221" s="809"/>
      <c r="AR1221" s="809"/>
      <c r="AS1221" s="809"/>
      <c r="AT1221" s="809"/>
      <c r="AU1221" s="809"/>
      <c r="AV1221" s="809"/>
      <c r="AW1221" s="809"/>
      <c r="AX1221" s="809"/>
      <c r="AY1221" s="809"/>
      <c r="AZ1221" s="809"/>
      <c r="BA1221" s="809"/>
      <c r="BB1221" s="809"/>
      <c r="BC1221" s="809"/>
      <c r="BD1221" s="809"/>
      <c r="BE1221" s="809"/>
      <c r="BF1221" s="809"/>
      <c r="BG1221" s="809"/>
      <c r="BH1221" s="809"/>
      <c r="BI1221" s="809"/>
      <c r="BJ1221" s="809"/>
      <c r="BK1221" s="809"/>
      <c r="BL1221" s="809"/>
      <c r="BM1221" s="809"/>
      <c r="BN1221" s="809"/>
    </row>
    <row r="1222" spans="1:66">
      <c r="A1222" s="809"/>
      <c r="B1222" s="809"/>
      <c r="C1222" s="809"/>
      <c r="D1222" s="809"/>
      <c r="E1222" s="809"/>
      <c r="F1222" s="809"/>
      <c r="G1222" s="809"/>
      <c r="H1222" s="809"/>
      <c r="I1222" s="809"/>
      <c r="J1222" s="809"/>
      <c r="K1222" s="809"/>
      <c r="L1222" s="809"/>
      <c r="M1222" s="809"/>
      <c r="N1222" s="809"/>
      <c r="O1222" s="809"/>
      <c r="P1222" s="809"/>
      <c r="Q1222" s="809"/>
      <c r="R1222" s="809"/>
      <c r="S1222" s="809"/>
      <c r="T1222" s="809"/>
      <c r="U1222" s="809"/>
      <c r="V1222" s="809"/>
      <c r="W1222" s="809"/>
      <c r="X1222" s="809"/>
      <c r="Y1222" s="809"/>
      <c r="Z1222" s="809"/>
      <c r="AA1222" s="809"/>
      <c r="AB1222" s="809"/>
      <c r="AC1222" s="809"/>
      <c r="AD1222" s="809"/>
      <c r="AE1222" s="809"/>
      <c r="AF1222" s="809"/>
      <c r="AG1222" s="809"/>
      <c r="AH1222" s="809"/>
      <c r="AI1222" s="809"/>
      <c r="AJ1222" s="809"/>
      <c r="AK1222" s="809"/>
      <c r="AL1222" s="809"/>
      <c r="AM1222" s="809"/>
      <c r="AN1222" s="809"/>
      <c r="AO1222" s="809"/>
      <c r="AP1222" s="809"/>
      <c r="AQ1222" s="809"/>
      <c r="AR1222" s="809"/>
      <c r="AS1222" s="809"/>
      <c r="AT1222" s="809"/>
      <c r="AU1222" s="809"/>
      <c r="AV1222" s="809"/>
      <c r="AW1222" s="809"/>
      <c r="AX1222" s="809"/>
      <c r="AY1222" s="809"/>
      <c r="AZ1222" s="809"/>
      <c r="BA1222" s="809"/>
      <c r="BB1222" s="809"/>
      <c r="BC1222" s="809"/>
      <c r="BD1222" s="809"/>
      <c r="BE1222" s="809"/>
      <c r="BF1222" s="809"/>
      <c r="BG1222" s="809"/>
      <c r="BH1222" s="809"/>
      <c r="BI1222" s="809"/>
      <c r="BJ1222" s="809"/>
      <c r="BK1222" s="809"/>
      <c r="BL1222" s="809"/>
      <c r="BM1222" s="809"/>
      <c r="BN1222" s="809"/>
    </row>
    <row r="1223" spans="1:66">
      <c r="A1223" s="809"/>
      <c r="B1223" s="809"/>
      <c r="C1223" s="809"/>
      <c r="D1223" s="809"/>
      <c r="E1223" s="809"/>
      <c r="F1223" s="809"/>
      <c r="G1223" s="809"/>
      <c r="H1223" s="809"/>
      <c r="I1223" s="809"/>
      <c r="J1223" s="809"/>
      <c r="K1223" s="809"/>
      <c r="L1223" s="809"/>
      <c r="M1223" s="809"/>
      <c r="N1223" s="809"/>
      <c r="O1223" s="809"/>
      <c r="P1223" s="809"/>
      <c r="Q1223" s="809"/>
      <c r="R1223" s="809"/>
      <c r="S1223" s="809"/>
      <c r="T1223" s="809"/>
      <c r="U1223" s="809"/>
      <c r="V1223" s="809"/>
      <c r="W1223" s="809"/>
      <c r="X1223" s="809"/>
      <c r="Y1223" s="809"/>
      <c r="Z1223" s="809"/>
      <c r="AA1223" s="809"/>
      <c r="AB1223" s="809"/>
      <c r="AC1223" s="809"/>
      <c r="AD1223" s="809"/>
      <c r="AE1223" s="809"/>
      <c r="AF1223" s="809"/>
      <c r="AG1223" s="809"/>
      <c r="AH1223" s="809"/>
      <c r="AI1223" s="809"/>
      <c r="AJ1223" s="809"/>
      <c r="AK1223" s="809"/>
      <c r="AL1223" s="809"/>
      <c r="AM1223" s="809"/>
      <c r="AN1223" s="809"/>
      <c r="AO1223" s="809"/>
      <c r="AP1223" s="809"/>
      <c r="AQ1223" s="809"/>
      <c r="AR1223" s="809"/>
      <c r="AS1223" s="809"/>
      <c r="AT1223" s="809"/>
      <c r="AU1223" s="809"/>
      <c r="AV1223" s="809"/>
      <c r="AW1223" s="809"/>
      <c r="AX1223" s="809"/>
      <c r="AY1223" s="809"/>
      <c r="AZ1223" s="809"/>
      <c r="BA1223" s="809"/>
      <c r="BB1223" s="809"/>
      <c r="BC1223" s="809"/>
      <c r="BD1223" s="809"/>
      <c r="BE1223" s="809"/>
      <c r="BF1223" s="809"/>
      <c r="BG1223" s="809"/>
      <c r="BH1223" s="809"/>
      <c r="BI1223" s="809"/>
      <c r="BJ1223" s="809"/>
      <c r="BK1223" s="809"/>
      <c r="BL1223" s="809"/>
      <c r="BM1223" s="809"/>
      <c r="BN1223" s="809"/>
    </row>
    <row r="1224" spans="1:66">
      <c r="A1224" s="809"/>
      <c r="B1224" s="809"/>
      <c r="C1224" s="809"/>
      <c r="D1224" s="809"/>
      <c r="E1224" s="809"/>
      <c r="F1224" s="809"/>
      <c r="G1224" s="809"/>
      <c r="H1224" s="809"/>
      <c r="I1224" s="809"/>
      <c r="J1224" s="809"/>
      <c r="K1224" s="809"/>
      <c r="L1224" s="809"/>
      <c r="M1224" s="809"/>
      <c r="N1224" s="809"/>
      <c r="O1224" s="809"/>
      <c r="P1224" s="809"/>
      <c r="Q1224" s="809"/>
      <c r="R1224" s="809"/>
      <c r="S1224" s="809"/>
      <c r="T1224" s="809"/>
      <c r="U1224" s="809"/>
      <c r="V1224" s="809"/>
      <c r="W1224" s="809"/>
      <c r="X1224" s="809"/>
      <c r="Y1224" s="809"/>
      <c r="Z1224" s="809"/>
      <c r="AA1224" s="809"/>
      <c r="AB1224" s="809"/>
      <c r="AC1224" s="809"/>
      <c r="AD1224" s="809"/>
      <c r="AE1224" s="809"/>
      <c r="AF1224" s="809"/>
      <c r="AG1224" s="809"/>
      <c r="AH1224" s="809"/>
      <c r="AI1224" s="809"/>
      <c r="AJ1224" s="809"/>
      <c r="AK1224" s="809"/>
      <c r="AL1224" s="809"/>
      <c r="AM1224" s="809"/>
      <c r="AN1224" s="809"/>
      <c r="AO1224" s="809"/>
      <c r="AP1224" s="809"/>
      <c r="AQ1224" s="809"/>
      <c r="AR1224" s="809"/>
      <c r="AS1224" s="809"/>
      <c r="AT1224" s="809"/>
      <c r="AU1224" s="809"/>
      <c r="AV1224" s="809"/>
      <c r="AW1224" s="809"/>
      <c r="AX1224" s="809"/>
      <c r="AY1224" s="809"/>
      <c r="AZ1224" s="809"/>
      <c r="BA1224" s="809"/>
      <c r="BB1224" s="809"/>
      <c r="BC1224" s="809"/>
      <c r="BD1224" s="809"/>
      <c r="BE1224" s="809"/>
      <c r="BF1224" s="809"/>
      <c r="BG1224" s="809"/>
      <c r="BH1224" s="809"/>
      <c r="BI1224" s="809"/>
      <c r="BJ1224" s="809"/>
      <c r="BK1224" s="809"/>
      <c r="BL1224" s="809"/>
      <c r="BM1224" s="809"/>
      <c r="BN1224" s="809"/>
    </row>
    <row r="1225" spans="1:66">
      <c r="A1225" s="809"/>
      <c r="B1225" s="809"/>
      <c r="C1225" s="809"/>
      <c r="D1225" s="809"/>
      <c r="E1225" s="809"/>
      <c r="F1225" s="809"/>
      <c r="G1225" s="809"/>
      <c r="H1225" s="809"/>
      <c r="I1225" s="809"/>
      <c r="J1225" s="809"/>
      <c r="K1225" s="809"/>
      <c r="L1225" s="809"/>
      <c r="M1225" s="809"/>
      <c r="N1225" s="809"/>
      <c r="O1225" s="809"/>
      <c r="P1225" s="809"/>
      <c r="Q1225" s="809"/>
      <c r="R1225" s="809"/>
      <c r="S1225" s="809"/>
      <c r="T1225" s="809"/>
      <c r="U1225" s="809"/>
      <c r="V1225" s="809"/>
      <c r="W1225" s="809"/>
      <c r="X1225" s="809"/>
      <c r="Y1225" s="809"/>
      <c r="Z1225" s="809"/>
      <c r="AA1225" s="809"/>
      <c r="AB1225" s="809"/>
      <c r="AC1225" s="809"/>
      <c r="AD1225" s="809"/>
      <c r="AE1225" s="809"/>
      <c r="AF1225" s="809"/>
      <c r="AG1225" s="809"/>
      <c r="AH1225" s="809"/>
      <c r="AI1225" s="809"/>
      <c r="AJ1225" s="809"/>
      <c r="AK1225" s="809"/>
      <c r="AL1225" s="809"/>
      <c r="AM1225" s="809"/>
      <c r="AN1225" s="809"/>
      <c r="AO1225" s="809"/>
      <c r="AP1225" s="809"/>
      <c r="AQ1225" s="809"/>
      <c r="AR1225" s="809"/>
      <c r="AS1225" s="809"/>
      <c r="AT1225" s="809"/>
      <c r="AU1225" s="809"/>
      <c r="AV1225" s="809"/>
      <c r="AW1225" s="809"/>
      <c r="AX1225" s="809"/>
      <c r="AY1225" s="809"/>
      <c r="AZ1225" s="809"/>
      <c r="BA1225" s="809"/>
      <c r="BB1225" s="809"/>
      <c r="BC1225" s="809"/>
      <c r="BD1225" s="809"/>
      <c r="BE1225" s="809"/>
      <c r="BF1225" s="809"/>
      <c r="BG1225" s="809"/>
      <c r="BH1225" s="809"/>
      <c r="BI1225" s="809"/>
      <c r="BJ1225" s="809"/>
      <c r="BK1225" s="809"/>
      <c r="BL1225" s="809"/>
      <c r="BM1225" s="809"/>
      <c r="BN1225" s="809"/>
    </row>
    <row r="1226" spans="1:66">
      <c r="A1226" s="809"/>
      <c r="B1226" s="809"/>
      <c r="C1226" s="809"/>
      <c r="D1226" s="809"/>
      <c r="E1226" s="809"/>
      <c r="F1226" s="809"/>
      <c r="G1226" s="809"/>
      <c r="H1226" s="809"/>
      <c r="I1226" s="809"/>
      <c r="J1226" s="809"/>
      <c r="K1226" s="809"/>
      <c r="L1226" s="809"/>
      <c r="M1226" s="809"/>
      <c r="N1226" s="809"/>
      <c r="O1226" s="809"/>
      <c r="P1226" s="809"/>
      <c r="Q1226" s="809"/>
      <c r="R1226" s="809"/>
      <c r="S1226" s="809"/>
      <c r="T1226" s="809"/>
      <c r="U1226" s="809"/>
      <c r="V1226" s="809"/>
      <c r="W1226" s="809"/>
      <c r="X1226" s="809"/>
      <c r="Y1226" s="809"/>
      <c r="Z1226" s="809"/>
      <c r="AA1226" s="809"/>
      <c r="AB1226" s="809"/>
      <c r="AC1226" s="809"/>
      <c r="AD1226" s="809"/>
      <c r="AE1226" s="809"/>
      <c r="AF1226" s="809"/>
      <c r="AG1226" s="809"/>
      <c r="AH1226" s="809"/>
      <c r="AI1226" s="809"/>
      <c r="AJ1226" s="809"/>
      <c r="AK1226" s="809"/>
      <c r="AL1226" s="809"/>
      <c r="AM1226" s="809"/>
      <c r="AN1226" s="809"/>
      <c r="AO1226" s="809"/>
      <c r="AP1226" s="809"/>
      <c r="AQ1226" s="809"/>
      <c r="AR1226" s="809"/>
      <c r="AS1226" s="809"/>
      <c r="AT1226" s="809"/>
      <c r="AU1226" s="809"/>
      <c r="AV1226" s="809"/>
      <c r="AW1226" s="809"/>
      <c r="AX1226" s="809"/>
      <c r="AY1226" s="809"/>
      <c r="AZ1226" s="809"/>
      <c r="BA1226" s="809"/>
      <c r="BB1226" s="809"/>
      <c r="BC1226" s="809"/>
      <c r="BD1226" s="809"/>
      <c r="BE1226" s="809"/>
      <c r="BF1226" s="809"/>
      <c r="BG1226" s="809"/>
      <c r="BH1226" s="809"/>
      <c r="BI1226" s="809"/>
      <c r="BJ1226" s="809"/>
      <c r="BK1226" s="809"/>
      <c r="BL1226" s="809"/>
      <c r="BM1226" s="809"/>
      <c r="BN1226" s="809"/>
    </row>
    <row r="1227" spans="1:66">
      <c r="A1227" s="809"/>
      <c r="B1227" s="809"/>
      <c r="C1227" s="809"/>
      <c r="D1227" s="809"/>
      <c r="E1227" s="809"/>
      <c r="F1227" s="809"/>
      <c r="G1227" s="809"/>
      <c r="H1227" s="809"/>
      <c r="I1227" s="809"/>
      <c r="J1227" s="809"/>
      <c r="K1227" s="809"/>
      <c r="L1227" s="809"/>
      <c r="M1227" s="809"/>
      <c r="N1227" s="809"/>
      <c r="O1227" s="809"/>
      <c r="P1227" s="809"/>
      <c r="Q1227" s="809"/>
      <c r="R1227" s="809"/>
      <c r="S1227" s="809"/>
      <c r="T1227" s="809"/>
      <c r="U1227" s="809"/>
      <c r="V1227" s="809"/>
      <c r="W1227" s="809"/>
      <c r="X1227" s="809"/>
      <c r="Y1227" s="809"/>
      <c r="Z1227" s="809"/>
      <c r="AA1227" s="809"/>
      <c r="AB1227" s="809"/>
      <c r="AC1227" s="809"/>
      <c r="AD1227" s="809"/>
      <c r="AE1227" s="809"/>
      <c r="AF1227" s="809"/>
      <c r="AG1227" s="809"/>
      <c r="AH1227" s="809"/>
      <c r="AI1227" s="809"/>
      <c r="AJ1227" s="809"/>
      <c r="AK1227" s="809"/>
      <c r="AL1227" s="809"/>
      <c r="AM1227" s="809"/>
      <c r="AN1227" s="809"/>
      <c r="AO1227" s="809"/>
      <c r="AP1227" s="809"/>
      <c r="AQ1227" s="809"/>
      <c r="AR1227" s="809"/>
      <c r="AS1227" s="809"/>
      <c r="AT1227" s="809"/>
      <c r="AU1227" s="809"/>
      <c r="AV1227" s="809"/>
      <c r="AW1227" s="809"/>
      <c r="AX1227" s="809"/>
      <c r="AY1227" s="809"/>
      <c r="AZ1227" s="809"/>
      <c r="BA1227" s="809"/>
      <c r="BB1227" s="809"/>
      <c r="BC1227" s="809"/>
      <c r="BD1227" s="809"/>
      <c r="BE1227" s="809"/>
      <c r="BF1227" s="809"/>
      <c r="BG1227" s="809"/>
      <c r="BH1227" s="809"/>
      <c r="BI1227" s="809"/>
      <c r="BJ1227" s="809"/>
      <c r="BK1227" s="809"/>
      <c r="BL1227" s="809"/>
      <c r="BM1227" s="809"/>
      <c r="BN1227" s="809"/>
    </row>
    <row r="1228" spans="1:66">
      <c r="A1228" s="809"/>
      <c r="B1228" s="809"/>
      <c r="C1228" s="809"/>
      <c r="D1228" s="809"/>
      <c r="E1228" s="809"/>
      <c r="F1228" s="809"/>
      <c r="G1228" s="809"/>
      <c r="H1228" s="809"/>
      <c r="I1228" s="809"/>
      <c r="J1228" s="809"/>
      <c r="K1228" s="809"/>
      <c r="L1228" s="809"/>
      <c r="M1228" s="809"/>
      <c r="N1228" s="809"/>
      <c r="O1228" s="809"/>
      <c r="P1228" s="809"/>
      <c r="Q1228" s="809"/>
      <c r="R1228" s="809"/>
      <c r="S1228" s="809"/>
      <c r="T1228" s="809"/>
      <c r="U1228" s="809"/>
      <c r="V1228" s="809"/>
      <c r="W1228" s="809"/>
      <c r="X1228" s="809"/>
      <c r="Y1228" s="809"/>
      <c r="Z1228" s="809"/>
      <c r="AA1228" s="809"/>
      <c r="AB1228" s="809"/>
      <c r="AC1228" s="809"/>
      <c r="AD1228" s="809"/>
      <c r="AE1228" s="809"/>
      <c r="AF1228" s="809"/>
      <c r="AG1228" s="809"/>
      <c r="AH1228" s="809"/>
      <c r="AI1228" s="809"/>
      <c r="AJ1228" s="809"/>
      <c r="AK1228" s="809"/>
      <c r="AL1228" s="809"/>
      <c r="AM1228" s="809"/>
      <c r="AN1228" s="809"/>
      <c r="AO1228" s="809"/>
      <c r="AP1228" s="809"/>
      <c r="AQ1228" s="809"/>
      <c r="AR1228" s="809"/>
      <c r="AS1228" s="809"/>
      <c r="AT1228" s="809"/>
      <c r="AU1228" s="809"/>
      <c r="AV1228" s="809"/>
      <c r="AW1228" s="809"/>
      <c r="AX1228" s="809"/>
      <c r="AY1228" s="809"/>
      <c r="AZ1228" s="809"/>
      <c r="BA1228" s="809"/>
      <c r="BB1228" s="809"/>
      <c r="BC1228" s="809"/>
      <c r="BD1228" s="809"/>
      <c r="BE1228" s="809"/>
      <c r="BF1228" s="809"/>
      <c r="BG1228" s="809"/>
      <c r="BH1228" s="809"/>
      <c r="BI1228" s="809"/>
      <c r="BJ1228" s="809"/>
      <c r="BK1228" s="809"/>
      <c r="BL1228" s="809"/>
      <c r="BM1228" s="809"/>
      <c r="BN1228" s="809"/>
    </row>
    <row r="1229" spans="1:66">
      <c r="A1229" s="809"/>
      <c r="B1229" s="809"/>
      <c r="C1229" s="809"/>
      <c r="D1229" s="809"/>
      <c r="E1229" s="809"/>
      <c r="F1229" s="809"/>
      <c r="G1229" s="809"/>
      <c r="H1229" s="809"/>
      <c r="I1229" s="809"/>
      <c r="J1229" s="809"/>
      <c r="K1229" s="809"/>
      <c r="L1229" s="809"/>
      <c r="M1229" s="809"/>
      <c r="N1229" s="809"/>
      <c r="O1229" s="809"/>
      <c r="P1229" s="809"/>
      <c r="Q1229" s="809"/>
      <c r="R1229" s="809"/>
      <c r="S1229" s="809"/>
      <c r="T1229" s="809"/>
      <c r="U1229" s="809"/>
      <c r="V1229" s="809"/>
      <c r="W1229" s="809"/>
      <c r="X1229" s="809"/>
      <c r="Y1229" s="809"/>
      <c r="Z1229" s="809"/>
      <c r="AA1229" s="809"/>
      <c r="AB1229" s="809"/>
      <c r="AC1229" s="809"/>
      <c r="AD1229" s="809"/>
      <c r="AE1229" s="809"/>
      <c r="AF1229" s="809"/>
      <c r="AG1229" s="809"/>
      <c r="AH1229" s="809"/>
      <c r="AI1229" s="809"/>
      <c r="AJ1229" s="809"/>
      <c r="AK1229" s="809"/>
      <c r="AL1229" s="809"/>
      <c r="AM1229" s="809"/>
      <c r="AN1229" s="809"/>
      <c r="AO1229" s="809"/>
      <c r="AP1229" s="809"/>
      <c r="AQ1229" s="809"/>
      <c r="AR1229" s="809"/>
      <c r="AS1229" s="809"/>
      <c r="AT1229" s="809"/>
      <c r="AU1229" s="809"/>
      <c r="AV1229" s="809"/>
      <c r="AW1229" s="809"/>
      <c r="AX1229" s="809"/>
      <c r="AY1229" s="809"/>
      <c r="AZ1229" s="809"/>
      <c r="BA1229" s="809"/>
      <c r="BB1229" s="809"/>
      <c r="BC1229" s="809"/>
      <c r="BD1229" s="809"/>
      <c r="BE1229" s="809"/>
      <c r="BF1229" s="809"/>
      <c r="BG1229" s="809"/>
      <c r="BH1229" s="809"/>
      <c r="BI1229" s="809"/>
      <c r="BJ1229" s="809"/>
      <c r="BK1229" s="809"/>
      <c r="BL1229" s="809"/>
      <c r="BM1229" s="809"/>
      <c r="BN1229" s="809"/>
    </row>
    <row r="1230" spans="1:66">
      <c r="A1230" s="809"/>
      <c r="B1230" s="809"/>
      <c r="C1230" s="809"/>
      <c r="D1230" s="809"/>
      <c r="E1230" s="809"/>
      <c r="F1230" s="809"/>
      <c r="G1230" s="809"/>
      <c r="H1230" s="809"/>
      <c r="I1230" s="809"/>
      <c r="J1230" s="809"/>
      <c r="K1230" s="809"/>
      <c r="L1230" s="809"/>
      <c r="M1230" s="809"/>
      <c r="N1230" s="809"/>
      <c r="O1230" s="809"/>
      <c r="P1230" s="809"/>
      <c r="Q1230" s="809"/>
      <c r="R1230" s="809"/>
      <c r="S1230" s="809"/>
      <c r="T1230" s="809"/>
      <c r="U1230" s="809"/>
      <c r="V1230" s="809"/>
      <c r="W1230" s="809"/>
      <c r="X1230" s="809"/>
      <c r="Y1230" s="809"/>
      <c r="Z1230" s="809"/>
      <c r="AA1230" s="809"/>
      <c r="AB1230" s="809"/>
      <c r="AC1230" s="809"/>
      <c r="AD1230" s="809"/>
      <c r="AE1230" s="809"/>
      <c r="AF1230" s="809"/>
      <c r="AG1230" s="809"/>
      <c r="AH1230" s="809"/>
      <c r="AI1230" s="809"/>
      <c r="AJ1230" s="809"/>
      <c r="AK1230" s="809"/>
      <c r="AL1230" s="809"/>
      <c r="AM1230" s="809"/>
      <c r="AN1230" s="809"/>
      <c r="AO1230" s="809"/>
      <c r="AP1230" s="809"/>
      <c r="AQ1230" s="809"/>
      <c r="AR1230" s="809"/>
      <c r="AS1230" s="809"/>
      <c r="AT1230" s="809"/>
      <c r="AU1230" s="809"/>
      <c r="AV1230" s="809"/>
      <c r="AW1230" s="809"/>
      <c r="AX1230" s="809"/>
      <c r="AY1230" s="809"/>
      <c r="AZ1230" s="809"/>
      <c r="BA1230" s="809"/>
      <c r="BB1230" s="809"/>
      <c r="BC1230" s="809"/>
      <c r="BD1230" s="809"/>
      <c r="BE1230" s="809"/>
      <c r="BF1230" s="809"/>
      <c r="BG1230" s="809"/>
      <c r="BH1230" s="809"/>
      <c r="BI1230" s="809"/>
      <c r="BJ1230" s="809"/>
      <c r="BK1230" s="809"/>
      <c r="BL1230" s="809"/>
      <c r="BM1230" s="809"/>
      <c r="BN1230" s="809"/>
    </row>
    <row r="1231" spans="1:66">
      <c r="A1231" s="809"/>
      <c r="B1231" s="809"/>
      <c r="C1231" s="809"/>
      <c r="D1231" s="809"/>
      <c r="E1231" s="809"/>
      <c r="F1231" s="809"/>
      <c r="G1231" s="809"/>
      <c r="H1231" s="809"/>
      <c r="I1231" s="809"/>
      <c r="J1231" s="809"/>
      <c r="K1231" s="809"/>
      <c r="L1231" s="809"/>
      <c r="M1231" s="809"/>
      <c r="N1231" s="809"/>
      <c r="O1231" s="809"/>
      <c r="P1231" s="809"/>
      <c r="Q1231" s="809"/>
      <c r="R1231" s="809"/>
      <c r="S1231" s="809"/>
      <c r="T1231" s="809"/>
      <c r="U1231" s="809"/>
      <c r="V1231" s="809"/>
      <c r="W1231" s="809"/>
      <c r="X1231" s="809"/>
      <c r="Y1231" s="809"/>
      <c r="Z1231" s="809"/>
      <c r="AA1231" s="809"/>
      <c r="AB1231" s="809"/>
      <c r="AC1231" s="809"/>
      <c r="AD1231" s="809"/>
      <c r="AE1231" s="809"/>
      <c r="AF1231" s="809"/>
      <c r="AG1231" s="809"/>
      <c r="AH1231" s="809"/>
      <c r="AI1231" s="809"/>
      <c r="AJ1231" s="809"/>
      <c r="AK1231" s="809"/>
      <c r="AL1231" s="809"/>
      <c r="AM1231" s="809"/>
      <c r="AN1231" s="809"/>
      <c r="AO1231" s="809"/>
      <c r="AP1231" s="809"/>
      <c r="AQ1231" s="809"/>
      <c r="AR1231" s="809"/>
      <c r="AS1231" s="809"/>
      <c r="AT1231" s="809"/>
      <c r="AU1231" s="809"/>
      <c r="AV1231" s="809"/>
      <c r="AW1231" s="809"/>
      <c r="AX1231" s="809"/>
      <c r="AY1231" s="809"/>
      <c r="AZ1231" s="809"/>
      <c r="BA1231" s="809"/>
      <c r="BB1231" s="809"/>
      <c r="BC1231" s="809"/>
      <c r="BD1231" s="809"/>
      <c r="BE1231" s="809"/>
      <c r="BF1231" s="809"/>
      <c r="BG1231" s="809"/>
      <c r="BH1231" s="809"/>
      <c r="BI1231" s="809"/>
      <c r="BJ1231" s="809"/>
      <c r="BK1231" s="809"/>
      <c r="BL1231" s="809"/>
      <c r="BM1231" s="809"/>
      <c r="BN1231" s="809"/>
    </row>
    <row r="1232" spans="1:66">
      <c r="A1232" s="809"/>
      <c r="B1232" s="809"/>
      <c r="C1232" s="809"/>
      <c r="D1232" s="809"/>
      <c r="E1232" s="809"/>
      <c r="F1232" s="809"/>
      <c r="G1232" s="809"/>
      <c r="H1232" s="809"/>
      <c r="I1232" s="809"/>
      <c r="J1232" s="809"/>
      <c r="K1232" s="809"/>
      <c r="L1232" s="809"/>
      <c r="M1232" s="809"/>
      <c r="N1232" s="809"/>
      <c r="O1232" s="809"/>
      <c r="P1232" s="809"/>
      <c r="Q1232" s="809"/>
      <c r="R1232" s="809"/>
      <c r="S1232" s="809"/>
      <c r="T1232" s="809"/>
      <c r="U1232" s="809"/>
      <c r="V1232" s="809"/>
      <c r="W1232" s="809"/>
      <c r="X1232" s="809"/>
      <c r="Y1232" s="809"/>
      <c r="Z1232" s="809"/>
      <c r="AA1232" s="809"/>
      <c r="AB1232" s="809"/>
      <c r="AC1232" s="809"/>
      <c r="AD1232" s="809"/>
      <c r="AE1232" s="809"/>
      <c r="AF1232" s="809"/>
      <c r="AG1232" s="809"/>
      <c r="AH1232" s="809"/>
      <c r="AI1232" s="809"/>
      <c r="AJ1232" s="809"/>
      <c r="AK1232" s="809"/>
      <c r="AL1232" s="809"/>
      <c r="AM1232" s="809"/>
      <c r="AN1232" s="809"/>
      <c r="AO1232" s="809"/>
      <c r="AP1232" s="809"/>
      <c r="AQ1232" s="809"/>
      <c r="AR1232" s="809"/>
      <c r="AS1232" s="809"/>
      <c r="AT1232" s="809"/>
      <c r="AU1232" s="809"/>
      <c r="AV1232" s="809"/>
      <c r="AW1232" s="809"/>
      <c r="AX1232" s="809"/>
      <c r="AY1232" s="809"/>
      <c r="AZ1232" s="809"/>
      <c r="BA1232" s="809"/>
      <c r="BB1232" s="809"/>
      <c r="BC1232" s="809"/>
      <c r="BD1232" s="809"/>
      <c r="BE1232" s="809"/>
      <c r="BF1232" s="809"/>
      <c r="BG1232" s="809"/>
      <c r="BH1232" s="809"/>
      <c r="BI1232" s="809"/>
      <c r="BJ1232" s="809"/>
      <c r="BK1232" s="809"/>
      <c r="BL1232" s="809"/>
      <c r="BM1232" s="809"/>
      <c r="BN1232" s="809"/>
    </row>
    <row r="1233" spans="1:66">
      <c r="A1233" s="809"/>
      <c r="B1233" s="809"/>
      <c r="C1233" s="809"/>
      <c r="D1233" s="809"/>
      <c r="E1233" s="809"/>
      <c r="F1233" s="809"/>
      <c r="G1233" s="809"/>
      <c r="H1233" s="809"/>
      <c r="I1233" s="809"/>
      <c r="J1233" s="809"/>
      <c r="K1233" s="809"/>
      <c r="L1233" s="809"/>
      <c r="M1233" s="809"/>
      <c r="N1233" s="809"/>
      <c r="O1233" s="809"/>
      <c r="P1233" s="809"/>
      <c r="Q1233" s="809"/>
      <c r="R1233" s="809"/>
      <c r="S1233" s="809"/>
      <c r="T1233" s="809"/>
      <c r="U1233" s="809"/>
      <c r="V1233" s="809"/>
      <c r="W1233" s="809"/>
      <c r="X1233" s="809"/>
      <c r="Y1233" s="809"/>
      <c r="Z1233" s="809"/>
      <c r="AA1233" s="809"/>
      <c r="AB1233" s="809"/>
      <c r="AC1233" s="809"/>
      <c r="AD1233" s="809"/>
      <c r="AE1233" s="809"/>
      <c r="AF1233" s="809"/>
      <c r="AG1233" s="809"/>
      <c r="AH1233" s="809"/>
      <c r="AI1233" s="809"/>
      <c r="AJ1233" s="809"/>
      <c r="AK1233" s="809"/>
      <c r="AL1233" s="809"/>
      <c r="AM1233" s="809"/>
      <c r="AN1233" s="809"/>
      <c r="AO1233" s="809"/>
      <c r="AP1233" s="809"/>
      <c r="AQ1233" s="809"/>
      <c r="AR1233" s="809"/>
      <c r="AS1233" s="809"/>
      <c r="AT1233" s="809"/>
      <c r="AU1233" s="809"/>
      <c r="AV1233" s="809"/>
      <c r="AW1233" s="809"/>
      <c r="AX1233" s="809"/>
      <c r="AY1233" s="809"/>
      <c r="AZ1233" s="809"/>
      <c r="BA1233" s="809"/>
      <c r="BB1233" s="809"/>
      <c r="BC1233" s="809"/>
      <c r="BD1233" s="809"/>
      <c r="BE1233" s="809"/>
      <c r="BF1233" s="809"/>
      <c r="BG1233" s="809"/>
      <c r="BH1233" s="809"/>
      <c r="BI1233" s="809"/>
      <c r="BJ1233" s="809"/>
      <c r="BK1233" s="809"/>
      <c r="BL1233" s="809"/>
      <c r="BM1233" s="809"/>
      <c r="BN1233" s="809"/>
    </row>
    <row r="1234" spans="1:66">
      <c r="A1234" s="809"/>
      <c r="B1234" s="809"/>
      <c r="C1234" s="809"/>
      <c r="D1234" s="809"/>
      <c r="E1234" s="809"/>
      <c r="F1234" s="809"/>
      <c r="G1234" s="809"/>
      <c r="H1234" s="809"/>
      <c r="I1234" s="809"/>
      <c r="J1234" s="809"/>
      <c r="K1234" s="809"/>
      <c r="L1234" s="809"/>
      <c r="M1234" s="809"/>
      <c r="N1234" s="809"/>
      <c r="O1234" s="809"/>
      <c r="P1234" s="809"/>
      <c r="Q1234" s="809"/>
      <c r="R1234" s="809"/>
      <c r="S1234" s="809"/>
      <c r="T1234" s="809"/>
      <c r="U1234" s="809"/>
      <c r="V1234" s="809"/>
      <c r="W1234" s="809"/>
      <c r="X1234" s="809"/>
      <c r="Y1234" s="809"/>
      <c r="Z1234" s="809"/>
      <c r="AA1234" s="809"/>
      <c r="AB1234" s="809"/>
      <c r="AC1234" s="809"/>
      <c r="AD1234" s="809"/>
      <c r="AE1234" s="809"/>
      <c r="AF1234" s="809"/>
      <c r="AG1234" s="809"/>
      <c r="AH1234" s="809"/>
      <c r="AI1234" s="809"/>
      <c r="AJ1234" s="809"/>
      <c r="AK1234" s="809"/>
      <c r="AL1234" s="809"/>
      <c r="AM1234" s="809"/>
      <c r="AN1234" s="809"/>
      <c r="AO1234" s="809"/>
      <c r="AP1234" s="809"/>
      <c r="AQ1234" s="809"/>
      <c r="AR1234" s="809"/>
      <c r="AS1234" s="809"/>
      <c r="AT1234" s="809"/>
      <c r="AU1234" s="809"/>
      <c r="AV1234" s="809"/>
      <c r="AW1234" s="809"/>
      <c r="AX1234" s="809"/>
      <c r="AY1234" s="809"/>
      <c r="AZ1234" s="809"/>
      <c r="BA1234" s="809"/>
      <c r="BB1234" s="809"/>
      <c r="BC1234" s="809"/>
      <c r="BD1234" s="809"/>
      <c r="BE1234" s="809"/>
      <c r="BF1234" s="809"/>
      <c r="BG1234" s="809"/>
      <c r="BH1234" s="809"/>
      <c r="BI1234" s="809"/>
      <c r="BJ1234" s="809"/>
      <c r="BK1234" s="809"/>
      <c r="BL1234" s="809"/>
      <c r="BM1234" s="809"/>
      <c r="BN1234" s="809"/>
    </row>
    <row r="1235" spans="1:66">
      <c r="A1235" s="809"/>
      <c r="B1235" s="809"/>
      <c r="C1235" s="809"/>
      <c r="D1235" s="809"/>
      <c r="E1235" s="809"/>
      <c r="F1235" s="809"/>
      <c r="G1235" s="809"/>
      <c r="H1235" s="809"/>
      <c r="I1235" s="809"/>
      <c r="J1235" s="809"/>
      <c r="K1235" s="809"/>
      <c r="L1235" s="809"/>
      <c r="M1235" s="809"/>
      <c r="N1235" s="809"/>
      <c r="O1235" s="809"/>
      <c r="P1235" s="809"/>
      <c r="Q1235" s="809"/>
      <c r="R1235" s="809"/>
      <c r="S1235" s="809"/>
      <c r="T1235" s="809"/>
      <c r="U1235" s="809"/>
      <c r="V1235" s="809"/>
      <c r="W1235" s="809"/>
      <c r="X1235" s="809"/>
      <c r="Y1235" s="809"/>
      <c r="Z1235" s="809"/>
      <c r="AA1235" s="809"/>
      <c r="AB1235" s="809"/>
      <c r="AC1235" s="809"/>
      <c r="AD1235" s="809"/>
      <c r="AE1235" s="809"/>
      <c r="AF1235" s="809"/>
      <c r="AG1235" s="809"/>
      <c r="AH1235" s="809"/>
      <c r="AI1235" s="809"/>
      <c r="AJ1235" s="809"/>
      <c r="AK1235" s="809"/>
      <c r="AL1235" s="809"/>
      <c r="AM1235" s="809"/>
      <c r="AN1235" s="809"/>
      <c r="AO1235" s="809"/>
      <c r="AP1235" s="809"/>
      <c r="AQ1235" s="809"/>
      <c r="AR1235" s="809"/>
      <c r="AS1235" s="809"/>
      <c r="AT1235" s="809"/>
      <c r="AU1235" s="809"/>
      <c r="AV1235" s="809"/>
      <c r="AW1235" s="809"/>
      <c r="AX1235" s="809"/>
      <c r="AY1235" s="809"/>
      <c r="AZ1235" s="809"/>
      <c r="BA1235" s="809"/>
      <c r="BB1235" s="809"/>
      <c r="BC1235" s="809"/>
      <c r="BD1235" s="809"/>
      <c r="BE1235" s="809"/>
      <c r="BF1235" s="809"/>
      <c r="BG1235" s="809"/>
      <c r="BH1235" s="809"/>
      <c r="BI1235" s="809"/>
      <c r="BJ1235" s="809"/>
      <c r="BK1235" s="809"/>
      <c r="BL1235" s="809"/>
      <c r="BM1235" s="809"/>
      <c r="BN1235" s="809"/>
    </row>
    <row r="1236" spans="1:66">
      <c r="A1236" s="809"/>
      <c r="B1236" s="809"/>
      <c r="C1236" s="809"/>
      <c r="D1236" s="809"/>
      <c r="E1236" s="809"/>
      <c r="F1236" s="809"/>
      <c r="G1236" s="809"/>
      <c r="H1236" s="809"/>
      <c r="I1236" s="809"/>
      <c r="J1236" s="809"/>
      <c r="K1236" s="809"/>
      <c r="L1236" s="809"/>
      <c r="M1236" s="809"/>
      <c r="N1236" s="809"/>
      <c r="O1236" s="809"/>
      <c r="P1236" s="809"/>
      <c r="Q1236" s="809"/>
      <c r="R1236" s="809"/>
      <c r="S1236" s="809"/>
      <c r="T1236" s="809"/>
      <c r="U1236" s="809"/>
      <c r="V1236" s="809"/>
      <c r="W1236" s="809"/>
      <c r="X1236" s="809"/>
      <c r="Y1236" s="809"/>
      <c r="Z1236" s="809"/>
      <c r="AA1236" s="809"/>
      <c r="AB1236" s="809"/>
      <c r="AC1236" s="809"/>
      <c r="AD1236" s="809"/>
      <c r="AE1236" s="809"/>
      <c r="AF1236" s="809"/>
      <c r="AG1236" s="809"/>
      <c r="AH1236" s="809"/>
      <c r="AI1236" s="809"/>
      <c r="AJ1236" s="809"/>
      <c r="AK1236" s="809"/>
      <c r="AL1236" s="809"/>
      <c r="AM1236" s="809"/>
      <c r="AN1236" s="809"/>
      <c r="AO1236" s="809"/>
      <c r="AP1236" s="809"/>
      <c r="AQ1236" s="809"/>
      <c r="AR1236" s="809"/>
      <c r="AS1236" s="809"/>
      <c r="AT1236" s="809"/>
      <c r="AU1236" s="809"/>
      <c r="AV1236" s="809"/>
      <c r="AW1236" s="809"/>
      <c r="AX1236" s="809"/>
      <c r="AY1236" s="809"/>
      <c r="AZ1236" s="809"/>
      <c r="BA1236" s="809"/>
      <c r="BB1236" s="809"/>
      <c r="BC1236" s="809"/>
      <c r="BD1236" s="809"/>
      <c r="BE1236" s="809"/>
      <c r="BF1236" s="809"/>
      <c r="BG1236" s="809"/>
      <c r="BH1236" s="809"/>
      <c r="BI1236" s="809"/>
      <c r="BJ1236" s="809"/>
      <c r="BK1236" s="809"/>
      <c r="BL1236" s="809"/>
      <c r="BM1236" s="809"/>
      <c r="BN1236" s="809"/>
    </row>
    <row r="1237" spans="1:66">
      <c r="A1237" s="809"/>
      <c r="B1237" s="809"/>
      <c r="C1237" s="809"/>
      <c r="D1237" s="809"/>
      <c r="E1237" s="809"/>
      <c r="F1237" s="809"/>
      <c r="G1237" s="809"/>
      <c r="H1237" s="809"/>
      <c r="I1237" s="809"/>
      <c r="J1237" s="809"/>
      <c r="K1237" s="809"/>
      <c r="L1237" s="809"/>
      <c r="M1237" s="809"/>
      <c r="N1237" s="809"/>
      <c r="O1237" s="809"/>
      <c r="P1237" s="809"/>
      <c r="Q1237" s="809"/>
      <c r="R1237" s="809"/>
      <c r="S1237" s="809"/>
      <c r="T1237" s="809"/>
      <c r="U1237" s="809"/>
      <c r="V1237" s="809"/>
      <c r="W1237" s="809"/>
      <c r="X1237" s="809"/>
      <c r="Y1237" s="809"/>
      <c r="Z1237" s="809"/>
      <c r="AA1237" s="809"/>
      <c r="AB1237" s="809"/>
      <c r="AC1237" s="809"/>
      <c r="AD1237" s="809"/>
      <c r="AE1237" s="809"/>
      <c r="AF1237" s="809"/>
      <c r="AG1237" s="809"/>
      <c r="AH1237" s="809"/>
      <c r="AI1237" s="809"/>
      <c r="AJ1237" s="809"/>
      <c r="AK1237" s="809"/>
      <c r="AL1237" s="809"/>
      <c r="AM1237" s="809"/>
      <c r="AN1237" s="809"/>
      <c r="AO1237" s="809"/>
      <c r="AP1237" s="809"/>
      <c r="AQ1237" s="809"/>
      <c r="AR1237" s="809"/>
      <c r="AS1237" s="809"/>
      <c r="AT1237" s="809"/>
      <c r="AU1237" s="809"/>
      <c r="AV1237" s="809"/>
      <c r="AW1237" s="809"/>
      <c r="AX1237" s="809"/>
      <c r="AY1237" s="809"/>
      <c r="AZ1237" s="809"/>
      <c r="BA1237" s="809"/>
      <c r="BB1237" s="809"/>
      <c r="BC1237" s="809"/>
      <c r="BD1237" s="809"/>
      <c r="BE1237" s="809"/>
      <c r="BF1237" s="809"/>
      <c r="BG1237" s="809"/>
      <c r="BH1237" s="809"/>
      <c r="BI1237" s="809"/>
      <c r="BJ1237" s="809"/>
      <c r="BK1237" s="809"/>
      <c r="BL1237" s="809"/>
      <c r="BM1237" s="809"/>
      <c r="BN1237" s="809"/>
    </row>
    <row r="1238" spans="1:66">
      <c r="A1238" s="809"/>
      <c r="B1238" s="809"/>
      <c r="C1238" s="809"/>
      <c r="D1238" s="809"/>
      <c r="E1238" s="809"/>
      <c r="F1238" s="809"/>
      <c r="G1238" s="809"/>
      <c r="H1238" s="809"/>
      <c r="I1238" s="809"/>
      <c r="J1238" s="809"/>
      <c r="K1238" s="809"/>
      <c r="L1238" s="809"/>
      <c r="M1238" s="809"/>
      <c r="N1238" s="809"/>
      <c r="O1238" s="809"/>
      <c r="P1238" s="809"/>
      <c r="Q1238" s="809"/>
      <c r="R1238" s="809"/>
      <c r="S1238" s="809"/>
      <c r="T1238" s="809"/>
      <c r="U1238" s="809"/>
      <c r="V1238" s="809"/>
      <c r="W1238" s="809"/>
      <c r="X1238" s="809"/>
      <c r="Y1238" s="809"/>
      <c r="Z1238" s="809"/>
      <c r="AA1238" s="809"/>
      <c r="AB1238" s="809"/>
      <c r="AC1238" s="809"/>
      <c r="AD1238" s="809"/>
      <c r="AE1238" s="809"/>
      <c r="AF1238" s="809"/>
      <c r="AG1238" s="809"/>
      <c r="AH1238" s="809"/>
      <c r="AI1238" s="809"/>
      <c r="AJ1238" s="809"/>
      <c r="AK1238" s="809"/>
      <c r="AL1238" s="809"/>
      <c r="AM1238" s="809"/>
      <c r="AN1238" s="809"/>
      <c r="AO1238" s="809"/>
      <c r="AP1238" s="809"/>
      <c r="AQ1238" s="809"/>
      <c r="AR1238" s="809"/>
      <c r="AS1238" s="809"/>
      <c r="AT1238" s="809"/>
      <c r="AU1238" s="809"/>
      <c r="AV1238" s="809"/>
      <c r="AW1238" s="809"/>
      <c r="AX1238" s="809"/>
      <c r="AY1238" s="809"/>
      <c r="AZ1238" s="809"/>
      <c r="BA1238" s="809"/>
      <c r="BB1238" s="809"/>
      <c r="BC1238" s="809"/>
      <c r="BD1238" s="809"/>
      <c r="BE1238" s="809"/>
      <c r="BF1238" s="809"/>
      <c r="BG1238" s="809"/>
      <c r="BH1238" s="809"/>
      <c r="BI1238" s="809"/>
      <c r="BJ1238" s="809"/>
      <c r="BK1238" s="809"/>
      <c r="BL1238" s="809"/>
      <c r="BM1238" s="809"/>
      <c r="BN1238" s="809"/>
    </row>
    <row r="1239" spans="1:66">
      <c r="A1239" s="809"/>
      <c r="B1239" s="809"/>
      <c r="C1239" s="809"/>
      <c r="D1239" s="809"/>
      <c r="E1239" s="809"/>
      <c r="F1239" s="809"/>
      <c r="G1239" s="809"/>
      <c r="H1239" s="809"/>
      <c r="I1239" s="809"/>
      <c r="J1239" s="809"/>
      <c r="K1239" s="809"/>
      <c r="L1239" s="809"/>
      <c r="M1239" s="809"/>
      <c r="N1239" s="809"/>
      <c r="O1239" s="809"/>
      <c r="P1239" s="809"/>
      <c r="Q1239" s="809"/>
      <c r="R1239" s="809"/>
      <c r="S1239" s="809"/>
      <c r="T1239" s="809"/>
      <c r="U1239" s="809"/>
      <c r="V1239" s="809"/>
      <c r="W1239" s="809"/>
      <c r="X1239" s="809"/>
      <c r="Y1239" s="809"/>
      <c r="Z1239" s="809"/>
      <c r="AA1239" s="809"/>
      <c r="AB1239" s="809"/>
      <c r="AC1239" s="809"/>
      <c r="AD1239" s="809"/>
      <c r="AE1239" s="809"/>
      <c r="AF1239" s="809"/>
      <c r="AG1239" s="809"/>
      <c r="AH1239" s="809"/>
      <c r="AI1239" s="809"/>
      <c r="AJ1239" s="809"/>
      <c r="AK1239" s="809"/>
      <c r="AL1239" s="809"/>
      <c r="AM1239" s="809"/>
      <c r="AN1239" s="809"/>
      <c r="AO1239" s="809"/>
      <c r="AP1239" s="809"/>
      <c r="AQ1239" s="809"/>
      <c r="AR1239" s="809"/>
      <c r="AS1239" s="809"/>
      <c r="AT1239" s="809"/>
      <c r="AU1239" s="809"/>
      <c r="AV1239" s="809"/>
      <c r="AW1239" s="809"/>
      <c r="AX1239" s="809"/>
      <c r="AY1239" s="809"/>
      <c r="AZ1239" s="809"/>
      <c r="BA1239" s="809"/>
      <c r="BB1239" s="809"/>
      <c r="BC1239" s="809"/>
      <c r="BD1239" s="809"/>
      <c r="BE1239" s="809"/>
      <c r="BF1239" s="809"/>
      <c r="BG1239" s="809"/>
      <c r="BH1239" s="809"/>
      <c r="BI1239" s="809"/>
      <c r="BJ1239" s="809"/>
      <c r="BK1239" s="809"/>
      <c r="BL1239" s="809"/>
      <c r="BM1239" s="809"/>
      <c r="BN1239" s="809"/>
    </row>
    <row r="1240" spans="1:66">
      <c r="A1240" s="809"/>
      <c r="B1240" s="809"/>
      <c r="C1240" s="809"/>
      <c r="D1240" s="809"/>
      <c r="E1240" s="809"/>
      <c r="F1240" s="809"/>
      <c r="G1240" s="809"/>
      <c r="H1240" s="809"/>
      <c r="I1240" s="809"/>
      <c r="J1240" s="809"/>
      <c r="K1240" s="809"/>
      <c r="L1240" s="809"/>
      <c r="M1240" s="809"/>
      <c r="N1240" s="809"/>
      <c r="O1240" s="809"/>
      <c r="P1240" s="809"/>
      <c r="Q1240" s="809"/>
      <c r="R1240" s="809"/>
      <c r="S1240" s="809"/>
      <c r="T1240" s="809"/>
      <c r="U1240" s="809"/>
      <c r="V1240" s="809"/>
      <c r="W1240" s="809"/>
      <c r="X1240" s="809"/>
      <c r="Y1240" s="809"/>
      <c r="Z1240" s="809"/>
      <c r="AA1240" s="809"/>
      <c r="AB1240" s="809"/>
      <c r="AC1240" s="809"/>
      <c r="AD1240" s="809"/>
      <c r="AE1240" s="809"/>
      <c r="AF1240" s="809"/>
      <c r="AG1240" s="809"/>
      <c r="AH1240" s="809"/>
      <c r="AI1240" s="809"/>
      <c r="AJ1240" s="809"/>
      <c r="AK1240" s="809"/>
      <c r="AL1240" s="809"/>
      <c r="AM1240" s="809"/>
      <c r="AN1240" s="809"/>
      <c r="AO1240" s="809"/>
      <c r="AP1240" s="809"/>
      <c r="AQ1240" s="809"/>
      <c r="AR1240" s="809"/>
      <c r="AS1240" s="809"/>
      <c r="AT1240" s="809"/>
      <c r="AU1240" s="809"/>
      <c r="AV1240" s="809"/>
      <c r="AW1240" s="809"/>
      <c r="AX1240" s="809"/>
      <c r="AY1240" s="809"/>
      <c r="AZ1240" s="809"/>
      <c r="BA1240" s="809"/>
      <c r="BB1240" s="809"/>
      <c r="BC1240" s="809"/>
      <c r="BD1240" s="809"/>
      <c r="BE1240" s="809"/>
      <c r="BF1240" s="809"/>
      <c r="BG1240" s="809"/>
      <c r="BH1240" s="809"/>
      <c r="BI1240" s="809"/>
      <c r="BJ1240" s="809"/>
      <c r="BK1240" s="809"/>
      <c r="BL1240" s="809"/>
      <c r="BM1240" s="809"/>
      <c r="BN1240" s="809"/>
    </row>
    <row r="1241" spans="1:66">
      <c r="A1241" s="809"/>
      <c r="B1241" s="809"/>
      <c r="C1241" s="809"/>
      <c r="D1241" s="809"/>
      <c r="E1241" s="809"/>
      <c r="F1241" s="809"/>
      <c r="G1241" s="809"/>
      <c r="H1241" s="809"/>
      <c r="I1241" s="809"/>
      <c r="J1241" s="809"/>
      <c r="K1241" s="809"/>
      <c r="L1241" s="809"/>
      <c r="M1241" s="809"/>
      <c r="N1241" s="809"/>
      <c r="O1241" s="809"/>
      <c r="P1241" s="809"/>
      <c r="Q1241" s="809"/>
      <c r="R1241" s="809"/>
      <c r="S1241" s="809"/>
      <c r="T1241" s="809"/>
      <c r="U1241" s="809"/>
      <c r="V1241" s="809"/>
      <c r="W1241" s="809"/>
      <c r="X1241" s="809"/>
      <c r="Y1241" s="809"/>
      <c r="Z1241" s="809"/>
      <c r="AA1241" s="809"/>
      <c r="AB1241" s="809"/>
      <c r="AC1241" s="809"/>
      <c r="AD1241" s="809"/>
      <c r="AE1241" s="809"/>
      <c r="AF1241" s="809"/>
      <c r="AG1241" s="809"/>
      <c r="AH1241" s="809"/>
      <c r="AI1241" s="809"/>
      <c r="AJ1241" s="809"/>
      <c r="AK1241" s="809"/>
      <c r="AL1241" s="809"/>
      <c r="AM1241" s="809"/>
      <c r="AN1241" s="809"/>
      <c r="AO1241" s="809"/>
      <c r="AP1241" s="809"/>
      <c r="AQ1241" s="809"/>
      <c r="AR1241" s="809"/>
      <c r="AS1241" s="809"/>
      <c r="AT1241" s="809"/>
      <c r="AU1241" s="809"/>
      <c r="AV1241" s="809"/>
      <c r="AW1241" s="809"/>
      <c r="AX1241" s="809"/>
      <c r="AY1241" s="809"/>
      <c r="AZ1241" s="809"/>
      <c r="BA1241" s="809"/>
      <c r="BB1241" s="809"/>
      <c r="BC1241" s="809"/>
      <c r="BD1241" s="809"/>
      <c r="BE1241" s="809"/>
      <c r="BF1241" s="809"/>
      <c r="BG1241" s="809"/>
      <c r="BH1241" s="809"/>
      <c r="BI1241" s="809"/>
      <c r="BJ1241" s="809"/>
      <c r="BK1241" s="809"/>
      <c r="BL1241" s="809"/>
      <c r="BM1241" s="809"/>
      <c r="BN1241" s="809"/>
    </row>
    <row r="1242" spans="1:66">
      <c r="A1242" s="809"/>
      <c r="B1242" s="809"/>
      <c r="C1242" s="809"/>
      <c r="D1242" s="809"/>
      <c r="E1242" s="809"/>
      <c r="F1242" s="809"/>
      <c r="G1242" s="809"/>
      <c r="H1242" s="809"/>
      <c r="I1242" s="809"/>
      <c r="J1242" s="809"/>
      <c r="K1242" s="809"/>
      <c r="L1242" s="809"/>
      <c r="M1242" s="809"/>
      <c r="N1242" s="809"/>
      <c r="O1242" s="809"/>
      <c r="P1242" s="809"/>
      <c r="Q1242" s="809"/>
      <c r="R1242" s="809"/>
      <c r="S1242" s="809"/>
      <c r="T1242" s="809"/>
      <c r="U1242" s="809"/>
      <c r="V1242" s="809"/>
      <c r="W1242" s="809"/>
      <c r="X1242" s="809"/>
      <c r="Y1242" s="809"/>
      <c r="Z1242" s="809"/>
      <c r="AA1242" s="809"/>
      <c r="AB1242" s="809"/>
      <c r="AC1242" s="809"/>
      <c r="AD1242" s="809"/>
      <c r="AE1242" s="809"/>
      <c r="AF1242" s="809"/>
      <c r="AG1242" s="809"/>
      <c r="AH1242" s="809"/>
      <c r="AI1242" s="809"/>
      <c r="AJ1242" s="809"/>
      <c r="AK1242" s="809"/>
      <c r="AL1242" s="809"/>
      <c r="AM1242" s="809"/>
      <c r="AN1242" s="809"/>
      <c r="AO1242" s="809"/>
      <c r="AP1242" s="809"/>
      <c r="AQ1242" s="809"/>
      <c r="AR1242" s="809"/>
      <c r="AS1242" s="809"/>
      <c r="AT1242" s="809"/>
      <c r="AU1242" s="809"/>
      <c r="AV1242" s="809"/>
      <c r="AW1242" s="809"/>
      <c r="AX1242" s="809"/>
      <c r="AY1242" s="809"/>
      <c r="AZ1242" s="809"/>
      <c r="BA1242" s="809"/>
      <c r="BB1242" s="809"/>
      <c r="BC1242" s="809"/>
      <c r="BD1242" s="809"/>
      <c r="BE1242" s="809"/>
      <c r="BF1242" s="809"/>
      <c r="BG1242" s="809"/>
      <c r="BH1242" s="809"/>
      <c r="BI1242" s="809"/>
      <c r="BJ1242" s="809"/>
      <c r="BK1242" s="809"/>
      <c r="BL1242" s="809"/>
      <c r="BM1242" s="809"/>
      <c r="BN1242" s="809"/>
    </row>
    <row r="1243" spans="1:66">
      <c r="A1243" s="809"/>
      <c r="B1243" s="809"/>
      <c r="C1243" s="809"/>
      <c r="D1243" s="809"/>
      <c r="E1243" s="809"/>
      <c r="F1243" s="809"/>
      <c r="G1243" s="809"/>
      <c r="H1243" s="809"/>
      <c r="I1243" s="809"/>
      <c r="J1243" s="809"/>
      <c r="K1243" s="809"/>
      <c r="L1243" s="809"/>
      <c r="M1243" s="809"/>
      <c r="N1243" s="809"/>
      <c r="O1243" s="809"/>
      <c r="P1243" s="809"/>
      <c r="Q1243" s="809"/>
      <c r="R1243" s="809"/>
      <c r="S1243" s="809"/>
      <c r="T1243" s="809"/>
      <c r="U1243" s="809"/>
      <c r="V1243" s="809"/>
      <c r="W1243" s="809"/>
      <c r="X1243" s="809"/>
      <c r="Y1243" s="809"/>
      <c r="Z1243" s="809"/>
      <c r="AA1243" s="809"/>
      <c r="AB1243" s="809"/>
      <c r="AC1243" s="809"/>
      <c r="AD1243" s="809"/>
      <c r="AE1243" s="809"/>
      <c r="AF1243" s="809"/>
      <c r="AG1243" s="809"/>
      <c r="AH1243" s="809"/>
      <c r="AI1243" s="809"/>
      <c r="AJ1243" s="809"/>
      <c r="AK1243" s="809"/>
      <c r="AL1243" s="809"/>
      <c r="AM1243" s="809"/>
      <c r="AN1243" s="809"/>
      <c r="AO1243" s="809"/>
      <c r="AP1243" s="809"/>
      <c r="AQ1243" s="809"/>
      <c r="AR1243" s="809"/>
      <c r="AS1243" s="809"/>
      <c r="AT1243" s="809"/>
      <c r="AU1243" s="809"/>
      <c r="AV1243" s="809"/>
      <c r="AW1243" s="809"/>
      <c r="AX1243" s="809"/>
      <c r="AY1243" s="809"/>
      <c r="AZ1243" s="809"/>
      <c r="BA1243" s="809"/>
      <c r="BB1243" s="809"/>
      <c r="BC1243" s="809"/>
      <c r="BD1243" s="809"/>
      <c r="BE1243" s="809"/>
      <c r="BF1243" s="809"/>
      <c r="BG1243" s="809"/>
      <c r="BH1243" s="809"/>
      <c r="BI1243" s="809"/>
      <c r="BJ1243" s="809"/>
      <c r="BK1243" s="809"/>
      <c r="BL1243" s="809"/>
      <c r="BM1243" s="809"/>
      <c r="BN1243" s="809"/>
    </row>
    <row r="1244" spans="1:66">
      <c r="A1244" s="809"/>
      <c r="B1244" s="809"/>
      <c r="C1244" s="809"/>
      <c r="D1244" s="809"/>
      <c r="E1244" s="809"/>
      <c r="F1244" s="809"/>
      <c r="G1244" s="809"/>
      <c r="H1244" s="809"/>
      <c r="I1244" s="809"/>
      <c r="J1244" s="809"/>
      <c r="K1244" s="809"/>
      <c r="L1244" s="809"/>
      <c r="M1244" s="809"/>
      <c r="N1244" s="809"/>
      <c r="O1244" s="809"/>
      <c r="P1244" s="809"/>
      <c r="Q1244" s="809"/>
      <c r="R1244" s="809"/>
      <c r="S1244" s="809"/>
      <c r="T1244" s="809"/>
      <c r="U1244" s="809"/>
      <c r="V1244" s="809"/>
      <c r="W1244" s="809"/>
      <c r="X1244" s="809"/>
      <c r="Y1244" s="809"/>
      <c r="Z1244" s="809"/>
      <c r="AA1244" s="809"/>
      <c r="AB1244" s="809"/>
      <c r="AC1244" s="809"/>
      <c r="AD1244" s="809"/>
      <c r="AE1244" s="809"/>
      <c r="AF1244" s="809"/>
      <c r="AG1244" s="809"/>
      <c r="AH1244" s="809"/>
      <c r="AI1244" s="809"/>
      <c r="AJ1244" s="809"/>
      <c r="AK1244" s="809"/>
      <c r="AL1244" s="809"/>
      <c r="AM1244" s="809"/>
      <c r="AN1244" s="809"/>
      <c r="AO1244" s="809"/>
      <c r="AP1244" s="809"/>
      <c r="AQ1244" s="809"/>
      <c r="AR1244" s="809"/>
      <c r="AS1244" s="809"/>
      <c r="AT1244" s="809"/>
      <c r="AU1244" s="809"/>
      <c r="AV1244" s="809"/>
      <c r="AW1244" s="809"/>
      <c r="AX1244" s="809"/>
      <c r="AY1244" s="809"/>
      <c r="AZ1244" s="809"/>
      <c r="BA1244" s="809"/>
      <c r="BB1244" s="809"/>
      <c r="BC1244" s="809"/>
      <c r="BD1244" s="809"/>
      <c r="BE1244" s="809"/>
      <c r="BF1244" s="809"/>
      <c r="BG1244" s="809"/>
      <c r="BH1244" s="809"/>
      <c r="BI1244" s="809"/>
      <c r="BJ1244" s="809"/>
      <c r="BK1244" s="809"/>
      <c r="BL1244" s="809"/>
      <c r="BM1244" s="809"/>
      <c r="BN1244" s="809"/>
    </row>
    <row r="1245" spans="1:66">
      <c r="A1245" s="809"/>
      <c r="B1245" s="809"/>
      <c r="C1245" s="809"/>
      <c r="D1245" s="809"/>
      <c r="E1245" s="809"/>
      <c r="F1245" s="809"/>
      <c r="G1245" s="809"/>
      <c r="H1245" s="809"/>
      <c r="I1245" s="809"/>
      <c r="J1245" s="809"/>
      <c r="K1245" s="809"/>
      <c r="L1245" s="809"/>
      <c r="M1245" s="809"/>
      <c r="N1245" s="809"/>
      <c r="O1245" s="809"/>
      <c r="P1245" s="809"/>
      <c r="Q1245" s="809"/>
      <c r="R1245" s="809"/>
      <c r="S1245" s="809"/>
      <c r="T1245" s="809"/>
      <c r="U1245" s="809"/>
      <c r="V1245" s="809"/>
      <c r="W1245" s="809"/>
      <c r="X1245" s="809"/>
      <c r="Y1245" s="809"/>
      <c r="Z1245" s="809"/>
      <c r="AA1245" s="809"/>
      <c r="AB1245" s="809"/>
      <c r="AC1245" s="809"/>
      <c r="AD1245" s="809"/>
      <c r="AE1245" s="809"/>
      <c r="AF1245" s="809"/>
      <c r="AG1245" s="809"/>
      <c r="AH1245" s="809"/>
      <c r="AI1245" s="809"/>
      <c r="AJ1245" s="809"/>
      <c r="AK1245" s="809"/>
      <c r="AL1245" s="809"/>
      <c r="AM1245" s="809"/>
      <c r="AN1245" s="809"/>
      <c r="AO1245" s="809"/>
      <c r="AP1245" s="809"/>
      <c r="AQ1245" s="809"/>
      <c r="AR1245" s="809"/>
      <c r="AS1245" s="809"/>
      <c r="AT1245" s="809"/>
      <c r="AU1245" s="809"/>
      <c r="AV1245" s="809"/>
      <c r="AW1245" s="809"/>
      <c r="AX1245" s="809"/>
      <c r="AY1245" s="809"/>
      <c r="AZ1245" s="809"/>
      <c r="BA1245" s="809"/>
      <c r="BB1245" s="809"/>
      <c r="BC1245" s="809"/>
      <c r="BD1245" s="809"/>
      <c r="BE1245" s="809"/>
      <c r="BF1245" s="809"/>
      <c r="BG1245" s="809"/>
      <c r="BH1245" s="809"/>
      <c r="BI1245" s="809"/>
      <c r="BJ1245" s="809"/>
      <c r="BK1245" s="809"/>
      <c r="BL1245" s="809"/>
      <c r="BM1245" s="809"/>
      <c r="BN1245" s="809"/>
    </row>
    <row r="1246" spans="1:66">
      <c r="A1246" s="809"/>
      <c r="B1246" s="809"/>
      <c r="C1246" s="809"/>
      <c r="D1246" s="809"/>
      <c r="E1246" s="809"/>
      <c r="F1246" s="809"/>
      <c r="G1246" s="809"/>
      <c r="H1246" s="809"/>
      <c r="I1246" s="809"/>
      <c r="J1246" s="809"/>
      <c r="K1246" s="809"/>
      <c r="L1246" s="809"/>
      <c r="M1246" s="809"/>
      <c r="N1246" s="809"/>
      <c r="O1246" s="809"/>
      <c r="P1246" s="809"/>
      <c r="Q1246" s="809"/>
      <c r="R1246" s="809"/>
      <c r="S1246" s="809"/>
      <c r="T1246" s="809"/>
      <c r="U1246" s="809"/>
      <c r="V1246" s="809"/>
      <c r="W1246" s="809"/>
      <c r="X1246" s="809"/>
      <c r="Y1246" s="809"/>
      <c r="Z1246" s="809"/>
      <c r="AA1246" s="809"/>
      <c r="AB1246" s="809"/>
      <c r="AC1246" s="809"/>
      <c r="AD1246" s="809"/>
      <c r="AE1246" s="809"/>
      <c r="AF1246" s="809"/>
      <c r="AG1246" s="809"/>
      <c r="AH1246" s="809"/>
      <c r="AI1246" s="809"/>
      <c r="AJ1246" s="809"/>
      <c r="AK1246" s="809"/>
      <c r="AL1246" s="809"/>
      <c r="AM1246" s="809"/>
      <c r="AN1246" s="809"/>
      <c r="AO1246" s="809"/>
      <c r="AP1246" s="809"/>
      <c r="AQ1246" s="809"/>
      <c r="AR1246" s="809"/>
      <c r="AS1246" s="809"/>
      <c r="AT1246" s="809"/>
      <c r="AU1246" s="809"/>
      <c r="AV1246" s="809"/>
      <c r="AW1246" s="809"/>
      <c r="AX1246" s="809"/>
      <c r="AY1246" s="809"/>
      <c r="AZ1246" s="809"/>
      <c r="BA1246" s="809"/>
      <c r="BB1246" s="809"/>
      <c r="BC1246" s="809"/>
      <c r="BD1246" s="809"/>
      <c r="BE1246" s="809"/>
      <c r="BF1246" s="809"/>
      <c r="BG1246" s="809"/>
      <c r="BH1246" s="809"/>
      <c r="BI1246" s="809"/>
      <c r="BJ1246" s="809"/>
      <c r="BK1246" s="809"/>
      <c r="BL1246" s="809"/>
      <c r="BM1246" s="809"/>
      <c r="BN1246" s="809"/>
    </row>
    <row r="1247" spans="1:66">
      <c r="A1247" s="809"/>
      <c r="B1247" s="809"/>
      <c r="C1247" s="809"/>
      <c r="D1247" s="809"/>
      <c r="E1247" s="809"/>
      <c r="F1247" s="809"/>
      <c r="G1247" s="809"/>
      <c r="H1247" s="809"/>
      <c r="I1247" s="809"/>
      <c r="J1247" s="809"/>
      <c r="K1247" s="809"/>
      <c r="L1247" s="809"/>
      <c r="M1247" s="809"/>
      <c r="N1247" s="809"/>
      <c r="O1247" s="809"/>
      <c r="P1247" s="809"/>
      <c r="Q1247" s="809"/>
      <c r="R1247" s="809"/>
      <c r="S1247" s="809"/>
      <c r="T1247" s="809"/>
      <c r="U1247" s="809"/>
      <c r="V1247" s="809"/>
      <c r="W1247" s="809"/>
      <c r="X1247" s="809"/>
      <c r="Y1247" s="809"/>
      <c r="Z1247" s="809"/>
      <c r="AA1247" s="809"/>
      <c r="AB1247" s="809"/>
      <c r="AC1247" s="809"/>
      <c r="AD1247" s="809"/>
      <c r="AE1247" s="809"/>
      <c r="AF1247" s="809"/>
      <c r="AG1247" s="809"/>
      <c r="AH1247" s="809"/>
      <c r="AI1247" s="809"/>
      <c r="AJ1247" s="809"/>
      <c r="AK1247" s="809"/>
      <c r="AL1247" s="809"/>
      <c r="AM1247" s="809"/>
      <c r="AN1247" s="809"/>
      <c r="AO1247" s="809"/>
      <c r="AP1247" s="809"/>
      <c r="AQ1247" s="809"/>
      <c r="AR1247" s="809"/>
      <c r="AS1247" s="809"/>
      <c r="AT1247" s="809"/>
      <c r="AU1247" s="809"/>
      <c r="AV1247" s="809"/>
      <c r="AW1247" s="809"/>
      <c r="AX1247" s="809"/>
      <c r="AY1247" s="809"/>
      <c r="AZ1247" s="809"/>
      <c r="BA1247" s="809"/>
      <c r="BB1247" s="809"/>
      <c r="BC1247" s="809"/>
      <c r="BD1247" s="809"/>
      <c r="BE1247" s="809"/>
      <c r="BF1247" s="809"/>
      <c r="BG1247" s="809"/>
      <c r="BH1247" s="809"/>
      <c r="BI1247" s="809"/>
      <c r="BJ1247" s="809"/>
      <c r="BK1247" s="809"/>
      <c r="BL1247" s="809"/>
      <c r="BM1247" s="809"/>
      <c r="BN1247" s="809"/>
    </row>
    <row r="1248" spans="1:66">
      <c r="A1248" s="809"/>
      <c r="B1248" s="809"/>
      <c r="C1248" s="809"/>
      <c r="D1248" s="809"/>
      <c r="E1248" s="809"/>
      <c r="F1248" s="809"/>
      <c r="G1248" s="809"/>
      <c r="H1248" s="809"/>
      <c r="I1248" s="809"/>
      <c r="J1248" s="809"/>
      <c r="K1248" s="809"/>
      <c r="L1248" s="809"/>
      <c r="M1248" s="809"/>
      <c r="N1248" s="809"/>
      <c r="O1248" s="809"/>
      <c r="P1248" s="809"/>
      <c r="Q1248" s="809"/>
      <c r="R1248" s="809"/>
      <c r="S1248" s="809"/>
      <c r="T1248" s="809"/>
      <c r="U1248" s="809"/>
      <c r="V1248" s="809"/>
      <c r="W1248" s="809"/>
      <c r="X1248" s="809"/>
      <c r="Y1248" s="809"/>
      <c r="Z1248" s="809"/>
      <c r="AA1248" s="809"/>
      <c r="AB1248" s="809"/>
      <c r="AC1248" s="809"/>
      <c r="AD1248" s="809"/>
      <c r="AE1248" s="809"/>
      <c r="AF1248" s="809"/>
      <c r="AG1248" s="809"/>
      <c r="AH1248" s="809"/>
      <c r="AI1248" s="809"/>
      <c r="AJ1248" s="809"/>
      <c r="AK1248" s="809"/>
      <c r="AL1248" s="809"/>
      <c r="AM1248" s="809"/>
      <c r="AN1248" s="809"/>
      <c r="AO1248" s="809"/>
      <c r="AP1248" s="809"/>
      <c r="AQ1248" s="809"/>
      <c r="AR1248" s="809"/>
      <c r="AS1248" s="809"/>
      <c r="AT1248" s="809"/>
      <c r="AU1248" s="809"/>
      <c r="AV1248" s="809"/>
      <c r="AW1248" s="809"/>
      <c r="AX1248" s="809"/>
      <c r="AY1248" s="809"/>
      <c r="AZ1248" s="809"/>
      <c r="BA1248" s="809"/>
      <c r="BB1248" s="809"/>
      <c r="BC1248" s="809"/>
      <c r="BD1248" s="809"/>
      <c r="BE1248" s="809"/>
      <c r="BF1248" s="809"/>
      <c r="BG1248" s="809"/>
      <c r="BH1248" s="809"/>
      <c r="BI1248" s="809"/>
      <c r="BJ1248" s="809"/>
      <c r="BK1248" s="809"/>
      <c r="BL1248" s="809"/>
      <c r="BM1248" s="809"/>
      <c r="BN1248" s="809"/>
    </row>
    <row r="1249" spans="1:66">
      <c r="A1249" s="809"/>
      <c r="B1249" s="809"/>
      <c r="C1249" s="809"/>
      <c r="D1249" s="809"/>
      <c r="E1249" s="809"/>
      <c r="F1249" s="809"/>
      <c r="G1249" s="809"/>
      <c r="H1249" s="809"/>
      <c r="I1249" s="809"/>
      <c r="J1249" s="809"/>
      <c r="K1249" s="809"/>
      <c r="L1249" s="809"/>
      <c r="M1249" s="809"/>
      <c r="N1249" s="809"/>
      <c r="O1249" s="809"/>
      <c r="P1249" s="809"/>
      <c r="Q1249" s="809"/>
      <c r="R1249" s="809"/>
      <c r="S1249" s="809"/>
      <c r="T1249" s="809"/>
      <c r="U1249" s="809"/>
      <c r="V1249" s="809"/>
      <c r="W1249" s="809"/>
      <c r="X1249" s="809"/>
      <c r="Y1249" s="809"/>
      <c r="Z1249" s="809"/>
      <c r="AA1249" s="809"/>
      <c r="AB1249" s="809"/>
      <c r="AC1249" s="809"/>
      <c r="AD1249" s="809"/>
      <c r="AE1249" s="809"/>
      <c r="AF1249" s="809"/>
      <c r="AG1249" s="809"/>
      <c r="AH1249" s="809"/>
      <c r="AI1249" s="809"/>
      <c r="AJ1249" s="809"/>
      <c r="AK1249" s="809"/>
      <c r="AL1249" s="809"/>
      <c r="AM1249" s="809"/>
      <c r="AN1249" s="809"/>
      <c r="AO1249" s="809"/>
      <c r="AP1249" s="809"/>
      <c r="AQ1249" s="809"/>
      <c r="AR1249" s="809"/>
      <c r="AS1249" s="809"/>
      <c r="AT1249" s="809"/>
      <c r="AU1249" s="809"/>
      <c r="AV1249" s="809"/>
      <c r="AW1249" s="809"/>
      <c r="AX1249" s="809"/>
      <c r="AY1249" s="809"/>
      <c r="AZ1249" s="809"/>
      <c r="BA1249" s="809"/>
      <c r="BB1249" s="809"/>
      <c r="BC1249" s="809"/>
      <c r="BD1249" s="809"/>
      <c r="BE1249" s="809"/>
      <c r="BF1249" s="809"/>
      <c r="BG1249" s="809"/>
      <c r="BH1249" s="809"/>
      <c r="BI1249" s="809"/>
      <c r="BJ1249" s="809"/>
      <c r="BK1249" s="809"/>
      <c r="BL1249" s="809"/>
      <c r="BM1249" s="809"/>
      <c r="BN1249" s="809"/>
    </row>
    <row r="1250" spans="1:66">
      <c r="A1250" s="809"/>
      <c r="B1250" s="809"/>
      <c r="C1250" s="809"/>
      <c r="D1250" s="809"/>
      <c r="E1250" s="809"/>
      <c r="F1250" s="809"/>
      <c r="G1250" s="809"/>
      <c r="H1250" s="809"/>
      <c r="I1250" s="809"/>
      <c r="J1250" s="809"/>
      <c r="K1250" s="809"/>
      <c r="L1250" s="809"/>
      <c r="M1250" s="809"/>
      <c r="N1250" s="809"/>
      <c r="O1250" s="809"/>
      <c r="P1250" s="809"/>
      <c r="Q1250" s="809"/>
      <c r="R1250" s="809"/>
      <c r="S1250" s="809"/>
      <c r="T1250" s="809"/>
      <c r="U1250" s="809"/>
      <c r="V1250" s="809"/>
      <c r="W1250" s="809"/>
      <c r="X1250" s="809"/>
      <c r="Y1250" s="809"/>
      <c r="Z1250" s="809"/>
      <c r="AA1250" s="809"/>
      <c r="AB1250" s="809"/>
      <c r="AC1250" s="809"/>
      <c r="AD1250" s="809"/>
      <c r="AE1250" s="809"/>
      <c r="AF1250" s="809"/>
      <c r="AG1250" s="809"/>
      <c r="AH1250" s="809"/>
      <c r="AI1250" s="809"/>
      <c r="AJ1250" s="809"/>
      <c r="AK1250" s="809"/>
      <c r="AL1250" s="809"/>
      <c r="AM1250" s="809"/>
      <c r="AN1250" s="809"/>
      <c r="AO1250" s="809"/>
      <c r="AP1250" s="809"/>
      <c r="AQ1250" s="809"/>
      <c r="AR1250" s="809"/>
      <c r="AS1250" s="809"/>
      <c r="AT1250" s="809"/>
      <c r="AU1250" s="809"/>
      <c r="AV1250" s="809"/>
      <c r="AW1250" s="809"/>
      <c r="AX1250" s="809"/>
      <c r="AY1250" s="809"/>
      <c r="AZ1250" s="809"/>
      <c r="BA1250" s="809"/>
      <c r="BB1250" s="809"/>
      <c r="BC1250" s="809"/>
      <c r="BD1250" s="809"/>
      <c r="BE1250" s="809"/>
      <c r="BF1250" s="809"/>
      <c r="BG1250" s="809"/>
      <c r="BH1250" s="809"/>
      <c r="BI1250" s="809"/>
      <c r="BJ1250" s="809"/>
      <c r="BK1250" s="809"/>
      <c r="BL1250" s="809"/>
      <c r="BM1250" s="809"/>
      <c r="BN1250" s="809"/>
    </row>
    <row r="1251" spans="1:66">
      <c r="A1251" s="809"/>
      <c r="B1251" s="809"/>
      <c r="C1251" s="809"/>
      <c r="D1251" s="809"/>
      <c r="E1251" s="809"/>
      <c r="F1251" s="809"/>
      <c r="G1251" s="809"/>
      <c r="H1251" s="809"/>
      <c r="I1251" s="809"/>
      <c r="J1251" s="809"/>
      <c r="K1251" s="809"/>
      <c r="L1251" s="809"/>
      <c r="M1251" s="809"/>
      <c r="N1251" s="809"/>
      <c r="O1251" s="809"/>
      <c r="P1251" s="809"/>
      <c r="Q1251" s="809"/>
      <c r="R1251" s="809"/>
      <c r="S1251" s="809"/>
      <c r="T1251" s="809"/>
      <c r="U1251" s="809"/>
      <c r="V1251" s="809"/>
      <c r="W1251" s="809"/>
      <c r="X1251" s="809"/>
      <c r="Y1251" s="809"/>
      <c r="Z1251" s="809"/>
      <c r="AA1251" s="809"/>
      <c r="AB1251" s="809"/>
      <c r="AC1251" s="809"/>
      <c r="AD1251" s="809"/>
      <c r="AE1251" s="809"/>
      <c r="AF1251" s="809"/>
      <c r="AG1251" s="809"/>
      <c r="AH1251" s="809"/>
      <c r="AI1251" s="809"/>
      <c r="AJ1251" s="809"/>
      <c r="AK1251" s="809"/>
      <c r="AL1251" s="809"/>
      <c r="AM1251" s="809"/>
      <c r="AN1251" s="809"/>
      <c r="AO1251" s="809"/>
      <c r="AP1251" s="809"/>
      <c r="AQ1251" s="809"/>
      <c r="AR1251" s="809"/>
      <c r="AS1251" s="809"/>
      <c r="AT1251" s="809"/>
      <c r="AU1251" s="809"/>
      <c r="AV1251" s="809"/>
      <c r="AW1251" s="809"/>
      <c r="AX1251" s="809"/>
      <c r="AY1251" s="809"/>
      <c r="AZ1251" s="809"/>
      <c r="BA1251" s="809"/>
      <c r="BB1251" s="809"/>
      <c r="BC1251" s="809"/>
      <c r="BD1251" s="809"/>
      <c r="BE1251" s="809"/>
      <c r="BF1251" s="809"/>
      <c r="BG1251" s="809"/>
      <c r="BH1251" s="809"/>
      <c r="BI1251" s="809"/>
      <c r="BJ1251" s="809"/>
      <c r="BK1251" s="809"/>
      <c r="BL1251" s="809"/>
      <c r="BM1251" s="809"/>
      <c r="BN1251" s="809"/>
    </row>
    <row r="1252" spans="1:66">
      <c r="A1252" s="809"/>
      <c r="B1252" s="809"/>
      <c r="C1252" s="809"/>
      <c r="D1252" s="809"/>
      <c r="E1252" s="809"/>
      <c r="F1252" s="809"/>
      <c r="G1252" s="809"/>
      <c r="H1252" s="809"/>
      <c r="I1252" s="809"/>
      <c r="J1252" s="809"/>
      <c r="K1252" s="809"/>
      <c r="L1252" s="809"/>
      <c r="M1252" s="809"/>
      <c r="N1252" s="809"/>
      <c r="O1252" s="809"/>
      <c r="P1252" s="809"/>
      <c r="Q1252" s="809"/>
      <c r="R1252" s="809"/>
      <c r="S1252" s="809"/>
      <c r="T1252" s="809"/>
      <c r="U1252" s="809"/>
      <c r="V1252" s="809"/>
      <c r="W1252" s="809"/>
      <c r="X1252" s="809"/>
      <c r="Y1252" s="809"/>
      <c r="Z1252" s="809"/>
      <c r="AA1252" s="809"/>
      <c r="AB1252" s="809"/>
      <c r="AC1252" s="809"/>
      <c r="AD1252" s="809"/>
      <c r="AE1252" s="809"/>
      <c r="AF1252" s="809"/>
      <c r="AG1252" s="809"/>
      <c r="AH1252" s="809"/>
      <c r="AI1252" s="809"/>
      <c r="AJ1252" s="809"/>
      <c r="AK1252" s="809"/>
      <c r="AL1252" s="809"/>
      <c r="AM1252" s="809"/>
      <c r="AN1252" s="809"/>
      <c r="AO1252" s="809"/>
      <c r="AP1252" s="809"/>
      <c r="AQ1252" s="809"/>
      <c r="AR1252" s="809"/>
      <c r="AS1252" s="809"/>
      <c r="AT1252" s="809"/>
      <c r="AU1252" s="809"/>
      <c r="AV1252" s="809"/>
      <c r="AW1252" s="809"/>
      <c r="AX1252" s="809"/>
      <c r="AY1252" s="809"/>
      <c r="AZ1252" s="809"/>
      <c r="BA1252" s="809"/>
      <c r="BB1252" s="809"/>
      <c r="BC1252" s="809"/>
      <c r="BD1252" s="809"/>
      <c r="BE1252" s="809"/>
      <c r="BF1252" s="809"/>
      <c r="BG1252" s="809"/>
      <c r="BH1252" s="809"/>
      <c r="BI1252" s="809"/>
      <c r="BJ1252" s="809"/>
      <c r="BK1252" s="809"/>
      <c r="BL1252" s="809"/>
      <c r="BM1252" s="809"/>
      <c r="BN1252" s="809"/>
    </row>
    <row r="1253" spans="1:66">
      <c r="A1253" s="809"/>
      <c r="B1253" s="809"/>
      <c r="C1253" s="809"/>
      <c r="D1253" s="809"/>
      <c r="E1253" s="809"/>
      <c r="F1253" s="809"/>
      <c r="G1253" s="809"/>
      <c r="H1253" s="809"/>
      <c r="I1253" s="809"/>
      <c r="J1253" s="809"/>
      <c r="K1253" s="809"/>
      <c r="L1253" s="809"/>
      <c r="M1253" s="809"/>
      <c r="N1253" s="809"/>
      <c r="O1253" s="809"/>
      <c r="P1253" s="809"/>
      <c r="Q1253" s="809"/>
      <c r="R1253" s="809"/>
      <c r="S1253" s="809"/>
      <c r="T1253" s="809"/>
      <c r="U1253" s="809"/>
      <c r="V1253" s="809"/>
      <c r="W1253" s="809"/>
      <c r="X1253" s="809"/>
      <c r="Y1253" s="809"/>
      <c r="Z1253" s="809"/>
      <c r="AA1253" s="809"/>
      <c r="AB1253" s="809"/>
      <c r="AC1253" s="809"/>
      <c r="AD1253" s="809"/>
      <c r="AE1253" s="809"/>
      <c r="AF1253" s="809"/>
      <c r="AG1253" s="809"/>
      <c r="AH1253" s="809"/>
      <c r="AI1253" s="809"/>
      <c r="AJ1253" s="809"/>
      <c r="AK1253" s="809"/>
      <c r="AL1253" s="809"/>
      <c r="AM1253" s="809"/>
      <c r="AN1253" s="809"/>
      <c r="AO1253" s="809"/>
      <c r="AP1253" s="809"/>
      <c r="AQ1253" s="809"/>
      <c r="AR1253" s="809"/>
      <c r="AS1253" s="809"/>
      <c r="AT1253" s="809"/>
      <c r="AU1253" s="809"/>
      <c r="AV1253" s="809"/>
      <c r="AW1253" s="809"/>
      <c r="AX1253" s="809"/>
      <c r="AY1253" s="809"/>
      <c r="AZ1253" s="809"/>
      <c r="BA1253" s="809"/>
      <c r="BB1253" s="809"/>
      <c r="BC1253" s="809"/>
      <c r="BD1253" s="809"/>
      <c r="BE1253" s="809"/>
      <c r="BF1253" s="809"/>
      <c r="BG1253" s="809"/>
      <c r="BH1253" s="809"/>
      <c r="BI1253" s="809"/>
      <c r="BJ1253" s="809"/>
      <c r="BK1253" s="809"/>
      <c r="BL1253" s="809"/>
      <c r="BM1253" s="809"/>
      <c r="BN1253" s="809"/>
    </row>
    <row r="1254" spans="1:66">
      <c r="A1254" s="809"/>
      <c r="B1254" s="809"/>
      <c r="C1254" s="809"/>
      <c r="D1254" s="809"/>
      <c r="E1254" s="809"/>
      <c r="F1254" s="809"/>
      <c r="G1254" s="809"/>
      <c r="H1254" s="809"/>
      <c r="I1254" s="809"/>
      <c r="J1254" s="809"/>
      <c r="K1254" s="809"/>
      <c r="L1254" s="809"/>
      <c r="M1254" s="809"/>
      <c r="N1254" s="809"/>
      <c r="O1254" s="809"/>
      <c r="P1254" s="809"/>
      <c r="Q1254" s="809"/>
      <c r="R1254" s="809"/>
      <c r="S1254" s="809"/>
      <c r="T1254" s="809"/>
      <c r="U1254" s="809"/>
      <c r="V1254" s="809"/>
      <c r="W1254" s="809"/>
      <c r="X1254" s="809"/>
      <c r="Y1254" s="809"/>
      <c r="Z1254" s="809"/>
      <c r="AA1254" s="809"/>
      <c r="AB1254" s="809"/>
      <c r="AC1254" s="809"/>
      <c r="AD1254" s="809"/>
      <c r="AE1254" s="809"/>
      <c r="AF1254" s="809"/>
      <c r="AG1254" s="809"/>
      <c r="AH1254" s="809"/>
      <c r="AI1254" s="809"/>
      <c r="AJ1254" s="809"/>
      <c r="AK1254" s="809"/>
      <c r="AL1254" s="809"/>
      <c r="AM1254" s="809"/>
      <c r="AN1254" s="809"/>
      <c r="AO1254" s="809"/>
      <c r="AP1254" s="809"/>
      <c r="AQ1254" s="809"/>
      <c r="AR1254" s="809"/>
      <c r="AS1254" s="809"/>
      <c r="AT1254" s="809"/>
      <c r="AU1254" s="809"/>
      <c r="AV1254" s="809"/>
      <c r="AW1254" s="809"/>
      <c r="AX1254" s="809"/>
      <c r="AY1254" s="809"/>
      <c r="AZ1254" s="809"/>
      <c r="BA1254" s="809"/>
      <c r="BB1254" s="809"/>
      <c r="BC1254" s="809"/>
      <c r="BD1254" s="809"/>
      <c r="BE1254" s="809"/>
      <c r="BF1254" s="809"/>
      <c r="BG1254" s="809"/>
      <c r="BH1254" s="809"/>
      <c r="BI1254" s="809"/>
      <c r="BJ1254" s="809"/>
      <c r="BK1254" s="809"/>
      <c r="BL1254" s="809"/>
      <c r="BM1254" s="809"/>
      <c r="BN1254" s="809"/>
    </row>
    <row r="1255" spans="1:66">
      <c r="A1255" s="809"/>
      <c r="B1255" s="809"/>
      <c r="C1255" s="809"/>
      <c r="D1255" s="809"/>
      <c r="E1255" s="809"/>
      <c r="F1255" s="809"/>
      <c r="G1255" s="809"/>
      <c r="H1255" s="809"/>
      <c r="I1255" s="809"/>
      <c r="J1255" s="809"/>
      <c r="K1255" s="809"/>
      <c r="L1255" s="809"/>
      <c r="M1255" s="809"/>
      <c r="N1255" s="809"/>
      <c r="O1255" s="809"/>
      <c r="P1255" s="809"/>
      <c r="Q1255" s="809"/>
      <c r="R1255" s="809"/>
      <c r="S1255" s="809"/>
      <c r="T1255" s="809"/>
      <c r="U1255" s="809"/>
      <c r="V1255" s="809"/>
      <c r="W1255" s="809"/>
      <c r="X1255" s="809"/>
      <c r="Y1255" s="809"/>
      <c r="Z1255" s="809"/>
      <c r="AA1255" s="809"/>
      <c r="AB1255" s="809"/>
      <c r="AC1255" s="809"/>
      <c r="AD1255" s="809"/>
      <c r="AE1255" s="809"/>
      <c r="AF1255" s="809"/>
      <c r="AG1255" s="809"/>
      <c r="AH1255" s="809"/>
      <c r="AI1255" s="809"/>
      <c r="AJ1255" s="809"/>
      <c r="AK1255" s="809"/>
      <c r="AL1255" s="809"/>
      <c r="AM1255" s="809"/>
      <c r="AN1255" s="809"/>
      <c r="AO1255" s="809"/>
      <c r="AP1255" s="809"/>
      <c r="AQ1255" s="809"/>
      <c r="AR1255" s="809"/>
      <c r="AS1255" s="809"/>
      <c r="AT1255" s="809"/>
      <c r="AU1255" s="809"/>
      <c r="AV1255" s="809"/>
      <c r="AW1255" s="809"/>
      <c r="AX1255" s="809"/>
      <c r="AY1255" s="809"/>
      <c r="AZ1255" s="809"/>
      <c r="BA1255" s="809"/>
      <c r="BB1255" s="809"/>
      <c r="BC1255" s="809"/>
      <c r="BD1255" s="809"/>
      <c r="BE1255" s="809"/>
      <c r="BF1255" s="809"/>
      <c r="BG1255" s="809"/>
      <c r="BH1255" s="809"/>
      <c r="BI1255" s="809"/>
      <c r="BJ1255" s="809"/>
      <c r="BK1255" s="809"/>
      <c r="BL1255" s="809"/>
      <c r="BM1255" s="809"/>
      <c r="BN1255" s="809"/>
    </row>
    <row r="1256" spans="1:66">
      <c r="A1256" s="809"/>
      <c r="B1256" s="809"/>
      <c r="C1256" s="809"/>
      <c r="D1256" s="809"/>
      <c r="E1256" s="809"/>
      <c r="F1256" s="809"/>
      <c r="G1256" s="809"/>
      <c r="H1256" s="809"/>
      <c r="I1256" s="809"/>
      <c r="J1256" s="809"/>
      <c r="K1256" s="809"/>
      <c r="L1256" s="809"/>
      <c r="M1256" s="809"/>
      <c r="N1256" s="809"/>
      <c r="O1256" s="809"/>
      <c r="P1256" s="809"/>
      <c r="Q1256" s="809"/>
      <c r="R1256" s="809"/>
      <c r="S1256" s="809"/>
      <c r="T1256" s="809"/>
      <c r="U1256" s="809"/>
      <c r="V1256" s="809"/>
      <c r="W1256" s="809"/>
      <c r="X1256" s="809"/>
      <c r="Y1256" s="809"/>
      <c r="Z1256" s="809"/>
      <c r="AA1256" s="809"/>
      <c r="AB1256" s="809"/>
      <c r="AC1256" s="809"/>
      <c r="AD1256" s="809"/>
      <c r="AE1256" s="809"/>
      <c r="AF1256" s="809"/>
      <c r="AG1256" s="809"/>
      <c r="AH1256" s="809"/>
      <c r="AI1256" s="809"/>
      <c r="AJ1256" s="809"/>
      <c r="AK1256" s="809"/>
      <c r="AL1256" s="809"/>
      <c r="AM1256" s="809"/>
      <c r="AN1256" s="809"/>
      <c r="AO1256" s="809"/>
      <c r="AP1256" s="809"/>
      <c r="AQ1256" s="809"/>
      <c r="AR1256" s="809"/>
      <c r="AS1256" s="809"/>
      <c r="AT1256" s="809"/>
      <c r="AU1256" s="809"/>
      <c r="AV1256" s="809"/>
      <c r="AW1256" s="809"/>
      <c r="AX1256" s="809"/>
      <c r="AY1256" s="809"/>
      <c r="AZ1256" s="809"/>
      <c r="BA1256" s="809"/>
      <c r="BB1256" s="809"/>
      <c r="BC1256" s="809"/>
      <c r="BD1256" s="809"/>
      <c r="BE1256" s="809"/>
      <c r="BF1256" s="809"/>
      <c r="BG1256" s="809"/>
      <c r="BH1256" s="809"/>
      <c r="BI1256" s="809"/>
      <c r="BJ1256" s="809"/>
      <c r="BK1256" s="809"/>
      <c r="BL1256" s="809"/>
      <c r="BM1256" s="809"/>
      <c r="BN1256" s="809"/>
    </row>
    <row r="1257" spans="1:66">
      <c r="A1257" s="809"/>
      <c r="B1257" s="809"/>
      <c r="C1257" s="809"/>
      <c r="D1257" s="809"/>
      <c r="E1257" s="809"/>
      <c r="F1257" s="809"/>
      <c r="G1257" s="809"/>
      <c r="H1257" s="809"/>
      <c r="I1257" s="809"/>
      <c r="J1257" s="809"/>
      <c r="K1257" s="809"/>
      <c r="L1257" s="809"/>
      <c r="M1257" s="809"/>
      <c r="N1257" s="809"/>
      <c r="O1257" s="809"/>
      <c r="P1257" s="809"/>
      <c r="Q1257" s="809"/>
      <c r="R1257" s="809"/>
      <c r="S1257" s="809"/>
      <c r="T1257" s="809"/>
      <c r="U1257" s="809"/>
      <c r="V1257" s="809"/>
      <c r="W1257" s="809"/>
      <c r="X1257" s="809"/>
      <c r="Y1257" s="809"/>
      <c r="Z1257" s="809"/>
      <c r="AA1257" s="809"/>
      <c r="AB1257" s="809"/>
      <c r="AC1257" s="809"/>
      <c r="AD1257" s="809"/>
      <c r="AE1257" s="809"/>
      <c r="AF1257" s="809"/>
      <c r="AG1257" s="809"/>
      <c r="AH1257" s="809"/>
      <c r="AI1257" s="809"/>
      <c r="AJ1257" s="809"/>
      <c r="AK1257" s="809"/>
      <c r="AL1257" s="809"/>
      <c r="AM1257" s="809"/>
      <c r="AN1257" s="809"/>
      <c r="AO1257" s="809"/>
      <c r="AP1257" s="809"/>
      <c r="AQ1257" s="809"/>
      <c r="AR1257" s="809"/>
      <c r="AS1257" s="809"/>
      <c r="AT1257" s="809"/>
      <c r="AU1257" s="809"/>
      <c r="AV1257" s="809"/>
      <c r="AW1257" s="809"/>
      <c r="AX1257" s="809"/>
      <c r="AY1257" s="809"/>
      <c r="AZ1257" s="809"/>
      <c r="BA1257" s="809"/>
      <c r="BB1257" s="809"/>
      <c r="BC1257" s="809"/>
      <c r="BD1257" s="809"/>
      <c r="BE1257" s="809"/>
      <c r="BF1257" s="809"/>
      <c r="BG1257" s="809"/>
      <c r="BH1257" s="809"/>
      <c r="BI1257" s="809"/>
      <c r="BJ1257" s="809"/>
      <c r="BK1257" s="809"/>
      <c r="BL1257" s="809"/>
      <c r="BM1257" s="809"/>
      <c r="BN1257" s="809"/>
    </row>
    <row r="1258" spans="1:66">
      <c r="A1258" s="809"/>
      <c r="B1258" s="809"/>
      <c r="C1258" s="809"/>
      <c r="D1258" s="809"/>
      <c r="E1258" s="809"/>
      <c r="F1258" s="809"/>
      <c r="G1258" s="809"/>
      <c r="H1258" s="809"/>
      <c r="I1258" s="809"/>
      <c r="J1258" s="809"/>
      <c r="K1258" s="809"/>
      <c r="L1258" s="809"/>
      <c r="M1258" s="809"/>
      <c r="N1258" s="809"/>
      <c r="O1258" s="809"/>
      <c r="P1258" s="809"/>
      <c r="Q1258" s="809"/>
      <c r="R1258" s="809"/>
      <c r="S1258" s="809"/>
      <c r="T1258" s="809"/>
      <c r="U1258" s="809"/>
      <c r="V1258" s="809"/>
      <c r="W1258" s="809"/>
      <c r="X1258" s="809"/>
      <c r="Y1258" s="809"/>
      <c r="Z1258" s="809"/>
      <c r="AA1258" s="809"/>
      <c r="AB1258" s="809"/>
      <c r="AC1258" s="809"/>
      <c r="AD1258" s="809"/>
      <c r="AE1258" s="809"/>
      <c r="AF1258" s="809"/>
      <c r="AG1258" s="809"/>
      <c r="AH1258" s="809"/>
      <c r="AI1258" s="809"/>
      <c r="AJ1258" s="809"/>
      <c r="AK1258" s="809"/>
      <c r="AL1258" s="809"/>
      <c r="AM1258" s="809"/>
      <c r="AN1258" s="809"/>
      <c r="AO1258" s="809"/>
      <c r="AP1258" s="809"/>
      <c r="AQ1258" s="809"/>
      <c r="AR1258" s="809"/>
      <c r="AS1258" s="809"/>
      <c r="AT1258" s="809"/>
      <c r="AU1258" s="809"/>
      <c r="AV1258" s="809"/>
      <c r="AW1258" s="809"/>
      <c r="AX1258" s="809"/>
      <c r="AY1258" s="809"/>
      <c r="AZ1258" s="809"/>
      <c r="BA1258" s="809"/>
      <c r="BB1258" s="809"/>
      <c r="BC1258" s="809"/>
      <c r="BD1258" s="809"/>
      <c r="BE1258" s="809"/>
      <c r="BF1258" s="809"/>
      <c r="BG1258" s="809"/>
      <c r="BH1258" s="809"/>
      <c r="BI1258" s="809"/>
      <c r="BJ1258" s="809"/>
      <c r="BK1258" s="809"/>
      <c r="BL1258" s="809"/>
      <c r="BM1258" s="809"/>
      <c r="BN1258" s="809"/>
    </row>
    <row r="1259" spans="1:66">
      <c r="A1259" s="809"/>
      <c r="B1259" s="809"/>
      <c r="C1259" s="809"/>
      <c r="D1259" s="809"/>
      <c r="E1259" s="809"/>
      <c r="F1259" s="809"/>
      <c r="G1259" s="809"/>
      <c r="H1259" s="809"/>
      <c r="I1259" s="809"/>
      <c r="J1259" s="809"/>
      <c r="K1259" s="809"/>
      <c r="L1259" s="809"/>
      <c r="M1259" s="809"/>
      <c r="N1259" s="809"/>
      <c r="O1259" s="809"/>
      <c r="P1259" s="809"/>
      <c r="Q1259" s="809"/>
      <c r="R1259" s="809"/>
      <c r="S1259" s="809"/>
      <c r="T1259" s="809"/>
      <c r="U1259" s="809"/>
      <c r="V1259" s="809"/>
      <c r="W1259" s="809"/>
      <c r="X1259" s="809"/>
      <c r="Y1259" s="809"/>
      <c r="Z1259" s="809"/>
      <c r="AA1259" s="809"/>
      <c r="AB1259" s="809"/>
      <c r="AC1259" s="809"/>
      <c r="AD1259" s="809"/>
      <c r="AE1259" s="809"/>
      <c r="AF1259" s="809"/>
      <c r="AG1259" s="809"/>
      <c r="AH1259" s="809"/>
      <c r="AI1259" s="809"/>
      <c r="AJ1259" s="809"/>
      <c r="AK1259" s="809"/>
      <c r="AL1259" s="809"/>
      <c r="AM1259" s="809"/>
      <c r="AN1259" s="809"/>
      <c r="AO1259" s="809"/>
      <c r="AP1259" s="809"/>
      <c r="AQ1259" s="809"/>
      <c r="AR1259" s="809"/>
      <c r="AS1259" s="809"/>
      <c r="AT1259" s="809"/>
      <c r="AU1259" s="809"/>
      <c r="AV1259" s="809"/>
      <c r="AW1259" s="809"/>
      <c r="AX1259" s="809"/>
      <c r="AY1259" s="809"/>
      <c r="AZ1259" s="809"/>
      <c r="BA1259" s="809"/>
      <c r="BB1259" s="809"/>
      <c r="BC1259" s="809"/>
      <c r="BD1259" s="809"/>
      <c r="BE1259" s="809"/>
      <c r="BF1259" s="809"/>
      <c r="BG1259" s="809"/>
      <c r="BH1259" s="809"/>
      <c r="BI1259" s="809"/>
      <c r="BJ1259" s="809"/>
      <c r="BK1259" s="809"/>
      <c r="BL1259" s="809"/>
      <c r="BM1259" s="809"/>
      <c r="BN1259" s="809"/>
    </row>
    <row r="1260" spans="1:66">
      <c r="A1260" s="809"/>
      <c r="B1260" s="809"/>
      <c r="C1260" s="809"/>
      <c r="D1260" s="809"/>
      <c r="E1260" s="809"/>
      <c r="F1260" s="809"/>
      <c r="G1260" s="809"/>
      <c r="H1260" s="809"/>
      <c r="I1260" s="809"/>
      <c r="J1260" s="809"/>
      <c r="K1260" s="809"/>
      <c r="L1260" s="809"/>
      <c r="M1260" s="809"/>
      <c r="N1260" s="809"/>
      <c r="O1260" s="809"/>
      <c r="P1260" s="809"/>
      <c r="Q1260" s="809"/>
      <c r="R1260" s="809"/>
      <c r="S1260" s="809"/>
      <c r="T1260" s="809"/>
      <c r="U1260" s="809"/>
      <c r="V1260" s="809"/>
      <c r="W1260" s="809"/>
      <c r="X1260" s="809"/>
      <c r="Y1260" s="809"/>
      <c r="Z1260" s="809"/>
      <c r="AA1260" s="809"/>
      <c r="AB1260" s="809"/>
      <c r="AC1260" s="809"/>
      <c r="AD1260" s="809"/>
      <c r="AE1260" s="809"/>
      <c r="AF1260" s="809"/>
      <c r="AG1260" s="809"/>
      <c r="AH1260" s="809"/>
      <c r="AI1260" s="809"/>
      <c r="AJ1260" s="809"/>
      <c r="AK1260" s="809"/>
      <c r="AL1260" s="809"/>
      <c r="AM1260" s="809"/>
      <c r="AN1260" s="809"/>
      <c r="AO1260" s="809"/>
      <c r="AP1260" s="809"/>
      <c r="AQ1260" s="809"/>
      <c r="AR1260" s="809"/>
      <c r="AS1260" s="809"/>
      <c r="AT1260" s="809"/>
      <c r="AU1260" s="809"/>
      <c r="AV1260" s="809"/>
      <c r="AW1260" s="809"/>
      <c r="AX1260" s="809"/>
      <c r="AY1260" s="809"/>
      <c r="AZ1260" s="809"/>
      <c r="BA1260" s="809"/>
      <c r="BB1260" s="809"/>
      <c r="BC1260" s="809"/>
      <c r="BD1260" s="809"/>
      <c r="BE1260" s="809"/>
      <c r="BF1260" s="809"/>
      <c r="BG1260" s="809"/>
      <c r="BH1260" s="809"/>
      <c r="BI1260" s="809"/>
      <c r="BJ1260" s="809"/>
      <c r="BK1260" s="809"/>
      <c r="BL1260" s="809"/>
      <c r="BM1260" s="809"/>
      <c r="BN1260" s="809"/>
    </row>
    <row r="1261" spans="1:66">
      <c r="A1261" s="809"/>
      <c r="B1261" s="809"/>
      <c r="C1261" s="809"/>
      <c r="D1261" s="809"/>
      <c r="E1261" s="809"/>
      <c r="F1261" s="809"/>
      <c r="G1261" s="809"/>
      <c r="H1261" s="809"/>
      <c r="I1261" s="809"/>
      <c r="J1261" s="809"/>
      <c r="K1261" s="809"/>
      <c r="L1261" s="809"/>
      <c r="M1261" s="809"/>
      <c r="N1261" s="809"/>
      <c r="O1261" s="809"/>
      <c r="P1261" s="809"/>
      <c r="Q1261" s="809"/>
      <c r="R1261" s="809"/>
      <c r="S1261" s="809"/>
      <c r="T1261" s="809"/>
      <c r="U1261" s="809"/>
      <c r="V1261" s="809"/>
      <c r="W1261" s="809"/>
      <c r="X1261" s="809"/>
      <c r="Y1261" s="809"/>
      <c r="Z1261" s="809"/>
      <c r="AA1261" s="809"/>
      <c r="AB1261" s="809"/>
      <c r="AC1261" s="809"/>
      <c r="AD1261" s="809"/>
      <c r="AE1261" s="809"/>
      <c r="AF1261" s="809"/>
      <c r="AG1261" s="809"/>
      <c r="AH1261" s="809"/>
      <c r="AI1261" s="809"/>
      <c r="AJ1261" s="809"/>
      <c r="AK1261" s="809"/>
      <c r="AL1261" s="809"/>
      <c r="AM1261" s="809"/>
      <c r="AN1261" s="809"/>
      <c r="AO1261" s="809"/>
      <c r="AP1261" s="809"/>
      <c r="AQ1261" s="809"/>
      <c r="AR1261" s="809"/>
      <c r="AS1261" s="809"/>
      <c r="AT1261" s="809"/>
      <c r="AU1261" s="809"/>
      <c r="AV1261" s="809"/>
      <c r="AW1261" s="809"/>
      <c r="AX1261" s="809"/>
      <c r="AY1261" s="809"/>
      <c r="AZ1261" s="809"/>
      <c r="BA1261" s="809"/>
      <c r="BB1261" s="809"/>
      <c r="BC1261" s="809"/>
      <c r="BD1261" s="809"/>
      <c r="BE1261" s="809"/>
      <c r="BF1261" s="809"/>
      <c r="BG1261" s="809"/>
      <c r="BH1261" s="809"/>
      <c r="BI1261" s="809"/>
      <c r="BJ1261" s="809"/>
      <c r="BK1261" s="809"/>
      <c r="BL1261" s="809"/>
      <c r="BM1261" s="809"/>
      <c r="BN1261" s="809"/>
    </row>
    <row r="1262" spans="1:66">
      <c r="A1262" s="809"/>
      <c r="B1262" s="809"/>
      <c r="C1262" s="809"/>
      <c r="D1262" s="809"/>
      <c r="E1262" s="809"/>
      <c r="F1262" s="809"/>
      <c r="G1262" s="809"/>
      <c r="H1262" s="809"/>
      <c r="I1262" s="809"/>
      <c r="J1262" s="809"/>
      <c r="K1262" s="809"/>
      <c r="L1262" s="809"/>
      <c r="M1262" s="809"/>
      <c r="N1262" s="809"/>
      <c r="O1262" s="809"/>
      <c r="P1262" s="809"/>
      <c r="Q1262" s="809"/>
      <c r="R1262" s="809"/>
      <c r="S1262" s="809"/>
      <c r="T1262" s="809"/>
      <c r="U1262" s="809"/>
      <c r="V1262" s="809"/>
      <c r="W1262" s="809"/>
      <c r="X1262" s="809"/>
      <c r="Y1262" s="809"/>
      <c r="Z1262" s="809"/>
      <c r="AA1262" s="809"/>
      <c r="AB1262" s="809"/>
      <c r="AC1262" s="809"/>
      <c r="AD1262" s="809"/>
      <c r="AE1262" s="809"/>
      <c r="AF1262" s="809"/>
      <c r="AG1262" s="809"/>
      <c r="AH1262" s="809"/>
      <c r="AI1262" s="809"/>
      <c r="AJ1262" s="809"/>
      <c r="AK1262" s="809"/>
      <c r="AL1262" s="809"/>
      <c r="AM1262" s="809"/>
      <c r="AN1262" s="809"/>
      <c r="AO1262" s="809"/>
      <c r="AP1262" s="809"/>
      <c r="AQ1262" s="809"/>
      <c r="AR1262" s="809"/>
      <c r="AS1262" s="809"/>
      <c r="AT1262" s="809"/>
      <c r="AU1262" s="809"/>
      <c r="AV1262" s="809"/>
      <c r="AW1262" s="809"/>
      <c r="AX1262" s="809"/>
      <c r="AY1262" s="809"/>
      <c r="AZ1262" s="809"/>
      <c r="BA1262" s="809"/>
      <c r="BB1262" s="809"/>
      <c r="BC1262" s="809"/>
      <c r="BD1262" s="809"/>
      <c r="BE1262" s="809"/>
      <c r="BF1262" s="809"/>
      <c r="BG1262" s="809"/>
      <c r="BH1262" s="809"/>
      <c r="BI1262" s="809"/>
      <c r="BJ1262" s="809"/>
      <c r="BK1262" s="809"/>
      <c r="BL1262" s="809"/>
      <c r="BM1262" s="809"/>
      <c r="BN1262" s="809"/>
    </row>
    <row r="1263" spans="1:66">
      <c r="A1263" s="809"/>
      <c r="B1263" s="809"/>
      <c r="C1263" s="809"/>
      <c r="D1263" s="809"/>
      <c r="E1263" s="809"/>
      <c r="F1263" s="809"/>
      <c r="G1263" s="809"/>
      <c r="H1263" s="809"/>
      <c r="I1263" s="809"/>
      <c r="J1263" s="809"/>
      <c r="K1263" s="809"/>
      <c r="L1263" s="809"/>
      <c r="M1263" s="809"/>
      <c r="N1263" s="809"/>
      <c r="O1263" s="809"/>
      <c r="P1263" s="809"/>
      <c r="Q1263" s="809"/>
      <c r="R1263" s="809"/>
      <c r="S1263" s="809"/>
      <c r="T1263" s="809"/>
      <c r="U1263" s="809"/>
      <c r="V1263" s="809"/>
      <c r="W1263" s="809"/>
      <c r="X1263" s="809"/>
      <c r="Y1263" s="809"/>
      <c r="Z1263" s="809"/>
      <c r="AA1263" s="809"/>
      <c r="AB1263" s="809"/>
      <c r="AC1263" s="809"/>
      <c r="AD1263" s="809"/>
      <c r="AE1263" s="809"/>
      <c r="AF1263" s="809"/>
      <c r="AG1263" s="809"/>
      <c r="AH1263" s="809"/>
      <c r="AI1263" s="809"/>
      <c r="AJ1263" s="809"/>
      <c r="AK1263" s="809"/>
      <c r="AL1263" s="809"/>
      <c r="AM1263" s="809"/>
      <c r="AN1263" s="809"/>
      <c r="AO1263" s="809"/>
      <c r="AP1263" s="809"/>
      <c r="AQ1263" s="809"/>
      <c r="AR1263" s="809"/>
      <c r="AS1263" s="809"/>
      <c r="AT1263" s="809"/>
      <c r="AU1263" s="809"/>
      <c r="AV1263" s="809"/>
      <c r="AW1263" s="809"/>
      <c r="AX1263" s="809"/>
      <c r="AY1263" s="809"/>
      <c r="AZ1263" s="809"/>
      <c r="BA1263" s="809"/>
      <c r="BB1263" s="809"/>
      <c r="BC1263" s="809"/>
      <c r="BD1263" s="809"/>
      <c r="BE1263" s="809"/>
      <c r="BF1263" s="809"/>
      <c r="BG1263" s="809"/>
      <c r="BH1263" s="809"/>
      <c r="BI1263" s="809"/>
      <c r="BJ1263" s="809"/>
      <c r="BK1263" s="809"/>
      <c r="BL1263" s="809"/>
      <c r="BM1263" s="809"/>
      <c r="BN1263" s="809"/>
    </row>
    <row r="1264" spans="1:66">
      <c r="A1264" s="809"/>
      <c r="B1264" s="809"/>
      <c r="C1264" s="809"/>
      <c r="D1264" s="809"/>
      <c r="E1264" s="809"/>
      <c r="F1264" s="809"/>
      <c r="G1264" s="809"/>
      <c r="H1264" s="809"/>
      <c r="I1264" s="809"/>
      <c r="J1264" s="809"/>
      <c r="K1264" s="809"/>
      <c r="L1264" s="809"/>
      <c r="M1264" s="809"/>
      <c r="N1264" s="809"/>
      <c r="O1264" s="809"/>
      <c r="P1264" s="809"/>
      <c r="Q1264" s="809"/>
      <c r="R1264" s="809"/>
      <c r="S1264" s="809"/>
      <c r="T1264" s="809"/>
      <c r="U1264" s="809"/>
      <c r="V1264" s="809"/>
      <c r="W1264" s="809"/>
      <c r="X1264" s="809"/>
      <c r="Y1264" s="809"/>
      <c r="Z1264" s="809"/>
      <c r="AA1264" s="809"/>
      <c r="AB1264" s="809"/>
      <c r="AC1264" s="809"/>
      <c r="AD1264" s="809"/>
      <c r="AE1264" s="809"/>
      <c r="AF1264" s="809"/>
      <c r="AG1264" s="809"/>
      <c r="AH1264" s="809"/>
      <c r="AI1264" s="809"/>
      <c r="AJ1264" s="809"/>
      <c r="AK1264" s="809"/>
      <c r="AL1264" s="809"/>
      <c r="AM1264" s="809"/>
      <c r="AN1264" s="809"/>
      <c r="AO1264" s="809"/>
      <c r="AP1264" s="809"/>
      <c r="AQ1264" s="809"/>
      <c r="AR1264" s="809"/>
      <c r="AS1264" s="809"/>
      <c r="AT1264" s="809"/>
      <c r="AU1264" s="809"/>
      <c r="AV1264" s="809"/>
      <c r="AW1264" s="809"/>
      <c r="AX1264" s="809"/>
      <c r="AY1264" s="809"/>
      <c r="AZ1264" s="809"/>
      <c r="BA1264" s="809"/>
      <c r="BB1264" s="809"/>
      <c r="BC1264" s="809"/>
      <c r="BD1264" s="809"/>
      <c r="BE1264" s="809"/>
      <c r="BF1264" s="809"/>
      <c r="BG1264" s="809"/>
      <c r="BH1264" s="809"/>
      <c r="BI1264" s="809"/>
      <c r="BJ1264" s="809"/>
      <c r="BK1264" s="809"/>
      <c r="BL1264" s="809"/>
      <c r="BM1264" s="809"/>
      <c r="BN1264" s="809"/>
    </row>
    <row r="1265" spans="1:66">
      <c r="A1265" s="809"/>
      <c r="B1265" s="809"/>
      <c r="C1265" s="809"/>
      <c r="D1265" s="809"/>
      <c r="E1265" s="809"/>
      <c r="F1265" s="809"/>
      <c r="G1265" s="809"/>
      <c r="H1265" s="809"/>
      <c r="I1265" s="809"/>
      <c r="J1265" s="809"/>
      <c r="K1265" s="809"/>
      <c r="L1265" s="809"/>
      <c r="M1265" s="809"/>
      <c r="N1265" s="809"/>
      <c r="O1265" s="809"/>
      <c r="P1265" s="809"/>
      <c r="Q1265" s="809"/>
      <c r="R1265" s="809"/>
      <c r="S1265" s="809"/>
      <c r="T1265" s="809"/>
      <c r="U1265" s="809"/>
      <c r="V1265" s="809"/>
      <c r="W1265" s="809"/>
      <c r="X1265" s="809"/>
      <c r="Y1265" s="809"/>
      <c r="Z1265" s="809"/>
      <c r="AA1265" s="809"/>
      <c r="AB1265" s="809"/>
      <c r="AC1265" s="809"/>
      <c r="AD1265" s="809"/>
      <c r="AE1265" s="809"/>
      <c r="AF1265" s="809"/>
      <c r="AG1265" s="809"/>
      <c r="AH1265" s="809"/>
      <c r="AI1265" s="809"/>
      <c r="AJ1265" s="809"/>
      <c r="AK1265" s="809"/>
      <c r="AL1265" s="809"/>
      <c r="AM1265" s="809"/>
      <c r="AN1265" s="809"/>
      <c r="AO1265" s="809"/>
      <c r="AP1265" s="809"/>
      <c r="AQ1265" s="809"/>
      <c r="AR1265" s="809"/>
      <c r="AS1265" s="809"/>
      <c r="AT1265" s="809"/>
      <c r="AU1265" s="809"/>
      <c r="AV1265" s="809"/>
      <c r="AW1265" s="809"/>
      <c r="AX1265" s="809"/>
      <c r="AY1265" s="809"/>
      <c r="AZ1265" s="809"/>
      <c r="BA1265" s="809"/>
      <c r="BB1265" s="809"/>
      <c r="BC1265" s="809"/>
      <c r="BD1265" s="809"/>
      <c r="BE1265" s="809"/>
      <c r="BF1265" s="809"/>
      <c r="BG1265" s="809"/>
      <c r="BH1265" s="809"/>
      <c r="BI1265" s="809"/>
      <c r="BJ1265" s="809"/>
      <c r="BK1265" s="809"/>
      <c r="BL1265" s="809"/>
      <c r="BM1265" s="809"/>
      <c r="BN1265" s="809"/>
    </row>
    <row r="1266" spans="1:66">
      <c r="A1266" s="809"/>
      <c r="B1266" s="809"/>
      <c r="C1266" s="809"/>
      <c r="D1266" s="809"/>
      <c r="E1266" s="809"/>
      <c r="F1266" s="809"/>
      <c r="G1266" s="809"/>
      <c r="H1266" s="809"/>
      <c r="I1266" s="809"/>
      <c r="J1266" s="809"/>
      <c r="K1266" s="809"/>
      <c r="L1266" s="809"/>
      <c r="M1266" s="809"/>
      <c r="N1266" s="809"/>
      <c r="O1266" s="809"/>
      <c r="P1266" s="809"/>
      <c r="Q1266" s="809"/>
      <c r="R1266" s="809"/>
      <c r="S1266" s="809"/>
      <c r="T1266" s="809"/>
      <c r="U1266" s="809"/>
      <c r="V1266" s="809"/>
      <c r="W1266" s="809"/>
      <c r="X1266" s="809"/>
      <c r="Y1266" s="809"/>
      <c r="Z1266" s="809"/>
      <c r="AA1266" s="809"/>
      <c r="AB1266" s="809"/>
      <c r="AC1266" s="809"/>
      <c r="AD1266" s="809"/>
      <c r="AE1266" s="809"/>
      <c r="AF1266" s="809"/>
      <c r="AG1266" s="809"/>
      <c r="AH1266" s="809"/>
      <c r="AI1266" s="809"/>
      <c r="AJ1266" s="809"/>
      <c r="AK1266" s="809"/>
      <c r="AL1266" s="809"/>
      <c r="AM1266" s="809"/>
      <c r="AN1266" s="809"/>
      <c r="AO1266" s="809"/>
      <c r="AP1266" s="809"/>
      <c r="AQ1266" s="809"/>
      <c r="AR1266" s="809"/>
      <c r="AS1266" s="809"/>
      <c r="AT1266" s="809"/>
      <c r="AU1266" s="809"/>
      <c r="AV1266" s="809"/>
      <c r="AW1266" s="809"/>
      <c r="AX1266" s="809"/>
      <c r="AY1266" s="809"/>
      <c r="AZ1266" s="809"/>
      <c r="BA1266" s="809"/>
      <c r="BB1266" s="809"/>
      <c r="BC1266" s="809"/>
      <c r="BD1266" s="809"/>
      <c r="BE1266" s="809"/>
      <c r="BF1266" s="809"/>
      <c r="BG1266" s="809"/>
      <c r="BH1266" s="809"/>
      <c r="BI1266" s="809"/>
      <c r="BJ1266" s="809"/>
      <c r="BK1266" s="809"/>
      <c r="BL1266" s="809"/>
      <c r="BM1266" s="809"/>
      <c r="BN1266" s="809"/>
    </row>
    <row r="1267" spans="1:66">
      <c r="A1267" s="809"/>
      <c r="B1267" s="809"/>
      <c r="C1267" s="809"/>
      <c r="D1267" s="809"/>
      <c r="E1267" s="809"/>
      <c r="F1267" s="809"/>
      <c r="G1267" s="809"/>
      <c r="H1267" s="809"/>
      <c r="I1267" s="809"/>
      <c r="J1267" s="809"/>
      <c r="K1267" s="809"/>
      <c r="L1267" s="809"/>
      <c r="M1267" s="809"/>
      <c r="N1267" s="809"/>
      <c r="O1267" s="809"/>
      <c r="P1267" s="809"/>
      <c r="Q1267" s="809"/>
      <c r="R1267" s="809"/>
      <c r="S1267" s="809"/>
      <c r="T1267" s="809"/>
      <c r="U1267" s="809"/>
      <c r="V1267" s="809"/>
      <c r="W1267" s="809"/>
      <c r="X1267" s="809"/>
      <c r="Y1267" s="809"/>
      <c r="Z1267" s="809"/>
      <c r="AA1267" s="809"/>
      <c r="AB1267" s="809"/>
      <c r="AC1267" s="809"/>
      <c r="AD1267" s="809"/>
      <c r="AE1267" s="809"/>
      <c r="AF1267" s="809"/>
      <c r="AG1267" s="809"/>
      <c r="AH1267" s="809"/>
      <c r="AI1267" s="809"/>
      <c r="AJ1267" s="809"/>
      <c r="AK1267" s="809"/>
      <c r="AL1267" s="809"/>
      <c r="AM1267" s="809"/>
      <c r="AN1267" s="809"/>
      <c r="AO1267" s="809"/>
      <c r="AP1267" s="809"/>
      <c r="AQ1267" s="809"/>
      <c r="AR1267" s="809"/>
      <c r="AS1267" s="809"/>
      <c r="AT1267" s="809"/>
      <c r="AU1267" s="809"/>
      <c r="AV1267" s="809"/>
      <c r="AW1267" s="809"/>
      <c r="AX1267" s="809"/>
      <c r="AY1267" s="809"/>
      <c r="AZ1267" s="809"/>
      <c r="BA1267" s="809"/>
      <c r="BB1267" s="809"/>
      <c r="BC1267" s="809"/>
      <c r="BD1267" s="809"/>
      <c r="BE1267" s="809"/>
      <c r="BF1267" s="809"/>
      <c r="BG1267" s="809"/>
      <c r="BH1267" s="809"/>
      <c r="BI1267" s="809"/>
      <c r="BJ1267" s="809"/>
      <c r="BK1267" s="809"/>
      <c r="BL1267" s="809"/>
      <c r="BM1267" s="809"/>
      <c r="BN1267" s="809"/>
    </row>
    <row r="1268" spans="1:66">
      <c r="A1268" s="809"/>
      <c r="B1268" s="809"/>
      <c r="C1268" s="809"/>
      <c r="D1268" s="809"/>
      <c r="E1268" s="809"/>
      <c r="F1268" s="809"/>
      <c r="G1268" s="809"/>
      <c r="H1268" s="809"/>
      <c r="I1268" s="809"/>
      <c r="J1268" s="809"/>
      <c r="K1268" s="809"/>
      <c r="L1268" s="809"/>
      <c r="M1268" s="809"/>
      <c r="N1268" s="809"/>
      <c r="O1268" s="809"/>
      <c r="P1268" s="809"/>
      <c r="Q1268" s="809"/>
      <c r="R1268" s="809"/>
      <c r="S1268" s="809"/>
      <c r="T1268" s="809"/>
      <c r="U1268" s="809"/>
      <c r="V1268" s="809"/>
      <c r="W1268" s="809"/>
      <c r="X1268" s="809"/>
      <c r="Y1268" s="809"/>
      <c r="Z1268" s="809"/>
      <c r="AA1268" s="809"/>
      <c r="AB1268" s="809"/>
      <c r="AC1268" s="809"/>
      <c r="AD1268" s="809"/>
      <c r="AE1268" s="809"/>
      <c r="AF1268" s="809"/>
      <c r="AG1268" s="809"/>
      <c r="AH1268" s="809"/>
      <c r="AI1268" s="809"/>
      <c r="AJ1268" s="809"/>
      <c r="AK1268" s="809"/>
      <c r="AL1268" s="809"/>
      <c r="AM1268" s="809"/>
      <c r="AN1268" s="809"/>
      <c r="AO1268" s="809"/>
      <c r="AP1268" s="809"/>
      <c r="AQ1268" s="809"/>
      <c r="AR1268" s="809"/>
      <c r="AS1268" s="809"/>
      <c r="AT1268" s="809"/>
      <c r="AU1268" s="809"/>
      <c r="AV1268" s="809"/>
      <c r="AW1268" s="809"/>
      <c r="AX1268" s="809"/>
      <c r="AY1268" s="809"/>
      <c r="AZ1268" s="809"/>
      <c r="BA1268" s="809"/>
      <c r="BB1268" s="809"/>
      <c r="BC1268" s="809"/>
      <c r="BD1268" s="809"/>
      <c r="BE1268" s="809"/>
      <c r="BF1268" s="809"/>
      <c r="BG1268" s="809"/>
      <c r="BH1268" s="809"/>
      <c r="BI1268" s="809"/>
      <c r="BJ1268" s="809"/>
      <c r="BK1268" s="809"/>
      <c r="BL1268" s="809"/>
      <c r="BM1268" s="809"/>
      <c r="BN1268" s="809"/>
    </row>
    <row r="1269" spans="1:66">
      <c r="A1269" s="809"/>
      <c r="B1269" s="809"/>
      <c r="C1269" s="809"/>
      <c r="D1269" s="809"/>
      <c r="E1269" s="809"/>
      <c r="F1269" s="809"/>
      <c r="G1269" s="809"/>
      <c r="H1269" s="809"/>
      <c r="I1269" s="809"/>
      <c r="J1269" s="809"/>
      <c r="K1269" s="809"/>
      <c r="L1269" s="809"/>
      <c r="M1269" s="809"/>
      <c r="N1269" s="809"/>
      <c r="O1269" s="809"/>
      <c r="P1269" s="809"/>
      <c r="Q1269" s="809"/>
      <c r="R1269" s="809"/>
      <c r="S1269" s="809"/>
      <c r="T1269" s="809"/>
      <c r="U1269" s="809"/>
      <c r="V1269" s="809"/>
      <c r="W1269" s="809"/>
      <c r="X1269" s="809"/>
      <c r="Y1269" s="809"/>
      <c r="Z1269" s="809"/>
      <c r="AA1269" s="809"/>
      <c r="AB1269" s="809"/>
      <c r="AC1269" s="809"/>
      <c r="AD1269" s="809"/>
      <c r="AE1269" s="809"/>
      <c r="AF1269" s="809"/>
      <c r="AG1269" s="809"/>
      <c r="AH1269" s="809"/>
      <c r="AI1269" s="809"/>
      <c r="AJ1269" s="809"/>
      <c r="AK1269" s="809"/>
      <c r="AL1269" s="809"/>
      <c r="AM1269" s="809"/>
      <c r="AN1269" s="809"/>
      <c r="AO1269" s="809"/>
      <c r="AP1269" s="809"/>
      <c r="AQ1269" s="809"/>
      <c r="AR1269" s="809"/>
      <c r="AS1269" s="809"/>
      <c r="AT1269" s="809"/>
      <c r="AU1269" s="809"/>
      <c r="AV1269" s="809"/>
      <c r="AW1269" s="809"/>
      <c r="AX1269" s="809"/>
      <c r="AY1269" s="809"/>
      <c r="AZ1269" s="809"/>
      <c r="BA1269" s="809"/>
      <c r="BB1269" s="809"/>
      <c r="BC1269" s="809"/>
      <c r="BD1269" s="809"/>
      <c r="BE1269" s="809"/>
      <c r="BF1269" s="809"/>
      <c r="BG1269" s="809"/>
      <c r="BH1269" s="809"/>
      <c r="BI1269" s="809"/>
      <c r="BJ1269" s="809"/>
      <c r="BK1269" s="809"/>
      <c r="BL1269" s="809"/>
      <c r="BM1269" s="809"/>
      <c r="BN1269" s="809"/>
    </row>
    <row r="1270" spans="1:66">
      <c r="A1270" s="809"/>
      <c r="B1270" s="809"/>
      <c r="C1270" s="809"/>
      <c r="D1270" s="809"/>
      <c r="E1270" s="809"/>
      <c r="F1270" s="809"/>
      <c r="G1270" s="809"/>
      <c r="H1270" s="809"/>
      <c r="I1270" s="809"/>
      <c r="J1270" s="809"/>
      <c r="K1270" s="809"/>
      <c r="L1270" s="809"/>
      <c r="M1270" s="809"/>
      <c r="N1270" s="809"/>
      <c r="O1270" s="809"/>
      <c r="P1270" s="809"/>
      <c r="Q1270" s="809"/>
      <c r="R1270" s="809"/>
      <c r="S1270" s="809"/>
      <c r="T1270" s="809"/>
      <c r="U1270" s="809"/>
      <c r="V1270" s="809"/>
      <c r="W1270" s="809"/>
      <c r="X1270" s="809"/>
      <c r="Y1270" s="809"/>
      <c r="Z1270" s="809"/>
      <c r="AA1270" s="809"/>
      <c r="AB1270" s="809"/>
      <c r="AC1270" s="809"/>
      <c r="AD1270" s="809"/>
      <c r="AE1270" s="809"/>
      <c r="AF1270" s="809"/>
      <c r="AG1270" s="809"/>
      <c r="AH1270" s="809"/>
      <c r="AI1270" s="809"/>
      <c r="AJ1270" s="809"/>
      <c r="AK1270" s="809"/>
      <c r="AL1270" s="809"/>
      <c r="AM1270" s="809"/>
      <c r="AN1270" s="809"/>
      <c r="AO1270" s="809"/>
      <c r="AP1270" s="809"/>
      <c r="AQ1270" s="809"/>
      <c r="AR1270" s="809"/>
      <c r="AS1270" s="809"/>
      <c r="AT1270" s="809"/>
      <c r="AU1270" s="809"/>
      <c r="AV1270" s="809"/>
      <c r="AW1270" s="809"/>
      <c r="AX1270" s="809"/>
      <c r="AY1270" s="809"/>
      <c r="AZ1270" s="809"/>
      <c r="BA1270" s="809"/>
      <c r="BB1270" s="809"/>
      <c r="BC1270" s="809"/>
      <c r="BD1270" s="809"/>
      <c r="BE1270" s="809"/>
      <c r="BF1270" s="809"/>
      <c r="BG1270" s="809"/>
      <c r="BH1270" s="809"/>
      <c r="BI1270" s="809"/>
      <c r="BJ1270" s="809"/>
      <c r="BK1270" s="809"/>
      <c r="BL1270" s="809"/>
      <c r="BM1270" s="809"/>
      <c r="BN1270" s="809"/>
    </row>
    <row r="1271" spans="1:66">
      <c r="A1271" s="809"/>
      <c r="B1271" s="809"/>
      <c r="C1271" s="809"/>
      <c r="D1271" s="809"/>
      <c r="E1271" s="809"/>
      <c r="F1271" s="809"/>
      <c r="G1271" s="809"/>
      <c r="H1271" s="809"/>
      <c r="I1271" s="809"/>
      <c r="J1271" s="809"/>
      <c r="K1271" s="809"/>
      <c r="L1271" s="809"/>
      <c r="M1271" s="809"/>
      <c r="N1271" s="809"/>
      <c r="O1271" s="809"/>
      <c r="P1271" s="809"/>
      <c r="Q1271" s="809"/>
      <c r="R1271" s="809"/>
      <c r="S1271" s="809"/>
      <c r="T1271" s="809"/>
      <c r="U1271" s="809"/>
      <c r="V1271" s="809"/>
      <c r="W1271" s="809"/>
      <c r="X1271" s="809"/>
      <c r="Y1271" s="809"/>
      <c r="Z1271" s="809"/>
      <c r="AA1271" s="809"/>
      <c r="AB1271" s="809"/>
      <c r="AC1271" s="809"/>
      <c r="AD1271" s="809"/>
      <c r="AE1271" s="809"/>
      <c r="AF1271" s="809"/>
      <c r="AG1271" s="809"/>
      <c r="AH1271" s="809"/>
      <c r="AI1271" s="809"/>
      <c r="AJ1271" s="809"/>
      <c r="AK1271" s="809"/>
      <c r="AL1271" s="809"/>
      <c r="AM1271" s="809"/>
      <c r="AN1271" s="809"/>
      <c r="AO1271" s="809"/>
      <c r="AP1271" s="809"/>
      <c r="AQ1271" s="809"/>
      <c r="AR1271" s="809"/>
      <c r="AS1271" s="809"/>
      <c r="AT1271" s="809"/>
      <c r="AU1271" s="809"/>
      <c r="AV1271" s="809"/>
      <c r="AW1271" s="809"/>
      <c r="AX1271" s="809"/>
      <c r="AY1271" s="809"/>
      <c r="AZ1271" s="809"/>
      <c r="BA1271" s="809"/>
      <c r="BB1271" s="809"/>
      <c r="BC1271" s="809"/>
      <c r="BD1271" s="809"/>
      <c r="BE1271" s="809"/>
      <c r="BF1271" s="809"/>
      <c r="BG1271" s="809"/>
      <c r="BH1271" s="809"/>
      <c r="BI1271" s="809"/>
      <c r="BJ1271" s="809"/>
      <c r="BK1271" s="809"/>
      <c r="BL1271" s="809"/>
      <c r="BM1271" s="809"/>
      <c r="BN1271" s="809"/>
    </row>
    <row r="1272" spans="1:66">
      <c r="A1272" s="809"/>
      <c r="B1272" s="809"/>
      <c r="C1272" s="809"/>
      <c r="D1272" s="809"/>
      <c r="E1272" s="809"/>
      <c r="F1272" s="809"/>
      <c r="G1272" s="809"/>
      <c r="H1272" s="809"/>
      <c r="I1272" s="809"/>
      <c r="J1272" s="809"/>
      <c r="K1272" s="809"/>
      <c r="L1272" s="809"/>
      <c r="M1272" s="809"/>
      <c r="N1272" s="809"/>
      <c r="O1272" s="809"/>
      <c r="P1272" s="809"/>
      <c r="Q1272" s="809"/>
      <c r="R1272" s="809"/>
      <c r="S1272" s="809"/>
      <c r="T1272" s="809"/>
      <c r="U1272" s="809"/>
      <c r="V1272" s="809"/>
      <c r="W1272" s="809"/>
      <c r="X1272" s="809"/>
      <c r="Y1272" s="809"/>
      <c r="Z1272" s="809"/>
      <c r="AA1272" s="809"/>
      <c r="AB1272" s="809"/>
      <c r="AC1272" s="809"/>
      <c r="AD1272" s="809"/>
      <c r="AE1272" s="809"/>
      <c r="AF1272" s="809"/>
      <c r="AG1272" s="809"/>
      <c r="AH1272" s="809"/>
      <c r="AI1272" s="809"/>
      <c r="AJ1272" s="809"/>
      <c r="AK1272" s="809"/>
      <c r="AL1272" s="809"/>
      <c r="AM1272" s="809"/>
      <c r="AN1272" s="809"/>
      <c r="AO1272" s="809"/>
      <c r="AP1272" s="809"/>
      <c r="AQ1272" s="809"/>
      <c r="AR1272" s="809"/>
      <c r="AS1272" s="809"/>
      <c r="AT1272" s="809"/>
      <c r="AU1272" s="809"/>
      <c r="AV1272" s="809"/>
      <c r="AW1272" s="809"/>
      <c r="AX1272" s="809"/>
      <c r="AY1272" s="809"/>
      <c r="AZ1272" s="809"/>
      <c r="BA1272" s="809"/>
      <c r="BB1272" s="809"/>
      <c r="BC1272" s="809"/>
      <c r="BD1272" s="809"/>
      <c r="BE1272" s="809"/>
      <c r="BF1272" s="809"/>
      <c r="BG1272" s="809"/>
      <c r="BH1272" s="809"/>
      <c r="BI1272" s="809"/>
      <c r="BJ1272" s="809"/>
      <c r="BK1272" s="809"/>
      <c r="BL1272" s="809"/>
      <c r="BM1272" s="809"/>
      <c r="BN1272" s="809"/>
    </row>
    <row r="1273" spans="1:66">
      <c r="A1273" s="809"/>
      <c r="B1273" s="809"/>
      <c r="C1273" s="809"/>
      <c r="D1273" s="809"/>
      <c r="E1273" s="809"/>
      <c r="F1273" s="809"/>
      <c r="G1273" s="809"/>
      <c r="H1273" s="809"/>
      <c r="I1273" s="809"/>
      <c r="J1273" s="809"/>
      <c r="K1273" s="809"/>
      <c r="L1273" s="809"/>
      <c r="M1273" s="809"/>
      <c r="N1273" s="809"/>
      <c r="O1273" s="809"/>
      <c r="P1273" s="809"/>
      <c r="Q1273" s="809"/>
      <c r="R1273" s="809"/>
      <c r="S1273" s="809"/>
      <c r="T1273" s="809"/>
      <c r="U1273" s="809"/>
      <c r="V1273" s="809"/>
      <c r="W1273" s="809"/>
      <c r="X1273" s="809"/>
      <c r="Y1273" s="809"/>
      <c r="Z1273" s="809"/>
      <c r="AA1273" s="809"/>
      <c r="AB1273" s="809"/>
      <c r="AC1273" s="809"/>
      <c r="AD1273" s="809"/>
      <c r="AE1273" s="809"/>
      <c r="AF1273" s="809"/>
      <c r="AG1273" s="809"/>
      <c r="AH1273" s="809"/>
      <c r="AI1273" s="809"/>
      <c r="AJ1273" s="809"/>
      <c r="AK1273" s="809"/>
      <c r="AL1273" s="809"/>
      <c r="AM1273" s="809"/>
      <c r="AN1273" s="809"/>
      <c r="AO1273" s="809"/>
      <c r="AP1273" s="809"/>
      <c r="AQ1273" s="809"/>
      <c r="AR1273" s="809"/>
      <c r="AS1273" s="809"/>
      <c r="AT1273" s="809"/>
      <c r="AU1273" s="809"/>
      <c r="AV1273" s="809"/>
      <c r="AW1273" s="809"/>
      <c r="AX1273" s="809"/>
      <c r="AY1273" s="809"/>
      <c r="AZ1273" s="809"/>
      <c r="BA1273" s="809"/>
      <c r="BB1273" s="809"/>
      <c r="BC1273" s="809"/>
      <c r="BD1273" s="809"/>
      <c r="BE1273" s="809"/>
      <c r="BF1273" s="809"/>
      <c r="BG1273" s="809"/>
      <c r="BH1273" s="809"/>
      <c r="BI1273" s="809"/>
      <c r="BJ1273" s="809"/>
      <c r="BK1273" s="809"/>
      <c r="BL1273" s="809"/>
      <c r="BM1273" s="809"/>
      <c r="BN1273" s="809"/>
    </row>
    <row r="1274" spans="1:66">
      <c r="A1274" s="809"/>
      <c r="B1274" s="809"/>
      <c r="C1274" s="809"/>
      <c r="D1274" s="809"/>
      <c r="E1274" s="809"/>
      <c r="F1274" s="809"/>
      <c r="G1274" s="809"/>
      <c r="H1274" s="809"/>
      <c r="I1274" s="809"/>
      <c r="J1274" s="809"/>
      <c r="K1274" s="809"/>
      <c r="L1274" s="809"/>
      <c r="M1274" s="809"/>
      <c r="N1274" s="809"/>
      <c r="O1274" s="809"/>
      <c r="P1274" s="809"/>
      <c r="Q1274" s="809"/>
      <c r="R1274" s="809"/>
      <c r="S1274" s="809"/>
      <c r="T1274" s="809"/>
      <c r="U1274" s="809"/>
      <c r="V1274" s="809"/>
      <c r="W1274" s="809"/>
      <c r="X1274" s="809"/>
      <c r="Y1274" s="809"/>
      <c r="Z1274" s="809"/>
      <c r="AA1274" s="809"/>
      <c r="AB1274" s="809"/>
      <c r="AC1274" s="809"/>
      <c r="AD1274" s="809"/>
      <c r="AE1274" s="809"/>
      <c r="AF1274" s="809"/>
      <c r="AG1274" s="809"/>
      <c r="AH1274" s="809"/>
      <c r="AI1274" s="809"/>
      <c r="AJ1274" s="809"/>
      <c r="AK1274" s="809"/>
      <c r="AL1274" s="809"/>
      <c r="AM1274" s="809"/>
      <c r="AN1274" s="809"/>
      <c r="AO1274" s="809"/>
      <c r="AP1274" s="809"/>
      <c r="AQ1274" s="809"/>
      <c r="AR1274" s="809"/>
      <c r="AS1274" s="809"/>
      <c r="AT1274" s="809"/>
      <c r="AU1274" s="809"/>
      <c r="AV1274" s="809"/>
      <c r="AW1274" s="809"/>
      <c r="AX1274" s="809"/>
      <c r="AY1274" s="809"/>
      <c r="AZ1274" s="809"/>
      <c r="BA1274" s="809"/>
      <c r="BB1274" s="809"/>
      <c r="BC1274" s="809"/>
      <c r="BD1274" s="809"/>
      <c r="BE1274" s="809"/>
      <c r="BF1274" s="809"/>
      <c r="BG1274" s="809"/>
      <c r="BH1274" s="809"/>
      <c r="BI1274" s="809"/>
      <c r="BJ1274" s="809"/>
      <c r="BK1274" s="809"/>
      <c r="BL1274" s="809"/>
      <c r="BM1274" s="809"/>
      <c r="BN1274" s="809"/>
    </row>
    <row r="1275" spans="1:66">
      <c r="A1275" s="809"/>
      <c r="B1275" s="809"/>
      <c r="C1275" s="809"/>
      <c r="D1275" s="809"/>
      <c r="E1275" s="809"/>
      <c r="F1275" s="809"/>
      <c r="G1275" s="809"/>
      <c r="H1275" s="809"/>
      <c r="I1275" s="809"/>
      <c r="J1275" s="809"/>
      <c r="K1275" s="809"/>
      <c r="L1275" s="809"/>
      <c r="M1275" s="809"/>
      <c r="N1275" s="809"/>
      <c r="O1275" s="809"/>
      <c r="P1275" s="809"/>
      <c r="Q1275" s="809"/>
      <c r="R1275" s="809"/>
      <c r="S1275" s="809"/>
      <c r="T1275" s="809"/>
      <c r="U1275" s="809"/>
      <c r="V1275" s="809"/>
      <c r="W1275" s="809"/>
      <c r="X1275" s="809"/>
      <c r="Y1275" s="809"/>
      <c r="Z1275" s="809"/>
      <c r="AA1275" s="809"/>
      <c r="AB1275" s="809"/>
      <c r="AC1275" s="809"/>
      <c r="AD1275" s="809"/>
      <c r="AE1275" s="809"/>
      <c r="AF1275" s="809"/>
      <c r="AG1275" s="809"/>
      <c r="AH1275" s="809"/>
      <c r="AI1275" s="809"/>
      <c r="AJ1275" s="809"/>
      <c r="AK1275" s="809"/>
      <c r="AL1275" s="809"/>
      <c r="AM1275" s="809"/>
      <c r="AN1275" s="809"/>
      <c r="AO1275" s="809"/>
      <c r="AP1275" s="809"/>
      <c r="AQ1275" s="809"/>
      <c r="AR1275" s="809"/>
      <c r="AS1275" s="809"/>
      <c r="AT1275" s="809"/>
      <c r="AU1275" s="809"/>
      <c r="AV1275" s="809"/>
      <c r="AW1275" s="809"/>
      <c r="AX1275" s="809"/>
      <c r="AY1275" s="809"/>
      <c r="AZ1275" s="809"/>
      <c r="BA1275" s="809"/>
      <c r="BB1275" s="809"/>
      <c r="BC1275" s="809"/>
      <c r="BD1275" s="809"/>
      <c r="BE1275" s="809"/>
      <c r="BF1275" s="809"/>
      <c r="BG1275" s="809"/>
      <c r="BH1275" s="809"/>
      <c r="BI1275" s="809"/>
      <c r="BJ1275" s="809"/>
      <c r="BK1275" s="809"/>
      <c r="BL1275" s="809"/>
      <c r="BM1275" s="809"/>
      <c r="BN1275" s="809"/>
    </row>
    <row r="1276" spans="1:66">
      <c r="A1276" s="809"/>
      <c r="B1276" s="809"/>
      <c r="C1276" s="809"/>
      <c r="D1276" s="809"/>
      <c r="E1276" s="809"/>
      <c r="F1276" s="809"/>
      <c r="G1276" s="809"/>
      <c r="H1276" s="809"/>
      <c r="I1276" s="809"/>
      <c r="J1276" s="809"/>
      <c r="K1276" s="809"/>
      <c r="L1276" s="809"/>
      <c r="M1276" s="809"/>
      <c r="N1276" s="809"/>
      <c r="O1276" s="809"/>
      <c r="P1276" s="809"/>
      <c r="Q1276" s="809"/>
      <c r="R1276" s="809"/>
      <c r="S1276" s="809"/>
      <c r="T1276" s="809"/>
      <c r="U1276" s="809"/>
      <c r="V1276" s="809"/>
      <c r="W1276" s="809"/>
      <c r="X1276" s="809"/>
      <c r="Y1276" s="809"/>
      <c r="Z1276" s="809"/>
      <c r="AA1276" s="809"/>
      <c r="AB1276" s="809"/>
      <c r="AC1276" s="809"/>
      <c r="AD1276" s="809"/>
      <c r="AE1276" s="809"/>
      <c r="AF1276" s="809"/>
      <c r="AG1276" s="809"/>
      <c r="AH1276" s="809"/>
      <c r="AI1276" s="809"/>
      <c r="AJ1276" s="809"/>
      <c r="AK1276" s="809"/>
      <c r="AL1276" s="809"/>
      <c r="AM1276" s="809"/>
      <c r="AN1276" s="809"/>
      <c r="AO1276" s="809"/>
      <c r="AP1276" s="809"/>
      <c r="AQ1276" s="809"/>
      <c r="AR1276" s="809"/>
      <c r="AS1276" s="809"/>
      <c r="AT1276" s="809"/>
      <c r="AU1276" s="809"/>
      <c r="AV1276" s="809"/>
      <c r="AW1276" s="809"/>
      <c r="AX1276" s="809"/>
      <c r="AY1276" s="809"/>
      <c r="AZ1276" s="809"/>
      <c r="BA1276" s="809"/>
      <c r="BB1276" s="809"/>
      <c r="BC1276" s="809"/>
      <c r="BD1276" s="809"/>
      <c r="BE1276" s="809"/>
      <c r="BF1276" s="809"/>
      <c r="BG1276" s="809"/>
      <c r="BH1276" s="809"/>
      <c r="BI1276" s="809"/>
      <c r="BJ1276" s="809"/>
      <c r="BK1276" s="809"/>
      <c r="BL1276" s="809"/>
      <c r="BM1276" s="809"/>
      <c r="BN1276" s="809"/>
    </row>
    <row r="1277" spans="1:66">
      <c r="A1277" s="809"/>
      <c r="B1277" s="809"/>
      <c r="C1277" s="809"/>
      <c r="D1277" s="809"/>
      <c r="E1277" s="809"/>
      <c r="F1277" s="809"/>
      <c r="G1277" s="809"/>
      <c r="H1277" s="809"/>
      <c r="I1277" s="809"/>
      <c r="J1277" s="809"/>
      <c r="K1277" s="809"/>
      <c r="L1277" s="809"/>
      <c r="M1277" s="809"/>
      <c r="N1277" s="809"/>
      <c r="O1277" s="809"/>
      <c r="P1277" s="809"/>
      <c r="Q1277" s="809"/>
      <c r="R1277" s="809"/>
      <c r="S1277" s="809"/>
      <c r="T1277" s="809"/>
      <c r="U1277" s="809"/>
      <c r="V1277" s="809"/>
      <c r="W1277" s="809"/>
      <c r="X1277" s="809"/>
      <c r="Y1277" s="809"/>
      <c r="Z1277" s="809"/>
      <c r="AA1277" s="809"/>
      <c r="AB1277" s="809"/>
      <c r="AC1277" s="809"/>
      <c r="AD1277" s="809"/>
      <c r="AE1277" s="809"/>
      <c r="AF1277" s="809"/>
      <c r="AG1277" s="809"/>
      <c r="AH1277" s="809"/>
      <c r="AI1277" s="809"/>
      <c r="AJ1277" s="809"/>
      <c r="AK1277" s="809"/>
      <c r="AL1277" s="809"/>
      <c r="AM1277" s="809"/>
      <c r="AN1277" s="809"/>
      <c r="AO1277" s="809"/>
      <c r="AP1277" s="809"/>
      <c r="AQ1277" s="809"/>
      <c r="AR1277" s="809"/>
      <c r="AS1277" s="809"/>
      <c r="AT1277" s="809"/>
      <c r="AU1277" s="809"/>
      <c r="AV1277" s="809"/>
      <c r="AW1277" s="809"/>
      <c r="AX1277" s="809"/>
      <c r="AY1277" s="809"/>
      <c r="AZ1277" s="809"/>
      <c r="BA1277" s="809"/>
      <c r="BB1277" s="809"/>
      <c r="BC1277" s="809"/>
      <c r="BD1277" s="809"/>
      <c r="BE1277" s="809"/>
      <c r="BF1277" s="809"/>
      <c r="BG1277" s="809"/>
      <c r="BH1277" s="809"/>
      <c r="BI1277" s="809"/>
      <c r="BJ1277" s="809"/>
      <c r="BK1277" s="809"/>
      <c r="BL1277" s="809"/>
      <c r="BM1277" s="809"/>
      <c r="BN1277" s="809"/>
    </row>
    <row r="1278" spans="1:66">
      <c r="A1278" s="809"/>
      <c r="B1278" s="809"/>
      <c r="C1278" s="809"/>
      <c r="D1278" s="809"/>
      <c r="E1278" s="809"/>
      <c r="F1278" s="809"/>
      <c r="G1278" s="809"/>
      <c r="H1278" s="809"/>
      <c r="I1278" s="809"/>
      <c r="J1278" s="809"/>
      <c r="K1278" s="809"/>
      <c r="L1278" s="809"/>
      <c r="M1278" s="809"/>
      <c r="N1278" s="809"/>
      <c r="O1278" s="809"/>
      <c r="P1278" s="809"/>
      <c r="Q1278" s="809"/>
      <c r="R1278" s="809"/>
      <c r="S1278" s="809"/>
      <c r="T1278" s="809"/>
      <c r="U1278" s="809"/>
      <c r="V1278" s="809"/>
      <c r="W1278" s="809"/>
      <c r="X1278" s="809"/>
      <c r="Y1278" s="809"/>
      <c r="Z1278" s="809"/>
      <c r="AA1278" s="809"/>
      <c r="AB1278" s="809"/>
      <c r="AC1278" s="809"/>
      <c r="AD1278" s="809"/>
      <c r="AE1278" s="809"/>
      <c r="AF1278" s="809"/>
      <c r="AG1278" s="809"/>
      <c r="AH1278" s="809"/>
      <c r="AI1278" s="809"/>
      <c r="AJ1278" s="809"/>
      <c r="AK1278" s="809"/>
      <c r="AL1278" s="809"/>
      <c r="AM1278" s="809"/>
      <c r="AN1278" s="809"/>
      <c r="AO1278" s="809"/>
      <c r="AP1278" s="809"/>
      <c r="AQ1278" s="809"/>
      <c r="AR1278" s="809"/>
      <c r="AS1278" s="809"/>
      <c r="AT1278" s="809"/>
      <c r="AU1278" s="809"/>
      <c r="AV1278" s="809"/>
      <c r="AW1278" s="809"/>
      <c r="AX1278" s="809"/>
      <c r="AY1278" s="809"/>
      <c r="AZ1278" s="809"/>
      <c r="BA1278" s="809"/>
      <c r="BB1278" s="809"/>
      <c r="BC1278" s="809"/>
      <c r="BD1278" s="809"/>
      <c r="BE1278" s="809"/>
      <c r="BF1278" s="809"/>
      <c r="BG1278" s="809"/>
      <c r="BH1278" s="809"/>
      <c r="BI1278" s="809"/>
      <c r="BJ1278" s="809"/>
      <c r="BK1278" s="809"/>
      <c r="BL1278" s="809"/>
      <c r="BM1278" s="809"/>
      <c r="BN1278" s="809"/>
    </row>
    <row r="1279" spans="1:66">
      <c r="A1279" s="809"/>
      <c r="B1279" s="809"/>
      <c r="C1279" s="809"/>
      <c r="D1279" s="809"/>
      <c r="E1279" s="809"/>
      <c r="F1279" s="809"/>
      <c r="G1279" s="809"/>
      <c r="H1279" s="809"/>
      <c r="I1279" s="809"/>
      <c r="J1279" s="809"/>
      <c r="K1279" s="809"/>
      <c r="L1279" s="809"/>
      <c r="M1279" s="809"/>
      <c r="N1279" s="809"/>
      <c r="O1279" s="809"/>
      <c r="P1279" s="809"/>
      <c r="Q1279" s="809"/>
      <c r="R1279" s="809"/>
      <c r="S1279" s="809"/>
      <c r="T1279" s="809"/>
      <c r="U1279" s="809"/>
      <c r="V1279" s="809"/>
      <c r="W1279" s="809"/>
      <c r="X1279" s="809"/>
      <c r="Y1279" s="809"/>
      <c r="Z1279" s="809"/>
      <c r="AA1279" s="809"/>
      <c r="AB1279" s="809"/>
      <c r="AC1279" s="809"/>
      <c r="AD1279" s="809"/>
      <c r="AE1279" s="809"/>
      <c r="AF1279" s="809"/>
      <c r="AG1279" s="809"/>
      <c r="AH1279" s="809"/>
      <c r="AI1279" s="809"/>
      <c r="AJ1279" s="809"/>
      <c r="AK1279" s="809"/>
      <c r="AL1279" s="809"/>
      <c r="AM1279" s="809"/>
      <c r="AN1279" s="809"/>
      <c r="AO1279" s="809"/>
      <c r="AP1279" s="809"/>
      <c r="AQ1279" s="809"/>
      <c r="AR1279" s="809"/>
      <c r="AS1279" s="809"/>
      <c r="AT1279" s="809"/>
      <c r="AU1279" s="809"/>
      <c r="AV1279" s="809"/>
      <c r="AW1279" s="809"/>
      <c r="AX1279" s="809"/>
      <c r="AY1279" s="809"/>
      <c r="AZ1279" s="809"/>
      <c r="BA1279" s="809"/>
      <c r="BB1279" s="809"/>
      <c r="BC1279" s="809"/>
      <c r="BD1279" s="809"/>
      <c r="BE1279" s="809"/>
      <c r="BF1279" s="809"/>
      <c r="BG1279" s="809"/>
      <c r="BH1279" s="809"/>
      <c r="BI1279" s="809"/>
      <c r="BJ1279" s="809"/>
      <c r="BK1279" s="809"/>
      <c r="BL1279" s="809"/>
      <c r="BM1279" s="809"/>
      <c r="BN1279" s="809"/>
    </row>
    <row r="1280" spans="1:66">
      <c r="A1280" s="809"/>
      <c r="B1280" s="809"/>
      <c r="C1280" s="809"/>
      <c r="D1280" s="809"/>
      <c r="E1280" s="809"/>
      <c r="F1280" s="809"/>
      <c r="G1280" s="809"/>
      <c r="H1280" s="809"/>
      <c r="I1280" s="809"/>
      <c r="J1280" s="809"/>
      <c r="K1280" s="809"/>
      <c r="L1280" s="809"/>
      <c r="M1280" s="809"/>
      <c r="N1280" s="809"/>
      <c r="O1280" s="809"/>
      <c r="P1280" s="809"/>
      <c r="Q1280" s="809"/>
      <c r="R1280" s="809"/>
      <c r="S1280" s="809"/>
      <c r="T1280" s="809"/>
      <c r="U1280" s="809"/>
      <c r="V1280" s="809"/>
      <c r="W1280" s="809"/>
      <c r="X1280" s="809"/>
      <c r="Y1280" s="809"/>
      <c r="Z1280" s="809"/>
      <c r="AA1280" s="809"/>
      <c r="AB1280" s="809"/>
      <c r="AC1280" s="809"/>
      <c r="AD1280" s="809"/>
      <c r="AE1280" s="809"/>
      <c r="AF1280" s="809"/>
      <c r="AG1280" s="809"/>
      <c r="AH1280" s="809"/>
      <c r="AI1280" s="809"/>
      <c r="AJ1280" s="809"/>
      <c r="AK1280" s="809"/>
      <c r="AL1280" s="809"/>
      <c r="AM1280" s="809"/>
      <c r="AN1280" s="809"/>
      <c r="AO1280" s="809"/>
      <c r="AP1280" s="809"/>
      <c r="AQ1280" s="809"/>
      <c r="AR1280" s="809"/>
      <c r="AS1280" s="809"/>
      <c r="AT1280" s="809"/>
      <c r="AU1280" s="809"/>
      <c r="AV1280" s="809"/>
      <c r="AW1280" s="809"/>
      <c r="AX1280" s="809"/>
      <c r="AY1280" s="809"/>
      <c r="AZ1280" s="809"/>
      <c r="BA1280" s="809"/>
      <c r="BB1280" s="809"/>
      <c r="BC1280" s="809"/>
      <c r="BD1280" s="809"/>
      <c r="BE1280" s="809"/>
      <c r="BF1280" s="809"/>
      <c r="BG1280" s="809"/>
      <c r="BH1280" s="809"/>
      <c r="BI1280" s="809"/>
      <c r="BJ1280" s="809"/>
      <c r="BK1280" s="809"/>
      <c r="BL1280" s="809"/>
      <c r="BM1280" s="809"/>
      <c r="BN1280" s="809"/>
    </row>
    <row r="1281" spans="1:66">
      <c r="A1281" s="809"/>
      <c r="B1281" s="809"/>
      <c r="C1281" s="809"/>
      <c r="D1281" s="809"/>
      <c r="E1281" s="809"/>
      <c r="F1281" s="809"/>
      <c r="G1281" s="809"/>
      <c r="H1281" s="809"/>
      <c r="I1281" s="809"/>
      <c r="J1281" s="809"/>
      <c r="K1281" s="809"/>
      <c r="L1281" s="809"/>
      <c r="M1281" s="809"/>
      <c r="N1281" s="809"/>
      <c r="O1281" s="809"/>
      <c r="P1281" s="809"/>
      <c r="Q1281" s="809"/>
      <c r="R1281" s="809"/>
      <c r="S1281" s="809"/>
      <c r="T1281" s="809"/>
      <c r="U1281" s="809"/>
      <c r="V1281" s="809"/>
      <c r="W1281" s="809"/>
      <c r="X1281" s="809"/>
      <c r="Y1281" s="809"/>
      <c r="Z1281" s="809"/>
      <c r="AA1281" s="809"/>
      <c r="AB1281" s="809"/>
      <c r="AC1281" s="809"/>
      <c r="AD1281" s="809"/>
      <c r="AE1281" s="809"/>
      <c r="AF1281" s="809"/>
      <c r="AG1281" s="809"/>
      <c r="AH1281" s="809"/>
      <c r="AI1281" s="809"/>
      <c r="AJ1281" s="809"/>
      <c r="AK1281" s="809"/>
      <c r="AL1281" s="809"/>
      <c r="AM1281" s="809"/>
      <c r="AN1281" s="809"/>
      <c r="AO1281" s="809"/>
      <c r="AP1281" s="809"/>
      <c r="AQ1281" s="809"/>
      <c r="AR1281" s="809"/>
      <c r="AS1281" s="809"/>
      <c r="AT1281" s="809"/>
      <c r="AU1281" s="809"/>
      <c r="AV1281" s="809"/>
      <c r="AW1281" s="809"/>
      <c r="AX1281" s="809"/>
      <c r="AY1281" s="809"/>
      <c r="AZ1281" s="809"/>
      <c r="BA1281" s="809"/>
      <c r="BB1281" s="809"/>
      <c r="BC1281" s="809"/>
      <c r="BD1281" s="809"/>
      <c r="BE1281" s="809"/>
      <c r="BF1281" s="809"/>
      <c r="BG1281" s="809"/>
      <c r="BH1281" s="809"/>
      <c r="BI1281" s="809"/>
      <c r="BJ1281" s="809"/>
      <c r="BK1281" s="809"/>
      <c r="BL1281" s="809"/>
      <c r="BM1281" s="809"/>
      <c r="BN1281" s="809"/>
    </row>
    <row r="1282" spans="1:66">
      <c r="A1282" s="809"/>
      <c r="B1282" s="809"/>
      <c r="C1282" s="809"/>
      <c r="D1282" s="809"/>
      <c r="E1282" s="809"/>
      <c r="F1282" s="809"/>
      <c r="G1282" s="809"/>
      <c r="H1282" s="809"/>
      <c r="I1282" s="809"/>
      <c r="J1282" s="809"/>
      <c r="K1282" s="809"/>
      <c r="L1282" s="809"/>
      <c r="M1282" s="809"/>
      <c r="N1282" s="809"/>
      <c r="O1282" s="809"/>
      <c r="P1282" s="809"/>
      <c r="Q1282" s="809"/>
      <c r="R1282" s="809"/>
      <c r="S1282" s="809"/>
      <c r="T1282" s="809"/>
      <c r="U1282" s="809"/>
      <c r="V1282" s="809"/>
      <c r="W1282" s="809"/>
      <c r="X1282" s="809"/>
      <c r="Y1282" s="809"/>
      <c r="Z1282" s="809"/>
      <c r="AA1282" s="809"/>
      <c r="AB1282" s="809"/>
      <c r="AC1282" s="809"/>
      <c r="AD1282" s="809"/>
      <c r="AE1282" s="809"/>
      <c r="AF1282" s="809"/>
      <c r="AG1282" s="809"/>
      <c r="AH1282" s="809"/>
      <c r="AI1282" s="809"/>
      <c r="AJ1282" s="809"/>
      <c r="AK1282" s="809"/>
      <c r="AL1282" s="809"/>
      <c r="AM1282" s="809"/>
      <c r="AN1282" s="809"/>
      <c r="AO1282" s="809"/>
      <c r="AP1282" s="809"/>
      <c r="AQ1282" s="809"/>
      <c r="AR1282" s="809"/>
      <c r="AS1282" s="809"/>
      <c r="AT1282" s="809"/>
      <c r="AU1282" s="809"/>
      <c r="AV1282" s="809"/>
      <c r="AW1282" s="809"/>
      <c r="AX1282" s="809"/>
      <c r="AY1282" s="809"/>
      <c r="AZ1282" s="809"/>
      <c r="BA1282" s="809"/>
      <c r="BB1282" s="809"/>
      <c r="BC1282" s="809"/>
      <c r="BD1282" s="809"/>
      <c r="BE1282" s="809"/>
      <c r="BF1282" s="809"/>
      <c r="BG1282" s="809"/>
      <c r="BH1282" s="809"/>
      <c r="BI1282" s="809"/>
      <c r="BJ1282" s="809"/>
      <c r="BK1282" s="809"/>
      <c r="BL1282" s="809"/>
      <c r="BM1282" s="809"/>
      <c r="BN1282" s="809"/>
    </row>
    <row r="1283" spans="1:66">
      <c r="A1283" s="809"/>
      <c r="B1283" s="809"/>
      <c r="C1283" s="809"/>
      <c r="D1283" s="809"/>
      <c r="E1283" s="809"/>
      <c r="F1283" s="809"/>
      <c r="G1283" s="809"/>
      <c r="H1283" s="809"/>
      <c r="I1283" s="809"/>
      <c r="J1283" s="809"/>
      <c r="K1283" s="809"/>
      <c r="L1283" s="809"/>
      <c r="M1283" s="809"/>
      <c r="N1283" s="809"/>
      <c r="O1283" s="809"/>
      <c r="P1283" s="809"/>
      <c r="Q1283" s="809"/>
      <c r="R1283" s="809"/>
      <c r="S1283" s="809"/>
      <c r="T1283" s="809"/>
      <c r="U1283" s="809"/>
      <c r="V1283" s="809"/>
      <c r="W1283" s="809"/>
      <c r="X1283" s="809"/>
      <c r="Y1283" s="809"/>
      <c r="Z1283" s="809"/>
      <c r="AA1283" s="809"/>
      <c r="AB1283" s="809"/>
      <c r="AC1283" s="809"/>
      <c r="AD1283" s="809"/>
      <c r="AE1283" s="809"/>
      <c r="AF1283" s="809"/>
      <c r="AG1283" s="809"/>
      <c r="AH1283" s="809"/>
      <c r="AI1283" s="809"/>
      <c r="AJ1283" s="809"/>
      <c r="AK1283" s="809"/>
      <c r="AL1283" s="809"/>
      <c r="AM1283" s="809"/>
      <c r="AN1283" s="809"/>
      <c r="AO1283" s="809"/>
      <c r="AP1283" s="809"/>
      <c r="AQ1283" s="809"/>
      <c r="AR1283" s="809"/>
      <c r="AS1283" s="809"/>
      <c r="AT1283" s="809"/>
      <c r="AU1283" s="809"/>
      <c r="AV1283" s="809"/>
      <c r="AW1283" s="809"/>
      <c r="AX1283" s="809"/>
      <c r="AY1283" s="809"/>
      <c r="AZ1283" s="809"/>
      <c r="BA1283" s="809"/>
      <c r="BB1283" s="809"/>
      <c r="BC1283" s="809"/>
      <c r="BD1283" s="809"/>
      <c r="BE1283" s="809"/>
      <c r="BF1283" s="809"/>
      <c r="BG1283" s="809"/>
      <c r="BH1283" s="809"/>
      <c r="BI1283" s="809"/>
      <c r="BJ1283" s="809"/>
      <c r="BK1283" s="809"/>
      <c r="BL1283" s="809"/>
      <c r="BM1283" s="809"/>
      <c r="BN1283" s="809"/>
    </row>
    <row r="1284" spans="1:66">
      <c r="A1284" s="809"/>
      <c r="B1284" s="809"/>
      <c r="C1284" s="809"/>
      <c r="D1284" s="809"/>
      <c r="E1284" s="809"/>
      <c r="F1284" s="809"/>
      <c r="G1284" s="809"/>
      <c r="H1284" s="809"/>
      <c r="I1284" s="809"/>
      <c r="J1284" s="809"/>
      <c r="K1284" s="809"/>
      <c r="L1284" s="809"/>
      <c r="M1284" s="809"/>
      <c r="N1284" s="809"/>
      <c r="O1284" s="809"/>
      <c r="P1284" s="809"/>
      <c r="Q1284" s="809"/>
      <c r="R1284" s="809"/>
      <c r="S1284" s="809"/>
      <c r="T1284" s="809"/>
      <c r="U1284" s="809"/>
      <c r="V1284" s="809"/>
      <c r="W1284" s="809"/>
      <c r="X1284" s="809"/>
      <c r="Y1284" s="809"/>
      <c r="Z1284" s="809"/>
      <c r="AA1284" s="809"/>
      <c r="AB1284" s="809"/>
      <c r="AC1284" s="809"/>
      <c r="AD1284" s="809"/>
      <c r="AE1284" s="809"/>
      <c r="AF1284" s="809"/>
      <c r="AG1284" s="809"/>
      <c r="AH1284" s="809"/>
      <c r="AI1284" s="809"/>
      <c r="AJ1284" s="809"/>
      <c r="AK1284" s="809"/>
      <c r="AL1284" s="809"/>
      <c r="AM1284" s="809"/>
      <c r="AN1284" s="809"/>
      <c r="AO1284" s="809"/>
      <c r="AP1284" s="809"/>
      <c r="AQ1284" s="809"/>
      <c r="AR1284" s="809"/>
      <c r="AS1284" s="809"/>
      <c r="AT1284" s="809"/>
      <c r="AU1284" s="809"/>
      <c r="AV1284" s="809"/>
      <c r="AW1284" s="809"/>
      <c r="AX1284" s="809"/>
      <c r="AY1284" s="809"/>
      <c r="AZ1284" s="809"/>
      <c r="BA1284" s="809"/>
      <c r="BB1284" s="809"/>
      <c r="BC1284" s="809"/>
      <c r="BD1284" s="809"/>
      <c r="BE1284" s="809"/>
      <c r="BF1284" s="809"/>
      <c r="BG1284" s="809"/>
      <c r="BH1284" s="809"/>
      <c r="BI1284" s="809"/>
      <c r="BJ1284" s="809"/>
      <c r="BK1284" s="809"/>
      <c r="BL1284" s="809"/>
      <c r="BM1284" s="809"/>
      <c r="BN1284" s="809"/>
    </row>
    <row r="1285" spans="1:66">
      <c r="A1285" s="809"/>
      <c r="B1285" s="809"/>
      <c r="C1285" s="809"/>
      <c r="D1285" s="809"/>
      <c r="E1285" s="809"/>
      <c r="F1285" s="809"/>
      <c r="G1285" s="809"/>
      <c r="H1285" s="809"/>
      <c r="I1285" s="809"/>
      <c r="J1285" s="809"/>
      <c r="K1285" s="809"/>
      <c r="L1285" s="809"/>
      <c r="M1285" s="809"/>
      <c r="N1285" s="809"/>
      <c r="O1285" s="809"/>
      <c r="P1285" s="809"/>
      <c r="Q1285" s="809"/>
      <c r="R1285" s="809"/>
      <c r="S1285" s="809"/>
      <c r="T1285" s="809"/>
      <c r="U1285" s="809"/>
      <c r="V1285" s="809"/>
      <c r="W1285" s="809"/>
      <c r="X1285" s="809"/>
      <c r="Y1285" s="809"/>
      <c r="Z1285" s="809"/>
      <c r="AA1285" s="809"/>
      <c r="AB1285" s="809"/>
      <c r="AC1285" s="809"/>
      <c r="AD1285" s="809"/>
      <c r="AE1285" s="809"/>
      <c r="AF1285" s="809"/>
      <c r="AG1285" s="809"/>
      <c r="AH1285" s="809"/>
      <c r="AI1285" s="809"/>
      <c r="AJ1285" s="809"/>
      <c r="AK1285" s="809"/>
      <c r="AL1285" s="809"/>
      <c r="AM1285" s="809"/>
      <c r="AN1285" s="809"/>
      <c r="AO1285" s="809"/>
      <c r="AP1285" s="809"/>
      <c r="AQ1285" s="809"/>
      <c r="AR1285" s="809"/>
      <c r="AS1285" s="809"/>
      <c r="AT1285" s="809"/>
      <c r="AU1285" s="809"/>
      <c r="AV1285" s="809"/>
      <c r="AW1285" s="809"/>
      <c r="AX1285" s="809"/>
      <c r="AY1285" s="809"/>
      <c r="AZ1285" s="809"/>
      <c r="BA1285" s="809"/>
      <c r="BB1285" s="809"/>
      <c r="BC1285" s="809"/>
      <c r="BD1285" s="809"/>
      <c r="BE1285" s="809"/>
      <c r="BF1285" s="809"/>
      <c r="BG1285" s="809"/>
      <c r="BH1285" s="809"/>
      <c r="BI1285" s="809"/>
      <c r="BJ1285" s="809"/>
      <c r="BK1285" s="809"/>
      <c r="BL1285" s="809"/>
      <c r="BM1285" s="809"/>
      <c r="BN1285" s="809"/>
    </row>
    <row r="1286" spans="1:66">
      <c r="A1286" s="809"/>
      <c r="B1286" s="809"/>
      <c r="C1286" s="809"/>
      <c r="D1286" s="809"/>
      <c r="E1286" s="809"/>
      <c r="F1286" s="809"/>
      <c r="G1286" s="809"/>
      <c r="H1286" s="809"/>
      <c r="I1286" s="809"/>
      <c r="J1286" s="809"/>
      <c r="K1286" s="809"/>
      <c r="L1286" s="809"/>
      <c r="M1286" s="809"/>
      <c r="N1286" s="809"/>
      <c r="O1286" s="809"/>
      <c r="P1286" s="809"/>
      <c r="Q1286" s="809"/>
      <c r="R1286" s="809"/>
      <c r="S1286" s="809"/>
      <c r="T1286" s="809"/>
      <c r="U1286" s="809"/>
      <c r="V1286" s="809"/>
      <c r="W1286" s="809"/>
      <c r="X1286" s="809"/>
      <c r="Y1286" s="809"/>
      <c r="Z1286" s="809"/>
      <c r="AA1286" s="809"/>
      <c r="AB1286" s="809"/>
      <c r="AC1286" s="809"/>
      <c r="AD1286" s="809"/>
      <c r="AE1286" s="809"/>
      <c r="AF1286" s="809"/>
      <c r="AG1286" s="809"/>
      <c r="AH1286" s="809"/>
      <c r="AI1286" s="809"/>
      <c r="AJ1286" s="809"/>
      <c r="AK1286" s="809"/>
      <c r="AL1286" s="809"/>
      <c r="AM1286" s="809"/>
      <c r="AN1286" s="809"/>
      <c r="AO1286" s="809"/>
      <c r="AP1286" s="809"/>
      <c r="AQ1286" s="809"/>
      <c r="AR1286" s="809"/>
      <c r="AS1286" s="809"/>
      <c r="AT1286" s="809"/>
      <c r="AU1286" s="809"/>
      <c r="AV1286" s="809"/>
      <c r="AW1286" s="809"/>
      <c r="AX1286" s="809"/>
      <c r="AY1286" s="809"/>
      <c r="AZ1286" s="809"/>
      <c r="BA1286" s="809"/>
      <c r="BB1286" s="809"/>
      <c r="BC1286" s="809"/>
      <c r="BD1286" s="809"/>
      <c r="BE1286" s="809"/>
      <c r="BF1286" s="809"/>
      <c r="BG1286" s="809"/>
      <c r="BH1286" s="809"/>
      <c r="BI1286" s="809"/>
      <c r="BJ1286" s="809"/>
      <c r="BK1286" s="809"/>
      <c r="BL1286" s="809"/>
      <c r="BM1286" s="809"/>
      <c r="BN1286" s="809"/>
    </row>
    <row r="1287" spans="1:66">
      <c r="A1287" s="809"/>
      <c r="B1287" s="809"/>
      <c r="C1287" s="809"/>
      <c r="D1287" s="809"/>
      <c r="E1287" s="809"/>
      <c r="F1287" s="809"/>
      <c r="G1287" s="809"/>
      <c r="H1287" s="809"/>
      <c r="I1287" s="809"/>
      <c r="J1287" s="809"/>
      <c r="K1287" s="809"/>
      <c r="L1287" s="809"/>
      <c r="M1287" s="809"/>
      <c r="N1287" s="809"/>
      <c r="O1287" s="809"/>
      <c r="P1287" s="809"/>
      <c r="Q1287" s="809"/>
      <c r="R1287" s="809"/>
      <c r="S1287" s="809"/>
      <c r="T1287" s="809"/>
      <c r="U1287" s="809"/>
      <c r="V1287" s="809"/>
      <c r="W1287" s="809"/>
      <c r="X1287" s="809"/>
      <c r="Y1287" s="809"/>
      <c r="Z1287" s="809"/>
      <c r="AA1287" s="809"/>
      <c r="AB1287" s="809"/>
      <c r="AC1287" s="809"/>
      <c r="AD1287" s="809"/>
      <c r="AE1287" s="809"/>
      <c r="AF1287" s="809"/>
      <c r="AG1287" s="809"/>
      <c r="AH1287" s="809"/>
      <c r="AI1287" s="809"/>
      <c r="AJ1287" s="809"/>
      <c r="AK1287" s="809"/>
      <c r="AL1287" s="809"/>
      <c r="AM1287" s="809"/>
      <c r="AN1287" s="809"/>
      <c r="AO1287" s="809"/>
      <c r="AP1287" s="809"/>
      <c r="AQ1287" s="809"/>
      <c r="AR1287" s="809"/>
      <c r="AS1287" s="809"/>
      <c r="AT1287" s="809"/>
      <c r="AU1287" s="809"/>
      <c r="AV1287" s="809"/>
      <c r="AW1287" s="809"/>
      <c r="AX1287" s="809"/>
      <c r="AY1287" s="809"/>
      <c r="AZ1287" s="809"/>
      <c r="BA1287" s="809"/>
      <c r="BB1287" s="809"/>
      <c r="BC1287" s="809"/>
      <c r="BD1287" s="809"/>
      <c r="BE1287" s="809"/>
      <c r="BF1287" s="809"/>
      <c r="BG1287" s="809"/>
      <c r="BH1287" s="809"/>
      <c r="BI1287" s="809"/>
      <c r="BJ1287" s="809"/>
      <c r="BK1287" s="809"/>
      <c r="BL1287" s="809"/>
      <c r="BM1287" s="809"/>
      <c r="BN1287" s="809"/>
    </row>
    <row r="1288" spans="1:66">
      <c r="A1288" s="809"/>
      <c r="B1288" s="809"/>
      <c r="C1288" s="809"/>
      <c r="D1288" s="809"/>
      <c r="E1288" s="809"/>
      <c r="F1288" s="809"/>
      <c r="G1288" s="809"/>
      <c r="H1288" s="809"/>
      <c r="I1288" s="809"/>
      <c r="J1288" s="809"/>
      <c r="K1288" s="809"/>
      <c r="L1288" s="809"/>
      <c r="M1288" s="809"/>
      <c r="N1288" s="809"/>
      <c r="O1288" s="809"/>
      <c r="P1288" s="809"/>
      <c r="Q1288" s="809"/>
      <c r="R1288" s="809"/>
      <c r="S1288" s="809"/>
      <c r="T1288" s="809"/>
      <c r="U1288" s="809"/>
      <c r="V1288" s="809"/>
      <c r="W1288" s="809"/>
      <c r="X1288" s="809"/>
      <c r="Y1288" s="809"/>
      <c r="Z1288" s="809"/>
      <c r="AA1288" s="809"/>
      <c r="AB1288" s="809"/>
      <c r="AC1288" s="809"/>
      <c r="AD1288" s="809"/>
      <c r="AE1288" s="809"/>
      <c r="AF1288" s="809"/>
      <c r="AG1288" s="809"/>
      <c r="AH1288" s="809"/>
      <c r="AI1288" s="809"/>
      <c r="AJ1288" s="809"/>
      <c r="AK1288" s="809"/>
      <c r="AL1288" s="809"/>
      <c r="AM1288" s="809"/>
      <c r="AN1288" s="809"/>
      <c r="AO1288" s="809"/>
      <c r="AP1288" s="809"/>
      <c r="AQ1288" s="809"/>
      <c r="AR1288" s="809"/>
      <c r="AS1288" s="809"/>
      <c r="AT1288" s="809"/>
      <c r="AU1288" s="809"/>
      <c r="AV1288" s="809"/>
      <c r="AW1288" s="809"/>
      <c r="AX1288" s="809"/>
      <c r="AY1288" s="809"/>
      <c r="AZ1288" s="809"/>
      <c r="BA1288" s="809"/>
      <c r="BB1288" s="809"/>
      <c r="BC1288" s="809"/>
      <c r="BD1288" s="809"/>
      <c r="BE1288" s="809"/>
      <c r="BF1288" s="809"/>
      <c r="BG1288" s="809"/>
      <c r="BH1288" s="809"/>
      <c r="BI1288" s="809"/>
      <c r="BJ1288" s="809"/>
      <c r="BK1288" s="809"/>
      <c r="BL1288" s="809"/>
      <c r="BM1288" s="809"/>
      <c r="BN1288" s="809"/>
    </row>
    <row r="1289" spans="1:66">
      <c r="A1289" s="809"/>
      <c r="B1289" s="809"/>
      <c r="C1289" s="809"/>
      <c r="D1289" s="809"/>
      <c r="E1289" s="809"/>
      <c r="F1289" s="809"/>
      <c r="G1289" s="809"/>
      <c r="H1289" s="809"/>
      <c r="I1289" s="809"/>
      <c r="J1289" s="809"/>
      <c r="K1289" s="809"/>
      <c r="L1289" s="809"/>
      <c r="M1289" s="809"/>
      <c r="N1289" s="809"/>
      <c r="O1289" s="809"/>
      <c r="P1289" s="809"/>
      <c r="Q1289" s="809"/>
      <c r="R1289" s="809"/>
      <c r="S1289" s="809"/>
      <c r="T1289" s="809"/>
      <c r="U1289" s="809"/>
      <c r="V1289" s="809"/>
      <c r="W1289" s="809"/>
      <c r="X1289" s="809"/>
      <c r="Y1289" s="809"/>
      <c r="Z1289" s="809"/>
      <c r="AA1289" s="809"/>
      <c r="AB1289" s="809"/>
      <c r="AC1289" s="809"/>
      <c r="AD1289" s="809"/>
      <c r="AE1289" s="809"/>
      <c r="AF1289" s="809"/>
      <c r="AG1289" s="809"/>
      <c r="AH1289" s="809"/>
      <c r="AI1289" s="809"/>
      <c r="AJ1289" s="809"/>
      <c r="AK1289" s="809"/>
      <c r="AL1289" s="809"/>
      <c r="AM1289" s="809"/>
      <c r="AN1289" s="809"/>
      <c r="AO1289" s="809"/>
      <c r="AP1289" s="809"/>
      <c r="AQ1289" s="809"/>
      <c r="AR1289" s="809"/>
      <c r="AS1289" s="809"/>
      <c r="AT1289" s="809"/>
      <c r="AU1289" s="809"/>
      <c r="AV1289" s="809"/>
      <c r="AW1289" s="809"/>
      <c r="AX1289" s="809"/>
      <c r="AY1289" s="809"/>
      <c r="AZ1289" s="809"/>
      <c r="BA1289" s="809"/>
      <c r="BB1289" s="809"/>
      <c r="BC1289" s="809"/>
      <c r="BD1289" s="809"/>
      <c r="BE1289" s="809"/>
      <c r="BF1289" s="809"/>
      <c r="BG1289" s="809"/>
      <c r="BH1289" s="809"/>
      <c r="BI1289" s="809"/>
      <c r="BJ1289" s="809"/>
      <c r="BK1289" s="809"/>
      <c r="BL1289" s="809"/>
      <c r="BM1289" s="809"/>
      <c r="BN1289" s="809"/>
    </row>
    <row r="1290" spans="1:66">
      <c r="A1290" s="809"/>
      <c r="B1290" s="809"/>
      <c r="C1290" s="809"/>
      <c r="D1290" s="809"/>
      <c r="E1290" s="809"/>
      <c r="F1290" s="809"/>
      <c r="G1290" s="809"/>
      <c r="H1290" s="809"/>
      <c r="I1290" s="809"/>
      <c r="J1290" s="809"/>
      <c r="K1290" s="809"/>
      <c r="L1290" s="809"/>
      <c r="M1290" s="809"/>
      <c r="N1290" s="809"/>
      <c r="O1290" s="809"/>
      <c r="P1290" s="809"/>
      <c r="Q1290" s="809"/>
      <c r="R1290" s="809"/>
      <c r="S1290" s="809"/>
      <c r="T1290" s="809"/>
      <c r="U1290" s="809"/>
      <c r="V1290" s="809"/>
      <c r="W1290" s="809"/>
      <c r="X1290" s="809"/>
      <c r="Y1290" s="809"/>
      <c r="Z1290" s="809"/>
      <c r="AA1290" s="809"/>
      <c r="AB1290" s="809"/>
      <c r="AC1290" s="809"/>
      <c r="AD1290" s="809"/>
      <c r="AE1290" s="809"/>
      <c r="AF1290" s="809"/>
      <c r="AG1290" s="809"/>
      <c r="AH1290" s="809"/>
      <c r="AI1290" s="809"/>
      <c r="AJ1290" s="809"/>
      <c r="AK1290" s="809"/>
      <c r="AL1290" s="809"/>
      <c r="AM1290" s="809"/>
      <c r="AN1290" s="809"/>
      <c r="AO1290" s="809"/>
      <c r="AP1290" s="809"/>
      <c r="AQ1290" s="809"/>
      <c r="AR1290" s="809"/>
      <c r="AS1290" s="809"/>
      <c r="AT1290" s="809"/>
      <c r="AU1290" s="809"/>
      <c r="AV1290" s="809"/>
      <c r="AW1290" s="809"/>
      <c r="AX1290" s="809"/>
      <c r="AY1290" s="809"/>
      <c r="AZ1290" s="809"/>
      <c r="BA1290" s="809"/>
      <c r="BB1290" s="809"/>
      <c r="BC1290" s="809"/>
      <c r="BD1290" s="809"/>
      <c r="BE1290" s="809"/>
      <c r="BF1290" s="809"/>
      <c r="BG1290" s="809"/>
      <c r="BH1290" s="809"/>
      <c r="BI1290" s="809"/>
      <c r="BJ1290" s="809"/>
      <c r="BK1290" s="809"/>
      <c r="BL1290" s="809"/>
      <c r="BM1290" s="809"/>
      <c r="BN1290" s="809"/>
    </row>
    <row r="1291" spans="1:66">
      <c r="A1291" s="809"/>
      <c r="B1291" s="809"/>
      <c r="C1291" s="809"/>
      <c r="D1291" s="809"/>
      <c r="E1291" s="809"/>
      <c r="F1291" s="809"/>
      <c r="G1291" s="809"/>
      <c r="H1291" s="809"/>
      <c r="I1291" s="809"/>
      <c r="J1291" s="809"/>
      <c r="K1291" s="809"/>
      <c r="L1291" s="809"/>
      <c r="M1291" s="809"/>
      <c r="N1291" s="809"/>
      <c r="O1291" s="809"/>
      <c r="P1291" s="809"/>
      <c r="Q1291" s="809"/>
      <c r="R1291" s="809"/>
      <c r="S1291" s="809"/>
      <c r="T1291" s="809"/>
      <c r="U1291" s="809"/>
      <c r="V1291" s="809"/>
      <c r="W1291" s="809"/>
      <c r="X1291" s="809"/>
      <c r="Y1291" s="809"/>
      <c r="Z1291" s="809"/>
      <c r="AA1291" s="809"/>
      <c r="AB1291" s="809"/>
      <c r="AC1291" s="809"/>
      <c r="AD1291" s="809"/>
      <c r="AE1291" s="809"/>
      <c r="AF1291" s="809"/>
      <c r="AG1291" s="809"/>
      <c r="AH1291" s="809"/>
      <c r="AI1291" s="809"/>
      <c r="AJ1291" s="809"/>
      <c r="AK1291" s="809"/>
      <c r="AL1291" s="809"/>
      <c r="AM1291" s="809"/>
      <c r="AN1291" s="809"/>
      <c r="AO1291" s="809"/>
      <c r="AP1291" s="809"/>
      <c r="AQ1291" s="809"/>
      <c r="AR1291" s="809"/>
      <c r="AS1291" s="809"/>
      <c r="AT1291" s="809"/>
      <c r="AU1291" s="809"/>
      <c r="AV1291" s="809"/>
      <c r="AW1291" s="809"/>
      <c r="AX1291" s="809"/>
      <c r="AY1291" s="809"/>
      <c r="AZ1291" s="809"/>
      <c r="BA1291" s="809"/>
      <c r="BB1291" s="809"/>
      <c r="BC1291" s="809"/>
      <c r="BD1291" s="809"/>
      <c r="BE1291" s="809"/>
      <c r="BF1291" s="809"/>
      <c r="BG1291" s="809"/>
      <c r="BH1291" s="809"/>
      <c r="BI1291" s="809"/>
      <c r="BJ1291" s="809"/>
      <c r="BK1291" s="809"/>
      <c r="BL1291" s="809"/>
      <c r="BM1291" s="809"/>
      <c r="BN1291" s="809"/>
    </row>
    <row r="1292" spans="1:66">
      <c r="A1292" s="809"/>
      <c r="B1292" s="809"/>
      <c r="C1292" s="809"/>
      <c r="D1292" s="809"/>
      <c r="E1292" s="809"/>
      <c r="F1292" s="809"/>
      <c r="G1292" s="809"/>
      <c r="H1292" s="809"/>
      <c r="I1292" s="809"/>
      <c r="J1292" s="809"/>
      <c r="K1292" s="809"/>
      <c r="L1292" s="809"/>
      <c r="M1292" s="809"/>
      <c r="N1292" s="809"/>
      <c r="O1292" s="809"/>
      <c r="P1292" s="809"/>
      <c r="Q1292" s="809"/>
      <c r="R1292" s="809"/>
      <c r="S1292" s="809"/>
      <c r="T1292" s="809"/>
      <c r="U1292" s="809"/>
      <c r="V1292" s="809"/>
      <c r="W1292" s="809"/>
      <c r="X1292" s="809"/>
      <c r="Y1292" s="809"/>
      <c r="Z1292" s="809"/>
      <c r="AA1292" s="809"/>
      <c r="AB1292" s="809"/>
      <c r="AC1292" s="809"/>
      <c r="AD1292" s="809"/>
      <c r="AE1292" s="809"/>
      <c r="AF1292" s="809"/>
      <c r="AG1292" s="809"/>
      <c r="AH1292" s="809"/>
      <c r="AI1292" s="809"/>
      <c r="AJ1292" s="809"/>
      <c r="AK1292" s="809"/>
      <c r="AL1292" s="809"/>
      <c r="AM1292" s="809"/>
      <c r="AN1292" s="809"/>
      <c r="AO1292" s="809"/>
      <c r="AP1292" s="809"/>
      <c r="AQ1292" s="809"/>
      <c r="AR1292" s="809"/>
      <c r="AS1292" s="809"/>
      <c r="AT1292" s="809"/>
      <c r="AU1292" s="809"/>
      <c r="AV1292" s="809"/>
      <c r="AW1292" s="809"/>
      <c r="AX1292" s="809"/>
      <c r="AY1292" s="809"/>
      <c r="AZ1292" s="809"/>
      <c r="BA1292" s="809"/>
      <c r="BB1292" s="809"/>
      <c r="BC1292" s="809"/>
      <c r="BD1292" s="809"/>
      <c r="BE1292" s="809"/>
      <c r="BF1292" s="809"/>
      <c r="BG1292" s="809"/>
      <c r="BH1292" s="809"/>
      <c r="BI1292" s="809"/>
      <c r="BJ1292" s="809"/>
      <c r="BK1292" s="809"/>
      <c r="BL1292" s="809"/>
      <c r="BM1292" s="809"/>
      <c r="BN1292" s="809"/>
    </row>
    <row r="1293" spans="1:66">
      <c r="A1293" s="809"/>
      <c r="B1293" s="809"/>
      <c r="C1293" s="809"/>
      <c r="D1293" s="809"/>
      <c r="E1293" s="809"/>
      <c r="F1293" s="809"/>
      <c r="G1293" s="809"/>
      <c r="H1293" s="809"/>
      <c r="I1293" s="809"/>
      <c r="J1293" s="809"/>
      <c r="K1293" s="809"/>
      <c r="L1293" s="809"/>
      <c r="M1293" s="809"/>
      <c r="N1293" s="809"/>
      <c r="O1293" s="809"/>
      <c r="P1293" s="809"/>
      <c r="Q1293" s="809"/>
      <c r="R1293" s="809"/>
      <c r="S1293" s="809"/>
      <c r="T1293" s="809"/>
      <c r="U1293" s="809"/>
      <c r="V1293" s="809"/>
      <c r="W1293" s="809"/>
      <c r="X1293" s="809"/>
      <c r="Y1293" s="809"/>
      <c r="Z1293" s="809"/>
      <c r="AA1293" s="809"/>
      <c r="AB1293" s="809"/>
      <c r="AC1293" s="809"/>
      <c r="AD1293" s="809"/>
      <c r="AE1293" s="809"/>
      <c r="AF1293" s="809"/>
      <c r="AG1293" s="809"/>
      <c r="AH1293" s="809"/>
      <c r="AI1293" s="809"/>
      <c r="AJ1293" s="809"/>
      <c r="AK1293" s="809"/>
      <c r="AL1293" s="809"/>
      <c r="AM1293" s="809"/>
      <c r="AN1293" s="809"/>
      <c r="AO1293" s="809"/>
      <c r="AP1293" s="809"/>
      <c r="AQ1293" s="809"/>
      <c r="AR1293" s="809"/>
      <c r="AS1293" s="809"/>
      <c r="AT1293" s="809"/>
      <c r="AU1293" s="809"/>
      <c r="AV1293" s="809"/>
      <c r="AW1293" s="809"/>
      <c r="AX1293" s="809"/>
      <c r="AY1293" s="809"/>
      <c r="AZ1293" s="809"/>
      <c r="BA1293" s="809"/>
      <c r="BB1293" s="809"/>
      <c r="BC1293" s="809"/>
      <c r="BD1293" s="809"/>
      <c r="BE1293" s="809"/>
      <c r="BF1293" s="809"/>
      <c r="BG1293" s="809"/>
      <c r="BH1293" s="809"/>
      <c r="BI1293" s="809"/>
      <c r="BJ1293" s="809"/>
      <c r="BK1293" s="809"/>
      <c r="BL1293" s="809"/>
      <c r="BM1293" s="809"/>
      <c r="BN1293" s="809"/>
    </row>
    <row r="1294" spans="1:66">
      <c r="A1294" s="809"/>
      <c r="B1294" s="809"/>
      <c r="C1294" s="809"/>
      <c r="D1294" s="809"/>
      <c r="E1294" s="809"/>
      <c r="F1294" s="809"/>
      <c r="G1294" s="809"/>
      <c r="H1294" s="809"/>
      <c r="I1294" s="809"/>
      <c r="J1294" s="809"/>
      <c r="K1294" s="809"/>
      <c r="L1294" s="809"/>
      <c r="M1294" s="809"/>
      <c r="N1294" s="809"/>
      <c r="O1294" s="809"/>
      <c r="P1294" s="809"/>
      <c r="Q1294" s="809"/>
      <c r="R1294" s="809"/>
      <c r="S1294" s="809"/>
      <c r="T1294" s="809"/>
      <c r="U1294" s="809"/>
      <c r="V1294" s="809"/>
      <c r="W1294" s="809"/>
      <c r="X1294" s="809"/>
      <c r="Y1294" s="809"/>
      <c r="Z1294" s="809"/>
      <c r="AA1294" s="809"/>
      <c r="AB1294" s="809"/>
      <c r="AC1294" s="809"/>
      <c r="AD1294" s="809"/>
      <c r="AE1294" s="809"/>
      <c r="AF1294" s="809"/>
      <c r="AG1294" s="809"/>
      <c r="AH1294" s="809"/>
      <c r="AI1294" s="809"/>
      <c r="AJ1294" s="809"/>
      <c r="AK1294" s="809"/>
      <c r="AL1294" s="809"/>
      <c r="AM1294" s="809"/>
      <c r="AN1294" s="809"/>
      <c r="AO1294" s="809"/>
      <c r="AP1294" s="809"/>
      <c r="AQ1294" s="809"/>
      <c r="AR1294" s="809"/>
      <c r="AS1294" s="809"/>
      <c r="AT1294" s="809"/>
      <c r="AU1294" s="809"/>
      <c r="AV1294" s="809"/>
      <c r="AW1294" s="809"/>
      <c r="AX1294" s="809"/>
      <c r="AY1294" s="809"/>
      <c r="AZ1294" s="809"/>
      <c r="BA1294" s="809"/>
      <c r="BB1294" s="809"/>
      <c r="BC1294" s="809"/>
      <c r="BD1294" s="809"/>
      <c r="BE1294" s="809"/>
      <c r="BF1294" s="809"/>
      <c r="BG1294" s="809"/>
      <c r="BH1294" s="809"/>
      <c r="BI1294" s="809"/>
      <c r="BJ1294" s="809"/>
      <c r="BK1294" s="809"/>
      <c r="BL1294" s="809"/>
      <c r="BM1294" s="809"/>
      <c r="BN1294" s="809"/>
    </row>
    <row r="1295" spans="1:66">
      <c r="A1295" s="809"/>
      <c r="B1295" s="809"/>
      <c r="C1295" s="809"/>
      <c r="D1295" s="809"/>
      <c r="E1295" s="809"/>
      <c r="F1295" s="809"/>
      <c r="G1295" s="809"/>
      <c r="H1295" s="809"/>
      <c r="I1295" s="809"/>
      <c r="J1295" s="809"/>
      <c r="K1295" s="809"/>
      <c r="L1295" s="809"/>
      <c r="M1295" s="809"/>
      <c r="N1295" s="809"/>
      <c r="O1295" s="809"/>
      <c r="P1295" s="809"/>
      <c r="Q1295" s="809"/>
      <c r="R1295" s="809"/>
      <c r="S1295" s="809"/>
      <c r="T1295" s="809"/>
      <c r="U1295" s="809"/>
      <c r="V1295" s="809"/>
      <c r="W1295" s="809"/>
      <c r="X1295" s="809"/>
      <c r="Y1295" s="809"/>
      <c r="Z1295" s="809"/>
      <c r="AA1295" s="809"/>
      <c r="AB1295" s="809"/>
      <c r="AC1295" s="809"/>
      <c r="AD1295" s="809"/>
      <c r="AE1295" s="809"/>
      <c r="AF1295" s="809"/>
      <c r="AG1295" s="809"/>
      <c r="AH1295" s="809"/>
      <c r="AI1295" s="809"/>
      <c r="AJ1295" s="809"/>
      <c r="AK1295" s="809"/>
      <c r="AL1295" s="809"/>
      <c r="AM1295" s="809"/>
      <c r="AN1295" s="809"/>
      <c r="AO1295" s="809"/>
      <c r="AP1295" s="809"/>
      <c r="AQ1295" s="809"/>
      <c r="AR1295" s="809"/>
      <c r="AS1295" s="809"/>
      <c r="AT1295" s="809"/>
      <c r="AU1295" s="809"/>
      <c r="AV1295" s="809"/>
      <c r="AW1295" s="809"/>
      <c r="AX1295" s="809"/>
      <c r="AY1295" s="809"/>
      <c r="AZ1295" s="809"/>
      <c r="BA1295" s="809"/>
      <c r="BB1295" s="809"/>
      <c r="BC1295" s="809"/>
      <c r="BD1295" s="809"/>
      <c r="BE1295" s="809"/>
      <c r="BF1295" s="809"/>
      <c r="BG1295" s="809"/>
      <c r="BH1295" s="809"/>
      <c r="BI1295" s="809"/>
      <c r="BJ1295" s="809"/>
      <c r="BK1295" s="809"/>
      <c r="BL1295" s="809"/>
      <c r="BM1295" s="809"/>
      <c r="BN1295" s="809"/>
    </row>
    <row r="1296" spans="1:66">
      <c r="A1296" s="809"/>
      <c r="B1296" s="809"/>
      <c r="C1296" s="809"/>
      <c r="D1296" s="809"/>
      <c r="E1296" s="809"/>
      <c r="F1296" s="809"/>
      <c r="G1296" s="809"/>
      <c r="H1296" s="809"/>
      <c r="I1296" s="809"/>
      <c r="J1296" s="809"/>
      <c r="K1296" s="809"/>
      <c r="L1296" s="809"/>
      <c r="M1296" s="809"/>
      <c r="N1296" s="809"/>
      <c r="O1296" s="809"/>
      <c r="P1296" s="809"/>
      <c r="Q1296" s="809"/>
      <c r="R1296" s="809"/>
      <c r="S1296" s="809"/>
      <c r="T1296" s="809"/>
      <c r="U1296" s="809"/>
      <c r="V1296" s="809"/>
      <c r="W1296" s="809"/>
      <c r="X1296" s="809"/>
      <c r="Y1296" s="809"/>
      <c r="Z1296" s="809"/>
      <c r="AA1296" s="809"/>
      <c r="AB1296" s="809"/>
      <c r="AC1296" s="809"/>
      <c r="AD1296" s="809"/>
      <c r="AE1296" s="809"/>
      <c r="AF1296" s="809"/>
      <c r="AG1296" s="809"/>
      <c r="AH1296" s="809"/>
      <c r="AI1296" s="809"/>
      <c r="AJ1296" s="809"/>
      <c r="AK1296" s="809"/>
      <c r="AL1296" s="809"/>
      <c r="AM1296" s="809"/>
      <c r="AN1296" s="809"/>
      <c r="AO1296" s="809"/>
      <c r="AP1296" s="809"/>
      <c r="AQ1296" s="809"/>
      <c r="AR1296" s="809"/>
      <c r="AS1296" s="809"/>
      <c r="AT1296" s="809"/>
      <c r="AU1296" s="809"/>
      <c r="AV1296" s="809"/>
      <c r="AW1296" s="809"/>
      <c r="AX1296" s="809"/>
      <c r="AY1296" s="809"/>
      <c r="AZ1296" s="809"/>
      <c r="BA1296" s="809"/>
      <c r="BB1296" s="809"/>
      <c r="BC1296" s="809"/>
      <c r="BD1296" s="809"/>
      <c r="BE1296" s="809"/>
      <c r="BF1296" s="809"/>
      <c r="BG1296" s="809"/>
      <c r="BH1296" s="809"/>
      <c r="BI1296" s="809"/>
      <c r="BJ1296" s="809"/>
      <c r="BK1296" s="809"/>
      <c r="BL1296" s="809"/>
      <c r="BM1296" s="809"/>
      <c r="BN1296" s="809"/>
    </row>
    <row r="1297" spans="1:66">
      <c r="A1297" s="809"/>
      <c r="B1297" s="809"/>
      <c r="C1297" s="809"/>
      <c r="D1297" s="809"/>
      <c r="E1297" s="809"/>
      <c r="F1297" s="809"/>
      <c r="G1297" s="809"/>
      <c r="H1297" s="809"/>
      <c r="I1297" s="809"/>
      <c r="J1297" s="809"/>
      <c r="K1297" s="809"/>
      <c r="L1297" s="809"/>
      <c r="M1297" s="809"/>
      <c r="N1297" s="809"/>
      <c r="O1297" s="809"/>
      <c r="P1297" s="809"/>
      <c r="Q1297" s="809"/>
      <c r="R1297" s="809"/>
      <c r="S1297" s="809"/>
      <c r="T1297" s="809"/>
      <c r="U1297" s="809"/>
      <c r="V1297" s="809"/>
      <c r="W1297" s="809"/>
      <c r="X1297" s="809"/>
      <c r="Y1297" s="809"/>
      <c r="Z1297" s="809"/>
      <c r="AA1297" s="809"/>
      <c r="AB1297" s="809"/>
      <c r="AC1297" s="809"/>
      <c r="AD1297" s="809"/>
      <c r="AE1297" s="809"/>
      <c r="AF1297" s="809"/>
      <c r="AG1297" s="809"/>
      <c r="AH1297" s="809"/>
      <c r="AI1297" s="809"/>
      <c r="AJ1297" s="809"/>
      <c r="AK1297" s="809"/>
      <c r="AL1297" s="809"/>
      <c r="AM1297" s="809"/>
      <c r="AN1297" s="809"/>
      <c r="AO1297" s="809"/>
      <c r="AP1297" s="809"/>
      <c r="AQ1297" s="809"/>
      <c r="AR1297" s="809"/>
      <c r="AS1297" s="809"/>
      <c r="AT1297" s="809"/>
      <c r="AU1297" s="809"/>
      <c r="AV1297" s="809"/>
      <c r="AW1297" s="809"/>
      <c r="AX1297" s="809"/>
      <c r="AY1297" s="809"/>
      <c r="AZ1297" s="809"/>
      <c r="BA1297" s="809"/>
      <c r="BB1297" s="809"/>
      <c r="BC1297" s="809"/>
      <c r="BD1297" s="809"/>
      <c r="BE1297" s="809"/>
      <c r="BF1297" s="809"/>
      <c r="BG1297" s="809"/>
      <c r="BH1297" s="809"/>
      <c r="BI1297" s="809"/>
      <c r="BJ1297" s="809"/>
      <c r="BK1297" s="809"/>
      <c r="BL1297" s="809"/>
      <c r="BM1297" s="809"/>
      <c r="BN1297" s="809"/>
    </row>
    <row r="1298" spans="1:66">
      <c r="A1298" s="809"/>
      <c r="B1298" s="809"/>
      <c r="C1298" s="809"/>
      <c r="D1298" s="809"/>
      <c r="E1298" s="809"/>
      <c r="F1298" s="809"/>
      <c r="G1298" s="809"/>
      <c r="H1298" s="809"/>
      <c r="I1298" s="809"/>
      <c r="J1298" s="809"/>
      <c r="K1298" s="809"/>
      <c r="L1298" s="809"/>
      <c r="M1298" s="809"/>
      <c r="N1298" s="809"/>
      <c r="O1298" s="809"/>
      <c r="P1298" s="809"/>
      <c r="Q1298" s="809"/>
      <c r="R1298" s="809"/>
      <c r="S1298" s="809"/>
      <c r="T1298" s="809"/>
      <c r="U1298" s="809"/>
      <c r="V1298" s="809"/>
      <c r="W1298" s="809"/>
      <c r="X1298" s="809"/>
      <c r="Y1298" s="809"/>
      <c r="Z1298" s="809"/>
      <c r="AA1298" s="809"/>
      <c r="AB1298" s="809"/>
      <c r="AC1298" s="809"/>
      <c r="AD1298" s="809"/>
      <c r="AE1298" s="809"/>
      <c r="AF1298" s="809"/>
      <c r="AG1298" s="809"/>
      <c r="AH1298" s="809"/>
      <c r="AI1298" s="809"/>
      <c r="AJ1298" s="809"/>
      <c r="AK1298" s="809"/>
      <c r="AL1298" s="809"/>
      <c r="AM1298" s="809"/>
      <c r="AN1298" s="809"/>
      <c r="AO1298" s="809"/>
      <c r="AP1298" s="809"/>
      <c r="AQ1298" s="809"/>
      <c r="AR1298" s="809"/>
      <c r="AS1298" s="809"/>
      <c r="AT1298" s="809"/>
      <c r="AU1298" s="809"/>
      <c r="AV1298" s="809"/>
      <c r="AW1298" s="809"/>
      <c r="AX1298" s="809"/>
      <c r="AY1298" s="809"/>
      <c r="AZ1298" s="809"/>
      <c r="BA1298" s="809"/>
      <c r="BB1298" s="809"/>
      <c r="BC1298" s="809"/>
      <c r="BD1298" s="809"/>
      <c r="BE1298" s="809"/>
      <c r="BF1298" s="809"/>
      <c r="BG1298" s="809"/>
      <c r="BH1298" s="809"/>
      <c r="BI1298" s="809"/>
      <c r="BJ1298" s="809"/>
      <c r="BK1298" s="809"/>
      <c r="BL1298" s="809"/>
      <c r="BM1298" s="809"/>
      <c r="BN1298" s="809"/>
    </row>
    <row r="1299" spans="1:66">
      <c r="A1299" s="809"/>
      <c r="B1299" s="809"/>
      <c r="C1299" s="809"/>
      <c r="D1299" s="809"/>
      <c r="E1299" s="809"/>
      <c r="F1299" s="809"/>
      <c r="G1299" s="809"/>
      <c r="H1299" s="809"/>
      <c r="I1299" s="809"/>
      <c r="J1299" s="809"/>
      <c r="K1299" s="809"/>
      <c r="L1299" s="809"/>
      <c r="M1299" s="809"/>
      <c r="N1299" s="809"/>
      <c r="O1299" s="809"/>
      <c r="P1299" s="809"/>
      <c r="Q1299" s="809"/>
      <c r="R1299" s="809"/>
      <c r="S1299" s="809"/>
      <c r="T1299" s="809"/>
      <c r="U1299" s="809"/>
      <c r="V1299" s="809"/>
      <c r="W1299" s="809"/>
      <c r="X1299" s="809"/>
      <c r="Y1299" s="809"/>
      <c r="Z1299" s="809"/>
      <c r="AA1299" s="809"/>
      <c r="AB1299" s="809"/>
      <c r="AC1299" s="809"/>
      <c r="AD1299" s="809"/>
      <c r="AE1299" s="809"/>
      <c r="AF1299" s="809"/>
      <c r="AG1299" s="809"/>
      <c r="AH1299" s="809"/>
      <c r="AI1299" s="809"/>
      <c r="AJ1299" s="809"/>
      <c r="AK1299" s="809"/>
      <c r="AL1299" s="809"/>
      <c r="AM1299" s="809"/>
      <c r="AN1299" s="809"/>
      <c r="AO1299" s="809"/>
      <c r="AP1299" s="809"/>
      <c r="AQ1299" s="809"/>
      <c r="AR1299" s="809"/>
      <c r="AS1299" s="809"/>
      <c r="AT1299" s="809"/>
      <c r="AU1299" s="809"/>
      <c r="AV1299" s="809"/>
      <c r="AW1299" s="809"/>
      <c r="AX1299" s="809"/>
      <c r="AY1299" s="809"/>
      <c r="AZ1299" s="809"/>
      <c r="BA1299" s="809"/>
      <c r="BB1299" s="809"/>
      <c r="BC1299" s="809"/>
      <c r="BD1299" s="809"/>
      <c r="BE1299" s="809"/>
      <c r="BF1299" s="809"/>
      <c r="BG1299" s="809"/>
      <c r="BH1299" s="809"/>
      <c r="BI1299" s="809"/>
      <c r="BJ1299" s="809"/>
      <c r="BK1299" s="809"/>
      <c r="BL1299" s="809"/>
      <c r="BM1299" s="809"/>
      <c r="BN1299" s="809"/>
    </row>
    <row r="1300" spans="1:66">
      <c r="A1300" s="809"/>
      <c r="B1300" s="809"/>
      <c r="C1300" s="809"/>
      <c r="D1300" s="809"/>
      <c r="E1300" s="809"/>
      <c r="F1300" s="809"/>
      <c r="G1300" s="809"/>
      <c r="H1300" s="809"/>
      <c r="I1300" s="809"/>
      <c r="J1300" s="809"/>
      <c r="K1300" s="809"/>
      <c r="L1300" s="809"/>
      <c r="M1300" s="809"/>
      <c r="N1300" s="809"/>
      <c r="O1300" s="809"/>
      <c r="P1300" s="809"/>
      <c r="Q1300" s="809"/>
      <c r="R1300" s="809"/>
      <c r="S1300" s="809"/>
      <c r="T1300" s="809"/>
      <c r="U1300" s="809"/>
      <c r="V1300" s="809"/>
      <c r="W1300" s="809"/>
      <c r="X1300" s="809"/>
      <c r="Y1300" s="809"/>
      <c r="Z1300" s="809"/>
      <c r="AA1300" s="809"/>
      <c r="AB1300" s="809"/>
      <c r="AC1300" s="809"/>
      <c r="AD1300" s="809"/>
      <c r="AE1300" s="809"/>
      <c r="AF1300" s="809"/>
      <c r="AG1300" s="809"/>
      <c r="AH1300" s="809"/>
      <c r="AI1300" s="809"/>
      <c r="AJ1300" s="809"/>
      <c r="AK1300" s="809"/>
      <c r="AL1300" s="809"/>
      <c r="AM1300" s="809"/>
      <c r="AN1300" s="809"/>
      <c r="AO1300" s="809"/>
      <c r="AP1300" s="809"/>
      <c r="AQ1300" s="809"/>
      <c r="AR1300" s="809"/>
      <c r="AS1300" s="809"/>
      <c r="AT1300" s="809"/>
      <c r="AU1300" s="809"/>
      <c r="AV1300" s="809"/>
      <c r="AW1300" s="809"/>
      <c r="AX1300" s="809"/>
      <c r="AY1300" s="809"/>
      <c r="AZ1300" s="809"/>
      <c r="BA1300" s="809"/>
      <c r="BB1300" s="809"/>
      <c r="BC1300" s="809"/>
      <c r="BD1300" s="809"/>
      <c r="BE1300" s="809"/>
      <c r="BF1300" s="809"/>
      <c r="BG1300" s="809"/>
      <c r="BH1300" s="809"/>
      <c r="BI1300" s="809"/>
      <c r="BJ1300" s="809"/>
      <c r="BK1300" s="809"/>
      <c r="BL1300" s="809"/>
      <c r="BM1300" s="809"/>
      <c r="BN1300" s="809"/>
    </row>
    <row r="1301" spans="1:66">
      <c r="A1301" s="809"/>
      <c r="B1301" s="809"/>
      <c r="C1301" s="809"/>
      <c r="D1301" s="809"/>
      <c r="E1301" s="809"/>
      <c r="F1301" s="809"/>
      <c r="G1301" s="809"/>
      <c r="H1301" s="809"/>
      <c r="I1301" s="809"/>
      <c r="J1301" s="809"/>
      <c r="K1301" s="809"/>
      <c r="L1301" s="809"/>
      <c r="M1301" s="809"/>
      <c r="N1301" s="809"/>
      <c r="O1301" s="809"/>
      <c r="P1301" s="809"/>
      <c r="Q1301" s="809"/>
      <c r="R1301" s="809"/>
      <c r="S1301" s="809"/>
      <c r="T1301" s="809"/>
      <c r="U1301" s="809"/>
      <c r="V1301" s="809"/>
      <c r="W1301" s="809"/>
      <c r="X1301" s="809"/>
      <c r="Y1301" s="809"/>
      <c r="Z1301" s="809"/>
      <c r="AA1301" s="809"/>
      <c r="AB1301" s="809"/>
      <c r="AC1301" s="809"/>
      <c r="AD1301" s="809"/>
      <c r="AE1301" s="809"/>
      <c r="AF1301" s="809"/>
      <c r="AG1301" s="809"/>
      <c r="AH1301" s="809"/>
      <c r="AI1301" s="809"/>
      <c r="AJ1301" s="809"/>
      <c r="AK1301" s="809"/>
      <c r="AL1301" s="809"/>
      <c r="AM1301" s="809"/>
      <c r="AN1301" s="809"/>
      <c r="AO1301" s="809"/>
      <c r="AP1301" s="809"/>
      <c r="AQ1301" s="809"/>
      <c r="AR1301" s="809"/>
      <c r="AS1301" s="809"/>
      <c r="AT1301" s="809"/>
      <c r="AU1301" s="809"/>
      <c r="AV1301" s="809"/>
      <c r="AW1301" s="809"/>
      <c r="AX1301" s="809"/>
      <c r="AY1301" s="809"/>
      <c r="AZ1301" s="809"/>
      <c r="BA1301" s="809"/>
      <c r="BB1301" s="809"/>
      <c r="BC1301" s="809"/>
      <c r="BD1301" s="809"/>
      <c r="BE1301" s="809"/>
      <c r="BF1301" s="809"/>
      <c r="BG1301" s="809"/>
      <c r="BH1301" s="809"/>
      <c r="BI1301" s="809"/>
      <c r="BJ1301" s="809"/>
      <c r="BK1301" s="809"/>
      <c r="BL1301" s="809"/>
      <c r="BM1301" s="809"/>
      <c r="BN1301" s="809"/>
    </row>
    <row r="1302" spans="1:66">
      <c r="A1302" s="809"/>
      <c r="B1302" s="809"/>
      <c r="C1302" s="809"/>
      <c r="D1302" s="809"/>
      <c r="E1302" s="809"/>
      <c r="F1302" s="809"/>
      <c r="G1302" s="809"/>
      <c r="H1302" s="809"/>
      <c r="I1302" s="809"/>
      <c r="J1302" s="809"/>
      <c r="K1302" s="809"/>
      <c r="L1302" s="809"/>
      <c r="M1302" s="809"/>
      <c r="N1302" s="809"/>
      <c r="O1302" s="809"/>
      <c r="P1302" s="809"/>
      <c r="Q1302" s="809"/>
      <c r="R1302" s="809"/>
      <c r="S1302" s="809"/>
      <c r="T1302" s="809"/>
      <c r="U1302" s="809"/>
      <c r="V1302" s="809"/>
      <c r="W1302" s="809"/>
      <c r="X1302" s="809"/>
      <c r="Y1302" s="809"/>
      <c r="Z1302" s="809"/>
      <c r="AA1302" s="809"/>
      <c r="AB1302" s="809"/>
      <c r="AC1302" s="809"/>
      <c r="AD1302" s="809"/>
      <c r="AE1302" s="809"/>
      <c r="AF1302" s="809"/>
      <c r="AG1302" s="809"/>
      <c r="AH1302" s="809"/>
      <c r="AI1302" s="809"/>
      <c r="AJ1302" s="809"/>
      <c r="AK1302" s="809"/>
      <c r="AL1302" s="809"/>
      <c r="AM1302" s="809"/>
      <c r="AN1302" s="809"/>
      <c r="AO1302" s="809"/>
      <c r="AP1302" s="809"/>
      <c r="AQ1302" s="809"/>
      <c r="AR1302" s="809"/>
      <c r="AS1302" s="809"/>
      <c r="AT1302" s="809"/>
      <c r="AU1302" s="809"/>
      <c r="AV1302" s="809"/>
      <c r="AW1302" s="809"/>
      <c r="AX1302" s="809"/>
      <c r="AY1302" s="809"/>
      <c r="AZ1302" s="809"/>
      <c r="BA1302" s="809"/>
      <c r="BB1302" s="809"/>
      <c r="BC1302" s="809"/>
      <c r="BD1302" s="809"/>
      <c r="BE1302" s="809"/>
      <c r="BF1302" s="809"/>
      <c r="BG1302" s="809"/>
      <c r="BH1302" s="809"/>
      <c r="BI1302" s="809"/>
      <c r="BJ1302" s="809"/>
      <c r="BK1302" s="809"/>
      <c r="BL1302" s="809"/>
      <c r="BM1302" s="809"/>
      <c r="BN1302" s="809"/>
    </row>
    <row r="1303" spans="1:66">
      <c r="A1303" s="809"/>
      <c r="B1303" s="809"/>
      <c r="C1303" s="809"/>
      <c r="D1303" s="809"/>
      <c r="E1303" s="809"/>
      <c r="F1303" s="809"/>
      <c r="G1303" s="809"/>
      <c r="H1303" s="809"/>
      <c r="I1303" s="809"/>
      <c r="J1303" s="809"/>
      <c r="K1303" s="809"/>
      <c r="L1303" s="809"/>
      <c r="M1303" s="809"/>
      <c r="N1303" s="809"/>
      <c r="O1303" s="809"/>
      <c r="P1303" s="809"/>
      <c r="Q1303" s="809"/>
      <c r="R1303" s="809"/>
      <c r="S1303" s="809"/>
      <c r="T1303" s="809"/>
      <c r="U1303" s="809"/>
      <c r="V1303" s="809"/>
      <c r="W1303" s="809"/>
      <c r="X1303" s="809"/>
      <c r="Y1303" s="809"/>
      <c r="Z1303" s="809"/>
      <c r="AA1303" s="809"/>
      <c r="AB1303" s="809"/>
      <c r="AC1303" s="809"/>
      <c r="AD1303" s="809"/>
      <c r="AE1303" s="809"/>
      <c r="AF1303" s="809"/>
      <c r="AG1303" s="809"/>
      <c r="AH1303" s="809"/>
      <c r="AI1303" s="809"/>
      <c r="AJ1303" s="809"/>
      <c r="AK1303" s="809"/>
      <c r="AL1303" s="809"/>
      <c r="AM1303" s="809"/>
      <c r="AN1303" s="809"/>
      <c r="AO1303" s="809"/>
      <c r="AP1303" s="809"/>
      <c r="AQ1303" s="809"/>
      <c r="AR1303" s="809"/>
      <c r="AS1303" s="809"/>
      <c r="AT1303" s="809"/>
      <c r="AU1303" s="809"/>
      <c r="AV1303" s="809"/>
      <c r="AW1303" s="809"/>
      <c r="AX1303" s="809"/>
      <c r="AY1303" s="809"/>
      <c r="AZ1303" s="809"/>
      <c r="BA1303" s="809"/>
      <c r="BB1303" s="809"/>
      <c r="BC1303" s="809"/>
      <c r="BD1303" s="809"/>
      <c r="BE1303" s="809"/>
      <c r="BF1303" s="809"/>
      <c r="BG1303" s="809"/>
      <c r="BH1303" s="809"/>
      <c r="BI1303" s="809"/>
      <c r="BJ1303" s="809"/>
      <c r="BK1303" s="809"/>
      <c r="BL1303" s="809"/>
      <c r="BM1303" s="809"/>
      <c r="BN1303" s="809"/>
    </row>
    <row r="1304" spans="1:66">
      <c r="A1304" s="809"/>
      <c r="B1304" s="809"/>
      <c r="C1304" s="809"/>
      <c r="D1304" s="809"/>
      <c r="E1304" s="809"/>
      <c r="F1304" s="809"/>
      <c r="G1304" s="809"/>
      <c r="H1304" s="809"/>
      <c r="I1304" s="809"/>
      <c r="J1304" s="809"/>
      <c r="K1304" s="809"/>
      <c r="L1304" s="809"/>
      <c r="M1304" s="809"/>
      <c r="N1304" s="809"/>
      <c r="O1304" s="809"/>
      <c r="P1304" s="809"/>
      <c r="Q1304" s="809"/>
      <c r="R1304" s="809"/>
      <c r="S1304" s="809"/>
      <c r="T1304" s="809"/>
      <c r="U1304" s="809"/>
      <c r="V1304" s="809"/>
      <c r="W1304" s="809"/>
      <c r="X1304" s="809"/>
      <c r="Y1304" s="809"/>
      <c r="Z1304" s="809"/>
      <c r="AA1304" s="809"/>
      <c r="AB1304" s="809"/>
      <c r="AC1304" s="809"/>
      <c r="AD1304" s="809"/>
      <c r="AE1304" s="809"/>
      <c r="AF1304" s="809"/>
      <c r="AG1304" s="809"/>
      <c r="AH1304" s="809"/>
      <c r="AI1304" s="809"/>
      <c r="AJ1304" s="809"/>
      <c r="AK1304" s="809"/>
      <c r="AL1304" s="809"/>
      <c r="AM1304" s="809"/>
      <c r="AN1304" s="809"/>
      <c r="AO1304" s="809"/>
      <c r="AP1304" s="809"/>
      <c r="AQ1304" s="809"/>
      <c r="AR1304" s="809"/>
      <c r="AS1304" s="809"/>
      <c r="AT1304" s="809"/>
      <c r="AU1304" s="809"/>
      <c r="AV1304" s="809"/>
      <c r="AW1304" s="809"/>
      <c r="AX1304" s="809"/>
      <c r="AY1304" s="809"/>
      <c r="AZ1304" s="809"/>
      <c r="BA1304" s="809"/>
      <c r="BB1304" s="809"/>
      <c r="BC1304" s="809"/>
      <c r="BD1304" s="809"/>
      <c r="BE1304" s="809"/>
      <c r="BF1304" s="809"/>
      <c r="BG1304" s="809"/>
      <c r="BH1304" s="809"/>
      <c r="BI1304" s="809"/>
      <c r="BJ1304" s="809"/>
      <c r="BK1304" s="809"/>
      <c r="BL1304" s="809"/>
      <c r="BM1304" s="809"/>
      <c r="BN1304" s="809"/>
    </row>
    <row r="1305" spans="1:66">
      <c r="A1305" s="809"/>
      <c r="B1305" s="809"/>
      <c r="C1305" s="809"/>
      <c r="D1305" s="809"/>
      <c r="E1305" s="809"/>
      <c r="F1305" s="809"/>
      <c r="G1305" s="809"/>
      <c r="H1305" s="809"/>
      <c r="I1305" s="809"/>
      <c r="J1305" s="809"/>
      <c r="K1305" s="809"/>
      <c r="L1305" s="809"/>
      <c r="M1305" s="809"/>
      <c r="N1305" s="809"/>
      <c r="O1305" s="809"/>
      <c r="P1305" s="809"/>
      <c r="Q1305" s="809"/>
      <c r="R1305" s="809"/>
      <c r="S1305" s="809"/>
      <c r="T1305" s="809"/>
      <c r="U1305" s="809"/>
      <c r="V1305" s="809"/>
      <c r="W1305" s="809"/>
      <c r="X1305" s="809"/>
      <c r="Y1305" s="809"/>
      <c r="Z1305" s="809"/>
      <c r="AA1305" s="809"/>
      <c r="AB1305" s="809"/>
      <c r="AC1305" s="809"/>
      <c r="AD1305" s="809"/>
      <c r="AE1305" s="809"/>
      <c r="AF1305" s="809"/>
      <c r="AG1305" s="809"/>
      <c r="AH1305" s="809"/>
      <c r="AI1305" s="809"/>
      <c r="AJ1305" s="809"/>
      <c r="AK1305" s="809"/>
      <c r="AL1305" s="809"/>
      <c r="AM1305" s="809"/>
      <c r="AN1305" s="809"/>
      <c r="AO1305" s="809"/>
      <c r="AP1305" s="809"/>
      <c r="AQ1305" s="809"/>
      <c r="AR1305" s="809"/>
      <c r="AS1305" s="809"/>
      <c r="AT1305" s="809"/>
      <c r="AU1305" s="809"/>
      <c r="AV1305" s="809"/>
      <c r="AW1305" s="809"/>
      <c r="AX1305" s="809"/>
      <c r="AY1305" s="809"/>
      <c r="AZ1305" s="809"/>
      <c r="BA1305" s="809"/>
      <c r="BB1305" s="809"/>
      <c r="BC1305" s="809"/>
      <c r="BD1305" s="809"/>
      <c r="BE1305" s="809"/>
      <c r="BF1305" s="809"/>
      <c r="BG1305" s="809"/>
      <c r="BH1305" s="809"/>
      <c r="BI1305" s="809"/>
      <c r="BJ1305" s="809"/>
      <c r="BK1305" s="809"/>
      <c r="BL1305" s="809"/>
      <c r="BM1305" s="809"/>
      <c r="BN1305" s="809"/>
    </row>
    <row r="1306" spans="1:66">
      <c r="A1306" s="809"/>
      <c r="B1306" s="809"/>
      <c r="C1306" s="809"/>
      <c r="D1306" s="809"/>
      <c r="E1306" s="809"/>
      <c r="F1306" s="809"/>
      <c r="G1306" s="809"/>
      <c r="H1306" s="809"/>
      <c r="I1306" s="809"/>
      <c r="J1306" s="809"/>
      <c r="K1306" s="809"/>
      <c r="L1306" s="809"/>
      <c r="M1306" s="809"/>
      <c r="N1306" s="809"/>
      <c r="O1306" s="809"/>
      <c r="P1306" s="809"/>
      <c r="Q1306" s="809"/>
      <c r="R1306" s="809"/>
      <c r="S1306" s="809"/>
      <c r="T1306" s="809"/>
      <c r="U1306" s="809"/>
      <c r="V1306" s="809"/>
      <c r="W1306" s="809"/>
      <c r="X1306" s="809"/>
      <c r="Y1306" s="809"/>
      <c r="Z1306" s="809"/>
      <c r="AA1306" s="809"/>
      <c r="AB1306" s="809"/>
      <c r="AC1306" s="809"/>
      <c r="AD1306" s="809"/>
      <c r="AE1306" s="809"/>
      <c r="AF1306" s="809"/>
      <c r="AG1306" s="809"/>
      <c r="AH1306" s="809"/>
      <c r="AI1306" s="809"/>
      <c r="AJ1306" s="809"/>
      <c r="AK1306" s="809"/>
      <c r="AL1306" s="809"/>
      <c r="AM1306" s="809"/>
      <c r="AN1306" s="809"/>
      <c r="AO1306" s="809"/>
      <c r="AP1306" s="809"/>
      <c r="AQ1306" s="809"/>
      <c r="AR1306" s="809"/>
      <c r="AS1306" s="809"/>
      <c r="AT1306" s="809"/>
      <c r="AU1306" s="809"/>
      <c r="AV1306" s="809"/>
      <c r="AW1306" s="809"/>
      <c r="AX1306" s="809"/>
      <c r="AY1306" s="809"/>
      <c r="AZ1306" s="809"/>
      <c r="BA1306" s="809"/>
      <c r="BB1306" s="809"/>
      <c r="BC1306" s="809"/>
      <c r="BD1306" s="809"/>
      <c r="BE1306" s="809"/>
      <c r="BF1306" s="809"/>
      <c r="BG1306" s="809"/>
      <c r="BH1306" s="809"/>
      <c r="BI1306" s="809"/>
      <c r="BJ1306" s="809"/>
      <c r="BK1306" s="809"/>
      <c r="BL1306" s="809"/>
      <c r="BM1306" s="809"/>
      <c r="BN1306" s="809"/>
    </row>
    <row r="1307" spans="1:66">
      <c r="A1307" s="809"/>
      <c r="B1307" s="809"/>
      <c r="C1307" s="809"/>
      <c r="D1307" s="809"/>
      <c r="E1307" s="809"/>
      <c r="F1307" s="809"/>
      <c r="G1307" s="809"/>
      <c r="H1307" s="809"/>
      <c r="I1307" s="809"/>
      <c r="J1307" s="809"/>
      <c r="K1307" s="809"/>
      <c r="L1307" s="809"/>
      <c r="M1307" s="809"/>
      <c r="N1307" s="809"/>
      <c r="O1307" s="809"/>
      <c r="P1307" s="809"/>
      <c r="Q1307" s="809"/>
      <c r="R1307" s="809"/>
      <c r="S1307" s="809"/>
      <c r="T1307" s="809"/>
      <c r="U1307" s="809"/>
      <c r="V1307" s="809"/>
      <c r="W1307" s="809"/>
      <c r="X1307" s="809"/>
      <c r="Y1307" s="809"/>
      <c r="Z1307" s="809"/>
      <c r="AA1307" s="809"/>
      <c r="AB1307" s="809"/>
      <c r="AC1307" s="809"/>
      <c r="AD1307" s="809"/>
      <c r="AE1307" s="809"/>
      <c r="AF1307" s="809"/>
      <c r="AG1307" s="809"/>
      <c r="AH1307" s="809"/>
      <c r="AI1307" s="809"/>
      <c r="AJ1307" s="809"/>
      <c r="AK1307" s="809"/>
      <c r="AL1307" s="809"/>
      <c r="AM1307" s="809"/>
      <c r="AN1307" s="809"/>
      <c r="AO1307" s="809"/>
      <c r="AP1307" s="809"/>
      <c r="AQ1307" s="809"/>
      <c r="AR1307" s="809"/>
      <c r="AS1307" s="809"/>
      <c r="AT1307" s="809"/>
      <c r="AU1307" s="809"/>
      <c r="AV1307" s="809"/>
      <c r="AW1307" s="809"/>
      <c r="AX1307" s="809"/>
      <c r="AY1307" s="809"/>
      <c r="AZ1307" s="809"/>
      <c r="BA1307" s="809"/>
      <c r="BB1307" s="809"/>
      <c r="BC1307" s="809"/>
      <c r="BD1307" s="809"/>
      <c r="BE1307" s="809"/>
      <c r="BF1307" s="809"/>
      <c r="BG1307" s="809"/>
      <c r="BH1307" s="809"/>
      <c r="BI1307" s="809"/>
      <c r="BJ1307" s="809"/>
      <c r="BK1307" s="809"/>
      <c r="BL1307" s="809"/>
      <c r="BM1307" s="809"/>
      <c r="BN1307" s="809"/>
    </row>
    <row r="1308" spans="1:66">
      <c r="A1308" s="809"/>
      <c r="B1308" s="809"/>
      <c r="C1308" s="809"/>
      <c r="D1308" s="809"/>
      <c r="E1308" s="809"/>
      <c r="F1308" s="809"/>
      <c r="G1308" s="809"/>
      <c r="H1308" s="809"/>
      <c r="I1308" s="809"/>
      <c r="J1308" s="809"/>
      <c r="K1308" s="809"/>
      <c r="L1308" s="809"/>
      <c r="M1308" s="809"/>
      <c r="N1308" s="809"/>
      <c r="O1308" s="809"/>
      <c r="P1308" s="809"/>
      <c r="Q1308" s="809"/>
      <c r="R1308" s="809"/>
      <c r="S1308" s="809"/>
      <c r="T1308" s="809"/>
      <c r="U1308" s="809"/>
      <c r="V1308" s="809"/>
      <c r="W1308" s="809"/>
      <c r="X1308" s="809"/>
      <c r="Y1308" s="809"/>
      <c r="Z1308" s="809"/>
      <c r="AA1308" s="809"/>
      <c r="AB1308" s="809"/>
      <c r="AC1308" s="809"/>
      <c r="AD1308" s="809"/>
      <c r="AE1308" s="809"/>
      <c r="AF1308" s="809"/>
      <c r="AG1308" s="809"/>
      <c r="AH1308" s="809"/>
      <c r="AI1308" s="809"/>
      <c r="AJ1308" s="809"/>
      <c r="AK1308" s="809"/>
      <c r="AL1308" s="809"/>
      <c r="AM1308" s="809"/>
      <c r="AN1308" s="809"/>
      <c r="AO1308" s="809"/>
      <c r="AP1308" s="809"/>
      <c r="AQ1308" s="809"/>
      <c r="AR1308" s="809"/>
      <c r="AS1308" s="809"/>
      <c r="AT1308" s="809"/>
      <c r="AU1308" s="809"/>
      <c r="AV1308" s="809"/>
      <c r="AW1308" s="809"/>
      <c r="AX1308" s="809"/>
      <c r="AY1308" s="809"/>
      <c r="AZ1308" s="809"/>
      <c r="BA1308" s="809"/>
      <c r="BB1308" s="809"/>
      <c r="BC1308" s="809"/>
      <c r="BD1308" s="809"/>
      <c r="BE1308" s="809"/>
      <c r="BF1308" s="809"/>
      <c r="BG1308" s="809"/>
      <c r="BH1308" s="809"/>
      <c r="BI1308" s="809"/>
      <c r="BJ1308" s="809"/>
      <c r="BK1308" s="809"/>
      <c r="BL1308" s="809"/>
      <c r="BM1308" s="809"/>
      <c r="BN1308" s="809"/>
    </row>
    <row r="1309" spans="1:66">
      <c r="A1309" s="809"/>
      <c r="B1309" s="809"/>
      <c r="C1309" s="809"/>
      <c r="D1309" s="809"/>
      <c r="E1309" s="809"/>
      <c r="F1309" s="809"/>
      <c r="G1309" s="809"/>
      <c r="H1309" s="809"/>
      <c r="I1309" s="809"/>
      <c r="J1309" s="809"/>
      <c r="K1309" s="809"/>
      <c r="L1309" s="809"/>
      <c r="M1309" s="809"/>
      <c r="N1309" s="809"/>
      <c r="O1309" s="809"/>
      <c r="P1309" s="809"/>
      <c r="Q1309" s="809"/>
      <c r="R1309" s="809"/>
      <c r="S1309" s="809"/>
      <c r="T1309" s="809"/>
      <c r="U1309" s="809"/>
      <c r="V1309" s="809"/>
      <c r="W1309" s="809"/>
      <c r="X1309" s="809"/>
      <c r="Y1309" s="809"/>
      <c r="Z1309" s="809"/>
      <c r="AA1309" s="809"/>
      <c r="AB1309" s="809"/>
      <c r="AC1309" s="809"/>
      <c r="AD1309" s="809"/>
      <c r="AE1309" s="809"/>
      <c r="AF1309" s="809"/>
      <c r="AG1309" s="809"/>
      <c r="AH1309" s="809"/>
      <c r="AI1309" s="809"/>
      <c r="AJ1309" s="809"/>
      <c r="AK1309" s="809"/>
      <c r="AL1309" s="809"/>
      <c r="AM1309" s="809"/>
      <c r="AN1309" s="809"/>
      <c r="AO1309" s="809"/>
      <c r="AP1309" s="809"/>
      <c r="AQ1309" s="809"/>
      <c r="AR1309" s="809"/>
      <c r="AS1309" s="809"/>
      <c r="AT1309" s="809"/>
      <c r="AU1309" s="809"/>
      <c r="AV1309" s="809"/>
      <c r="AW1309" s="809"/>
      <c r="AX1309" s="809"/>
      <c r="AY1309" s="809"/>
      <c r="AZ1309" s="809"/>
      <c r="BA1309" s="809"/>
      <c r="BB1309" s="809"/>
      <c r="BC1309" s="809"/>
      <c r="BD1309" s="809"/>
      <c r="BE1309" s="809"/>
      <c r="BF1309" s="809"/>
      <c r="BG1309" s="809"/>
      <c r="BH1309" s="809"/>
      <c r="BI1309" s="809"/>
      <c r="BJ1309" s="809"/>
      <c r="BK1309" s="809"/>
      <c r="BL1309" s="809"/>
      <c r="BM1309" s="809"/>
      <c r="BN1309" s="809"/>
    </row>
    <row r="1310" spans="1:66">
      <c r="A1310" s="809"/>
      <c r="B1310" s="809"/>
      <c r="C1310" s="809"/>
      <c r="D1310" s="809"/>
      <c r="E1310" s="809"/>
      <c r="F1310" s="809"/>
      <c r="G1310" s="809"/>
      <c r="H1310" s="809"/>
      <c r="I1310" s="809"/>
      <c r="J1310" s="809"/>
      <c r="K1310" s="809"/>
      <c r="L1310" s="809"/>
      <c r="M1310" s="809"/>
      <c r="N1310" s="809"/>
      <c r="O1310" s="809"/>
      <c r="P1310" s="809"/>
      <c r="Q1310" s="809"/>
      <c r="R1310" s="809"/>
      <c r="S1310" s="809"/>
      <c r="T1310" s="809"/>
      <c r="U1310" s="809"/>
      <c r="V1310" s="809"/>
      <c r="W1310" s="809"/>
      <c r="X1310" s="809"/>
      <c r="Y1310" s="809"/>
      <c r="Z1310" s="809"/>
      <c r="AA1310" s="809"/>
      <c r="AB1310" s="809"/>
      <c r="AC1310" s="809"/>
      <c r="AD1310" s="809"/>
      <c r="AE1310" s="809"/>
      <c r="AF1310" s="809"/>
      <c r="AG1310" s="809"/>
      <c r="AH1310" s="809"/>
      <c r="AI1310" s="809"/>
      <c r="AJ1310" s="809"/>
      <c r="AK1310" s="809"/>
      <c r="AL1310" s="809"/>
      <c r="AM1310" s="809"/>
      <c r="AN1310" s="809"/>
      <c r="AO1310" s="809"/>
      <c r="AP1310" s="809"/>
      <c r="AQ1310" s="809"/>
      <c r="AR1310" s="809"/>
      <c r="AS1310" s="809"/>
      <c r="AT1310" s="809"/>
      <c r="AU1310" s="809"/>
      <c r="AV1310" s="809"/>
      <c r="AW1310" s="809"/>
      <c r="AX1310" s="809"/>
      <c r="AY1310" s="809"/>
      <c r="AZ1310" s="809"/>
      <c r="BA1310" s="809"/>
      <c r="BB1310" s="809"/>
      <c r="BC1310" s="809"/>
      <c r="BD1310" s="809"/>
      <c r="BE1310" s="809"/>
      <c r="BF1310" s="809"/>
      <c r="BG1310" s="809"/>
      <c r="BH1310" s="809"/>
      <c r="BI1310" s="809"/>
      <c r="BJ1310" s="809"/>
      <c r="BK1310" s="809"/>
      <c r="BL1310" s="809"/>
      <c r="BM1310" s="809"/>
      <c r="BN1310" s="809"/>
    </row>
    <row r="1311" spans="1:66">
      <c r="A1311" s="809"/>
      <c r="B1311" s="809"/>
      <c r="C1311" s="809"/>
      <c r="D1311" s="809"/>
      <c r="E1311" s="809"/>
      <c r="F1311" s="809"/>
      <c r="G1311" s="809"/>
      <c r="H1311" s="809"/>
      <c r="I1311" s="809"/>
      <c r="J1311" s="809"/>
      <c r="K1311" s="809"/>
      <c r="L1311" s="809"/>
      <c r="M1311" s="809"/>
      <c r="N1311" s="809"/>
      <c r="O1311" s="809"/>
      <c r="P1311" s="809"/>
      <c r="Q1311" s="809"/>
      <c r="R1311" s="809"/>
      <c r="S1311" s="809"/>
      <c r="T1311" s="809"/>
      <c r="U1311" s="809"/>
      <c r="V1311" s="809"/>
      <c r="W1311" s="809"/>
      <c r="X1311" s="809"/>
      <c r="Y1311" s="809"/>
      <c r="Z1311" s="809"/>
      <c r="AA1311" s="809"/>
      <c r="AB1311" s="809"/>
      <c r="AC1311" s="809"/>
      <c r="AD1311" s="809"/>
      <c r="AE1311" s="809"/>
      <c r="AF1311" s="809"/>
      <c r="AG1311" s="809"/>
      <c r="AH1311" s="809"/>
      <c r="AI1311" s="809"/>
      <c r="AJ1311" s="809"/>
      <c r="AK1311" s="809"/>
      <c r="AL1311" s="809"/>
      <c r="AM1311" s="809"/>
      <c r="AN1311" s="809"/>
      <c r="AO1311" s="809"/>
      <c r="AP1311" s="809"/>
      <c r="AQ1311" s="809"/>
      <c r="AR1311" s="809"/>
      <c r="AS1311" s="809"/>
      <c r="AT1311" s="809"/>
      <c r="AU1311" s="809"/>
      <c r="AV1311" s="809"/>
      <c r="AW1311" s="809"/>
      <c r="AX1311" s="809"/>
      <c r="AY1311" s="809"/>
      <c r="AZ1311" s="809"/>
      <c r="BA1311" s="809"/>
      <c r="BB1311" s="809"/>
      <c r="BC1311" s="809"/>
      <c r="BD1311" s="809"/>
      <c r="BE1311" s="809"/>
      <c r="BF1311" s="809"/>
      <c r="BG1311" s="809"/>
      <c r="BH1311" s="809"/>
      <c r="BI1311" s="809"/>
      <c r="BJ1311" s="809"/>
      <c r="BK1311" s="809"/>
      <c r="BL1311" s="809"/>
      <c r="BM1311" s="809"/>
      <c r="BN1311" s="809"/>
    </row>
    <row r="1312" spans="1:66">
      <c r="A1312" s="809"/>
      <c r="B1312" s="809"/>
      <c r="C1312" s="809"/>
      <c r="D1312" s="809"/>
      <c r="E1312" s="809"/>
      <c r="F1312" s="809"/>
      <c r="G1312" s="809"/>
      <c r="H1312" s="809"/>
      <c r="I1312" s="809"/>
      <c r="J1312" s="809"/>
      <c r="K1312" s="809"/>
      <c r="L1312" s="809"/>
      <c r="M1312" s="809"/>
      <c r="N1312" s="809"/>
      <c r="O1312" s="809"/>
      <c r="P1312" s="809"/>
      <c r="Q1312" s="809"/>
      <c r="R1312" s="809"/>
      <c r="S1312" s="809"/>
      <c r="T1312" s="809"/>
      <c r="U1312" s="809"/>
      <c r="V1312" s="809"/>
      <c r="W1312" s="809"/>
      <c r="X1312" s="809"/>
      <c r="Y1312" s="809"/>
      <c r="Z1312" s="809"/>
      <c r="AA1312" s="809"/>
      <c r="AB1312" s="809"/>
      <c r="AC1312" s="809"/>
      <c r="AD1312" s="809"/>
      <c r="AE1312" s="809"/>
      <c r="AF1312" s="809"/>
      <c r="AG1312" s="809"/>
      <c r="AH1312" s="809"/>
      <c r="AI1312" s="809"/>
      <c r="AJ1312" s="809"/>
      <c r="AK1312" s="809"/>
      <c r="AL1312" s="809"/>
      <c r="AM1312" s="809"/>
      <c r="AN1312" s="809"/>
      <c r="AO1312" s="809"/>
      <c r="AP1312" s="809"/>
      <c r="AQ1312" s="809"/>
      <c r="AR1312" s="809"/>
      <c r="AS1312" s="809"/>
      <c r="AT1312" s="809"/>
      <c r="AU1312" s="809"/>
      <c r="AV1312" s="809"/>
      <c r="AW1312" s="809"/>
      <c r="AX1312" s="809"/>
      <c r="AY1312" s="809"/>
      <c r="AZ1312" s="809"/>
      <c r="BA1312" s="809"/>
      <c r="BB1312" s="809"/>
      <c r="BC1312" s="809"/>
      <c r="BD1312" s="809"/>
      <c r="BE1312" s="809"/>
      <c r="BF1312" s="809"/>
      <c r="BG1312" s="809"/>
      <c r="BH1312" s="809"/>
      <c r="BI1312" s="809"/>
      <c r="BJ1312" s="809"/>
      <c r="BK1312" s="809"/>
      <c r="BL1312" s="809"/>
      <c r="BM1312" s="809"/>
      <c r="BN1312" s="809"/>
    </row>
    <row r="1313" spans="1:66">
      <c r="A1313" s="809"/>
      <c r="B1313" s="809"/>
      <c r="C1313" s="809"/>
      <c r="D1313" s="809"/>
      <c r="E1313" s="809"/>
      <c r="F1313" s="809"/>
      <c r="G1313" s="809"/>
      <c r="H1313" s="809"/>
      <c r="I1313" s="809"/>
      <c r="J1313" s="809"/>
      <c r="K1313" s="809"/>
      <c r="L1313" s="809"/>
      <c r="M1313" s="809"/>
      <c r="N1313" s="809"/>
      <c r="O1313" s="809"/>
      <c r="P1313" s="809"/>
      <c r="Q1313" s="809"/>
      <c r="R1313" s="809"/>
      <c r="S1313" s="809"/>
      <c r="T1313" s="809"/>
      <c r="U1313" s="809"/>
      <c r="V1313" s="809"/>
      <c r="W1313" s="809"/>
      <c r="X1313" s="809"/>
      <c r="Y1313" s="809"/>
      <c r="Z1313" s="809"/>
      <c r="AA1313" s="809"/>
      <c r="AB1313" s="809"/>
      <c r="AC1313" s="809"/>
      <c r="AD1313" s="809"/>
      <c r="AE1313" s="809"/>
      <c r="AF1313" s="809"/>
      <c r="AG1313" s="809"/>
      <c r="AH1313" s="809"/>
      <c r="AI1313" s="809"/>
      <c r="AJ1313" s="809"/>
      <c r="AK1313" s="809"/>
      <c r="AL1313" s="809"/>
      <c r="AM1313" s="809"/>
      <c r="AN1313" s="809"/>
      <c r="AO1313" s="809"/>
      <c r="AP1313" s="809"/>
      <c r="AQ1313" s="809"/>
      <c r="AR1313" s="809"/>
      <c r="AS1313" s="809"/>
      <c r="AT1313" s="809"/>
      <c r="AU1313" s="809"/>
      <c r="AV1313" s="809"/>
      <c r="AW1313" s="809"/>
      <c r="AX1313" s="809"/>
      <c r="AY1313" s="809"/>
      <c r="AZ1313" s="809"/>
      <c r="BA1313" s="809"/>
      <c r="BB1313" s="809"/>
      <c r="BC1313" s="809"/>
      <c r="BD1313" s="809"/>
      <c r="BE1313" s="809"/>
      <c r="BF1313" s="809"/>
      <c r="BG1313" s="809"/>
      <c r="BH1313" s="809"/>
      <c r="BI1313" s="809"/>
      <c r="BJ1313" s="809"/>
      <c r="BK1313" s="809"/>
      <c r="BL1313" s="809"/>
      <c r="BM1313" s="809"/>
      <c r="BN1313" s="809"/>
    </row>
    <row r="1314" spans="1:66">
      <c r="A1314" s="809"/>
      <c r="B1314" s="809"/>
      <c r="C1314" s="809"/>
      <c r="D1314" s="809"/>
      <c r="E1314" s="809"/>
      <c r="F1314" s="809"/>
      <c r="G1314" s="809"/>
      <c r="H1314" s="809"/>
      <c r="I1314" s="809"/>
      <c r="J1314" s="809"/>
      <c r="K1314" s="809"/>
      <c r="L1314" s="809"/>
      <c r="M1314" s="809"/>
      <c r="N1314" s="809"/>
      <c r="O1314" s="809"/>
      <c r="P1314" s="809"/>
      <c r="Q1314" s="809"/>
      <c r="R1314" s="809"/>
      <c r="S1314" s="809"/>
      <c r="T1314" s="809"/>
      <c r="U1314" s="809"/>
      <c r="V1314" s="809"/>
      <c r="W1314" s="809"/>
      <c r="X1314" s="809"/>
      <c r="Y1314" s="809"/>
      <c r="Z1314" s="809"/>
      <c r="AA1314" s="809"/>
      <c r="AB1314" s="809"/>
      <c r="AC1314" s="809"/>
      <c r="AD1314" s="809"/>
      <c r="AE1314" s="809"/>
      <c r="AF1314" s="809"/>
      <c r="AG1314" s="809"/>
      <c r="AH1314" s="809"/>
      <c r="AI1314" s="809"/>
      <c r="AJ1314" s="809"/>
      <c r="AK1314" s="809"/>
      <c r="AL1314" s="809"/>
      <c r="AM1314" s="809"/>
      <c r="AN1314" s="809"/>
      <c r="AO1314" s="809"/>
      <c r="AP1314" s="809"/>
      <c r="AQ1314" s="809"/>
      <c r="AR1314" s="809"/>
      <c r="AS1314" s="809"/>
      <c r="AT1314" s="809"/>
      <c r="AU1314" s="809"/>
      <c r="AV1314" s="809"/>
      <c r="AW1314" s="809"/>
      <c r="AX1314" s="809"/>
      <c r="AY1314" s="809"/>
      <c r="AZ1314" s="809"/>
      <c r="BA1314" s="809"/>
      <c r="BB1314" s="809"/>
      <c r="BC1314" s="809"/>
      <c r="BD1314" s="809"/>
      <c r="BE1314" s="809"/>
      <c r="BF1314" s="809"/>
      <c r="BG1314" s="809"/>
      <c r="BH1314" s="809"/>
      <c r="BI1314" s="809"/>
      <c r="BJ1314" s="809"/>
      <c r="BK1314" s="809"/>
      <c r="BL1314" s="809"/>
      <c r="BM1314" s="809"/>
      <c r="BN1314" s="809"/>
    </row>
    <row r="1315" spans="1:66">
      <c r="A1315" s="809"/>
      <c r="B1315" s="809"/>
      <c r="C1315" s="809"/>
      <c r="D1315" s="809"/>
      <c r="E1315" s="809"/>
      <c r="F1315" s="809"/>
      <c r="G1315" s="809"/>
      <c r="H1315" s="809"/>
      <c r="I1315" s="809"/>
      <c r="J1315" s="809"/>
      <c r="K1315" s="809"/>
      <c r="L1315" s="809"/>
      <c r="M1315" s="809"/>
      <c r="N1315" s="809"/>
      <c r="O1315" s="809"/>
      <c r="P1315" s="809"/>
      <c r="Q1315" s="809"/>
      <c r="R1315" s="809"/>
      <c r="S1315" s="809"/>
      <c r="T1315" s="809"/>
      <c r="U1315" s="809"/>
      <c r="V1315" s="809"/>
      <c r="W1315" s="809"/>
      <c r="X1315" s="809"/>
      <c r="Y1315" s="809"/>
      <c r="Z1315" s="809"/>
      <c r="AA1315" s="809"/>
      <c r="AB1315" s="809"/>
      <c r="AC1315" s="809"/>
      <c r="AD1315" s="809"/>
      <c r="AE1315" s="809"/>
      <c r="AF1315" s="809"/>
      <c r="AG1315" s="809"/>
      <c r="AH1315" s="809"/>
      <c r="AI1315" s="809"/>
      <c r="AJ1315" s="809"/>
      <c r="AK1315" s="809"/>
      <c r="AL1315" s="809"/>
      <c r="AM1315" s="809"/>
      <c r="AN1315" s="809"/>
      <c r="AO1315" s="809"/>
      <c r="AP1315" s="809"/>
      <c r="AQ1315" s="809"/>
      <c r="AR1315" s="809"/>
      <c r="AS1315" s="809"/>
      <c r="AT1315" s="809"/>
      <c r="AU1315" s="809"/>
      <c r="AV1315" s="809"/>
      <c r="AW1315" s="809"/>
      <c r="AX1315" s="809"/>
      <c r="AY1315" s="809"/>
      <c r="AZ1315" s="809"/>
      <c r="BA1315" s="809"/>
      <c r="BB1315" s="809"/>
      <c r="BC1315" s="809"/>
      <c r="BD1315" s="809"/>
      <c r="BE1315" s="809"/>
      <c r="BF1315" s="809"/>
      <c r="BG1315" s="809"/>
      <c r="BH1315" s="809"/>
      <c r="BI1315" s="809"/>
      <c r="BJ1315" s="809"/>
      <c r="BK1315" s="809"/>
      <c r="BL1315" s="809"/>
      <c r="BM1315" s="809"/>
      <c r="BN1315" s="809"/>
    </row>
    <row r="1316" spans="1:66">
      <c r="A1316" s="809"/>
      <c r="B1316" s="809"/>
      <c r="C1316" s="809"/>
      <c r="D1316" s="809"/>
      <c r="E1316" s="809"/>
      <c r="F1316" s="809"/>
      <c r="G1316" s="809"/>
      <c r="H1316" s="809"/>
      <c r="I1316" s="809"/>
      <c r="J1316" s="809"/>
      <c r="K1316" s="809"/>
      <c r="L1316" s="809"/>
      <c r="M1316" s="809"/>
      <c r="N1316" s="809"/>
      <c r="O1316" s="809"/>
      <c r="P1316" s="809"/>
      <c r="Q1316" s="809"/>
      <c r="R1316" s="809"/>
      <c r="S1316" s="809"/>
      <c r="T1316" s="809"/>
      <c r="U1316" s="809"/>
      <c r="V1316" s="809"/>
      <c r="W1316" s="809"/>
      <c r="X1316" s="809"/>
      <c r="Y1316" s="809"/>
      <c r="Z1316" s="809"/>
      <c r="AA1316" s="809"/>
      <c r="AB1316" s="809"/>
      <c r="AC1316" s="809"/>
      <c r="AD1316" s="809"/>
      <c r="AE1316" s="809"/>
      <c r="AF1316" s="809"/>
      <c r="AG1316" s="809"/>
      <c r="AH1316" s="809"/>
      <c r="AI1316" s="809"/>
      <c r="AJ1316" s="809"/>
      <c r="AK1316" s="809"/>
      <c r="AL1316" s="809"/>
      <c r="AM1316" s="809"/>
      <c r="AN1316" s="809"/>
      <c r="AO1316" s="809"/>
      <c r="AP1316" s="809"/>
      <c r="AQ1316" s="809"/>
      <c r="AR1316" s="809"/>
      <c r="AS1316" s="809"/>
      <c r="AT1316" s="809"/>
      <c r="AU1316" s="809"/>
      <c r="AV1316" s="809"/>
      <c r="AW1316" s="809"/>
      <c r="AX1316" s="809"/>
      <c r="AY1316" s="809"/>
      <c r="AZ1316" s="809"/>
      <c r="BA1316" s="809"/>
      <c r="BB1316" s="809"/>
      <c r="BC1316" s="809"/>
      <c r="BD1316" s="809"/>
      <c r="BE1316" s="809"/>
      <c r="BF1316" s="809"/>
      <c r="BG1316" s="809"/>
      <c r="BH1316" s="809"/>
      <c r="BI1316" s="809"/>
      <c r="BJ1316" s="809"/>
      <c r="BK1316" s="809"/>
      <c r="BL1316" s="809"/>
      <c r="BM1316" s="809"/>
      <c r="BN1316" s="809"/>
    </row>
    <row r="1317" spans="1:66">
      <c r="A1317" s="809"/>
      <c r="B1317" s="809"/>
      <c r="C1317" s="809"/>
      <c r="D1317" s="809"/>
      <c r="E1317" s="809"/>
      <c r="F1317" s="809"/>
      <c r="G1317" s="809"/>
      <c r="H1317" s="809"/>
      <c r="I1317" s="809"/>
      <c r="J1317" s="809"/>
      <c r="K1317" s="809"/>
      <c r="L1317" s="809"/>
      <c r="M1317" s="809"/>
      <c r="N1317" s="809"/>
      <c r="O1317" s="809"/>
      <c r="P1317" s="809"/>
      <c r="Q1317" s="809"/>
      <c r="R1317" s="809"/>
      <c r="S1317" s="809"/>
      <c r="T1317" s="809"/>
      <c r="U1317" s="809"/>
      <c r="V1317" s="809"/>
      <c r="W1317" s="809"/>
      <c r="X1317" s="809"/>
      <c r="Y1317" s="809"/>
      <c r="Z1317" s="809"/>
      <c r="AA1317" s="809"/>
      <c r="AB1317" s="809"/>
      <c r="AC1317" s="809"/>
      <c r="AD1317" s="809"/>
      <c r="AE1317" s="809"/>
      <c r="AF1317" s="809"/>
      <c r="AG1317" s="809"/>
      <c r="AH1317" s="809"/>
      <c r="AI1317" s="809"/>
      <c r="AJ1317" s="809"/>
      <c r="AK1317" s="809"/>
      <c r="AL1317" s="809"/>
      <c r="AM1317" s="809"/>
      <c r="AN1317" s="809"/>
      <c r="AO1317" s="809"/>
      <c r="AP1317" s="809"/>
      <c r="AQ1317" s="809"/>
      <c r="AR1317" s="809"/>
      <c r="AS1317" s="809"/>
      <c r="AT1317" s="809"/>
      <c r="AU1317" s="809"/>
      <c r="AV1317" s="809"/>
      <c r="AW1317" s="809"/>
      <c r="AX1317" s="809"/>
      <c r="AY1317" s="809"/>
      <c r="AZ1317" s="809"/>
      <c r="BA1317" s="809"/>
      <c r="BB1317" s="809"/>
      <c r="BC1317" s="809"/>
      <c r="BD1317" s="809"/>
      <c r="BE1317" s="809"/>
      <c r="BF1317" s="809"/>
      <c r="BG1317" s="809"/>
      <c r="BH1317" s="809"/>
      <c r="BI1317" s="809"/>
      <c r="BJ1317" s="809"/>
      <c r="BK1317" s="809"/>
      <c r="BL1317" s="809"/>
      <c r="BM1317" s="809"/>
      <c r="BN1317" s="809"/>
    </row>
    <row r="1318" spans="1:66">
      <c r="A1318" s="809"/>
      <c r="B1318" s="809"/>
      <c r="C1318" s="809"/>
      <c r="D1318" s="809"/>
      <c r="E1318" s="809"/>
      <c r="F1318" s="809"/>
      <c r="G1318" s="809"/>
      <c r="H1318" s="809"/>
      <c r="I1318" s="809"/>
      <c r="J1318" s="809"/>
      <c r="K1318" s="809"/>
      <c r="L1318" s="809"/>
      <c r="M1318" s="809"/>
      <c r="N1318" s="809"/>
      <c r="O1318" s="809"/>
      <c r="P1318" s="809"/>
      <c r="Q1318" s="809"/>
      <c r="R1318" s="809"/>
      <c r="S1318" s="809"/>
      <c r="T1318" s="809"/>
      <c r="U1318" s="809"/>
      <c r="V1318" s="809"/>
      <c r="W1318" s="809"/>
      <c r="X1318" s="809"/>
      <c r="Y1318" s="809"/>
      <c r="Z1318" s="809"/>
      <c r="AA1318" s="809"/>
      <c r="AB1318" s="809"/>
      <c r="AC1318" s="809"/>
      <c r="AD1318" s="809"/>
      <c r="AE1318" s="809"/>
      <c r="AF1318" s="809"/>
      <c r="AG1318" s="809"/>
      <c r="AH1318" s="809"/>
      <c r="AI1318" s="809"/>
      <c r="AJ1318" s="809"/>
      <c r="AK1318" s="809"/>
      <c r="AL1318" s="809"/>
      <c r="AM1318" s="809"/>
      <c r="AN1318" s="809"/>
      <c r="AO1318" s="809"/>
      <c r="AP1318" s="809"/>
      <c r="AQ1318" s="809"/>
      <c r="AR1318" s="809"/>
      <c r="AS1318" s="809"/>
      <c r="AT1318" s="809"/>
      <c r="AU1318" s="809"/>
      <c r="AV1318" s="809"/>
      <c r="AW1318" s="809"/>
      <c r="AX1318" s="809"/>
      <c r="AY1318" s="809"/>
      <c r="AZ1318" s="809"/>
      <c r="BA1318" s="809"/>
      <c r="BB1318" s="809"/>
      <c r="BC1318" s="809"/>
      <c r="BD1318" s="809"/>
      <c r="BE1318" s="809"/>
      <c r="BF1318" s="809"/>
      <c r="BG1318" s="809"/>
      <c r="BH1318" s="809"/>
      <c r="BI1318" s="809"/>
      <c r="BJ1318" s="809"/>
      <c r="BK1318" s="809"/>
      <c r="BL1318" s="809"/>
      <c r="BM1318" s="809"/>
      <c r="BN1318" s="809"/>
    </row>
    <row r="1319" spans="1:66">
      <c r="A1319" s="809"/>
      <c r="B1319" s="809"/>
      <c r="C1319" s="809"/>
      <c r="D1319" s="809"/>
      <c r="E1319" s="809"/>
      <c r="F1319" s="809"/>
      <c r="G1319" s="809"/>
      <c r="H1319" s="809"/>
      <c r="I1319" s="809"/>
      <c r="J1319" s="809"/>
      <c r="K1319" s="809"/>
      <c r="L1319" s="809"/>
      <c r="M1319" s="809"/>
      <c r="N1319" s="809"/>
      <c r="O1319" s="809"/>
      <c r="P1319" s="809"/>
      <c r="Q1319" s="809"/>
      <c r="R1319" s="809"/>
      <c r="S1319" s="809"/>
      <c r="T1319" s="809"/>
      <c r="U1319" s="809"/>
      <c r="V1319" s="809"/>
      <c r="W1319" s="809"/>
      <c r="X1319" s="809"/>
      <c r="Y1319" s="809"/>
      <c r="Z1319" s="809"/>
      <c r="AA1319" s="809"/>
      <c r="AB1319" s="809"/>
      <c r="AC1319" s="809"/>
      <c r="AD1319" s="809"/>
      <c r="AE1319" s="809"/>
      <c r="AF1319" s="809"/>
      <c r="AG1319" s="809"/>
      <c r="AH1319" s="809"/>
      <c r="AI1319" s="809"/>
      <c r="AJ1319" s="809"/>
      <c r="AK1319" s="809"/>
      <c r="AL1319" s="809"/>
      <c r="AM1319" s="809"/>
      <c r="AN1319" s="809"/>
      <c r="AO1319" s="809"/>
      <c r="AP1319" s="809"/>
      <c r="AQ1319" s="809"/>
      <c r="AR1319" s="809"/>
      <c r="AS1319" s="809"/>
      <c r="AT1319" s="809"/>
      <c r="AU1319" s="809"/>
      <c r="AV1319" s="809"/>
      <c r="AW1319" s="809"/>
      <c r="AX1319" s="809"/>
      <c r="AY1319" s="809"/>
      <c r="AZ1319" s="809"/>
      <c r="BA1319" s="809"/>
      <c r="BB1319" s="809"/>
      <c r="BC1319" s="809"/>
      <c r="BD1319" s="809"/>
      <c r="BE1319" s="809"/>
      <c r="BF1319" s="809"/>
      <c r="BG1319" s="809"/>
      <c r="BH1319" s="809"/>
      <c r="BI1319" s="809"/>
      <c r="BJ1319" s="809"/>
      <c r="BK1319" s="809"/>
      <c r="BL1319" s="809"/>
      <c r="BM1319" s="809"/>
      <c r="BN1319" s="809"/>
    </row>
    <row r="1320" spans="1:66">
      <c r="A1320" s="809"/>
      <c r="B1320" s="809"/>
      <c r="C1320" s="809"/>
      <c r="D1320" s="809"/>
      <c r="E1320" s="809"/>
      <c r="F1320" s="809"/>
      <c r="G1320" s="809"/>
      <c r="H1320" s="809"/>
      <c r="I1320" s="809"/>
      <c r="J1320" s="809"/>
      <c r="K1320" s="809"/>
      <c r="L1320" s="809"/>
      <c r="M1320" s="809"/>
      <c r="N1320" s="809"/>
      <c r="O1320" s="809"/>
      <c r="P1320" s="809"/>
      <c r="Q1320" s="809"/>
      <c r="R1320" s="809"/>
      <c r="S1320" s="809"/>
      <c r="T1320" s="809"/>
      <c r="U1320" s="809"/>
      <c r="V1320" s="809"/>
      <c r="W1320" s="809"/>
      <c r="X1320" s="809"/>
      <c r="Y1320" s="809"/>
      <c r="Z1320" s="809"/>
      <c r="AA1320" s="809"/>
      <c r="AB1320" s="809"/>
      <c r="AC1320" s="809"/>
      <c r="AD1320" s="809"/>
      <c r="AE1320" s="809"/>
      <c r="AF1320" s="809"/>
      <c r="AG1320" s="809"/>
      <c r="AH1320" s="809"/>
      <c r="AI1320" s="809"/>
      <c r="AJ1320" s="809"/>
      <c r="AK1320" s="809"/>
      <c r="AL1320" s="809"/>
      <c r="AM1320" s="809"/>
      <c r="AN1320" s="809"/>
      <c r="AO1320" s="809"/>
      <c r="AP1320" s="809"/>
      <c r="AQ1320" s="809"/>
      <c r="AR1320" s="809"/>
      <c r="AS1320" s="809"/>
      <c r="AT1320" s="809"/>
      <c r="AU1320" s="809"/>
      <c r="AV1320" s="809"/>
      <c r="AW1320" s="809"/>
      <c r="AX1320" s="809"/>
      <c r="AY1320" s="809"/>
      <c r="AZ1320" s="809"/>
      <c r="BA1320" s="809"/>
      <c r="BB1320" s="809"/>
      <c r="BC1320" s="809"/>
      <c r="BD1320" s="809"/>
      <c r="BE1320" s="809"/>
      <c r="BF1320" s="809"/>
      <c r="BG1320" s="809"/>
      <c r="BH1320" s="809"/>
      <c r="BI1320" s="809"/>
      <c r="BJ1320" s="809"/>
      <c r="BK1320" s="809"/>
      <c r="BL1320" s="809"/>
      <c r="BM1320" s="809"/>
      <c r="BN1320" s="809"/>
    </row>
    <row r="1321" spans="1:66">
      <c r="A1321" s="809"/>
      <c r="B1321" s="809"/>
      <c r="C1321" s="809"/>
      <c r="D1321" s="809"/>
      <c r="E1321" s="809"/>
      <c r="F1321" s="809"/>
      <c r="G1321" s="809"/>
      <c r="H1321" s="809"/>
      <c r="I1321" s="809"/>
      <c r="J1321" s="809"/>
      <c r="K1321" s="809"/>
      <c r="L1321" s="809"/>
      <c r="M1321" s="809"/>
      <c r="N1321" s="809"/>
      <c r="O1321" s="809"/>
      <c r="P1321" s="809"/>
      <c r="Q1321" s="809"/>
      <c r="R1321" s="809"/>
      <c r="S1321" s="809"/>
      <c r="T1321" s="809"/>
      <c r="U1321" s="809"/>
      <c r="V1321" s="809"/>
      <c r="W1321" s="809"/>
      <c r="X1321" s="809"/>
      <c r="Y1321" s="809"/>
      <c r="Z1321" s="809"/>
      <c r="AA1321" s="809"/>
      <c r="AB1321" s="809"/>
      <c r="AC1321" s="809"/>
      <c r="AD1321" s="809"/>
      <c r="AE1321" s="809"/>
      <c r="AF1321" s="809"/>
      <c r="AG1321" s="809"/>
      <c r="AH1321" s="809"/>
      <c r="AI1321" s="809"/>
      <c r="AJ1321" s="809"/>
      <c r="AK1321" s="809"/>
      <c r="AL1321" s="809"/>
      <c r="AM1321" s="809"/>
      <c r="AN1321" s="809"/>
      <c r="AO1321" s="809"/>
      <c r="AP1321" s="809"/>
      <c r="AQ1321" s="809"/>
      <c r="AR1321" s="809"/>
      <c r="AS1321" s="809"/>
      <c r="AT1321" s="809"/>
      <c r="AU1321" s="809"/>
      <c r="AV1321" s="809"/>
      <c r="AW1321" s="809"/>
      <c r="AX1321" s="809"/>
      <c r="AY1321" s="809"/>
      <c r="AZ1321" s="809"/>
      <c r="BA1321" s="809"/>
      <c r="BB1321" s="809"/>
      <c r="BC1321" s="809"/>
      <c r="BD1321" s="809"/>
      <c r="BE1321" s="809"/>
      <c r="BF1321" s="809"/>
      <c r="BG1321" s="809"/>
      <c r="BH1321" s="809"/>
      <c r="BI1321" s="809"/>
      <c r="BJ1321" s="809"/>
      <c r="BK1321" s="809"/>
      <c r="BL1321" s="809"/>
      <c r="BM1321" s="809"/>
      <c r="BN1321" s="809"/>
    </row>
    <row r="1322" spans="1:66">
      <c r="A1322" s="809"/>
      <c r="B1322" s="809"/>
      <c r="C1322" s="809"/>
      <c r="D1322" s="809"/>
      <c r="E1322" s="809"/>
      <c r="F1322" s="809"/>
      <c r="G1322" s="809"/>
      <c r="H1322" s="809"/>
      <c r="I1322" s="809"/>
      <c r="J1322" s="809"/>
      <c r="K1322" s="809"/>
      <c r="L1322" s="809"/>
      <c r="M1322" s="809"/>
      <c r="N1322" s="809"/>
      <c r="O1322" s="809"/>
      <c r="P1322" s="809"/>
      <c r="Q1322" s="809"/>
      <c r="R1322" s="809"/>
      <c r="S1322" s="809"/>
      <c r="T1322" s="809"/>
      <c r="U1322" s="809"/>
      <c r="V1322" s="809"/>
      <c r="W1322" s="809"/>
      <c r="X1322" s="809"/>
      <c r="Y1322" s="809"/>
      <c r="Z1322" s="809"/>
      <c r="AA1322" s="809"/>
      <c r="AB1322" s="809"/>
      <c r="AC1322" s="809"/>
      <c r="AD1322" s="809"/>
      <c r="AE1322" s="809"/>
      <c r="AF1322" s="809"/>
      <c r="AG1322" s="809"/>
      <c r="AH1322" s="809"/>
      <c r="AI1322" s="809"/>
      <c r="AJ1322" s="809"/>
      <c r="AK1322" s="809"/>
      <c r="AL1322" s="809"/>
      <c r="AM1322" s="809"/>
      <c r="AN1322" s="809"/>
      <c r="AO1322" s="809"/>
      <c r="AP1322" s="809"/>
      <c r="AQ1322" s="809"/>
      <c r="AR1322" s="809"/>
      <c r="AS1322" s="809"/>
      <c r="AT1322" s="809"/>
      <c r="AU1322" s="809"/>
      <c r="AV1322" s="809"/>
      <c r="AW1322" s="809"/>
      <c r="AX1322" s="809"/>
      <c r="AY1322" s="809"/>
      <c r="AZ1322" s="809"/>
      <c r="BA1322" s="809"/>
      <c r="BB1322" s="809"/>
      <c r="BC1322" s="809"/>
      <c r="BD1322" s="809"/>
      <c r="BE1322" s="809"/>
      <c r="BF1322" s="809"/>
      <c r="BG1322" s="809"/>
      <c r="BH1322" s="809"/>
      <c r="BI1322" s="809"/>
      <c r="BJ1322" s="809"/>
      <c r="BK1322" s="809"/>
      <c r="BL1322" s="809"/>
      <c r="BM1322" s="809"/>
      <c r="BN1322" s="809"/>
    </row>
    <row r="1323" spans="1:66">
      <c r="A1323" s="809"/>
      <c r="B1323" s="809"/>
      <c r="C1323" s="809"/>
      <c r="D1323" s="809"/>
      <c r="E1323" s="809"/>
      <c r="F1323" s="809"/>
      <c r="G1323" s="809"/>
      <c r="H1323" s="809"/>
      <c r="I1323" s="809"/>
      <c r="J1323" s="809"/>
      <c r="K1323" s="809"/>
      <c r="L1323" s="809"/>
      <c r="M1323" s="809"/>
      <c r="N1323" s="809"/>
      <c r="O1323" s="809"/>
      <c r="P1323" s="809"/>
      <c r="Q1323" s="809"/>
      <c r="R1323" s="809"/>
      <c r="S1323" s="809"/>
      <c r="T1323" s="809"/>
      <c r="U1323" s="809"/>
      <c r="V1323" s="809"/>
      <c r="W1323" s="809"/>
      <c r="X1323" s="809"/>
      <c r="Y1323" s="809"/>
      <c r="Z1323" s="809"/>
      <c r="AA1323" s="809"/>
      <c r="AB1323" s="809"/>
      <c r="AC1323" s="809"/>
      <c r="AD1323" s="809"/>
      <c r="AE1323" s="809"/>
      <c r="AF1323" s="809"/>
      <c r="AG1323" s="809"/>
      <c r="AH1323" s="809"/>
      <c r="AI1323" s="809"/>
      <c r="AJ1323" s="809"/>
      <c r="AK1323" s="809"/>
      <c r="AL1323" s="809"/>
      <c r="AM1323" s="809"/>
      <c r="AN1323" s="809"/>
      <c r="AO1323" s="809"/>
      <c r="AP1323" s="809"/>
      <c r="AQ1323" s="809"/>
      <c r="AR1323" s="809"/>
      <c r="AS1323" s="809"/>
      <c r="AT1323" s="809"/>
      <c r="AU1323" s="809"/>
      <c r="AV1323" s="809"/>
      <c r="AW1323" s="809"/>
      <c r="AX1323" s="809"/>
      <c r="AY1323" s="809"/>
      <c r="AZ1323" s="809"/>
      <c r="BA1323" s="809"/>
      <c r="BB1323" s="809"/>
      <c r="BC1323" s="809"/>
      <c r="BD1323" s="809"/>
      <c r="BE1323" s="809"/>
      <c r="BF1323" s="809"/>
      <c r="BG1323" s="809"/>
      <c r="BH1323" s="809"/>
      <c r="BI1323" s="809"/>
      <c r="BJ1323" s="809"/>
      <c r="BK1323" s="809"/>
      <c r="BL1323" s="809"/>
      <c r="BM1323" s="809"/>
      <c r="BN1323" s="809"/>
    </row>
    <row r="1324" spans="1:66">
      <c r="A1324" s="809"/>
      <c r="B1324" s="809"/>
      <c r="C1324" s="809"/>
      <c r="D1324" s="809"/>
      <c r="E1324" s="809"/>
      <c r="F1324" s="809"/>
      <c r="G1324" s="809"/>
      <c r="H1324" s="809"/>
      <c r="I1324" s="809"/>
      <c r="J1324" s="809"/>
      <c r="K1324" s="809"/>
      <c r="L1324" s="809"/>
      <c r="M1324" s="809"/>
      <c r="N1324" s="809"/>
      <c r="O1324" s="809"/>
      <c r="P1324" s="809"/>
      <c r="Q1324" s="809"/>
      <c r="R1324" s="809"/>
      <c r="S1324" s="809"/>
      <c r="T1324" s="809"/>
      <c r="U1324" s="809"/>
      <c r="V1324" s="809"/>
      <c r="W1324" s="809"/>
      <c r="X1324" s="809"/>
      <c r="Y1324" s="809"/>
      <c r="Z1324" s="809"/>
      <c r="AA1324" s="809"/>
      <c r="AB1324" s="809"/>
      <c r="AC1324" s="809"/>
      <c r="AD1324" s="809"/>
      <c r="AE1324" s="809"/>
      <c r="AF1324" s="809"/>
      <c r="AG1324" s="809"/>
      <c r="AH1324" s="809"/>
      <c r="AI1324" s="809"/>
      <c r="AJ1324" s="809"/>
      <c r="AK1324" s="809"/>
      <c r="AL1324" s="809"/>
      <c r="AM1324" s="809"/>
      <c r="AN1324" s="809"/>
      <c r="AO1324" s="809"/>
      <c r="AP1324" s="809"/>
      <c r="AQ1324" s="809"/>
      <c r="AR1324" s="809"/>
      <c r="AS1324" s="809"/>
      <c r="AT1324" s="809"/>
      <c r="AU1324" s="809"/>
      <c r="AV1324" s="809"/>
      <c r="AW1324" s="809"/>
      <c r="AX1324" s="809"/>
      <c r="AY1324" s="809"/>
      <c r="AZ1324" s="809"/>
      <c r="BA1324" s="809"/>
      <c r="BB1324" s="809"/>
      <c r="BC1324" s="809"/>
      <c r="BD1324" s="809"/>
      <c r="BE1324" s="809"/>
      <c r="BF1324" s="809"/>
      <c r="BG1324" s="809"/>
      <c r="BH1324" s="809"/>
      <c r="BI1324" s="809"/>
      <c r="BJ1324" s="809"/>
      <c r="BK1324" s="809"/>
      <c r="BL1324" s="809"/>
      <c r="BM1324" s="809"/>
      <c r="BN1324" s="809"/>
    </row>
    <row r="1325" spans="1:66">
      <c r="A1325" s="809"/>
      <c r="B1325" s="809"/>
      <c r="C1325" s="809"/>
      <c r="D1325" s="809"/>
      <c r="E1325" s="809"/>
      <c r="F1325" s="809"/>
      <c r="G1325" s="809"/>
      <c r="H1325" s="809"/>
      <c r="I1325" s="809"/>
      <c r="J1325" s="809"/>
      <c r="K1325" s="809"/>
      <c r="L1325" s="809"/>
      <c r="M1325" s="809"/>
      <c r="N1325" s="809"/>
      <c r="O1325" s="809"/>
      <c r="P1325" s="809"/>
      <c r="Q1325" s="809"/>
      <c r="R1325" s="809"/>
      <c r="S1325" s="809"/>
      <c r="T1325" s="809"/>
      <c r="U1325" s="809"/>
      <c r="V1325" s="809"/>
      <c r="W1325" s="809"/>
      <c r="X1325" s="809"/>
      <c r="Y1325" s="809"/>
      <c r="Z1325" s="809"/>
      <c r="AA1325" s="809"/>
      <c r="AB1325" s="809"/>
      <c r="AC1325" s="809"/>
      <c r="AD1325" s="809"/>
      <c r="AE1325" s="809"/>
      <c r="AF1325" s="809"/>
      <c r="AG1325" s="809"/>
      <c r="AH1325" s="809"/>
      <c r="AI1325" s="809"/>
      <c r="AJ1325" s="809"/>
      <c r="AK1325" s="809"/>
      <c r="AL1325" s="809"/>
      <c r="AM1325" s="809"/>
      <c r="AN1325" s="809"/>
      <c r="AO1325" s="809"/>
      <c r="AP1325" s="809"/>
      <c r="AQ1325" s="809"/>
      <c r="AR1325" s="809"/>
      <c r="AS1325" s="809"/>
      <c r="AT1325" s="809"/>
      <c r="AU1325" s="809"/>
      <c r="AV1325" s="809"/>
      <c r="AW1325" s="809"/>
      <c r="AX1325" s="809"/>
      <c r="AY1325" s="809"/>
      <c r="AZ1325" s="809"/>
      <c r="BA1325" s="809"/>
      <c r="BB1325" s="809"/>
      <c r="BC1325" s="809"/>
      <c r="BD1325" s="809"/>
      <c r="BE1325" s="809"/>
      <c r="BF1325" s="809"/>
      <c r="BG1325" s="809"/>
      <c r="BH1325" s="809"/>
      <c r="BI1325" s="809"/>
      <c r="BJ1325" s="809"/>
      <c r="BK1325" s="809"/>
      <c r="BL1325" s="809"/>
      <c r="BM1325" s="809"/>
      <c r="BN1325" s="809"/>
    </row>
    <row r="1326" spans="1:66">
      <c r="A1326" s="809"/>
      <c r="B1326" s="809"/>
      <c r="C1326" s="809"/>
      <c r="D1326" s="809"/>
      <c r="E1326" s="809"/>
      <c r="F1326" s="809"/>
      <c r="G1326" s="809"/>
      <c r="H1326" s="809"/>
      <c r="I1326" s="809"/>
      <c r="J1326" s="809"/>
      <c r="K1326" s="809"/>
      <c r="L1326" s="809"/>
      <c r="M1326" s="809"/>
      <c r="N1326" s="809"/>
      <c r="O1326" s="809"/>
      <c r="P1326" s="809"/>
      <c r="Q1326" s="809"/>
      <c r="R1326" s="809"/>
      <c r="S1326" s="809"/>
      <c r="T1326" s="809"/>
      <c r="U1326" s="809"/>
      <c r="V1326" s="809"/>
      <c r="W1326" s="809"/>
      <c r="X1326" s="809"/>
      <c r="Y1326" s="809"/>
      <c r="Z1326" s="809"/>
      <c r="AA1326" s="809"/>
      <c r="AB1326" s="809"/>
      <c r="AC1326" s="809"/>
      <c r="AD1326" s="809"/>
      <c r="AE1326" s="809"/>
      <c r="AF1326" s="809"/>
      <c r="AG1326" s="809"/>
      <c r="AH1326" s="809"/>
      <c r="AI1326" s="809"/>
      <c r="AJ1326" s="809"/>
      <c r="AK1326" s="809"/>
      <c r="AL1326" s="809"/>
      <c r="AM1326" s="809"/>
      <c r="AN1326" s="809"/>
      <c r="AO1326" s="809"/>
      <c r="AP1326" s="809"/>
      <c r="AQ1326" s="809"/>
      <c r="AR1326" s="809"/>
      <c r="AS1326" s="809"/>
      <c r="AT1326" s="809"/>
      <c r="AU1326" s="809"/>
      <c r="AV1326" s="809"/>
      <c r="AW1326" s="809"/>
      <c r="AX1326" s="809"/>
      <c r="AY1326" s="809"/>
      <c r="AZ1326" s="809"/>
      <c r="BA1326" s="809"/>
      <c r="BB1326" s="809"/>
      <c r="BC1326" s="809"/>
      <c r="BD1326" s="809"/>
      <c r="BE1326" s="809"/>
      <c r="BF1326" s="809"/>
      <c r="BG1326" s="809"/>
      <c r="BH1326" s="809"/>
      <c r="BI1326" s="809"/>
      <c r="BJ1326" s="809"/>
      <c r="BK1326" s="809"/>
      <c r="BL1326" s="809"/>
      <c r="BM1326" s="809"/>
      <c r="BN1326" s="809"/>
    </row>
    <row r="1327" spans="1:66">
      <c r="A1327" s="809"/>
      <c r="B1327" s="809"/>
      <c r="C1327" s="809"/>
      <c r="D1327" s="809"/>
      <c r="E1327" s="809"/>
      <c r="F1327" s="809"/>
      <c r="G1327" s="809"/>
      <c r="H1327" s="809"/>
      <c r="I1327" s="809"/>
      <c r="J1327" s="809"/>
      <c r="K1327" s="809"/>
      <c r="L1327" s="809"/>
      <c r="M1327" s="809"/>
      <c r="N1327" s="809"/>
      <c r="O1327" s="809"/>
      <c r="P1327" s="809"/>
      <c r="Q1327" s="809"/>
      <c r="R1327" s="809"/>
      <c r="S1327" s="809"/>
      <c r="T1327" s="809"/>
      <c r="U1327" s="809"/>
      <c r="V1327" s="809"/>
      <c r="W1327" s="809"/>
      <c r="X1327" s="809"/>
      <c r="Y1327" s="809"/>
      <c r="Z1327" s="809"/>
      <c r="AA1327" s="809"/>
      <c r="AB1327" s="809"/>
      <c r="AC1327" s="809"/>
      <c r="AD1327" s="809"/>
      <c r="AE1327" s="809"/>
      <c r="AF1327" s="809"/>
      <c r="AG1327" s="809"/>
      <c r="AH1327" s="809"/>
      <c r="AI1327" s="809"/>
      <c r="AJ1327" s="809"/>
      <c r="AK1327" s="809"/>
      <c r="AL1327" s="809"/>
      <c r="AM1327" s="809"/>
      <c r="AN1327" s="809"/>
      <c r="AO1327" s="809"/>
      <c r="AP1327" s="809"/>
      <c r="AQ1327" s="809"/>
      <c r="AR1327" s="809"/>
      <c r="AS1327" s="809"/>
      <c r="AT1327" s="809"/>
      <c r="AU1327" s="809"/>
      <c r="AV1327" s="809"/>
      <c r="AW1327" s="809"/>
      <c r="AX1327" s="809"/>
      <c r="AY1327" s="809"/>
      <c r="AZ1327" s="809"/>
      <c r="BA1327" s="809"/>
      <c r="BB1327" s="809"/>
      <c r="BC1327" s="809"/>
      <c r="BD1327" s="809"/>
      <c r="BE1327" s="809"/>
      <c r="BF1327" s="809"/>
      <c r="BG1327" s="809"/>
      <c r="BH1327" s="809"/>
      <c r="BI1327" s="809"/>
      <c r="BJ1327" s="809"/>
      <c r="BK1327" s="809"/>
      <c r="BL1327" s="809"/>
      <c r="BM1327" s="809"/>
      <c r="BN1327" s="809"/>
    </row>
    <row r="1328" spans="1:66">
      <c r="A1328" s="809"/>
      <c r="B1328" s="809"/>
      <c r="C1328" s="809"/>
      <c r="D1328" s="809"/>
      <c r="E1328" s="809"/>
      <c r="F1328" s="809"/>
      <c r="G1328" s="809"/>
      <c r="H1328" s="809"/>
      <c r="I1328" s="809"/>
      <c r="J1328" s="809"/>
      <c r="K1328" s="809"/>
      <c r="L1328" s="809"/>
      <c r="M1328" s="809"/>
      <c r="N1328" s="809"/>
      <c r="O1328" s="809"/>
      <c r="P1328" s="809"/>
      <c r="Q1328" s="809"/>
      <c r="R1328" s="809"/>
      <c r="S1328" s="809"/>
      <c r="T1328" s="809"/>
      <c r="U1328" s="809"/>
      <c r="V1328" s="809"/>
      <c r="W1328" s="809"/>
      <c r="X1328" s="809"/>
      <c r="Y1328" s="809"/>
      <c r="Z1328" s="809"/>
      <c r="AA1328" s="809"/>
      <c r="AB1328" s="809"/>
      <c r="AC1328" s="809"/>
      <c r="AD1328" s="809"/>
      <c r="AE1328" s="809"/>
      <c r="AF1328" s="809"/>
      <c r="AG1328" s="809"/>
      <c r="AH1328" s="809"/>
      <c r="AI1328" s="809"/>
      <c r="AJ1328" s="809"/>
      <c r="AK1328" s="809"/>
      <c r="AL1328" s="809"/>
      <c r="AM1328" s="809"/>
      <c r="AN1328" s="809"/>
      <c r="AO1328" s="809"/>
      <c r="AP1328" s="809"/>
      <c r="AQ1328" s="809"/>
      <c r="AR1328" s="809"/>
      <c r="AS1328" s="809"/>
      <c r="AT1328" s="809"/>
      <c r="AU1328" s="809"/>
      <c r="AV1328" s="809"/>
      <c r="AW1328" s="809"/>
      <c r="AX1328" s="809"/>
      <c r="AY1328" s="809"/>
      <c r="AZ1328" s="809"/>
      <c r="BA1328" s="809"/>
      <c r="BB1328" s="809"/>
      <c r="BC1328" s="809"/>
      <c r="BD1328" s="809"/>
      <c r="BE1328" s="809"/>
      <c r="BF1328" s="809"/>
      <c r="BG1328" s="809"/>
      <c r="BH1328" s="809"/>
      <c r="BI1328" s="809"/>
      <c r="BJ1328" s="809"/>
      <c r="BK1328" s="809"/>
      <c r="BL1328" s="809"/>
      <c r="BM1328" s="809"/>
      <c r="BN1328" s="809"/>
    </row>
    <row r="1329" spans="1:66">
      <c r="A1329" s="809"/>
      <c r="B1329" s="809"/>
      <c r="C1329" s="809"/>
      <c r="D1329" s="809"/>
      <c r="E1329" s="809"/>
      <c r="F1329" s="809"/>
      <c r="G1329" s="809"/>
      <c r="H1329" s="809"/>
      <c r="I1329" s="809"/>
      <c r="J1329" s="809"/>
      <c r="K1329" s="809"/>
      <c r="L1329" s="809"/>
      <c r="M1329" s="809"/>
      <c r="N1329" s="809"/>
      <c r="O1329" s="809"/>
      <c r="P1329" s="809"/>
      <c r="Q1329" s="809"/>
      <c r="R1329" s="809"/>
      <c r="S1329" s="809"/>
      <c r="T1329" s="809"/>
      <c r="U1329" s="809"/>
      <c r="V1329" s="809"/>
      <c r="W1329" s="809"/>
      <c r="X1329" s="809"/>
      <c r="Y1329" s="809"/>
      <c r="Z1329" s="809"/>
      <c r="AA1329" s="809"/>
      <c r="AB1329" s="809"/>
      <c r="AC1329" s="809"/>
      <c r="AD1329" s="809"/>
      <c r="AE1329" s="809"/>
      <c r="AF1329" s="809"/>
      <c r="AG1329" s="809"/>
      <c r="AH1329" s="809"/>
      <c r="AI1329" s="809"/>
      <c r="AJ1329" s="809"/>
      <c r="AK1329" s="809"/>
      <c r="AL1329" s="809"/>
      <c r="AM1329" s="809"/>
      <c r="AN1329" s="809"/>
      <c r="AO1329" s="809"/>
      <c r="AP1329" s="809"/>
      <c r="AQ1329" s="809"/>
      <c r="AR1329" s="809"/>
      <c r="AS1329" s="809"/>
      <c r="AT1329" s="809"/>
      <c r="AU1329" s="809"/>
      <c r="AV1329" s="809"/>
      <c r="AW1329" s="809"/>
      <c r="AX1329" s="809"/>
      <c r="AY1329" s="809"/>
      <c r="AZ1329" s="809"/>
      <c r="BA1329" s="809"/>
      <c r="BB1329" s="809"/>
      <c r="BC1329" s="809"/>
      <c r="BD1329" s="809"/>
      <c r="BE1329" s="809"/>
      <c r="BF1329" s="809"/>
      <c r="BG1329" s="809"/>
      <c r="BH1329" s="809"/>
      <c r="BI1329" s="809"/>
      <c r="BJ1329" s="809"/>
      <c r="BK1329" s="809"/>
      <c r="BL1329" s="809"/>
      <c r="BM1329" s="809"/>
      <c r="BN1329" s="809"/>
    </row>
    <row r="1330" spans="1:66">
      <c r="A1330" s="809"/>
      <c r="B1330" s="809"/>
      <c r="C1330" s="809"/>
      <c r="D1330" s="809"/>
      <c r="E1330" s="809"/>
      <c r="F1330" s="809"/>
      <c r="G1330" s="809"/>
      <c r="H1330" s="809"/>
      <c r="I1330" s="809"/>
      <c r="J1330" s="809"/>
      <c r="K1330" s="809"/>
      <c r="L1330" s="809"/>
      <c r="M1330" s="809"/>
      <c r="N1330" s="809"/>
      <c r="O1330" s="809"/>
      <c r="P1330" s="809"/>
      <c r="Q1330" s="809"/>
      <c r="R1330" s="809"/>
      <c r="S1330" s="809"/>
      <c r="T1330" s="809"/>
      <c r="U1330" s="809"/>
      <c r="V1330" s="809"/>
      <c r="W1330" s="809"/>
      <c r="X1330" s="809"/>
      <c r="Y1330" s="809"/>
      <c r="Z1330" s="809"/>
      <c r="AA1330" s="809"/>
      <c r="AB1330" s="809"/>
      <c r="AC1330" s="809"/>
      <c r="AD1330" s="809"/>
      <c r="AE1330" s="809"/>
      <c r="AF1330" s="809"/>
      <c r="AG1330" s="809"/>
      <c r="AH1330" s="809"/>
      <c r="AI1330" s="809"/>
      <c r="AJ1330" s="809"/>
      <c r="AK1330" s="809"/>
      <c r="AL1330" s="809"/>
      <c r="AM1330" s="809"/>
      <c r="AN1330" s="809"/>
      <c r="AO1330" s="809"/>
      <c r="AP1330" s="809"/>
      <c r="AQ1330" s="809"/>
      <c r="AR1330" s="809"/>
      <c r="AS1330" s="809"/>
      <c r="AT1330" s="809"/>
      <c r="AU1330" s="809"/>
      <c r="AV1330" s="809"/>
      <c r="AW1330" s="809"/>
      <c r="AX1330" s="809"/>
      <c r="AY1330" s="809"/>
      <c r="AZ1330" s="809"/>
      <c r="BA1330" s="809"/>
      <c r="BB1330" s="809"/>
      <c r="BC1330" s="809"/>
      <c r="BD1330" s="809"/>
      <c r="BE1330" s="809"/>
      <c r="BF1330" s="809"/>
      <c r="BG1330" s="809"/>
      <c r="BH1330" s="809"/>
      <c r="BI1330" s="809"/>
      <c r="BJ1330" s="809"/>
      <c r="BK1330" s="809"/>
      <c r="BL1330" s="809"/>
      <c r="BM1330" s="809"/>
      <c r="BN1330" s="809"/>
    </row>
    <row r="1331" spans="1:66">
      <c r="A1331" s="809"/>
      <c r="B1331" s="809"/>
      <c r="C1331" s="809"/>
      <c r="D1331" s="809"/>
      <c r="E1331" s="809"/>
      <c r="F1331" s="809"/>
      <c r="G1331" s="809"/>
      <c r="H1331" s="809"/>
      <c r="I1331" s="809"/>
      <c r="J1331" s="809"/>
      <c r="K1331" s="809"/>
      <c r="L1331" s="809"/>
      <c r="M1331" s="809"/>
      <c r="N1331" s="809"/>
      <c r="O1331" s="809"/>
      <c r="P1331" s="809"/>
      <c r="Q1331" s="809"/>
      <c r="R1331" s="809"/>
      <c r="S1331" s="809"/>
      <c r="T1331" s="809"/>
      <c r="U1331" s="809"/>
      <c r="V1331" s="809"/>
      <c r="W1331" s="809"/>
      <c r="X1331" s="809"/>
      <c r="Y1331" s="809"/>
      <c r="Z1331" s="809"/>
      <c r="AA1331" s="809"/>
      <c r="AB1331" s="809"/>
      <c r="AC1331" s="809"/>
      <c r="AD1331" s="809"/>
      <c r="AE1331" s="809"/>
      <c r="AF1331" s="809"/>
      <c r="AG1331" s="809"/>
      <c r="AH1331" s="809"/>
      <c r="AI1331" s="809"/>
      <c r="AJ1331" s="809"/>
      <c r="AK1331" s="809"/>
      <c r="AL1331" s="809"/>
      <c r="AM1331" s="809"/>
      <c r="AN1331" s="809"/>
      <c r="AO1331" s="809"/>
      <c r="AP1331" s="809"/>
      <c r="AQ1331" s="809"/>
      <c r="AR1331" s="809"/>
      <c r="AS1331" s="809"/>
      <c r="AT1331" s="809"/>
      <c r="AU1331" s="809"/>
      <c r="AV1331" s="809"/>
      <c r="AW1331" s="809"/>
      <c r="AX1331" s="809"/>
      <c r="AY1331" s="809"/>
      <c r="AZ1331" s="809"/>
      <c r="BA1331" s="809"/>
      <c r="BB1331" s="809"/>
      <c r="BC1331" s="809"/>
      <c r="BD1331" s="809"/>
      <c r="BE1331" s="809"/>
      <c r="BF1331" s="809"/>
      <c r="BG1331" s="809"/>
      <c r="BH1331" s="809"/>
      <c r="BI1331" s="809"/>
      <c r="BJ1331" s="809"/>
      <c r="BK1331" s="809"/>
      <c r="BL1331" s="809"/>
      <c r="BM1331" s="809"/>
      <c r="BN1331" s="809"/>
    </row>
    <row r="1332" spans="1:66">
      <c r="A1332" s="809"/>
      <c r="B1332" s="809"/>
      <c r="C1332" s="809"/>
      <c r="D1332" s="809"/>
      <c r="E1332" s="809"/>
      <c r="F1332" s="809"/>
      <c r="G1332" s="809"/>
      <c r="H1332" s="809"/>
      <c r="I1332" s="809"/>
      <c r="J1332" s="809"/>
      <c r="K1332" s="809"/>
      <c r="L1332" s="809"/>
      <c r="M1332" s="809"/>
      <c r="N1332" s="809"/>
      <c r="O1332" s="809"/>
      <c r="P1332" s="809"/>
      <c r="Q1332" s="809"/>
      <c r="R1332" s="809"/>
      <c r="S1332" s="809"/>
      <c r="T1332" s="809"/>
      <c r="U1332" s="809"/>
      <c r="V1332" s="809"/>
      <c r="W1332" s="809"/>
      <c r="X1332" s="809"/>
      <c r="Y1332" s="809"/>
      <c r="Z1332" s="809"/>
      <c r="AA1332" s="809"/>
      <c r="AB1332" s="809"/>
      <c r="AC1332" s="809"/>
      <c r="AD1332" s="809"/>
      <c r="AE1332" s="809"/>
      <c r="AF1332" s="809"/>
      <c r="AG1332" s="809"/>
      <c r="AH1332" s="809"/>
      <c r="AI1332" s="809"/>
      <c r="AJ1332" s="809"/>
      <c r="AK1332" s="809"/>
      <c r="AL1332" s="809"/>
      <c r="AM1332" s="809"/>
      <c r="AN1332" s="809"/>
      <c r="AO1332" s="809"/>
      <c r="AP1332" s="809"/>
      <c r="AQ1332" s="809"/>
      <c r="AR1332" s="809"/>
      <c r="AS1332" s="809"/>
      <c r="AT1332" s="809"/>
      <c r="AU1332" s="809"/>
      <c r="AV1332" s="809"/>
      <c r="AW1332" s="809"/>
      <c r="AX1332" s="809"/>
      <c r="AY1332" s="809"/>
      <c r="AZ1332" s="809"/>
      <c r="BA1332" s="809"/>
      <c r="BB1332" s="809"/>
      <c r="BC1332" s="809"/>
      <c r="BD1332" s="809"/>
      <c r="BE1332" s="809"/>
      <c r="BF1332" s="809"/>
      <c r="BG1332" s="809"/>
      <c r="BH1332" s="809"/>
      <c r="BI1332" s="809"/>
      <c r="BJ1332" s="809"/>
      <c r="BK1332" s="809"/>
      <c r="BL1332" s="809"/>
      <c r="BM1332" s="809"/>
      <c r="BN1332" s="809"/>
    </row>
    <row r="1333" spans="1:66">
      <c r="A1333" s="809"/>
      <c r="B1333" s="809"/>
      <c r="C1333" s="809"/>
      <c r="D1333" s="809"/>
      <c r="E1333" s="809"/>
      <c r="F1333" s="809"/>
      <c r="G1333" s="809"/>
      <c r="H1333" s="809"/>
      <c r="I1333" s="809"/>
      <c r="J1333" s="809"/>
      <c r="K1333" s="809"/>
      <c r="L1333" s="809"/>
      <c r="M1333" s="809"/>
      <c r="N1333" s="809"/>
      <c r="O1333" s="809"/>
      <c r="P1333" s="809"/>
      <c r="Q1333" s="809"/>
      <c r="R1333" s="809"/>
      <c r="S1333" s="809"/>
      <c r="T1333" s="809"/>
      <c r="U1333" s="809"/>
      <c r="V1333" s="809"/>
      <c r="W1333" s="809"/>
      <c r="X1333" s="809"/>
      <c r="Y1333" s="809"/>
      <c r="Z1333" s="809"/>
      <c r="AA1333" s="809"/>
      <c r="AB1333" s="809"/>
      <c r="AC1333" s="809"/>
      <c r="AD1333" s="809"/>
      <c r="AE1333" s="809"/>
      <c r="AF1333" s="809"/>
      <c r="AG1333" s="809"/>
      <c r="AH1333" s="809"/>
      <c r="AI1333" s="809"/>
      <c r="AJ1333" s="809"/>
      <c r="AK1333" s="809"/>
      <c r="AL1333" s="809"/>
      <c r="AM1333" s="809"/>
      <c r="AN1333" s="809"/>
      <c r="AO1333" s="809"/>
      <c r="AP1333" s="809"/>
      <c r="AQ1333" s="809"/>
      <c r="AR1333" s="809"/>
      <c r="AS1333" s="809"/>
      <c r="AT1333" s="809"/>
      <c r="AU1333" s="809"/>
      <c r="AV1333" s="809"/>
      <c r="AW1333" s="809"/>
      <c r="AX1333" s="809"/>
      <c r="AY1333" s="809"/>
      <c r="AZ1333" s="809"/>
      <c r="BA1333" s="809"/>
      <c r="BB1333" s="809"/>
      <c r="BC1333" s="809"/>
      <c r="BD1333" s="809"/>
      <c r="BE1333" s="809"/>
      <c r="BF1333" s="809"/>
      <c r="BG1333" s="809"/>
      <c r="BH1333" s="809"/>
      <c r="BI1333" s="809"/>
      <c r="BJ1333" s="809"/>
      <c r="BK1333" s="809"/>
      <c r="BL1333" s="809"/>
      <c r="BM1333" s="809"/>
      <c r="BN1333" s="809"/>
    </row>
    <row r="1334" spans="1:66">
      <c r="A1334" s="809"/>
      <c r="B1334" s="809"/>
      <c r="C1334" s="809"/>
      <c r="D1334" s="809"/>
      <c r="E1334" s="809"/>
      <c r="F1334" s="809"/>
      <c r="G1334" s="809"/>
      <c r="H1334" s="809"/>
      <c r="I1334" s="809"/>
      <c r="J1334" s="809"/>
      <c r="K1334" s="809"/>
      <c r="L1334" s="809"/>
      <c r="M1334" s="809"/>
      <c r="N1334" s="809"/>
      <c r="O1334" s="809"/>
      <c r="P1334" s="809"/>
      <c r="Q1334" s="809"/>
      <c r="R1334" s="809"/>
      <c r="S1334" s="809"/>
      <c r="T1334" s="809"/>
      <c r="U1334" s="809"/>
      <c r="V1334" s="809"/>
      <c r="W1334" s="809"/>
      <c r="X1334" s="809"/>
      <c r="Y1334" s="809"/>
      <c r="Z1334" s="809"/>
      <c r="AA1334" s="809"/>
      <c r="AB1334" s="809"/>
      <c r="AC1334" s="809"/>
      <c r="AD1334" s="809"/>
      <c r="AE1334" s="809"/>
      <c r="AF1334" s="809"/>
      <c r="AG1334" s="809"/>
      <c r="AH1334" s="809"/>
      <c r="AI1334" s="809"/>
      <c r="AJ1334" s="809"/>
      <c r="AK1334" s="809"/>
      <c r="AL1334" s="809"/>
      <c r="AM1334" s="809"/>
      <c r="AN1334" s="809"/>
      <c r="AO1334" s="809"/>
      <c r="AP1334" s="809"/>
      <c r="AQ1334" s="809"/>
      <c r="AR1334" s="809"/>
      <c r="AS1334" s="809"/>
      <c r="AT1334" s="809"/>
      <c r="AU1334" s="809"/>
      <c r="AV1334" s="809"/>
      <c r="AW1334" s="809"/>
      <c r="AX1334" s="809"/>
      <c r="AY1334" s="809"/>
      <c r="AZ1334" s="809"/>
      <c r="BA1334" s="809"/>
      <c r="BB1334" s="809"/>
      <c r="BC1334" s="809"/>
      <c r="BD1334" s="809"/>
      <c r="BE1334" s="809"/>
      <c r="BF1334" s="809"/>
      <c r="BG1334" s="809"/>
      <c r="BH1334" s="809"/>
      <c r="BI1334" s="809"/>
      <c r="BJ1334" s="809"/>
      <c r="BK1334" s="809"/>
      <c r="BL1334" s="809"/>
      <c r="BM1334" s="809"/>
      <c r="BN1334" s="809"/>
    </row>
    <row r="1335" spans="1:66">
      <c r="A1335" s="809"/>
      <c r="B1335" s="809"/>
      <c r="C1335" s="809"/>
      <c r="D1335" s="809"/>
      <c r="E1335" s="809"/>
      <c r="F1335" s="809"/>
      <c r="G1335" s="809"/>
      <c r="H1335" s="809"/>
      <c r="I1335" s="809"/>
      <c r="J1335" s="809"/>
      <c r="K1335" s="809"/>
      <c r="L1335" s="809"/>
      <c r="M1335" s="809"/>
      <c r="N1335" s="809"/>
      <c r="O1335" s="809"/>
      <c r="P1335" s="809"/>
      <c r="Q1335" s="809"/>
      <c r="R1335" s="809"/>
      <c r="S1335" s="809"/>
      <c r="T1335" s="809"/>
      <c r="U1335" s="809"/>
      <c r="V1335" s="809"/>
      <c r="W1335" s="809"/>
      <c r="X1335" s="809"/>
      <c r="Y1335" s="809"/>
      <c r="Z1335" s="809"/>
      <c r="AA1335" s="809"/>
      <c r="AB1335" s="809"/>
      <c r="AC1335" s="809"/>
      <c r="AD1335" s="809"/>
      <c r="AE1335" s="809"/>
      <c r="AF1335" s="809"/>
      <c r="AG1335" s="809"/>
      <c r="AH1335" s="809"/>
      <c r="AI1335" s="809"/>
      <c r="AJ1335" s="809"/>
      <c r="AK1335" s="809"/>
      <c r="AL1335" s="809"/>
      <c r="AM1335" s="809"/>
      <c r="AN1335" s="809"/>
      <c r="AO1335" s="809"/>
      <c r="AP1335" s="809"/>
      <c r="AQ1335" s="809"/>
      <c r="AR1335" s="809"/>
      <c r="AS1335" s="809"/>
      <c r="AT1335" s="809"/>
      <c r="AU1335" s="809"/>
      <c r="AV1335" s="809"/>
      <c r="AW1335" s="809"/>
      <c r="AX1335" s="809"/>
      <c r="AY1335" s="809"/>
      <c r="AZ1335" s="809"/>
      <c r="BA1335" s="809"/>
      <c r="BB1335" s="809"/>
      <c r="BC1335" s="809"/>
      <c r="BD1335" s="809"/>
      <c r="BE1335" s="809"/>
      <c r="BF1335" s="809"/>
      <c r="BG1335" s="809"/>
      <c r="BH1335" s="809"/>
      <c r="BI1335" s="809"/>
      <c r="BJ1335" s="809"/>
      <c r="BK1335" s="809"/>
      <c r="BL1335" s="809"/>
      <c r="BM1335" s="809"/>
      <c r="BN1335" s="809"/>
    </row>
    <row r="1336" spans="1:66">
      <c r="A1336" s="809"/>
      <c r="B1336" s="809"/>
      <c r="C1336" s="809"/>
      <c r="D1336" s="809"/>
      <c r="E1336" s="809"/>
      <c r="F1336" s="809"/>
      <c r="G1336" s="809"/>
      <c r="H1336" s="809"/>
      <c r="I1336" s="809"/>
      <c r="J1336" s="809"/>
      <c r="K1336" s="809"/>
      <c r="L1336" s="809"/>
      <c r="M1336" s="809"/>
      <c r="N1336" s="809"/>
      <c r="O1336" s="809"/>
      <c r="P1336" s="809"/>
      <c r="Q1336" s="809"/>
      <c r="R1336" s="809"/>
      <c r="S1336" s="809"/>
      <c r="T1336" s="809"/>
      <c r="U1336" s="809"/>
      <c r="V1336" s="809"/>
      <c r="W1336" s="809"/>
      <c r="X1336" s="809"/>
      <c r="Y1336" s="809"/>
      <c r="Z1336" s="809"/>
      <c r="AA1336" s="809"/>
      <c r="AB1336" s="809"/>
      <c r="AC1336" s="809"/>
      <c r="AD1336" s="809"/>
      <c r="AE1336" s="809"/>
      <c r="AF1336" s="809"/>
      <c r="AG1336" s="809"/>
      <c r="AH1336" s="809"/>
      <c r="AI1336" s="809"/>
      <c r="AJ1336" s="809"/>
      <c r="AK1336" s="809"/>
      <c r="AL1336" s="809"/>
      <c r="AM1336" s="809"/>
      <c r="AN1336" s="809"/>
      <c r="AO1336" s="809"/>
      <c r="AP1336" s="809"/>
      <c r="AQ1336" s="809"/>
      <c r="AR1336" s="809"/>
      <c r="AS1336" s="809"/>
      <c r="AT1336" s="809"/>
      <c r="AU1336" s="809"/>
      <c r="AV1336" s="809"/>
      <c r="AW1336" s="809"/>
      <c r="AX1336" s="809"/>
      <c r="AY1336" s="809"/>
      <c r="AZ1336" s="809"/>
      <c r="BA1336" s="809"/>
      <c r="BB1336" s="809"/>
      <c r="BC1336" s="809"/>
      <c r="BD1336" s="809"/>
      <c r="BE1336" s="809"/>
      <c r="BF1336" s="809"/>
      <c r="BG1336" s="809"/>
      <c r="BH1336" s="809"/>
      <c r="BI1336" s="809"/>
      <c r="BJ1336" s="809"/>
      <c r="BK1336" s="809"/>
      <c r="BL1336" s="809"/>
      <c r="BM1336" s="809"/>
      <c r="BN1336" s="809"/>
    </row>
    <row r="1337" spans="1:66">
      <c r="A1337" s="809"/>
      <c r="B1337" s="809"/>
      <c r="C1337" s="809"/>
      <c r="D1337" s="809"/>
      <c r="E1337" s="809"/>
      <c r="F1337" s="809"/>
      <c r="G1337" s="809"/>
      <c r="H1337" s="809"/>
      <c r="I1337" s="809"/>
      <c r="J1337" s="809"/>
      <c r="K1337" s="809"/>
      <c r="L1337" s="809"/>
      <c r="M1337" s="809"/>
      <c r="N1337" s="809"/>
      <c r="O1337" s="809"/>
      <c r="P1337" s="809"/>
      <c r="Q1337" s="809"/>
      <c r="R1337" s="809"/>
      <c r="S1337" s="809"/>
      <c r="T1337" s="809"/>
      <c r="U1337" s="809"/>
      <c r="V1337" s="809"/>
      <c r="W1337" s="809"/>
      <c r="X1337" s="809"/>
      <c r="Y1337" s="809"/>
      <c r="Z1337" s="809"/>
      <c r="AA1337" s="809"/>
      <c r="AB1337" s="809"/>
      <c r="AC1337" s="809"/>
      <c r="AD1337" s="809"/>
      <c r="AE1337" s="809"/>
      <c r="AF1337" s="809"/>
      <c r="AG1337" s="809"/>
      <c r="AH1337" s="809"/>
      <c r="AI1337" s="809"/>
      <c r="AJ1337" s="809"/>
      <c r="AK1337" s="809"/>
      <c r="AL1337" s="809"/>
      <c r="AM1337" s="809"/>
      <c r="AN1337" s="809"/>
      <c r="AO1337" s="809"/>
      <c r="AP1337" s="809"/>
      <c r="AQ1337" s="809"/>
      <c r="AR1337" s="809"/>
      <c r="AS1337" s="809"/>
      <c r="AT1337" s="809"/>
      <c r="AU1337" s="809"/>
      <c r="AV1337" s="809"/>
      <c r="AW1337" s="809"/>
      <c r="AX1337" s="809"/>
      <c r="AY1337" s="809"/>
      <c r="AZ1337" s="809"/>
      <c r="BA1337" s="809"/>
      <c r="BB1337" s="809"/>
      <c r="BC1337" s="809"/>
      <c r="BD1337" s="809"/>
      <c r="BE1337" s="809"/>
      <c r="BF1337" s="809"/>
      <c r="BG1337" s="809"/>
      <c r="BH1337" s="809"/>
      <c r="BI1337" s="809"/>
      <c r="BJ1337" s="809"/>
      <c r="BK1337" s="809"/>
      <c r="BL1337" s="809"/>
      <c r="BM1337" s="809"/>
      <c r="BN1337" s="809"/>
    </row>
    <row r="1338" spans="1:66">
      <c r="A1338" s="809"/>
      <c r="B1338" s="809"/>
      <c r="C1338" s="809"/>
      <c r="D1338" s="809"/>
      <c r="E1338" s="809"/>
      <c r="F1338" s="809"/>
      <c r="G1338" s="809"/>
      <c r="H1338" s="809"/>
      <c r="I1338" s="809"/>
      <c r="J1338" s="809"/>
      <c r="K1338" s="809"/>
      <c r="L1338" s="809"/>
      <c r="M1338" s="809"/>
      <c r="N1338" s="809"/>
      <c r="O1338" s="809"/>
      <c r="P1338" s="809"/>
      <c r="Q1338" s="809"/>
      <c r="R1338" s="809"/>
      <c r="S1338" s="809"/>
      <c r="T1338" s="809"/>
      <c r="U1338" s="809"/>
      <c r="V1338" s="809"/>
      <c r="W1338" s="809"/>
      <c r="X1338" s="809"/>
      <c r="Y1338" s="809"/>
      <c r="Z1338" s="809"/>
      <c r="AA1338" s="809"/>
      <c r="AB1338" s="809"/>
      <c r="AC1338" s="809"/>
      <c r="AD1338" s="809"/>
      <c r="AE1338" s="809"/>
      <c r="AF1338" s="809"/>
      <c r="AG1338" s="809"/>
      <c r="AH1338" s="809"/>
      <c r="AI1338" s="809"/>
      <c r="AJ1338" s="809"/>
      <c r="AK1338" s="809"/>
      <c r="AL1338" s="809"/>
      <c r="AM1338" s="809"/>
      <c r="AN1338" s="809"/>
      <c r="AO1338" s="809"/>
      <c r="AP1338" s="809"/>
      <c r="AQ1338" s="809"/>
      <c r="AR1338" s="809"/>
      <c r="AS1338" s="809"/>
      <c r="AT1338" s="809"/>
      <c r="AU1338" s="809"/>
      <c r="AV1338" s="809"/>
      <c r="AW1338" s="809"/>
      <c r="AX1338" s="809"/>
      <c r="AY1338" s="809"/>
      <c r="AZ1338" s="809"/>
      <c r="BA1338" s="809"/>
      <c r="BB1338" s="809"/>
      <c r="BC1338" s="809"/>
      <c r="BD1338" s="809"/>
      <c r="BE1338" s="809"/>
      <c r="BF1338" s="809"/>
      <c r="BG1338" s="809"/>
      <c r="BH1338" s="809"/>
      <c r="BI1338" s="809"/>
      <c r="BJ1338" s="809"/>
      <c r="BK1338" s="809"/>
      <c r="BL1338" s="809"/>
      <c r="BM1338" s="809"/>
      <c r="BN1338" s="809"/>
    </row>
    <row r="1339" spans="1:66">
      <c r="A1339" s="809"/>
      <c r="B1339" s="809"/>
      <c r="C1339" s="809"/>
      <c r="D1339" s="809"/>
      <c r="E1339" s="809"/>
      <c r="F1339" s="809"/>
      <c r="G1339" s="809"/>
      <c r="H1339" s="809"/>
      <c r="I1339" s="809"/>
      <c r="J1339" s="809"/>
      <c r="K1339" s="809"/>
      <c r="L1339" s="809"/>
      <c r="M1339" s="809"/>
      <c r="N1339" s="809"/>
      <c r="O1339" s="809"/>
      <c r="P1339" s="809"/>
      <c r="Q1339" s="809"/>
      <c r="R1339" s="809"/>
      <c r="S1339" s="809"/>
      <c r="T1339" s="809"/>
      <c r="U1339" s="809"/>
      <c r="V1339" s="809"/>
      <c r="W1339" s="809"/>
      <c r="X1339" s="809"/>
      <c r="Y1339" s="809"/>
      <c r="Z1339" s="809"/>
      <c r="AA1339" s="809"/>
      <c r="AB1339" s="809"/>
      <c r="AC1339" s="809"/>
      <c r="AD1339" s="809"/>
      <c r="AE1339" s="809"/>
      <c r="AF1339" s="809"/>
      <c r="AG1339" s="809"/>
      <c r="AH1339" s="809"/>
      <c r="AI1339" s="809"/>
      <c r="AJ1339" s="809"/>
      <c r="AK1339" s="809"/>
      <c r="AL1339" s="809"/>
      <c r="AM1339" s="809"/>
      <c r="AN1339" s="809"/>
      <c r="AO1339" s="809"/>
      <c r="AP1339" s="809"/>
      <c r="AQ1339" s="809"/>
      <c r="AR1339" s="809"/>
      <c r="AS1339" s="809"/>
      <c r="AT1339" s="809"/>
      <c r="AU1339" s="809"/>
      <c r="AV1339" s="809"/>
      <c r="AW1339" s="809"/>
      <c r="AX1339" s="809"/>
      <c r="AY1339" s="809"/>
      <c r="AZ1339" s="809"/>
      <c r="BA1339" s="809"/>
      <c r="BB1339" s="809"/>
      <c r="BC1339" s="809"/>
      <c r="BD1339" s="809"/>
      <c r="BE1339" s="809"/>
      <c r="BF1339" s="809"/>
      <c r="BG1339" s="809"/>
      <c r="BH1339" s="809"/>
      <c r="BI1339" s="809"/>
      <c r="BJ1339" s="809"/>
      <c r="BK1339" s="809"/>
      <c r="BL1339" s="809"/>
      <c r="BM1339" s="809"/>
      <c r="BN1339" s="809"/>
    </row>
    <row r="1340" spans="1:66">
      <c r="A1340" s="809"/>
      <c r="B1340" s="809"/>
      <c r="C1340" s="809"/>
      <c r="D1340" s="809"/>
      <c r="E1340" s="809"/>
      <c r="F1340" s="809"/>
      <c r="G1340" s="809"/>
      <c r="H1340" s="809"/>
      <c r="I1340" s="809"/>
      <c r="J1340" s="809"/>
      <c r="K1340" s="809"/>
      <c r="L1340" s="809"/>
      <c r="M1340" s="809"/>
      <c r="N1340" s="809"/>
      <c r="O1340" s="809"/>
      <c r="P1340" s="809"/>
      <c r="Q1340" s="809"/>
      <c r="R1340" s="809"/>
      <c r="S1340" s="809"/>
      <c r="T1340" s="809"/>
      <c r="U1340" s="809"/>
      <c r="V1340" s="809"/>
      <c r="W1340" s="809"/>
      <c r="X1340" s="809"/>
      <c r="Y1340" s="809"/>
      <c r="Z1340" s="809"/>
      <c r="AA1340" s="809"/>
      <c r="AB1340" s="809"/>
      <c r="AC1340" s="809"/>
      <c r="AD1340" s="809"/>
      <c r="AE1340" s="809"/>
      <c r="AF1340" s="809"/>
      <c r="AG1340" s="809"/>
      <c r="AH1340" s="809"/>
      <c r="AI1340" s="809"/>
      <c r="AJ1340" s="809"/>
      <c r="AK1340" s="809"/>
      <c r="AL1340" s="809"/>
      <c r="AM1340" s="809"/>
      <c r="AN1340" s="809"/>
      <c r="AO1340" s="809"/>
      <c r="AP1340" s="809"/>
      <c r="AQ1340" s="809"/>
      <c r="AR1340" s="809"/>
      <c r="AS1340" s="809"/>
      <c r="AT1340" s="809"/>
      <c r="AU1340" s="809"/>
      <c r="AV1340" s="809"/>
      <c r="AW1340" s="809"/>
      <c r="AX1340" s="809"/>
      <c r="AY1340" s="809"/>
      <c r="AZ1340" s="809"/>
      <c r="BA1340" s="809"/>
      <c r="BB1340" s="809"/>
      <c r="BC1340" s="809"/>
      <c r="BD1340" s="809"/>
      <c r="BE1340" s="809"/>
      <c r="BF1340" s="809"/>
      <c r="BG1340" s="809"/>
      <c r="BH1340" s="809"/>
      <c r="BI1340" s="809"/>
      <c r="BJ1340" s="809"/>
      <c r="BK1340" s="809"/>
      <c r="BL1340" s="809"/>
      <c r="BM1340" s="809"/>
      <c r="BN1340" s="809"/>
    </row>
    <row r="1341" spans="1:66">
      <c r="A1341" s="809"/>
      <c r="B1341" s="809"/>
      <c r="C1341" s="809"/>
      <c r="D1341" s="809"/>
      <c r="E1341" s="809"/>
      <c r="F1341" s="809"/>
      <c r="G1341" s="809"/>
      <c r="H1341" s="809"/>
      <c r="I1341" s="809"/>
      <c r="J1341" s="809"/>
      <c r="K1341" s="809"/>
      <c r="L1341" s="809"/>
      <c r="M1341" s="809"/>
      <c r="N1341" s="809"/>
      <c r="O1341" s="809"/>
      <c r="P1341" s="809"/>
      <c r="Q1341" s="809"/>
      <c r="R1341" s="809"/>
      <c r="S1341" s="809"/>
      <c r="T1341" s="809"/>
      <c r="U1341" s="809"/>
      <c r="V1341" s="809"/>
      <c r="W1341" s="809"/>
      <c r="X1341" s="809"/>
      <c r="Y1341" s="809"/>
      <c r="Z1341" s="809"/>
      <c r="AA1341" s="809"/>
      <c r="AB1341" s="809"/>
      <c r="AC1341" s="809"/>
      <c r="AD1341" s="809"/>
      <c r="AE1341" s="809"/>
      <c r="AF1341" s="809"/>
      <c r="AG1341" s="809"/>
      <c r="AH1341" s="809"/>
      <c r="AI1341" s="809"/>
      <c r="AJ1341" s="809"/>
      <c r="AK1341" s="809"/>
      <c r="AL1341" s="809"/>
      <c r="AM1341" s="809"/>
      <c r="AN1341" s="809"/>
      <c r="AO1341" s="809"/>
      <c r="AP1341" s="809"/>
      <c r="AQ1341" s="809"/>
      <c r="AR1341" s="809"/>
      <c r="AS1341" s="809"/>
      <c r="AT1341" s="809"/>
      <c r="AU1341" s="809"/>
      <c r="AV1341" s="809"/>
      <c r="AW1341" s="809"/>
      <c r="AX1341" s="809"/>
      <c r="AY1341" s="809"/>
      <c r="AZ1341" s="809"/>
      <c r="BA1341" s="809"/>
      <c r="BB1341" s="809"/>
      <c r="BC1341" s="809"/>
      <c r="BD1341" s="809"/>
      <c r="BE1341" s="809"/>
      <c r="BF1341" s="809"/>
      <c r="BG1341" s="809"/>
      <c r="BH1341" s="809"/>
      <c r="BI1341" s="809"/>
      <c r="BJ1341" s="809"/>
      <c r="BK1341" s="809"/>
      <c r="BL1341" s="809"/>
      <c r="BM1341" s="809"/>
      <c r="BN1341" s="809"/>
    </row>
    <row r="1342" spans="1:66">
      <c r="A1342" s="809"/>
      <c r="B1342" s="809"/>
      <c r="C1342" s="809"/>
      <c r="D1342" s="809"/>
      <c r="E1342" s="809"/>
      <c r="F1342" s="809"/>
      <c r="G1342" s="809"/>
      <c r="H1342" s="809"/>
      <c r="I1342" s="809"/>
      <c r="J1342" s="809"/>
      <c r="K1342" s="809"/>
      <c r="L1342" s="809"/>
      <c r="M1342" s="809"/>
      <c r="N1342" s="809"/>
      <c r="O1342" s="809"/>
      <c r="P1342" s="809"/>
      <c r="Q1342" s="809"/>
      <c r="R1342" s="809"/>
      <c r="S1342" s="809"/>
      <c r="T1342" s="809"/>
      <c r="U1342" s="809"/>
      <c r="V1342" s="809"/>
      <c r="W1342" s="809"/>
      <c r="X1342" s="809"/>
      <c r="Y1342" s="809"/>
      <c r="Z1342" s="809"/>
      <c r="AA1342" s="809"/>
      <c r="AB1342" s="809"/>
      <c r="AC1342" s="809"/>
      <c r="AD1342" s="809"/>
      <c r="AE1342" s="809"/>
      <c r="AF1342" s="809"/>
      <c r="AG1342" s="809"/>
      <c r="AH1342" s="809"/>
      <c r="AI1342" s="809"/>
      <c r="AJ1342" s="809"/>
      <c r="AK1342" s="809"/>
      <c r="AL1342" s="809"/>
      <c r="AM1342" s="809"/>
      <c r="AN1342" s="809"/>
      <c r="AO1342" s="809"/>
      <c r="AP1342" s="809"/>
      <c r="AQ1342" s="809"/>
      <c r="AR1342" s="809"/>
      <c r="AS1342" s="809"/>
      <c r="AT1342" s="809"/>
      <c r="AU1342" s="809"/>
      <c r="AV1342" s="809"/>
      <c r="AW1342" s="809"/>
      <c r="AX1342" s="809"/>
      <c r="AY1342" s="809"/>
      <c r="AZ1342" s="809"/>
      <c r="BA1342" s="809"/>
      <c r="BB1342" s="809"/>
      <c r="BC1342" s="809"/>
      <c r="BD1342" s="809"/>
      <c r="BE1342" s="809"/>
      <c r="BF1342" s="809"/>
      <c r="BG1342" s="809"/>
      <c r="BH1342" s="809"/>
      <c r="BI1342" s="809"/>
      <c r="BJ1342" s="809"/>
      <c r="BK1342" s="809"/>
      <c r="BL1342" s="809"/>
      <c r="BM1342" s="809"/>
      <c r="BN1342" s="809"/>
    </row>
    <row r="1343" spans="1:66">
      <c r="A1343" s="809"/>
      <c r="B1343" s="809"/>
      <c r="C1343" s="809"/>
      <c r="D1343" s="809"/>
      <c r="E1343" s="809"/>
      <c r="F1343" s="809"/>
      <c r="G1343" s="809"/>
      <c r="H1343" s="809"/>
      <c r="I1343" s="809"/>
      <c r="J1343" s="809"/>
      <c r="K1343" s="809"/>
      <c r="L1343" s="809"/>
      <c r="M1343" s="809"/>
      <c r="N1343" s="809"/>
      <c r="O1343" s="809"/>
      <c r="P1343" s="809"/>
      <c r="Q1343" s="809"/>
      <c r="R1343" s="809"/>
      <c r="S1343" s="809"/>
      <c r="T1343" s="809"/>
      <c r="U1343" s="809"/>
      <c r="V1343" s="809"/>
      <c r="W1343" s="809"/>
      <c r="X1343" s="809"/>
      <c r="Y1343" s="809"/>
      <c r="Z1343" s="809"/>
      <c r="AA1343" s="809"/>
      <c r="AB1343" s="809"/>
      <c r="AC1343" s="809"/>
      <c r="AD1343" s="809"/>
      <c r="AE1343" s="809"/>
      <c r="AF1343" s="809"/>
      <c r="AG1343" s="809"/>
      <c r="AH1343" s="809"/>
      <c r="AI1343" s="809"/>
      <c r="AJ1343" s="809"/>
      <c r="AK1343" s="809"/>
      <c r="AL1343" s="809"/>
      <c r="AM1343" s="809"/>
      <c r="AN1343" s="809"/>
      <c r="AO1343" s="809"/>
      <c r="AP1343" s="809"/>
      <c r="AQ1343" s="809"/>
      <c r="AR1343" s="809"/>
      <c r="AS1343" s="809"/>
      <c r="AT1343" s="809"/>
      <c r="AU1343" s="809"/>
      <c r="AV1343" s="809"/>
      <c r="AW1343" s="809"/>
      <c r="AX1343" s="809"/>
      <c r="AY1343" s="809"/>
      <c r="AZ1343" s="809"/>
      <c r="BA1343" s="809"/>
      <c r="BB1343" s="809"/>
      <c r="BC1343" s="809"/>
      <c r="BD1343" s="809"/>
      <c r="BE1343" s="809"/>
      <c r="BF1343" s="809"/>
      <c r="BG1343" s="809"/>
      <c r="BH1343" s="809"/>
      <c r="BI1343" s="809"/>
      <c r="BJ1343" s="809"/>
      <c r="BK1343" s="809"/>
      <c r="BL1343" s="809"/>
      <c r="BM1343" s="809"/>
      <c r="BN1343" s="809"/>
    </row>
    <row r="1344" spans="1:66">
      <c r="A1344" s="809"/>
      <c r="B1344" s="809"/>
      <c r="C1344" s="809"/>
      <c r="D1344" s="809"/>
      <c r="E1344" s="809"/>
      <c r="F1344" s="809"/>
      <c r="G1344" s="809"/>
      <c r="H1344" s="809"/>
      <c r="I1344" s="809"/>
      <c r="J1344" s="809"/>
      <c r="K1344" s="809"/>
      <c r="L1344" s="809"/>
      <c r="M1344" s="809"/>
      <c r="N1344" s="809"/>
      <c r="O1344" s="809"/>
      <c r="P1344" s="809"/>
      <c r="Q1344" s="809"/>
      <c r="R1344" s="809"/>
      <c r="S1344" s="809"/>
      <c r="T1344" s="809"/>
      <c r="U1344" s="809"/>
      <c r="V1344" s="809"/>
      <c r="W1344" s="809"/>
      <c r="X1344" s="809"/>
      <c r="Y1344" s="809"/>
      <c r="Z1344" s="809"/>
      <c r="AA1344" s="809"/>
      <c r="AB1344" s="809"/>
      <c r="AC1344" s="809"/>
      <c r="AD1344" s="809"/>
      <c r="AE1344" s="809"/>
      <c r="AF1344" s="809"/>
      <c r="AG1344" s="809"/>
      <c r="AH1344" s="809"/>
      <c r="AI1344" s="809"/>
      <c r="AJ1344" s="809"/>
      <c r="AK1344" s="809"/>
      <c r="AL1344" s="809"/>
      <c r="AM1344" s="809"/>
      <c r="AN1344" s="809"/>
      <c r="AO1344" s="809"/>
      <c r="AP1344" s="809"/>
      <c r="AQ1344" s="809"/>
      <c r="AR1344" s="809"/>
      <c r="AS1344" s="809"/>
      <c r="AT1344" s="809"/>
      <c r="AU1344" s="809"/>
      <c r="AV1344" s="809"/>
      <c r="AW1344" s="809"/>
      <c r="AX1344" s="809"/>
      <c r="AY1344" s="809"/>
      <c r="AZ1344" s="809"/>
      <c r="BA1344" s="809"/>
      <c r="BB1344" s="809"/>
      <c r="BC1344" s="809"/>
      <c r="BD1344" s="809"/>
      <c r="BE1344" s="809"/>
      <c r="BF1344" s="809"/>
      <c r="BG1344" s="809"/>
      <c r="BH1344" s="809"/>
      <c r="BI1344" s="809"/>
      <c r="BJ1344" s="809"/>
      <c r="BK1344" s="809"/>
      <c r="BL1344" s="809"/>
      <c r="BM1344" s="809"/>
      <c r="BN1344" s="809"/>
    </row>
    <row r="1345" spans="1:66">
      <c r="A1345" s="809"/>
      <c r="B1345" s="809"/>
      <c r="C1345" s="809"/>
      <c r="D1345" s="809"/>
      <c r="E1345" s="809"/>
      <c r="F1345" s="809"/>
      <c r="G1345" s="809"/>
      <c r="H1345" s="809"/>
      <c r="I1345" s="809"/>
      <c r="J1345" s="809"/>
      <c r="K1345" s="809"/>
      <c r="L1345" s="809"/>
      <c r="M1345" s="809"/>
      <c r="N1345" s="809"/>
      <c r="O1345" s="809"/>
      <c r="P1345" s="809"/>
      <c r="Q1345" s="809"/>
      <c r="R1345" s="809"/>
      <c r="S1345" s="809"/>
      <c r="T1345" s="809"/>
      <c r="U1345" s="809"/>
      <c r="V1345" s="809"/>
      <c r="W1345" s="809"/>
      <c r="X1345" s="809"/>
      <c r="Y1345" s="809"/>
      <c r="Z1345" s="809"/>
      <c r="AA1345" s="809"/>
      <c r="AB1345" s="809"/>
      <c r="AC1345" s="809"/>
      <c r="AD1345" s="809"/>
      <c r="AE1345" s="809"/>
      <c r="AF1345" s="809"/>
      <c r="AG1345" s="809"/>
      <c r="AH1345" s="809"/>
      <c r="AI1345" s="809"/>
      <c r="AJ1345" s="809"/>
      <c r="AK1345" s="809"/>
      <c r="AL1345" s="809"/>
      <c r="AM1345" s="809"/>
      <c r="AN1345" s="809"/>
      <c r="AO1345" s="809"/>
      <c r="AP1345" s="809"/>
      <c r="AQ1345" s="809"/>
      <c r="AR1345" s="809"/>
      <c r="AS1345" s="809"/>
      <c r="AT1345" s="809"/>
      <c r="AU1345" s="809"/>
      <c r="AV1345" s="809"/>
      <c r="AW1345" s="809"/>
      <c r="AX1345" s="809"/>
      <c r="AY1345" s="809"/>
      <c r="AZ1345" s="809"/>
      <c r="BA1345" s="809"/>
      <c r="BB1345" s="809"/>
      <c r="BC1345" s="809"/>
      <c r="BD1345" s="809"/>
      <c r="BE1345" s="809"/>
      <c r="BF1345" s="809"/>
      <c r="BG1345" s="809"/>
      <c r="BH1345" s="809"/>
      <c r="BI1345" s="809"/>
      <c r="BJ1345" s="809"/>
      <c r="BK1345" s="809"/>
      <c r="BL1345" s="809"/>
      <c r="BM1345" s="809"/>
      <c r="BN1345" s="809"/>
    </row>
    <row r="1346" spans="1:66">
      <c r="A1346" s="809"/>
      <c r="B1346" s="809"/>
      <c r="C1346" s="809"/>
      <c r="D1346" s="809"/>
      <c r="E1346" s="809"/>
      <c r="F1346" s="809"/>
      <c r="G1346" s="809"/>
      <c r="H1346" s="809"/>
      <c r="I1346" s="809"/>
      <c r="J1346" s="809"/>
      <c r="K1346" s="809"/>
      <c r="L1346" s="809"/>
      <c r="M1346" s="809"/>
      <c r="N1346" s="809"/>
      <c r="O1346" s="809"/>
      <c r="P1346" s="809"/>
      <c r="Q1346" s="809"/>
      <c r="R1346" s="809"/>
      <c r="S1346" s="809"/>
      <c r="T1346" s="809"/>
      <c r="U1346" s="809"/>
      <c r="V1346" s="809"/>
      <c r="W1346" s="809"/>
      <c r="X1346" s="809"/>
      <c r="Y1346" s="809"/>
      <c r="Z1346" s="809"/>
      <c r="AA1346" s="809"/>
      <c r="AB1346" s="809"/>
      <c r="AC1346" s="809"/>
      <c r="AD1346" s="809"/>
      <c r="AE1346" s="809"/>
      <c r="AF1346" s="809"/>
      <c r="AG1346" s="809"/>
      <c r="AH1346" s="809"/>
      <c r="AI1346" s="809"/>
      <c r="AJ1346" s="809"/>
      <c r="AK1346" s="809"/>
      <c r="AL1346" s="809"/>
      <c r="AM1346" s="809"/>
      <c r="AN1346" s="809"/>
      <c r="AO1346" s="809"/>
      <c r="AP1346" s="809"/>
      <c r="AQ1346" s="809"/>
      <c r="AR1346" s="809"/>
      <c r="AS1346" s="809"/>
      <c r="AT1346" s="809"/>
      <c r="AU1346" s="809"/>
      <c r="AV1346" s="809"/>
      <c r="AW1346" s="809"/>
      <c r="AX1346" s="809"/>
      <c r="AY1346" s="809"/>
      <c r="AZ1346" s="809"/>
      <c r="BA1346" s="809"/>
      <c r="BB1346" s="809"/>
      <c r="BC1346" s="809"/>
      <c r="BD1346" s="809"/>
      <c r="BE1346" s="809"/>
      <c r="BF1346" s="809"/>
      <c r="BG1346" s="809"/>
      <c r="BH1346" s="809"/>
      <c r="BI1346" s="809"/>
      <c r="BJ1346" s="809"/>
      <c r="BK1346" s="809"/>
      <c r="BL1346" s="809"/>
      <c r="BM1346" s="809"/>
      <c r="BN1346" s="809"/>
    </row>
    <row r="1347" spans="1:66">
      <c r="A1347" s="809"/>
      <c r="B1347" s="809"/>
      <c r="C1347" s="809"/>
      <c r="D1347" s="809"/>
      <c r="E1347" s="809"/>
      <c r="F1347" s="809"/>
      <c r="G1347" s="809"/>
      <c r="H1347" s="809"/>
      <c r="I1347" s="809"/>
      <c r="J1347" s="809"/>
      <c r="K1347" s="809"/>
      <c r="L1347" s="809"/>
      <c r="M1347" s="809"/>
      <c r="N1347" s="809"/>
      <c r="O1347" s="809"/>
      <c r="P1347" s="809"/>
      <c r="Q1347" s="809"/>
      <c r="R1347" s="809"/>
      <c r="S1347" s="809"/>
      <c r="T1347" s="809"/>
      <c r="U1347" s="809"/>
      <c r="V1347" s="809"/>
      <c r="W1347" s="809"/>
      <c r="X1347" s="809"/>
      <c r="Y1347" s="809"/>
      <c r="Z1347" s="809"/>
      <c r="AA1347" s="809"/>
      <c r="AB1347" s="809"/>
      <c r="AC1347" s="809"/>
      <c r="AD1347" s="809"/>
      <c r="AE1347" s="809"/>
      <c r="AF1347" s="809"/>
      <c r="AG1347" s="809"/>
      <c r="AH1347" s="809"/>
      <c r="AI1347" s="809"/>
      <c r="AJ1347" s="809"/>
      <c r="AK1347" s="809"/>
      <c r="AL1347" s="809"/>
      <c r="AM1347" s="809"/>
      <c r="AN1347" s="809"/>
      <c r="AO1347" s="809"/>
      <c r="AP1347" s="809"/>
      <c r="AQ1347" s="809"/>
      <c r="AR1347" s="809"/>
      <c r="AS1347" s="809"/>
      <c r="AT1347" s="809"/>
      <c r="AU1347" s="809"/>
      <c r="AV1347" s="809"/>
      <c r="AW1347" s="809"/>
      <c r="AX1347" s="809"/>
      <c r="AY1347" s="809"/>
      <c r="AZ1347" s="809"/>
      <c r="BA1347" s="809"/>
      <c r="BB1347" s="809"/>
      <c r="BC1347" s="809"/>
      <c r="BD1347" s="809"/>
      <c r="BE1347" s="809"/>
      <c r="BF1347" s="809"/>
      <c r="BG1347" s="809"/>
      <c r="BH1347" s="809"/>
      <c r="BI1347" s="809"/>
      <c r="BJ1347" s="809"/>
      <c r="BK1347" s="809"/>
      <c r="BL1347" s="809"/>
      <c r="BM1347" s="809"/>
      <c r="BN1347" s="809"/>
    </row>
    <row r="1348" spans="1:66">
      <c r="A1348" s="809"/>
      <c r="B1348" s="809"/>
      <c r="C1348" s="809"/>
      <c r="D1348" s="809"/>
      <c r="E1348" s="809"/>
      <c r="F1348" s="809"/>
      <c r="G1348" s="809"/>
      <c r="H1348" s="809"/>
      <c r="I1348" s="809"/>
      <c r="J1348" s="809"/>
      <c r="K1348" s="809"/>
      <c r="L1348" s="809"/>
      <c r="M1348" s="809"/>
      <c r="N1348" s="809"/>
      <c r="O1348" s="809"/>
      <c r="P1348" s="809"/>
      <c r="Q1348" s="809"/>
      <c r="R1348" s="809"/>
      <c r="S1348" s="809"/>
      <c r="T1348" s="809"/>
      <c r="U1348" s="809"/>
      <c r="V1348" s="809"/>
      <c r="W1348" s="809"/>
      <c r="X1348" s="809"/>
      <c r="Y1348" s="809"/>
      <c r="Z1348" s="809"/>
      <c r="AA1348" s="809"/>
      <c r="AB1348" s="809"/>
      <c r="AC1348" s="809"/>
      <c r="AD1348" s="809"/>
      <c r="AE1348" s="809"/>
      <c r="AF1348" s="809"/>
      <c r="AG1348" s="809"/>
      <c r="AH1348" s="809"/>
      <c r="AI1348" s="809"/>
      <c r="AJ1348" s="809"/>
      <c r="AK1348" s="809"/>
      <c r="AL1348" s="809"/>
      <c r="AM1348" s="809"/>
      <c r="AN1348" s="809"/>
      <c r="AO1348" s="809"/>
      <c r="AP1348" s="809"/>
      <c r="AQ1348" s="809"/>
      <c r="AR1348" s="809"/>
      <c r="AS1348" s="809"/>
      <c r="AT1348" s="809"/>
      <c r="AU1348" s="809"/>
      <c r="AV1348" s="809"/>
      <c r="AW1348" s="809"/>
      <c r="AX1348" s="809"/>
      <c r="AY1348" s="809"/>
      <c r="AZ1348" s="809"/>
      <c r="BA1348" s="809"/>
      <c r="BB1348" s="809"/>
      <c r="BC1348" s="809"/>
      <c r="BD1348" s="809"/>
      <c r="BE1348" s="809"/>
      <c r="BF1348" s="809"/>
      <c r="BG1348" s="809"/>
      <c r="BH1348" s="809"/>
      <c r="BI1348" s="809"/>
      <c r="BJ1348" s="809"/>
      <c r="BK1348" s="809"/>
      <c r="BL1348" s="809"/>
      <c r="BM1348" s="809"/>
      <c r="BN1348" s="809"/>
    </row>
    <row r="1349" spans="1:66">
      <c r="A1349" s="809"/>
      <c r="B1349" s="809"/>
      <c r="C1349" s="809"/>
      <c r="D1349" s="809"/>
      <c r="E1349" s="809"/>
      <c r="F1349" s="809"/>
      <c r="G1349" s="809"/>
      <c r="H1349" s="809"/>
      <c r="I1349" s="809"/>
      <c r="J1349" s="809"/>
      <c r="K1349" s="809"/>
      <c r="L1349" s="809"/>
      <c r="M1349" s="809"/>
      <c r="N1349" s="809"/>
      <c r="O1349" s="809"/>
      <c r="P1349" s="809"/>
      <c r="Q1349" s="809"/>
      <c r="R1349" s="809"/>
      <c r="S1349" s="809"/>
      <c r="T1349" s="809"/>
      <c r="U1349" s="809"/>
      <c r="V1349" s="809"/>
      <c r="W1349" s="809"/>
      <c r="X1349" s="809"/>
      <c r="Y1349" s="809"/>
      <c r="Z1349" s="809"/>
      <c r="AA1349" s="809"/>
      <c r="AB1349" s="809"/>
      <c r="AC1349" s="809"/>
      <c r="AD1349" s="809"/>
      <c r="AE1349" s="809"/>
      <c r="AF1349" s="809"/>
      <c r="AG1349" s="809"/>
      <c r="AH1349" s="809"/>
      <c r="AI1349" s="809"/>
      <c r="AJ1349" s="809"/>
      <c r="AK1349" s="809"/>
      <c r="AL1349" s="809"/>
      <c r="AM1349" s="809"/>
      <c r="AN1349" s="809"/>
      <c r="AO1349" s="809"/>
      <c r="AP1349" s="809"/>
      <c r="AQ1349" s="809"/>
      <c r="AR1349" s="809"/>
      <c r="AS1349" s="809"/>
      <c r="AT1349" s="809"/>
      <c r="AU1349" s="809"/>
      <c r="AV1349" s="809"/>
      <c r="AW1349" s="809"/>
      <c r="AX1349" s="809"/>
      <c r="AY1349" s="809"/>
      <c r="AZ1349" s="809"/>
      <c r="BA1349" s="809"/>
      <c r="BB1349" s="809"/>
      <c r="BC1349" s="809"/>
      <c r="BD1349" s="809"/>
      <c r="BE1349" s="809"/>
      <c r="BF1349" s="809"/>
      <c r="BG1349" s="809"/>
      <c r="BH1349" s="809"/>
      <c r="BI1349" s="809"/>
      <c r="BJ1349" s="809"/>
      <c r="BK1349" s="809"/>
      <c r="BL1349" s="809"/>
      <c r="BM1349" s="809"/>
      <c r="BN1349" s="809"/>
    </row>
    <row r="1350" spans="1:66">
      <c r="A1350" s="809"/>
      <c r="B1350" s="809"/>
      <c r="C1350" s="809"/>
      <c r="D1350" s="809"/>
      <c r="E1350" s="809"/>
      <c r="F1350" s="809"/>
      <c r="G1350" s="809"/>
      <c r="H1350" s="809"/>
      <c r="I1350" s="809"/>
      <c r="J1350" s="809"/>
      <c r="K1350" s="809"/>
      <c r="L1350" s="809"/>
      <c r="M1350" s="809"/>
      <c r="N1350" s="809"/>
      <c r="O1350" s="809"/>
      <c r="P1350" s="809"/>
      <c r="Q1350" s="809"/>
      <c r="R1350" s="809"/>
      <c r="S1350" s="809"/>
      <c r="T1350" s="809"/>
      <c r="U1350" s="809"/>
      <c r="V1350" s="809"/>
      <c r="W1350" s="809"/>
      <c r="X1350" s="809"/>
      <c r="Y1350" s="809"/>
      <c r="Z1350" s="809"/>
      <c r="AA1350" s="809"/>
      <c r="AB1350" s="809"/>
      <c r="AC1350" s="809"/>
      <c r="AD1350" s="809"/>
      <c r="AE1350" s="809"/>
      <c r="AF1350" s="809"/>
      <c r="AG1350" s="809"/>
      <c r="AH1350" s="809"/>
      <c r="AI1350" s="809"/>
      <c r="AJ1350" s="809"/>
      <c r="AK1350" s="809"/>
      <c r="AL1350" s="809"/>
      <c r="AM1350" s="809"/>
      <c r="AN1350" s="809"/>
      <c r="AO1350" s="809"/>
      <c r="AP1350" s="809"/>
      <c r="AQ1350" s="809"/>
      <c r="AR1350" s="809"/>
      <c r="AS1350" s="809"/>
      <c r="AT1350" s="809"/>
      <c r="AU1350" s="809"/>
      <c r="AV1350" s="809"/>
      <c r="AW1350" s="809"/>
      <c r="AX1350" s="809"/>
      <c r="AY1350" s="809"/>
      <c r="AZ1350" s="809"/>
      <c r="BA1350" s="809"/>
      <c r="BB1350" s="809"/>
      <c r="BC1350" s="809"/>
      <c r="BD1350" s="809"/>
      <c r="BE1350" s="809"/>
      <c r="BF1350" s="809"/>
      <c r="BG1350" s="809"/>
      <c r="BH1350" s="809"/>
      <c r="BI1350" s="809"/>
      <c r="BJ1350" s="809"/>
      <c r="BK1350" s="809"/>
      <c r="BL1350" s="809"/>
      <c r="BM1350" s="809"/>
      <c r="BN1350" s="809"/>
    </row>
    <row r="1351" spans="1:66">
      <c r="A1351" s="809"/>
      <c r="B1351" s="809"/>
      <c r="C1351" s="809"/>
      <c r="D1351" s="809"/>
      <c r="E1351" s="809"/>
      <c r="F1351" s="809"/>
      <c r="G1351" s="809"/>
      <c r="H1351" s="809"/>
      <c r="I1351" s="809"/>
      <c r="J1351" s="809"/>
      <c r="K1351" s="809"/>
      <c r="L1351" s="809"/>
      <c r="M1351" s="809"/>
      <c r="N1351" s="809"/>
      <c r="O1351" s="809"/>
      <c r="P1351" s="809"/>
      <c r="Q1351" s="809"/>
      <c r="R1351" s="809"/>
      <c r="S1351" s="809"/>
      <c r="T1351" s="809"/>
      <c r="U1351" s="809"/>
      <c r="V1351" s="809"/>
      <c r="W1351" s="809"/>
      <c r="X1351" s="809"/>
      <c r="Y1351" s="809"/>
      <c r="Z1351" s="809"/>
      <c r="AA1351" s="809"/>
      <c r="AB1351" s="809"/>
      <c r="AC1351" s="809"/>
      <c r="AD1351" s="809"/>
      <c r="AE1351" s="809"/>
      <c r="AF1351" s="809"/>
      <c r="AG1351" s="809"/>
      <c r="AH1351" s="809"/>
      <c r="AI1351" s="809"/>
      <c r="AJ1351" s="809"/>
      <c r="AK1351" s="809"/>
      <c r="AL1351" s="809"/>
      <c r="AM1351" s="809"/>
      <c r="AN1351" s="809"/>
      <c r="AO1351" s="809"/>
      <c r="AP1351" s="809"/>
      <c r="AQ1351" s="809"/>
      <c r="AR1351" s="809"/>
      <c r="AS1351" s="809"/>
      <c r="AT1351" s="809"/>
      <c r="AU1351" s="809"/>
      <c r="AV1351" s="809"/>
      <c r="AW1351" s="809"/>
      <c r="AX1351" s="809"/>
      <c r="AY1351" s="809"/>
      <c r="AZ1351" s="809"/>
      <c r="BA1351" s="809"/>
      <c r="BB1351" s="809"/>
      <c r="BC1351" s="809"/>
      <c r="BD1351" s="809"/>
      <c r="BE1351" s="809"/>
      <c r="BF1351" s="809"/>
      <c r="BG1351" s="809"/>
      <c r="BH1351" s="809"/>
      <c r="BI1351" s="809"/>
      <c r="BJ1351" s="809"/>
      <c r="BK1351" s="809"/>
      <c r="BL1351" s="809"/>
      <c r="BM1351" s="809"/>
      <c r="BN1351" s="809"/>
    </row>
    <row r="1352" spans="1:66">
      <c r="A1352" s="809"/>
      <c r="B1352" s="809"/>
      <c r="C1352" s="809"/>
      <c r="D1352" s="809"/>
      <c r="E1352" s="809"/>
      <c r="F1352" s="809"/>
      <c r="G1352" s="809"/>
      <c r="H1352" s="809"/>
      <c r="I1352" s="809"/>
      <c r="J1352" s="809"/>
      <c r="K1352" s="809"/>
      <c r="L1352" s="809"/>
      <c r="M1352" s="809"/>
      <c r="N1352" s="809"/>
      <c r="O1352" s="809"/>
      <c r="P1352" s="809"/>
      <c r="Q1352" s="809"/>
      <c r="R1352" s="809"/>
      <c r="S1352" s="809"/>
      <c r="T1352" s="809"/>
      <c r="U1352" s="809"/>
      <c r="V1352" s="809"/>
      <c r="W1352" s="809"/>
      <c r="X1352" s="809"/>
      <c r="Y1352" s="809"/>
      <c r="Z1352" s="809"/>
      <c r="AA1352" s="809"/>
      <c r="AB1352" s="809"/>
      <c r="AC1352" s="809"/>
      <c r="AD1352" s="809"/>
      <c r="AE1352" s="809"/>
      <c r="AF1352" s="809"/>
      <c r="AG1352" s="809"/>
      <c r="AH1352" s="809"/>
      <c r="AI1352" s="809"/>
      <c r="AJ1352" s="809"/>
      <c r="AK1352" s="809"/>
      <c r="AL1352" s="809"/>
      <c r="AM1352" s="809"/>
      <c r="AN1352" s="809"/>
      <c r="AO1352" s="809"/>
      <c r="AP1352" s="809"/>
      <c r="AQ1352" s="809"/>
      <c r="AR1352" s="809"/>
      <c r="AS1352" s="809"/>
      <c r="AT1352" s="809"/>
      <c r="AU1352" s="809"/>
      <c r="AV1352" s="809"/>
      <c r="AW1352" s="809"/>
      <c r="AX1352" s="809"/>
      <c r="AY1352" s="809"/>
      <c r="AZ1352" s="809"/>
      <c r="BA1352" s="809"/>
      <c r="BB1352" s="809"/>
      <c r="BC1352" s="809"/>
      <c r="BD1352" s="809"/>
      <c r="BE1352" s="809"/>
      <c r="BF1352" s="809"/>
      <c r="BG1352" s="809"/>
      <c r="BH1352" s="809"/>
      <c r="BI1352" s="809"/>
      <c r="BJ1352" s="809"/>
      <c r="BK1352" s="809"/>
      <c r="BL1352" s="809"/>
      <c r="BM1352" s="809"/>
      <c r="BN1352" s="809"/>
    </row>
    <row r="1353" spans="1:66">
      <c r="A1353" s="809"/>
      <c r="B1353" s="809"/>
      <c r="C1353" s="809"/>
      <c r="D1353" s="809"/>
      <c r="E1353" s="809"/>
      <c r="F1353" s="809"/>
      <c r="G1353" s="809"/>
      <c r="H1353" s="809"/>
      <c r="I1353" s="809"/>
      <c r="J1353" s="809"/>
      <c r="K1353" s="809"/>
      <c r="L1353" s="809"/>
      <c r="M1353" s="809"/>
      <c r="N1353" s="809"/>
      <c r="O1353" s="809"/>
      <c r="P1353" s="809"/>
      <c r="Q1353" s="809"/>
      <c r="R1353" s="809"/>
      <c r="S1353" s="809"/>
      <c r="T1353" s="809"/>
      <c r="U1353" s="809"/>
      <c r="V1353" s="809"/>
      <c r="W1353" s="809"/>
      <c r="X1353" s="809"/>
      <c r="Y1353" s="809"/>
      <c r="Z1353" s="809"/>
      <c r="AA1353" s="809"/>
      <c r="AB1353" s="809"/>
      <c r="AC1353" s="809"/>
      <c r="AD1353" s="809"/>
      <c r="AE1353" s="809"/>
      <c r="AF1353" s="809"/>
      <c r="AG1353" s="809"/>
      <c r="AH1353" s="809"/>
      <c r="AI1353" s="809"/>
      <c r="AJ1353" s="809"/>
      <c r="AK1353" s="809"/>
      <c r="AL1353" s="809"/>
      <c r="AM1353" s="809"/>
      <c r="AN1353" s="809"/>
      <c r="AO1353" s="809"/>
      <c r="AP1353" s="809"/>
      <c r="AQ1353" s="809"/>
      <c r="AR1353" s="809"/>
      <c r="AS1353" s="809"/>
      <c r="AT1353" s="809"/>
      <c r="AU1353" s="809"/>
      <c r="AV1353" s="809"/>
      <c r="AW1353" s="809"/>
      <c r="AX1353" s="809"/>
      <c r="AY1353" s="809"/>
      <c r="AZ1353" s="809"/>
      <c r="BA1353" s="809"/>
      <c r="BB1353" s="809"/>
      <c r="BC1353" s="809"/>
      <c r="BD1353" s="809"/>
      <c r="BE1353" s="809"/>
      <c r="BF1353" s="809"/>
      <c r="BG1353" s="809"/>
      <c r="BH1353" s="809"/>
      <c r="BI1353" s="809"/>
      <c r="BJ1353" s="809"/>
      <c r="BK1353" s="809"/>
      <c r="BL1353" s="809"/>
      <c r="BM1353" s="809"/>
      <c r="BN1353" s="809"/>
    </row>
    <row r="1354" spans="1:66">
      <c r="A1354" s="809"/>
      <c r="B1354" s="809"/>
      <c r="C1354" s="809"/>
      <c r="D1354" s="809"/>
      <c r="E1354" s="809"/>
      <c r="F1354" s="809"/>
      <c r="G1354" s="809"/>
      <c r="H1354" s="809"/>
      <c r="I1354" s="809"/>
      <c r="J1354" s="809"/>
      <c r="K1354" s="809"/>
      <c r="L1354" s="809"/>
      <c r="M1354" s="809"/>
      <c r="N1354" s="809"/>
      <c r="O1354" s="809"/>
      <c r="P1354" s="809"/>
      <c r="Q1354" s="809"/>
      <c r="R1354" s="809"/>
      <c r="S1354" s="809"/>
      <c r="T1354" s="809"/>
      <c r="U1354" s="809"/>
      <c r="V1354" s="809"/>
      <c r="W1354" s="809"/>
      <c r="X1354" s="809"/>
      <c r="Y1354" s="809"/>
      <c r="Z1354" s="809"/>
      <c r="AA1354" s="809"/>
      <c r="AB1354" s="809"/>
      <c r="AC1354" s="809"/>
      <c r="AD1354" s="809"/>
      <c r="AE1354" s="809"/>
      <c r="AF1354" s="809"/>
      <c r="AG1354" s="809"/>
      <c r="AH1354" s="809"/>
      <c r="AI1354" s="809"/>
      <c r="AJ1354" s="809"/>
      <c r="AK1354" s="809"/>
      <c r="AL1354" s="809"/>
      <c r="AM1354" s="809"/>
      <c r="AN1354" s="809"/>
      <c r="AO1354" s="809"/>
      <c r="AP1354" s="809"/>
      <c r="AQ1354" s="809"/>
      <c r="AR1354" s="809"/>
      <c r="AS1354" s="809"/>
      <c r="AT1354" s="809"/>
      <c r="AU1354" s="809"/>
      <c r="AV1354" s="809"/>
      <c r="AW1354" s="809"/>
      <c r="AX1354" s="809"/>
      <c r="AY1354" s="809"/>
      <c r="AZ1354" s="809"/>
      <c r="BA1354" s="809"/>
      <c r="BB1354" s="809"/>
      <c r="BC1354" s="809"/>
      <c r="BD1354" s="809"/>
      <c r="BE1354" s="809"/>
      <c r="BF1354" s="809"/>
      <c r="BG1354" s="809"/>
      <c r="BH1354" s="809"/>
      <c r="BI1354" s="809"/>
      <c r="BJ1354" s="809"/>
      <c r="BK1354" s="809"/>
      <c r="BL1354" s="809"/>
      <c r="BM1354" s="809"/>
      <c r="BN1354" s="809"/>
    </row>
    <row r="1355" spans="1:66">
      <c r="A1355" s="809"/>
      <c r="B1355" s="809"/>
      <c r="C1355" s="809"/>
      <c r="D1355" s="809"/>
      <c r="E1355" s="809"/>
      <c r="F1355" s="809"/>
      <c r="G1355" s="809"/>
      <c r="H1355" s="809"/>
      <c r="I1355" s="809"/>
      <c r="J1355" s="809"/>
      <c r="K1355" s="809"/>
      <c r="L1355" s="809"/>
      <c r="M1355" s="809"/>
      <c r="N1355" s="809"/>
      <c r="O1355" s="809"/>
      <c r="P1355" s="809"/>
      <c r="Q1355" s="809"/>
      <c r="R1355" s="809"/>
      <c r="S1355" s="809"/>
      <c r="T1355" s="809"/>
      <c r="U1355" s="809"/>
      <c r="V1355" s="809"/>
      <c r="W1355" s="809"/>
      <c r="X1355" s="809"/>
      <c r="Y1355" s="809"/>
      <c r="Z1355" s="809"/>
      <c r="AA1355" s="809"/>
      <c r="AB1355" s="809"/>
      <c r="AC1355" s="809"/>
      <c r="AD1355" s="809"/>
      <c r="AE1355" s="809"/>
      <c r="AF1355" s="809"/>
      <c r="AG1355" s="809"/>
      <c r="AH1355" s="809"/>
      <c r="AI1355" s="809"/>
      <c r="AJ1355" s="809"/>
      <c r="AK1355" s="809"/>
      <c r="AL1355" s="809"/>
      <c r="AM1355" s="809"/>
      <c r="AN1355" s="809"/>
      <c r="AO1355" s="809"/>
      <c r="AP1355" s="809"/>
      <c r="AQ1355" s="809"/>
      <c r="AR1355" s="809"/>
      <c r="AS1355" s="809"/>
      <c r="AT1355" s="809"/>
      <c r="AU1355" s="809"/>
      <c r="AV1355" s="809"/>
      <c r="AW1355" s="809"/>
      <c r="AX1355" s="809"/>
      <c r="AY1355" s="809"/>
      <c r="AZ1355" s="809"/>
      <c r="BA1355" s="809"/>
      <c r="BB1355" s="809"/>
      <c r="BC1355" s="809"/>
      <c r="BD1355" s="809"/>
      <c r="BE1355" s="809"/>
      <c r="BF1355" s="809"/>
      <c r="BG1355" s="809"/>
      <c r="BH1355" s="809"/>
      <c r="BI1355" s="809"/>
      <c r="BJ1355" s="809"/>
      <c r="BK1355" s="809"/>
      <c r="BL1355" s="809"/>
      <c r="BM1355" s="809"/>
      <c r="BN1355" s="809"/>
    </row>
    <row r="1356" spans="1:66">
      <c r="A1356" s="809"/>
      <c r="B1356" s="809"/>
      <c r="C1356" s="809"/>
      <c r="D1356" s="809"/>
      <c r="E1356" s="809"/>
      <c r="F1356" s="809"/>
      <c r="G1356" s="809"/>
      <c r="H1356" s="809"/>
      <c r="I1356" s="809"/>
      <c r="J1356" s="809"/>
      <c r="K1356" s="809"/>
      <c r="L1356" s="809"/>
      <c r="M1356" s="809"/>
      <c r="N1356" s="809"/>
      <c r="O1356" s="809"/>
      <c r="P1356" s="809"/>
      <c r="Q1356" s="809"/>
      <c r="R1356" s="809"/>
      <c r="S1356" s="809"/>
      <c r="T1356" s="809"/>
      <c r="U1356" s="809"/>
      <c r="V1356" s="809"/>
      <c r="W1356" s="809"/>
      <c r="X1356" s="809"/>
      <c r="Y1356" s="809"/>
      <c r="Z1356" s="809"/>
      <c r="AA1356" s="809"/>
      <c r="AB1356" s="809"/>
      <c r="AC1356" s="809"/>
      <c r="AD1356" s="809"/>
      <c r="AE1356" s="809"/>
      <c r="AF1356" s="809"/>
      <c r="AG1356" s="809"/>
      <c r="AH1356" s="809"/>
      <c r="AI1356" s="809"/>
      <c r="AJ1356" s="809"/>
      <c r="AK1356" s="809"/>
      <c r="AL1356" s="809"/>
      <c r="AM1356" s="809"/>
      <c r="AN1356" s="809"/>
      <c r="AO1356" s="809"/>
      <c r="AP1356" s="809"/>
      <c r="AQ1356" s="809"/>
      <c r="AR1356" s="809"/>
      <c r="AS1356" s="809"/>
      <c r="AT1356" s="809"/>
      <c r="AU1356" s="809"/>
      <c r="AV1356" s="809"/>
      <c r="AW1356" s="809"/>
      <c r="AX1356" s="809"/>
      <c r="AY1356" s="809"/>
      <c r="AZ1356" s="809"/>
      <c r="BA1356" s="809"/>
      <c r="BB1356" s="809"/>
      <c r="BC1356" s="809"/>
      <c r="BD1356" s="809"/>
      <c r="BE1356" s="809"/>
      <c r="BF1356" s="809"/>
      <c r="BG1356" s="809"/>
      <c r="BH1356" s="809"/>
      <c r="BI1356" s="809"/>
      <c r="BJ1356" s="809"/>
      <c r="BK1356" s="809"/>
      <c r="BL1356" s="809"/>
      <c r="BM1356" s="809"/>
      <c r="BN1356" s="809"/>
    </row>
    <row r="1357" spans="1:66">
      <c r="A1357" s="809"/>
      <c r="B1357" s="809"/>
      <c r="C1357" s="809"/>
      <c r="D1357" s="809"/>
      <c r="E1357" s="809"/>
      <c r="F1357" s="809"/>
      <c r="G1357" s="809"/>
      <c r="H1357" s="809"/>
      <c r="I1357" s="809"/>
      <c r="J1357" s="809"/>
      <c r="K1357" s="809"/>
      <c r="L1357" s="809"/>
      <c r="M1357" s="809"/>
      <c r="N1357" s="809"/>
      <c r="O1357" s="809"/>
      <c r="P1357" s="809"/>
      <c r="Q1357" s="809"/>
      <c r="R1357" s="809"/>
      <c r="S1357" s="809"/>
      <c r="T1357" s="809"/>
      <c r="U1357" s="809"/>
      <c r="V1357" s="809"/>
      <c r="W1357" s="809"/>
      <c r="X1357" s="809"/>
      <c r="Y1357" s="809"/>
      <c r="Z1357" s="809"/>
      <c r="AA1357" s="809"/>
      <c r="AB1357" s="809"/>
      <c r="AC1357" s="809"/>
      <c r="AD1357" s="809"/>
      <c r="AE1357" s="809"/>
      <c r="AF1357" s="809"/>
      <c r="AG1357" s="809"/>
      <c r="AH1357" s="809"/>
      <c r="AI1357" s="809"/>
      <c r="AJ1357" s="809"/>
      <c r="AK1357" s="809"/>
      <c r="AL1357" s="809"/>
      <c r="AM1357" s="809"/>
      <c r="AN1357" s="809"/>
      <c r="AO1357" s="809"/>
      <c r="AP1357" s="809"/>
      <c r="AQ1357" s="809"/>
      <c r="AR1357" s="809"/>
      <c r="AS1357" s="809"/>
      <c r="AT1357" s="809"/>
      <c r="AU1357" s="809"/>
      <c r="AV1357" s="809"/>
      <c r="AW1357" s="809"/>
      <c r="AX1357" s="809"/>
      <c r="AY1357" s="809"/>
      <c r="AZ1357" s="809"/>
      <c r="BA1357" s="809"/>
      <c r="BB1357" s="809"/>
      <c r="BC1357" s="809"/>
      <c r="BD1357" s="809"/>
      <c r="BE1357" s="809"/>
      <c r="BF1357" s="809"/>
      <c r="BG1357" s="809"/>
      <c r="BH1357" s="809"/>
      <c r="BI1357" s="809"/>
      <c r="BJ1357" s="809"/>
      <c r="BK1357" s="809"/>
      <c r="BL1357" s="809"/>
      <c r="BM1357" s="809"/>
      <c r="BN1357" s="809"/>
    </row>
    <row r="1358" spans="1:66">
      <c r="A1358" s="809"/>
      <c r="B1358" s="809"/>
      <c r="C1358" s="809"/>
      <c r="D1358" s="809"/>
      <c r="E1358" s="809"/>
      <c r="F1358" s="809"/>
      <c r="G1358" s="809"/>
      <c r="H1358" s="809"/>
      <c r="I1358" s="809"/>
      <c r="J1358" s="809"/>
      <c r="K1358" s="809"/>
      <c r="L1358" s="809"/>
      <c r="M1358" s="809"/>
      <c r="N1358" s="809"/>
      <c r="O1358" s="809"/>
      <c r="P1358" s="809"/>
      <c r="Q1358" s="809"/>
      <c r="R1358" s="809"/>
      <c r="S1358" s="809"/>
      <c r="T1358" s="809"/>
      <c r="U1358" s="809"/>
      <c r="V1358" s="809"/>
      <c r="W1358" s="809"/>
      <c r="X1358" s="809"/>
      <c r="Y1358" s="809"/>
      <c r="Z1358" s="809"/>
      <c r="AA1358" s="809"/>
      <c r="AB1358" s="809"/>
      <c r="AC1358" s="809"/>
      <c r="AD1358" s="809"/>
      <c r="AE1358" s="809"/>
      <c r="AF1358" s="809"/>
      <c r="AG1358" s="809"/>
      <c r="AH1358" s="809"/>
      <c r="AI1358" s="809"/>
      <c r="AJ1358" s="809"/>
      <c r="AK1358" s="809"/>
      <c r="AL1358" s="809"/>
      <c r="AM1358" s="809"/>
      <c r="AN1358" s="809"/>
      <c r="AO1358" s="809"/>
      <c r="AP1358" s="809"/>
      <c r="AQ1358" s="809"/>
      <c r="AR1358" s="809"/>
      <c r="AS1358" s="809"/>
      <c r="AT1358" s="809"/>
      <c r="AU1358" s="809"/>
      <c r="AV1358" s="809"/>
      <c r="AW1358" s="809"/>
      <c r="AX1358" s="809"/>
      <c r="AY1358" s="809"/>
      <c r="AZ1358" s="809"/>
      <c r="BA1358" s="809"/>
      <c r="BB1358" s="809"/>
      <c r="BC1358" s="809"/>
      <c r="BD1358" s="809"/>
      <c r="BE1358" s="809"/>
      <c r="BF1358" s="809"/>
      <c r="BG1358" s="809"/>
      <c r="BH1358" s="809"/>
      <c r="BI1358" s="809"/>
      <c r="BJ1358" s="809"/>
      <c r="BK1358" s="809"/>
      <c r="BL1358" s="809"/>
      <c r="BM1358" s="809"/>
      <c r="BN1358" s="809"/>
    </row>
    <row r="1359" spans="1:66">
      <c r="A1359" s="809"/>
      <c r="B1359" s="809"/>
      <c r="C1359" s="809"/>
      <c r="D1359" s="809"/>
      <c r="E1359" s="809"/>
      <c r="F1359" s="809"/>
      <c r="G1359" s="809"/>
      <c r="H1359" s="809"/>
      <c r="I1359" s="809"/>
      <c r="J1359" s="809"/>
      <c r="K1359" s="809"/>
      <c r="L1359" s="809"/>
      <c r="M1359" s="809"/>
      <c r="N1359" s="809"/>
      <c r="O1359" s="809"/>
      <c r="P1359" s="809"/>
      <c r="Q1359" s="809"/>
      <c r="R1359" s="809"/>
      <c r="S1359" s="809"/>
      <c r="T1359" s="809"/>
      <c r="U1359" s="809"/>
      <c r="V1359" s="809"/>
      <c r="W1359" s="809"/>
      <c r="X1359" s="809"/>
      <c r="Y1359" s="809"/>
      <c r="Z1359" s="809"/>
      <c r="AA1359" s="809"/>
      <c r="AB1359" s="809"/>
      <c r="AC1359" s="809"/>
      <c r="AD1359" s="809"/>
      <c r="AE1359" s="809"/>
      <c r="AF1359" s="809"/>
      <c r="AG1359" s="809"/>
      <c r="AH1359" s="809"/>
      <c r="AI1359" s="809"/>
      <c r="AJ1359" s="809"/>
      <c r="AK1359" s="809"/>
      <c r="AL1359" s="809"/>
      <c r="AM1359" s="809"/>
      <c r="AN1359" s="809"/>
      <c r="AO1359" s="809"/>
      <c r="AP1359" s="809"/>
      <c r="AQ1359" s="809"/>
      <c r="AR1359" s="809"/>
      <c r="AS1359" s="809"/>
      <c r="AT1359" s="809"/>
      <c r="AU1359" s="809"/>
      <c r="AV1359" s="809"/>
      <c r="AW1359" s="809"/>
      <c r="AX1359" s="809"/>
      <c r="AY1359" s="809"/>
      <c r="AZ1359" s="809"/>
      <c r="BA1359" s="809"/>
      <c r="BB1359" s="809"/>
      <c r="BC1359" s="809"/>
      <c r="BD1359" s="809"/>
      <c r="BE1359" s="809"/>
      <c r="BF1359" s="809"/>
      <c r="BG1359" s="809"/>
      <c r="BH1359" s="809"/>
      <c r="BI1359" s="809"/>
      <c r="BJ1359" s="809"/>
      <c r="BK1359" s="809"/>
      <c r="BL1359" s="809"/>
      <c r="BM1359" s="809"/>
      <c r="BN1359" s="809"/>
    </row>
    <row r="1360" spans="1:66">
      <c r="A1360" s="809"/>
      <c r="B1360" s="809"/>
      <c r="C1360" s="809"/>
      <c r="D1360" s="809"/>
      <c r="E1360" s="809"/>
      <c r="F1360" s="809"/>
      <c r="G1360" s="809"/>
      <c r="H1360" s="809"/>
      <c r="I1360" s="809"/>
      <c r="J1360" s="809"/>
      <c r="K1360" s="809"/>
      <c r="L1360" s="809"/>
      <c r="M1360" s="809"/>
      <c r="N1360" s="809"/>
      <c r="O1360" s="809"/>
      <c r="P1360" s="809"/>
      <c r="Q1360" s="809"/>
      <c r="R1360" s="809"/>
      <c r="S1360" s="809"/>
      <c r="T1360" s="809"/>
      <c r="U1360" s="809"/>
      <c r="V1360" s="809"/>
      <c r="W1360" s="809"/>
      <c r="X1360" s="809"/>
      <c r="Y1360" s="809"/>
      <c r="Z1360" s="809"/>
      <c r="AA1360" s="809"/>
      <c r="AB1360" s="809"/>
      <c r="AC1360" s="809"/>
      <c r="AD1360" s="809"/>
      <c r="AE1360" s="809"/>
      <c r="AF1360" s="809"/>
      <c r="AG1360" s="809"/>
      <c r="AH1360" s="809"/>
      <c r="AI1360" s="809"/>
      <c r="AJ1360" s="809"/>
      <c r="AK1360" s="809"/>
      <c r="AL1360" s="809"/>
      <c r="AM1360" s="809"/>
      <c r="AN1360" s="809"/>
      <c r="AO1360" s="809"/>
      <c r="AP1360" s="809"/>
      <c r="AQ1360" s="809"/>
      <c r="AR1360" s="809"/>
      <c r="AS1360" s="809"/>
      <c r="AT1360" s="809"/>
      <c r="AU1360" s="809"/>
      <c r="AV1360" s="809"/>
      <c r="AW1360" s="809"/>
      <c r="AX1360" s="809"/>
      <c r="AY1360" s="809"/>
      <c r="AZ1360" s="809"/>
      <c r="BA1360" s="809"/>
      <c r="BB1360" s="809"/>
      <c r="BC1360" s="809"/>
      <c r="BD1360" s="809"/>
      <c r="BE1360" s="809"/>
      <c r="BF1360" s="809"/>
      <c r="BG1360" s="809"/>
      <c r="BH1360" s="809"/>
      <c r="BI1360" s="809"/>
      <c r="BJ1360" s="809"/>
      <c r="BK1360" s="809"/>
      <c r="BL1360" s="809"/>
      <c r="BM1360" s="809"/>
      <c r="BN1360" s="809"/>
    </row>
    <row r="1361" spans="1:66">
      <c r="A1361" s="809"/>
      <c r="B1361" s="809"/>
      <c r="C1361" s="809"/>
      <c r="D1361" s="809"/>
      <c r="E1361" s="809"/>
      <c r="F1361" s="809"/>
      <c r="G1361" s="809"/>
      <c r="H1361" s="809"/>
      <c r="I1361" s="809"/>
      <c r="J1361" s="809"/>
      <c r="K1361" s="809"/>
      <c r="L1361" s="809"/>
      <c r="M1361" s="809"/>
      <c r="N1361" s="809"/>
      <c r="O1361" s="809"/>
      <c r="P1361" s="809"/>
      <c r="Q1361" s="809"/>
      <c r="R1361" s="809"/>
      <c r="S1361" s="809"/>
      <c r="T1361" s="809"/>
      <c r="U1361" s="809"/>
      <c r="V1361" s="809"/>
      <c r="W1361" s="809"/>
      <c r="X1361" s="809"/>
      <c r="Y1361" s="809"/>
      <c r="Z1361" s="809"/>
      <c r="AA1361" s="809"/>
      <c r="AB1361" s="809"/>
      <c r="AC1361" s="809"/>
      <c r="AD1361" s="809"/>
      <c r="AE1361" s="809"/>
      <c r="AF1361" s="809"/>
      <c r="AG1361" s="809"/>
      <c r="AH1361" s="809"/>
      <c r="AI1361" s="809"/>
      <c r="AJ1361" s="809"/>
      <c r="AK1361" s="809"/>
      <c r="AL1361" s="809"/>
      <c r="AM1361" s="809"/>
      <c r="AN1361" s="809"/>
      <c r="AO1361" s="809"/>
      <c r="AP1361" s="809"/>
      <c r="AQ1361" s="809"/>
      <c r="AR1361" s="809"/>
      <c r="AS1361" s="809"/>
      <c r="AT1361" s="809"/>
      <c r="AU1361" s="809"/>
      <c r="AV1361" s="809"/>
      <c r="AW1361" s="809"/>
      <c r="AX1361" s="809"/>
      <c r="AY1361" s="809"/>
      <c r="AZ1361" s="809"/>
      <c r="BA1361" s="809"/>
      <c r="BB1361" s="809"/>
      <c r="BC1361" s="809"/>
      <c r="BD1361" s="809"/>
      <c r="BE1361" s="809"/>
      <c r="BF1361" s="809"/>
      <c r="BG1361" s="809"/>
      <c r="BH1361" s="809"/>
      <c r="BI1361" s="809"/>
      <c r="BJ1361" s="809"/>
      <c r="BK1361" s="809"/>
      <c r="BL1361" s="809"/>
      <c r="BM1361" s="809"/>
      <c r="BN1361" s="809"/>
    </row>
    <row r="1362" spans="1:66">
      <c r="A1362" s="809"/>
      <c r="B1362" s="809"/>
      <c r="C1362" s="809"/>
      <c r="D1362" s="809"/>
      <c r="E1362" s="809"/>
      <c r="F1362" s="809"/>
      <c r="G1362" s="809"/>
      <c r="H1362" s="809"/>
      <c r="I1362" s="809"/>
      <c r="J1362" s="809"/>
      <c r="K1362" s="809"/>
      <c r="L1362" s="809"/>
      <c r="M1362" s="809"/>
      <c r="N1362" s="809"/>
      <c r="O1362" s="809"/>
      <c r="P1362" s="809"/>
      <c r="Q1362" s="809"/>
      <c r="R1362" s="809"/>
      <c r="S1362" s="809"/>
      <c r="T1362" s="809"/>
      <c r="U1362" s="809"/>
      <c r="V1362" s="809"/>
      <c r="W1362" s="809"/>
      <c r="X1362" s="809"/>
      <c r="Y1362" s="809"/>
      <c r="Z1362" s="809"/>
      <c r="AA1362" s="809"/>
      <c r="AB1362" s="809"/>
      <c r="AC1362" s="809"/>
      <c r="AD1362" s="809"/>
      <c r="AE1362" s="809"/>
      <c r="AF1362" s="809"/>
      <c r="AG1362" s="809"/>
      <c r="AH1362" s="809"/>
      <c r="AI1362" s="809"/>
      <c r="AJ1362" s="809"/>
      <c r="AK1362" s="809"/>
      <c r="AL1362" s="809"/>
      <c r="AM1362" s="809"/>
      <c r="AN1362" s="809"/>
      <c r="AO1362" s="809"/>
      <c r="AP1362" s="809"/>
      <c r="AQ1362" s="809"/>
      <c r="AR1362" s="809"/>
      <c r="AS1362" s="809"/>
      <c r="AT1362" s="809"/>
      <c r="AU1362" s="809"/>
      <c r="AV1362" s="809"/>
      <c r="AW1362" s="809"/>
      <c r="AX1362" s="809"/>
      <c r="AY1362" s="809"/>
      <c r="AZ1362" s="809"/>
      <c r="BA1362" s="809"/>
      <c r="BB1362" s="809"/>
      <c r="BC1362" s="809"/>
      <c r="BD1362" s="809"/>
      <c r="BE1362" s="809"/>
      <c r="BF1362" s="809"/>
      <c r="BG1362" s="809"/>
      <c r="BH1362" s="809"/>
      <c r="BI1362" s="809"/>
      <c r="BJ1362" s="809"/>
      <c r="BK1362" s="809"/>
      <c r="BL1362" s="809"/>
      <c r="BM1362" s="809"/>
      <c r="BN1362" s="809"/>
    </row>
    <row r="1363" spans="1:66">
      <c r="A1363" s="809"/>
      <c r="B1363" s="809"/>
      <c r="C1363" s="809"/>
      <c r="D1363" s="809"/>
      <c r="E1363" s="809"/>
      <c r="F1363" s="809"/>
      <c r="G1363" s="809"/>
      <c r="H1363" s="809"/>
      <c r="I1363" s="809"/>
      <c r="J1363" s="809"/>
      <c r="K1363" s="809"/>
      <c r="L1363" s="809"/>
      <c r="M1363" s="809"/>
      <c r="N1363" s="809"/>
      <c r="O1363" s="809"/>
      <c r="P1363" s="809"/>
      <c r="Q1363" s="809"/>
      <c r="R1363" s="809"/>
      <c r="S1363" s="809"/>
      <c r="T1363" s="809"/>
      <c r="U1363" s="809"/>
      <c r="V1363" s="809"/>
      <c r="W1363" s="809"/>
      <c r="X1363" s="809"/>
      <c r="Y1363" s="809"/>
      <c r="Z1363" s="809"/>
      <c r="AA1363" s="809"/>
      <c r="AB1363" s="809"/>
      <c r="AC1363" s="809"/>
      <c r="AD1363" s="809"/>
      <c r="AE1363" s="809"/>
      <c r="AF1363" s="809"/>
      <c r="AG1363" s="809"/>
      <c r="AH1363" s="809"/>
      <c r="AI1363" s="809"/>
      <c r="AJ1363" s="809"/>
      <c r="AK1363" s="809"/>
      <c r="AL1363" s="809"/>
      <c r="AM1363" s="809"/>
      <c r="AN1363" s="809"/>
      <c r="AO1363" s="809"/>
      <c r="AP1363" s="809"/>
      <c r="AQ1363" s="809"/>
      <c r="AR1363" s="809"/>
      <c r="AS1363" s="809"/>
      <c r="AT1363" s="809"/>
      <c r="AU1363" s="809"/>
      <c r="AV1363" s="809"/>
      <c r="AW1363" s="809"/>
      <c r="AX1363" s="809"/>
      <c r="AY1363" s="809"/>
      <c r="AZ1363" s="809"/>
      <c r="BA1363" s="809"/>
      <c r="BB1363" s="809"/>
      <c r="BC1363" s="809"/>
      <c r="BD1363" s="809"/>
      <c r="BE1363" s="809"/>
      <c r="BF1363" s="809"/>
      <c r="BG1363" s="809"/>
      <c r="BH1363" s="809"/>
      <c r="BI1363" s="809"/>
      <c r="BJ1363" s="809"/>
      <c r="BK1363" s="809"/>
      <c r="BL1363" s="809"/>
      <c r="BM1363" s="809"/>
      <c r="BN1363" s="809"/>
    </row>
    <row r="1364" spans="1:66">
      <c r="A1364" s="809"/>
      <c r="B1364" s="809"/>
      <c r="C1364" s="809"/>
      <c r="D1364" s="809"/>
      <c r="E1364" s="809"/>
      <c r="F1364" s="809"/>
      <c r="G1364" s="809"/>
      <c r="H1364" s="809"/>
      <c r="I1364" s="809"/>
      <c r="J1364" s="809"/>
      <c r="K1364" s="809"/>
      <c r="L1364" s="809"/>
      <c r="M1364" s="809"/>
      <c r="N1364" s="809"/>
      <c r="O1364" s="809"/>
      <c r="P1364" s="809"/>
      <c r="Q1364" s="809"/>
      <c r="R1364" s="809"/>
      <c r="S1364" s="809"/>
      <c r="T1364" s="809"/>
      <c r="U1364" s="809"/>
      <c r="V1364" s="809"/>
      <c r="W1364" s="809"/>
      <c r="X1364" s="809"/>
      <c r="Y1364" s="809"/>
      <c r="Z1364" s="809"/>
      <c r="AA1364" s="809"/>
      <c r="AB1364" s="809"/>
      <c r="AC1364" s="809"/>
      <c r="AD1364" s="809"/>
      <c r="AE1364" s="809"/>
      <c r="AF1364" s="809"/>
      <c r="AG1364" s="809"/>
      <c r="AH1364" s="809"/>
      <c r="AI1364" s="809"/>
      <c r="AJ1364" s="809"/>
      <c r="AK1364" s="809"/>
      <c r="AL1364" s="809"/>
      <c r="AM1364" s="809"/>
      <c r="AN1364" s="809"/>
      <c r="AO1364" s="809"/>
      <c r="AP1364" s="809"/>
      <c r="AQ1364" s="809"/>
      <c r="AR1364" s="809"/>
      <c r="AS1364" s="809"/>
      <c r="AT1364" s="809"/>
      <c r="AU1364" s="809"/>
      <c r="AV1364" s="809"/>
      <c r="AW1364" s="809"/>
      <c r="AX1364" s="809"/>
      <c r="AY1364" s="809"/>
      <c r="AZ1364" s="809"/>
      <c r="BA1364" s="809"/>
      <c r="BB1364" s="809"/>
      <c r="BC1364" s="809"/>
      <c r="BD1364" s="809"/>
      <c r="BE1364" s="809"/>
      <c r="BF1364" s="809"/>
      <c r="BG1364" s="809"/>
      <c r="BH1364" s="809"/>
      <c r="BI1364" s="809"/>
      <c r="BJ1364" s="809"/>
      <c r="BK1364" s="809"/>
      <c r="BL1364" s="809"/>
      <c r="BM1364" s="809"/>
      <c r="BN1364" s="809"/>
    </row>
    <row r="1365" spans="1:66">
      <c r="A1365" s="809"/>
      <c r="B1365" s="809"/>
      <c r="C1365" s="809"/>
      <c r="D1365" s="809"/>
      <c r="E1365" s="809"/>
      <c r="F1365" s="809"/>
      <c r="G1365" s="809"/>
      <c r="H1365" s="809"/>
      <c r="I1365" s="809"/>
      <c r="J1365" s="809"/>
      <c r="K1365" s="809"/>
      <c r="L1365" s="809"/>
      <c r="M1365" s="809"/>
      <c r="N1365" s="809"/>
      <c r="O1365" s="809"/>
      <c r="P1365" s="809"/>
      <c r="Q1365" s="809"/>
      <c r="R1365" s="809"/>
      <c r="S1365" s="809"/>
      <c r="T1365" s="809"/>
      <c r="U1365" s="809"/>
      <c r="V1365" s="809"/>
      <c r="W1365" s="809"/>
      <c r="X1365" s="809"/>
      <c r="Y1365" s="809"/>
      <c r="Z1365" s="809"/>
      <c r="AA1365" s="809"/>
      <c r="AB1365" s="809"/>
      <c r="AC1365" s="809"/>
      <c r="AD1365" s="809"/>
      <c r="AE1365" s="809"/>
      <c r="AF1365" s="809"/>
      <c r="AG1365" s="809"/>
      <c r="AH1365" s="809"/>
      <c r="AI1365" s="809"/>
      <c r="AJ1365" s="809"/>
      <c r="AK1365" s="809"/>
      <c r="AL1365" s="809"/>
      <c r="AM1365" s="809"/>
      <c r="AN1365" s="809"/>
      <c r="AO1365" s="809"/>
      <c r="AP1365" s="809"/>
      <c r="AQ1365" s="809"/>
      <c r="AR1365" s="809"/>
      <c r="AS1365" s="809"/>
      <c r="AT1365" s="809"/>
      <c r="AU1365" s="809"/>
      <c r="AV1365" s="809"/>
      <c r="AW1365" s="809"/>
      <c r="AX1365" s="809"/>
      <c r="AY1365" s="809"/>
      <c r="AZ1365" s="809"/>
      <c r="BA1365" s="809"/>
      <c r="BB1365" s="809"/>
      <c r="BC1365" s="809"/>
      <c r="BD1365" s="809"/>
      <c r="BE1365" s="809"/>
      <c r="BF1365" s="809"/>
      <c r="BG1365" s="809"/>
      <c r="BH1365" s="809"/>
      <c r="BI1365" s="809"/>
      <c r="BJ1365" s="809"/>
      <c r="BK1365" s="809"/>
      <c r="BL1365" s="809"/>
      <c r="BM1365" s="809"/>
      <c r="BN1365" s="809"/>
    </row>
    <row r="1366" spans="1:66">
      <c r="A1366" s="809"/>
      <c r="B1366" s="809"/>
      <c r="C1366" s="809"/>
      <c r="D1366" s="809"/>
      <c r="E1366" s="809"/>
      <c r="F1366" s="809"/>
      <c r="G1366" s="809"/>
      <c r="H1366" s="809"/>
      <c r="I1366" s="809"/>
      <c r="J1366" s="809"/>
      <c r="K1366" s="809"/>
      <c r="L1366" s="809"/>
      <c r="M1366" s="809"/>
      <c r="N1366" s="809"/>
      <c r="O1366" s="809"/>
      <c r="P1366" s="809"/>
      <c r="Q1366" s="809"/>
      <c r="R1366" s="809"/>
      <c r="S1366" s="809"/>
      <c r="T1366" s="809"/>
      <c r="U1366" s="809"/>
      <c r="V1366" s="809"/>
      <c r="W1366" s="809"/>
      <c r="X1366" s="809"/>
      <c r="Y1366" s="809"/>
      <c r="Z1366" s="809"/>
      <c r="AA1366" s="809"/>
      <c r="AB1366" s="809"/>
      <c r="AC1366" s="809"/>
      <c r="AD1366" s="809"/>
      <c r="AE1366" s="809"/>
      <c r="AF1366" s="809"/>
      <c r="AG1366" s="809"/>
      <c r="AH1366" s="809"/>
      <c r="AI1366" s="809"/>
      <c r="AJ1366" s="809"/>
      <c r="AK1366" s="809"/>
      <c r="AL1366" s="809"/>
      <c r="AM1366" s="809"/>
      <c r="AN1366" s="809"/>
      <c r="AO1366" s="809"/>
      <c r="AP1366" s="809"/>
      <c r="AQ1366" s="809"/>
      <c r="AR1366" s="809"/>
      <c r="AS1366" s="809"/>
      <c r="AT1366" s="809"/>
      <c r="AU1366" s="809"/>
      <c r="AV1366" s="809"/>
      <c r="AW1366" s="809"/>
      <c r="AX1366" s="809"/>
      <c r="AY1366" s="809"/>
      <c r="AZ1366" s="809"/>
      <c r="BA1366" s="809"/>
      <c r="BB1366" s="809"/>
      <c r="BC1366" s="809"/>
      <c r="BD1366" s="809"/>
      <c r="BE1366" s="809"/>
      <c r="BF1366" s="809"/>
      <c r="BG1366" s="809"/>
      <c r="BH1366" s="809"/>
      <c r="BI1366" s="809"/>
      <c r="BJ1366" s="809"/>
      <c r="BK1366" s="809"/>
      <c r="BL1366" s="809"/>
      <c r="BM1366" s="809"/>
      <c r="BN1366" s="809"/>
    </row>
    <row r="1367" spans="1:66">
      <c r="A1367" s="809"/>
      <c r="B1367" s="809"/>
      <c r="C1367" s="809"/>
      <c r="D1367" s="809"/>
      <c r="E1367" s="809"/>
      <c r="F1367" s="809"/>
      <c r="G1367" s="809"/>
      <c r="H1367" s="809"/>
      <c r="I1367" s="809"/>
      <c r="J1367" s="809"/>
      <c r="K1367" s="809"/>
      <c r="L1367" s="809"/>
      <c r="M1367" s="809"/>
      <c r="N1367" s="809"/>
      <c r="O1367" s="809"/>
      <c r="P1367" s="809"/>
      <c r="Q1367" s="809"/>
      <c r="R1367" s="809"/>
      <c r="S1367" s="809"/>
      <c r="T1367" s="809"/>
      <c r="U1367" s="809"/>
      <c r="V1367" s="809"/>
      <c r="W1367" s="809"/>
      <c r="X1367" s="809"/>
      <c r="Y1367" s="809"/>
      <c r="Z1367" s="809"/>
      <c r="AA1367" s="809"/>
      <c r="AB1367" s="809"/>
      <c r="AC1367" s="809"/>
      <c r="AD1367" s="809"/>
      <c r="AE1367" s="809"/>
      <c r="AF1367" s="809"/>
      <c r="AG1367" s="809"/>
      <c r="AH1367" s="809"/>
      <c r="AI1367" s="809"/>
      <c r="AJ1367" s="809"/>
      <c r="AK1367" s="809"/>
      <c r="AL1367" s="809"/>
      <c r="AM1367" s="809"/>
      <c r="AN1367" s="809"/>
      <c r="AO1367" s="809"/>
      <c r="AP1367" s="809"/>
      <c r="AQ1367" s="809"/>
      <c r="AR1367" s="809"/>
      <c r="AS1367" s="809"/>
      <c r="AT1367" s="809"/>
      <c r="AU1367" s="809"/>
      <c r="AV1367" s="809"/>
      <c r="AW1367" s="809"/>
      <c r="AX1367" s="809"/>
      <c r="AY1367" s="809"/>
      <c r="AZ1367" s="809"/>
      <c r="BA1367" s="809"/>
      <c r="BB1367" s="809"/>
      <c r="BC1367" s="809"/>
      <c r="BD1367" s="809"/>
      <c r="BE1367" s="809"/>
      <c r="BF1367" s="809"/>
      <c r="BG1367" s="809"/>
      <c r="BH1367" s="809"/>
      <c r="BI1367" s="809"/>
      <c r="BJ1367" s="809"/>
      <c r="BK1367" s="809"/>
      <c r="BL1367" s="809"/>
      <c r="BM1367" s="809"/>
      <c r="BN1367" s="809"/>
    </row>
    <row r="1368" spans="1:66">
      <c r="A1368" s="809"/>
      <c r="B1368" s="809"/>
      <c r="C1368" s="809"/>
      <c r="D1368" s="809"/>
      <c r="E1368" s="809"/>
      <c r="F1368" s="809"/>
      <c r="G1368" s="809"/>
      <c r="H1368" s="809"/>
      <c r="I1368" s="809"/>
      <c r="J1368" s="809"/>
      <c r="K1368" s="809"/>
      <c r="L1368" s="809"/>
      <c r="M1368" s="809"/>
      <c r="N1368" s="809"/>
      <c r="O1368" s="809"/>
      <c r="P1368" s="809"/>
      <c r="Q1368" s="809"/>
      <c r="R1368" s="809"/>
      <c r="S1368" s="809"/>
      <c r="T1368" s="809"/>
      <c r="U1368" s="809"/>
      <c r="V1368" s="809"/>
      <c r="W1368" s="809"/>
      <c r="X1368" s="809"/>
      <c r="Y1368" s="809"/>
      <c r="Z1368" s="809"/>
      <c r="AA1368" s="809"/>
      <c r="AB1368" s="809"/>
      <c r="AC1368" s="809"/>
      <c r="AD1368" s="809"/>
      <c r="AE1368" s="809"/>
      <c r="AF1368" s="809"/>
      <c r="AG1368" s="809"/>
      <c r="AH1368" s="809"/>
      <c r="AI1368" s="809"/>
      <c r="AJ1368" s="809"/>
      <c r="AK1368" s="809"/>
      <c r="AL1368" s="809"/>
      <c r="AM1368" s="809"/>
      <c r="AN1368" s="809"/>
      <c r="AO1368" s="809"/>
      <c r="AP1368" s="809"/>
      <c r="AQ1368" s="809"/>
      <c r="AR1368" s="809"/>
      <c r="AS1368" s="809"/>
      <c r="AT1368" s="809"/>
      <c r="AU1368" s="809"/>
      <c r="AV1368" s="809"/>
      <c r="AW1368" s="809"/>
      <c r="AX1368" s="809"/>
      <c r="AY1368" s="809"/>
      <c r="AZ1368" s="809"/>
      <c r="BA1368" s="809"/>
      <c r="BB1368" s="809"/>
      <c r="BC1368" s="809"/>
      <c r="BD1368" s="809"/>
      <c r="BE1368" s="809"/>
      <c r="BF1368" s="809"/>
      <c r="BG1368" s="809"/>
      <c r="BH1368" s="809"/>
      <c r="BI1368" s="809"/>
      <c r="BJ1368" s="809"/>
      <c r="BK1368" s="809"/>
      <c r="BL1368" s="809"/>
      <c r="BM1368" s="809"/>
      <c r="BN1368" s="809"/>
    </row>
    <row r="1369" spans="1:66">
      <c r="A1369" s="809"/>
      <c r="B1369" s="809"/>
      <c r="C1369" s="809"/>
      <c r="D1369" s="809"/>
      <c r="E1369" s="809"/>
      <c r="F1369" s="809"/>
      <c r="G1369" s="809"/>
      <c r="H1369" s="809"/>
      <c r="I1369" s="809"/>
      <c r="J1369" s="809"/>
      <c r="K1369" s="809"/>
      <c r="L1369" s="809"/>
      <c r="M1369" s="809"/>
      <c r="N1369" s="809"/>
      <c r="O1369" s="809"/>
      <c r="P1369" s="809"/>
      <c r="Q1369" s="809"/>
      <c r="R1369" s="809"/>
      <c r="S1369" s="809"/>
      <c r="T1369" s="809"/>
      <c r="U1369" s="809"/>
      <c r="V1369" s="809"/>
      <c r="W1369" s="809"/>
      <c r="X1369" s="809"/>
      <c r="Y1369" s="809"/>
      <c r="Z1369" s="809"/>
      <c r="AA1369" s="809"/>
      <c r="AB1369" s="809"/>
      <c r="AC1369" s="809"/>
      <c r="AD1369" s="809"/>
      <c r="AE1369" s="809"/>
      <c r="AF1369" s="809"/>
      <c r="AG1369" s="809"/>
      <c r="AH1369" s="809"/>
      <c r="AI1369" s="809"/>
      <c r="AJ1369" s="809"/>
      <c r="AK1369" s="809"/>
      <c r="AL1369" s="809"/>
      <c r="AM1369" s="809"/>
      <c r="AN1369" s="809"/>
      <c r="AO1369" s="809"/>
      <c r="AP1369" s="809"/>
      <c r="AQ1369" s="809"/>
      <c r="AR1369" s="809"/>
      <c r="AS1369" s="809"/>
      <c r="AT1369" s="809"/>
      <c r="AU1369" s="809"/>
      <c r="AV1369" s="809"/>
      <c r="AW1369" s="809"/>
      <c r="AX1369" s="809"/>
      <c r="AY1369" s="809"/>
      <c r="AZ1369" s="809"/>
      <c r="BA1369" s="809"/>
      <c r="BB1369" s="809"/>
      <c r="BC1369" s="809"/>
      <c r="BD1369" s="809"/>
      <c r="BE1369" s="809"/>
      <c r="BF1369" s="809"/>
      <c r="BG1369" s="809"/>
      <c r="BH1369" s="809"/>
      <c r="BI1369" s="809"/>
      <c r="BJ1369" s="809"/>
      <c r="BK1369" s="809"/>
      <c r="BL1369" s="809"/>
      <c r="BM1369" s="809"/>
      <c r="BN1369" s="809"/>
    </row>
    <row r="1370" spans="1:66">
      <c r="A1370" s="809"/>
      <c r="B1370" s="809"/>
      <c r="C1370" s="809"/>
      <c r="D1370" s="809"/>
      <c r="E1370" s="809"/>
      <c r="F1370" s="809"/>
      <c r="G1370" s="809"/>
      <c r="H1370" s="809"/>
      <c r="I1370" s="809"/>
      <c r="J1370" s="809"/>
      <c r="K1370" s="809"/>
      <c r="L1370" s="809"/>
      <c r="M1370" s="809"/>
      <c r="N1370" s="809"/>
      <c r="O1370" s="809"/>
      <c r="P1370" s="809"/>
      <c r="Q1370" s="809"/>
      <c r="R1370" s="809"/>
      <c r="S1370" s="809"/>
      <c r="T1370" s="809"/>
      <c r="U1370" s="809"/>
      <c r="V1370" s="809"/>
      <c r="W1370" s="809"/>
      <c r="X1370" s="809"/>
      <c r="Y1370" s="809"/>
      <c r="Z1370" s="809"/>
      <c r="AA1370" s="809"/>
      <c r="AB1370" s="809"/>
      <c r="AC1370" s="809"/>
      <c r="AD1370" s="809"/>
      <c r="AE1370" s="809"/>
      <c r="AF1370" s="809"/>
      <c r="AG1370" s="809"/>
      <c r="AH1370" s="809"/>
      <c r="AI1370" s="809"/>
      <c r="AJ1370" s="809"/>
      <c r="AK1370" s="809"/>
      <c r="AL1370" s="809"/>
      <c r="AM1370" s="809"/>
      <c r="AN1370" s="809"/>
      <c r="AO1370" s="809"/>
      <c r="AP1370" s="809"/>
      <c r="AQ1370" s="809"/>
      <c r="AR1370" s="809"/>
      <c r="AS1370" s="809"/>
      <c r="AT1370" s="809"/>
      <c r="AU1370" s="809"/>
      <c r="AV1370" s="809"/>
      <c r="AW1370" s="809"/>
      <c r="AX1370" s="809"/>
      <c r="AY1370" s="809"/>
      <c r="AZ1370" s="809"/>
      <c r="BA1370" s="809"/>
      <c r="BB1370" s="809"/>
      <c r="BC1370" s="809"/>
      <c r="BD1370" s="809"/>
      <c r="BE1370" s="809"/>
      <c r="BF1370" s="809"/>
      <c r="BG1370" s="809"/>
      <c r="BH1370" s="809"/>
      <c r="BI1370" s="809"/>
      <c r="BJ1370" s="809"/>
      <c r="BK1370" s="809"/>
      <c r="BL1370" s="809"/>
      <c r="BM1370" s="809"/>
      <c r="BN1370" s="809"/>
    </row>
    <row r="1371" spans="1:66">
      <c r="A1371" s="809"/>
      <c r="B1371" s="809"/>
      <c r="C1371" s="809"/>
      <c r="D1371" s="809"/>
      <c r="E1371" s="809"/>
      <c r="F1371" s="809"/>
      <c r="G1371" s="809"/>
      <c r="H1371" s="809"/>
      <c r="I1371" s="809"/>
      <c r="J1371" s="809"/>
      <c r="K1371" s="809"/>
      <c r="L1371" s="809"/>
      <c r="M1371" s="809"/>
      <c r="N1371" s="809"/>
      <c r="O1371" s="809"/>
      <c r="P1371" s="809"/>
      <c r="Q1371" s="809"/>
      <c r="R1371" s="809"/>
      <c r="S1371" s="809"/>
      <c r="T1371" s="809"/>
      <c r="U1371" s="809"/>
      <c r="V1371" s="809"/>
      <c r="W1371" s="809"/>
      <c r="X1371" s="809"/>
      <c r="Y1371" s="809"/>
      <c r="Z1371" s="809"/>
      <c r="AA1371" s="809"/>
      <c r="AB1371" s="809"/>
      <c r="AC1371" s="809"/>
      <c r="AD1371" s="809"/>
      <c r="AE1371" s="809"/>
      <c r="AF1371" s="809"/>
      <c r="AG1371" s="809"/>
      <c r="AH1371" s="809"/>
      <c r="AI1371" s="809"/>
      <c r="AJ1371" s="809"/>
      <c r="AK1371" s="809"/>
      <c r="AL1371" s="809"/>
      <c r="AM1371" s="809"/>
      <c r="AN1371" s="809"/>
      <c r="AO1371" s="809"/>
      <c r="AP1371" s="809"/>
      <c r="AQ1371" s="809"/>
      <c r="AR1371" s="809"/>
      <c r="AS1371" s="809"/>
      <c r="AT1371" s="809"/>
      <c r="AU1371" s="809"/>
      <c r="AV1371" s="809"/>
      <c r="AW1371" s="809"/>
      <c r="AX1371" s="809"/>
      <c r="AY1371" s="809"/>
      <c r="AZ1371" s="809"/>
      <c r="BA1371" s="809"/>
      <c r="BB1371" s="809"/>
      <c r="BC1371" s="809"/>
      <c r="BD1371" s="809"/>
      <c r="BE1371" s="809"/>
      <c r="BF1371" s="809"/>
      <c r="BG1371" s="809"/>
      <c r="BH1371" s="809"/>
      <c r="BI1371" s="809"/>
      <c r="BJ1371" s="809"/>
      <c r="BK1371" s="809"/>
      <c r="BL1371" s="809"/>
      <c r="BM1371" s="809"/>
      <c r="BN1371" s="809"/>
    </row>
    <row r="1372" spans="1:66">
      <c r="A1372" s="809"/>
      <c r="B1372" s="809"/>
      <c r="C1372" s="809"/>
      <c r="D1372" s="809"/>
      <c r="E1372" s="809"/>
      <c r="F1372" s="809"/>
      <c r="G1372" s="809"/>
      <c r="H1372" s="809"/>
      <c r="I1372" s="809"/>
      <c r="J1372" s="809"/>
      <c r="K1372" s="809"/>
      <c r="L1372" s="809"/>
      <c r="M1372" s="809"/>
      <c r="N1372" s="809"/>
      <c r="O1372" s="809"/>
      <c r="P1372" s="809"/>
      <c r="Q1372" s="809"/>
      <c r="R1372" s="809"/>
      <c r="S1372" s="809"/>
      <c r="T1372" s="809"/>
      <c r="U1372" s="809"/>
      <c r="V1372" s="809"/>
      <c r="W1372" s="809"/>
      <c r="X1372" s="809"/>
      <c r="Y1372" s="809"/>
      <c r="Z1372" s="809"/>
      <c r="AA1372" s="809"/>
      <c r="AB1372" s="809"/>
      <c r="AC1372" s="809"/>
      <c r="AD1372" s="809"/>
      <c r="AE1372" s="809"/>
      <c r="AF1372" s="809"/>
      <c r="AG1372" s="809"/>
      <c r="AH1372" s="809"/>
      <c r="AI1372" s="809"/>
      <c r="AJ1372" s="809"/>
      <c r="AK1372" s="809"/>
      <c r="AL1372" s="809"/>
      <c r="AM1372" s="809"/>
      <c r="AN1372" s="809"/>
      <c r="AO1372" s="809"/>
      <c r="AP1372" s="809"/>
      <c r="AQ1372" s="809"/>
      <c r="AR1372" s="809"/>
      <c r="AS1372" s="809"/>
      <c r="AT1372" s="809"/>
      <c r="AU1372" s="809"/>
      <c r="AV1372" s="809"/>
      <c r="AW1372" s="809"/>
      <c r="AX1372" s="809"/>
      <c r="AY1372" s="809"/>
      <c r="AZ1372" s="809"/>
      <c r="BA1372" s="809"/>
      <c r="BB1372" s="809"/>
      <c r="BC1372" s="809"/>
      <c r="BD1372" s="809"/>
      <c r="BE1372" s="809"/>
      <c r="BF1372" s="809"/>
      <c r="BG1372" s="809"/>
      <c r="BH1372" s="809"/>
      <c r="BI1372" s="809"/>
      <c r="BJ1372" s="809"/>
      <c r="BK1372" s="809"/>
      <c r="BL1372" s="809"/>
      <c r="BM1372" s="809"/>
      <c r="BN1372" s="809"/>
    </row>
    <row r="1373" spans="1:66">
      <c r="A1373" s="809"/>
      <c r="B1373" s="809"/>
      <c r="C1373" s="809"/>
      <c r="D1373" s="809"/>
      <c r="E1373" s="809"/>
      <c r="F1373" s="809"/>
      <c r="G1373" s="809"/>
      <c r="H1373" s="809"/>
      <c r="I1373" s="809"/>
      <c r="J1373" s="809"/>
      <c r="K1373" s="809"/>
      <c r="L1373" s="809"/>
      <c r="M1373" s="809"/>
      <c r="N1373" s="809"/>
      <c r="O1373" s="809"/>
      <c r="P1373" s="809"/>
      <c r="Q1373" s="809"/>
      <c r="R1373" s="809"/>
      <c r="S1373" s="809"/>
      <c r="T1373" s="809"/>
      <c r="U1373" s="809"/>
      <c r="V1373" s="809"/>
      <c r="W1373" s="809"/>
      <c r="X1373" s="809"/>
      <c r="Y1373" s="809"/>
      <c r="Z1373" s="809"/>
      <c r="AA1373" s="809"/>
      <c r="AB1373" s="809"/>
      <c r="AC1373" s="809"/>
      <c r="AD1373" s="809"/>
      <c r="AE1373" s="809"/>
      <c r="AF1373" s="809"/>
      <c r="AG1373" s="809"/>
      <c r="AH1373" s="809"/>
      <c r="AI1373" s="809"/>
      <c r="AJ1373" s="809"/>
      <c r="AK1373" s="809"/>
      <c r="AL1373" s="809"/>
      <c r="AM1373" s="809"/>
      <c r="AN1373" s="809"/>
      <c r="AO1373" s="809"/>
      <c r="AP1373" s="809"/>
      <c r="AQ1373" s="809"/>
      <c r="AR1373" s="809"/>
      <c r="AS1373" s="809"/>
      <c r="AT1373" s="809"/>
      <c r="AU1373" s="809"/>
      <c r="AV1373" s="809"/>
      <c r="AW1373" s="809"/>
      <c r="AX1373" s="809"/>
      <c r="AY1373" s="809"/>
      <c r="AZ1373" s="809"/>
      <c r="BA1373" s="809"/>
      <c r="BB1373" s="809"/>
      <c r="BC1373" s="809"/>
      <c r="BD1373" s="809"/>
      <c r="BE1373" s="809"/>
      <c r="BF1373" s="809"/>
      <c r="BG1373" s="809"/>
      <c r="BH1373" s="809"/>
      <c r="BI1373" s="809"/>
      <c r="BJ1373" s="809"/>
      <c r="BK1373" s="809"/>
      <c r="BL1373" s="809"/>
      <c r="BM1373" s="809"/>
      <c r="BN1373" s="809"/>
    </row>
    <row r="1374" spans="1:66">
      <c r="A1374" s="809"/>
      <c r="B1374" s="809"/>
      <c r="C1374" s="809"/>
      <c r="D1374" s="809"/>
      <c r="E1374" s="809"/>
      <c r="F1374" s="809"/>
      <c r="G1374" s="809"/>
      <c r="H1374" s="809"/>
      <c r="I1374" s="809"/>
      <c r="J1374" s="809"/>
      <c r="K1374" s="809"/>
      <c r="L1374" s="809"/>
      <c r="M1374" s="809"/>
      <c r="N1374" s="809"/>
      <c r="O1374" s="809"/>
      <c r="P1374" s="809"/>
      <c r="Q1374" s="809"/>
      <c r="R1374" s="809"/>
      <c r="S1374" s="809"/>
      <c r="T1374" s="809"/>
      <c r="U1374" s="809"/>
      <c r="V1374" s="809"/>
      <c r="W1374" s="809"/>
      <c r="X1374" s="809"/>
      <c r="Y1374" s="809"/>
      <c r="Z1374" s="809"/>
      <c r="AA1374" s="809"/>
      <c r="AB1374" s="809"/>
      <c r="AC1374" s="809"/>
      <c r="AD1374" s="809"/>
      <c r="AE1374" s="809"/>
      <c r="AF1374" s="809"/>
      <c r="AG1374" s="809"/>
      <c r="AH1374" s="809"/>
      <c r="AI1374" s="809"/>
      <c r="AJ1374" s="809"/>
      <c r="AK1374" s="809"/>
      <c r="AL1374" s="809"/>
      <c r="AM1374" s="809"/>
      <c r="AN1374" s="809"/>
      <c r="AO1374" s="809"/>
      <c r="AP1374" s="809"/>
      <c r="AQ1374" s="809"/>
      <c r="AR1374" s="809"/>
      <c r="AS1374" s="809"/>
      <c r="AT1374" s="809"/>
      <c r="AU1374" s="809"/>
      <c r="AV1374" s="809"/>
      <c r="AW1374" s="809"/>
      <c r="AX1374" s="809"/>
      <c r="AY1374" s="809"/>
      <c r="AZ1374" s="809"/>
      <c r="BA1374" s="809"/>
      <c r="BB1374" s="809"/>
      <c r="BC1374" s="809"/>
      <c r="BD1374" s="809"/>
      <c r="BE1374" s="809"/>
      <c r="BF1374" s="809"/>
      <c r="BG1374" s="809"/>
      <c r="BH1374" s="809"/>
      <c r="BI1374" s="809"/>
      <c r="BJ1374" s="809"/>
      <c r="BK1374" s="809"/>
      <c r="BL1374" s="809"/>
      <c r="BM1374" s="809"/>
      <c r="BN1374" s="809"/>
    </row>
    <row r="1375" spans="1:66">
      <c r="A1375" s="809"/>
      <c r="B1375" s="809"/>
      <c r="C1375" s="809"/>
      <c r="D1375" s="809"/>
      <c r="E1375" s="809"/>
      <c r="F1375" s="809"/>
      <c r="G1375" s="809"/>
      <c r="H1375" s="809"/>
      <c r="I1375" s="809"/>
      <c r="J1375" s="809"/>
      <c r="K1375" s="809"/>
      <c r="L1375" s="809"/>
      <c r="M1375" s="809"/>
      <c r="N1375" s="809"/>
      <c r="O1375" s="809"/>
      <c r="P1375" s="809"/>
      <c r="Q1375" s="809"/>
      <c r="R1375" s="809"/>
      <c r="S1375" s="809"/>
      <c r="T1375" s="809"/>
      <c r="U1375" s="809"/>
      <c r="V1375" s="809"/>
      <c r="W1375" s="809"/>
      <c r="X1375" s="809"/>
      <c r="Y1375" s="809"/>
      <c r="Z1375" s="809"/>
      <c r="AA1375" s="809"/>
      <c r="AB1375" s="809"/>
      <c r="AC1375" s="809"/>
      <c r="AD1375" s="809"/>
      <c r="AE1375" s="809"/>
      <c r="AF1375" s="809"/>
      <c r="AG1375" s="809"/>
      <c r="AH1375" s="809"/>
      <c r="AI1375" s="809"/>
      <c r="AJ1375" s="809"/>
      <c r="AK1375" s="809"/>
      <c r="AL1375" s="809"/>
      <c r="AM1375" s="809"/>
      <c r="AN1375" s="809"/>
      <c r="AO1375" s="809"/>
      <c r="AP1375" s="809"/>
      <c r="AQ1375" s="809"/>
      <c r="AR1375" s="809"/>
      <c r="AS1375" s="809"/>
      <c r="AT1375" s="809"/>
      <c r="AU1375" s="809"/>
      <c r="AV1375" s="809"/>
      <c r="AW1375" s="809"/>
      <c r="AX1375" s="809"/>
      <c r="AY1375" s="809"/>
      <c r="AZ1375" s="809"/>
      <c r="BA1375" s="809"/>
      <c r="BB1375" s="809"/>
      <c r="BC1375" s="809"/>
      <c r="BD1375" s="809"/>
      <c r="BE1375" s="809"/>
      <c r="BF1375" s="809"/>
      <c r="BG1375" s="809"/>
      <c r="BH1375" s="809"/>
      <c r="BI1375" s="809"/>
      <c r="BJ1375" s="809"/>
      <c r="BK1375" s="809"/>
      <c r="BL1375" s="809"/>
      <c r="BM1375" s="809"/>
      <c r="BN1375" s="809"/>
    </row>
    <row r="1376" spans="1:66">
      <c r="A1376" s="809"/>
      <c r="B1376" s="809"/>
      <c r="C1376" s="809"/>
      <c r="D1376" s="809"/>
      <c r="E1376" s="809"/>
      <c r="F1376" s="809"/>
      <c r="G1376" s="809"/>
      <c r="H1376" s="809"/>
      <c r="I1376" s="809"/>
      <c r="J1376" s="809"/>
      <c r="K1376" s="809"/>
      <c r="L1376" s="809"/>
      <c r="M1376" s="809"/>
      <c r="N1376" s="809"/>
      <c r="O1376" s="809"/>
      <c r="P1376" s="809"/>
      <c r="Q1376" s="809"/>
      <c r="R1376" s="809"/>
      <c r="S1376" s="809"/>
      <c r="T1376" s="809"/>
      <c r="U1376" s="809"/>
      <c r="V1376" s="809"/>
      <c r="W1376" s="809"/>
      <c r="X1376" s="809"/>
      <c r="Y1376" s="809"/>
      <c r="Z1376" s="809"/>
      <c r="AA1376" s="809"/>
      <c r="AB1376" s="809"/>
      <c r="AC1376" s="809"/>
      <c r="AD1376" s="809"/>
      <c r="AE1376" s="809"/>
      <c r="AF1376" s="809"/>
      <c r="AG1376" s="809"/>
      <c r="AH1376" s="809"/>
      <c r="AI1376" s="809"/>
      <c r="AJ1376" s="809"/>
      <c r="AK1376" s="809"/>
      <c r="AL1376" s="809"/>
      <c r="AM1376" s="809"/>
      <c r="AN1376" s="809"/>
      <c r="AO1376" s="809"/>
      <c r="AP1376" s="809"/>
      <c r="AQ1376" s="809"/>
      <c r="AR1376" s="809"/>
      <c r="AS1376" s="809"/>
      <c r="AT1376" s="809"/>
      <c r="AU1376" s="809"/>
      <c r="AV1376" s="809"/>
      <c r="AW1376" s="809"/>
      <c r="AX1376" s="809"/>
      <c r="AY1376" s="809"/>
      <c r="AZ1376" s="809"/>
      <c r="BA1376" s="809"/>
      <c r="BB1376" s="809"/>
      <c r="BC1376" s="809"/>
      <c r="BD1376" s="809"/>
      <c r="BE1376" s="809"/>
      <c r="BF1376" s="809"/>
      <c r="BG1376" s="809"/>
      <c r="BH1376" s="809"/>
      <c r="BI1376" s="809"/>
      <c r="BJ1376" s="809"/>
      <c r="BK1376" s="809"/>
      <c r="BL1376" s="809"/>
      <c r="BM1376" s="809"/>
      <c r="BN1376" s="809"/>
    </row>
    <row r="1377" spans="1:66">
      <c r="A1377" s="809"/>
      <c r="B1377" s="809"/>
      <c r="C1377" s="809"/>
      <c r="D1377" s="809"/>
      <c r="E1377" s="809"/>
      <c r="F1377" s="809"/>
      <c r="G1377" s="809"/>
      <c r="H1377" s="809"/>
      <c r="I1377" s="809"/>
      <c r="J1377" s="809"/>
      <c r="K1377" s="809"/>
      <c r="L1377" s="809"/>
      <c r="M1377" s="809"/>
      <c r="N1377" s="809"/>
      <c r="O1377" s="809"/>
      <c r="P1377" s="809"/>
      <c r="Q1377" s="809"/>
      <c r="R1377" s="809"/>
      <c r="S1377" s="809"/>
      <c r="T1377" s="809"/>
      <c r="U1377" s="809"/>
      <c r="V1377" s="809"/>
      <c r="W1377" s="809"/>
      <c r="X1377" s="809"/>
      <c r="Y1377" s="809"/>
      <c r="Z1377" s="809"/>
      <c r="AA1377" s="809"/>
      <c r="AB1377" s="809"/>
      <c r="AC1377" s="809"/>
      <c r="AD1377" s="809"/>
      <c r="AE1377" s="809"/>
      <c r="AF1377" s="809"/>
      <c r="AG1377" s="809"/>
      <c r="AH1377" s="809"/>
      <c r="AI1377" s="809"/>
      <c r="AJ1377" s="809"/>
      <c r="AK1377" s="809"/>
      <c r="AL1377" s="809"/>
      <c r="AM1377" s="809"/>
      <c r="AN1377" s="809"/>
      <c r="AO1377" s="809"/>
      <c r="AP1377" s="809"/>
      <c r="AQ1377" s="809"/>
      <c r="AR1377" s="809"/>
      <c r="AS1377" s="809"/>
      <c r="AT1377" s="809"/>
      <c r="AU1377" s="809"/>
      <c r="AV1377" s="809"/>
      <c r="AW1377" s="809"/>
      <c r="AX1377" s="809"/>
      <c r="AY1377" s="809"/>
      <c r="AZ1377" s="809"/>
      <c r="BA1377" s="809"/>
      <c r="BB1377" s="809"/>
      <c r="BC1377" s="809"/>
      <c r="BD1377" s="809"/>
      <c r="BE1377" s="809"/>
      <c r="BF1377" s="809"/>
      <c r="BG1377" s="809"/>
      <c r="BH1377" s="809"/>
      <c r="BI1377" s="809"/>
      <c r="BJ1377" s="809"/>
      <c r="BK1377" s="809"/>
      <c r="BL1377" s="809"/>
      <c r="BM1377" s="809"/>
      <c r="BN1377" s="809"/>
    </row>
    <row r="1378" spans="1:66">
      <c r="A1378" s="809"/>
      <c r="B1378" s="809"/>
      <c r="C1378" s="809"/>
      <c r="D1378" s="809"/>
      <c r="E1378" s="809"/>
      <c r="F1378" s="809"/>
      <c r="G1378" s="809"/>
      <c r="H1378" s="809"/>
      <c r="I1378" s="809"/>
      <c r="J1378" s="809"/>
      <c r="K1378" s="809"/>
      <c r="L1378" s="809"/>
      <c r="M1378" s="809"/>
      <c r="N1378" s="809"/>
      <c r="O1378" s="809"/>
      <c r="P1378" s="809"/>
      <c r="Q1378" s="809"/>
      <c r="R1378" s="809"/>
      <c r="S1378" s="809"/>
      <c r="T1378" s="809"/>
      <c r="U1378" s="809"/>
      <c r="V1378" s="809"/>
      <c r="W1378" s="809"/>
      <c r="X1378" s="809"/>
      <c r="Y1378" s="809"/>
      <c r="Z1378" s="809"/>
      <c r="AA1378" s="809"/>
      <c r="AB1378" s="809"/>
      <c r="AC1378" s="809"/>
      <c r="AD1378" s="809"/>
      <c r="AE1378" s="809"/>
      <c r="AF1378" s="809"/>
      <c r="AG1378" s="809"/>
      <c r="AH1378" s="809"/>
      <c r="AI1378" s="809"/>
      <c r="AJ1378" s="809"/>
      <c r="AK1378" s="809"/>
      <c r="AL1378" s="809"/>
      <c r="AM1378" s="809"/>
      <c r="AN1378" s="809"/>
      <c r="AO1378" s="809"/>
      <c r="AP1378" s="809"/>
      <c r="AQ1378" s="809"/>
      <c r="AR1378" s="809"/>
      <c r="AS1378" s="809"/>
      <c r="AT1378" s="809"/>
      <c r="AU1378" s="809"/>
      <c r="AV1378" s="809"/>
      <c r="AW1378" s="809"/>
      <c r="AX1378" s="809"/>
      <c r="AY1378" s="809"/>
      <c r="AZ1378" s="809"/>
      <c r="BA1378" s="809"/>
      <c r="BB1378" s="809"/>
      <c r="BC1378" s="809"/>
      <c r="BD1378" s="809"/>
      <c r="BE1378" s="809"/>
      <c r="BF1378" s="809"/>
      <c r="BG1378" s="809"/>
      <c r="BH1378" s="809"/>
      <c r="BI1378" s="809"/>
      <c r="BJ1378" s="809"/>
      <c r="BK1378" s="809"/>
      <c r="BL1378" s="809"/>
      <c r="BM1378" s="809"/>
      <c r="BN1378" s="809"/>
    </row>
    <row r="1379" spans="1:66">
      <c r="A1379" s="809"/>
      <c r="B1379" s="809"/>
      <c r="C1379" s="809"/>
      <c r="D1379" s="809"/>
      <c r="E1379" s="809"/>
      <c r="F1379" s="809"/>
      <c r="G1379" s="809"/>
      <c r="H1379" s="809"/>
      <c r="I1379" s="809"/>
      <c r="J1379" s="809"/>
      <c r="K1379" s="809"/>
      <c r="L1379" s="809"/>
      <c r="M1379" s="809"/>
      <c r="N1379" s="809"/>
      <c r="O1379" s="809"/>
      <c r="P1379" s="809"/>
      <c r="Q1379" s="809"/>
      <c r="R1379" s="809"/>
      <c r="S1379" s="809"/>
      <c r="T1379" s="809"/>
      <c r="U1379" s="809"/>
      <c r="V1379" s="809"/>
      <c r="W1379" s="809"/>
      <c r="X1379" s="809"/>
      <c r="Y1379" s="809"/>
      <c r="Z1379" s="809"/>
      <c r="AA1379" s="809"/>
      <c r="AB1379" s="809"/>
      <c r="AC1379" s="809"/>
      <c r="AD1379" s="809"/>
      <c r="AE1379" s="809"/>
      <c r="AF1379" s="809"/>
      <c r="AG1379" s="809"/>
      <c r="AH1379" s="809"/>
      <c r="AI1379" s="809"/>
      <c r="AJ1379" s="809"/>
      <c r="AK1379" s="809"/>
      <c r="AL1379" s="809"/>
      <c r="AM1379" s="809"/>
      <c r="AN1379" s="809"/>
      <c r="AO1379" s="809"/>
      <c r="AP1379" s="809"/>
      <c r="AQ1379" s="809"/>
      <c r="AR1379" s="809"/>
      <c r="AS1379" s="809"/>
      <c r="AT1379" s="809"/>
      <c r="AU1379" s="809"/>
      <c r="AV1379" s="809"/>
      <c r="AW1379" s="809"/>
      <c r="AX1379" s="809"/>
      <c r="AY1379" s="809"/>
      <c r="AZ1379" s="809"/>
      <c r="BA1379" s="809"/>
      <c r="BB1379" s="809"/>
      <c r="BC1379" s="809"/>
      <c r="BD1379" s="809"/>
      <c r="BE1379" s="809"/>
      <c r="BF1379" s="809"/>
      <c r="BG1379" s="809"/>
      <c r="BH1379" s="809"/>
      <c r="BI1379" s="809"/>
      <c r="BJ1379" s="809"/>
      <c r="BK1379" s="809"/>
      <c r="BL1379" s="809"/>
      <c r="BM1379" s="809"/>
      <c r="BN1379" s="809"/>
    </row>
    <row r="1380" spans="1:66">
      <c r="A1380" s="809"/>
      <c r="B1380" s="809"/>
      <c r="C1380" s="809"/>
      <c r="D1380" s="809"/>
      <c r="E1380" s="809"/>
      <c r="F1380" s="809"/>
      <c r="G1380" s="809"/>
      <c r="H1380" s="809"/>
      <c r="I1380" s="809"/>
      <c r="J1380" s="809"/>
      <c r="K1380" s="809"/>
      <c r="L1380" s="809"/>
      <c r="M1380" s="809"/>
      <c r="N1380" s="809"/>
      <c r="O1380" s="809"/>
      <c r="P1380" s="809"/>
      <c r="Q1380" s="809"/>
      <c r="R1380" s="809"/>
      <c r="S1380" s="809"/>
      <c r="T1380" s="809"/>
      <c r="U1380" s="809"/>
      <c r="V1380" s="809"/>
      <c r="W1380" s="809"/>
      <c r="X1380" s="809"/>
      <c r="Y1380" s="809"/>
      <c r="Z1380" s="809"/>
      <c r="AA1380" s="809"/>
      <c r="AB1380" s="809"/>
      <c r="AC1380" s="809"/>
      <c r="AD1380" s="809"/>
      <c r="AE1380" s="809"/>
      <c r="AF1380" s="809"/>
      <c r="AG1380" s="809"/>
      <c r="AH1380" s="809"/>
      <c r="AI1380" s="809"/>
      <c r="AJ1380" s="809"/>
      <c r="AK1380" s="809"/>
      <c r="AL1380" s="809"/>
      <c r="AM1380" s="809"/>
      <c r="AN1380" s="809"/>
      <c r="AO1380" s="809"/>
      <c r="AP1380" s="809"/>
      <c r="AQ1380" s="809"/>
      <c r="AR1380" s="809"/>
      <c r="AS1380" s="809"/>
      <c r="AT1380" s="809"/>
      <c r="AU1380" s="809"/>
      <c r="AV1380" s="809"/>
      <c r="AW1380" s="809"/>
      <c r="AX1380" s="809"/>
      <c r="AY1380" s="809"/>
      <c r="AZ1380" s="809"/>
      <c r="BA1380" s="809"/>
      <c r="BB1380" s="809"/>
      <c r="BC1380" s="809"/>
      <c r="BD1380" s="809"/>
      <c r="BE1380" s="809"/>
      <c r="BF1380" s="809"/>
      <c r="BG1380" s="809"/>
      <c r="BH1380" s="809"/>
      <c r="BI1380" s="809"/>
      <c r="BJ1380" s="809"/>
      <c r="BK1380" s="809"/>
      <c r="BL1380" s="809"/>
      <c r="BM1380" s="809"/>
      <c r="BN1380" s="809"/>
    </row>
    <row r="1381" spans="1:66">
      <c r="A1381" s="809"/>
      <c r="B1381" s="809"/>
      <c r="C1381" s="809"/>
      <c r="D1381" s="809"/>
      <c r="E1381" s="809"/>
      <c r="F1381" s="809"/>
      <c r="G1381" s="809"/>
      <c r="H1381" s="809"/>
      <c r="I1381" s="809"/>
      <c r="J1381" s="809"/>
      <c r="K1381" s="809"/>
      <c r="L1381" s="809"/>
      <c r="M1381" s="809"/>
      <c r="N1381" s="809"/>
      <c r="O1381" s="809"/>
      <c r="P1381" s="809"/>
      <c r="Q1381" s="809"/>
      <c r="R1381" s="809"/>
      <c r="S1381" s="809"/>
      <c r="T1381" s="809"/>
      <c r="U1381" s="809"/>
      <c r="V1381" s="809"/>
      <c r="W1381" s="809"/>
      <c r="X1381" s="809"/>
      <c r="Y1381" s="809"/>
      <c r="Z1381" s="809"/>
      <c r="AA1381" s="809"/>
      <c r="AB1381" s="809"/>
      <c r="AC1381" s="809"/>
      <c r="AD1381" s="809"/>
      <c r="AE1381" s="809"/>
      <c r="AF1381" s="809"/>
      <c r="AG1381" s="809"/>
      <c r="AH1381" s="809"/>
      <c r="AI1381" s="809"/>
      <c r="AJ1381" s="809"/>
      <c r="AK1381" s="809"/>
      <c r="AL1381" s="809"/>
      <c r="AM1381" s="809"/>
      <c r="AN1381" s="809"/>
      <c r="AO1381" s="809"/>
      <c r="AP1381" s="809"/>
      <c r="AQ1381" s="809"/>
      <c r="AR1381" s="809"/>
      <c r="AS1381" s="809"/>
      <c r="AT1381" s="809"/>
      <c r="AU1381" s="809"/>
      <c r="AV1381" s="809"/>
      <c r="AW1381" s="809"/>
      <c r="AX1381" s="809"/>
      <c r="AY1381" s="809"/>
      <c r="AZ1381" s="809"/>
      <c r="BA1381" s="809"/>
      <c r="BB1381" s="809"/>
      <c r="BC1381" s="809"/>
      <c r="BD1381" s="809"/>
      <c r="BE1381" s="809"/>
      <c r="BF1381" s="809"/>
      <c r="BG1381" s="809"/>
      <c r="BH1381" s="809"/>
      <c r="BI1381" s="809"/>
      <c r="BJ1381" s="809"/>
      <c r="BK1381" s="809"/>
      <c r="BL1381" s="809"/>
      <c r="BM1381" s="809"/>
      <c r="BN1381" s="809"/>
    </row>
    <row r="1382" spans="1:66">
      <c r="A1382" s="809"/>
      <c r="B1382" s="809"/>
      <c r="C1382" s="809"/>
      <c r="D1382" s="809"/>
      <c r="E1382" s="809"/>
      <c r="F1382" s="809"/>
      <c r="G1382" s="809"/>
      <c r="H1382" s="809"/>
      <c r="I1382" s="809"/>
      <c r="J1382" s="809"/>
      <c r="K1382" s="809"/>
      <c r="L1382" s="809"/>
      <c r="M1382" s="809"/>
      <c r="N1382" s="809"/>
      <c r="O1382" s="809"/>
      <c r="P1382" s="809"/>
      <c r="Q1382" s="809"/>
      <c r="R1382" s="809"/>
      <c r="S1382" s="809"/>
      <c r="T1382" s="809"/>
      <c r="U1382" s="809"/>
      <c r="V1382" s="809"/>
      <c r="W1382" s="809"/>
      <c r="X1382" s="809"/>
      <c r="Y1382" s="809"/>
      <c r="Z1382" s="809"/>
      <c r="AA1382" s="809"/>
      <c r="AB1382" s="809"/>
      <c r="AC1382" s="809"/>
      <c r="AD1382" s="809"/>
      <c r="AE1382" s="809"/>
      <c r="AF1382" s="809"/>
      <c r="AG1382" s="809"/>
      <c r="AH1382" s="809"/>
      <c r="AI1382" s="809"/>
      <c r="AJ1382" s="809"/>
      <c r="AK1382" s="809"/>
      <c r="AL1382" s="809"/>
      <c r="AM1382" s="809"/>
      <c r="AN1382" s="809"/>
      <c r="AO1382" s="809"/>
      <c r="AP1382" s="809"/>
      <c r="AQ1382" s="809"/>
      <c r="AR1382" s="809"/>
      <c r="AS1382" s="809"/>
      <c r="AT1382" s="809"/>
      <c r="AU1382" s="809"/>
      <c r="AV1382" s="809"/>
      <c r="AW1382" s="809"/>
      <c r="AX1382" s="809"/>
      <c r="AY1382" s="809"/>
      <c r="AZ1382" s="809"/>
      <c r="BA1382" s="809"/>
      <c r="BB1382" s="809"/>
      <c r="BC1382" s="809"/>
      <c r="BD1382" s="809"/>
      <c r="BE1382" s="809"/>
      <c r="BF1382" s="809"/>
      <c r="BG1382" s="809"/>
      <c r="BH1382" s="809"/>
      <c r="BI1382" s="809"/>
      <c r="BJ1382" s="809"/>
      <c r="BK1382" s="809"/>
      <c r="BL1382" s="809"/>
      <c r="BM1382" s="809"/>
      <c r="BN1382" s="809"/>
    </row>
    <row r="1383" spans="1:66">
      <c r="A1383" s="809"/>
      <c r="B1383" s="809"/>
      <c r="C1383" s="809"/>
      <c r="D1383" s="809"/>
      <c r="E1383" s="809"/>
      <c r="F1383" s="809"/>
      <c r="G1383" s="809"/>
      <c r="H1383" s="809"/>
      <c r="I1383" s="809"/>
      <c r="J1383" s="809"/>
      <c r="K1383" s="809"/>
      <c r="L1383" s="809"/>
      <c r="M1383" s="809"/>
      <c r="N1383" s="809"/>
      <c r="O1383" s="809"/>
      <c r="P1383" s="809"/>
      <c r="Q1383" s="809"/>
      <c r="R1383" s="809"/>
      <c r="S1383" s="809"/>
      <c r="T1383" s="809"/>
      <c r="U1383" s="809"/>
      <c r="V1383" s="809"/>
      <c r="W1383" s="809"/>
      <c r="X1383" s="809"/>
      <c r="Y1383" s="809"/>
      <c r="Z1383" s="809"/>
      <c r="AA1383" s="809"/>
      <c r="AB1383" s="809"/>
      <c r="AC1383" s="809"/>
      <c r="AD1383" s="809"/>
      <c r="AE1383" s="809"/>
      <c r="AF1383" s="809"/>
      <c r="AG1383" s="809"/>
      <c r="AH1383" s="809"/>
      <c r="AI1383" s="809"/>
      <c r="AJ1383" s="809"/>
      <c r="AK1383" s="809"/>
      <c r="AL1383" s="809"/>
      <c r="AM1383" s="809"/>
      <c r="AN1383" s="809"/>
      <c r="AO1383" s="809"/>
      <c r="AP1383" s="809"/>
      <c r="AQ1383" s="809"/>
      <c r="AR1383" s="809"/>
      <c r="AS1383" s="809"/>
      <c r="AT1383" s="809"/>
      <c r="AU1383" s="809"/>
      <c r="AV1383" s="809"/>
      <c r="AW1383" s="809"/>
      <c r="AX1383" s="809"/>
      <c r="AY1383" s="809"/>
      <c r="AZ1383" s="809"/>
      <c r="BA1383" s="809"/>
      <c r="BB1383" s="809"/>
      <c r="BC1383" s="809"/>
      <c r="BD1383" s="809"/>
      <c r="BE1383" s="809"/>
      <c r="BF1383" s="809"/>
      <c r="BG1383" s="809"/>
      <c r="BH1383" s="809"/>
      <c r="BI1383" s="809"/>
      <c r="BJ1383" s="809"/>
      <c r="BK1383" s="809"/>
      <c r="BL1383" s="809"/>
      <c r="BM1383" s="809"/>
      <c r="BN1383" s="809"/>
    </row>
    <row r="1384" spans="1:66">
      <c r="A1384" s="809"/>
      <c r="B1384" s="809"/>
      <c r="C1384" s="809"/>
      <c r="D1384" s="809"/>
      <c r="E1384" s="809"/>
      <c r="F1384" s="809"/>
      <c r="G1384" s="809"/>
      <c r="H1384" s="809"/>
      <c r="I1384" s="809"/>
      <c r="J1384" s="809"/>
      <c r="K1384" s="809"/>
      <c r="L1384" s="809"/>
      <c r="M1384" s="809"/>
      <c r="N1384" s="809"/>
      <c r="O1384" s="809"/>
      <c r="P1384" s="809"/>
      <c r="Q1384" s="809"/>
      <c r="R1384" s="809"/>
      <c r="S1384" s="809"/>
      <c r="T1384" s="809"/>
      <c r="U1384" s="809"/>
      <c r="V1384" s="809"/>
      <c r="W1384" s="809"/>
      <c r="X1384" s="809"/>
      <c r="Y1384" s="809"/>
      <c r="Z1384" s="809"/>
      <c r="AA1384" s="809"/>
      <c r="AB1384" s="809"/>
      <c r="AC1384" s="809"/>
      <c r="AD1384" s="809"/>
      <c r="AE1384" s="809"/>
      <c r="AF1384" s="809"/>
      <c r="AG1384" s="809"/>
      <c r="AH1384" s="809"/>
      <c r="AI1384" s="809"/>
      <c r="AJ1384" s="809"/>
      <c r="AK1384" s="809"/>
      <c r="AL1384" s="809"/>
      <c r="AM1384" s="809"/>
      <c r="AN1384" s="809"/>
      <c r="AO1384" s="809"/>
      <c r="AP1384" s="809"/>
      <c r="AQ1384" s="809"/>
      <c r="AR1384" s="809"/>
      <c r="AS1384" s="809"/>
      <c r="AT1384" s="809"/>
      <c r="AU1384" s="809"/>
      <c r="AV1384" s="809"/>
      <c r="AW1384" s="809"/>
      <c r="AX1384" s="809"/>
      <c r="AY1384" s="809"/>
      <c r="AZ1384" s="809"/>
      <c r="BA1384" s="809"/>
      <c r="BB1384" s="809"/>
      <c r="BC1384" s="809"/>
      <c r="BD1384" s="809"/>
      <c r="BE1384" s="809"/>
      <c r="BF1384" s="809"/>
      <c r="BG1384" s="809"/>
      <c r="BH1384" s="809"/>
      <c r="BI1384" s="809"/>
      <c r="BJ1384" s="809"/>
      <c r="BK1384" s="809"/>
      <c r="BL1384" s="809"/>
      <c r="BM1384" s="809"/>
      <c r="BN1384" s="809"/>
    </row>
    <row r="1385" spans="1:66">
      <c r="A1385" s="809"/>
      <c r="B1385" s="809"/>
      <c r="C1385" s="809"/>
      <c r="D1385" s="809"/>
      <c r="E1385" s="809"/>
      <c r="F1385" s="809"/>
      <c r="G1385" s="809"/>
      <c r="H1385" s="809"/>
      <c r="I1385" s="809"/>
      <c r="J1385" s="809"/>
      <c r="K1385" s="809"/>
      <c r="L1385" s="809"/>
      <c r="M1385" s="809"/>
      <c r="N1385" s="809"/>
      <c r="O1385" s="809"/>
      <c r="P1385" s="809"/>
      <c r="Q1385" s="809"/>
      <c r="R1385" s="809"/>
      <c r="S1385" s="809"/>
      <c r="T1385" s="809"/>
      <c r="U1385" s="809"/>
      <c r="V1385" s="809"/>
      <c r="W1385" s="809"/>
      <c r="X1385" s="809"/>
      <c r="Y1385" s="809"/>
      <c r="Z1385" s="809"/>
      <c r="AA1385" s="809"/>
      <c r="AB1385" s="809"/>
      <c r="AC1385" s="809"/>
      <c r="AD1385" s="809"/>
      <c r="AE1385" s="809"/>
      <c r="AF1385" s="809"/>
      <c r="AG1385" s="809"/>
      <c r="AH1385" s="809"/>
      <c r="AI1385" s="809"/>
      <c r="AJ1385" s="809"/>
      <c r="AK1385" s="809"/>
      <c r="AL1385" s="809"/>
      <c r="AM1385" s="809"/>
      <c r="AN1385" s="809"/>
      <c r="AO1385" s="809"/>
      <c r="AP1385" s="809"/>
      <c r="AQ1385" s="809"/>
      <c r="AR1385" s="809"/>
      <c r="AS1385" s="809"/>
      <c r="AT1385" s="809"/>
      <c r="AU1385" s="809"/>
      <c r="AV1385" s="809"/>
      <c r="AW1385" s="809"/>
      <c r="AX1385" s="809"/>
      <c r="AY1385" s="809"/>
      <c r="AZ1385" s="809"/>
      <c r="BA1385" s="809"/>
      <c r="BB1385" s="809"/>
      <c r="BC1385" s="809"/>
      <c r="BD1385" s="809"/>
      <c r="BE1385" s="809"/>
      <c r="BF1385" s="809"/>
      <c r="BG1385" s="809"/>
      <c r="BH1385" s="809"/>
      <c r="BI1385" s="809"/>
      <c r="BJ1385" s="809"/>
      <c r="BK1385" s="809"/>
      <c r="BL1385" s="809"/>
      <c r="BM1385" s="809"/>
      <c r="BN1385" s="809"/>
    </row>
    <row r="1386" spans="1:66">
      <c r="A1386" s="809"/>
      <c r="B1386" s="809"/>
      <c r="C1386" s="809"/>
      <c r="D1386" s="809"/>
      <c r="E1386" s="809"/>
      <c r="F1386" s="809"/>
      <c r="G1386" s="809"/>
      <c r="H1386" s="809"/>
      <c r="I1386" s="809"/>
      <c r="J1386" s="809"/>
      <c r="K1386" s="809"/>
      <c r="L1386" s="809"/>
      <c r="M1386" s="809"/>
      <c r="N1386" s="809"/>
      <c r="O1386" s="809"/>
      <c r="P1386" s="809"/>
      <c r="Q1386" s="809"/>
      <c r="R1386" s="809"/>
      <c r="S1386" s="809"/>
      <c r="T1386" s="809"/>
      <c r="U1386" s="809"/>
      <c r="V1386" s="809"/>
      <c r="W1386" s="809"/>
      <c r="X1386" s="809"/>
      <c r="Y1386" s="809"/>
      <c r="Z1386" s="809"/>
      <c r="AA1386" s="809"/>
      <c r="AB1386" s="809"/>
      <c r="AC1386" s="809"/>
      <c r="AD1386" s="809"/>
      <c r="AE1386" s="809"/>
      <c r="AF1386" s="809"/>
      <c r="AG1386" s="809"/>
      <c r="AH1386" s="809"/>
      <c r="AI1386" s="809"/>
      <c r="AJ1386" s="809"/>
      <c r="AK1386" s="809"/>
      <c r="AL1386" s="809"/>
      <c r="AM1386" s="809"/>
      <c r="AN1386" s="809"/>
      <c r="AO1386" s="809"/>
      <c r="AP1386" s="809"/>
      <c r="AQ1386" s="809"/>
      <c r="AR1386" s="809"/>
      <c r="AS1386" s="809"/>
      <c r="AT1386" s="809"/>
      <c r="AU1386" s="809"/>
      <c r="AV1386" s="809"/>
      <c r="AW1386" s="809"/>
      <c r="AX1386" s="809"/>
      <c r="AY1386" s="809"/>
      <c r="AZ1386" s="809"/>
      <c r="BA1386" s="809"/>
      <c r="BB1386" s="809"/>
      <c r="BC1386" s="809"/>
      <c r="BD1386" s="809"/>
      <c r="BE1386" s="809"/>
      <c r="BF1386" s="809"/>
      <c r="BG1386" s="809"/>
      <c r="BH1386" s="809"/>
      <c r="BI1386" s="809"/>
      <c r="BJ1386" s="809"/>
      <c r="BK1386" s="809"/>
      <c r="BL1386" s="809"/>
      <c r="BM1386" s="809"/>
      <c r="BN1386" s="809"/>
    </row>
    <row r="1387" spans="1:66">
      <c r="A1387" s="809"/>
      <c r="B1387" s="809"/>
      <c r="C1387" s="809"/>
      <c r="D1387" s="809"/>
      <c r="E1387" s="809"/>
      <c r="F1387" s="809"/>
      <c r="G1387" s="809"/>
      <c r="H1387" s="809"/>
      <c r="I1387" s="809"/>
      <c r="J1387" s="809"/>
      <c r="K1387" s="809"/>
      <c r="L1387" s="809"/>
      <c r="M1387" s="809"/>
      <c r="N1387" s="809"/>
      <c r="O1387" s="809"/>
      <c r="P1387" s="809"/>
      <c r="Q1387" s="809"/>
      <c r="R1387" s="809"/>
      <c r="S1387" s="809"/>
      <c r="T1387" s="809"/>
      <c r="U1387" s="809"/>
      <c r="V1387" s="809"/>
      <c r="W1387" s="809"/>
      <c r="X1387" s="809"/>
      <c r="Y1387" s="809"/>
      <c r="Z1387" s="809"/>
      <c r="AA1387" s="809"/>
      <c r="AB1387" s="809"/>
      <c r="AC1387" s="809"/>
      <c r="AD1387" s="809"/>
      <c r="AE1387" s="809"/>
      <c r="AF1387" s="809"/>
      <c r="AG1387" s="809"/>
      <c r="AH1387" s="809"/>
      <c r="AI1387" s="809"/>
      <c r="AJ1387" s="809"/>
      <c r="AK1387" s="809"/>
      <c r="AL1387" s="809"/>
      <c r="AM1387" s="809"/>
      <c r="AN1387" s="809"/>
      <c r="AO1387" s="809"/>
      <c r="AP1387" s="809"/>
      <c r="AQ1387" s="809"/>
      <c r="AR1387" s="809"/>
      <c r="AS1387" s="809"/>
      <c r="AT1387" s="809"/>
      <c r="AU1387" s="809"/>
      <c r="AV1387" s="809"/>
      <c r="AW1387" s="809"/>
      <c r="AX1387" s="809"/>
      <c r="AY1387" s="809"/>
      <c r="AZ1387" s="809"/>
      <c r="BA1387" s="809"/>
      <c r="BB1387" s="809"/>
      <c r="BC1387" s="809"/>
      <c r="BD1387" s="809"/>
      <c r="BE1387" s="809"/>
      <c r="BF1387" s="809"/>
      <c r="BG1387" s="809"/>
      <c r="BH1387" s="809"/>
      <c r="BI1387" s="809"/>
      <c r="BJ1387" s="809"/>
      <c r="BK1387" s="809"/>
      <c r="BL1387" s="809"/>
      <c r="BM1387" s="809"/>
      <c r="BN1387" s="809"/>
    </row>
    <row r="1388" spans="1:66">
      <c r="A1388" s="809"/>
      <c r="B1388" s="809"/>
      <c r="C1388" s="809"/>
      <c r="D1388" s="809"/>
      <c r="E1388" s="809"/>
      <c r="F1388" s="809"/>
      <c r="G1388" s="809"/>
      <c r="H1388" s="809"/>
      <c r="I1388" s="809"/>
      <c r="J1388" s="809"/>
      <c r="K1388" s="809"/>
      <c r="L1388" s="809"/>
      <c r="M1388" s="809"/>
      <c r="N1388" s="809"/>
      <c r="O1388" s="809"/>
      <c r="P1388" s="809"/>
      <c r="Q1388" s="809"/>
      <c r="R1388" s="809"/>
      <c r="S1388" s="809"/>
      <c r="T1388" s="809"/>
      <c r="U1388" s="809"/>
      <c r="V1388" s="809"/>
      <c r="W1388" s="809"/>
      <c r="X1388" s="809"/>
      <c r="Y1388" s="809"/>
      <c r="Z1388" s="809"/>
      <c r="AA1388" s="809"/>
      <c r="AB1388" s="809"/>
      <c r="AC1388" s="809"/>
      <c r="AD1388" s="809"/>
      <c r="AE1388" s="809"/>
      <c r="AF1388" s="809"/>
      <c r="AG1388" s="809"/>
      <c r="AH1388" s="809"/>
      <c r="AI1388" s="809"/>
      <c r="AJ1388" s="809"/>
      <c r="AK1388" s="809"/>
      <c r="AL1388" s="809"/>
      <c r="AM1388" s="809"/>
      <c r="AN1388" s="809"/>
      <c r="AO1388" s="809"/>
      <c r="AP1388" s="809"/>
      <c r="AQ1388" s="809"/>
      <c r="AR1388" s="809"/>
      <c r="AS1388" s="809"/>
      <c r="AT1388" s="809"/>
      <c r="AU1388" s="809"/>
      <c r="AV1388" s="809"/>
      <c r="AW1388" s="809"/>
      <c r="AX1388" s="809"/>
      <c r="AY1388" s="809"/>
      <c r="AZ1388" s="809"/>
      <c r="BA1388" s="809"/>
      <c r="BB1388" s="809"/>
      <c r="BC1388" s="809"/>
      <c r="BD1388" s="809"/>
      <c r="BE1388" s="809"/>
      <c r="BF1388" s="809"/>
      <c r="BG1388" s="809"/>
      <c r="BH1388" s="809"/>
      <c r="BI1388" s="809"/>
      <c r="BJ1388" s="809"/>
      <c r="BK1388" s="809"/>
      <c r="BL1388" s="809"/>
      <c r="BM1388" s="809"/>
      <c r="BN1388" s="809"/>
    </row>
    <row r="1389" spans="1:66">
      <c r="A1389" s="809"/>
      <c r="B1389" s="809"/>
      <c r="C1389" s="809"/>
      <c r="D1389" s="809"/>
      <c r="E1389" s="809"/>
      <c r="F1389" s="809"/>
      <c r="G1389" s="809"/>
      <c r="H1389" s="809"/>
      <c r="I1389" s="809"/>
      <c r="J1389" s="809"/>
      <c r="K1389" s="809"/>
      <c r="L1389" s="809"/>
      <c r="M1389" s="809"/>
      <c r="N1389" s="809"/>
      <c r="O1389" s="809"/>
      <c r="P1389" s="809"/>
      <c r="Q1389" s="809"/>
      <c r="R1389" s="809"/>
      <c r="S1389" s="809"/>
      <c r="T1389" s="809"/>
      <c r="U1389" s="809"/>
      <c r="V1389" s="809"/>
      <c r="W1389" s="809"/>
      <c r="X1389" s="809"/>
      <c r="Y1389" s="809"/>
      <c r="Z1389" s="809"/>
      <c r="AA1389" s="809"/>
      <c r="AB1389" s="809"/>
      <c r="AC1389" s="809"/>
      <c r="AD1389" s="809"/>
      <c r="AE1389" s="809"/>
      <c r="AF1389" s="809"/>
      <c r="AG1389" s="809"/>
      <c r="AH1389" s="809"/>
      <c r="AI1389" s="809"/>
      <c r="AJ1389" s="809"/>
      <c r="AK1389" s="809"/>
      <c r="AL1389" s="809"/>
      <c r="AM1389" s="809"/>
      <c r="AN1389" s="809"/>
      <c r="AO1389" s="809"/>
      <c r="AP1389" s="809"/>
      <c r="AQ1389" s="809"/>
      <c r="AR1389" s="809"/>
      <c r="AS1389" s="809"/>
      <c r="AT1389" s="809"/>
      <c r="AU1389" s="809"/>
      <c r="AV1389" s="809"/>
      <c r="AW1389" s="809"/>
      <c r="AX1389" s="809"/>
      <c r="AY1389" s="809"/>
      <c r="AZ1389" s="809"/>
      <c r="BA1389" s="809"/>
      <c r="BB1389" s="809"/>
      <c r="BC1389" s="809"/>
      <c r="BD1389" s="809"/>
      <c r="BE1389" s="809"/>
      <c r="BF1389" s="809"/>
      <c r="BG1389" s="809"/>
      <c r="BH1389" s="809"/>
      <c r="BI1389" s="809"/>
      <c r="BJ1389" s="809"/>
      <c r="BK1389" s="809"/>
      <c r="BL1389" s="809"/>
      <c r="BM1389" s="809"/>
      <c r="BN1389" s="809"/>
    </row>
    <row r="1390" spans="1:66">
      <c r="A1390" s="809"/>
      <c r="B1390" s="809"/>
      <c r="C1390" s="809"/>
      <c r="D1390" s="809"/>
      <c r="E1390" s="809"/>
      <c r="F1390" s="809"/>
      <c r="G1390" s="809"/>
      <c r="H1390" s="809"/>
      <c r="I1390" s="809"/>
      <c r="J1390" s="809"/>
      <c r="K1390" s="809"/>
      <c r="L1390" s="809"/>
      <c r="M1390" s="809"/>
      <c r="N1390" s="809"/>
      <c r="O1390" s="809"/>
      <c r="P1390" s="809"/>
      <c r="Q1390" s="809"/>
      <c r="R1390" s="809"/>
      <c r="S1390" s="809"/>
      <c r="T1390" s="809"/>
      <c r="U1390" s="809"/>
      <c r="V1390" s="809"/>
      <c r="W1390" s="809"/>
      <c r="X1390" s="809"/>
      <c r="Y1390" s="809"/>
      <c r="Z1390" s="809"/>
      <c r="AA1390" s="809"/>
      <c r="AB1390" s="809"/>
      <c r="AC1390" s="809"/>
      <c r="AD1390" s="809"/>
      <c r="AE1390" s="809"/>
      <c r="AF1390" s="809"/>
      <c r="AG1390" s="809"/>
      <c r="AH1390" s="809"/>
      <c r="AI1390" s="809"/>
      <c r="AJ1390" s="809"/>
      <c r="AK1390" s="809"/>
      <c r="AL1390" s="809"/>
      <c r="AM1390" s="809"/>
      <c r="AN1390" s="809"/>
      <c r="AO1390" s="809"/>
      <c r="AP1390" s="809"/>
      <c r="AQ1390" s="809"/>
      <c r="AR1390" s="809"/>
      <c r="AS1390" s="809"/>
      <c r="AT1390" s="809"/>
      <c r="AU1390" s="809"/>
      <c r="AV1390" s="809"/>
      <c r="AW1390" s="809"/>
      <c r="AX1390" s="809"/>
      <c r="AY1390" s="809"/>
      <c r="AZ1390" s="809"/>
      <c r="BA1390" s="809"/>
      <c r="BB1390" s="809"/>
      <c r="BC1390" s="809"/>
      <c r="BD1390" s="809"/>
      <c r="BE1390" s="809"/>
      <c r="BF1390" s="809"/>
      <c r="BG1390" s="809"/>
      <c r="BH1390" s="809"/>
      <c r="BI1390" s="809"/>
      <c r="BJ1390" s="809"/>
      <c r="BK1390" s="809"/>
      <c r="BL1390" s="809"/>
      <c r="BM1390" s="809"/>
      <c r="BN1390" s="809"/>
    </row>
    <row r="1391" spans="1:66">
      <c r="A1391" s="809"/>
      <c r="B1391" s="809"/>
      <c r="C1391" s="809"/>
      <c r="D1391" s="809"/>
      <c r="E1391" s="809"/>
      <c r="F1391" s="809"/>
      <c r="G1391" s="809"/>
      <c r="H1391" s="809"/>
      <c r="I1391" s="809"/>
      <c r="J1391" s="809"/>
      <c r="K1391" s="809"/>
      <c r="L1391" s="809"/>
      <c r="M1391" s="809"/>
      <c r="N1391" s="809"/>
      <c r="O1391" s="809"/>
      <c r="P1391" s="809"/>
      <c r="Q1391" s="809"/>
      <c r="R1391" s="809"/>
      <c r="S1391" s="809"/>
      <c r="T1391" s="809"/>
      <c r="U1391" s="809"/>
      <c r="V1391" s="809"/>
      <c r="W1391" s="809"/>
      <c r="X1391" s="809"/>
      <c r="Y1391" s="809"/>
      <c r="Z1391" s="809"/>
      <c r="AA1391" s="809"/>
      <c r="AB1391" s="809"/>
      <c r="AC1391" s="809"/>
      <c r="AD1391" s="809"/>
      <c r="AE1391" s="809"/>
      <c r="AF1391" s="809"/>
      <c r="AG1391" s="809"/>
      <c r="AH1391" s="809"/>
      <c r="AI1391" s="809"/>
      <c r="AJ1391" s="809"/>
      <c r="AK1391" s="809"/>
      <c r="AL1391" s="809"/>
      <c r="AM1391" s="809"/>
      <c r="AN1391" s="809"/>
      <c r="AO1391" s="809"/>
      <c r="AP1391" s="809"/>
      <c r="AQ1391" s="809"/>
      <c r="AR1391" s="809"/>
      <c r="AS1391" s="809"/>
      <c r="AT1391" s="809"/>
      <c r="AU1391" s="809"/>
      <c r="AV1391" s="809"/>
      <c r="AW1391" s="809"/>
      <c r="AX1391" s="809"/>
      <c r="AY1391" s="809"/>
      <c r="AZ1391" s="809"/>
      <c r="BA1391" s="809"/>
      <c r="BB1391" s="809"/>
      <c r="BC1391" s="809"/>
      <c r="BD1391" s="809"/>
      <c r="BE1391" s="809"/>
      <c r="BF1391" s="809"/>
      <c r="BG1391" s="809"/>
      <c r="BH1391" s="809"/>
      <c r="BI1391" s="809"/>
      <c r="BJ1391" s="809"/>
      <c r="BK1391" s="809"/>
      <c r="BL1391" s="809"/>
      <c r="BM1391" s="809"/>
      <c r="BN1391" s="809"/>
    </row>
    <row r="1392" spans="1:66">
      <c r="A1392" s="809"/>
      <c r="B1392" s="809"/>
      <c r="C1392" s="809"/>
      <c r="D1392" s="809"/>
      <c r="E1392" s="809"/>
      <c r="F1392" s="809"/>
      <c r="G1392" s="809"/>
      <c r="H1392" s="809"/>
      <c r="I1392" s="809"/>
      <c r="J1392" s="809"/>
      <c r="K1392" s="809"/>
      <c r="L1392" s="809"/>
      <c r="M1392" s="809"/>
      <c r="N1392" s="809"/>
      <c r="O1392" s="809"/>
      <c r="P1392" s="809"/>
      <c r="Q1392" s="809"/>
      <c r="R1392" s="809"/>
      <c r="S1392" s="809"/>
      <c r="T1392" s="809"/>
      <c r="U1392" s="809"/>
      <c r="V1392" s="809"/>
      <c r="W1392" s="809"/>
      <c r="X1392" s="809"/>
      <c r="Y1392" s="809"/>
      <c r="Z1392" s="809"/>
      <c r="AA1392" s="809"/>
      <c r="AB1392" s="809"/>
      <c r="AC1392" s="809"/>
      <c r="AD1392" s="809"/>
      <c r="AE1392" s="809"/>
      <c r="AF1392" s="809"/>
      <c r="AG1392" s="809"/>
      <c r="AH1392" s="809"/>
      <c r="AI1392" s="809"/>
      <c r="AJ1392" s="809"/>
      <c r="AK1392" s="809"/>
      <c r="AL1392" s="809"/>
      <c r="AM1392" s="809"/>
      <c r="AN1392" s="809"/>
      <c r="AO1392" s="809"/>
      <c r="AP1392" s="809"/>
      <c r="AQ1392" s="809"/>
      <c r="AR1392" s="809"/>
      <c r="AS1392" s="809"/>
      <c r="AT1392" s="809"/>
      <c r="AU1392" s="809"/>
      <c r="AV1392" s="809"/>
      <c r="AW1392" s="809"/>
      <c r="AX1392" s="809"/>
      <c r="AY1392" s="809"/>
      <c r="AZ1392" s="809"/>
      <c r="BA1392" s="809"/>
      <c r="BB1392" s="809"/>
      <c r="BC1392" s="809"/>
      <c r="BD1392" s="809"/>
      <c r="BE1392" s="809"/>
      <c r="BF1392" s="809"/>
      <c r="BG1392" s="809"/>
      <c r="BH1392" s="809"/>
      <c r="BI1392" s="809"/>
      <c r="BJ1392" s="809"/>
      <c r="BK1392" s="809"/>
      <c r="BL1392" s="809"/>
      <c r="BM1392" s="809"/>
      <c r="BN1392" s="809"/>
    </row>
    <row r="1393" spans="1:66">
      <c r="A1393" s="809"/>
      <c r="B1393" s="809"/>
      <c r="C1393" s="809"/>
      <c r="D1393" s="809"/>
      <c r="E1393" s="809"/>
      <c r="F1393" s="809"/>
      <c r="G1393" s="809"/>
      <c r="H1393" s="809"/>
      <c r="I1393" s="809"/>
      <c r="J1393" s="809"/>
      <c r="K1393" s="809"/>
      <c r="L1393" s="809"/>
      <c r="M1393" s="809"/>
      <c r="N1393" s="809"/>
      <c r="O1393" s="809"/>
      <c r="P1393" s="809"/>
      <c r="Q1393" s="809"/>
      <c r="R1393" s="809"/>
      <c r="S1393" s="809"/>
      <c r="T1393" s="809"/>
      <c r="U1393" s="809"/>
      <c r="V1393" s="809"/>
      <c r="W1393" s="809"/>
      <c r="X1393" s="809"/>
      <c r="Y1393" s="809"/>
      <c r="Z1393" s="809"/>
      <c r="AA1393" s="809"/>
      <c r="AB1393" s="809"/>
      <c r="AC1393" s="809"/>
      <c r="AD1393" s="809"/>
      <c r="AE1393" s="809"/>
      <c r="AF1393" s="809"/>
      <c r="AG1393" s="809"/>
      <c r="AH1393" s="809"/>
      <c r="AI1393" s="809"/>
      <c r="AJ1393" s="809"/>
      <c r="AK1393" s="809"/>
      <c r="AL1393" s="809"/>
      <c r="AM1393" s="809"/>
      <c r="AN1393" s="809"/>
      <c r="AO1393" s="809"/>
      <c r="AP1393" s="809"/>
      <c r="AQ1393" s="809"/>
      <c r="AR1393" s="809"/>
      <c r="AS1393" s="809"/>
      <c r="AT1393" s="809"/>
      <c r="AU1393" s="809"/>
      <c r="AV1393" s="809"/>
      <c r="AW1393" s="809"/>
      <c r="AX1393" s="809"/>
      <c r="AY1393" s="809"/>
      <c r="AZ1393" s="809"/>
      <c r="BA1393" s="809"/>
      <c r="BB1393" s="809"/>
      <c r="BC1393" s="809"/>
      <c r="BD1393" s="809"/>
      <c r="BE1393" s="809"/>
      <c r="BF1393" s="809"/>
      <c r="BG1393" s="809"/>
      <c r="BH1393" s="809"/>
      <c r="BI1393" s="809"/>
      <c r="BJ1393" s="809"/>
      <c r="BK1393" s="809"/>
      <c r="BL1393" s="809"/>
      <c r="BM1393" s="809"/>
      <c r="BN1393" s="809"/>
    </row>
    <row r="1394" spans="1:66">
      <c r="A1394" s="809"/>
      <c r="B1394" s="809"/>
      <c r="C1394" s="809"/>
      <c r="D1394" s="809"/>
      <c r="E1394" s="809"/>
      <c r="F1394" s="809"/>
      <c r="G1394" s="809"/>
      <c r="H1394" s="809"/>
      <c r="I1394" s="809"/>
      <c r="J1394" s="809"/>
      <c r="K1394" s="809"/>
      <c r="L1394" s="809"/>
      <c r="M1394" s="809"/>
      <c r="N1394" s="809"/>
      <c r="O1394" s="809"/>
      <c r="P1394" s="809"/>
      <c r="Q1394" s="809"/>
      <c r="R1394" s="809"/>
      <c r="S1394" s="809"/>
      <c r="T1394" s="809"/>
      <c r="U1394" s="809"/>
      <c r="V1394" s="809"/>
      <c r="W1394" s="809"/>
      <c r="X1394" s="809"/>
      <c r="Y1394" s="809"/>
      <c r="Z1394" s="809"/>
      <c r="AA1394" s="809"/>
      <c r="AB1394" s="809"/>
      <c r="AC1394" s="809"/>
      <c r="AD1394" s="809"/>
      <c r="AE1394" s="809"/>
      <c r="AF1394" s="809"/>
      <c r="AG1394" s="809"/>
      <c r="AH1394" s="809"/>
      <c r="AI1394" s="809"/>
      <c r="AJ1394" s="809"/>
      <c r="AK1394" s="809"/>
      <c r="AL1394" s="809"/>
      <c r="AM1394" s="809"/>
      <c r="AN1394" s="809"/>
      <c r="AO1394" s="809"/>
      <c r="AP1394" s="809"/>
      <c r="AQ1394" s="809"/>
      <c r="AR1394" s="809"/>
      <c r="AS1394" s="809"/>
      <c r="AT1394" s="809"/>
      <c r="AU1394" s="809"/>
      <c r="AV1394" s="809"/>
      <c r="AW1394" s="809"/>
      <c r="AX1394" s="809"/>
      <c r="AY1394" s="809"/>
      <c r="AZ1394" s="809"/>
      <c r="BA1394" s="809"/>
      <c r="BB1394" s="809"/>
      <c r="BC1394" s="809"/>
      <c r="BD1394" s="809"/>
      <c r="BE1394" s="809"/>
      <c r="BF1394" s="809"/>
      <c r="BG1394" s="809"/>
      <c r="BH1394" s="809"/>
      <c r="BI1394" s="809"/>
      <c r="BJ1394" s="809"/>
      <c r="BK1394" s="809"/>
      <c r="BL1394" s="809"/>
      <c r="BM1394" s="809"/>
      <c r="BN1394" s="809"/>
    </row>
    <row r="1395" spans="1:66">
      <c r="A1395" s="809"/>
      <c r="B1395" s="809"/>
      <c r="C1395" s="809"/>
      <c r="D1395" s="809"/>
      <c r="E1395" s="809"/>
      <c r="F1395" s="809"/>
      <c r="G1395" s="809"/>
      <c r="H1395" s="809"/>
      <c r="I1395" s="809"/>
      <c r="J1395" s="809"/>
      <c r="K1395" s="809"/>
      <c r="L1395" s="809"/>
      <c r="M1395" s="809"/>
      <c r="N1395" s="809"/>
      <c r="O1395" s="809"/>
      <c r="P1395" s="809"/>
      <c r="Q1395" s="809"/>
      <c r="R1395" s="809"/>
      <c r="S1395" s="809"/>
      <c r="T1395" s="809"/>
      <c r="U1395" s="809"/>
      <c r="V1395" s="809"/>
      <c r="W1395" s="809"/>
      <c r="X1395" s="809"/>
      <c r="Y1395" s="809"/>
      <c r="Z1395" s="809"/>
      <c r="AA1395" s="809"/>
      <c r="AB1395" s="809"/>
      <c r="AC1395" s="809"/>
      <c r="AD1395" s="809"/>
      <c r="AE1395" s="809"/>
      <c r="AF1395" s="809"/>
      <c r="AG1395" s="809"/>
      <c r="AH1395" s="809"/>
      <c r="AI1395" s="809"/>
      <c r="AJ1395" s="809"/>
      <c r="AK1395" s="809"/>
      <c r="AL1395" s="809"/>
      <c r="AM1395" s="809"/>
      <c r="AN1395" s="809"/>
      <c r="AO1395" s="809"/>
      <c r="AP1395" s="809"/>
      <c r="AQ1395" s="809"/>
      <c r="AR1395" s="809"/>
      <c r="AS1395" s="809"/>
      <c r="AT1395" s="809"/>
      <c r="AU1395" s="809"/>
      <c r="AV1395" s="809"/>
      <c r="AW1395" s="809"/>
      <c r="AX1395" s="809"/>
      <c r="AY1395" s="809"/>
      <c r="AZ1395" s="809"/>
      <c r="BA1395" s="809"/>
      <c r="BB1395" s="809"/>
      <c r="BC1395" s="809"/>
      <c r="BD1395" s="809"/>
      <c r="BE1395" s="809"/>
      <c r="BF1395" s="809"/>
      <c r="BG1395" s="809"/>
      <c r="BH1395" s="809"/>
      <c r="BI1395" s="809"/>
      <c r="BJ1395" s="809"/>
      <c r="BK1395" s="809"/>
      <c r="BL1395" s="809"/>
      <c r="BM1395" s="809"/>
      <c r="BN1395" s="809"/>
    </row>
    <row r="1396" spans="1:66">
      <c r="A1396" s="809"/>
      <c r="B1396" s="809"/>
      <c r="C1396" s="809"/>
      <c r="D1396" s="809"/>
      <c r="E1396" s="809"/>
      <c r="F1396" s="809"/>
      <c r="G1396" s="809"/>
      <c r="H1396" s="809"/>
      <c r="I1396" s="809"/>
      <c r="J1396" s="809"/>
      <c r="K1396" s="809"/>
      <c r="L1396" s="809"/>
      <c r="M1396" s="809"/>
      <c r="N1396" s="809"/>
      <c r="O1396" s="809"/>
      <c r="P1396" s="809"/>
      <c r="Q1396" s="809"/>
      <c r="R1396" s="809"/>
      <c r="S1396" s="809"/>
      <c r="T1396" s="809"/>
      <c r="U1396" s="809"/>
      <c r="V1396" s="809"/>
      <c r="W1396" s="809"/>
      <c r="X1396" s="809"/>
      <c r="Y1396" s="809"/>
      <c r="Z1396" s="809"/>
      <c r="AA1396" s="809"/>
      <c r="AB1396" s="809"/>
      <c r="AC1396" s="809"/>
      <c r="AD1396" s="809"/>
      <c r="AE1396" s="809"/>
      <c r="AF1396" s="809"/>
      <c r="AG1396" s="809"/>
      <c r="AH1396" s="809"/>
      <c r="AI1396" s="809"/>
      <c r="AJ1396" s="809"/>
      <c r="AK1396" s="809"/>
      <c r="AL1396" s="809"/>
      <c r="AM1396" s="809"/>
      <c r="AN1396" s="809"/>
      <c r="AO1396" s="809"/>
      <c r="AP1396" s="809"/>
      <c r="AQ1396" s="809"/>
      <c r="AR1396" s="809"/>
      <c r="AS1396" s="809"/>
      <c r="AT1396" s="809"/>
      <c r="AU1396" s="809"/>
      <c r="AV1396" s="809"/>
      <c r="AW1396" s="809"/>
      <c r="AX1396" s="809"/>
      <c r="AY1396" s="809"/>
      <c r="AZ1396" s="809"/>
      <c r="BA1396" s="809"/>
      <c r="BB1396" s="809"/>
      <c r="BC1396" s="809"/>
      <c r="BD1396" s="809"/>
      <c r="BE1396" s="809"/>
      <c r="BF1396" s="809"/>
      <c r="BG1396" s="809"/>
      <c r="BH1396" s="809"/>
      <c r="BI1396" s="809"/>
      <c r="BJ1396" s="809"/>
      <c r="BK1396" s="809"/>
      <c r="BL1396" s="809"/>
      <c r="BM1396" s="809"/>
      <c r="BN1396" s="809"/>
    </row>
    <row r="1397" spans="1:66">
      <c r="A1397" s="809"/>
      <c r="B1397" s="809"/>
      <c r="C1397" s="809"/>
      <c r="D1397" s="809"/>
      <c r="E1397" s="809"/>
      <c r="F1397" s="809"/>
      <c r="G1397" s="809"/>
      <c r="H1397" s="809"/>
      <c r="I1397" s="809"/>
      <c r="J1397" s="809"/>
      <c r="K1397" s="809"/>
      <c r="L1397" s="809"/>
      <c r="M1397" s="809"/>
      <c r="N1397" s="809"/>
      <c r="O1397" s="809"/>
      <c r="P1397" s="809"/>
      <c r="Q1397" s="809"/>
      <c r="R1397" s="809"/>
      <c r="S1397" s="809"/>
      <c r="T1397" s="809"/>
      <c r="U1397" s="809"/>
      <c r="V1397" s="809"/>
      <c r="W1397" s="809"/>
      <c r="X1397" s="809"/>
      <c r="Y1397" s="809"/>
      <c r="Z1397" s="809"/>
      <c r="AA1397" s="809"/>
      <c r="AB1397" s="809"/>
      <c r="AC1397" s="809"/>
      <c r="AD1397" s="809"/>
      <c r="AE1397" s="809"/>
      <c r="AF1397" s="809"/>
      <c r="AG1397" s="809"/>
      <c r="AH1397" s="809"/>
      <c r="AI1397" s="809"/>
      <c r="AJ1397" s="809"/>
      <c r="AK1397" s="809"/>
      <c r="AL1397" s="809"/>
      <c r="AM1397" s="809"/>
      <c r="AN1397" s="809"/>
      <c r="AO1397" s="809"/>
      <c r="AP1397" s="809"/>
      <c r="AQ1397" s="809"/>
      <c r="AR1397" s="809"/>
      <c r="AS1397" s="809"/>
      <c r="AT1397" s="809"/>
      <c r="AU1397" s="809"/>
      <c r="AV1397" s="809"/>
      <c r="AW1397" s="809"/>
      <c r="AX1397" s="809"/>
      <c r="AY1397" s="809"/>
      <c r="AZ1397" s="809"/>
      <c r="BA1397" s="809"/>
      <c r="BB1397" s="809"/>
      <c r="BC1397" s="809"/>
      <c r="BD1397" s="809"/>
      <c r="BE1397" s="809"/>
      <c r="BF1397" s="809"/>
      <c r="BG1397" s="809"/>
      <c r="BH1397" s="809"/>
      <c r="BI1397" s="809"/>
      <c r="BJ1397" s="809"/>
      <c r="BK1397" s="809"/>
      <c r="BL1397" s="809"/>
      <c r="BM1397" s="809"/>
      <c r="BN1397" s="809"/>
    </row>
    <row r="1398" spans="1:66">
      <c r="A1398" s="809"/>
      <c r="B1398" s="809"/>
      <c r="C1398" s="809"/>
      <c r="D1398" s="809"/>
      <c r="E1398" s="809"/>
      <c r="F1398" s="809"/>
      <c r="G1398" s="809"/>
      <c r="H1398" s="809"/>
      <c r="I1398" s="809"/>
      <c r="J1398" s="809"/>
      <c r="K1398" s="809"/>
      <c r="L1398" s="809"/>
      <c r="M1398" s="809"/>
      <c r="N1398" s="809"/>
      <c r="O1398" s="809"/>
      <c r="P1398" s="809"/>
      <c r="Q1398" s="809"/>
      <c r="R1398" s="809"/>
      <c r="S1398" s="809"/>
      <c r="T1398" s="809"/>
      <c r="U1398" s="809"/>
      <c r="V1398" s="809"/>
      <c r="W1398" s="809"/>
      <c r="X1398" s="809"/>
      <c r="Y1398" s="809"/>
      <c r="Z1398" s="809"/>
      <c r="AA1398" s="809"/>
      <c r="AB1398" s="809"/>
      <c r="AC1398" s="809"/>
      <c r="AD1398" s="809"/>
      <c r="AE1398" s="809"/>
      <c r="AF1398" s="809"/>
      <c r="AG1398" s="809"/>
      <c r="AH1398" s="809"/>
      <c r="AI1398" s="809"/>
      <c r="AJ1398" s="809"/>
      <c r="AK1398" s="809"/>
      <c r="AL1398" s="809"/>
      <c r="AM1398" s="809"/>
      <c r="AN1398" s="809"/>
      <c r="AO1398" s="809"/>
      <c r="AP1398" s="809"/>
      <c r="AQ1398" s="809"/>
      <c r="AR1398" s="809"/>
      <c r="AS1398" s="809"/>
      <c r="AT1398" s="809"/>
      <c r="AU1398" s="809"/>
      <c r="AV1398" s="809"/>
      <c r="AW1398" s="809"/>
      <c r="AX1398" s="809"/>
      <c r="AY1398" s="809"/>
      <c r="AZ1398" s="809"/>
      <c r="BA1398" s="809"/>
      <c r="BB1398" s="809"/>
      <c r="BC1398" s="809"/>
      <c r="BD1398" s="809"/>
      <c r="BE1398" s="809"/>
      <c r="BF1398" s="809"/>
      <c r="BG1398" s="809"/>
      <c r="BH1398" s="809"/>
      <c r="BI1398" s="809"/>
      <c r="BJ1398" s="809"/>
      <c r="BK1398" s="809"/>
      <c r="BL1398" s="809"/>
      <c r="BM1398" s="809"/>
      <c r="BN1398" s="809"/>
    </row>
    <row r="1399" spans="1:66">
      <c r="A1399" s="809"/>
      <c r="B1399" s="809"/>
      <c r="C1399" s="809"/>
      <c r="D1399" s="809"/>
      <c r="E1399" s="809"/>
      <c r="F1399" s="809"/>
      <c r="G1399" s="809"/>
      <c r="H1399" s="809"/>
      <c r="I1399" s="809"/>
      <c r="J1399" s="809"/>
      <c r="K1399" s="809"/>
      <c r="L1399" s="809"/>
      <c r="M1399" s="809"/>
      <c r="N1399" s="809"/>
      <c r="O1399" s="809"/>
      <c r="P1399" s="809"/>
      <c r="Q1399" s="809"/>
      <c r="R1399" s="809"/>
      <c r="S1399" s="809"/>
      <c r="T1399" s="809"/>
      <c r="U1399" s="809"/>
      <c r="V1399" s="809"/>
      <c r="W1399" s="809"/>
      <c r="X1399" s="809"/>
      <c r="Y1399" s="809"/>
      <c r="Z1399" s="809"/>
      <c r="AA1399" s="809"/>
      <c r="AB1399" s="809"/>
      <c r="AC1399" s="809"/>
      <c r="AD1399" s="809"/>
      <c r="AE1399" s="809"/>
      <c r="AF1399" s="809"/>
      <c r="AG1399" s="809"/>
      <c r="AH1399" s="809"/>
      <c r="AI1399" s="809"/>
      <c r="AJ1399" s="809"/>
      <c r="AK1399" s="809"/>
      <c r="AL1399" s="809"/>
      <c r="AM1399" s="809"/>
      <c r="AN1399" s="809"/>
      <c r="AO1399" s="809"/>
      <c r="AP1399" s="809"/>
      <c r="AQ1399" s="809"/>
      <c r="AR1399" s="809"/>
      <c r="AS1399" s="809"/>
      <c r="AT1399" s="809"/>
      <c r="AU1399" s="809"/>
      <c r="AV1399" s="809"/>
      <c r="AW1399" s="809"/>
      <c r="AX1399" s="809"/>
      <c r="AY1399" s="809"/>
      <c r="AZ1399" s="809"/>
      <c r="BA1399" s="809"/>
      <c r="BB1399" s="809"/>
      <c r="BC1399" s="809"/>
      <c r="BD1399" s="809"/>
      <c r="BE1399" s="809"/>
      <c r="BF1399" s="809"/>
      <c r="BG1399" s="809"/>
      <c r="BH1399" s="809"/>
      <c r="BI1399" s="809"/>
      <c r="BJ1399" s="809"/>
      <c r="BK1399" s="809"/>
      <c r="BL1399" s="809"/>
      <c r="BM1399" s="809"/>
      <c r="BN1399" s="809"/>
    </row>
    <row r="1400" spans="1:66">
      <c r="A1400" s="809"/>
      <c r="B1400" s="809"/>
      <c r="C1400" s="809"/>
      <c r="D1400" s="809"/>
      <c r="E1400" s="809"/>
      <c r="F1400" s="809"/>
      <c r="G1400" s="809"/>
      <c r="H1400" s="809"/>
      <c r="I1400" s="809"/>
      <c r="J1400" s="809"/>
      <c r="K1400" s="809"/>
      <c r="L1400" s="809"/>
      <c r="M1400" s="809"/>
      <c r="N1400" s="809"/>
      <c r="O1400" s="809"/>
      <c r="P1400" s="809"/>
      <c r="Q1400" s="809"/>
      <c r="R1400" s="809"/>
      <c r="S1400" s="809"/>
      <c r="T1400" s="809"/>
      <c r="U1400" s="809"/>
      <c r="V1400" s="809"/>
      <c r="W1400" s="809"/>
      <c r="X1400" s="809"/>
      <c r="Y1400" s="809"/>
      <c r="Z1400" s="809"/>
      <c r="AA1400" s="809"/>
      <c r="AB1400" s="809"/>
      <c r="AC1400" s="809"/>
      <c r="AD1400" s="809"/>
      <c r="AE1400" s="809"/>
      <c r="AF1400" s="809"/>
      <c r="AG1400" s="809"/>
      <c r="AH1400" s="809"/>
      <c r="AI1400" s="809"/>
      <c r="AJ1400" s="809"/>
      <c r="AK1400" s="809"/>
      <c r="AL1400" s="809"/>
      <c r="AM1400" s="809"/>
      <c r="AN1400" s="809"/>
      <c r="AO1400" s="809"/>
      <c r="AP1400" s="809"/>
      <c r="AQ1400" s="809"/>
      <c r="AR1400" s="809"/>
      <c r="AS1400" s="809"/>
      <c r="AT1400" s="809"/>
      <c r="AU1400" s="809"/>
      <c r="AV1400" s="809"/>
      <c r="AW1400" s="809"/>
      <c r="AX1400" s="809"/>
      <c r="AY1400" s="809"/>
      <c r="AZ1400" s="809"/>
      <c r="BA1400" s="809"/>
      <c r="BB1400" s="809"/>
      <c r="BC1400" s="809"/>
      <c r="BD1400" s="809"/>
      <c r="BE1400" s="809"/>
      <c r="BF1400" s="809"/>
      <c r="BG1400" s="809"/>
      <c r="BH1400" s="809"/>
      <c r="BI1400" s="809"/>
      <c r="BJ1400" s="809"/>
      <c r="BK1400" s="809"/>
      <c r="BL1400" s="809"/>
      <c r="BM1400" s="809"/>
      <c r="BN1400" s="809"/>
    </row>
    <row r="1401" spans="1:66">
      <c r="A1401" s="809"/>
      <c r="B1401" s="809"/>
      <c r="C1401" s="809"/>
      <c r="D1401" s="809"/>
      <c r="E1401" s="809"/>
      <c r="F1401" s="809"/>
      <c r="G1401" s="809"/>
      <c r="H1401" s="809"/>
      <c r="I1401" s="809"/>
      <c r="J1401" s="809"/>
      <c r="K1401" s="809"/>
      <c r="L1401" s="809"/>
      <c r="M1401" s="809"/>
      <c r="N1401" s="809"/>
      <c r="O1401" s="809"/>
      <c r="P1401" s="809"/>
      <c r="Q1401" s="809"/>
      <c r="R1401" s="809"/>
      <c r="S1401" s="809"/>
      <c r="T1401" s="809"/>
      <c r="U1401" s="809"/>
      <c r="V1401" s="809"/>
      <c r="W1401" s="809"/>
      <c r="X1401" s="809"/>
      <c r="Y1401" s="809"/>
      <c r="Z1401" s="809"/>
      <c r="AA1401" s="809"/>
      <c r="AB1401" s="809"/>
      <c r="AC1401" s="809"/>
      <c r="AD1401" s="809"/>
      <c r="AE1401" s="809"/>
      <c r="AF1401" s="809"/>
      <c r="AG1401" s="809"/>
      <c r="AH1401" s="809"/>
      <c r="AI1401" s="809"/>
      <c r="AJ1401" s="809"/>
      <c r="AK1401" s="809"/>
      <c r="AL1401" s="809"/>
      <c r="AM1401" s="809"/>
      <c r="AN1401" s="809"/>
      <c r="AO1401" s="809"/>
      <c r="AP1401" s="809"/>
      <c r="AQ1401" s="809"/>
      <c r="AR1401" s="809"/>
      <c r="AS1401" s="809"/>
      <c r="AT1401" s="809"/>
      <c r="AU1401" s="809"/>
      <c r="AV1401" s="809"/>
      <c r="AW1401" s="809"/>
      <c r="AX1401" s="809"/>
      <c r="AY1401" s="809"/>
      <c r="AZ1401" s="809"/>
      <c r="BA1401" s="809"/>
      <c r="BB1401" s="809"/>
      <c r="BC1401" s="809"/>
      <c r="BD1401" s="809"/>
      <c r="BE1401" s="809"/>
      <c r="BF1401" s="809"/>
      <c r="BG1401" s="809"/>
      <c r="BH1401" s="809"/>
      <c r="BI1401" s="809"/>
      <c r="BJ1401" s="809"/>
      <c r="BK1401" s="809"/>
      <c r="BL1401" s="809"/>
      <c r="BM1401" s="809"/>
      <c r="BN1401" s="809"/>
    </row>
    <row r="1402" spans="1:66">
      <c r="A1402" s="809"/>
      <c r="B1402" s="809"/>
      <c r="C1402" s="809"/>
      <c r="D1402" s="809"/>
      <c r="E1402" s="809"/>
      <c r="F1402" s="809"/>
      <c r="G1402" s="809"/>
      <c r="H1402" s="809"/>
      <c r="I1402" s="809"/>
      <c r="J1402" s="809"/>
      <c r="K1402" s="809"/>
      <c r="L1402" s="809"/>
      <c r="M1402" s="809"/>
      <c r="N1402" s="809"/>
      <c r="O1402" s="809"/>
      <c r="P1402" s="809"/>
      <c r="Q1402" s="809"/>
      <c r="R1402" s="809"/>
      <c r="S1402" s="809"/>
      <c r="T1402" s="809"/>
      <c r="U1402" s="809"/>
      <c r="V1402" s="809"/>
      <c r="W1402" s="809"/>
      <c r="X1402" s="809"/>
      <c r="Y1402" s="809"/>
      <c r="Z1402" s="809"/>
      <c r="AA1402" s="809"/>
      <c r="AB1402" s="809"/>
      <c r="AC1402" s="809"/>
      <c r="AD1402" s="809"/>
      <c r="AE1402" s="809"/>
      <c r="AF1402" s="809"/>
      <c r="AG1402" s="809"/>
      <c r="AH1402" s="809"/>
      <c r="AI1402" s="809"/>
      <c r="AJ1402" s="809"/>
      <c r="AK1402" s="809"/>
      <c r="AL1402" s="809"/>
      <c r="AM1402" s="809"/>
      <c r="AN1402" s="809"/>
      <c r="AO1402" s="809"/>
      <c r="AP1402" s="809"/>
      <c r="AQ1402" s="809"/>
      <c r="AR1402" s="809"/>
      <c r="AS1402" s="809"/>
      <c r="AT1402" s="809"/>
      <c r="AU1402" s="809"/>
      <c r="AV1402" s="809"/>
      <c r="AW1402" s="809"/>
      <c r="AX1402" s="809"/>
      <c r="AY1402" s="809"/>
      <c r="AZ1402" s="809"/>
      <c r="BA1402" s="809"/>
      <c r="BB1402" s="809"/>
      <c r="BC1402" s="809"/>
      <c r="BD1402" s="809"/>
      <c r="BE1402" s="809"/>
      <c r="BF1402" s="809"/>
      <c r="BG1402" s="809"/>
      <c r="BH1402" s="809"/>
      <c r="BI1402" s="809"/>
      <c r="BJ1402" s="809"/>
      <c r="BK1402" s="809"/>
      <c r="BL1402" s="809"/>
      <c r="BM1402" s="809"/>
      <c r="BN1402" s="809"/>
    </row>
    <row r="1403" spans="1:66">
      <c r="A1403" s="809"/>
      <c r="B1403" s="809"/>
      <c r="C1403" s="809"/>
      <c r="D1403" s="809"/>
      <c r="E1403" s="809"/>
      <c r="F1403" s="809"/>
      <c r="G1403" s="809"/>
      <c r="H1403" s="809"/>
      <c r="I1403" s="809"/>
      <c r="J1403" s="809"/>
      <c r="K1403" s="809"/>
      <c r="L1403" s="809"/>
      <c r="M1403" s="809"/>
      <c r="N1403" s="809"/>
      <c r="O1403" s="809"/>
      <c r="P1403" s="809"/>
      <c r="Q1403" s="809"/>
      <c r="R1403" s="809"/>
      <c r="S1403" s="809"/>
      <c r="T1403" s="809"/>
      <c r="U1403" s="809"/>
      <c r="V1403" s="809"/>
      <c r="W1403" s="809"/>
      <c r="X1403" s="809"/>
      <c r="Y1403" s="809"/>
      <c r="Z1403" s="809"/>
      <c r="AA1403" s="809"/>
      <c r="AB1403" s="809"/>
      <c r="AC1403" s="809"/>
      <c r="AD1403" s="809"/>
      <c r="AE1403" s="809"/>
      <c r="AF1403" s="809"/>
      <c r="AG1403" s="809"/>
      <c r="AH1403" s="809"/>
      <c r="AI1403" s="809"/>
      <c r="AJ1403" s="809"/>
      <c r="AK1403" s="809"/>
      <c r="AL1403" s="809"/>
      <c r="AM1403" s="809"/>
      <c r="AN1403" s="809"/>
      <c r="AO1403" s="809"/>
      <c r="AP1403" s="809"/>
      <c r="AQ1403" s="809"/>
      <c r="AR1403" s="809"/>
      <c r="AS1403" s="809"/>
      <c r="AT1403" s="809"/>
      <c r="AU1403" s="809"/>
      <c r="AV1403" s="809"/>
      <c r="AW1403" s="809"/>
      <c r="AX1403" s="809"/>
      <c r="AY1403" s="809"/>
      <c r="AZ1403" s="809"/>
      <c r="BA1403" s="809"/>
      <c r="BB1403" s="809"/>
      <c r="BC1403" s="809"/>
      <c r="BD1403" s="809"/>
      <c r="BE1403" s="809"/>
      <c r="BF1403" s="809"/>
      <c r="BG1403" s="809"/>
      <c r="BH1403" s="809"/>
      <c r="BI1403" s="809"/>
      <c r="BJ1403" s="809"/>
      <c r="BK1403" s="809"/>
      <c r="BL1403" s="809"/>
      <c r="BM1403" s="809"/>
      <c r="BN1403" s="809"/>
    </row>
    <row r="1404" spans="1:66">
      <c r="A1404" s="809"/>
      <c r="B1404" s="809"/>
      <c r="C1404" s="809"/>
      <c r="D1404" s="809"/>
      <c r="E1404" s="809"/>
      <c r="F1404" s="809"/>
      <c r="G1404" s="809"/>
      <c r="H1404" s="809"/>
      <c r="I1404" s="809"/>
      <c r="J1404" s="809"/>
      <c r="K1404" s="809"/>
      <c r="L1404" s="809"/>
      <c r="M1404" s="809"/>
      <c r="N1404" s="809"/>
      <c r="O1404" s="809"/>
      <c r="P1404" s="809"/>
      <c r="Q1404" s="809"/>
      <c r="R1404" s="809"/>
      <c r="S1404" s="809"/>
      <c r="T1404" s="809"/>
      <c r="U1404" s="809"/>
      <c r="V1404" s="809"/>
      <c r="W1404" s="809"/>
      <c r="X1404" s="809"/>
      <c r="Y1404" s="809"/>
      <c r="Z1404" s="809"/>
      <c r="AA1404" s="809"/>
      <c r="AB1404" s="809"/>
      <c r="AC1404" s="809"/>
      <c r="AD1404" s="809"/>
      <c r="AE1404" s="809"/>
      <c r="AF1404" s="809"/>
      <c r="AG1404" s="809"/>
      <c r="AH1404" s="809"/>
      <c r="AI1404" s="809"/>
      <c r="AJ1404" s="809"/>
      <c r="AK1404" s="809"/>
      <c r="AL1404" s="809"/>
      <c r="AM1404" s="809"/>
      <c r="AN1404" s="809"/>
      <c r="AO1404" s="809"/>
      <c r="AP1404" s="809"/>
      <c r="AQ1404" s="809"/>
      <c r="AR1404" s="809"/>
      <c r="AS1404" s="809"/>
      <c r="AT1404" s="809"/>
      <c r="AU1404" s="809"/>
      <c r="AV1404" s="809"/>
      <c r="AW1404" s="809"/>
      <c r="AX1404" s="809"/>
      <c r="AY1404" s="809"/>
      <c r="AZ1404" s="809"/>
      <c r="BA1404" s="809"/>
      <c r="BB1404" s="809"/>
      <c r="BC1404" s="809"/>
      <c r="BD1404" s="809"/>
      <c r="BE1404" s="809"/>
      <c r="BF1404" s="809"/>
      <c r="BG1404" s="809"/>
      <c r="BH1404" s="809"/>
      <c r="BI1404" s="809"/>
      <c r="BJ1404" s="809"/>
      <c r="BK1404" s="809"/>
      <c r="BL1404" s="809"/>
      <c r="BM1404" s="809"/>
      <c r="BN1404" s="809"/>
    </row>
    <row r="1405" spans="1:66">
      <c r="A1405" s="809"/>
      <c r="B1405" s="809"/>
      <c r="C1405" s="809"/>
      <c r="D1405" s="809"/>
      <c r="E1405" s="809"/>
      <c r="F1405" s="809"/>
      <c r="G1405" s="809"/>
      <c r="H1405" s="809"/>
      <c r="I1405" s="809"/>
      <c r="J1405" s="809"/>
      <c r="K1405" s="809"/>
      <c r="L1405" s="809"/>
      <c r="M1405" s="809"/>
      <c r="N1405" s="809"/>
      <c r="O1405" s="809"/>
      <c r="P1405" s="809"/>
      <c r="Q1405" s="809"/>
      <c r="R1405" s="809"/>
      <c r="S1405" s="809"/>
      <c r="T1405" s="809"/>
      <c r="U1405" s="809"/>
      <c r="V1405" s="809"/>
      <c r="W1405" s="809"/>
      <c r="X1405" s="809"/>
      <c r="Y1405" s="809"/>
      <c r="Z1405" s="809"/>
      <c r="AA1405" s="809"/>
      <c r="AB1405" s="809"/>
      <c r="AC1405" s="809"/>
      <c r="AD1405" s="809"/>
      <c r="AE1405" s="809"/>
      <c r="AF1405" s="809"/>
      <c r="AG1405" s="809"/>
      <c r="AH1405" s="809"/>
      <c r="AI1405" s="809"/>
      <c r="AJ1405" s="809"/>
      <c r="AK1405" s="809"/>
      <c r="AL1405" s="809"/>
      <c r="AM1405" s="809"/>
      <c r="AN1405" s="809"/>
      <c r="AO1405" s="809"/>
      <c r="AP1405" s="809"/>
      <c r="AQ1405" s="809"/>
      <c r="AR1405" s="809"/>
      <c r="AS1405" s="809"/>
      <c r="AT1405" s="809"/>
      <c r="AU1405" s="809"/>
      <c r="AV1405" s="809"/>
      <c r="AW1405" s="809"/>
      <c r="AX1405" s="809"/>
      <c r="AY1405" s="809"/>
      <c r="AZ1405" s="809"/>
      <c r="BA1405" s="809"/>
      <c r="BB1405" s="809"/>
      <c r="BC1405" s="809"/>
      <c r="BD1405" s="809"/>
      <c r="BE1405" s="809"/>
      <c r="BF1405" s="809"/>
      <c r="BG1405" s="809"/>
      <c r="BH1405" s="809"/>
      <c r="BI1405" s="809"/>
      <c r="BJ1405" s="809"/>
      <c r="BK1405" s="809"/>
      <c r="BL1405" s="809"/>
      <c r="BM1405" s="809"/>
      <c r="BN1405" s="809"/>
    </row>
    <row r="1406" spans="1:66">
      <c r="A1406" s="809"/>
      <c r="B1406" s="809"/>
      <c r="C1406" s="809"/>
      <c r="D1406" s="809"/>
      <c r="E1406" s="809"/>
      <c r="F1406" s="809"/>
      <c r="G1406" s="809"/>
      <c r="H1406" s="809"/>
      <c r="I1406" s="809"/>
      <c r="J1406" s="809"/>
      <c r="K1406" s="809"/>
      <c r="L1406" s="809"/>
      <c r="M1406" s="809"/>
      <c r="N1406" s="809"/>
      <c r="O1406" s="809"/>
      <c r="P1406" s="809"/>
      <c r="Q1406" s="809"/>
      <c r="R1406" s="809"/>
      <c r="S1406" s="809"/>
      <c r="T1406" s="809"/>
      <c r="U1406" s="809"/>
      <c r="V1406" s="809"/>
      <c r="W1406" s="809"/>
      <c r="X1406" s="809"/>
      <c r="Y1406" s="809"/>
      <c r="Z1406" s="809"/>
      <c r="AA1406" s="809"/>
      <c r="AB1406" s="809"/>
      <c r="AC1406" s="809"/>
      <c r="AD1406" s="809"/>
      <c r="AE1406" s="809"/>
      <c r="AF1406" s="809"/>
      <c r="AG1406" s="809"/>
      <c r="AH1406" s="809"/>
      <c r="AI1406" s="809"/>
      <c r="AJ1406" s="809"/>
      <c r="AK1406" s="809"/>
      <c r="AL1406" s="809"/>
      <c r="AM1406" s="809"/>
      <c r="AN1406" s="809"/>
      <c r="AO1406" s="809"/>
      <c r="AP1406" s="809"/>
      <c r="AQ1406" s="809"/>
      <c r="AR1406" s="809"/>
      <c r="AS1406" s="809"/>
      <c r="AT1406" s="809"/>
      <c r="AU1406" s="809"/>
      <c r="AV1406" s="809"/>
      <c r="AW1406" s="809"/>
      <c r="AX1406" s="809"/>
      <c r="AY1406" s="809"/>
      <c r="AZ1406" s="809"/>
      <c r="BA1406" s="809"/>
      <c r="BB1406" s="809"/>
      <c r="BC1406" s="809"/>
      <c r="BD1406" s="809"/>
      <c r="BE1406" s="809"/>
      <c r="BF1406" s="809"/>
      <c r="BG1406" s="809"/>
      <c r="BH1406" s="809"/>
      <c r="BI1406" s="809"/>
      <c r="BJ1406" s="809"/>
      <c r="BK1406" s="809"/>
      <c r="BL1406" s="809"/>
      <c r="BM1406" s="809"/>
      <c r="BN1406" s="809"/>
    </row>
    <row r="1407" spans="1:66">
      <c r="A1407" s="809"/>
      <c r="B1407" s="809"/>
      <c r="C1407" s="809"/>
      <c r="D1407" s="809"/>
      <c r="E1407" s="809"/>
      <c r="F1407" s="809"/>
      <c r="G1407" s="809"/>
      <c r="H1407" s="809"/>
      <c r="I1407" s="809"/>
      <c r="J1407" s="809"/>
      <c r="K1407" s="809"/>
      <c r="L1407" s="809"/>
      <c r="M1407" s="809"/>
      <c r="N1407" s="809"/>
      <c r="O1407" s="809"/>
      <c r="P1407" s="809"/>
      <c r="Q1407" s="809"/>
      <c r="R1407" s="809"/>
      <c r="S1407" s="809"/>
      <c r="T1407" s="809"/>
      <c r="U1407" s="809"/>
      <c r="V1407" s="809"/>
      <c r="W1407" s="809"/>
      <c r="X1407" s="809"/>
      <c r="Y1407" s="809"/>
      <c r="Z1407" s="809"/>
      <c r="AA1407" s="809"/>
      <c r="AB1407" s="809"/>
      <c r="AC1407" s="809"/>
      <c r="AD1407" s="809"/>
      <c r="AE1407" s="809"/>
      <c r="AF1407" s="809"/>
      <c r="AG1407" s="809"/>
      <c r="AH1407" s="809"/>
      <c r="AI1407" s="809"/>
      <c r="AJ1407" s="809"/>
      <c r="AK1407" s="809"/>
      <c r="AL1407" s="809"/>
      <c r="AM1407" s="809"/>
      <c r="AN1407" s="809"/>
      <c r="AO1407" s="809"/>
      <c r="AP1407" s="809"/>
      <c r="AQ1407" s="809"/>
      <c r="AR1407" s="809"/>
      <c r="AS1407" s="809"/>
      <c r="AT1407" s="809"/>
      <c r="AU1407" s="809"/>
      <c r="AV1407" s="809"/>
      <c r="AW1407" s="809"/>
      <c r="AX1407" s="809"/>
      <c r="AY1407" s="809"/>
      <c r="AZ1407" s="809"/>
      <c r="BA1407" s="809"/>
      <c r="BB1407" s="809"/>
      <c r="BC1407" s="809"/>
      <c r="BD1407" s="809"/>
      <c r="BE1407" s="809"/>
      <c r="BF1407" s="809"/>
      <c r="BG1407" s="809"/>
      <c r="BH1407" s="809"/>
      <c r="BI1407" s="809"/>
      <c r="BJ1407" s="809"/>
      <c r="BK1407" s="809"/>
      <c r="BL1407" s="809"/>
      <c r="BM1407" s="809"/>
      <c r="BN1407" s="809"/>
    </row>
    <row r="1408" spans="1:66">
      <c r="A1408" s="809"/>
      <c r="B1408" s="809"/>
      <c r="C1408" s="809"/>
      <c r="D1408" s="809"/>
      <c r="E1408" s="809"/>
      <c r="F1408" s="809"/>
      <c r="G1408" s="809"/>
      <c r="H1408" s="809"/>
      <c r="I1408" s="809"/>
      <c r="J1408" s="809"/>
      <c r="K1408" s="809"/>
      <c r="L1408" s="809"/>
      <c r="M1408" s="809"/>
      <c r="N1408" s="809"/>
      <c r="O1408" s="809"/>
      <c r="P1408" s="809"/>
      <c r="Q1408" s="809"/>
      <c r="R1408" s="809"/>
      <c r="S1408" s="809"/>
      <c r="T1408" s="809"/>
      <c r="U1408" s="809"/>
      <c r="V1408" s="809"/>
      <c r="W1408" s="809"/>
      <c r="X1408" s="809"/>
      <c r="Y1408" s="809"/>
      <c r="Z1408" s="809"/>
      <c r="AA1408" s="809"/>
      <c r="AB1408" s="809"/>
      <c r="AC1408" s="809"/>
      <c r="AD1408" s="809"/>
      <c r="AE1408" s="809"/>
      <c r="AF1408" s="809"/>
      <c r="AG1408" s="809"/>
      <c r="AH1408" s="809"/>
      <c r="AI1408" s="809"/>
      <c r="AJ1408" s="809"/>
      <c r="AK1408" s="809"/>
      <c r="AL1408" s="809"/>
      <c r="AM1408" s="809"/>
      <c r="AN1408" s="809"/>
      <c r="AO1408" s="809"/>
      <c r="AP1408" s="809"/>
      <c r="AQ1408" s="809"/>
      <c r="AR1408" s="809"/>
      <c r="AS1408" s="809"/>
      <c r="AT1408" s="809"/>
      <c r="AU1408" s="809"/>
      <c r="AV1408" s="809"/>
      <c r="AW1408" s="809"/>
      <c r="AX1408" s="809"/>
      <c r="AY1408" s="809"/>
      <c r="AZ1408" s="809"/>
      <c r="BA1408" s="809"/>
      <c r="BB1408" s="809"/>
      <c r="BC1408" s="809"/>
      <c r="BD1408" s="809"/>
      <c r="BE1408" s="809"/>
      <c r="BF1408" s="809"/>
      <c r="BG1408" s="809"/>
      <c r="BH1408" s="809"/>
      <c r="BI1408" s="809"/>
      <c r="BJ1408" s="809"/>
      <c r="BK1408" s="809"/>
      <c r="BL1408" s="809"/>
      <c r="BM1408" s="809"/>
      <c r="BN1408" s="809"/>
    </row>
    <row r="1409" spans="1:66">
      <c r="A1409" s="809"/>
      <c r="B1409" s="809"/>
      <c r="C1409" s="809"/>
      <c r="D1409" s="809"/>
      <c r="E1409" s="809"/>
      <c r="F1409" s="809"/>
      <c r="G1409" s="809"/>
      <c r="H1409" s="809"/>
      <c r="I1409" s="809"/>
      <c r="J1409" s="809"/>
      <c r="K1409" s="809"/>
      <c r="L1409" s="809"/>
      <c r="M1409" s="809"/>
      <c r="N1409" s="809"/>
      <c r="O1409" s="809"/>
      <c r="P1409" s="809"/>
      <c r="Q1409" s="809"/>
      <c r="R1409" s="809"/>
      <c r="S1409" s="809"/>
      <c r="T1409" s="809"/>
      <c r="U1409" s="809"/>
      <c r="V1409" s="809"/>
      <c r="W1409" s="809"/>
      <c r="X1409" s="809"/>
      <c r="Y1409" s="809"/>
      <c r="Z1409" s="809"/>
      <c r="AA1409" s="809"/>
      <c r="AB1409" s="809"/>
      <c r="AC1409" s="809"/>
      <c r="AD1409" s="809"/>
      <c r="AE1409" s="809"/>
      <c r="AF1409" s="809"/>
      <c r="AG1409" s="809"/>
      <c r="AH1409" s="809"/>
      <c r="AI1409" s="809"/>
      <c r="AJ1409" s="809"/>
      <c r="AK1409" s="809"/>
      <c r="AL1409" s="809"/>
      <c r="AM1409" s="809"/>
      <c r="AN1409" s="809"/>
      <c r="AO1409" s="809"/>
      <c r="AP1409" s="809"/>
      <c r="AQ1409" s="809"/>
      <c r="AR1409" s="809"/>
      <c r="AS1409" s="809"/>
      <c r="AT1409" s="809"/>
      <c r="AU1409" s="809"/>
      <c r="AV1409" s="809"/>
      <c r="AW1409" s="809"/>
      <c r="AX1409" s="809"/>
      <c r="AY1409" s="809"/>
      <c r="AZ1409" s="809"/>
      <c r="BA1409" s="809"/>
      <c r="BB1409" s="809"/>
      <c r="BC1409" s="809"/>
      <c r="BD1409" s="809"/>
      <c r="BE1409" s="809"/>
      <c r="BF1409" s="809"/>
      <c r="BG1409" s="809"/>
      <c r="BH1409" s="809"/>
      <c r="BI1409" s="809"/>
      <c r="BJ1409" s="809"/>
      <c r="BK1409" s="809"/>
      <c r="BL1409" s="809"/>
      <c r="BM1409" s="809"/>
      <c r="BN1409" s="809"/>
    </row>
    <row r="1410" spans="1:66">
      <c r="A1410" s="809"/>
      <c r="B1410" s="809"/>
      <c r="C1410" s="809"/>
      <c r="D1410" s="809"/>
      <c r="E1410" s="809"/>
      <c r="F1410" s="809"/>
      <c r="G1410" s="809"/>
      <c r="H1410" s="809"/>
      <c r="I1410" s="809"/>
      <c r="J1410" s="809"/>
      <c r="K1410" s="809"/>
      <c r="L1410" s="809"/>
      <c r="M1410" s="809"/>
      <c r="N1410" s="809"/>
      <c r="O1410" s="809"/>
      <c r="P1410" s="809"/>
      <c r="Q1410" s="809"/>
      <c r="R1410" s="809"/>
      <c r="S1410" s="809"/>
      <c r="T1410" s="809"/>
      <c r="U1410" s="809"/>
      <c r="V1410" s="809"/>
      <c r="W1410" s="809"/>
      <c r="X1410" s="809"/>
      <c r="Y1410" s="809"/>
      <c r="Z1410" s="809"/>
      <c r="AA1410" s="809"/>
      <c r="AB1410" s="809"/>
      <c r="AC1410" s="809"/>
      <c r="AD1410" s="809"/>
      <c r="AE1410" s="809"/>
      <c r="AF1410" s="809"/>
      <c r="AG1410" s="809"/>
      <c r="AH1410" s="809"/>
      <c r="AI1410" s="809"/>
      <c r="AJ1410" s="809"/>
      <c r="AK1410" s="809"/>
      <c r="AL1410" s="809"/>
      <c r="AM1410" s="809"/>
      <c r="AN1410" s="809"/>
      <c r="AO1410" s="809"/>
      <c r="AP1410" s="809"/>
      <c r="AQ1410" s="809"/>
      <c r="AR1410" s="809"/>
      <c r="AS1410" s="809"/>
      <c r="AT1410" s="809"/>
      <c r="AU1410" s="809"/>
      <c r="AV1410" s="809"/>
      <c r="AW1410" s="809"/>
      <c r="AX1410" s="809"/>
      <c r="AY1410" s="809"/>
      <c r="AZ1410" s="809"/>
      <c r="BA1410" s="809"/>
      <c r="BB1410" s="809"/>
      <c r="BC1410" s="809"/>
      <c r="BD1410" s="809"/>
      <c r="BE1410" s="809"/>
      <c r="BF1410" s="809"/>
      <c r="BG1410" s="809"/>
      <c r="BH1410" s="809"/>
      <c r="BI1410" s="809"/>
      <c r="BJ1410" s="809"/>
      <c r="BK1410" s="809"/>
      <c r="BL1410" s="809"/>
      <c r="BM1410" s="809"/>
      <c r="BN1410" s="809"/>
    </row>
    <row r="1411" spans="1:66">
      <c r="A1411" s="809"/>
      <c r="B1411" s="809"/>
      <c r="C1411" s="809"/>
      <c r="D1411" s="809"/>
      <c r="E1411" s="809"/>
      <c r="F1411" s="809"/>
      <c r="G1411" s="809"/>
      <c r="H1411" s="809"/>
      <c r="I1411" s="809"/>
      <c r="J1411" s="809"/>
      <c r="K1411" s="809"/>
      <c r="L1411" s="809"/>
      <c r="M1411" s="809"/>
      <c r="N1411" s="809"/>
      <c r="O1411" s="809"/>
      <c r="P1411" s="809"/>
      <c r="Q1411" s="809"/>
      <c r="R1411" s="809"/>
      <c r="S1411" s="809"/>
      <c r="T1411" s="809"/>
      <c r="U1411" s="809"/>
      <c r="V1411" s="809"/>
      <c r="W1411" s="809"/>
      <c r="X1411" s="809"/>
      <c r="Y1411" s="809"/>
      <c r="Z1411" s="809"/>
      <c r="AA1411" s="809"/>
      <c r="AB1411" s="809"/>
      <c r="AC1411" s="809"/>
      <c r="AD1411" s="809"/>
      <c r="AE1411" s="809"/>
      <c r="AF1411" s="809"/>
      <c r="AG1411" s="809"/>
      <c r="AH1411" s="809"/>
      <c r="AI1411" s="809"/>
      <c r="AJ1411" s="809"/>
      <c r="AK1411" s="809"/>
      <c r="AL1411" s="809"/>
      <c r="AM1411" s="809"/>
      <c r="AN1411" s="809"/>
      <c r="AO1411" s="809"/>
      <c r="AP1411" s="809"/>
      <c r="AQ1411" s="809"/>
      <c r="AR1411" s="809"/>
      <c r="AS1411" s="809"/>
      <c r="AT1411" s="809"/>
      <c r="AU1411" s="809"/>
      <c r="AV1411" s="809"/>
      <c r="AW1411" s="809"/>
      <c r="AX1411" s="809"/>
      <c r="AY1411" s="809"/>
      <c r="AZ1411" s="809"/>
      <c r="BA1411" s="809"/>
      <c r="BB1411" s="809"/>
      <c r="BC1411" s="809"/>
      <c r="BD1411" s="809"/>
      <c r="BE1411" s="809"/>
      <c r="BF1411" s="809"/>
      <c r="BG1411" s="809"/>
      <c r="BH1411" s="809"/>
      <c r="BI1411" s="809"/>
      <c r="BJ1411" s="809"/>
      <c r="BK1411" s="809"/>
      <c r="BL1411" s="809"/>
      <c r="BM1411" s="809"/>
      <c r="BN1411" s="809"/>
    </row>
    <row r="1412" spans="1:66">
      <c r="A1412" s="809"/>
      <c r="B1412" s="809"/>
      <c r="C1412" s="809"/>
      <c r="D1412" s="809"/>
      <c r="E1412" s="809"/>
      <c r="F1412" s="809"/>
      <c r="G1412" s="809"/>
      <c r="H1412" s="809"/>
      <c r="I1412" s="809"/>
      <c r="J1412" s="809"/>
      <c r="K1412" s="809"/>
      <c r="L1412" s="809"/>
      <c r="M1412" s="809"/>
      <c r="N1412" s="809"/>
      <c r="O1412" s="809"/>
      <c r="P1412" s="809"/>
      <c r="Q1412" s="809"/>
      <c r="R1412" s="809"/>
      <c r="S1412" s="809"/>
      <c r="T1412" s="809"/>
      <c r="U1412" s="809"/>
      <c r="V1412" s="809"/>
      <c r="W1412" s="809"/>
      <c r="X1412" s="809"/>
      <c r="Y1412" s="809"/>
      <c r="Z1412" s="809"/>
      <c r="AA1412" s="809"/>
      <c r="AB1412" s="809"/>
      <c r="AC1412" s="809"/>
      <c r="AD1412" s="809"/>
      <c r="AE1412" s="809"/>
      <c r="AF1412" s="809"/>
      <c r="AG1412" s="809"/>
      <c r="AH1412" s="809"/>
      <c r="AI1412" s="809"/>
      <c r="AJ1412" s="809"/>
      <c r="AK1412" s="809"/>
      <c r="AL1412" s="809"/>
      <c r="AM1412" s="809"/>
      <c r="AN1412" s="809"/>
      <c r="AO1412" s="809"/>
      <c r="AP1412" s="809"/>
      <c r="AQ1412" s="809"/>
      <c r="AR1412" s="809"/>
      <c r="AS1412" s="809"/>
      <c r="AT1412" s="809"/>
      <c r="AU1412" s="809"/>
      <c r="AV1412" s="809"/>
      <c r="AW1412" s="809"/>
      <c r="AX1412" s="809"/>
      <c r="AY1412" s="809"/>
      <c r="AZ1412" s="809"/>
      <c r="BA1412" s="809"/>
      <c r="BB1412" s="809"/>
      <c r="BC1412" s="809"/>
      <c r="BD1412" s="809"/>
      <c r="BE1412" s="809"/>
      <c r="BF1412" s="809"/>
      <c r="BG1412" s="809"/>
      <c r="BH1412" s="809"/>
      <c r="BI1412" s="809"/>
      <c r="BJ1412" s="809"/>
      <c r="BK1412" s="809"/>
      <c r="BL1412" s="809"/>
      <c r="BM1412" s="809"/>
      <c r="BN1412" s="809"/>
    </row>
    <row r="1413" spans="1:66">
      <c r="A1413" s="809"/>
      <c r="B1413" s="809"/>
      <c r="C1413" s="809"/>
      <c r="D1413" s="809"/>
      <c r="E1413" s="809"/>
      <c r="F1413" s="809"/>
      <c r="G1413" s="809"/>
      <c r="H1413" s="809"/>
      <c r="I1413" s="809"/>
      <c r="J1413" s="809"/>
      <c r="K1413" s="809"/>
      <c r="L1413" s="809"/>
      <c r="M1413" s="809"/>
      <c r="N1413" s="809"/>
      <c r="O1413" s="809"/>
      <c r="P1413" s="809"/>
      <c r="Q1413" s="809"/>
      <c r="R1413" s="809"/>
      <c r="S1413" s="809"/>
      <c r="T1413" s="809"/>
      <c r="U1413" s="809"/>
      <c r="V1413" s="809"/>
      <c r="W1413" s="809"/>
      <c r="X1413" s="809"/>
      <c r="Y1413" s="809"/>
      <c r="Z1413" s="809"/>
      <c r="AA1413" s="809"/>
      <c r="AB1413" s="809"/>
      <c r="AC1413" s="809"/>
      <c r="AD1413" s="809"/>
      <c r="AE1413" s="809"/>
      <c r="AF1413" s="809"/>
      <c r="AG1413" s="809"/>
      <c r="AH1413" s="809"/>
      <c r="AI1413" s="809"/>
      <c r="AJ1413" s="809"/>
      <c r="AK1413" s="809"/>
      <c r="AL1413" s="809"/>
      <c r="AM1413" s="809"/>
      <c r="AN1413" s="809"/>
      <c r="AO1413" s="809"/>
      <c r="AP1413" s="809"/>
      <c r="AQ1413" s="809"/>
      <c r="AR1413" s="809"/>
      <c r="AS1413" s="809"/>
      <c r="AT1413" s="809"/>
      <c r="AU1413" s="809"/>
      <c r="AV1413" s="809"/>
      <c r="AW1413" s="809"/>
      <c r="AX1413" s="809"/>
      <c r="AY1413" s="809"/>
      <c r="AZ1413" s="809"/>
      <c r="BA1413" s="809"/>
      <c r="BB1413" s="809"/>
      <c r="BC1413" s="809"/>
      <c r="BD1413" s="809"/>
      <c r="BE1413" s="809"/>
      <c r="BF1413" s="809"/>
      <c r="BG1413" s="809"/>
      <c r="BH1413" s="809"/>
      <c r="BI1413" s="809"/>
      <c r="BJ1413" s="809"/>
      <c r="BK1413" s="809"/>
      <c r="BL1413" s="809"/>
      <c r="BM1413" s="809"/>
      <c r="BN1413" s="809"/>
    </row>
    <row r="1414" spans="1:66">
      <c r="A1414" s="809"/>
      <c r="B1414" s="809"/>
      <c r="C1414" s="809"/>
      <c r="D1414" s="809"/>
      <c r="E1414" s="809"/>
      <c r="F1414" s="809"/>
      <c r="G1414" s="809"/>
      <c r="H1414" s="809"/>
      <c r="I1414" s="809"/>
      <c r="J1414" s="809"/>
      <c r="K1414" s="809"/>
      <c r="L1414" s="809"/>
      <c r="M1414" s="809"/>
      <c r="N1414" s="809"/>
      <c r="O1414" s="809"/>
      <c r="P1414" s="809"/>
      <c r="Q1414" s="809"/>
      <c r="R1414" s="809"/>
      <c r="S1414" s="809"/>
      <c r="T1414" s="809"/>
      <c r="U1414" s="809"/>
      <c r="V1414" s="809"/>
      <c r="W1414" s="809"/>
      <c r="X1414" s="809"/>
      <c r="Y1414" s="809"/>
      <c r="Z1414" s="809"/>
      <c r="AA1414" s="809"/>
      <c r="AB1414" s="809"/>
      <c r="AC1414" s="809"/>
      <c r="AD1414" s="809"/>
      <c r="AE1414" s="809"/>
      <c r="AF1414" s="809"/>
      <c r="AG1414" s="809"/>
      <c r="AH1414" s="809"/>
      <c r="AI1414" s="809"/>
      <c r="AJ1414" s="809"/>
      <c r="AK1414" s="809"/>
      <c r="AL1414" s="809"/>
      <c r="AM1414" s="809"/>
      <c r="AN1414" s="809"/>
      <c r="AO1414" s="809"/>
      <c r="AP1414" s="809"/>
      <c r="AQ1414" s="809"/>
      <c r="AR1414" s="809"/>
      <c r="AS1414" s="809"/>
      <c r="AT1414" s="809"/>
      <c r="AU1414" s="809"/>
      <c r="AV1414" s="809"/>
      <c r="AW1414" s="809"/>
      <c r="AX1414" s="809"/>
      <c r="AY1414" s="809"/>
      <c r="AZ1414" s="809"/>
      <c r="BA1414" s="809"/>
      <c r="BB1414" s="809"/>
      <c r="BC1414" s="809"/>
      <c r="BD1414" s="809"/>
      <c r="BE1414" s="809"/>
      <c r="BF1414" s="809"/>
      <c r="BG1414" s="809"/>
      <c r="BH1414" s="809"/>
      <c r="BI1414" s="809"/>
      <c r="BJ1414" s="809"/>
      <c r="BK1414" s="809"/>
      <c r="BL1414" s="809"/>
      <c r="BM1414" s="809"/>
      <c r="BN1414" s="809"/>
    </row>
    <row r="1415" spans="1:66">
      <c r="A1415" s="809"/>
      <c r="B1415" s="809"/>
      <c r="C1415" s="809"/>
      <c r="D1415" s="809"/>
      <c r="E1415" s="809"/>
      <c r="F1415" s="809"/>
      <c r="G1415" s="809"/>
      <c r="H1415" s="809"/>
      <c r="I1415" s="809"/>
      <c r="J1415" s="809"/>
      <c r="K1415" s="809"/>
      <c r="L1415" s="809"/>
      <c r="M1415" s="809"/>
      <c r="N1415" s="809"/>
      <c r="O1415" s="809"/>
      <c r="P1415" s="809"/>
      <c r="Q1415" s="809"/>
      <c r="R1415" s="809"/>
      <c r="S1415" s="809"/>
      <c r="T1415" s="809"/>
      <c r="U1415" s="809"/>
      <c r="V1415" s="809"/>
      <c r="W1415" s="809"/>
      <c r="X1415" s="809"/>
      <c r="Y1415" s="809"/>
      <c r="Z1415" s="809"/>
      <c r="AA1415" s="809"/>
      <c r="AB1415" s="809"/>
      <c r="AC1415" s="809"/>
      <c r="AD1415" s="809"/>
      <c r="AE1415" s="809"/>
      <c r="AF1415" s="809"/>
      <c r="AG1415" s="809"/>
      <c r="AH1415" s="809"/>
      <c r="AI1415" s="809"/>
      <c r="AJ1415" s="809"/>
      <c r="AK1415" s="809"/>
      <c r="AL1415" s="809"/>
      <c r="AM1415" s="809"/>
      <c r="AN1415" s="809"/>
      <c r="AO1415" s="809"/>
      <c r="AP1415" s="809"/>
      <c r="AQ1415" s="809"/>
      <c r="AR1415" s="809"/>
      <c r="AS1415" s="809"/>
      <c r="AT1415" s="809"/>
      <c r="AU1415" s="809"/>
      <c r="AV1415" s="809"/>
      <c r="AW1415" s="809"/>
      <c r="AX1415" s="809"/>
      <c r="AY1415" s="809"/>
      <c r="AZ1415" s="809"/>
      <c r="BA1415" s="809"/>
      <c r="BB1415" s="809"/>
      <c r="BC1415" s="809"/>
      <c r="BD1415" s="809"/>
      <c r="BE1415" s="809"/>
      <c r="BF1415" s="809"/>
      <c r="BG1415" s="809"/>
      <c r="BH1415" s="809"/>
      <c r="BI1415" s="809"/>
      <c r="BJ1415" s="809"/>
      <c r="BK1415" s="809"/>
      <c r="BL1415" s="809"/>
      <c r="BM1415" s="809"/>
      <c r="BN1415" s="809"/>
    </row>
    <row r="1416" spans="1:66">
      <c r="A1416" s="809"/>
      <c r="B1416" s="809"/>
      <c r="C1416" s="809"/>
      <c r="D1416" s="809"/>
      <c r="E1416" s="809"/>
      <c r="F1416" s="809"/>
      <c r="G1416" s="809"/>
      <c r="H1416" s="809"/>
      <c r="I1416" s="809"/>
      <c r="J1416" s="809"/>
      <c r="K1416" s="809"/>
      <c r="L1416" s="809"/>
      <c r="M1416" s="809"/>
      <c r="N1416" s="809"/>
      <c r="O1416" s="809"/>
      <c r="P1416" s="809"/>
      <c r="Q1416" s="809"/>
      <c r="R1416" s="809"/>
      <c r="S1416" s="809"/>
      <c r="T1416" s="809"/>
      <c r="U1416" s="809"/>
      <c r="V1416" s="809"/>
      <c r="W1416" s="809"/>
      <c r="X1416" s="809"/>
      <c r="Y1416" s="809"/>
      <c r="Z1416" s="809"/>
      <c r="AA1416" s="809"/>
      <c r="AB1416" s="809"/>
      <c r="AC1416" s="809"/>
      <c r="AD1416" s="809"/>
      <c r="AE1416" s="809"/>
      <c r="AF1416" s="809"/>
      <c r="AG1416" s="809"/>
      <c r="AH1416" s="809"/>
      <c r="AI1416" s="809"/>
      <c r="AJ1416" s="809"/>
      <c r="AK1416" s="809"/>
      <c r="AL1416" s="809"/>
      <c r="AM1416" s="809"/>
      <c r="AN1416" s="809"/>
      <c r="AO1416" s="809"/>
      <c r="AP1416" s="809"/>
      <c r="AQ1416" s="809"/>
      <c r="AR1416" s="809"/>
      <c r="AS1416" s="809"/>
      <c r="AT1416" s="809"/>
      <c r="AU1416" s="809"/>
      <c r="AV1416" s="809"/>
      <c r="AW1416" s="809"/>
      <c r="AX1416" s="809"/>
      <c r="AY1416" s="809"/>
      <c r="AZ1416" s="809"/>
      <c r="BA1416" s="809"/>
      <c r="BB1416" s="809"/>
      <c r="BC1416" s="809"/>
      <c r="BD1416" s="809"/>
      <c r="BE1416" s="809"/>
      <c r="BF1416" s="809"/>
      <c r="BG1416" s="809"/>
      <c r="BH1416" s="809"/>
      <c r="BI1416" s="809"/>
      <c r="BJ1416" s="809"/>
      <c r="BK1416" s="809"/>
      <c r="BL1416" s="809"/>
      <c r="BM1416" s="809"/>
      <c r="BN1416" s="809"/>
    </row>
    <row r="1417" spans="1:66">
      <c r="A1417" s="809"/>
      <c r="B1417" s="809"/>
      <c r="C1417" s="809"/>
      <c r="D1417" s="809"/>
      <c r="E1417" s="809"/>
      <c r="F1417" s="809"/>
      <c r="G1417" s="809"/>
      <c r="H1417" s="809"/>
      <c r="I1417" s="809"/>
      <c r="J1417" s="809"/>
      <c r="K1417" s="809"/>
      <c r="L1417" s="809"/>
      <c r="M1417" s="809"/>
      <c r="N1417" s="809"/>
      <c r="O1417" s="809"/>
      <c r="P1417" s="809"/>
      <c r="Q1417" s="809"/>
      <c r="R1417" s="809"/>
      <c r="S1417" s="809"/>
      <c r="T1417" s="809"/>
      <c r="U1417" s="809"/>
      <c r="V1417" s="809"/>
      <c r="W1417" s="809"/>
      <c r="X1417" s="809"/>
      <c r="Y1417" s="809"/>
      <c r="Z1417" s="809"/>
      <c r="AA1417" s="809"/>
      <c r="AB1417" s="809"/>
      <c r="AC1417" s="809"/>
      <c r="AD1417" s="809"/>
      <c r="AE1417" s="809"/>
      <c r="AF1417" s="809"/>
      <c r="AG1417" s="809"/>
      <c r="AH1417" s="809"/>
      <c r="AI1417" s="809"/>
      <c r="AJ1417" s="809"/>
      <c r="AK1417" s="809"/>
      <c r="AL1417" s="809"/>
      <c r="AM1417" s="809"/>
      <c r="AN1417" s="809"/>
      <c r="AO1417" s="809"/>
      <c r="AP1417" s="809"/>
      <c r="AQ1417" s="809"/>
      <c r="AR1417" s="809"/>
      <c r="AS1417" s="809"/>
      <c r="AT1417" s="809"/>
      <c r="AU1417" s="809"/>
      <c r="AV1417" s="809"/>
      <c r="AW1417" s="809"/>
      <c r="AX1417" s="809"/>
      <c r="AY1417" s="809"/>
      <c r="AZ1417" s="809"/>
      <c r="BA1417" s="809"/>
      <c r="BB1417" s="809"/>
      <c r="BC1417" s="809"/>
      <c r="BD1417" s="809"/>
      <c r="BE1417" s="809"/>
      <c r="BF1417" s="809"/>
      <c r="BG1417" s="809"/>
      <c r="BH1417" s="809"/>
      <c r="BI1417" s="809"/>
      <c r="BJ1417" s="809"/>
      <c r="BK1417" s="809"/>
      <c r="BL1417" s="809"/>
      <c r="BM1417" s="809"/>
      <c r="BN1417" s="809"/>
    </row>
    <row r="1418" spans="1:66">
      <c r="A1418" s="809"/>
      <c r="B1418" s="809"/>
      <c r="C1418" s="809"/>
      <c r="D1418" s="809"/>
      <c r="E1418" s="809"/>
      <c r="F1418" s="809"/>
      <c r="G1418" s="809"/>
      <c r="H1418" s="809"/>
      <c r="I1418" s="809"/>
      <c r="J1418" s="809"/>
      <c r="K1418" s="809"/>
      <c r="L1418" s="809"/>
      <c r="M1418" s="809"/>
      <c r="N1418" s="809"/>
      <c r="O1418" s="809"/>
      <c r="P1418" s="809"/>
      <c r="Q1418" s="809"/>
      <c r="R1418" s="809"/>
      <c r="S1418" s="809"/>
      <c r="T1418" s="809"/>
      <c r="U1418" s="809"/>
      <c r="V1418" s="809"/>
      <c r="W1418" s="809"/>
      <c r="X1418" s="809"/>
      <c r="Y1418" s="809"/>
      <c r="Z1418" s="809"/>
      <c r="AA1418" s="809"/>
      <c r="AB1418" s="809"/>
      <c r="AC1418" s="809"/>
      <c r="AD1418" s="809"/>
      <c r="AE1418" s="809"/>
      <c r="AF1418" s="809"/>
      <c r="AG1418" s="809"/>
      <c r="AH1418" s="809"/>
      <c r="AI1418" s="809"/>
      <c r="AJ1418" s="809"/>
      <c r="AK1418" s="809"/>
      <c r="AL1418" s="809"/>
      <c r="AM1418" s="809"/>
      <c r="AN1418" s="809"/>
      <c r="AO1418" s="809"/>
      <c r="AP1418" s="809"/>
      <c r="AQ1418" s="809"/>
      <c r="AR1418" s="809"/>
      <c r="AS1418" s="809"/>
      <c r="AT1418" s="809"/>
      <c r="AU1418" s="809"/>
      <c r="AV1418" s="809"/>
      <c r="AW1418" s="809"/>
      <c r="AX1418" s="809"/>
      <c r="AY1418" s="809"/>
      <c r="AZ1418" s="809"/>
      <c r="BA1418" s="809"/>
      <c r="BB1418" s="809"/>
      <c r="BC1418" s="809"/>
      <c r="BD1418" s="809"/>
      <c r="BE1418" s="809"/>
      <c r="BF1418" s="809"/>
      <c r="BG1418" s="809"/>
      <c r="BH1418" s="809"/>
      <c r="BI1418" s="809"/>
      <c r="BJ1418" s="809"/>
      <c r="BK1418" s="809"/>
      <c r="BL1418" s="809"/>
      <c r="BM1418" s="809"/>
      <c r="BN1418" s="809"/>
    </row>
    <row r="1419" spans="1:66">
      <c r="A1419" s="809"/>
      <c r="B1419" s="809"/>
      <c r="C1419" s="809"/>
      <c r="D1419" s="809"/>
      <c r="E1419" s="809"/>
      <c r="F1419" s="809"/>
      <c r="G1419" s="809"/>
      <c r="H1419" s="809"/>
      <c r="I1419" s="809"/>
      <c r="J1419" s="809"/>
      <c r="K1419" s="809"/>
      <c r="L1419" s="809"/>
      <c r="M1419" s="809"/>
      <c r="N1419" s="809"/>
      <c r="O1419" s="809"/>
      <c r="P1419" s="809"/>
      <c r="Q1419" s="809"/>
      <c r="R1419" s="809"/>
      <c r="S1419" s="809"/>
      <c r="T1419" s="809"/>
      <c r="U1419" s="809"/>
      <c r="V1419" s="809"/>
      <c r="W1419" s="809"/>
      <c r="X1419" s="809"/>
      <c r="Y1419" s="809"/>
      <c r="Z1419" s="809"/>
      <c r="AA1419" s="809"/>
      <c r="AB1419" s="809"/>
      <c r="AC1419" s="809"/>
      <c r="AD1419" s="809"/>
      <c r="AE1419" s="809"/>
      <c r="AF1419" s="809"/>
      <c r="AG1419" s="809"/>
      <c r="AH1419" s="809"/>
      <c r="AI1419" s="809"/>
      <c r="AJ1419" s="809"/>
      <c r="AK1419" s="809"/>
      <c r="AL1419" s="809"/>
      <c r="AM1419" s="809"/>
      <c r="AN1419" s="809"/>
      <c r="AO1419" s="809"/>
      <c r="AP1419" s="809"/>
      <c r="AQ1419" s="809"/>
      <c r="AR1419" s="809"/>
      <c r="AS1419" s="809"/>
      <c r="AT1419" s="809"/>
      <c r="AU1419" s="809"/>
      <c r="AV1419" s="809"/>
      <c r="AW1419" s="809"/>
      <c r="AX1419" s="809"/>
      <c r="AY1419" s="809"/>
      <c r="AZ1419" s="809"/>
      <c r="BA1419" s="809"/>
      <c r="BB1419" s="809"/>
      <c r="BC1419" s="809"/>
      <c r="BD1419" s="809"/>
      <c r="BE1419" s="809"/>
      <c r="BF1419" s="809"/>
      <c r="BG1419" s="809"/>
      <c r="BH1419" s="809"/>
      <c r="BI1419" s="809"/>
      <c r="BJ1419" s="809"/>
      <c r="BK1419" s="809"/>
      <c r="BL1419" s="809"/>
      <c r="BM1419" s="809"/>
      <c r="BN1419" s="809"/>
    </row>
    <row r="1420" spans="1:66">
      <c r="A1420" s="809"/>
      <c r="B1420" s="809"/>
      <c r="C1420" s="809"/>
      <c r="D1420" s="809"/>
      <c r="E1420" s="809"/>
      <c r="F1420" s="809"/>
      <c r="G1420" s="809"/>
      <c r="H1420" s="809"/>
      <c r="I1420" s="809"/>
      <c r="J1420" s="809"/>
      <c r="K1420" s="809"/>
      <c r="L1420" s="809"/>
      <c r="M1420" s="809"/>
      <c r="N1420" s="809"/>
      <c r="O1420" s="809"/>
      <c r="P1420" s="809"/>
      <c r="Q1420" s="809"/>
      <c r="R1420" s="809"/>
      <c r="S1420" s="809"/>
      <c r="T1420" s="809"/>
      <c r="U1420" s="809"/>
      <c r="V1420" s="809"/>
      <c r="W1420" s="809"/>
      <c r="X1420" s="809"/>
      <c r="Y1420" s="809"/>
      <c r="Z1420" s="809"/>
      <c r="AA1420" s="809"/>
      <c r="AB1420" s="809"/>
      <c r="AC1420" s="809"/>
      <c r="AD1420" s="809"/>
      <c r="AE1420" s="809"/>
      <c r="AF1420" s="809"/>
      <c r="AG1420" s="809"/>
      <c r="AH1420" s="809"/>
      <c r="AI1420" s="809"/>
      <c r="AJ1420" s="809"/>
      <c r="AK1420" s="809"/>
      <c r="AL1420" s="809"/>
      <c r="AM1420" s="809"/>
      <c r="AN1420" s="809"/>
      <c r="AO1420" s="809"/>
      <c r="AP1420" s="809"/>
      <c r="AQ1420" s="809"/>
      <c r="AR1420" s="809"/>
      <c r="AS1420" s="809"/>
      <c r="AT1420" s="809"/>
      <c r="AU1420" s="809"/>
      <c r="AV1420" s="809"/>
      <c r="AW1420" s="809"/>
      <c r="AX1420" s="809"/>
      <c r="AY1420" s="809"/>
      <c r="AZ1420" s="809"/>
      <c r="BA1420" s="809"/>
      <c r="BB1420" s="809"/>
      <c r="BC1420" s="809"/>
      <c r="BD1420" s="809"/>
      <c r="BE1420" s="809"/>
      <c r="BF1420" s="809"/>
      <c r="BG1420" s="809"/>
      <c r="BH1420" s="809"/>
      <c r="BI1420" s="809"/>
      <c r="BJ1420" s="809"/>
      <c r="BK1420" s="809"/>
      <c r="BL1420" s="809"/>
      <c r="BM1420" s="809"/>
      <c r="BN1420" s="809"/>
    </row>
    <row r="1421" spans="1:66">
      <c r="A1421" s="809"/>
      <c r="B1421" s="809"/>
      <c r="C1421" s="809"/>
      <c r="D1421" s="809"/>
      <c r="E1421" s="809"/>
      <c r="F1421" s="809"/>
      <c r="G1421" s="809"/>
      <c r="H1421" s="809"/>
      <c r="I1421" s="809"/>
      <c r="J1421" s="809"/>
      <c r="K1421" s="809"/>
      <c r="L1421" s="809"/>
      <c r="M1421" s="809"/>
      <c r="N1421" s="809"/>
      <c r="O1421" s="809"/>
      <c r="P1421" s="809"/>
      <c r="Q1421" s="809"/>
      <c r="R1421" s="809"/>
      <c r="S1421" s="809"/>
      <c r="T1421" s="809"/>
      <c r="U1421" s="809"/>
      <c r="V1421" s="809"/>
      <c r="W1421" s="809"/>
      <c r="X1421" s="809"/>
      <c r="Y1421" s="809"/>
      <c r="Z1421" s="809"/>
      <c r="AA1421" s="809"/>
      <c r="AB1421" s="809"/>
      <c r="AC1421" s="809"/>
      <c r="AD1421" s="809"/>
      <c r="AE1421" s="809"/>
      <c r="AF1421" s="809"/>
      <c r="AG1421" s="809"/>
      <c r="AH1421" s="809"/>
      <c r="AI1421" s="809"/>
      <c r="AJ1421" s="809"/>
      <c r="AK1421" s="809"/>
      <c r="AL1421" s="809"/>
      <c r="AM1421" s="809"/>
      <c r="AN1421" s="809"/>
      <c r="AO1421" s="809"/>
      <c r="AP1421" s="809"/>
      <c r="AQ1421" s="809"/>
      <c r="AR1421" s="809"/>
      <c r="AS1421" s="809"/>
      <c r="AT1421" s="809"/>
      <c r="AU1421" s="809"/>
      <c r="AV1421" s="809"/>
      <c r="AW1421" s="809"/>
      <c r="AX1421" s="809"/>
      <c r="AY1421" s="809"/>
      <c r="AZ1421" s="809"/>
      <c r="BA1421" s="809"/>
      <c r="BB1421" s="809"/>
      <c r="BC1421" s="809"/>
      <c r="BD1421" s="809"/>
      <c r="BE1421" s="809"/>
      <c r="BF1421" s="809"/>
      <c r="BG1421" s="809"/>
      <c r="BH1421" s="809"/>
      <c r="BI1421" s="809"/>
      <c r="BJ1421" s="809"/>
      <c r="BK1421" s="809"/>
      <c r="BL1421" s="809"/>
      <c r="BM1421" s="809"/>
      <c r="BN1421" s="809"/>
    </row>
    <row r="1422" spans="1:66">
      <c r="A1422" s="809"/>
      <c r="B1422" s="809"/>
      <c r="C1422" s="809"/>
      <c r="D1422" s="809"/>
      <c r="E1422" s="809"/>
      <c r="F1422" s="809"/>
      <c r="G1422" s="809"/>
      <c r="H1422" s="809"/>
      <c r="I1422" s="809"/>
      <c r="J1422" s="809"/>
      <c r="K1422" s="809"/>
      <c r="L1422" s="809"/>
      <c r="M1422" s="809"/>
      <c r="N1422" s="809"/>
      <c r="O1422" s="809"/>
      <c r="P1422" s="809"/>
      <c r="Q1422" s="809"/>
      <c r="R1422" s="809"/>
      <c r="S1422" s="809"/>
      <c r="T1422" s="809"/>
      <c r="U1422" s="809"/>
      <c r="V1422" s="809"/>
      <c r="W1422" s="809"/>
      <c r="X1422" s="809"/>
      <c r="Y1422" s="809"/>
      <c r="Z1422" s="809"/>
      <c r="AA1422" s="809"/>
      <c r="AB1422" s="809"/>
      <c r="AC1422" s="809"/>
      <c r="AD1422" s="809"/>
      <c r="AE1422" s="809"/>
      <c r="AF1422" s="809"/>
      <c r="AG1422" s="809"/>
      <c r="AH1422" s="809"/>
      <c r="AI1422" s="809"/>
      <c r="AJ1422" s="809"/>
      <c r="AK1422" s="809"/>
      <c r="AL1422" s="809"/>
      <c r="AM1422" s="809"/>
      <c r="AN1422" s="809"/>
      <c r="AO1422" s="809"/>
      <c r="AP1422" s="809"/>
      <c r="AQ1422" s="809"/>
      <c r="AR1422" s="809"/>
      <c r="AS1422" s="809"/>
      <c r="AT1422" s="809"/>
      <c r="AU1422" s="809"/>
      <c r="AV1422" s="809"/>
      <c r="AW1422" s="809"/>
      <c r="AX1422" s="809"/>
      <c r="AY1422" s="809"/>
      <c r="AZ1422" s="809"/>
      <c r="BA1422" s="809"/>
      <c r="BB1422" s="809"/>
      <c r="BC1422" s="809"/>
      <c r="BD1422" s="809"/>
      <c r="BE1422" s="809"/>
      <c r="BF1422" s="809"/>
      <c r="BG1422" s="809"/>
      <c r="BH1422" s="809"/>
      <c r="BI1422" s="809"/>
      <c r="BJ1422" s="809"/>
      <c r="BK1422" s="809"/>
      <c r="BL1422" s="809"/>
      <c r="BM1422" s="809"/>
      <c r="BN1422" s="809"/>
    </row>
    <row r="1423" spans="1:66">
      <c r="A1423" s="809"/>
      <c r="B1423" s="809"/>
      <c r="C1423" s="809"/>
      <c r="D1423" s="809"/>
      <c r="E1423" s="809"/>
      <c r="F1423" s="809"/>
      <c r="G1423" s="809"/>
      <c r="H1423" s="809"/>
      <c r="I1423" s="809"/>
      <c r="J1423" s="809"/>
      <c r="K1423" s="809"/>
      <c r="L1423" s="809"/>
      <c r="M1423" s="809"/>
      <c r="N1423" s="809"/>
      <c r="O1423" s="809"/>
      <c r="P1423" s="809"/>
      <c r="Q1423" s="809"/>
      <c r="R1423" s="809"/>
      <c r="S1423" s="809"/>
      <c r="T1423" s="809"/>
      <c r="U1423" s="809"/>
      <c r="V1423" s="809"/>
      <c r="W1423" s="809"/>
      <c r="X1423" s="809"/>
      <c r="Y1423" s="809"/>
      <c r="Z1423" s="809"/>
      <c r="AA1423" s="809"/>
      <c r="AB1423" s="809"/>
      <c r="AC1423" s="809"/>
      <c r="AD1423" s="809"/>
      <c r="AE1423" s="809"/>
      <c r="AF1423" s="809"/>
      <c r="AG1423" s="809"/>
      <c r="AH1423" s="809"/>
      <c r="AI1423" s="809"/>
      <c r="AJ1423" s="809"/>
      <c r="AK1423" s="809"/>
      <c r="AL1423" s="809"/>
      <c r="AM1423" s="809"/>
      <c r="AN1423" s="809"/>
      <c r="AO1423" s="809"/>
      <c r="AP1423" s="809"/>
      <c r="AQ1423" s="809"/>
      <c r="AR1423" s="809"/>
      <c r="AS1423" s="809"/>
      <c r="AT1423" s="809"/>
      <c r="AU1423" s="809"/>
      <c r="AV1423" s="809"/>
      <c r="AW1423" s="809"/>
      <c r="AX1423" s="809"/>
      <c r="AY1423" s="809"/>
      <c r="AZ1423" s="809"/>
      <c r="BA1423" s="809"/>
      <c r="BB1423" s="809"/>
      <c r="BC1423" s="809"/>
      <c r="BD1423" s="809"/>
      <c r="BE1423" s="809"/>
      <c r="BF1423" s="809"/>
      <c r="BG1423" s="809"/>
      <c r="BH1423" s="809"/>
      <c r="BI1423" s="809"/>
      <c r="BJ1423" s="809"/>
      <c r="BK1423" s="809"/>
      <c r="BL1423" s="809"/>
      <c r="BM1423" s="809"/>
      <c r="BN1423" s="809"/>
    </row>
    <row r="1424" spans="1:66">
      <c r="A1424" s="809"/>
      <c r="B1424" s="809"/>
      <c r="C1424" s="809"/>
      <c r="D1424" s="809"/>
      <c r="E1424" s="809"/>
      <c r="F1424" s="809"/>
      <c r="G1424" s="809"/>
      <c r="H1424" s="809"/>
      <c r="I1424" s="809"/>
      <c r="J1424" s="809"/>
      <c r="K1424" s="809"/>
      <c r="L1424" s="809"/>
      <c r="M1424" s="809"/>
      <c r="N1424" s="809"/>
      <c r="O1424" s="809"/>
      <c r="P1424" s="809"/>
      <c r="Q1424" s="809"/>
      <c r="R1424" s="809"/>
      <c r="S1424" s="809"/>
      <c r="T1424" s="809"/>
      <c r="U1424" s="809"/>
      <c r="V1424" s="809"/>
      <c r="W1424" s="809"/>
      <c r="X1424" s="809"/>
      <c r="Y1424" s="809"/>
      <c r="Z1424" s="809"/>
      <c r="AA1424" s="809"/>
      <c r="AB1424" s="809"/>
      <c r="AC1424" s="809"/>
      <c r="AD1424" s="809"/>
      <c r="AE1424" s="809"/>
      <c r="AF1424" s="809"/>
      <c r="AG1424" s="809"/>
      <c r="AH1424" s="809"/>
      <c r="AI1424" s="809"/>
      <c r="AJ1424" s="809"/>
      <c r="AK1424" s="809"/>
      <c r="AL1424" s="809"/>
      <c r="AM1424" s="809"/>
      <c r="AN1424" s="809"/>
      <c r="AO1424" s="809"/>
      <c r="AP1424" s="809"/>
      <c r="AQ1424" s="809"/>
      <c r="AR1424" s="809"/>
      <c r="AS1424" s="809"/>
      <c r="AT1424" s="809"/>
      <c r="AU1424" s="809"/>
      <c r="AV1424" s="809"/>
      <c r="AW1424" s="809"/>
      <c r="AX1424" s="809"/>
      <c r="AY1424" s="809"/>
      <c r="AZ1424" s="809"/>
      <c r="BA1424" s="809"/>
      <c r="BB1424" s="809"/>
      <c r="BC1424" s="809"/>
      <c r="BD1424" s="809"/>
      <c r="BE1424" s="809"/>
      <c r="BF1424" s="809"/>
      <c r="BG1424" s="809"/>
      <c r="BH1424" s="809"/>
      <c r="BI1424" s="809"/>
      <c r="BJ1424" s="809"/>
      <c r="BK1424" s="809"/>
      <c r="BL1424" s="809"/>
      <c r="BM1424" s="809"/>
      <c r="BN1424" s="809"/>
    </row>
    <row r="1425" spans="1:66">
      <c r="A1425" s="809"/>
      <c r="B1425" s="809"/>
      <c r="C1425" s="809"/>
      <c r="D1425" s="809"/>
      <c r="E1425" s="809"/>
      <c r="F1425" s="809"/>
      <c r="G1425" s="809"/>
      <c r="H1425" s="809"/>
      <c r="I1425" s="809"/>
      <c r="J1425" s="809"/>
      <c r="K1425" s="809"/>
      <c r="L1425" s="809"/>
      <c r="M1425" s="809"/>
      <c r="N1425" s="809"/>
      <c r="O1425" s="809"/>
      <c r="P1425" s="809"/>
      <c r="Q1425" s="809"/>
      <c r="R1425" s="809"/>
      <c r="S1425" s="809"/>
      <c r="T1425" s="809"/>
      <c r="U1425" s="809"/>
      <c r="V1425" s="809"/>
      <c r="W1425" s="809"/>
      <c r="X1425" s="809"/>
      <c r="Y1425" s="809"/>
      <c r="Z1425" s="809"/>
      <c r="AA1425" s="809"/>
      <c r="AB1425" s="809"/>
      <c r="AC1425" s="809"/>
      <c r="AD1425" s="809"/>
      <c r="AE1425" s="809"/>
      <c r="AF1425" s="809"/>
      <c r="AG1425" s="809"/>
      <c r="AH1425" s="809"/>
      <c r="AI1425" s="809"/>
      <c r="AJ1425" s="809"/>
      <c r="AK1425" s="809"/>
      <c r="AL1425" s="809"/>
      <c r="AM1425" s="809"/>
      <c r="AN1425" s="809"/>
      <c r="AO1425" s="809"/>
      <c r="AP1425" s="809"/>
      <c r="AQ1425" s="809"/>
      <c r="AR1425" s="809"/>
      <c r="AS1425" s="809"/>
      <c r="AT1425" s="809"/>
      <c r="AU1425" s="809"/>
      <c r="AV1425" s="809"/>
      <c r="AW1425" s="809"/>
      <c r="AX1425" s="809"/>
      <c r="AY1425" s="809"/>
      <c r="AZ1425" s="809"/>
      <c r="BA1425" s="809"/>
      <c r="BB1425" s="809"/>
      <c r="BC1425" s="809"/>
      <c r="BD1425" s="809"/>
      <c r="BE1425" s="809"/>
      <c r="BF1425" s="809"/>
      <c r="BG1425" s="809"/>
      <c r="BH1425" s="809"/>
      <c r="BI1425" s="809"/>
      <c r="BJ1425" s="809"/>
      <c r="BK1425" s="809"/>
      <c r="BL1425" s="809"/>
      <c r="BM1425" s="809"/>
      <c r="BN1425" s="809"/>
    </row>
    <row r="1426" spans="1:66">
      <c r="A1426" s="809"/>
      <c r="B1426" s="809"/>
      <c r="C1426" s="809"/>
      <c r="D1426" s="809"/>
      <c r="E1426" s="809"/>
      <c r="F1426" s="809"/>
      <c r="G1426" s="809"/>
      <c r="H1426" s="809"/>
      <c r="I1426" s="809"/>
      <c r="J1426" s="809"/>
      <c r="K1426" s="809"/>
      <c r="L1426" s="809"/>
      <c r="M1426" s="809"/>
      <c r="N1426" s="809"/>
      <c r="O1426" s="809"/>
      <c r="P1426" s="809"/>
      <c r="Q1426" s="809"/>
      <c r="R1426" s="809"/>
      <c r="S1426" s="809"/>
      <c r="T1426" s="809"/>
      <c r="U1426" s="809"/>
      <c r="V1426" s="809"/>
      <c r="W1426" s="809"/>
      <c r="X1426" s="809"/>
      <c r="Y1426" s="809"/>
      <c r="Z1426" s="809"/>
      <c r="AA1426" s="809"/>
      <c r="AB1426" s="809"/>
      <c r="AC1426" s="809"/>
      <c r="AD1426" s="809"/>
      <c r="AE1426" s="809"/>
      <c r="AF1426" s="809"/>
      <c r="AG1426" s="809"/>
      <c r="AH1426" s="809"/>
      <c r="AI1426" s="809"/>
      <c r="AJ1426" s="809"/>
      <c r="AK1426" s="809"/>
      <c r="AL1426" s="809"/>
      <c r="AM1426" s="809"/>
      <c r="AN1426" s="809"/>
      <c r="AO1426" s="809"/>
      <c r="AP1426" s="809"/>
      <c r="AQ1426" s="809"/>
      <c r="AR1426" s="809"/>
      <c r="AS1426" s="809"/>
      <c r="AT1426" s="809"/>
      <c r="AU1426" s="809"/>
      <c r="AV1426" s="809"/>
      <c r="AW1426" s="809"/>
      <c r="AX1426" s="809"/>
      <c r="AY1426" s="809"/>
      <c r="AZ1426" s="809"/>
      <c r="BA1426" s="809"/>
      <c r="BB1426" s="809"/>
      <c r="BC1426" s="809"/>
      <c r="BD1426" s="809"/>
      <c r="BE1426" s="809"/>
      <c r="BF1426" s="809"/>
      <c r="BG1426" s="809"/>
      <c r="BH1426" s="809"/>
      <c r="BI1426" s="809"/>
      <c r="BJ1426" s="809"/>
      <c r="BK1426" s="809"/>
      <c r="BL1426" s="809"/>
      <c r="BM1426" s="809"/>
      <c r="BN1426" s="809"/>
    </row>
    <row r="1427" spans="1:66">
      <c r="A1427" s="809"/>
      <c r="B1427" s="809"/>
      <c r="C1427" s="809"/>
      <c r="D1427" s="809"/>
      <c r="E1427" s="809"/>
      <c r="F1427" s="809"/>
      <c r="G1427" s="809"/>
      <c r="H1427" s="809"/>
      <c r="I1427" s="809"/>
      <c r="J1427" s="809"/>
      <c r="K1427" s="809"/>
      <c r="L1427" s="809"/>
      <c r="M1427" s="809"/>
      <c r="N1427" s="809"/>
      <c r="O1427" s="809"/>
      <c r="P1427" s="809"/>
      <c r="Q1427" s="809"/>
      <c r="R1427" s="809"/>
      <c r="S1427" s="809"/>
      <c r="T1427" s="809"/>
      <c r="U1427" s="809"/>
      <c r="V1427" s="809"/>
      <c r="W1427" s="809"/>
      <c r="X1427" s="809"/>
      <c r="Y1427" s="809"/>
      <c r="Z1427" s="809"/>
      <c r="AA1427" s="809"/>
      <c r="AB1427" s="809"/>
      <c r="AC1427" s="809"/>
      <c r="AD1427" s="809"/>
      <c r="AE1427" s="809"/>
      <c r="AF1427" s="809"/>
      <c r="AG1427" s="809"/>
      <c r="AH1427" s="809"/>
      <c r="AI1427" s="809"/>
      <c r="AJ1427" s="809"/>
      <c r="AK1427" s="809"/>
      <c r="AL1427" s="809"/>
      <c r="AM1427" s="809"/>
      <c r="AN1427" s="809"/>
      <c r="AO1427" s="809"/>
      <c r="AP1427" s="809"/>
      <c r="AQ1427" s="809"/>
      <c r="AR1427" s="809"/>
      <c r="AS1427" s="809"/>
      <c r="AT1427" s="809"/>
      <c r="AU1427" s="809"/>
      <c r="AV1427" s="809"/>
      <c r="AW1427" s="809"/>
      <c r="AX1427" s="809"/>
      <c r="AY1427" s="809"/>
      <c r="AZ1427" s="809"/>
      <c r="BA1427" s="809"/>
      <c r="BB1427" s="809"/>
      <c r="BC1427" s="809"/>
      <c r="BD1427" s="809"/>
      <c r="BE1427" s="809"/>
      <c r="BF1427" s="809"/>
      <c r="BG1427" s="809"/>
      <c r="BH1427" s="809"/>
      <c r="BI1427" s="809"/>
      <c r="BJ1427" s="809"/>
      <c r="BK1427" s="809"/>
      <c r="BL1427" s="809"/>
      <c r="BM1427" s="809"/>
      <c r="BN1427" s="809"/>
    </row>
    <row r="1428" spans="1:66">
      <c r="A1428" s="809"/>
      <c r="B1428" s="809"/>
      <c r="C1428" s="809"/>
      <c r="D1428" s="809"/>
      <c r="E1428" s="809"/>
      <c r="F1428" s="809"/>
      <c r="G1428" s="809"/>
      <c r="H1428" s="809"/>
      <c r="I1428" s="809"/>
      <c r="J1428" s="809"/>
      <c r="K1428" s="809"/>
      <c r="L1428" s="809"/>
      <c r="M1428" s="809"/>
      <c r="N1428" s="809"/>
      <c r="O1428" s="809"/>
      <c r="P1428" s="809"/>
      <c r="Q1428" s="809"/>
      <c r="R1428" s="809"/>
      <c r="S1428" s="809"/>
      <c r="T1428" s="809"/>
      <c r="U1428" s="809"/>
      <c r="V1428" s="809"/>
      <c r="W1428" s="809"/>
      <c r="X1428" s="809"/>
      <c r="Y1428" s="809"/>
      <c r="Z1428" s="809"/>
      <c r="AA1428" s="809"/>
      <c r="AB1428" s="809"/>
      <c r="AC1428" s="809"/>
      <c r="AD1428" s="809"/>
      <c r="AE1428" s="809"/>
      <c r="AF1428" s="809"/>
      <c r="AG1428" s="809"/>
      <c r="AH1428" s="809"/>
      <c r="AI1428" s="809"/>
      <c r="AJ1428" s="809"/>
      <c r="AK1428" s="809"/>
      <c r="AL1428" s="809"/>
      <c r="AM1428" s="809"/>
      <c r="AN1428" s="809"/>
      <c r="AO1428" s="809"/>
      <c r="AP1428" s="809"/>
      <c r="AQ1428" s="809"/>
      <c r="AR1428" s="809"/>
      <c r="AS1428" s="809"/>
      <c r="AT1428" s="809"/>
      <c r="AU1428" s="809"/>
      <c r="AV1428" s="809"/>
      <c r="AW1428" s="809"/>
      <c r="AX1428" s="809"/>
      <c r="AY1428" s="809"/>
      <c r="AZ1428" s="809"/>
      <c r="BA1428" s="809"/>
      <c r="BB1428" s="809"/>
      <c r="BC1428" s="809"/>
      <c r="BD1428" s="809"/>
      <c r="BE1428" s="809"/>
      <c r="BF1428" s="809"/>
      <c r="BG1428" s="809"/>
      <c r="BH1428" s="809"/>
      <c r="BI1428" s="809"/>
      <c r="BJ1428" s="809"/>
      <c r="BK1428" s="809"/>
      <c r="BL1428" s="809"/>
      <c r="BM1428" s="809"/>
      <c r="BN1428" s="809"/>
    </row>
    <row r="1429" spans="1:66">
      <c r="A1429" s="809"/>
      <c r="B1429" s="809"/>
      <c r="C1429" s="809"/>
      <c r="D1429" s="809"/>
      <c r="E1429" s="809"/>
      <c r="F1429" s="809"/>
      <c r="G1429" s="809"/>
      <c r="H1429" s="809"/>
      <c r="I1429" s="809"/>
      <c r="J1429" s="809"/>
      <c r="K1429" s="809"/>
      <c r="L1429" s="809"/>
      <c r="M1429" s="809"/>
      <c r="N1429" s="809"/>
      <c r="O1429" s="809"/>
      <c r="P1429" s="809"/>
      <c r="Q1429" s="809"/>
      <c r="R1429" s="809"/>
      <c r="S1429" s="809"/>
      <c r="T1429" s="809"/>
      <c r="U1429" s="809"/>
      <c r="V1429" s="809"/>
      <c r="W1429" s="809"/>
      <c r="X1429" s="809"/>
      <c r="Y1429" s="809"/>
      <c r="Z1429" s="809"/>
      <c r="AA1429" s="809"/>
      <c r="AB1429" s="809"/>
      <c r="AC1429" s="809"/>
      <c r="AD1429" s="809"/>
      <c r="AE1429" s="809"/>
      <c r="AF1429" s="809"/>
      <c r="AG1429" s="809"/>
      <c r="AH1429" s="809"/>
      <c r="AI1429" s="809"/>
      <c r="AJ1429" s="809"/>
      <c r="AK1429" s="809"/>
      <c r="AL1429" s="809"/>
      <c r="AM1429" s="809"/>
      <c r="AN1429" s="809"/>
      <c r="AO1429" s="809"/>
      <c r="AP1429" s="809"/>
      <c r="AQ1429" s="809"/>
      <c r="AR1429" s="809"/>
      <c r="AS1429" s="809"/>
      <c r="AT1429" s="809"/>
      <c r="AU1429" s="809"/>
      <c r="AV1429" s="809"/>
      <c r="AW1429" s="809"/>
      <c r="AX1429" s="809"/>
      <c r="AY1429" s="809"/>
      <c r="AZ1429" s="809"/>
      <c r="BA1429" s="809"/>
      <c r="BB1429" s="809"/>
      <c r="BC1429" s="809"/>
      <c r="BD1429" s="809"/>
      <c r="BE1429" s="809"/>
      <c r="BF1429" s="809"/>
      <c r="BG1429" s="809"/>
      <c r="BH1429" s="809"/>
      <c r="BI1429" s="809"/>
      <c r="BJ1429" s="809"/>
      <c r="BK1429" s="809"/>
      <c r="BL1429" s="809"/>
      <c r="BM1429" s="809"/>
      <c r="BN1429" s="809"/>
    </row>
    <row r="1430" spans="1:66">
      <c r="A1430" s="809"/>
      <c r="B1430" s="809"/>
      <c r="C1430" s="809"/>
      <c r="D1430" s="809"/>
      <c r="E1430" s="809"/>
      <c r="F1430" s="809"/>
      <c r="G1430" s="809"/>
      <c r="H1430" s="809"/>
      <c r="I1430" s="809"/>
      <c r="J1430" s="809"/>
      <c r="K1430" s="809"/>
      <c r="L1430" s="809"/>
      <c r="M1430" s="809"/>
      <c r="N1430" s="809"/>
      <c r="O1430" s="809"/>
      <c r="P1430" s="809"/>
      <c r="Q1430" s="809"/>
      <c r="R1430" s="809"/>
      <c r="S1430" s="809"/>
      <c r="T1430" s="809"/>
      <c r="U1430" s="809"/>
      <c r="V1430" s="809"/>
      <c r="W1430" s="809"/>
      <c r="X1430" s="809"/>
      <c r="Y1430" s="809"/>
      <c r="Z1430" s="809"/>
      <c r="AA1430" s="809"/>
      <c r="AB1430" s="809"/>
      <c r="AC1430" s="809"/>
      <c r="AD1430" s="809"/>
      <c r="AE1430" s="809"/>
      <c r="AF1430" s="809"/>
      <c r="AG1430" s="809"/>
      <c r="AH1430" s="809"/>
      <c r="AI1430" s="809"/>
      <c r="AJ1430" s="809"/>
      <c r="AK1430" s="809"/>
      <c r="AL1430" s="809"/>
      <c r="AM1430" s="809"/>
      <c r="AN1430" s="809"/>
      <c r="AO1430" s="809"/>
      <c r="AP1430" s="809"/>
      <c r="AQ1430" s="809"/>
      <c r="AR1430" s="809"/>
      <c r="AS1430" s="809"/>
      <c r="AT1430" s="809"/>
      <c r="AU1430" s="809"/>
      <c r="AV1430" s="809"/>
      <c r="AW1430" s="809"/>
      <c r="AX1430" s="809"/>
      <c r="AY1430" s="809"/>
      <c r="AZ1430" s="809"/>
      <c r="BA1430" s="809"/>
      <c r="BB1430" s="809"/>
      <c r="BC1430" s="809"/>
      <c r="BD1430" s="809"/>
      <c r="BE1430" s="809"/>
      <c r="BF1430" s="809"/>
      <c r="BG1430" s="809"/>
      <c r="BH1430" s="809"/>
      <c r="BI1430" s="809"/>
      <c r="BJ1430" s="809"/>
      <c r="BK1430" s="809"/>
      <c r="BL1430" s="809"/>
      <c r="BM1430" s="809"/>
      <c r="BN1430" s="809"/>
    </row>
    <row r="1431" spans="1:66">
      <c r="A1431" s="809"/>
      <c r="B1431" s="809"/>
      <c r="C1431" s="809"/>
      <c r="D1431" s="809"/>
      <c r="E1431" s="809"/>
      <c r="F1431" s="809"/>
      <c r="G1431" s="809"/>
      <c r="H1431" s="809"/>
      <c r="I1431" s="809"/>
      <c r="J1431" s="809"/>
      <c r="K1431" s="809"/>
      <c r="L1431" s="809"/>
      <c r="M1431" s="809"/>
      <c r="N1431" s="809"/>
      <c r="O1431" s="809"/>
      <c r="P1431" s="809"/>
      <c r="Q1431" s="809"/>
      <c r="R1431" s="809"/>
      <c r="S1431" s="809"/>
      <c r="T1431" s="809"/>
      <c r="U1431" s="809"/>
      <c r="V1431" s="809"/>
      <c r="W1431" s="809"/>
      <c r="X1431" s="809"/>
      <c r="Y1431" s="809"/>
      <c r="Z1431" s="809"/>
      <c r="AA1431" s="809"/>
      <c r="AB1431" s="809"/>
      <c r="AC1431" s="809"/>
      <c r="AD1431" s="809"/>
      <c r="AE1431" s="809"/>
      <c r="AF1431" s="809"/>
      <c r="AG1431" s="809"/>
      <c r="AH1431" s="809"/>
      <c r="AI1431" s="809"/>
      <c r="AJ1431" s="809"/>
      <c r="AK1431" s="809"/>
      <c r="AL1431" s="809"/>
      <c r="AM1431" s="809"/>
      <c r="AN1431" s="809"/>
      <c r="AO1431" s="809"/>
      <c r="AP1431" s="809"/>
      <c r="AQ1431" s="809"/>
      <c r="AR1431" s="809"/>
      <c r="AS1431" s="809"/>
      <c r="AT1431" s="809"/>
      <c r="AU1431" s="809"/>
      <c r="AV1431" s="809"/>
      <c r="AW1431" s="809"/>
      <c r="AX1431" s="809"/>
      <c r="AY1431" s="809"/>
      <c r="AZ1431" s="809"/>
      <c r="BA1431" s="809"/>
      <c r="BB1431" s="809"/>
      <c r="BC1431" s="809"/>
      <c r="BD1431" s="809"/>
      <c r="BE1431" s="809"/>
      <c r="BF1431" s="809"/>
      <c r="BG1431" s="809"/>
      <c r="BH1431" s="809"/>
      <c r="BI1431" s="809"/>
      <c r="BJ1431" s="809"/>
      <c r="BK1431" s="809"/>
      <c r="BL1431" s="809"/>
      <c r="BM1431" s="809"/>
      <c r="BN1431" s="809"/>
    </row>
    <row r="1432" spans="1:66">
      <c r="A1432" s="809"/>
      <c r="B1432" s="809"/>
      <c r="C1432" s="809"/>
      <c r="D1432" s="809"/>
      <c r="E1432" s="809"/>
      <c r="F1432" s="809"/>
      <c r="G1432" s="809"/>
      <c r="H1432" s="809"/>
      <c r="I1432" s="809"/>
      <c r="J1432" s="809"/>
      <c r="K1432" s="809"/>
      <c r="L1432" s="809"/>
      <c r="M1432" s="809"/>
      <c r="N1432" s="809"/>
      <c r="O1432" s="809"/>
      <c r="P1432" s="809"/>
      <c r="Q1432" s="809"/>
      <c r="R1432" s="809"/>
      <c r="S1432" s="809"/>
      <c r="T1432" s="809"/>
      <c r="U1432" s="809"/>
      <c r="V1432" s="809"/>
      <c r="W1432" s="809"/>
      <c r="X1432" s="809"/>
      <c r="Y1432" s="809"/>
      <c r="Z1432" s="809"/>
      <c r="AA1432" s="809"/>
      <c r="AB1432" s="809"/>
      <c r="AC1432" s="809"/>
      <c r="AD1432" s="809"/>
      <c r="AE1432" s="809"/>
      <c r="AF1432" s="809"/>
      <c r="AG1432" s="809"/>
      <c r="AH1432" s="809"/>
      <c r="AI1432" s="809"/>
      <c r="AJ1432" s="809"/>
      <c r="AK1432" s="809"/>
      <c r="AL1432" s="809"/>
      <c r="AM1432" s="809"/>
      <c r="AN1432" s="809"/>
      <c r="AO1432" s="809"/>
      <c r="AP1432" s="809"/>
      <c r="AQ1432" s="809"/>
      <c r="AR1432" s="809"/>
      <c r="AS1432" s="809"/>
      <c r="AT1432" s="809"/>
      <c r="AU1432" s="809"/>
      <c r="AV1432" s="809"/>
      <c r="AW1432" s="809"/>
      <c r="AX1432" s="809"/>
      <c r="AY1432" s="809"/>
      <c r="AZ1432" s="809"/>
      <c r="BA1432" s="809"/>
      <c r="BB1432" s="809"/>
      <c r="BC1432" s="809"/>
      <c r="BD1432" s="809"/>
      <c r="BE1432" s="809"/>
      <c r="BF1432" s="809"/>
      <c r="BG1432" s="809"/>
      <c r="BH1432" s="809"/>
      <c r="BI1432" s="809"/>
      <c r="BJ1432" s="809"/>
      <c r="BK1432" s="809"/>
      <c r="BL1432" s="809"/>
      <c r="BM1432" s="809"/>
      <c r="BN1432" s="809"/>
    </row>
    <row r="1433" spans="1:66">
      <c r="A1433" s="809"/>
      <c r="B1433" s="809"/>
      <c r="C1433" s="809"/>
      <c r="D1433" s="809"/>
      <c r="E1433" s="809"/>
      <c r="F1433" s="809"/>
      <c r="G1433" s="809"/>
      <c r="H1433" s="809"/>
      <c r="I1433" s="809"/>
      <c r="J1433" s="809"/>
      <c r="K1433" s="809"/>
      <c r="L1433" s="809"/>
      <c r="M1433" s="809"/>
      <c r="N1433" s="809"/>
      <c r="O1433" s="809"/>
      <c r="P1433" s="809"/>
      <c r="Q1433" s="809"/>
      <c r="R1433" s="809"/>
      <c r="S1433" s="809"/>
      <c r="T1433" s="809"/>
      <c r="U1433" s="809"/>
      <c r="V1433" s="809"/>
      <c r="W1433" s="809"/>
      <c r="X1433" s="809"/>
      <c r="Y1433" s="809"/>
      <c r="Z1433" s="809"/>
      <c r="AA1433" s="809"/>
      <c r="AB1433" s="809"/>
      <c r="AC1433" s="809"/>
      <c r="AD1433" s="809"/>
      <c r="AE1433" s="809"/>
      <c r="AF1433" s="809"/>
      <c r="AG1433" s="809"/>
      <c r="AH1433" s="809"/>
      <c r="AI1433" s="809"/>
      <c r="AJ1433" s="809"/>
      <c r="AK1433" s="809"/>
      <c r="AL1433" s="809"/>
      <c r="AM1433" s="809"/>
      <c r="AN1433" s="809"/>
      <c r="AO1433" s="809"/>
      <c r="AP1433" s="809"/>
      <c r="AQ1433" s="809"/>
      <c r="AR1433" s="809"/>
      <c r="AS1433" s="809"/>
      <c r="AT1433" s="809"/>
      <c r="AU1433" s="809"/>
      <c r="AV1433" s="809"/>
      <c r="AW1433" s="809"/>
      <c r="AX1433" s="809"/>
      <c r="AY1433" s="809"/>
      <c r="AZ1433" s="809"/>
      <c r="BA1433" s="809"/>
      <c r="BB1433" s="809"/>
      <c r="BC1433" s="809"/>
      <c r="BD1433" s="809"/>
      <c r="BE1433" s="809"/>
      <c r="BF1433" s="809"/>
      <c r="BG1433" s="809"/>
      <c r="BH1433" s="809"/>
      <c r="BI1433" s="809"/>
      <c r="BJ1433" s="809"/>
      <c r="BK1433" s="809"/>
      <c r="BL1433" s="809"/>
      <c r="BM1433" s="809"/>
      <c r="BN1433" s="809"/>
    </row>
    <row r="1434" spans="1:66">
      <c r="A1434" s="809"/>
      <c r="B1434" s="809"/>
      <c r="C1434" s="809"/>
      <c r="D1434" s="809"/>
      <c r="E1434" s="809"/>
      <c r="F1434" s="809"/>
      <c r="G1434" s="809"/>
      <c r="H1434" s="809"/>
      <c r="I1434" s="809"/>
      <c r="J1434" s="809"/>
      <c r="K1434" s="809"/>
      <c r="L1434" s="809"/>
      <c r="M1434" s="809"/>
      <c r="N1434" s="809"/>
      <c r="O1434" s="809"/>
      <c r="P1434" s="809"/>
      <c r="Q1434" s="809"/>
      <c r="R1434" s="809"/>
      <c r="S1434" s="809"/>
      <c r="T1434" s="809"/>
      <c r="U1434" s="809"/>
      <c r="V1434" s="809"/>
      <c r="W1434" s="809"/>
      <c r="X1434" s="809"/>
      <c r="Y1434" s="809"/>
      <c r="Z1434" s="809"/>
      <c r="AA1434" s="809"/>
      <c r="AB1434" s="809"/>
      <c r="AC1434" s="809"/>
      <c r="AD1434" s="809"/>
      <c r="AE1434" s="809"/>
      <c r="AF1434" s="809"/>
      <c r="AG1434" s="809"/>
      <c r="AH1434" s="809"/>
      <c r="AI1434" s="809"/>
      <c r="AJ1434" s="809"/>
      <c r="AK1434" s="809"/>
      <c r="AL1434" s="809"/>
      <c r="AM1434" s="809"/>
      <c r="AN1434" s="809"/>
      <c r="AO1434" s="809"/>
      <c r="AP1434" s="809"/>
      <c r="AQ1434" s="809"/>
      <c r="AR1434" s="809"/>
      <c r="AS1434" s="809"/>
      <c r="AT1434" s="809"/>
      <c r="AU1434" s="809"/>
      <c r="AV1434" s="809"/>
      <c r="AW1434" s="809"/>
      <c r="AX1434" s="809"/>
      <c r="AY1434" s="809"/>
      <c r="AZ1434" s="809"/>
      <c r="BA1434" s="809"/>
      <c r="BB1434" s="809"/>
      <c r="BC1434" s="809"/>
      <c r="BD1434" s="809"/>
      <c r="BE1434" s="809"/>
      <c r="BF1434" s="809"/>
      <c r="BG1434" s="809"/>
      <c r="BH1434" s="809"/>
      <c r="BI1434" s="809"/>
      <c r="BJ1434" s="809"/>
      <c r="BK1434" s="809"/>
      <c r="BL1434" s="809"/>
      <c r="BM1434" s="809"/>
      <c r="BN1434" s="809"/>
    </row>
    <row r="1435" spans="1:66">
      <c r="A1435" s="809"/>
      <c r="B1435" s="809"/>
      <c r="C1435" s="809"/>
      <c r="D1435" s="809"/>
      <c r="E1435" s="809"/>
      <c r="F1435" s="809"/>
      <c r="G1435" s="809"/>
      <c r="H1435" s="809"/>
      <c r="I1435" s="809"/>
      <c r="J1435" s="809"/>
      <c r="K1435" s="809"/>
      <c r="L1435" s="809"/>
      <c r="M1435" s="809"/>
      <c r="N1435" s="809"/>
      <c r="O1435" s="809"/>
      <c r="P1435" s="809"/>
      <c r="Q1435" s="809"/>
      <c r="R1435" s="809"/>
      <c r="S1435" s="809"/>
      <c r="T1435" s="809"/>
      <c r="U1435" s="809"/>
      <c r="V1435" s="809"/>
      <c r="W1435" s="809"/>
      <c r="X1435" s="809"/>
      <c r="Y1435" s="809"/>
      <c r="Z1435" s="809"/>
      <c r="AA1435" s="809"/>
      <c r="AB1435" s="809"/>
      <c r="AC1435" s="809"/>
      <c r="AD1435" s="809"/>
      <c r="AE1435" s="809"/>
      <c r="AF1435" s="809"/>
      <c r="AG1435" s="809"/>
      <c r="AH1435" s="809"/>
      <c r="AI1435" s="809"/>
      <c r="AJ1435" s="809"/>
      <c r="AK1435" s="809"/>
      <c r="AL1435" s="809"/>
      <c r="AM1435" s="809"/>
      <c r="AN1435" s="809"/>
      <c r="AO1435" s="809"/>
      <c r="AP1435" s="809"/>
      <c r="AQ1435" s="809"/>
      <c r="AR1435" s="809"/>
      <c r="AS1435" s="809"/>
      <c r="AT1435" s="809"/>
      <c r="AU1435" s="809"/>
      <c r="AV1435" s="809"/>
      <c r="AW1435" s="809"/>
      <c r="AX1435" s="809"/>
      <c r="AY1435" s="809"/>
      <c r="AZ1435" s="809"/>
      <c r="BA1435" s="809"/>
      <c r="BB1435" s="809"/>
      <c r="BC1435" s="809"/>
      <c r="BD1435" s="809"/>
      <c r="BE1435" s="809"/>
      <c r="BF1435" s="809"/>
      <c r="BG1435" s="809"/>
      <c r="BH1435" s="809"/>
      <c r="BI1435" s="809"/>
      <c r="BJ1435" s="809"/>
      <c r="BK1435" s="809"/>
      <c r="BL1435" s="809"/>
      <c r="BM1435" s="809"/>
      <c r="BN1435" s="809"/>
    </row>
    <row r="1436" spans="1:66">
      <c r="A1436" s="809"/>
      <c r="B1436" s="809"/>
      <c r="C1436" s="809"/>
      <c r="D1436" s="809"/>
      <c r="E1436" s="809"/>
      <c r="F1436" s="809"/>
      <c r="G1436" s="809"/>
      <c r="H1436" s="809"/>
      <c r="I1436" s="809"/>
      <c r="J1436" s="809"/>
      <c r="K1436" s="809"/>
      <c r="L1436" s="809"/>
      <c r="M1436" s="809"/>
      <c r="N1436" s="809"/>
      <c r="O1436" s="809"/>
      <c r="P1436" s="809"/>
      <c r="Q1436" s="809"/>
      <c r="R1436" s="809"/>
      <c r="S1436" s="809"/>
      <c r="T1436" s="809"/>
      <c r="U1436" s="809"/>
      <c r="V1436" s="809"/>
      <c r="W1436" s="809"/>
      <c r="X1436" s="809"/>
      <c r="Y1436" s="809"/>
      <c r="Z1436" s="809"/>
      <c r="AA1436" s="809"/>
      <c r="AB1436" s="809"/>
      <c r="AC1436" s="809"/>
      <c r="AD1436" s="809"/>
      <c r="AE1436" s="809"/>
      <c r="AF1436" s="809"/>
      <c r="AG1436" s="809"/>
      <c r="AH1436" s="809"/>
      <c r="AI1436" s="809"/>
      <c r="AJ1436" s="809"/>
      <c r="AK1436" s="809"/>
      <c r="AL1436" s="809"/>
      <c r="AM1436" s="809"/>
      <c r="AN1436" s="809"/>
      <c r="AO1436" s="809"/>
      <c r="AP1436" s="809"/>
      <c r="AQ1436" s="809"/>
      <c r="AR1436" s="809"/>
      <c r="AS1436" s="809"/>
      <c r="AT1436" s="809"/>
      <c r="AU1436" s="809"/>
      <c r="AV1436" s="809"/>
      <c r="AW1436" s="809"/>
      <c r="AX1436" s="809"/>
      <c r="AY1436" s="809"/>
      <c r="AZ1436" s="809"/>
      <c r="BA1436" s="809"/>
      <c r="BB1436" s="809"/>
      <c r="BC1436" s="809"/>
      <c r="BD1436" s="809"/>
      <c r="BE1436" s="809"/>
      <c r="BF1436" s="809"/>
      <c r="BG1436" s="809"/>
      <c r="BH1436" s="809"/>
      <c r="BI1436" s="809"/>
      <c r="BJ1436" s="809"/>
      <c r="BK1436" s="809"/>
      <c r="BL1436" s="809"/>
      <c r="BM1436" s="809"/>
      <c r="BN1436" s="809"/>
    </row>
    <row r="1437" spans="1:66">
      <c r="A1437" s="809"/>
      <c r="B1437" s="809"/>
      <c r="C1437" s="809"/>
      <c r="D1437" s="809"/>
      <c r="E1437" s="809"/>
      <c r="F1437" s="809"/>
      <c r="G1437" s="809"/>
      <c r="H1437" s="809"/>
      <c r="I1437" s="809"/>
      <c r="J1437" s="809"/>
      <c r="K1437" s="809"/>
      <c r="L1437" s="809"/>
      <c r="M1437" s="809"/>
      <c r="N1437" s="809"/>
      <c r="O1437" s="809"/>
      <c r="P1437" s="809"/>
      <c r="Q1437" s="809"/>
      <c r="R1437" s="809"/>
      <c r="S1437" s="809"/>
      <c r="T1437" s="809"/>
      <c r="U1437" s="809"/>
      <c r="V1437" s="809"/>
      <c r="W1437" s="809"/>
      <c r="X1437" s="809"/>
      <c r="Y1437" s="809"/>
      <c r="Z1437" s="809"/>
      <c r="AA1437" s="809"/>
      <c r="AB1437" s="809"/>
      <c r="AC1437" s="809"/>
      <c r="AD1437" s="809"/>
      <c r="AE1437" s="809"/>
      <c r="AF1437" s="809"/>
      <c r="AG1437" s="809"/>
      <c r="AH1437" s="809"/>
      <c r="AI1437" s="809"/>
      <c r="AJ1437" s="809"/>
      <c r="AK1437" s="809"/>
      <c r="AL1437" s="809"/>
      <c r="AM1437" s="809"/>
      <c r="AN1437" s="809"/>
      <c r="AO1437" s="809"/>
      <c r="AP1437" s="809"/>
      <c r="AQ1437" s="809"/>
      <c r="AR1437" s="809"/>
      <c r="AS1437" s="809"/>
      <c r="AT1437" s="809"/>
      <c r="AU1437" s="809"/>
      <c r="AV1437" s="809"/>
      <c r="AW1437" s="809"/>
      <c r="AX1437" s="809"/>
      <c r="AY1437" s="809"/>
      <c r="AZ1437" s="809"/>
      <c r="BA1437" s="809"/>
      <c r="BB1437" s="809"/>
      <c r="BC1437" s="809"/>
      <c r="BD1437" s="809"/>
      <c r="BE1437" s="809"/>
      <c r="BF1437" s="809"/>
      <c r="BG1437" s="809"/>
      <c r="BH1437" s="809"/>
      <c r="BI1437" s="809"/>
      <c r="BJ1437" s="809"/>
      <c r="BK1437" s="809"/>
      <c r="BL1437" s="809"/>
      <c r="BM1437" s="809"/>
      <c r="BN1437" s="809"/>
    </row>
    <row r="1438" spans="1:66">
      <c r="A1438" s="809"/>
      <c r="B1438" s="809"/>
      <c r="C1438" s="809"/>
      <c r="D1438" s="809"/>
      <c r="E1438" s="809"/>
      <c r="F1438" s="809"/>
      <c r="G1438" s="809"/>
      <c r="H1438" s="809"/>
      <c r="I1438" s="809"/>
      <c r="J1438" s="809"/>
      <c r="K1438" s="809"/>
      <c r="L1438" s="809"/>
      <c r="M1438" s="809"/>
      <c r="N1438" s="809"/>
      <c r="O1438" s="809"/>
      <c r="P1438" s="809"/>
      <c r="Q1438" s="809"/>
      <c r="R1438" s="809"/>
      <c r="S1438" s="809"/>
      <c r="T1438" s="809"/>
      <c r="U1438" s="809"/>
      <c r="V1438" s="809"/>
      <c r="W1438" s="809"/>
      <c r="X1438" s="809"/>
      <c r="Y1438" s="809"/>
      <c r="Z1438" s="809"/>
      <c r="AA1438" s="809"/>
      <c r="AB1438" s="809"/>
      <c r="AC1438" s="809"/>
      <c r="AD1438" s="809"/>
      <c r="AE1438" s="809"/>
      <c r="AF1438" s="809"/>
      <c r="AG1438" s="809"/>
      <c r="AH1438" s="809"/>
      <c r="AI1438" s="809"/>
      <c r="AJ1438" s="809"/>
      <c r="AK1438" s="809"/>
      <c r="AL1438" s="809"/>
      <c r="AM1438" s="809"/>
      <c r="AN1438" s="809"/>
      <c r="AO1438" s="809"/>
      <c r="AP1438" s="809"/>
      <c r="AQ1438" s="809"/>
      <c r="AR1438" s="809"/>
      <c r="AS1438" s="809"/>
      <c r="AT1438" s="809"/>
      <c r="AU1438" s="809"/>
      <c r="AV1438" s="809"/>
      <c r="AW1438" s="809"/>
      <c r="AX1438" s="809"/>
      <c r="AY1438" s="809"/>
      <c r="AZ1438" s="809"/>
      <c r="BA1438" s="809"/>
      <c r="BB1438" s="809"/>
      <c r="BC1438" s="809"/>
      <c r="BD1438" s="809"/>
      <c r="BE1438" s="809"/>
      <c r="BF1438" s="809"/>
      <c r="BG1438" s="809"/>
      <c r="BH1438" s="809"/>
      <c r="BI1438" s="809"/>
      <c r="BJ1438" s="809"/>
      <c r="BK1438" s="809"/>
      <c r="BL1438" s="809"/>
      <c r="BM1438" s="809"/>
      <c r="BN1438" s="809"/>
    </row>
    <row r="1439" spans="1:66">
      <c r="A1439" s="809"/>
      <c r="B1439" s="809"/>
      <c r="C1439" s="809"/>
      <c r="D1439" s="809"/>
      <c r="E1439" s="809"/>
      <c r="F1439" s="809"/>
      <c r="G1439" s="809"/>
      <c r="H1439" s="809"/>
      <c r="I1439" s="809"/>
      <c r="J1439" s="809"/>
      <c r="K1439" s="809"/>
      <c r="L1439" s="809"/>
      <c r="M1439" s="809"/>
      <c r="N1439" s="809"/>
      <c r="O1439" s="809"/>
      <c r="P1439" s="809"/>
      <c r="Q1439" s="809"/>
      <c r="R1439" s="809"/>
      <c r="S1439" s="809"/>
      <c r="T1439" s="809"/>
      <c r="U1439" s="809"/>
      <c r="V1439" s="809"/>
      <c r="W1439" s="809"/>
      <c r="X1439" s="809"/>
      <c r="Y1439" s="809"/>
      <c r="Z1439" s="809"/>
      <c r="AA1439" s="809"/>
      <c r="AB1439" s="809"/>
      <c r="AC1439" s="809"/>
      <c r="AD1439" s="809"/>
      <c r="AE1439" s="809"/>
      <c r="AF1439" s="809"/>
      <c r="AG1439" s="809"/>
      <c r="AH1439" s="809"/>
      <c r="AI1439" s="809"/>
      <c r="AJ1439" s="809"/>
      <c r="AK1439" s="809"/>
      <c r="AL1439" s="809"/>
      <c r="AM1439" s="809"/>
      <c r="AN1439" s="809"/>
      <c r="AO1439" s="809"/>
      <c r="AP1439" s="809"/>
      <c r="AQ1439" s="809"/>
      <c r="AR1439" s="809"/>
      <c r="AS1439" s="809"/>
      <c r="AT1439" s="809"/>
      <c r="AU1439" s="809"/>
      <c r="AV1439" s="809"/>
      <c r="AW1439" s="809"/>
      <c r="AX1439" s="809"/>
      <c r="AY1439" s="809"/>
      <c r="AZ1439" s="809"/>
      <c r="BA1439" s="809"/>
      <c r="BB1439" s="809"/>
      <c r="BC1439" s="809"/>
      <c r="BD1439" s="809"/>
      <c r="BE1439" s="809"/>
      <c r="BF1439" s="809"/>
      <c r="BG1439" s="809"/>
      <c r="BH1439" s="809"/>
      <c r="BI1439" s="809"/>
      <c r="BJ1439" s="809"/>
      <c r="BK1439" s="809"/>
      <c r="BL1439" s="809"/>
      <c r="BM1439" s="809"/>
      <c r="BN1439" s="809"/>
    </row>
    <row r="1440" spans="1:66">
      <c r="A1440" s="809"/>
      <c r="B1440" s="809"/>
      <c r="C1440" s="809"/>
      <c r="D1440" s="809"/>
      <c r="E1440" s="809"/>
      <c r="F1440" s="809"/>
      <c r="G1440" s="809"/>
      <c r="H1440" s="809"/>
      <c r="I1440" s="809"/>
      <c r="J1440" s="809"/>
      <c r="K1440" s="809"/>
      <c r="L1440" s="809"/>
      <c r="M1440" s="809"/>
      <c r="N1440" s="809"/>
      <c r="O1440" s="809"/>
      <c r="P1440" s="809"/>
      <c r="Q1440" s="809"/>
      <c r="R1440" s="809"/>
      <c r="S1440" s="809"/>
      <c r="T1440" s="809"/>
      <c r="U1440" s="809"/>
      <c r="V1440" s="809"/>
      <c r="W1440" s="809"/>
      <c r="X1440" s="809"/>
      <c r="Y1440" s="809"/>
      <c r="Z1440" s="809"/>
      <c r="AA1440" s="809"/>
      <c r="AB1440" s="809"/>
      <c r="AC1440" s="809"/>
      <c r="AD1440" s="809"/>
      <c r="AE1440" s="809"/>
      <c r="AF1440" s="809"/>
      <c r="AG1440" s="809"/>
      <c r="AH1440" s="809"/>
      <c r="AI1440" s="809"/>
      <c r="AJ1440" s="809"/>
      <c r="AK1440" s="809"/>
      <c r="AL1440" s="809"/>
      <c r="AM1440" s="809"/>
      <c r="AN1440" s="809"/>
      <c r="AO1440" s="809"/>
      <c r="AP1440" s="809"/>
      <c r="AQ1440" s="809"/>
      <c r="AR1440" s="809"/>
      <c r="AS1440" s="809"/>
      <c r="AT1440" s="809"/>
      <c r="AU1440" s="809"/>
      <c r="AV1440" s="809"/>
      <c r="AW1440" s="809"/>
      <c r="AX1440" s="809"/>
      <c r="AY1440" s="809"/>
      <c r="AZ1440" s="809"/>
      <c r="BA1440" s="809"/>
      <c r="BB1440" s="809"/>
      <c r="BC1440" s="809"/>
      <c r="BD1440" s="809"/>
      <c r="BE1440" s="809"/>
      <c r="BF1440" s="809"/>
      <c r="BG1440" s="809"/>
      <c r="BH1440" s="809"/>
      <c r="BI1440" s="809"/>
      <c r="BJ1440" s="809"/>
      <c r="BK1440" s="809"/>
      <c r="BL1440" s="809"/>
      <c r="BM1440" s="809"/>
      <c r="BN1440" s="809"/>
    </row>
    <row r="1441" spans="1:66">
      <c r="A1441" s="809"/>
      <c r="B1441" s="809"/>
      <c r="C1441" s="809"/>
      <c r="D1441" s="809"/>
      <c r="E1441" s="809"/>
      <c r="F1441" s="809"/>
      <c r="G1441" s="809"/>
      <c r="H1441" s="809"/>
      <c r="I1441" s="809"/>
      <c r="J1441" s="809"/>
      <c r="K1441" s="809"/>
      <c r="L1441" s="809"/>
      <c r="M1441" s="809"/>
      <c r="N1441" s="809"/>
      <c r="O1441" s="809"/>
      <c r="P1441" s="809"/>
      <c r="Q1441" s="809"/>
      <c r="R1441" s="809"/>
      <c r="S1441" s="809"/>
      <c r="T1441" s="809"/>
      <c r="U1441" s="809"/>
      <c r="V1441" s="809"/>
      <c r="W1441" s="809"/>
      <c r="X1441" s="809"/>
      <c r="Y1441" s="809"/>
      <c r="Z1441" s="809"/>
      <c r="AA1441" s="809"/>
      <c r="AB1441" s="809"/>
      <c r="AC1441" s="809"/>
      <c r="AD1441" s="809"/>
      <c r="AE1441" s="809"/>
      <c r="AF1441" s="809"/>
      <c r="AG1441" s="809"/>
      <c r="AH1441" s="809"/>
      <c r="AI1441" s="809"/>
      <c r="AJ1441" s="809"/>
      <c r="AK1441" s="809"/>
      <c r="AL1441" s="809"/>
      <c r="AM1441" s="809"/>
      <c r="AN1441" s="809"/>
      <c r="AO1441" s="809"/>
      <c r="AP1441" s="809"/>
      <c r="AQ1441" s="809"/>
      <c r="AR1441" s="809"/>
      <c r="AS1441" s="809"/>
      <c r="AT1441" s="809"/>
      <c r="AU1441" s="809"/>
      <c r="AV1441" s="809"/>
      <c r="AW1441" s="809"/>
      <c r="AX1441" s="809"/>
      <c r="AY1441" s="809"/>
      <c r="AZ1441" s="809"/>
      <c r="BA1441" s="809"/>
      <c r="BB1441" s="809"/>
      <c r="BC1441" s="809"/>
      <c r="BD1441" s="809"/>
      <c r="BE1441" s="809"/>
      <c r="BF1441" s="809"/>
      <c r="BG1441" s="809"/>
      <c r="BH1441" s="809"/>
      <c r="BI1441" s="809"/>
      <c r="BJ1441" s="809"/>
      <c r="BK1441" s="809"/>
      <c r="BL1441" s="809"/>
      <c r="BM1441" s="809"/>
      <c r="BN1441" s="809"/>
    </row>
    <row r="1442" spans="1:66">
      <c r="A1442" s="809"/>
      <c r="B1442" s="809"/>
      <c r="C1442" s="809"/>
      <c r="D1442" s="809"/>
      <c r="E1442" s="809"/>
      <c r="F1442" s="809"/>
      <c r="G1442" s="809"/>
      <c r="H1442" s="809"/>
      <c r="I1442" s="809"/>
      <c r="J1442" s="809"/>
      <c r="K1442" s="809"/>
      <c r="L1442" s="809"/>
      <c r="M1442" s="809"/>
      <c r="N1442" s="809"/>
      <c r="O1442" s="809"/>
      <c r="P1442" s="809"/>
      <c r="Q1442" s="809"/>
      <c r="R1442" s="809"/>
      <c r="S1442" s="809"/>
      <c r="T1442" s="809"/>
      <c r="U1442" s="809"/>
      <c r="V1442" s="809"/>
      <c r="W1442" s="809"/>
      <c r="X1442" s="809"/>
      <c r="Y1442" s="809"/>
      <c r="Z1442" s="809"/>
      <c r="AA1442" s="809"/>
      <c r="AB1442" s="809"/>
      <c r="AC1442" s="809"/>
      <c r="AD1442" s="809"/>
      <c r="AE1442" s="809"/>
      <c r="AF1442" s="809"/>
      <c r="AG1442" s="809"/>
      <c r="AH1442" s="809"/>
      <c r="AI1442" s="809"/>
      <c r="AJ1442" s="809"/>
      <c r="AK1442" s="809"/>
      <c r="AL1442" s="809"/>
      <c r="AM1442" s="809"/>
      <c r="AN1442" s="809"/>
      <c r="AO1442" s="809"/>
      <c r="AP1442" s="809"/>
      <c r="AQ1442" s="809"/>
      <c r="AR1442" s="809"/>
      <c r="AS1442" s="809"/>
      <c r="AT1442" s="809"/>
      <c r="AU1442" s="809"/>
      <c r="AV1442" s="809"/>
      <c r="AW1442" s="809"/>
      <c r="AX1442" s="809"/>
      <c r="AY1442" s="809"/>
      <c r="AZ1442" s="809"/>
      <c r="BA1442" s="809"/>
      <c r="BB1442" s="809"/>
      <c r="BC1442" s="809"/>
      <c r="BD1442" s="809"/>
      <c r="BE1442" s="809"/>
      <c r="BF1442" s="809"/>
      <c r="BG1442" s="809"/>
      <c r="BH1442" s="809"/>
      <c r="BI1442" s="809"/>
      <c r="BJ1442" s="809"/>
      <c r="BK1442" s="809"/>
      <c r="BL1442" s="809"/>
      <c r="BM1442" s="809"/>
      <c r="BN1442" s="809"/>
    </row>
    <row r="1443" spans="1:66">
      <c r="A1443" s="809"/>
      <c r="B1443" s="809"/>
      <c r="C1443" s="809"/>
      <c r="D1443" s="809"/>
      <c r="E1443" s="809"/>
      <c r="F1443" s="809"/>
      <c r="G1443" s="809"/>
      <c r="H1443" s="809"/>
      <c r="I1443" s="809"/>
      <c r="J1443" s="809"/>
      <c r="K1443" s="809"/>
      <c r="L1443" s="809"/>
      <c r="M1443" s="809"/>
      <c r="N1443" s="809"/>
      <c r="O1443" s="809"/>
      <c r="P1443" s="809"/>
      <c r="Q1443" s="809"/>
      <c r="R1443" s="809"/>
      <c r="S1443" s="809"/>
      <c r="T1443" s="809"/>
      <c r="U1443" s="809"/>
      <c r="V1443" s="809"/>
      <c r="W1443" s="809"/>
      <c r="X1443" s="809"/>
      <c r="Y1443" s="809"/>
      <c r="Z1443" s="809"/>
      <c r="AA1443" s="809"/>
      <c r="AB1443" s="809"/>
      <c r="AC1443" s="809"/>
      <c r="AD1443" s="809"/>
      <c r="AE1443" s="809"/>
      <c r="AF1443" s="809"/>
      <c r="AG1443" s="809"/>
      <c r="AH1443" s="809"/>
      <c r="AI1443" s="809"/>
      <c r="AJ1443" s="809"/>
      <c r="AK1443" s="809"/>
      <c r="AL1443" s="809"/>
      <c r="AM1443" s="809"/>
      <c r="AN1443" s="809"/>
      <c r="AO1443" s="809"/>
      <c r="AP1443" s="809"/>
      <c r="AQ1443" s="809"/>
      <c r="AR1443" s="809"/>
      <c r="AS1443" s="809"/>
      <c r="AT1443" s="809"/>
      <c r="AU1443" s="809"/>
      <c r="AV1443" s="809"/>
      <c r="AW1443" s="809"/>
      <c r="AX1443" s="809"/>
      <c r="AY1443" s="809"/>
      <c r="AZ1443" s="809"/>
      <c r="BA1443" s="809"/>
      <c r="BB1443" s="809"/>
      <c r="BC1443" s="809"/>
      <c r="BD1443" s="809"/>
      <c r="BE1443" s="809"/>
      <c r="BF1443" s="809"/>
      <c r="BG1443" s="809"/>
      <c r="BH1443" s="809"/>
      <c r="BI1443" s="809"/>
      <c r="BJ1443" s="809"/>
      <c r="BK1443" s="809"/>
      <c r="BL1443" s="809"/>
      <c r="BM1443" s="809"/>
      <c r="BN1443" s="809"/>
    </row>
    <row r="1444" spans="1:66">
      <c r="A1444" s="809"/>
      <c r="B1444" s="809"/>
      <c r="C1444" s="809"/>
      <c r="D1444" s="809"/>
      <c r="E1444" s="809"/>
      <c r="F1444" s="809"/>
      <c r="G1444" s="809"/>
      <c r="H1444" s="809"/>
      <c r="I1444" s="809"/>
      <c r="J1444" s="809"/>
      <c r="K1444" s="809"/>
      <c r="L1444" s="809"/>
      <c r="M1444" s="809"/>
      <c r="N1444" s="809"/>
      <c r="O1444" s="809"/>
      <c r="P1444" s="809"/>
      <c r="Q1444" s="809"/>
      <c r="R1444" s="809"/>
      <c r="S1444" s="809"/>
      <c r="T1444" s="809"/>
      <c r="U1444" s="809"/>
      <c r="V1444" s="809"/>
      <c r="W1444" s="809"/>
      <c r="X1444" s="809"/>
      <c r="Y1444" s="809"/>
      <c r="Z1444" s="809"/>
      <c r="AA1444" s="809"/>
      <c r="AB1444" s="809"/>
      <c r="AC1444" s="809"/>
      <c r="AD1444" s="809"/>
      <c r="AE1444" s="809"/>
      <c r="AF1444" s="809"/>
      <c r="AG1444" s="809"/>
      <c r="AH1444" s="809"/>
      <c r="AI1444" s="809"/>
      <c r="AJ1444" s="809"/>
      <c r="AK1444" s="809"/>
      <c r="AL1444" s="809"/>
      <c r="AM1444" s="809"/>
      <c r="AN1444" s="809"/>
      <c r="AO1444" s="809"/>
      <c r="AP1444" s="809"/>
      <c r="AQ1444" s="809"/>
      <c r="AR1444" s="809"/>
      <c r="AS1444" s="809"/>
      <c r="AT1444" s="809"/>
      <c r="AU1444" s="809"/>
      <c r="AV1444" s="809"/>
      <c r="AW1444" s="809"/>
      <c r="AX1444" s="809"/>
      <c r="AY1444" s="809"/>
      <c r="AZ1444" s="809"/>
      <c r="BA1444" s="809"/>
      <c r="BB1444" s="809"/>
      <c r="BC1444" s="809"/>
      <c r="BD1444" s="809"/>
      <c r="BE1444" s="809"/>
      <c r="BF1444" s="809"/>
      <c r="BG1444" s="809"/>
      <c r="BH1444" s="809"/>
      <c r="BI1444" s="809"/>
      <c r="BJ1444" s="809"/>
      <c r="BK1444" s="809"/>
      <c r="BL1444" s="809"/>
      <c r="BM1444" s="809"/>
      <c r="BN1444" s="809"/>
    </row>
    <row r="1445" spans="1:66">
      <c r="A1445" s="809"/>
      <c r="B1445" s="809"/>
      <c r="C1445" s="809"/>
      <c r="D1445" s="809"/>
      <c r="E1445" s="809"/>
      <c r="F1445" s="809"/>
      <c r="G1445" s="809"/>
      <c r="H1445" s="809"/>
      <c r="I1445" s="809"/>
      <c r="J1445" s="809"/>
      <c r="K1445" s="809"/>
      <c r="L1445" s="809"/>
      <c r="M1445" s="809"/>
      <c r="N1445" s="809"/>
      <c r="O1445" s="809"/>
      <c r="P1445" s="809"/>
      <c r="Q1445" s="809"/>
      <c r="R1445" s="809"/>
      <c r="S1445" s="809"/>
      <c r="T1445" s="809"/>
      <c r="U1445" s="809"/>
      <c r="V1445" s="809"/>
      <c r="W1445" s="809"/>
      <c r="X1445" s="809"/>
      <c r="Y1445" s="809"/>
      <c r="Z1445" s="809"/>
      <c r="AA1445" s="809"/>
      <c r="AB1445" s="809"/>
      <c r="AC1445" s="809"/>
      <c r="AD1445" s="809"/>
      <c r="AE1445" s="809"/>
      <c r="AF1445" s="809"/>
      <c r="AG1445" s="809"/>
      <c r="AH1445" s="809"/>
      <c r="AI1445" s="809"/>
      <c r="AJ1445" s="809"/>
      <c r="AK1445" s="809"/>
      <c r="AL1445" s="809"/>
      <c r="AM1445" s="809"/>
      <c r="AN1445" s="809"/>
      <c r="AO1445" s="809"/>
      <c r="AP1445" s="809"/>
      <c r="AQ1445" s="809"/>
      <c r="AR1445" s="809"/>
      <c r="AS1445" s="809"/>
      <c r="AT1445" s="809"/>
      <c r="AU1445" s="809"/>
      <c r="AV1445" s="809"/>
      <c r="AW1445" s="809"/>
      <c r="AX1445" s="809"/>
      <c r="AY1445" s="809"/>
      <c r="AZ1445" s="809"/>
      <c r="BA1445" s="809"/>
      <c r="BB1445" s="809"/>
      <c r="BC1445" s="809"/>
      <c r="BD1445" s="809"/>
      <c r="BE1445" s="809"/>
      <c r="BF1445" s="809"/>
      <c r="BG1445" s="809"/>
      <c r="BH1445" s="809"/>
      <c r="BI1445" s="809"/>
      <c r="BJ1445" s="809"/>
      <c r="BK1445" s="809"/>
      <c r="BL1445" s="809"/>
      <c r="BM1445" s="809"/>
      <c r="BN1445" s="809"/>
    </row>
    <row r="1446" spans="1:66">
      <c r="A1446" s="809"/>
      <c r="B1446" s="809"/>
      <c r="C1446" s="809"/>
      <c r="D1446" s="809"/>
      <c r="E1446" s="809"/>
      <c r="F1446" s="809"/>
      <c r="G1446" s="809"/>
      <c r="H1446" s="809"/>
      <c r="I1446" s="809"/>
      <c r="J1446" s="809"/>
      <c r="K1446" s="809"/>
      <c r="L1446" s="809"/>
      <c r="M1446" s="809"/>
      <c r="N1446" s="809"/>
      <c r="O1446" s="809"/>
      <c r="P1446" s="809"/>
      <c r="Q1446" s="809"/>
      <c r="R1446" s="809"/>
      <c r="S1446" s="809"/>
      <c r="T1446" s="809"/>
      <c r="U1446" s="809"/>
      <c r="V1446" s="809"/>
      <c r="W1446" s="809"/>
      <c r="X1446" s="809"/>
      <c r="Y1446" s="809"/>
      <c r="Z1446" s="809"/>
      <c r="AA1446" s="809"/>
      <c r="AB1446" s="809"/>
      <c r="AC1446" s="809"/>
      <c r="AD1446" s="809"/>
      <c r="AE1446" s="809"/>
      <c r="AF1446" s="809"/>
      <c r="AG1446" s="809"/>
      <c r="AH1446" s="809"/>
      <c r="AI1446" s="809"/>
      <c r="AJ1446" s="809"/>
      <c r="AK1446" s="809"/>
      <c r="AL1446" s="809"/>
      <c r="AM1446" s="809"/>
      <c r="AN1446" s="809"/>
      <c r="AO1446" s="809"/>
      <c r="AP1446" s="809"/>
      <c r="AQ1446" s="809"/>
      <c r="AR1446" s="809"/>
      <c r="AS1446" s="809"/>
      <c r="AT1446" s="809"/>
      <c r="AU1446" s="809"/>
      <c r="AV1446" s="809"/>
      <c r="AW1446" s="809"/>
      <c r="AX1446" s="809"/>
      <c r="AY1446" s="809"/>
      <c r="AZ1446" s="809"/>
      <c r="BA1446" s="809"/>
      <c r="BB1446" s="809"/>
      <c r="BC1446" s="809"/>
      <c r="BD1446" s="809"/>
      <c r="BE1446" s="809"/>
      <c r="BF1446" s="809"/>
      <c r="BG1446" s="809"/>
      <c r="BH1446" s="809"/>
      <c r="BI1446" s="809"/>
      <c r="BJ1446" s="809"/>
      <c r="BK1446" s="809"/>
      <c r="BL1446" s="809"/>
      <c r="BM1446" s="809"/>
      <c r="BN1446" s="809"/>
    </row>
    <row r="1447" spans="1:66">
      <c r="A1447" s="809"/>
      <c r="B1447" s="809"/>
      <c r="C1447" s="809"/>
      <c r="D1447" s="809"/>
      <c r="E1447" s="809"/>
      <c r="F1447" s="809"/>
      <c r="G1447" s="809"/>
      <c r="H1447" s="809"/>
      <c r="I1447" s="809"/>
      <c r="J1447" s="809"/>
      <c r="K1447" s="809"/>
      <c r="L1447" s="809"/>
      <c r="M1447" s="809"/>
      <c r="N1447" s="809"/>
      <c r="O1447" s="809"/>
      <c r="P1447" s="809"/>
      <c r="Q1447" s="809"/>
      <c r="R1447" s="809"/>
      <c r="S1447" s="809"/>
      <c r="T1447" s="809"/>
      <c r="U1447" s="809"/>
      <c r="V1447" s="809"/>
      <c r="W1447" s="809"/>
      <c r="X1447" s="809"/>
      <c r="Y1447" s="809"/>
      <c r="Z1447" s="809"/>
      <c r="AA1447" s="809"/>
      <c r="AB1447" s="809"/>
      <c r="AC1447" s="809"/>
      <c r="AD1447" s="809"/>
      <c r="AE1447" s="809"/>
      <c r="AF1447" s="809"/>
      <c r="AG1447" s="809"/>
      <c r="AH1447" s="809"/>
      <c r="AI1447" s="809"/>
      <c r="AJ1447" s="809"/>
      <c r="AK1447" s="809"/>
      <c r="AL1447" s="809"/>
      <c r="AM1447" s="809"/>
      <c r="AN1447" s="809"/>
      <c r="AO1447" s="809"/>
      <c r="AP1447" s="809"/>
      <c r="AQ1447" s="809"/>
      <c r="AR1447" s="809"/>
      <c r="AS1447" s="809"/>
      <c r="AT1447" s="809"/>
      <c r="AU1447" s="809"/>
      <c r="AV1447" s="809"/>
      <c r="AW1447" s="809"/>
      <c r="AX1447" s="809"/>
      <c r="AY1447" s="809"/>
      <c r="AZ1447" s="809"/>
      <c r="BA1447" s="809"/>
      <c r="BB1447" s="809"/>
      <c r="BC1447" s="809"/>
      <c r="BD1447" s="809"/>
      <c r="BE1447" s="809"/>
      <c r="BF1447" s="809"/>
      <c r="BG1447" s="809"/>
      <c r="BH1447" s="809"/>
      <c r="BI1447" s="809"/>
      <c r="BJ1447" s="809"/>
      <c r="BK1447" s="809"/>
      <c r="BL1447" s="809"/>
      <c r="BM1447" s="809"/>
      <c r="BN1447" s="809"/>
    </row>
    <row r="1448" spans="1:66">
      <c r="A1448" s="809"/>
      <c r="B1448" s="809"/>
      <c r="C1448" s="809"/>
      <c r="D1448" s="809"/>
      <c r="E1448" s="809"/>
      <c r="F1448" s="809"/>
      <c r="G1448" s="809"/>
      <c r="H1448" s="809"/>
      <c r="I1448" s="809"/>
      <c r="J1448" s="809"/>
      <c r="K1448" s="809"/>
      <c r="L1448" s="809"/>
      <c r="M1448" s="809"/>
      <c r="N1448" s="809"/>
      <c r="O1448" s="809"/>
      <c r="P1448" s="809"/>
      <c r="Q1448" s="809"/>
      <c r="R1448" s="809"/>
      <c r="S1448" s="809"/>
      <c r="T1448" s="809"/>
      <c r="U1448" s="809"/>
      <c r="V1448" s="809"/>
      <c r="W1448" s="809"/>
      <c r="X1448" s="809"/>
      <c r="Y1448" s="809"/>
      <c r="Z1448" s="809"/>
      <c r="AA1448" s="809"/>
      <c r="AB1448" s="809"/>
      <c r="AC1448" s="809"/>
      <c r="AD1448" s="809"/>
      <c r="AE1448" s="809"/>
      <c r="AF1448" s="809"/>
      <c r="AG1448" s="809"/>
      <c r="AH1448" s="809"/>
      <c r="AI1448" s="809"/>
      <c r="AJ1448" s="809"/>
      <c r="AK1448" s="809"/>
      <c r="AL1448" s="809"/>
      <c r="AM1448" s="809"/>
      <c r="AN1448" s="809"/>
      <c r="AO1448" s="809"/>
      <c r="AP1448" s="809"/>
      <c r="AQ1448" s="809"/>
      <c r="AR1448" s="809"/>
      <c r="AS1448" s="809"/>
      <c r="AT1448" s="809"/>
      <c r="AU1448" s="809"/>
      <c r="AV1448" s="809"/>
      <c r="AW1448" s="809"/>
      <c r="AX1448" s="809"/>
      <c r="AY1448" s="809"/>
      <c r="AZ1448" s="809"/>
      <c r="BA1448" s="809"/>
      <c r="BB1448" s="809"/>
      <c r="BC1448" s="809"/>
      <c r="BD1448" s="809"/>
      <c r="BE1448" s="809"/>
      <c r="BF1448" s="809"/>
      <c r="BG1448" s="809"/>
      <c r="BH1448" s="809"/>
      <c r="BI1448" s="809"/>
      <c r="BJ1448" s="809"/>
      <c r="BK1448" s="809"/>
      <c r="BL1448" s="809"/>
      <c r="BM1448" s="809"/>
      <c r="BN1448" s="809"/>
    </row>
    <row r="1449" spans="1:66">
      <c r="A1449" s="809"/>
      <c r="B1449" s="809"/>
      <c r="C1449" s="809"/>
      <c r="D1449" s="809"/>
      <c r="E1449" s="809"/>
      <c r="F1449" s="809"/>
      <c r="G1449" s="809"/>
      <c r="H1449" s="809"/>
      <c r="I1449" s="809"/>
      <c r="J1449" s="809"/>
      <c r="K1449" s="809"/>
      <c r="L1449" s="809"/>
      <c r="M1449" s="809"/>
      <c r="N1449" s="809"/>
      <c r="O1449" s="809"/>
      <c r="P1449" s="809"/>
      <c r="Q1449" s="809"/>
      <c r="R1449" s="809"/>
      <c r="S1449" s="809"/>
      <c r="T1449" s="809"/>
      <c r="U1449" s="809"/>
      <c r="V1449" s="809"/>
      <c r="W1449" s="809"/>
      <c r="X1449" s="809"/>
      <c r="Y1449" s="809"/>
      <c r="Z1449" s="809"/>
      <c r="AA1449" s="809"/>
      <c r="AB1449" s="809"/>
      <c r="AC1449" s="809"/>
      <c r="AD1449" s="809"/>
      <c r="AE1449" s="809"/>
      <c r="AF1449" s="809"/>
      <c r="AG1449" s="809"/>
      <c r="AH1449" s="809"/>
      <c r="AI1449" s="809"/>
      <c r="AJ1449" s="809"/>
      <c r="AK1449" s="809"/>
      <c r="AL1449" s="809"/>
      <c r="AM1449" s="809"/>
      <c r="AN1449" s="809"/>
      <c r="AO1449" s="809"/>
      <c r="AP1449" s="809"/>
      <c r="AQ1449" s="809"/>
      <c r="AR1449" s="809"/>
      <c r="AS1449" s="809"/>
      <c r="AT1449" s="809"/>
      <c r="AU1449" s="809"/>
      <c r="AV1449" s="809"/>
      <c r="AW1449" s="809"/>
      <c r="AX1449" s="809"/>
      <c r="AY1449" s="809"/>
      <c r="AZ1449" s="809"/>
      <c r="BA1449" s="809"/>
      <c r="BB1449" s="809"/>
      <c r="BC1449" s="809"/>
      <c r="BD1449" s="809"/>
      <c r="BE1449" s="809"/>
      <c r="BF1449" s="809"/>
      <c r="BG1449" s="809"/>
      <c r="BH1449" s="809"/>
      <c r="BI1449" s="809"/>
      <c r="BJ1449" s="809"/>
      <c r="BK1449" s="809"/>
      <c r="BL1449" s="809"/>
      <c r="BM1449" s="809"/>
      <c r="BN1449" s="809"/>
    </row>
    <row r="1450" spans="1:66">
      <c r="A1450" s="809"/>
      <c r="B1450" s="809"/>
      <c r="C1450" s="809"/>
      <c r="D1450" s="809"/>
      <c r="E1450" s="809"/>
      <c r="F1450" s="809"/>
      <c r="G1450" s="809"/>
      <c r="H1450" s="809"/>
      <c r="I1450" s="809"/>
      <c r="J1450" s="809"/>
      <c r="K1450" s="809"/>
      <c r="L1450" s="809"/>
      <c r="M1450" s="809"/>
      <c r="N1450" s="809"/>
      <c r="O1450" s="809"/>
      <c r="P1450" s="809"/>
      <c r="Q1450" s="809"/>
      <c r="R1450" s="809"/>
      <c r="S1450" s="809"/>
      <c r="T1450" s="809"/>
      <c r="U1450" s="809"/>
      <c r="V1450" s="809"/>
      <c r="W1450" s="809"/>
      <c r="X1450" s="809"/>
      <c r="Y1450" s="809"/>
      <c r="Z1450" s="809"/>
      <c r="AA1450" s="809"/>
      <c r="AB1450" s="809"/>
      <c r="AC1450" s="809"/>
      <c r="AD1450" s="809"/>
      <c r="AE1450" s="809"/>
      <c r="AF1450" s="809"/>
      <c r="AG1450" s="809"/>
      <c r="AH1450" s="809"/>
      <c r="AI1450" s="809"/>
      <c r="AJ1450" s="809"/>
      <c r="AK1450" s="809"/>
      <c r="AL1450" s="809"/>
      <c r="AM1450" s="809"/>
      <c r="AN1450" s="809"/>
      <c r="AO1450" s="809"/>
      <c r="AP1450" s="809"/>
      <c r="AQ1450" s="809"/>
      <c r="AR1450" s="809"/>
      <c r="AS1450" s="809"/>
      <c r="AT1450" s="809"/>
      <c r="AU1450" s="809"/>
      <c r="AV1450" s="809"/>
      <c r="AW1450" s="809"/>
      <c r="AX1450" s="809"/>
      <c r="AY1450" s="809"/>
      <c r="AZ1450" s="809"/>
      <c r="BA1450" s="809"/>
      <c r="BB1450" s="809"/>
      <c r="BC1450" s="809"/>
      <c r="BD1450" s="809"/>
      <c r="BE1450" s="809"/>
      <c r="BF1450" s="809"/>
      <c r="BG1450" s="809"/>
      <c r="BH1450" s="809"/>
      <c r="BI1450" s="809"/>
      <c r="BJ1450" s="809"/>
      <c r="BK1450" s="809"/>
      <c r="BL1450" s="809"/>
      <c r="BM1450" s="809"/>
      <c r="BN1450" s="809"/>
    </row>
    <row r="1451" spans="1:66">
      <c r="A1451" s="809"/>
      <c r="B1451" s="809"/>
      <c r="C1451" s="809"/>
      <c r="D1451" s="809"/>
      <c r="E1451" s="809"/>
      <c r="F1451" s="809"/>
      <c r="G1451" s="809"/>
      <c r="H1451" s="809"/>
      <c r="I1451" s="809"/>
      <c r="J1451" s="809"/>
      <c r="K1451" s="809"/>
      <c r="L1451" s="809"/>
      <c r="M1451" s="809"/>
      <c r="N1451" s="809"/>
      <c r="O1451" s="809"/>
      <c r="P1451" s="809"/>
      <c r="Q1451" s="809"/>
      <c r="R1451" s="809"/>
      <c r="S1451" s="809"/>
      <c r="T1451" s="809"/>
      <c r="U1451" s="809"/>
      <c r="V1451" s="809"/>
      <c r="W1451" s="809"/>
      <c r="X1451" s="809"/>
      <c r="Y1451" s="809"/>
      <c r="Z1451" s="809"/>
      <c r="AA1451" s="809"/>
      <c r="AB1451" s="809"/>
      <c r="AC1451" s="809"/>
      <c r="AD1451" s="809"/>
      <c r="AE1451" s="809"/>
      <c r="AF1451" s="809"/>
      <c r="AG1451" s="809"/>
      <c r="AH1451" s="809"/>
      <c r="AI1451" s="809"/>
      <c r="AJ1451" s="809"/>
      <c r="AK1451" s="809"/>
      <c r="AL1451" s="809"/>
      <c r="AM1451" s="809"/>
      <c r="AN1451" s="809"/>
      <c r="AO1451" s="809"/>
      <c r="AP1451" s="809"/>
      <c r="AQ1451" s="809"/>
      <c r="AR1451" s="809"/>
      <c r="AS1451" s="809"/>
      <c r="AT1451" s="809"/>
      <c r="AU1451" s="809"/>
      <c r="AV1451" s="809"/>
      <c r="AW1451" s="809"/>
      <c r="AX1451" s="809"/>
      <c r="AY1451" s="809"/>
      <c r="AZ1451" s="809"/>
      <c r="BA1451" s="809"/>
      <c r="BB1451" s="809"/>
      <c r="BC1451" s="809"/>
      <c r="BD1451" s="809"/>
      <c r="BE1451" s="809"/>
      <c r="BF1451" s="809"/>
      <c r="BG1451" s="809"/>
      <c r="BH1451" s="809"/>
      <c r="BI1451" s="809"/>
      <c r="BJ1451" s="809"/>
      <c r="BK1451" s="809"/>
      <c r="BL1451" s="809"/>
      <c r="BM1451" s="809"/>
      <c r="BN1451" s="809"/>
    </row>
    <row r="1452" spans="1:66">
      <c r="A1452" s="809"/>
      <c r="B1452" s="809"/>
      <c r="C1452" s="809"/>
      <c r="D1452" s="809"/>
      <c r="E1452" s="809"/>
      <c r="F1452" s="809"/>
      <c r="G1452" s="809"/>
      <c r="H1452" s="809"/>
      <c r="I1452" s="809"/>
      <c r="J1452" s="809"/>
      <c r="K1452" s="809"/>
      <c r="L1452" s="809"/>
      <c r="M1452" s="809"/>
      <c r="N1452" s="809"/>
      <c r="O1452" s="809"/>
      <c r="P1452" s="809"/>
      <c r="Q1452" s="809"/>
      <c r="R1452" s="809"/>
      <c r="S1452" s="809"/>
      <c r="T1452" s="809"/>
      <c r="U1452" s="809"/>
      <c r="V1452" s="809"/>
      <c r="W1452" s="809"/>
      <c r="X1452" s="809"/>
      <c r="Y1452" s="809"/>
      <c r="Z1452" s="809"/>
      <c r="AA1452" s="809"/>
      <c r="AB1452" s="809"/>
      <c r="AC1452" s="809"/>
      <c r="AD1452" s="809"/>
      <c r="AE1452" s="809"/>
      <c r="AF1452" s="809"/>
      <c r="AG1452" s="809"/>
      <c r="AH1452" s="809"/>
      <c r="AI1452" s="809"/>
      <c r="AJ1452" s="809"/>
      <c r="AK1452" s="809"/>
      <c r="AL1452" s="809"/>
      <c r="AM1452" s="809"/>
      <c r="AN1452" s="809"/>
      <c r="AO1452" s="809"/>
      <c r="AP1452" s="809"/>
      <c r="AQ1452" s="809"/>
      <c r="AR1452" s="809"/>
      <c r="AS1452" s="809"/>
      <c r="AT1452" s="809"/>
      <c r="AU1452" s="809"/>
      <c r="AV1452" s="809"/>
      <c r="AW1452" s="809"/>
      <c r="AX1452" s="809"/>
      <c r="AY1452" s="809"/>
      <c r="AZ1452" s="809"/>
      <c r="BA1452" s="809"/>
      <c r="BB1452" s="809"/>
      <c r="BC1452" s="809"/>
      <c r="BD1452" s="809"/>
      <c r="BE1452" s="809"/>
      <c r="BF1452" s="809"/>
      <c r="BG1452" s="809"/>
      <c r="BH1452" s="809"/>
      <c r="BI1452" s="809"/>
      <c r="BJ1452" s="809"/>
      <c r="BK1452" s="809"/>
      <c r="BL1452" s="809"/>
      <c r="BM1452" s="809"/>
      <c r="BN1452" s="809"/>
    </row>
    <row r="1453" spans="1:66">
      <c r="A1453" s="809"/>
      <c r="B1453" s="809"/>
      <c r="C1453" s="809"/>
      <c r="D1453" s="809"/>
      <c r="E1453" s="809"/>
      <c r="F1453" s="809"/>
      <c r="G1453" s="809"/>
      <c r="H1453" s="809"/>
      <c r="I1453" s="809"/>
      <c r="J1453" s="809"/>
      <c r="K1453" s="809"/>
      <c r="L1453" s="809"/>
      <c r="M1453" s="809"/>
      <c r="N1453" s="809"/>
      <c r="O1453" s="809"/>
      <c r="P1453" s="809"/>
      <c r="Q1453" s="809"/>
      <c r="R1453" s="809"/>
      <c r="S1453" s="809"/>
      <c r="T1453" s="809"/>
      <c r="U1453" s="809"/>
      <c r="V1453" s="809"/>
      <c r="W1453" s="809"/>
      <c r="X1453" s="809"/>
      <c r="Y1453" s="809"/>
      <c r="Z1453" s="809"/>
      <c r="AA1453" s="809"/>
      <c r="AB1453" s="809"/>
      <c r="AC1453" s="809"/>
      <c r="AD1453" s="809"/>
      <c r="AE1453" s="809"/>
      <c r="AF1453" s="809"/>
      <c r="AG1453" s="809"/>
      <c r="AH1453" s="809"/>
      <c r="AI1453" s="809"/>
      <c r="AJ1453" s="809"/>
      <c r="AK1453" s="809"/>
      <c r="AL1453" s="809"/>
      <c r="AM1453" s="809"/>
      <c r="AN1453" s="809"/>
      <c r="AO1453" s="809"/>
      <c r="AP1453" s="809"/>
      <c r="AQ1453" s="809"/>
      <c r="AR1453" s="809"/>
      <c r="AS1453" s="809"/>
      <c r="AT1453" s="809"/>
      <c r="AU1453" s="809"/>
      <c r="AV1453" s="809"/>
      <c r="AW1453" s="809"/>
      <c r="AX1453" s="809"/>
      <c r="AY1453" s="809"/>
      <c r="AZ1453" s="809"/>
      <c r="BA1453" s="809"/>
      <c r="BB1453" s="809"/>
      <c r="BC1453" s="809"/>
      <c r="BD1453" s="809"/>
      <c r="BE1453" s="809"/>
      <c r="BF1453" s="809"/>
      <c r="BG1453" s="809"/>
      <c r="BH1453" s="809"/>
      <c r="BI1453" s="809"/>
      <c r="BJ1453" s="809"/>
      <c r="BK1453" s="809"/>
      <c r="BL1453" s="809"/>
      <c r="BM1453" s="809"/>
      <c r="BN1453" s="809"/>
    </row>
    <row r="1454" spans="1:66">
      <c r="A1454" s="809"/>
      <c r="B1454" s="809"/>
      <c r="C1454" s="809"/>
      <c r="D1454" s="809"/>
      <c r="E1454" s="809"/>
      <c r="F1454" s="809"/>
      <c r="G1454" s="809"/>
      <c r="H1454" s="809"/>
      <c r="I1454" s="809"/>
      <c r="J1454" s="809"/>
      <c r="K1454" s="809"/>
      <c r="L1454" s="809"/>
      <c r="M1454" s="809"/>
      <c r="N1454" s="809"/>
      <c r="O1454" s="809"/>
      <c r="P1454" s="809"/>
      <c r="Q1454" s="809"/>
      <c r="R1454" s="809"/>
      <c r="S1454" s="809"/>
      <c r="T1454" s="809"/>
      <c r="U1454" s="809"/>
      <c r="V1454" s="809"/>
      <c r="W1454" s="809"/>
      <c r="X1454" s="809"/>
      <c r="Y1454" s="809"/>
      <c r="Z1454" s="809"/>
      <c r="AA1454" s="809"/>
      <c r="AB1454" s="809"/>
      <c r="AC1454" s="809"/>
      <c r="AD1454" s="809"/>
      <c r="AE1454" s="809"/>
      <c r="AF1454" s="809"/>
      <c r="AG1454" s="809"/>
      <c r="AH1454" s="809"/>
      <c r="AI1454" s="809"/>
      <c r="AJ1454" s="809"/>
      <c r="AK1454" s="809"/>
      <c r="AL1454" s="809"/>
      <c r="AM1454" s="809"/>
      <c r="AN1454" s="809"/>
      <c r="AO1454" s="809"/>
      <c r="AP1454" s="809"/>
      <c r="AQ1454" s="809"/>
      <c r="AR1454" s="809"/>
      <c r="AS1454" s="809"/>
      <c r="AT1454" s="809"/>
      <c r="AU1454" s="809"/>
      <c r="AV1454" s="809"/>
      <c r="AW1454" s="809"/>
      <c r="AX1454" s="809"/>
      <c r="AY1454" s="809"/>
      <c r="AZ1454" s="809"/>
      <c r="BA1454" s="809"/>
      <c r="BB1454" s="809"/>
      <c r="BC1454" s="809"/>
      <c r="BD1454" s="809"/>
      <c r="BE1454" s="809"/>
      <c r="BF1454" s="809"/>
      <c r="BG1454" s="809"/>
      <c r="BH1454" s="809"/>
      <c r="BI1454" s="809"/>
      <c r="BJ1454" s="809"/>
      <c r="BK1454" s="809"/>
      <c r="BL1454" s="809"/>
      <c r="BM1454" s="809"/>
      <c r="BN1454" s="809"/>
    </row>
    <row r="1455" spans="1:66">
      <c r="A1455" s="809"/>
      <c r="B1455" s="809"/>
      <c r="C1455" s="809"/>
      <c r="D1455" s="809"/>
      <c r="E1455" s="809"/>
      <c r="F1455" s="809"/>
      <c r="G1455" s="809"/>
      <c r="H1455" s="809"/>
      <c r="I1455" s="809"/>
      <c r="J1455" s="809"/>
      <c r="K1455" s="809"/>
      <c r="L1455" s="809"/>
      <c r="M1455" s="809"/>
      <c r="N1455" s="809"/>
      <c r="O1455" s="809"/>
      <c r="P1455" s="809"/>
      <c r="Q1455" s="809"/>
      <c r="R1455" s="809"/>
      <c r="S1455" s="809"/>
      <c r="T1455" s="809"/>
      <c r="U1455" s="809"/>
      <c r="V1455" s="809"/>
      <c r="W1455" s="809"/>
      <c r="X1455" s="809"/>
      <c r="Y1455" s="809"/>
      <c r="Z1455" s="809"/>
      <c r="AA1455" s="809"/>
      <c r="AB1455" s="809"/>
      <c r="AC1455" s="809"/>
      <c r="AD1455" s="809"/>
      <c r="AE1455" s="809"/>
      <c r="AF1455" s="809"/>
      <c r="AG1455" s="809"/>
      <c r="AH1455" s="809"/>
      <c r="AI1455" s="809"/>
      <c r="AJ1455" s="809"/>
      <c r="AK1455" s="809"/>
      <c r="AL1455" s="809"/>
      <c r="AM1455" s="809"/>
      <c r="AN1455" s="809"/>
      <c r="AO1455" s="809"/>
      <c r="AP1455" s="809"/>
      <c r="AQ1455" s="809"/>
      <c r="AR1455" s="809"/>
      <c r="AS1455" s="809"/>
      <c r="AT1455" s="809"/>
      <c r="AU1455" s="809"/>
      <c r="AV1455" s="809"/>
      <c r="AW1455" s="809"/>
      <c r="AX1455" s="809"/>
      <c r="AY1455" s="809"/>
      <c r="AZ1455" s="809"/>
      <c r="BA1455" s="809"/>
      <c r="BB1455" s="809"/>
      <c r="BC1455" s="809"/>
      <c r="BD1455" s="809"/>
      <c r="BE1455" s="809"/>
      <c r="BF1455" s="809"/>
      <c r="BG1455" s="809"/>
      <c r="BH1455" s="809"/>
      <c r="BI1455" s="809"/>
      <c r="BJ1455" s="809"/>
      <c r="BK1455" s="809"/>
      <c r="BL1455" s="809"/>
      <c r="BM1455" s="809"/>
      <c r="BN1455" s="809"/>
    </row>
    <row r="1456" spans="1:66">
      <c r="A1456" s="809"/>
      <c r="B1456" s="809"/>
      <c r="C1456" s="809"/>
      <c r="D1456" s="809"/>
      <c r="E1456" s="809"/>
      <c r="F1456" s="809"/>
      <c r="G1456" s="809"/>
      <c r="H1456" s="809"/>
      <c r="I1456" s="809"/>
      <c r="J1456" s="809"/>
      <c r="K1456" s="809"/>
      <c r="L1456" s="809"/>
      <c r="M1456" s="809"/>
      <c r="N1456" s="809"/>
      <c r="O1456" s="809"/>
      <c r="P1456" s="809"/>
      <c r="Q1456" s="809"/>
      <c r="R1456" s="809"/>
      <c r="S1456" s="809"/>
      <c r="T1456" s="809"/>
      <c r="U1456" s="809"/>
      <c r="V1456" s="809"/>
      <c r="W1456" s="809"/>
      <c r="X1456" s="809"/>
      <c r="Y1456" s="809"/>
      <c r="Z1456" s="809"/>
      <c r="AA1456" s="809"/>
      <c r="AB1456" s="809"/>
      <c r="AC1456" s="809"/>
      <c r="AD1456" s="809"/>
      <c r="AE1456" s="809"/>
      <c r="AF1456" s="809"/>
      <c r="AG1456" s="809"/>
      <c r="AH1456" s="809"/>
      <c r="AI1456" s="809"/>
      <c r="AJ1456" s="809"/>
      <c r="AK1456" s="809"/>
      <c r="AL1456" s="809"/>
      <c r="AM1456" s="809"/>
      <c r="AN1456" s="809"/>
      <c r="AO1456" s="809"/>
      <c r="AP1456" s="809"/>
      <c r="AQ1456" s="809"/>
      <c r="AR1456" s="809"/>
      <c r="AS1456" s="809"/>
      <c r="AT1456" s="809"/>
      <c r="AU1456" s="809"/>
      <c r="AV1456" s="809"/>
      <c r="AW1456" s="809"/>
      <c r="AX1456" s="809"/>
      <c r="AY1456" s="809"/>
      <c r="AZ1456" s="809"/>
      <c r="BA1456" s="809"/>
      <c r="BB1456" s="809"/>
      <c r="BC1456" s="809"/>
      <c r="BD1456" s="809"/>
      <c r="BE1456" s="809"/>
      <c r="BF1456" s="809"/>
      <c r="BG1456" s="809"/>
      <c r="BH1456" s="809"/>
      <c r="BI1456" s="809"/>
      <c r="BJ1456" s="809"/>
      <c r="BK1456" s="809"/>
      <c r="BL1456" s="809"/>
      <c r="BM1456" s="809"/>
      <c r="BN1456" s="809"/>
    </row>
    <row r="1457" spans="1:66">
      <c r="A1457" s="809"/>
      <c r="B1457" s="809"/>
      <c r="C1457" s="809"/>
      <c r="D1457" s="809"/>
      <c r="E1457" s="809"/>
      <c r="F1457" s="809"/>
      <c r="G1457" s="809"/>
      <c r="H1457" s="809"/>
      <c r="I1457" s="809"/>
      <c r="J1457" s="809"/>
      <c r="K1457" s="809"/>
      <c r="L1457" s="809"/>
      <c r="M1457" s="809"/>
      <c r="N1457" s="809"/>
      <c r="O1457" s="809"/>
      <c r="P1457" s="809"/>
      <c r="Q1457" s="809"/>
      <c r="R1457" s="809"/>
      <c r="S1457" s="809"/>
      <c r="T1457" s="809"/>
      <c r="U1457" s="809"/>
      <c r="V1457" s="809"/>
      <c r="W1457" s="809"/>
      <c r="X1457" s="809"/>
      <c r="Y1457" s="809"/>
      <c r="Z1457" s="809"/>
      <c r="AA1457" s="809"/>
      <c r="AB1457" s="809"/>
      <c r="AC1457" s="809"/>
      <c r="AD1457" s="809"/>
      <c r="AE1457" s="809"/>
      <c r="AF1457" s="809"/>
      <c r="AG1457" s="809"/>
      <c r="AH1457" s="809"/>
      <c r="AI1457" s="809"/>
      <c r="AJ1457" s="809"/>
      <c r="AK1457" s="809"/>
      <c r="AL1457" s="809"/>
      <c r="AM1457" s="809"/>
      <c r="AN1457" s="809"/>
      <c r="AO1457" s="809"/>
      <c r="AP1457" s="809"/>
      <c r="AQ1457" s="809"/>
      <c r="AR1457" s="809"/>
      <c r="AS1457" s="809"/>
      <c r="AT1457" s="809"/>
      <c r="AU1457" s="809"/>
      <c r="AV1457" s="809"/>
      <c r="AW1457" s="809"/>
      <c r="AX1457" s="809"/>
      <c r="AY1457" s="809"/>
      <c r="AZ1457" s="809"/>
      <c r="BA1457" s="809"/>
      <c r="BB1457" s="809"/>
      <c r="BC1457" s="809"/>
      <c r="BD1457" s="809"/>
      <c r="BE1457" s="809"/>
      <c r="BF1457" s="809"/>
      <c r="BG1457" s="809"/>
      <c r="BH1457" s="809"/>
      <c r="BI1457" s="809"/>
      <c r="BJ1457" s="809"/>
      <c r="BK1457" s="809"/>
      <c r="BL1457" s="809"/>
      <c r="BM1457" s="809"/>
      <c r="BN1457" s="809"/>
    </row>
    <row r="1458" spans="1:66">
      <c r="A1458" s="809"/>
      <c r="B1458" s="809"/>
      <c r="C1458" s="809"/>
      <c r="D1458" s="809"/>
      <c r="E1458" s="809"/>
      <c r="F1458" s="809"/>
      <c r="G1458" s="809"/>
      <c r="H1458" s="809"/>
      <c r="I1458" s="809"/>
      <c r="J1458" s="809"/>
      <c r="K1458" s="809"/>
      <c r="L1458" s="809"/>
      <c r="M1458" s="809"/>
      <c r="N1458" s="809"/>
      <c r="O1458" s="809"/>
      <c r="P1458" s="809"/>
      <c r="Q1458" s="809"/>
      <c r="R1458" s="809"/>
      <c r="S1458" s="809"/>
      <c r="T1458" s="809"/>
      <c r="U1458" s="809"/>
      <c r="V1458" s="809"/>
      <c r="W1458" s="809"/>
      <c r="X1458" s="809"/>
      <c r="Y1458" s="809"/>
      <c r="Z1458" s="809"/>
      <c r="AA1458" s="809"/>
      <c r="AB1458" s="809"/>
      <c r="AC1458" s="809"/>
      <c r="AD1458" s="809"/>
      <c r="AE1458" s="809"/>
      <c r="AF1458" s="809"/>
      <c r="AG1458" s="809"/>
      <c r="AH1458" s="809"/>
      <c r="AI1458" s="809"/>
      <c r="AJ1458" s="809"/>
      <c r="AK1458" s="809"/>
      <c r="AL1458" s="809"/>
      <c r="AM1458" s="809"/>
      <c r="AN1458" s="809"/>
      <c r="AO1458" s="809"/>
      <c r="AP1458" s="809"/>
      <c r="AQ1458" s="809"/>
      <c r="AR1458" s="809"/>
      <c r="AS1458" s="809"/>
      <c r="AT1458" s="809"/>
      <c r="AU1458" s="809"/>
      <c r="AV1458" s="809"/>
      <c r="AW1458" s="809"/>
      <c r="AX1458" s="809"/>
      <c r="AY1458" s="809"/>
      <c r="AZ1458" s="809"/>
      <c r="BA1458" s="809"/>
      <c r="BB1458" s="809"/>
      <c r="BC1458" s="809"/>
      <c r="BD1458" s="809"/>
      <c r="BE1458" s="809"/>
      <c r="BF1458" s="809"/>
      <c r="BG1458" s="809"/>
      <c r="BH1458" s="809"/>
      <c r="BI1458" s="809"/>
      <c r="BJ1458" s="809"/>
      <c r="BK1458" s="809"/>
      <c r="BL1458" s="809"/>
      <c r="BM1458" s="809"/>
      <c r="BN1458" s="809"/>
    </row>
    <row r="1459" spans="1:66">
      <c r="A1459" s="809"/>
      <c r="B1459" s="809"/>
      <c r="C1459" s="809"/>
      <c r="D1459" s="809"/>
      <c r="E1459" s="809"/>
      <c r="F1459" s="809"/>
      <c r="G1459" s="809"/>
      <c r="H1459" s="809"/>
      <c r="I1459" s="809"/>
      <c r="J1459" s="809"/>
      <c r="K1459" s="809"/>
      <c r="L1459" s="809"/>
      <c r="M1459" s="809"/>
      <c r="N1459" s="809"/>
      <c r="O1459" s="809"/>
      <c r="P1459" s="809"/>
      <c r="Q1459" s="809"/>
      <c r="R1459" s="809"/>
      <c r="S1459" s="809"/>
      <c r="T1459" s="809"/>
      <c r="U1459" s="809"/>
      <c r="V1459" s="809"/>
      <c r="W1459" s="809"/>
      <c r="X1459" s="809"/>
      <c r="Y1459" s="809"/>
      <c r="Z1459" s="809"/>
      <c r="AA1459" s="809"/>
      <c r="AB1459" s="809"/>
      <c r="AC1459" s="809"/>
      <c r="AD1459" s="809"/>
      <c r="AE1459" s="809"/>
      <c r="AF1459" s="809"/>
      <c r="AG1459" s="809"/>
      <c r="AH1459" s="809"/>
      <c r="AI1459" s="809"/>
      <c r="AJ1459" s="809"/>
      <c r="AK1459" s="809"/>
      <c r="AL1459" s="809"/>
      <c r="AM1459" s="809"/>
      <c r="AN1459" s="809"/>
      <c r="AO1459" s="809"/>
      <c r="AP1459" s="809"/>
      <c r="AQ1459" s="809"/>
      <c r="AR1459" s="809"/>
      <c r="AS1459" s="809"/>
      <c r="AT1459" s="809"/>
      <c r="AU1459" s="809"/>
      <c r="AV1459" s="809"/>
      <c r="AW1459" s="809"/>
      <c r="AX1459" s="809"/>
      <c r="AY1459" s="809"/>
      <c r="AZ1459" s="809"/>
      <c r="BA1459" s="809"/>
      <c r="BB1459" s="809"/>
      <c r="BC1459" s="809"/>
      <c r="BD1459" s="809"/>
      <c r="BE1459" s="809"/>
      <c r="BF1459" s="809"/>
      <c r="BG1459" s="809"/>
      <c r="BH1459" s="809"/>
      <c r="BI1459" s="809"/>
      <c r="BJ1459" s="809"/>
      <c r="BK1459" s="809"/>
      <c r="BL1459" s="809"/>
      <c r="BM1459" s="809"/>
      <c r="BN1459" s="809"/>
    </row>
    <row r="1460" spans="1:66">
      <c r="A1460" s="809"/>
      <c r="B1460" s="809"/>
      <c r="C1460" s="809"/>
      <c r="D1460" s="809"/>
      <c r="E1460" s="809"/>
      <c r="F1460" s="809"/>
      <c r="G1460" s="809"/>
      <c r="H1460" s="809"/>
      <c r="I1460" s="809"/>
      <c r="J1460" s="809"/>
      <c r="K1460" s="809"/>
      <c r="L1460" s="809"/>
      <c r="M1460" s="809"/>
      <c r="N1460" s="809"/>
      <c r="O1460" s="809"/>
      <c r="P1460" s="809"/>
      <c r="Q1460" s="809"/>
      <c r="R1460" s="809"/>
      <c r="S1460" s="809"/>
      <c r="T1460" s="809"/>
      <c r="U1460" s="809"/>
      <c r="V1460" s="809"/>
      <c r="W1460" s="809"/>
      <c r="X1460" s="809"/>
      <c r="Y1460" s="809"/>
      <c r="Z1460" s="809"/>
      <c r="AA1460" s="809"/>
      <c r="AB1460" s="809"/>
      <c r="AC1460" s="809"/>
      <c r="AD1460" s="809"/>
      <c r="AE1460" s="809"/>
      <c r="AF1460" s="809"/>
      <c r="AG1460" s="809"/>
      <c r="AH1460" s="809"/>
      <c r="AI1460" s="809"/>
      <c r="AJ1460" s="809"/>
      <c r="AK1460" s="809"/>
      <c r="AL1460" s="809"/>
      <c r="AM1460" s="809"/>
      <c r="AN1460" s="809"/>
      <c r="AO1460" s="809"/>
      <c r="AP1460" s="809"/>
      <c r="AQ1460" s="809"/>
      <c r="AR1460" s="809"/>
      <c r="AS1460" s="809"/>
      <c r="AT1460" s="809"/>
      <c r="AU1460" s="809"/>
      <c r="AV1460" s="809"/>
      <c r="AW1460" s="809"/>
      <c r="AX1460" s="809"/>
      <c r="AY1460" s="809"/>
      <c r="AZ1460" s="809"/>
      <c r="BA1460" s="809"/>
      <c r="BB1460" s="809"/>
      <c r="BC1460" s="809"/>
      <c r="BD1460" s="809"/>
      <c r="BE1460" s="809"/>
      <c r="BF1460" s="809"/>
      <c r="BG1460" s="809"/>
      <c r="BH1460" s="809"/>
      <c r="BI1460" s="809"/>
      <c r="BJ1460" s="809"/>
      <c r="BK1460" s="809"/>
      <c r="BL1460" s="809"/>
      <c r="BM1460" s="809"/>
      <c r="BN1460" s="809"/>
    </row>
    <row r="1461" spans="1:66">
      <c r="A1461" s="809"/>
      <c r="B1461" s="809"/>
      <c r="C1461" s="809"/>
      <c r="D1461" s="809"/>
      <c r="E1461" s="809"/>
      <c r="F1461" s="809"/>
      <c r="G1461" s="809"/>
      <c r="H1461" s="809"/>
      <c r="I1461" s="809"/>
      <c r="J1461" s="809"/>
      <c r="K1461" s="809"/>
      <c r="L1461" s="809"/>
      <c r="M1461" s="809"/>
      <c r="N1461" s="809"/>
      <c r="O1461" s="809"/>
      <c r="P1461" s="809"/>
      <c r="Q1461" s="809"/>
      <c r="R1461" s="809"/>
      <c r="S1461" s="809"/>
      <c r="T1461" s="809"/>
      <c r="U1461" s="809"/>
      <c r="V1461" s="809"/>
      <c r="W1461" s="809"/>
      <c r="X1461" s="809"/>
      <c r="Y1461" s="809"/>
      <c r="Z1461" s="809"/>
      <c r="AA1461" s="809"/>
      <c r="AB1461" s="809"/>
      <c r="AC1461" s="809"/>
      <c r="AD1461" s="809"/>
      <c r="AE1461" s="809"/>
      <c r="AF1461" s="809"/>
      <c r="AG1461" s="809"/>
      <c r="AH1461" s="809"/>
      <c r="AI1461" s="809"/>
      <c r="AJ1461" s="809"/>
      <c r="AK1461" s="809"/>
      <c r="AL1461" s="809"/>
      <c r="AM1461" s="809"/>
      <c r="AN1461" s="809"/>
      <c r="AO1461" s="809"/>
      <c r="AP1461" s="809"/>
      <c r="AQ1461" s="809"/>
      <c r="AR1461" s="809"/>
      <c r="AS1461" s="809"/>
      <c r="AT1461" s="809"/>
      <c r="AU1461" s="809"/>
      <c r="AV1461" s="809"/>
      <c r="AW1461" s="809"/>
      <c r="AX1461" s="809"/>
      <c r="AY1461" s="809"/>
      <c r="AZ1461" s="809"/>
      <c r="BA1461" s="809"/>
      <c r="BB1461" s="809"/>
      <c r="BC1461" s="809"/>
      <c r="BD1461" s="809"/>
      <c r="BE1461" s="809"/>
      <c r="BF1461" s="809"/>
      <c r="BG1461" s="809"/>
      <c r="BH1461" s="809"/>
      <c r="BI1461" s="809"/>
      <c r="BJ1461" s="809"/>
      <c r="BK1461" s="809"/>
      <c r="BL1461" s="809"/>
      <c r="BM1461" s="809"/>
      <c r="BN1461" s="809"/>
    </row>
    <row r="1462" spans="1:66">
      <c r="A1462" s="809"/>
      <c r="B1462" s="809"/>
      <c r="C1462" s="809"/>
      <c r="D1462" s="809"/>
      <c r="E1462" s="809"/>
      <c r="F1462" s="809"/>
      <c r="G1462" s="809"/>
      <c r="H1462" s="809"/>
      <c r="I1462" s="809"/>
      <c r="J1462" s="809"/>
      <c r="K1462" s="809"/>
      <c r="L1462" s="809"/>
      <c r="M1462" s="809"/>
      <c r="N1462" s="809"/>
      <c r="O1462" s="809"/>
      <c r="P1462" s="809"/>
      <c r="Q1462" s="809"/>
      <c r="R1462" s="809"/>
      <c r="S1462" s="809"/>
      <c r="T1462" s="809"/>
      <c r="U1462" s="809"/>
      <c r="V1462" s="809"/>
      <c r="W1462" s="809"/>
      <c r="X1462" s="809"/>
      <c r="Y1462" s="809"/>
      <c r="Z1462" s="809"/>
      <c r="AA1462" s="809"/>
      <c r="AB1462" s="809"/>
      <c r="AC1462" s="809"/>
      <c r="AD1462" s="809"/>
      <c r="AE1462" s="809"/>
      <c r="AF1462" s="809"/>
      <c r="AG1462" s="809"/>
      <c r="AH1462" s="809"/>
      <c r="AI1462" s="809"/>
      <c r="AJ1462" s="809"/>
      <c r="AK1462" s="809"/>
      <c r="AL1462" s="809"/>
      <c r="AM1462" s="809"/>
      <c r="AN1462" s="809"/>
      <c r="AO1462" s="809"/>
      <c r="AP1462" s="809"/>
      <c r="AQ1462" s="809"/>
      <c r="AR1462" s="809"/>
      <c r="AS1462" s="809"/>
      <c r="AT1462" s="809"/>
      <c r="AU1462" s="809"/>
      <c r="AV1462" s="809"/>
      <c r="AW1462" s="809"/>
      <c r="AX1462" s="809"/>
      <c r="AY1462" s="809"/>
      <c r="AZ1462" s="809"/>
      <c r="BA1462" s="809"/>
      <c r="BB1462" s="809"/>
      <c r="BC1462" s="809"/>
      <c r="BD1462" s="809"/>
      <c r="BE1462" s="809"/>
      <c r="BF1462" s="809"/>
      <c r="BG1462" s="809"/>
      <c r="BH1462" s="809"/>
      <c r="BI1462" s="809"/>
      <c r="BJ1462" s="809"/>
      <c r="BK1462" s="809"/>
      <c r="BL1462" s="809"/>
      <c r="BM1462" s="809"/>
      <c r="BN1462" s="809"/>
    </row>
    <row r="1463" spans="1:66">
      <c r="A1463" s="809"/>
      <c r="B1463" s="809"/>
      <c r="C1463" s="809"/>
      <c r="D1463" s="809"/>
      <c r="E1463" s="809"/>
      <c r="F1463" s="809"/>
      <c r="G1463" s="809"/>
      <c r="H1463" s="809"/>
      <c r="I1463" s="809"/>
      <c r="J1463" s="809"/>
      <c r="K1463" s="809"/>
      <c r="L1463" s="809"/>
      <c r="M1463" s="809"/>
      <c r="N1463" s="809"/>
      <c r="O1463" s="809"/>
      <c r="P1463" s="809"/>
      <c r="Q1463" s="809"/>
      <c r="R1463" s="809"/>
      <c r="S1463" s="809"/>
      <c r="T1463" s="809"/>
      <c r="U1463" s="809"/>
      <c r="V1463" s="809"/>
      <c r="W1463" s="809"/>
      <c r="X1463" s="809"/>
      <c r="Y1463" s="809"/>
      <c r="Z1463" s="809"/>
      <c r="AA1463" s="809"/>
      <c r="AB1463" s="809"/>
      <c r="AC1463" s="809"/>
      <c r="AD1463" s="809"/>
      <c r="AE1463" s="809"/>
      <c r="AF1463" s="809"/>
      <c r="AG1463" s="809"/>
      <c r="AH1463" s="809"/>
      <c r="AI1463" s="809"/>
      <c r="AJ1463" s="809"/>
      <c r="AK1463" s="809"/>
      <c r="AL1463" s="809"/>
      <c r="AM1463" s="809"/>
      <c r="AN1463" s="809"/>
      <c r="AO1463" s="809"/>
      <c r="AP1463" s="809"/>
      <c r="AQ1463" s="809"/>
      <c r="AR1463" s="809"/>
      <c r="AS1463" s="809"/>
      <c r="AT1463" s="809"/>
      <c r="AU1463" s="809"/>
      <c r="AV1463" s="809"/>
      <c r="AW1463" s="809"/>
      <c r="AX1463" s="809"/>
      <c r="AY1463" s="809"/>
      <c r="AZ1463" s="809"/>
      <c r="BA1463" s="809"/>
      <c r="BB1463" s="809"/>
      <c r="BC1463" s="809"/>
      <c r="BD1463" s="809"/>
      <c r="BE1463" s="809"/>
      <c r="BF1463" s="809"/>
      <c r="BG1463" s="809"/>
      <c r="BH1463" s="809"/>
      <c r="BI1463" s="809"/>
      <c r="BJ1463" s="809"/>
      <c r="BK1463" s="809"/>
      <c r="BL1463" s="809"/>
      <c r="BM1463" s="809"/>
      <c r="BN1463" s="809"/>
    </row>
    <row r="1464" spans="1:66">
      <c r="A1464" s="809"/>
      <c r="B1464" s="809"/>
      <c r="C1464" s="809"/>
      <c r="D1464" s="809"/>
      <c r="E1464" s="809"/>
      <c r="F1464" s="809"/>
      <c r="G1464" s="809"/>
      <c r="H1464" s="809"/>
      <c r="I1464" s="809"/>
      <c r="J1464" s="809"/>
      <c r="K1464" s="809"/>
      <c r="L1464" s="809"/>
      <c r="M1464" s="809"/>
      <c r="N1464" s="809"/>
      <c r="O1464" s="809"/>
      <c r="P1464" s="809"/>
      <c r="Q1464" s="809"/>
      <c r="R1464" s="809"/>
      <c r="S1464" s="809"/>
      <c r="T1464" s="809"/>
      <c r="U1464" s="809"/>
      <c r="V1464" s="809"/>
      <c r="W1464" s="809"/>
      <c r="X1464" s="809"/>
      <c r="Y1464" s="809"/>
      <c r="Z1464" s="809"/>
      <c r="AA1464" s="809"/>
      <c r="AB1464" s="809"/>
      <c r="AC1464" s="809"/>
      <c r="AD1464" s="809"/>
      <c r="AE1464" s="809"/>
      <c r="AF1464" s="809"/>
      <c r="AG1464" s="809"/>
      <c r="AH1464" s="809"/>
      <c r="AI1464" s="809"/>
      <c r="AJ1464" s="809"/>
      <c r="AK1464" s="809"/>
      <c r="AL1464" s="809"/>
      <c r="AM1464" s="809"/>
      <c r="AN1464" s="809"/>
      <c r="AO1464" s="809"/>
      <c r="AP1464" s="809"/>
      <c r="AQ1464" s="809"/>
      <c r="AR1464" s="809"/>
      <c r="AS1464" s="809"/>
      <c r="AT1464" s="809"/>
      <c r="AU1464" s="809"/>
      <c r="AV1464" s="809"/>
      <c r="AW1464" s="809"/>
      <c r="AX1464" s="809"/>
      <c r="AY1464" s="809"/>
      <c r="AZ1464" s="809"/>
      <c r="BA1464" s="809"/>
      <c r="BB1464" s="809"/>
      <c r="BC1464" s="809"/>
      <c r="BD1464" s="809"/>
      <c r="BE1464" s="809"/>
      <c r="BF1464" s="809"/>
      <c r="BG1464" s="809"/>
      <c r="BH1464" s="809"/>
      <c r="BI1464" s="809"/>
      <c r="BJ1464" s="809"/>
      <c r="BK1464" s="809"/>
      <c r="BL1464" s="809"/>
      <c r="BM1464" s="809"/>
      <c r="BN1464" s="809"/>
    </row>
    <row r="1465" spans="1:66">
      <c r="A1465" s="809"/>
      <c r="B1465" s="809"/>
      <c r="C1465" s="809"/>
      <c r="D1465" s="809"/>
      <c r="E1465" s="809"/>
      <c r="F1465" s="809"/>
      <c r="G1465" s="809"/>
      <c r="H1465" s="809"/>
      <c r="I1465" s="809"/>
      <c r="J1465" s="809"/>
      <c r="K1465" s="809"/>
      <c r="L1465" s="809"/>
      <c r="M1465" s="809"/>
      <c r="N1465" s="809"/>
      <c r="O1465" s="809"/>
      <c r="P1465" s="809"/>
      <c r="Q1465" s="809"/>
      <c r="R1465" s="809"/>
      <c r="S1465" s="809"/>
      <c r="T1465" s="809"/>
      <c r="U1465" s="809"/>
      <c r="V1465" s="809"/>
      <c r="W1465" s="809"/>
      <c r="X1465" s="809"/>
      <c r="Y1465" s="809"/>
      <c r="Z1465" s="809"/>
      <c r="AA1465" s="809"/>
      <c r="AB1465" s="809"/>
      <c r="AC1465" s="809"/>
      <c r="AD1465" s="809"/>
      <c r="AE1465" s="809"/>
      <c r="AF1465" s="809"/>
      <c r="AG1465" s="809"/>
      <c r="AH1465" s="809"/>
      <c r="AI1465" s="809"/>
      <c r="AJ1465" s="809"/>
      <c r="AK1465" s="809"/>
      <c r="AL1465" s="809"/>
      <c r="AM1465" s="809"/>
      <c r="AN1465" s="809"/>
      <c r="AO1465" s="809"/>
      <c r="AP1465" s="809"/>
      <c r="AQ1465" s="809"/>
      <c r="AR1465" s="809"/>
      <c r="AS1465" s="809"/>
      <c r="AT1465" s="809"/>
      <c r="AU1465" s="809"/>
      <c r="AV1465" s="809"/>
      <c r="AW1465" s="809"/>
      <c r="AX1465" s="809"/>
      <c r="AY1465" s="809"/>
      <c r="AZ1465" s="809"/>
      <c r="BA1465" s="809"/>
      <c r="BB1465" s="809"/>
      <c r="BC1465" s="809"/>
      <c r="BD1465" s="809"/>
      <c r="BE1465" s="809"/>
      <c r="BF1465" s="809"/>
      <c r="BG1465" s="809"/>
      <c r="BH1465" s="809"/>
      <c r="BI1465" s="809"/>
      <c r="BJ1465" s="809"/>
      <c r="BK1465" s="809"/>
      <c r="BL1465" s="809"/>
      <c r="BM1465" s="809"/>
      <c r="BN1465" s="809"/>
    </row>
    <row r="1466" spans="1:66">
      <c r="A1466" s="809"/>
      <c r="B1466" s="809"/>
      <c r="C1466" s="809"/>
      <c r="D1466" s="809"/>
      <c r="E1466" s="809"/>
      <c r="F1466" s="809"/>
      <c r="G1466" s="809"/>
      <c r="H1466" s="809"/>
      <c r="I1466" s="809"/>
      <c r="J1466" s="809"/>
      <c r="K1466" s="809"/>
      <c r="L1466" s="809"/>
      <c r="M1466" s="809"/>
      <c r="N1466" s="809"/>
      <c r="O1466" s="809"/>
      <c r="P1466" s="809"/>
      <c r="Q1466" s="809"/>
      <c r="R1466" s="809"/>
      <c r="S1466" s="809"/>
      <c r="T1466" s="809"/>
      <c r="U1466" s="809"/>
      <c r="V1466" s="809"/>
      <c r="W1466" s="809"/>
      <c r="X1466" s="809"/>
      <c r="Y1466" s="809"/>
      <c r="Z1466" s="809"/>
      <c r="AA1466" s="809"/>
      <c r="AB1466" s="809"/>
      <c r="AC1466" s="809"/>
      <c r="AD1466" s="809"/>
      <c r="AE1466" s="809"/>
      <c r="AF1466" s="809"/>
      <c r="AG1466" s="809"/>
      <c r="AH1466" s="809"/>
      <c r="AI1466" s="809"/>
      <c r="AJ1466" s="809"/>
      <c r="AK1466" s="809"/>
      <c r="AL1466" s="809"/>
      <c r="AM1466" s="809"/>
      <c r="AN1466" s="809"/>
      <c r="AO1466" s="809"/>
      <c r="AP1466" s="809"/>
      <c r="AQ1466" s="809"/>
      <c r="AR1466" s="809"/>
      <c r="AS1466" s="809"/>
      <c r="AT1466" s="809"/>
      <c r="AU1466" s="809"/>
      <c r="AV1466" s="809"/>
      <c r="AW1466" s="809"/>
      <c r="AX1466" s="809"/>
      <c r="AY1466" s="809"/>
      <c r="AZ1466" s="809"/>
      <c r="BA1466" s="809"/>
      <c r="BB1466" s="809"/>
      <c r="BC1466" s="809"/>
      <c r="BD1466" s="809"/>
      <c r="BE1466" s="809"/>
      <c r="BF1466" s="809"/>
      <c r="BG1466" s="809"/>
      <c r="BH1466" s="809"/>
      <c r="BI1466" s="809"/>
      <c r="BJ1466" s="809"/>
      <c r="BK1466" s="809"/>
      <c r="BL1466" s="809"/>
      <c r="BM1466" s="809"/>
      <c r="BN1466" s="809"/>
    </row>
    <row r="1467" spans="1:66">
      <c r="A1467" s="809"/>
      <c r="B1467" s="809"/>
      <c r="C1467" s="809"/>
      <c r="D1467" s="809"/>
      <c r="E1467" s="809"/>
      <c r="F1467" s="809"/>
      <c r="G1467" s="809"/>
      <c r="H1467" s="809"/>
      <c r="I1467" s="809"/>
      <c r="J1467" s="809"/>
      <c r="K1467" s="809"/>
      <c r="L1467" s="809"/>
      <c r="M1467" s="809"/>
      <c r="N1467" s="809"/>
      <c r="O1467" s="809"/>
      <c r="P1467" s="809"/>
      <c r="Q1467" s="809"/>
      <c r="R1467" s="809"/>
      <c r="S1467" s="809"/>
      <c r="T1467" s="809"/>
      <c r="U1467" s="809"/>
      <c r="V1467" s="809"/>
      <c r="W1467" s="809"/>
      <c r="X1467" s="809"/>
      <c r="Y1467" s="809"/>
      <c r="Z1467" s="809"/>
      <c r="AA1467" s="809"/>
      <c r="AB1467" s="809"/>
      <c r="AC1467" s="809"/>
      <c r="AD1467" s="809"/>
      <c r="AE1467" s="809"/>
      <c r="AF1467" s="809"/>
      <c r="AG1467" s="809"/>
      <c r="AH1467" s="809"/>
      <c r="AI1467" s="809"/>
      <c r="AJ1467" s="809"/>
      <c r="AK1467" s="809"/>
      <c r="AL1467" s="809"/>
      <c r="AM1467" s="809"/>
      <c r="AN1467" s="809"/>
      <c r="AO1467" s="809"/>
      <c r="AP1467" s="809"/>
      <c r="AQ1467" s="809"/>
      <c r="AR1467" s="809"/>
      <c r="AS1467" s="809"/>
      <c r="AT1467" s="809"/>
      <c r="AU1467" s="809"/>
      <c r="AV1467" s="809"/>
      <c r="AW1467" s="809"/>
      <c r="AX1467" s="809"/>
      <c r="AY1467" s="809"/>
      <c r="AZ1467" s="809"/>
      <c r="BA1467" s="809"/>
      <c r="BB1467" s="809"/>
      <c r="BC1467" s="809"/>
      <c r="BD1467" s="809"/>
      <c r="BE1467" s="809"/>
      <c r="BF1467" s="809"/>
      <c r="BG1467" s="809"/>
      <c r="BH1467" s="809"/>
      <c r="BI1467" s="809"/>
      <c r="BJ1467" s="809"/>
      <c r="BK1467" s="809"/>
      <c r="BL1467" s="809"/>
      <c r="BM1467" s="809"/>
      <c r="BN1467" s="809"/>
    </row>
    <row r="1468" spans="1:66">
      <c r="A1468" s="809"/>
      <c r="B1468" s="809"/>
      <c r="C1468" s="809"/>
      <c r="D1468" s="809"/>
      <c r="E1468" s="809"/>
      <c r="F1468" s="809"/>
      <c r="G1468" s="809"/>
      <c r="H1468" s="809"/>
      <c r="I1468" s="809"/>
      <c r="J1468" s="809"/>
      <c r="K1468" s="809"/>
      <c r="L1468" s="809"/>
      <c r="M1468" s="809"/>
      <c r="N1468" s="809"/>
      <c r="O1468" s="809"/>
      <c r="P1468" s="809"/>
      <c r="Q1468" s="809"/>
      <c r="R1468" s="809"/>
      <c r="S1468" s="809"/>
      <c r="T1468" s="809"/>
      <c r="U1468" s="809"/>
      <c r="V1468" s="809"/>
      <c r="W1468" s="809"/>
      <c r="X1468" s="809"/>
      <c r="Y1468" s="809"/>
      <c r="Z1468" s="809"/>
      <c r="AA1468" s="809"/>
      <c r="AB1468" s="809"/>
      <c r="AC1468" s="809"/>
      <c r="AD1468" s="809"/>
      <c r="AE1468" s="809"/>
      <c r="AF1468" s="809"/>
      <c r="AG1468" s="809"/>
      <c r="AH1468" s="809"/>
      <c r="AI1468" s="809"/>
      <c r="AJ1468" s="809"/>
      <c r="AK1468" s="809"/>
      <c r="AL1468" s="809"/>
      <c r="AM1468" s="809"/>
      <c r="AN1468" s="809"/>
      <c r="AO1468" s="809"/>
      <c r="AP1468" s="809"/>
      <c r="AQ1468" s="809"/>
      <c r="AR1468" s="809"/>
      <c r="AS1468" s="809"/>
      <c r="AT1468" s="809"/>
      <c r="AU1468" s="809"/>
      <c r="AV1468" s="809"/>
      <c r="AW1468" s="809"/>
      <c r="AX1468" s="809"/>
      <c r="AY1468" s="809"/>
      <c r="AZ1468" s="809"/>
      <c r="BA1468" s="809"/>
      <c r="BB1468" s="809"/>
      <c r="BC1468" s="809"/>
      <c r="BD1468" s="809"/>
      <c r="BE1468" s="809"/>
      <c r="BF1468" s="809"/>
      <c r="BG1468" s="809"/>
      <c r="BH1468" s="809"/>
      <c r="BI1468" s="809"/>
      <c r="BJ1468" s="809"/>
      <c r="BK1468" s="809"/>
      <c r="BL1468" s="809"/>
      <c r="BM1468" s="809"/>
      <c r="BN1468" s="809"/>
    </row>
    <row r="1469" spans="1:66">
      <c r="A1469" s="809"/>
      <c r="B1469" s="809"/>
      <c r="C1469" s="809"/>
      <c r="D1469" s="809"/>
      <c r="E1469" s="809"/>
      <c r="F1469" s="809"/>
      <c r="G1469" s="809"/>
      <c r="H1469" s="809"/>
      <c r="I1469" s="809"/>
      <c r="J1469" s="809"/>
      <c r="K1469" s="809"/>
      <c r="L1469" s="809"/>
      <c r="M1469" s="809"/>
      <c r="N1469" s="809"/>
      <c r="O1469" s="809"/>
      <c r="P1469" s="809"/>
      <c r="Q1469" s="809"/>
      <c r="R1469" s="809"/>
      <c r="S1469" s="809"/>
      <c r="T1469" s="809"/>
      <c r="U1469" s="809"/>
      <c r="V1469" s="809"/>
      <c r="W1469" s="809"/>
      <c r="X1469" s="809"/>
      <c r="Y1469" s="809"/>
      <c r="Z1469" s="809"/>
      <c r="AA1469" s="809"/>
      <c r="AB1469" s="809"/>
      <c r="AC1469" s="809"/>
      <c r="AD1469" s="809"/>
      <c r="AE1469" s="809"/>
      <c r="AF1469" s="809"/>
      <c r="AG1469" s="809"/>
      <c r="AH1469" s="809"/>
      <c r="AI1469" s="809"/>
      <c r="AJ1469" s="809"/>
      <c r="AK1469" s="809"/>
      <c r="AL1469" s="809"/>
      <c r="AM1469" s="809"/>
      <c r="AN1469" s="809"/>
      <c r="AO1469" s="809"/>
      <c r="AP1469" s="809"/>
      <c r="AQ1469" s="809"/>
      <c r="AR1469" s="809"/>
      <c r="AS1469" s="809"/>
      <c r="AT1469" s="809"/>
      <c r="AU1469" s="809"/>
      <c r="AV1469" s="809"/>
      <c r="AW1469" s="809"/>
      <c r="AX1469" s="809"/>
      <c r="AY1469" s="809"/>
      <c r="AZ1469" s="809"/>
      <c r="BA1469" s="809"/>
      <c r="BB1469" s="809"/>
      <c r="BC1469" s="809"/>
      <c r="BD1469" s="809"/>
      <c r="BE1469" s="809"/>
      <c r="BF1469" s="809"/>
      <c r="BG1469" s="809"/>
      <c r="BH1469" s="809"/>
      <c r="BI1469" s="809"/>
      <c r="BJ1469" s="809"/>
      <c r="BK1469" s="809"/>
      <c r="BL1469" s="809"/>
      <c r="BM1469" s="809"/>
      <c r="BN1469" s="809"/>
    </row>
    <row r="1470" spans="1:66">
      <c r="A1470" s="809"/>
      <c r="B1470" s="809"/>
      <c r="C1470" s="809"/>
      <c r="D1470" s="809"/>
      <c r="E1470" s="809"/>
      <c r="F1470" s="809"/>
      <c r="G1470" s="809"/>
      <c r="H1470" s="809"/>
      <c r="I1470" s="809"/>
      <c r="J1470" s="809"/>
      <c r="K1470" s="809"/>
      <c r="L1470" s="809"/>
      <c r="M1470" s="809"/>
      <c r="N1470" s="809"/>
      <c r="O1470" s="809"/>
      <c r="P1470" s="809"/>
      <c r="Q1470" s="809"/>
      <c r="R1470" s="809"/>
      <c r="S1470" s="809"/>
      <c r="T1470" s="809"/>
      <c r="U1470" s="809"/>
      <c r="V1470" s="809"/>
      <c r="W1470" s="809"/>
      <c r="X1470" s="809"/>
      <c r="Y1470" s="809"/>
      <c r="Z1470" s="809"/>
      <c r="AA1470" s="809"/>
      <c r="AB1470" s="809"/>
      <c r="AC1470" s="809"/>
      <c r="AD1470" s="809"/>
      <c r="AE1470" s="809"/>
      <c r="AF1470" s="809"/>
      <c r="AG1470" s="809"/>
      <c r="AH1470" s="809"/>
      <c r="AI1470" s="809"/>
      <c r="AJ1470" s="809"/>
      <c r="AK1470" s="809"/>
      <c r="AL1470" s="809"/>
      <c r="AM1470" s="809"/>
      <c r="AN1470" s="809"/>
      <c r="AO1470" s="809"/>
      <c r="AP1470" s="809"/>
      <c r="AQ1470" s="809"/>
      <c r="AR1470" s="809"/>
      <c r="AS1470" s="809"/>
      <c r="AT1470" s="809"/>
      <c r="AU1470" s="809"/>
      <c r="AV1470" s="809"/>
      <c r="AW1470" s="809"/>
      <c r="AX1470" s="809"/>
      <c r="AY1470" s="809"/>
      <c r="AZ1470" s="809"/>
      <c r="BA1470" s="809"/>
      <c r="BB1470" s="809"/>
      <c r="BC1470" s="809"/>
      <c r="BD1470" s="809"/>
      <c r="BE1470" s="809"/>
      <c r="BF1470" s="809"/>
      <c r="BG1470" s="809"/>
      <c r="BH1470" s="809"/>
      <c r="BI1470" s="809"/>
      <c r="BJ1470" s="809"/>
      <c r="BK1470" s="809"/>
      <c r="BL1470" s="809"/>
      <c r="BM1470" s="809"/>
      <c r="BN1470" s="809"/>
    </row>
    <row r="1471" spans="1:66">
      <c r="A1471" s="809"/>
      <c r="B1471" s="809"/>
      <c r="C1471" s="809"/>
      <c r="D1471" s="809"/>
      <c r="E1471" s="809"/>
      <c r="F1471" s="809"/>
      <c r="G1471" s="809"/>
      <c r="H1471" s="809"/>
      <c r="I1471" s="809"/>
      <c r="J1471" s="809"/>
      <c r="K1471" s="809"/>
      <c r="L1471" s="809"/>
      <c r="M1471" s="809"/>
      <c r="N1471" s="809"/>
      <c r="O1471" s="809"/>
      <c r="P1471" s="809"/>
      <c r="Q1471" s="809"/>
      <c r="R1471" s="809"/>
      <c r="S1471" s="809"/>
      <c r="T1471" s="809"/>
      <c r="U1471" s="809"/>
      <c r="V1471" s="809"/>
      <c r="W1471" s="809"/>
      <c r="X1471" s="809"/>
      <c r="Y1471" s="809"/>
      <c r="Z1471" s="809"/>
      <c r="AA1471" s="809"/>
      <c r="AB1471" s="809"/>
      <c r="AC1471" s="809"/>
      <c r="AD1471" s="809"/>
      <c r="AE1471" s="809"/>
      <c r="AF1471" s="809"/>
      <c r="AG1471" s="809"/>
      <c r="AH1471" s="809"/>
      <c r="AI1471" s="809"/>
      <c r="AJ1471" s="809"/>
      <c r="AK1471" s="809"/>
      <c r="AL1471" s="809"/>
      <c r="AM1471" s="809"/>
      <c r="AN1471" s="809"/>
      <c r="AO1471" s="809"/>
      <c r="AP1471" s="809"/>
      <c r="AQ1471" s="809"/>
      <c r="AR1471" s="809"/>
      <c r="AS1471" s="809"/>
      <c r="AT1471" s="809"/>
      <c r="AU1471" s="809"/>
      <c r="AV1471" s="809"/>
      <c r="AW1471" s="809"/>
      <c r="AX1471" s="809"/>
      <c r="AY1471" s="809"/>
      <c r="AZ1471" s="809"/>
      <c r="BA1471" s="809"/>
      <c r="BB1471" s="809"/>
      <c r="BC1471" s="809"/>
      <c r="BD1471" s="809"/>
      <c r="BE1471" s="809"/>
      <c r="BF1471" s="809"/>
      <c r="BG1471" s="809"/>
      <c r="BH1471" s="809"/>
      <c r="BI1471" s="809"/>
      <c r="BJ1471" s="809"/>
      <c r="BK1471" s="809"/>
      <c r="BL1471" s="809"/>
      <c r="BM1471" s="809"/>
      <c r="BN1471" s="809"/>
    </row>
    <row r="1472" spans="1:66">
      <c r="A1472" s="809"/>
      <c r="B1472" s="809"/>
      <c r="C1472" s="809"/>
      <c r="D1472" s="809"/>
      <c r="E1472" s="809"/>
      <c r="F1472" s="809"/>
      <c r="G1472" s="809"/>
      <c r="H1472" s="809"/>
      <c r="I1472" s="809"/>
      <c r="J1472" s="809"/>
      <c r="K1472" s="809"/>
      <c r="L1472" s="809"/>
      <c r="M1472" s="809"/>
      <c r="N1472" s="809"/>
      <c r="O1472" s="809"/>
      <c r="P1472" s="809"/>
      <c r="Q1472" s="809"/>
      <c r="R1472" s="809"/>
      <c r="S1472" s="809"/>
      <c r="T1472" s="809"/>
      <c r="U1472" s="809"/>
      <c r="V1472" s="809"/>
      <c r="W1472" s="809"/>
      <c r="X1472" s="809"/>
      <c r="Y1472" s="809"/>
      <c r="Z1472" s="809"/>
      <c r="AA1472" s="809"/>
      <c r="AB1472" s="809"/>
      <c r="AC1472" s="809"/>
      <c r="AD1472" s="809"/>
      <c r="AE1472" s="809"/>
      <c r="AF1472" s="809"/>
      <c r="AG1472" s="809"/>
      <c r="AH1472" s="809"/>
      <c r="AI1472" s="809"/>
      <c r="AJ1472" s="809"/>
      <c r="AK1472" s="809"/>
      <c r="AL1472" s="809"/>
      <c r="AM1472" s="809"/>
      <c r="AN1472" s="809"/>
      <c r="AO1472" s="809"/>
      <c r="AP1472" s="809"/>
      <c r="AQ1472" s="809"/>
      <c r="AR1472" s="809"/>
      <c r="AS1472" s="809"/>
      <c r="AT1472" s="809"/>
      <c r="AU1472" s="809"/>
      <c r="AV1472" s="809"/>
      <c r="AW1472" s="809"/>
      <c r="AX1472" s="809"/>
      <c r="AY1472" s="809"/>
      <c r="AZ1472" s="809"/>
      <c r="BA1472" s="809"/>
      <c r="BB1472" s="809"/>
      <c r="BC1472" s="809"/>
      <c r="BD1472" s="809"/>
      <c r="BE1472" s="809"/>
      <c r="BF1472" s="809"/>
      <c r="BG1472" s="809"/>
      <c r="BH1472" s="809"/>
      <c r="BI1472" s="809"/>
      <c r="BJ1472" s="809"/>
      <c r="BK1472" s="809"/>
      <c r="BL1472" s="809"/>
      <c r="BM1472" s="809"/>
      <c r="BN1472" s="809"/>
    </row>
    <row r="1473" spans="1:66">
      <c r="A1473" s="809"/>
      <c r="B1473" s="809"/>
      <c r="C1473" s="809"/>
      <c r="D1473" s="809"/>
      <c r="E1473" s="809"/>
      <c r="F1473" s="809"/>
      <c r="G1473" s="809"/>
      <c r="H1473" s="809"/>
      <c r="I1473" s="809"/>
      <c r="J1473" s="809"/>
      <c r="K1473" s="809"/>
      <c r="L1473" s="809"/>
      <c r="M1473" s="809"/>
      <c r="N1473" s="809"/>
      <c r="O1473" s="809"/>
      <c r="P1473" s="809"/>
      <c r="Q1473" s="809"/>
      <c r="R1473" s="809"/>
      <c r="S1473" s="809"/>
      <c r="T1473" s="809"/>
      <c r="U1473" s="809"/>
      <c r="V1473" s="809"/>
      <c r="W1473" s="809"/>
      <c r="X1473" s="809"/>
      <c r="Y1473" s="809"/>
      <c r="Z1473" s="809"/>
      <c r="AA1473" s="809"/>
      <c r="AB1473" s="809"/>
      <c r="AC1473" s="809"/>
      <c r="AD1473" s="809"/>
      <c r="AE1473" s="809"/>
      <c r="AF1473" s="809"/>
      <c r="AG1473" s="809"/>
      <c r="AH1473" s="809"/>
      <c r="AI1473" s="809"/>
      <c r="AJ1473" s="809"/>
      <c r="AK1473" s="809"/>
      <c r="AL1473" s="809"/>
      <c r="AM1473" s="809"/>
      <c r="AN1473" s="809"/>
      <c r="AO1473" s="809"/>
      <c r="AP1473" s="809"/>
      <c r="AQ1473" s="809"/>
      <c r="AR1473" s="809"/>
      <c r="AS1473" s="809"/>
      <c r="AT1473" s="809"/>
      <c r="AU1473" s="809"/>
      <c r="AV1473" s="809"/>
      <c r="AW1473" s="809"/>
      <c r="AX1473" s="809"/>
      <c r="AY1473" s="809"/>
      <c r="AZ1473" s="809"/>
      <c r="BA1473" s="809"/>
      <c r="BB1473" s="809"/>
      <c r="BC1473" s="809"/>
      <c r="BD1473" s="809"/>
      <c r="BE1473" s="809"/>
      <c r="BF1473" s="809"/>
      <c r="BG1473" s="809"/>
      <c r="BH1473" s="809"/>
      <c r="BI1473" s="809"/>
      <c r="BJ1473" s="809"/>
      <c r="BK1473" s="809"/>
      <c r="BL1473" s="809"/>
      <c r="BM1473" s="809"/>
      <c r="BN1473" s="809"/>
    </row>
    <row r="1474" spans="1:66">
      <c r="A1474" s="809"/>
      <c r="B1474" s="809"/>
      <c r="C1474" s="809"/>
      <c r="D1474" s="809"/>
      <c r="E1474" s="809"/>
      <c r="F1474" s="809"/>
      <c r="G1474" s="809"/>
      <c r="H1474" s="809"/>
      <c r="I1474" s="809"/>
      <c r="J1474" s="809"/>
      <c r="K1474" s="809"/>
      <c r="L1474" s="809"/>
      <c r="M1474" s="809"/>
      <c r="N1474" s="809"/>
      <c r="O1474" s="809"/>
      <c r="P1474" s="809"/>
      <c r="Q1474" s="809"/>
      <c r="R1474" s="809"/>
      <c r="S1474" s="809"/>
      <c r="T1474" s="809"/>
      <c r="U1474" s="809"/>
      <c r="V1474" s="809"/>
      <c r="W1474" s="809"/>
      <c r="X1474" s="809"/>
      <c r="Y1474" s="809"/>
      <c r="Z1474" s="809"/>
      <c r="AA1474" s="809"/>
      <c r="AB1474" s="809"/>
      <c r="AC1474" s="809"/>
      <c r="AD1474" s="809"/>
      <c r="AE1474" s="809"/>
      <c r="AF1474" s="809"/>
      <c r="AG1474" s="809"/>
      <c r="AH1474" s="809"/>
      <c r="AI1474" s="809"/>
      <c r="AJ1474" s="809"/>
      <c r="AK1474" s="809"/>
      <c r="AL1474" s="809"/>
      <c r="AM1474" s="809"/>
      <c r="AN1474" s="809"/>
      <c r="AO1474" s="809"/>
      <c r="AP1474" s="809"/>
      <c r="AQ1474" s="809"/>
      <c r="AR1474" s="809"/>
      <c r="AS1474" s="809"/>
      <c r="AT1474" s="809"/>
      <c r="AU1474" s="809"/>
      <c r="AV1474" s="809"/>
      <c r="AW1474" s="809"/>
      <c r="AX1474" s="809"/>
      <c r="AY1474" s="809"/>
      <c r="AZ1474" s="809"/>
      <c r="BA1474" s="809"/>
      <c r="BB1474" s="809"/>
      <c r="BC1474" s="809"/>
      <c r="BD1474" s="809"/>
      <c r="BE1474" s="809"/>
      <c r="BF1474" s="809"/>
      <c r="BG1474" s="809"/>
      <c r="BH1474" s="809"/>
      <c r="BI1474" s="809"/>
      <c r="BJ1474" s="809"/>
      <c r="BK1474" s="809"/>
      <c r="BL1474" s="809"/>
      <c r="BM1474" s="809"/>
      <c r="BN1474" s="809"/>
    </row>
    <row r="1475" spans="1:66">
      <c r="A1475" s="809"/>
      <c r="B1475" s="809"/>
      <c r="C1475" s="809"/>
      <c r="D1475" s="809"/>
      <c r="E1475" s="809"/>
      <c r="F1475" s="809"/>
      <c r="G1475" s="809"/>
      <c r="H1475" s="809"/>
      <c r="I1475" s="809"/>
      <c r="J1475" s="809"/>
      <c r="K1475" s="809"/>
      <c r="L1475" s="809"/>
      <c r="M1475" s="809"/>
      <c r="N1475" s="809"/>
      <c r="O1475" s="809"/>
      <c r="P1475" s="809"/>
      <c r="Q1475" s="809"/>
      <c r="R1475" s="809"/>
      <c r="S1475" s="809"/>
      <c r="T1475" s="809"/>
      <c r="U1475" s="809"/>
      <c r="V1475" s="809"/>
      <c r="W1475" s="809"/>
      <c r="X1475" s="809"/>
      <c r="Y1475" s="809"/>
      <c r="Z1475" s="809"/>
      <c r="AA1475" s="809"/>
      <c r="AB1475" s="809"/>
      <c r="AC1475" s="809"/>
      <c r="AD1475" s="809"/>
      <c r="AE1475" s="809"/>
      <c r="AF1475" s="809"/>
      <c r="AG1475" s="809"/>
      <c r="AH1475" s="809"/>
      <c r="AI1475" s="809"/>
      <c r="AJ1475" s="809"/>
      <c r="AK1475" s="809"/>
      <c r="AL1475" s="809"/>
      <c r="AM1475" s="809"/>
      <c r="AN1475" s="809"/>
      <c r="AO1475" s="809"/>
      <c r="AP1475" s="809"/>
      <c r="AQ1475" s="809"/>
      <c r="AR1475" s="809"/>
      <c r="AS1475" s="809"/>
      <c r="AT1475" s="809"/>
      <c r="AU1475" s="809"/>
      <c r="AV1475" s="809"/>
      <c r="AW1475" s="809"/>
      <c r="AX1475" s="809"/>
      <c r="AY1475" s="809"/>
      <c r="AZ1475" s="809"/>
      <c r="BA1475" s="809"/>
      <c r="BB1475" s="809"/>
      <c r="BC1475" s="809"/>
      <c r="BD1475" s="809"/>
      <c r="BE1475" s="809"/>
      <c r="BF1475" s="809"/>
      <c r="BG1475" s="809"/>
      <c r="BH1475" s="809"/>
      <c r="BI1475" s="809"/>
      <c r="BJ1475" s="809"/>
      <c r="BK1475" s="809"/>
      <c r="BL1475" s="809"/>
      <c r="BM1475" s="809"/>
      <c r="BN1475" s="809"/>
    </row>
    <row r="1476" spans="1:66">
      <c r="A1476" s="809"/>
      <c r="B1476" s="809"/>
      <c r="C1476" s="809"/>
      <c r="D1476" s="809"/>
      <c r="E1476" s="809"/>
      <c r="F1476" s="809"/>
      <c r="G1476" s="809"/>
      <c r="H1476" s="809"/>
      <c r="I1476" s="809"/>
      <c r="J1476" s="809"/>
      <c r="K1476" s="809"/>
      <c r="L1476" s="809"/>
      <c r="M1476" s="809"/>
      <c r="N1476" s="809"/>
      <c r="O1476" s="809"/>
      <c r="P1476" s="809"/>
      <c r="Q1476" s="809"/>
      <c r="R1476" s="809"/>
      <c r="S1476" s="809"/>
      <c r="T1476" s="809"/>
      <c r="U1476" s="809"/>
      <c r="V1476" s="809"/>
      <c r="W1476" s="809"/>
      <c r="X1476" s="809"/>
      <c r="Y1476" s="809"/>
      <c r="Z1476" s="809"/>
      <c r="AA1476" s="809"/>
      <c r="AB1476" s="809"/>
      <c r="AC1476" s="809"/>
      <c r="AD1476" s="809"/>
      <c r="AE1476" s="809"/>
      <c r="AF1476" s="809"/>
      <c r="AG1476" s="809"/>
      <c r="AH1476" s="809"/>
      <c r="AI1476" s="809"/>
      <c r="AJ1476" s="809"/>
      <c r="AK1476" s="809"/>
      <c r="AL1476" s="809"/>
      <c r="AM1476" s="809"/>
      <c r="AN1476" s="809"/>
      <c r="AO1476" s="809"/>
      <c r="AP1476" s="809"/>
      <c r="AQ1476" s="809"/>
      <c r="AR1476" s="809"/>
      <c r="AS1476" s="809"/>
      <c r="AT1476" s="809"/>
      <c r="AU1476" s="809"/>
      <c r="AV1476" s="809"/>
      <c r="AW1476" s="809"/>
      <c r="AX1476" s="809"/>
      <c r="AY1476" s="809"/>
      <c r="AZ1476" s="809"/>
      <c r="BA1476" s="809"/>
      <c r="BB1476" s="809"/>
      <c r="BC1476" s="809"/>
      <c r="BD1476" s="809"/>
      <c r="BE1476" s="809"/>
      <c r="BF1476" s="809"/>
      <c r="BG1476" s="809"/>
      <c r="BH1476" s="809"/>
      <c r="BI1476" s="809"/>
      <c r="BJ1476" s="809"/>
      <c r="BK1476" s="809"/>
      <c r="BL1476" s="809"/>
      <c r="BM1476" s="809"/>
      <c r="BN1476" s="809"/>
    </row>
    <row r="1477" spans="1:66">
      <c r="A1477" s="809"/>
      <c r="B1477" s="809"/>
      <c r="C1477" s="809"/>
      <c r="D1477" s="809"/>
      <c r="E1477" s="809"/>
      <c r="F1477" s="809"/>
      <c r="G1477" s="809"/>
      <c r="H1477" s="809"/>
      <c r="I1477" s="809"/>
      <c r="J1477" s="809"/>
      <c r="K1477" s="809"/>
      <c r="L1477" s="809"/>
      <c r="M1477" s="809"/>
      <c r="N1477" s="809"/>
      <c r="O1477" s="809"/>
      <c r="P1477" s="809"/>
      <c r="Q1477" s="809"/>
      <c r="R1477" s="809"/>
      <c r="S1477" s="809"/>
      <c r="T1477" s="809"/>
      <c r="U1477" s="809"/>
      <c r="V1477" s="809"/>
      <c r="W1477" s="809"/>
      <c r="X1477" s="809"/>
      <c r="Y1477" s="809"/>
      <c r="Z1477" s="809"/>
      <c r="AA1477" s="809"/>
      <c r="AB1477" s="809"/>
      <c r="AC1477" s="809"/>
      <c r="AD1477" s="809"/>
      <c r="AE1477" s="809"/>
      <c r="AF1477" s="809"/>
      <c r="AG1477" s="809"/>
      <c r="AH1477" s="809"/>
      <c r="AI1477" s="809"/>
      <c r="AJ1477" s="809"/>
      <c r="AK1477" s="809"/>
      <c r="AL1477" s="809"/>
      <c r="AM1477" s="809"/>
      <c r="AN1477" s="809"/>
      <c r="AO1477" s="809"/>
      <c r="AP1477" s="809"/>
      <c r="AQ1477" s="809"/>
      <c r="AR1477" s="809"/>
      <c r="AS1477" s="809"/>
      <c r="AT1477" s="809"/>
      <c r="AU1477" s="809"/>
      <c r="AV1477" s="809"/>
      <c r="AW1477" s="809"/>
      <c r="AX1477" s="809"/>
      <c r="AY1477" s="809"/>
      <c r="AZ1477" s="809"/>
      <c r="BA1477" s="809"/>
      <c r="BB1477" s="809"/>
      <c r="BC1477" s="809"/>
      <c r="BD1477" s="809"/>
      <c r="BE1477" s="809"/>
      <c r="BF1477" s="809"/>
      <c r="BG1477" s="809"/>
      <c r="BH1477" s="809"/>
      <c r="BI1477" s="809"/>
      <c r="BJ1477" s="809"/>
      <c r="BK1477" s="809"/>
      <c r="BL1477" s="809"/>
      <c r="BM1477" s="809"/>
      <c r="BN1477" s="809"/>
    </row>
    <row r="1478" spans="1:66">
      <c r="A1478" s="809"/>
      <c r="B1478" s="809"/>
      <c r="C1478" s="809"/>
      <c r="D1478" s="809"/>
      <c r="E1478" s="809"/>
      <c r="F1478" s="809"/>
      <c r="G1478" s="809"/>
      <c r="H1478" s="809"/>
      <c r="I1478" s="809"/>
      <c r="J1478" s="809"/>
      <c r="K1478" s="809"/>
      <c r="L1478" s="809"/>
      <c r="M1478" s="809"/>
      <c r="N1478" s="809"/>
      <c r="O1478" s="809"/>
      <c r="P1478" s="809"/>
      <c r="Q1478" s="809"/>
      <c r="R1478" s="809"/>
      <c r="S1478" s="809"/>
      <c r="T1478" s="809"/>
      <c r="U1478" s="809"/>
      <c r="V1478" s="809"/>
      <c r="W1478" s="809"/>
      <c r="X1478" s="809"/>
      <c r="Y1478" s="809"/>
      <c r="Z1478" s="809"/>
      <c r="AA1478" s="809"/>
      <c r="AB1478" s="809"/>
      <c r="AC1478" s="809"/>
      <c r="AD1478" s="809"/>
      <c r="AE1478" s="809"/>
      <c r="AF1478" s="809"/>
      <c r="AG1478" s="809"/>
      <c r="AH1478" s="809"/>
      <c r="AI1478" s="809"/>
      <c r="AJ1478" s="809"/>
      <c r="AK1478" s="809"/>
      <c r="AL1478" s="809"/>
      <c r="AM1478" s="809"/>
      <c r="AN1478" s="809"/>
      <c r="AO1478" s="809"/>
      <c r="AP1478" s="809"/>
      <c r="AQ1478" s="809"/>
      <c r="AR1478" s="809"/>
      <c r="AS1478" s="809"/>
      <c r="AT1478" s="809"/>
      <c r="AU1478" s="809"/>
      <c r="AV1478" s="809"/>
      <c r="AW1478" s="809"/>
      <c r="AX1478" s="809"/>
      <c r="AY1478" s="809"/>
      <c r="AZ1478" s="809"/>
      <c r="BA1478" s="809"/>
      <c r="BB1478" s="809"/>
      <c r="BC1478" s="809"/>
      <c r="BD1478" s="809"/>
      <c r="BE1478" s="809"/>
      <c r="BF1478" s="809"/>
      <c r="BG1478" s="809"/>
      <c r="BH1478" s="809"/>
      <c r="BI1478" s="809"/>
      <c r="BJ1478" s="809"/>
      <c r="BK1478" s="809"/>
      <c r="BL1478" s="809"/>
      <c r="BM1478" s="809"/>
      <c r="BN1478" s="809"/>
    </row>
    <row r="1479" spans="1:66">
      <c r="A1479" s="809"/>
      <c r="B1479" s="809"/>
      <c r="C1479" s="809"/>
      <c r="D1479" s="809"/>
      <c r="E1479" s="809"/>
      <c r="F1479" s="809"/>
      <c r="G1479" s="809"/>
      <c r="H1479" s="809"/>
      <c r="I1479" s="809"/>
      <c r="J1479" s="809"/>
      <c r="K1479" s="809"/>
      <c r="L1479" s="809"/>
      <c r="M1479" s="809"/>
      <c r="N1479" s="809"/>
      <c r="O1479" s="809"/>
      <c r="P1479" s="809"/>
      <c r="Q1479" s="809"/>
      <c r="R1479" s="809"/>
      <c r="S1479" s="809"/>
      <c r="T1479" s="809"/>
      <c r="U1479" s="809"/>
      <c r="V1479" s="809"/>
      <c r="W1479" s="809"/>
      <c r="X1479" s="809"/>
      <c r="Y1479" s="809"/>
      <c r="Z1479" s="809"/>
      <c r="AA1479" s="809"/>
      <c r="AB1479" s="809"/>
      <c r="AC1479" s="809"/>
      <c r="AD1479" s="809"/>
      <c r="AE1479" s="809"/>
      <c r="AF1479" s="809"/>
      <c r="AG1479" s="809"/>
      <c r="AH1479" s="809"/>
      <c r="AI1479" s="809"/>
      <c r="AJ1479" s="809"/>
      <c r="AK1479" s="809"/>
      <c r="AL1479" s="809"/>
      <c r="AM1479" s="809"/>
      <c r="AN1479" s="809"/>
      <c r="AO1479" s="809"/>
      <c r="AP1479" s="809"/>
      <c r="AQ1479" s="809"/>
      <c r="AR1479" s="809"/>
      <c r="AS1479" s="809"/>
      <c r="AT1479" s="809"/>
      <c r="AU1479" s="809"/>
      <c r="AV1479" s="809"/>
      <c r="AW1479" s="809"/>
      <c r="AX1479" s="809"/>
      <c r="AY1479" s="809"/>
      <c r="AZ1479" s="809"/>
      <c r="BA1479" s="809"/>
      <c r="BB1479" s="809"/>
      <c r="BC1479" s="809"/>
      <c r="BD1479" s="809"/>
      <c r="BE1479" s="809"/>
      <c r="BF1479" s="809"/>
      <c r="BG1479" s="809"/>
      <c r="BH1479" s="809"/>
      <c r="BI1479" s="809"/>
      <c r="BJ1479" s="809"/>
      <c r="BK1479" s="809"/>
      <c r="BL1479" s="809"/>
      <c r="BM1479" s="809"/>
      <c r="BN1479" s="809"/>
    </row>
    <row r="1480" spans="1:66">
      <c r="A1480" s="809"/>
      <c r="B1480" s="809"/>
      <c r="C1480" s="809"/>
      <c r="D1480" s="809"/>
      <c r="E1480" s="809"/>
      <c r="F1480" s="809"/>
      <c r="G1480" s="809"/>
      <c r="H1480" s="809"/>
      <c r="I1480" s="809"/>
      <c r="J1480" s="809"/>
      <c r="K1480" s="809"/>
      <c r="L1480" s="809"/>
      <c r="M1480" s="809"/>
      <c r="N1480" s="809"/>
      <c r="O1480" s="809"/>
      <c r="P1480" s="809"/>
      <c r="Q1480" s="809"/>
      <c r="R1480" s="809"/>
      <c r="S1480" s="809"/>
      <c r="T1480" s="809"/>
      <c r="U1480" s="809"/>
      <c r="V1480" s="809"/>
      <c r="W1480" s="809"/>
      <c r="X1480" s="809"/>
      <c r="Y1480" s="809"/>
      <c r="Z1480" s="809"/>
      <c r="AA1480" s="809"/>
      <c r="AB1480" s="809"/>
      <c r="AC1480" s="809"/>
      <c r="AD1480" s="809"/>
      <c r="AE1480" s="809"/>
      <c r="AF1480" s="809"/>
      <c r="AG1480" s="809"/>
      <c r="AH1480" s="809"/>
      <c r="AI1480" s="809"/>
      <c r="AJ1480" s="809"/>
      <c r="AK1480" s="809"/>
      <c r="AL1480" s="809"/>
      <c r="AM1480" s="809"/>
      <c r="AN1480" s="809"/>
      <c r="AO1480" s="809"/>
      <c r="AP1480" s="809"/>
      <c r="AQ1480" s="809"/>
      <c r="AR1480" s="809"/>
      <c r="AS1480" s="809"/>
      <c r="AT1480" s="809"/>
      <c r="AU1480" s="809"/>
      <c r="AV1480" s="809"/>
      <c r="AW1480" s="809"/>
      <c r="AX1480" s="809"/>
      <c r="AY1480" s="809"/>
      <c r="AZ1480" s="809"/>
      <c r="BA1480" s="809"/>
      <c r="BB1480" s="809"/>
      <c r="BC1480" s="809"/>
      <c r="BD1480" s="809"/>
      <c r="BE1480" s="809"/>
      <c r="BF1480" s="809"/>
      <c r="BG1480" s="809"/>
      <c r="BH1480" s="809"/>
      <c r="BI1480" s="809"/>
      <c r="BJ1480" s="809"/>
      <c r="BK1480" s="809"/>
      <c r="BL1480" s="809"/>
      <c r="BM1480" s="809"/>
      <c r="BN1480" s="809"/>
    </row>
    <row r="1481" spans="1:66">
      <c r="A1481" s="809"/>
      <c r="B1481" s="809"/>
      <c r="C1481" s="809"/>
      <c r="D1481" s="809"/>
      <c r="E1481" s="809"/>
      <c r="F1481" s="809"/>
      <c r="G1481" s="809"/>
      <c r="H1481" s="809"/>
      <c r="I1481" s="809"/>
      <c r="J1481" s="809"/>
      <c r="K1481" s="809"/>
      <c r="L1481" s="809"/>
      <c r="M1481" s="809"/>
      <c r="N1481" s="809"/>
      <c r="O1481" s="809"/>
      <c r="P1481" s="809"/>
      <c r="Q1481" s="809"/>
      <c r="R1481" s="809"/>
      <c r="S1481" s="809"/>
      <c r="T1481" s="809"/>
      <c r="U1481" s="809"/>
      <c r="V1481" s="809"/>
      <c r="W1481" s="809"/>
      <c r="X1481" s="809"/>
      <c r="Y1481" s="809"/>
      <c r="Z1481" s="809"/>
      <c r="AA1481" s="809"/>
      <c r="AB1481" s="809"/>
      <c r="AC1481" s="809"/>
      <c r="AD1481" s="809"/>
      <c r="AE1481" s="809"/>
      <c r="AF1481" s="809"/>
      <c r="AG1481" s="809"/>
      <c r="AH1481" s="809"/>
      <c r="AI1481" s="809"/>
      <c r="AJ1481" s="809"/>
      <c r="AK1481" s="809"/>
      <c r="AL1481" s="809"/>
      <c r="AM1481" s="809"/>
      <c r="AN1481" s="809"/>
      <c r="AO1481" s="809"/>
      <c r="AP1481" s="809"/>
      <c r="AQ1481" s="809"/>
      <c r="AR1481" s="809"/>
      <c r="AS1481" s="809"/>
      <c r="AT1481" s="809"/>
      <c r="AU1481" s="809"/>
      <c r="AV1481" s="809"/>
      <c r="AW1481" s="809"/>
      <c r="AX1481" s="809"/>
      <c r="AY1481" s="809"/>
      <c r="AZ1481" s="809"/>
      <c r="BA1481" s="809"/>
      <c r="BB1481" s="809"/>
      <c r="BC1481" s="809"/>
      <c r="BD1481" s="809"/>
      <c r="BE1481" s="809"/>
      <c r="BF1481" s="809"/>
      <c r="BG1481" s="809"/>
      <c r="BH1481" s="809"/>
      <c r="BI1481" s="809"/>
      <c r="BJ1481" s="809"/>
      <c r="BK1481" s="809"/>
      <c r="BL1481" s="809"/>
      <c r="BM1481" s="809"/>
      <c r="BN1481" s="809"/>
    </row>
    <row r="1482" spans="1:66">
      <c r="A1482" s="809"/>
      <c r="B1482" s="809"/>
      <c r="C1482" s="809"/>
      <c r="D1482" s="809"/>
      <c r="E1482" s="809"/>
      <c r="F1482" s="809"/>
      <c r="G1482" s="809"/>
      <c r="H1482" s="809"/>
      <c r="I1482" s="809"/>
      <c r="J1482" s="809"/>
      <c r="K1482" s="809"/>
      <c r="L1482" s="809"/>
      <c r="M1482" s="809"/>
      <c r="N1482" s="809"/>
      <c r="O1482" s="809"/>
      <c r="P1482" s="809"/>
      <c r="Q1482" s="809"/>
      <c r="R1482" s="809"/>
      <c r="S1482" s="809"/>
      <c r="T1482" s="809"/>
      <c r="U1482" s="809"/>
      <c r="V1482" s="809"/>
      <c r="W1482" s="809"/>
      <c r="X1482" s="809"/>
      <c r="Y1482" s="809"/>
      <c r="Z1482" s="809"/>
      <c r="AA1482" s="809"/>
      <c r="AB1482" s="809"/>
      <c r="AC1482" s="809"/>
      <c r="AD1482" s="809"/>
      <c r="AE1482" s="809"/>
      <c r="AF1482" s="809"/>
      <c r="AG1482" s="809"/>
      <c r="AH1482" s="809"/>
      <c r="AI1482" s="809"/>
      <c r="AJ1482" s="809"/>
      <c r="AK1482" s="809"/>
      <c r="AL1482" s="809"/>
      <c r="AM1482" s="809"/>
      <c r="AN1482" s="809"/>
      <c r="AO1482" s="809"/>
      <c r="AP1482" s="809"/>
      <c r="AQ1482" s="809"/>
      <c r="AR1482" s="809"/>
      <c r="AS1482" s="809"/>
      <c r="AT1482" s="809"/>
      <c r="AU1482" s="809"/>
      <c r="AV1482" s="809"/>
      <c r="AW1482" s="809"/>
      <c r="AX1482" s="809"/>
      <c r="AY1482" s="809"/>
      <c r="AZ1482" s="809"/>
      <c r="BA1482" s="809"/>
      <c r="BB1482" s="809"/>
      <c r="BC1482" s="809"/>
      <c r="BD1482" s="809"/>
      <c r="BE1482" s="809"/>
      <c r="BF1482" s="809"/>
      <c r="BG1482" s="809"/>
      <c r="BH1482" s="809"/>
      <c r="BI1482" s="809"/>
      <c r="BJ1482" s="809"/>
      <c r="BK1482" s="809"/>
      <c r="BL1482" s="809"/>
      <c r="BM1482" s="809"/>
      <c r="BN1482" s="809"/>
    </row>
    <row r="1483" spans="1:66">
      <c r="A1483" s="809"/>
      <c r="B1483" s="809"/>
      <c r="C1483" s="809"/>
      <c r="D1483" s="809"/>
      <c r="E1483" s="809"/>
      <c r="F1483" s="809"/>
      <c r="G1483" s="809"/>
      <c r="H1483" s="809"/>
      <c r="I1483" s="809"/>
      <c r="J1483" s="809"/>
      <c r="K1483" s="809"/>
      <c r="L1483" s="809"/>
      <c r="M1483" s="809"/>
      <c r="N1483" s="809"/>
      <c r="O1483" s="809"/>
      <c r="P1483" s="809"/>
      <c r="Q1483" s="809"/>
      <c r="R1483" s="809"/>
      <c r="S1483" s="809"/>
      <c r="T1483" s="809"/>
      <c r="U1483" s="809"/>
      <c r="V1483" s="809"/>
      <c r="W1483" s="809"/>
      <c r="X1483" s="809"/>
      <c r="Y1483" s="809"/>
      <c r="Z1483" s="809"/>
      <c r="AA1483" s="809"/>
      <c r="AB1483" s="809"/>
      <c r="AC1483" s="809"/>
      <c r="AD1483" s="809"/>
      <c r="AE1483" s="809"/>
      <c r="AF1483" s="809"/>
      <c r="AG1483" s="809"/>
      <c r="AH1483" s="809"/>
      <c r="AI1483" s="809"/>
      <c r="AJ1483" s="809"/>
      <c r="AK1483" s="809"/>
      <c r="AL1483" s="809"/>
      <c r="AM1483" s="809"/>
      <c r="AN1483" s="809"/>
      <c r="AO1483" s="809"/>
      <c r="AP1483" s="809"/>
      <c r="AQ1483" s="809"/>
      <c r="AR1483" s="809"/>
      <c r="AS1483" s="809"/>
      <c r="AT1483" s="809"/>
      <c r="AU1483" s="809"/>
      <c r="AV1483" s="809"/>
      <c r="AW1483" s="809"/>
      <c r="AX1483" s="809"/>
      <c r="AY1483" s="809"/>
      <c r="AZ1483" s="809"/>
      <c r="BA1483" s="809"/>
      <c r="BB1483" s="809"/>
      <c r="BC1483" s="809"/>
      <c r="BD1483" s="809"/>
      <c r="BE1483" s="809"/>
      <c r="BF1483" s="809"/>
      <c r="BG1483" s="809"/>
      <c r="BH1483" s="809"/>
      <c r="BI1483" s="809"/>
      <c r="BJ1483" s="809"/>
      <c r="BK1483" s="809"/>
      <c r="BL1483" s="809"/>
      <c r="BM1483" s="809"/>
      <c r="BN1483" s="809"/>
    </row>
    <row r="1484" spans="1:66">
      <c r="A1484" s="809"/>
      <c r="B1484" s="809"/>
      <c r="C1484" s="809"/>
      <c r="D1484" s="809"/>
      <c r="E1484" s="809"/>
      <c r="F1484" s="809"/>
      <c r="G1484" s="809"/>
      <c r="H1484" s="809"/>
      <c r="I1484" s="809"/>
      <c r="J1484" s="809"/>
      <c r="K1484" s="809"/>
      <c r="L1484" s="809"/>
      <c r="M1484" s="809"/>
      <c r="N1484" s="809"/>
      <c r="O1484" s="809"/>
      <c r="P1484" s="809"/>
      <c r="Q1484" s="809"/>
      <c r="R1484" s="809"/>
      <c r="S1484" s="809"/>
      <c r="T1484" s="809"/>
      <c r="U1484" s="809"/>
      <c r="V1484" s="809"/>
      <c r="W1484" s="809"/>
      <c r="X1484" s="809"/>
      <c r="Y1484" s="809"/>
      <c r="Z1484" s="809"/>
      <c r="AA1484" s="809"/>
      <c r="AB1484" s="809"/>
      <c r="AC1484" s="809"/>
      <c r="AD1484" s="809"/>
      <c r="AE1484" s="809"/>
      <c r="AF1484" s="809"/>
      <c r="AG1484" s="809"/>
      <c r="AH1484" s="809"/>
      <c r="AI1484" s="809"/>
      <c r="AJ1484" s="809"/>
      <c r="AK1484" s="809"/>
      <c r="AL1484" s="809"/>
      <c r="AM1484" s="809"/>
      <c r="AN1484" s="809"/>
      <c r="AO1484" s="809"/>
      <c r="AP1484" s="809"/>
      <c r="AQ1484" s="809"/>
      <c r="AR1484" s="809"/>
      <c r="AS1484" s="809"/>
      <c r="AT1484" s="809"/>
      <c r="AU1484" s="809"/>
      <c r="AV1484" s="809"/>
      <c r="AW1484" s="809"/>
      <c r="AX1484" s="809"/>
      <c r="AY1484" s="809"/>
      <c r="AZ1484" s="809"/>
      <c r="BA1484" s="809"/>
      <c r="BB1484" s="809"/>
      <c r="BC1484" s="809"/>
      <c r="BD1484" s="809"/>
      <c r="BE1484" s="809"/>
      <c r="BF1484" s="809"/>
      <c r="BG1484" s="809"/>
      <c r="BH1484" s="809"/>
      <c r="BI1484" s="809"/>
      <c r="BJ1484" s="809"/>
      <c r="BK1484" s="809"/>
      <c r="BL1484" s="809"/>
      <c r="BM1484" s="809"/>
      <c r="BN1484" s="809"/>
    </row>
    <row r="1485" spans="1:66">
      <c r="A1485" s="809"/>
      <c r="B1485" s="809"/>
      <c r="C1485" s="809"/>
      <c r="D1485" s="809"/>
      <c r="E1485" s="809"/>
      <c r="F1485" s="809"/>
      <c r="G1485" s="809"/>
      <c r="H1485" s="809"/>
      <c r="I1485" s="809"/>
      <c r="J1485" s="809"/>
      <c r="K1485" s="809"/>
      <c r="L1485" s="809"/>
      <c r="M1485" s="809"/>
      <c r="N1485" s="809"/>
      <c r="O1485" s="809"/>
      <c r="P1485" s="809"/>
      <c r="Q1485" s="809"/>
      <c r="R1485" s="809"/>
      <c r="S1485" s="809"/>
      <c r="T1485" s="809"/>
      <c r="U1485" s="809"/>
      <c r="V1485" s="809"/>
      <c r="W1485" s="809"/>
      <c r="X1485" s="809"/>
      <c r="Y1485" s="809"/>
      <c r="Z1485" s="809"/>
      <c r="AA1485" s="809"/>
      <c r="AB1485" s="809"/>
      <c r="AC1485" s="809"/>
      <c r="AD1485" s="809"/>
      <c r="AE1485" s="809"/>
      <c r="AF1485" s="809"/>
      <c r="AG1485" s="809"/>
      <c r="AH1485" s="809"/>
      <c r="AI1485" s="809"/>
      <c r="AJ1485" s="809"/>
      <c r="AK1485" s="809"/>
      <c r="AL1485" s="809"/>
      <c r="AM1485" s="809"/>
      <c r="AN1485" s="809"/>
      <c r="AO1485" s="809"/>
      <c r="AP1485" s="809"/>
      <c r="AQ1485" s="809"/>
      <c r="AR1485" s="809"/>
      <c r="AS1485" s="809"/>
      <c r="AT1485" s="809"/>
      <c r="AU1485" s="809"/>
      <c r="AV1485" s="809"/>
      <c r="AW1485" s="809"/>
      <c r="AX1485" s="809"/>
      <c r="AY1485" s="809"/>
      <c r="AZ1485" s="809"/>
      <c r="BA1485" s="809"/>
      <c r="BB1485" s="809"/>
      <c r="BC1485" s="809"/>
      <c r="BD1485" s="809"/>
      <c r="BE1485" s="809"/>
      <c r="BF1485" s="809"/>
      <c r="BG1485" s="809"/>
      <c r="BH1485" s="809"/>
      <c r="BI1485" s="809"/>
      <c r="BJ1485" s="809"/>
      <c r="BK1485" s="809"/>
      <c r="BL1485" s="809"/>
      <c r="BM1485" s="809"/>
      <c r="BN1485" s="809"/>
    </row>
    <row r="1486" spans="1:66">
      <c r="A1486" s="809"/>
      <c r="B1486" s="809"/>
      <c r="C1486" s="809"/>
      <c r="D1486" s="809"/>
      <c r="E1486" s="809"/>
      <c r="F1486" s="809"/>
      <c r="G1486" s="809"/>
      <c r="H1486" s="809"/>
      <c r="I1486" s="809"/>
      <c r="J1486" s="809"/>
      <c r="K1486" s="809"/>
      <c r="L1486" s="809"/>
      <c r="M1486" s="809"/>
      <c r="N1486" s="809"/>
      <c r="O1486" s="809"/>
      <c r="P1486" s="809"/>
      <c r="Q1486" s="809"/>
      <c r="R1486" s="809"/>
      <c r="S1486" s="809"/>
      <c r="T1486" s="809"/>
      <c r="U1486" s="809"/>
      <c r="V1486" s="809"/>
      <c r="W1486" s="809"/>
      <c r="X1486" s="809"/>
      <c r="Y1486" s="809"/>
      <c r="Z1486" s="809"/>
      <c r="AA1486" s="809"/>
      <c r="AB1486" s="809"/>
      <c r="AC1486" s="809"/>
      <c r="AD1486" s="809"/>
      <c r="AE1486" s="809"/>
      <c r="AF1486" s="809"/>
      <c r="AG1486" s="809"/>
      <c r="AH1486" s="809"/>
      <c r="AI1486" s="809"/>
      <c r="AJ1486" s="809"/>
      <c r="AK1486" s="809"/>
      <c r="AL1486" s="809"/>
      <c r="AM1486" s="809"/>
      <c r="AN1486" s="809"/>
      <c r="AO1486" s="809"/>
      <c r="AP1486" s="809"/>
      <c r="AQ1486" s="809"/>
      <c r="AR1486" s="809"/>
      <c r="AS1486" s="809"/>
      <c r="AT1486" s="809"/>
      <c r="AU1486" s="809"/>
      <c r="AV1486" s="809"/>
      <c r="AW1486" s="809"/>
      <c r="AX1486" s="809"/>
      <c r="AY1486" s="809"/>
      <c r="AZ1486" s="809"/>
      <c r="BA1486" s="809"/>
      <c r="BB1486" s="809"/>
      <c r="BC1486" s="809"/>
      <c r="BD1486" s="809"/>
      <c r="BE1486" s="809"/>
      <c r="BF1486" s="809"/>
      <c r="BG1486" s="809"/>
      <c r="BH1486" s="809"/>
      <c r="BI1486" s="809"/>
      <c r="BJ1486" s="809"/>
      <c r="BK1486" s="809"/>
      <c r="BL1486" s="809"/>
      <c r="BM1486" s="809"/>
      <c r="BN1486" s="809"/>
    </row>
    <row r="1487" spans="1:66">
      <c r="A1487" s="809"/>
      <c r="B1487" s="809"/>
      <c r="C1487" s="809"/>
      <c r="D1487" s="809"/>
      <c r="E1487" s="809"/>
      <c r="F1487" s="809"/>
      <c r="G1487" s="809"/>
      <c r="H1487" s="809"/>
      <c r="I1487" s="809"/>
      <c r="J1487" s="809"/>
      <c r="K1487" s="809"/>
      <c r="L1487" s="809"/>
      <c r="M1487" s="809"/>
      <c r="N1487" s="809"/>
      <c r="O1487" s="809"/>
      <c r="P1487" s="809"/>
      <c r="Q1487" s="809"/>
      <c r="R1487" s="809"/>
      <c r="S1487" s="809"/>
      <c r="T1487" s="809"/>
      <c r="U1487" s="809"/>
      <c r="V1487" s="809"/>
      <c r="W1487" s="809"/>
      <c r="X1487" s="809"/>
      <c r="Y1487" s="809"/>
      <c r="Z1487" s="809"/>
      <c r="AA1487" s="809"/>
      <c r="AB1487" s="809"/>
      <c r="AC1487" s="809"/>
      <c r="AD1487" s="809"/>
      <c r="AE1487" s="809"/>
      <c r="AF1487" s="809"/>
      <c r="AG1487" s="809"/>
      <c r="AH1487" s="809"/>
      <c r="AI1487" s="809"/>
      <c r="AJ1487" s="809"/>
      <c r="AK1487" s="809"/>
      <c r="AL1487" s="809"/>
      <c r="AM1487" s="809"/>
      <c r="AN1487" s="809"/>
      <c r="AO1487" s="809"/>
      <c r="AP1487" s="809"/>
      <c r="AQ1487" s="809"/>
      <c r="AR1487" s="809"/>
      <c r="AS1487" s="809"/>
      <c r="AT1487" s="809"/>
      <c r="AU1487" s="809"/>
      <c r="AV1487" s="809"/>
      <c r="AW1487" s="809"/>
      <c r="AX1487" s="809"/>
      <c r="AY1487" s="809"/>
      <c r="AZ1487" s="809"/>
      <c r="BA1487" s="809"/>
      <c r="BB1487" s="809"/>
      <c r="BC1487" s="809"/>
      <c r="BD1487" s="809"/>
      <c r="BE1487" s="809"/>
      <c r="BF1487" s="809"/>
      <c r="BG1487" s="809"/>
      <c r="BH1487" s="809"/>
      <c r="BI1487" s="809"/>
      <c r="BJ1487" s="809"/>
      <c r="BK1487" s="809"/>
      <c r="BL1487" s="809"/>
      <c r="BM1487" s="809"/>
      <c r="BN1487" s="809"/>
    </row>
    <row r="1488" spans="1:66">
      <c r="A1488" s="809"/>
      <c r="B1488" s="809"/>
      <c r="C1488" s="809"/>
      <c r="D1488" s="809"/>
      <c r="E1488" s="809"/>
      <c r="F1488" s="809"/>
      <c r="G1488" s="809"/>
      <c r="H1488" s="809"/>
      <c r="I1488" s="809"/>
      <c r="J1488" s="809"/>
      <c r="K1488" s="809"/>
      <c r="L1488" s="809"/>
      <c r="M1488" s="809"/>
      <c r="N1488" s="809"/>
      <c r="O1488" s="809"/>
      <c r="P1488" s="809"/>
      <c r="Q1488" s="809"/>
      <c r="R1488" s="809"/>
      <c r="S1488" s="809"/>
      <c r="T1488" s="809"/>
      <c r="U1488" s="809"/>
      <c r="V1488" s="809"/>
      <c r="W1488" s="809"/>
      <c r="X1488" s="809"/>
      <c r="Y1488" s="809"/>
      <c r="Z1488" s="809"/>
      <c r="AA1488" s="809"/>
      <c r="AB1488" s="809"/>
      <c r="AC1488" s="809"/>
      <c r="AD1488" s="809"/>
      <c r="AE1488" s="809"/>
      <c r="AF1488" s="809"/>
      <c r="AG1488" s="809"/>
      <c r="AH1488" s="809"/>
      <c r="AI1488" s="809"/>
      <c r="AJ1488" s="809"/>
      <c r="AK1488" s="809"/>
      <c r="AL1488" s="809"/>
      <c r="AM1488" s="809"/>
      <c r="AN1488" s="809"/>
      <c r="AO1488" s="809"/>
      <c r="AP1488" s="809"/>
      <c r="AQ1488" s="809"/>
      <c r="AR1488" s="809"/>
      <c r="AS1488" s="809"/>
      <c r="AT1488" s="809"/>
      <c r="AU1488" s="809"/>
      <c r="AV1488" s="809"/>
      <c r="AW1488" s="809"/>
      <c r="AX1488" s="809"/>
      <c r="AY1488" s="809"/>
      <c r="AZ1488" s="809"/>
      <c r="BA1488" s="809"/>
      <c r="BB1488" s="809"/>
      <c r="BC1488" s="809"/>
      <c r="BD1488" s="809"/>
      <c r="BE1488" s="809"/>
      <c r="BF1488" s="809"/>
      <c r="BG1488" s="809"/>
      <c r="BH1488" s="809"/>
      <c r="BI1488" s="809"/>
      <c r="BJ1488" s="809"/>
      <c r="BK1488" s="809"/>
      <c r="BL1488" s="809"/>
      <c r="BM1488" s="809"/>
      <c r="BN1488" s="809"/>
    </row>
    <row r="1489" spans="1:66">
      <c r="A1489" s="809"/>
      <c r="B1489" s="809"/>
      <c r="C1489" s="809"/>
      <c r="D1489" s="809"/>
      <c r="E1489" s="809"/>
      <c r="F1489" s="809"/>
      <c r="G1489" s="809"/>
      <c r="H1489" s="809"/>
      <c r="I1489" s="809"/>
      <c r="J1489" s="809"/>
      <c r="K1489" s="809"/>
      <c r="L1489" s="809"/>
      <c r="M1489" s="809"/>
      <c r="N1489" s="809"/>
      <c r="O1489" s="809"/>
      <c r="P1489" s="809"/>
      <c r="Q1489" s="809"/>
      <c r="R1489" s="809"/>
      <c r="S1489" s="809"/>
      <c r="T1489" s="809"/>
      <c r="U1489" s="809"/>
      <c r="V1489" s="809"/>
      <c r="W1489" s="809"/>
      <c r="X1489" s="809"/>
      <c r="Y1489" s="809"/>
      <c r="Z1489" s="809"/>
      <c r="AA1489" s="809"/>
      <c r="AB1489" s="809"/>
      <c r="AC1489" s="809"/>
      <c r="AD1489" s="809"/>
      <c r="AE1489" s="809"/>
      <c r="AF1489" s="809"/>
      <c r="AG1489" s="809"/>
      <c r="AH1489" s="809"/>
      <c r="AI1489" s="809"/>
      <c r="AJ1489" s="809"/>
      <c r="AK1489" s="809"/>
      <c r="AL1489" s="809"/>
      <c r="AM1489" s="809"/>
      <c r="AN1489" s="809"/>
      <c r="AO1489" s="809"/>
      <c r="AP1489" s="809"/>
      <c r="AQ1489" s="809"/>
      <c r="AR1489" s="809"/>
      <c r="AS1489" s="809"/>
      <c r="AT1489" s="809"/>
      <c r="AU1489" s="809"/>
      <c r="AV1489" s="809"/>
      <c r="AW1489" s="809"/>
      <c r="AX1489" s="809"/>
      <c r="AY1489" s="809"/>
      <c r="AZ1489" s="809"/>
      <c r="BA1489" s="809"/>
      <c r="BB1489" s="809"/>
      <c r="BC1489" s="809"/>
      <c r="BD1489" s="809"/>
      <c r="BE1489" s="809"/>
      <c r="BF1489" s="809"/>
      <c r="BG1489" s="809"/>
      <c r="BH1489" s="809"/>
      <c r="BI1489" s="809"/>
      <c r="BJ1489" s="809"/>
      <c r="BK1489" s="809"/>
      <c r="BL1489" s="809"/>
      <c r="BM1489" s="809"/>
      <c r="BN1489" s="809"/>
    </row>
    <row r="1490" spans="1:66">
      <c r="A1490" s="809"/>
      <c r="B1490" s="809"/>
      <c r="C1490" s="809"/>
      <c r="D1490" s="809"/>
      <c r="E1490" s="809"/>
      <c r="F1490" s="809"/>
      <c r="G1490" s="809"/>
      <c r="H1490" s="809"/>
      <c r="I1490" s="809"/>
      <c r="J1490" s="809"/>
      <c r="K1490" s="809"/>
      <c r="L1490" s="809"/>
      <c r="M1490" s="809"/>
      <c r="N1490" s="809"/>
      <c r="O1490" s="809"/>
      <c r="P1490" s="809"/>
      <c r="Q1490" s="809"/>
      <c r="R1490" s="809"/>
      <c r="S1490" s="809"/>
      <c r="T1490" s="809"/>
      <c r="U1490" s="809"/>
      <c r="V1490" s="809"/>
      <c r="W1490" s="809"/>
      <c r="X1490" s="809"/>
      <c r="Y1490" s="809"/>
      <c r="Z1490" s="809"/>
      <c r="AA1490" s="809"/>
      <c r="AB1490" s="809"/>
      <c r="AC1490" s="809"/>
      <c r="AD1490" s="809"/>
      <c r="AE1490" s="809"/>
      <c r="AF1490" s="809"/>
      <c r="AG1490" s="809"/>
      <c r="AH1490" s="809"/>
      <c r="AI1490" s="809"/>
      <c r="AJ1490" s="809"/>
      <c r="AK1490" s="809"/>
      <c r="AL1490" s="809"/>
      <c r="AM1490" s="809"/>
      <c r="AN1490" s="809"/>
      <c r="AO1490" s="809"/>
      <c r="AP1490" s="809"/>
      <c r="AQ1490" s="809"/>
      <c r="AR1490" s="809"/>
      <c r="AS1490" s="809"/>
      <c r="AT1490" s="809"/>
      <c r="AU1490" s="809"/>
      <c r="AV1490" s="809"/>
      <c r="AW1490" s="809"/>
      <c r="AX1490" s="809"/>
      <c r="AY1490" s="809"/>
      <c r="AZ1490" s="809"/>
      <c r="BA1490" s="809"/>
      <c r="BB1490" s="809"/>
      <c r="BC1490" s="809"/>
      <c r="BD1490" s="809"/>
      <c r="BE1490" s="809"/>
      <c r="BF1490" s="809"/>
      <c r="BG1490" s="809"/>
      <c r="BH1490" s="809"/>
      <c r="BI1490" s="809"/>
      <c r="BJ1490" s="809"/>
      <c r="BK1490" s="809"/>
      <c r="BL1490" s="809"/>
      <c r="BM1490" s="809"/>
      <c r="BN1490" s="809"/>
    </row>
    <row r="1491" spans="1:66">
      <c r="A1491" s="809"/>
      <c r="B1491" s="809"/>
      <c r="C1491" s="809"/>
      <c r="D1491" s="809"/>
      <c r="E1491" s="809"/>
      <c r="F1491" s="809"/>
      <c r="G1491" s="809"/>
      <c r="H1491" s="809"/>
      <c r="I1491" s="809"/>
      <c r="J1491" s="809"/>
      <c r="K1491" s="809"/>
      <c r="L1491" s="809"/>
      <c r="M1491" s="809"/>
      <c r="N1491" s="809"/>
      <c r="O1491" s="809"/>
      <c r="P1491" s="809"/>
      <c r="Q1491" s="809"/>
      <c r="R1491" s="809"/>
      <c r="S1491" s="809"/>
      <c r="T1491" s="809"/>
      <c r="U1491" s="809"/>
      <c r="V1491" s="809"/>
      <c r="W1491" s="809"/>
      <c r="X1491" s="809"/>
      <c r="Y1491" s="809"/>
      <c r="Z1491" s="809"/>
      <c r="AA1491" s="809"/>
      <c r="AB1491" s="809"/>
      <c r="AC1491" s="809"/>
      <c r="AD1491" s="809"/>
      <c r="AE1491" s="809"/>
      <c r="AF1491" s="809"/>
      <c r="AG1491" s="809"/>
      <c r="AH1491" s="809"/>
      <c r="AI1491" s="809"/>
      <c r="AJ1491" s="809"/>
      <c r="AK1491" s="809"/>
      <c r="AL1491" s="809"/>
      <c r="AM1491" s="809"/>
      <c r="AN1491" s="809"/>
      <c r="AO1491" s="809"/>
      <c r="AP1491" s="809"/>
      <c r="AQ1491" s="809"/>
      <c r="AR1491" s="809"/>
      <c r="AS1491" s="809"/>
      <c r="AT1491" s="809"/>
      <c r="AU1491" s="809"/>
      <c r="AV1491" s="809"/>
      <c r="AW1491" s="809"/>
      <c r="AX1491" s="809"/>
      <c r="AY1491" s="809"/>
      <c r="AZ1491" s="809"/>
      <c r="BA1491" s="809"/>
      <c r="BB1491" s="809"/>
      <c r="BC1491" s="809"/>
      <c r="BD1491" s="809"/>
      <c r="BE1491" s="809"/>
      <c r="BF1491" s="809"/>
      <c r="BG1491" s="809"/>
      <c r="BH1491" s="809"/>
      <c r="BI1491" s="809"/>
      <c r="BJ1491" s="809"/>
      <c r="BK1491" s="809"/>
      <c r="BL1491" s="809"/>
      <c r="BM1491" s="809"/>
      <c r="BN1491" s="809"/>
    </row>
    <row r="1492" spans="1:66">
      <c r="A1492" s="809"/>
      <c r="B1492" s="809"/>
      <c r="C1492" s="809"/>
      <c r="D1492" s="809"/>
      <c r="E1492" s="809"/>
      <c r="F1492" s="809"/>
      <c r="G1492" s="809"/>
      <c r="H1492" s="809"/>
      <c r="I1492" s="809"/>
      <c r="J1492" s="809"/>
      <c r="K1492" s="809"/>
      <c r="L1492" s="809"/>
      <c r="M1492" s="809"/>
      <c r="N1492" s="809"/>
      <c r="O1492" s="809"/>
      <c r="P1492" s="809"/>
      <c r="Q1492" s="809"/>
      <c r="R1492" s="809"/>
      <c r="S1492" s="809"/>
      <c r="T1492" s="809"/>
      <c r="U1492" s="809"/>
      <c r="V1492" s="809"/>
      <c r="W1492" s="809"/>
      <c r="X1492" s="809"/>
      <c r="Y1492" s="809"/>
      <c r="Z1492" s="809"/>
      <c r="AA1492" s="809"/>
      <c r="AB1492" s="809"/>
      <c r="AC1492" s="809"/>
      <c r="AD1492" s="809"/>
      <c r="AE1492" s="809"/>
      <c r="AF1492" s="809"/>
      <c r="AG1492" s="809"/>
      <c r="AH1492" s="809"/>
      <c r="AI1492" s="809"/>
      <c r="AJ1492" s="809"/>
      <c r="AK1492" s="809"/>
      <c r="AL1492" s="809"/>
      <c r="AM1492" s="809"/>
      <c r="AN1492" s="809"/>
      <c r="AO1492" s="809"/>
      <c r="AP1492" s="809"/>
      <c r="AQ1492" s="809"/>
      <c r="AR1492" s="809"/>
      <c r="AS1492" s="809"/>
      <c r="AT1492" s="809"/>
      <c r="AU1492" s="809"/>
      <c r="AV1492" s="809"/>
      <c r="AW1492" s="809"/>
      <c r="AX1492" s="809"/>
      <c r="AY1492" s="809"/>
      <c r="AZ1492" s="809"/>
      <c r="BA1492" s="809"/>
      <c r="BB1492" s="809"/>
      <c r="BC1492" s="809"/>
      <c r="BD1492" s="809"/>
      <c r="BE1492" s="809"/>
      <c r="BF1492" s="809"/>
      <c r="BG1492" s="809"/>
      <c r="BH1492" s="809"/>
      <c r="BI1492" s="809"/>
      <c r="BJ1492" s="809"/>
      <c r="BK1492" s="809"/>
      <c r="BL1492" s="809"/>
      <c r="BM1492" s="809"/>
      <c r="BN1492" s="809"/>
    </row>
    <row r="1493" spans="1:66">
      <c r="A1493" s="809"/>
      <c r="B1493" s="809"/>
      <c r="C1493" s="809"/>
      <c r="D1493" s="809"/>
      <c r="E1493" s="809"/>
      <c r="F1493" s="809"/>
      <c r="G1493" s="809"/>
      <c r="H1493" s="809"/>
      <c r="I1493" s="809"/>
      <c r="J1493" s="809"/>
      <c r="K1493" s="809"/>
      <c r="L1493" s="809"/>
      <c r="M1493" s="809"/>
      <c r="N1493" s="809"/>
      <c r="O1493" s="809"/>
      <c r="P1493" s="809"/>
      <c r="Q1493" s="809"/>
      <c r="R1493" s="809"/>
      <c r="S1493" s="809"/>
      <c r="T1493" s="809"/>
      <c r="U1493" s="809"/>
      <c r="V1493" s="809"/>
      <c r="W1493" s="809"/>
      <c r="X1493" s="809"/>
      <c r="Y1493" s="809"/>
      <c r="Z1493" s="809"/>
      <c r="AA1493" s="809"/>
      <c r="AB1493" s="809"/>
      <c r="AC1493" s="809"/>
      <c r="AD1493" s="809"/>
      <c r="AE1493" s="809"/>
      <c r="AF1493" s="809"/>
      <c r="AG1493" s="809"/>
      <c r="AH1493" s="809"/>
      <c r="AI1493" s="809"/>
      <c r="AJ1493" s="809"/>
      <c r="AK1493" s="809"/>
      <c r="AL1493" s="809"/>
      <c r="AM1493" s="809"/>
      <c r="AN1493" s="809"/>
      <c r="AO1493" s="809"/>
      <c r="AP1493" s="809"/>
      <c r="AQ1493" s="809"/>
      <c r="AR1493" s="809"/>
      <c r="AS1493" s="809"/>
      <c r="AT1493" s="809"/>
      <c r="AU1493" s="809"/>
      <c r="AV1493" s="809"/>
      <c r="AW1493" s="809"/>
      <c r="AX1493" s="809"/>
      <c r="AY1493" s="809"/>
      <c r="AZ1493" s="809"/>
      <c r="BA1493" s="809"/>
      <c r="BB1493" s="809"/>
      <c r="BC1493" s="809"/>
      <c r="BD1493" s="809"/>
      <c r="BE1493" s="809"/>
      <c r="BF1493" s="809"/>
      <c r="BG1493" s="809"/>
      <c r="BH1493" s="809"/>
      <c r="BI1493" s="809"/>
      <c r="BJ1493" s="809"/>
      <c r="BK1493" s="809"/>
      <c r="BL1493" s="809"/>
      <c r="BM1493" s="809"/>
      <c r="BN1493" s="809"/>
    </row>
    <row r="1494" spans="1:66">
      <c r="A1494" s="809"/>
      <c r="B1494" s="809"/>
      <c r="C1494" s="809"/>
      <c r="D1494" s="809"/>
      <c r="E1494" s="809"/>
      <c r="F1494" s="809"/>
      <c r="G1494" s="809"/>
      <c r="H1494" s="809"/>
      <c r="I1494" s="809"/>
      <c r="J1494" s="809"/>
      <c r="K1494" s="809"/>
      <c r="L1494" s="809"/>
      <c r="M1494" s="809"/>
      <c r="N1494" s="809"/>
      <c r="O1494" s="809"/>
      <c r="P1494" s="809"/>
      <c r="Q1494" s="809"/>
      <c r="R1494" s="809"/>
      <c r="S1494" s="809"/>
      <c r="T1494" s="809"/>
      <c r="U1494" s="809"/>
      <c r="V1494" s="809"/>
      <c r="W1494" s="809"/>
      <c r="X1494" s="809"/>
      <c r="Y1494" s="809"/>
      <c r="Z1494" s="809"/>
      <c r="AA1494" s="809"/>
      <c r="AB1494" s="809"/>
      <c r="AC1494" s="809"/>
      <c r="AD1494" s="809"/>
      <c r="AE1494" s="809"/>
      <c r="AF1494" s="809"/>
      <c r="AG1494" s="809"/>
      <c r="AH1494" s="809"/>
      <c r="AI1494" s="809"/>
      <c r="AJ1494" s="809"/>
      <c r="AK1494" s="809"/>
      <c r="AL1494" s="809"/>
      <c r="AM1494" s="809"/>
      <c r="AN1494" s="809"/>
      <c r="AO1494" s="809"/>
      <c r="AP1494" s="809"/>
      <c r="AQ1494" s="809"/>
      <c r="AR1494" s="809"/>
      <c r="AS1494" s="809"/>
      <c r="AT1494" s="809"/>
      <c r="AU1494" s="809"/>
      <c r="AV1494" s="809"/>
      <c r="AW1494" s="809"/>
      <c r="AX1494" s="809"/>
      <c r="AY1494" s="809"/>
      <c r="AZ1494" s="809"/>
      <c r="BA1494" s="809"/>
      <c r="BB1494" s="809"/>
      <c r="BC1494" s="809"/>
      <c r="BD1494" s="809"/>
      <c r="BE1494" s="809"/>
      <c r="BF1494" s="809"/>
      <c r="BG1494" s="809"/>
      <c r="BH1494" s="809"/>
      <c r="BI1494" s="809"/>
      <c r="BJ1494" s="809"/>
      <c r="BK1494" s="809"/>
      <c r="BL1494" s="809"/>
      <c r="BM1494" s="809"/>
      <c r="BN1494" s="809"/>
    </row>
    <row r="1495" spans="1:66">
      <c r="A1495" s="809"/>
      <c r="B1495" s="809"/>
      <c r="C1495" s="809"/>
      <c r="D1495" s="809"/>
      <c r="E1495" s="809"/>
      <c r="F1495" s="809"/>
      <c r="G1495" s="809"/>
      <c r="H1495" s="809"/>
      <c r="I1495" s="809"/>
      <c r="J1495" s="809"/>
      <c r="K1495" s="809"/>
      <c r="L1495" s="809"/>
      <c r="M1495" s="809"/>
      <c r="N1495" s="809"/>
      <c r="O1495" s="809"/>
      <c r="P1495" s="809"/>
      <c r="Q1495" s="809"/>
      <c r="R1495" s="809"/>
      <c r="S1495" s="809"/>
      <c r="T1495" s="809"/>
      <c r="U1495" s="809"/>
      <c r="V1495" s="809"/>
      <c r="W1495" s="809"/>
      <c r="X1495" s="809"/>
      <c r="Y1495" s="809"/>
      <c r="Z1495" s="809"/>
      <c r="AA1495" s="809"/>
      <c r="AB1495" s="809"/>
      <c r="AC1495" s="809"/>
      <c r="AD1495" s="809"/>
      <c r="AE1495" s="809"/>
      <c r="AF1495" s="809"/>
      <c r="AG1495" s="809"/>
      <c r="AH1495" s="809"/>
      <c r="AI1495" s="809"/>
      <c r="AJ1495" s="809"/>
      <c r="AK1495" s="809"/>
      <c r="AL1495" s="809"/>
      <c r="AM1495" s="809"/>
      <c r="AN1495" s="809"/>
      <c r="AO1495" s="809"/>
      <c r="AP1495" s="809"/>
      <c r="AQ1495" s="809"/>
      <c r="AR1495" s="809"/>
      <c r="AS1495" s="809"/>
      <c r="AT1495" s="809"/>
      <c r="AU1495" s="809"/>
      <c r="AV1495" s="809"/>
      <c r="AW1495" s="809"/>
      <c r="AX1495" s="809"/>
      <c r="AY1495" s="809"/>
      <c r="AZ1495" s="809"/>
      <c r="BA1495" s="809"/>
      <c r="BB1495" s="809"/>
      <c r="BC1495" s="809"/>
      <c r="BD1495" s="809"/>
      <c r="BE1495" s="809"/>
      <c r="BF1495" s="809"/>
      <c r="BG1495" s="809"/>
      <c r="BH1495" s="809"/>
      <c r="BI1495" s="809"/>
      <c r="BJ1495" s="809"/>
      <c r="BK1495" s="809"/>
      <c r="BL1495" s="809"/>
      <c r="BM1495" s="809"/>
      <c r="BN1495" s="809"/>
    </row>
    <row r="1496" spans="1:66">
      <c r="A1496" s="809"/>
      <c r="B1496" s="809"/>
      <c r="C1496" s="809"/>
      <c r="D1496" s="809"/>
      <c r="E1496" s="809"/>
      <c r="F1496" s="809"/>
      <c r="G1496" s="809"/>
      <c r="H1496" s="809"/>
      <c r="I1496" s="809"/>
      <c r="J1496" s="809"/>
      <c r="K1496" s="809"/>
      <c r="L1496" s="809"/>
      <c r="M1496" s="809"/>
      <c r="N1496" s="809"/>
      <c r="O1496" s="809"/>
      <c r="P1496" s="809"/>
      <c r="Q1496" s="809"/>
      <c r="R1496" s="809"/>
      <c r="S1496" s="809"/>
      <c r="T1496" s="809"/>
      <c r="U1496" s="809"/>
      <c r="V1496" s="809"/>
      <c r="W1496" s="809"/>
      <c r="X1496" s="809"/>
      <c r="Y1496" s="809"/>
      <c r="Z1496" s="809"/>
      <c r="AA1496" s="809"/>
      <c r="AB1496" s="809"/>
      <c r="AC1496" s="809"/>
      <c r="AD1496" s="809"/>
      <c r="AE1496" s="809"/>
      <c r="AF1496" s="809"/>
      <c r="AG1496" s="809"/>
      <c r="AH1496" s="809"/>
      <c r="AI1496" s="809"/>
      <c r="AJ1496" s="809"/>
      <c r="AK1496" s="809"/>
      <c r="AL1496" s="809"/>
      <c r="AM1496" s="809"/>
      <c r="AN1496" s="809"/>
      <c r="AO1496" s="809"/>
      <c r="AP1496" s="809"/>
      <c r="AQ1496" s="809"/>
      <c r="AR1496" s="809"/>
      <c r="AS1496" s="809"/>
      <c r="AT1496" s="809"/>
      <c r="AU1496" s="809"/>
      <c r="AV1496" s="809"/>
      <c r="AW1496" s="809"/>
      <c r="AX1496" s="809"/>
      <c r="AY1496" s="809"/>
      <c r="AZ1496" s="809"/>
      <c r="BA1496" s="809"/>
      <c r="BB1496" s="809"/>
      <c r="BC1496" s="809"/>
      <c r="BD1496" s="809"/>
      <c r="BE1496" s="809"/>
      <c r="BF1496" s="809"/>
      <c r="BG1496" s="809"/>
      <c r="BH1496" s="809"/>
      <c r="BI1496" s="809"/>
      <c r="BJ1496" s="809"/>
      <c r="BK1496" s="809"/>
      <c r="BL1496" s="809"/>
      <c r="BM1496" s="809"/>
      <c r="BN1496" s="809"/>
    </row>
    <row r="1497" spans="1:66">
      <c r="A1497" s="809"/>
      <c r="B1497" s="809"/>
      <c r="C1497" s="809"/>
      <c r="D1497" s="809"/>
      <c r="E1497" s="809"/>
      <c r="F1497" s="809"/>
      <c r="G1497" s="809"/>
      <c r="H1497" s="809"/>
      <c r="I1497" s="809"/>
      <c r="J1497" s="809"/>
      <c r="K1497" s="809"/>
      <c r="L1497" s="809"/>
      <c r="M1497" s="809"/>
      <c r="N1497" s="809"/>
      <c r="O1497" s="809"/>
      <c r="P1497" s="809"/>
      <c r="Q1497" s="809"/>
      <c r="R1497" s="809"/>
      <c r="S1497" s="809"/>
      <c r="T1497" s="809"/>
      <c r="U1497" s="809"/>
      <c r="V1497" s="809"/>
      <c r="W1497" s="809"/>
      <c r="X1497" s="809"/>
      <c r="Y1497" s="809"/>
      <c r="Z1497" s="809"/>
      <c r="AA1497" s="809"/>
      <c r="AB1497" s="809"/>
      <c r="AC1497" s="809"/>
      <c r="AD1497" s="809"/>
      <c r="AE1497" s="809"/>
      <c r="AF1497" s="809"/>
      <c r="AG1497" s="809"/>
      <c r="AH1497" s="809"/>
      <c r="AI1497" s="809"/>
      <c r="AJ1497" s="809"/>
      <c r="AK1497" s="809"/>
      <c r="AL1497" s="809"/>
      <c r="AM1497" s="809"/>
      <c r="AN1497" s="809"/>
      <c r="AO1497" s="809"/>
      <c r="AP1497" s="809"/>
      <c r="AQ1497" s="809"/>
      <c r="AR1497" s="809"/>
      <c r="AS1497" s="809"/>
      <c r="AT1497" s="809"/>
      <c r="AU1497" s="809"/>
      <c r="AV1497" s="809"/>
      <c r="AW1497" s="809"/>
      <c r="AX1497" s="809"/>
      <c r="AY1497" s="809"/>
      <c r="AZ1497" s="809"/>
      <c r="BA1497" s="809"/>
      <c r="BB1497" s="809"/>
      <c r="BC1497" s="809"/>
      <c r="BD1497" s="809"/>
      <c r="BE1497" s="809"/>
      <c r="BF1497" s="809"/>
      <c r="BG1497" s="809"/>
      <c r="BH1497" s="809"/>
      <c r="BI1497" s="809"/>
      <c r="BJ1497" s="809"/>
      <c r="BK1497" s="809"/>
      <c r="BL1497" s="809"/>
      <c r="BM1497" s="809"/>
      <c r="BN1497" s="809"/>
    </row>
    <row r="1498" spans="1:66">
      <c r="A1498" s="809"/>
      <c r="B1498" s="809"/>
      <c r="C1498" s="809"/>
      <c r="D1498" s="809"/>
      <c r="E1498" s="809"/>
      <c r="F1498" s="809"/>
      <c r="G1498" s="809"/>
      <c r="H1498" s="809"/>
      <c r="I1498" s="809"/>
      <c r="J1498" s="809"/>
      <c r="K1498" s="809"/>
      <c r="L1498" s="809"/>
      <c r="M1498" s="809"/>
      <c r="N1498" s="809"/>
      <c r="O1498" s="809"/>
      <c r="P1498" s="809"/>
      <c r="Q1498" s="809"/>
      <c r="R1498" s="809"/>
      <c r="S1498" s="809"/>
      <c r="T1498" s="809"/>
      <c r="U1498" s="809"/>
      <c r="V1498" s="809"/>
      <c r="W1498" s="809"/>
      <c r="X1498" s="809"/>
      <c r="Y1498" s="809"/>
      <c r="Z1498" s="809"/>
      <c r="AA1498" s="809"/>
      <c r="AB1498" s="809"/>
      <c r="AC1498" s="809"/>
      <c r="AD1498" s="809"/>
      <c r="AE1498" s="809"/>
      <c r="AF1498" s="809"/>
      <c r="AG1498" s="809"/>
      <c r="AH1498" s="809"/>
      <c r="AI1498" s="809"/>
      <c r="AJ1498" s="809"/>
      <c r="AK1498" s="809"/>
      <c r="AL1498" s="809"/>
      <c r="AM1498" s="809"/>
      <c r="AN1498" s="809"/>
      <c r="AO1498" s="809"/>
      <c r="AP1498" s="809"/>
      <c r="AQ1498" s="809"/>
      <c r="AR1498" s="809"/>
      <c r="AS1498" s="809"/>
      <c r="AT1498" s="809"/>
      <c r="AU1498" s="809"/>
      <c r="AV1498" s="809"/>
      <c r="AW1498" s="809"/>
      <c r="AX1498" s="809"/>
      <c r="AY1498" s="809"/>
      <c r="AZ1498" s="809"/>
      <c r="BA1498" s="809"/>
      <c r="BB1498" s="809"/>
      <c r="BC1498" s="809"/>
      <c r="BD1498" s="809"/>
      <c r="BE1498" s="809"/>
      <c r="BF1498" s="809"/>
      <c r="BG1498" s="809"/>
      <c r="BH1498" s="809"/>
      <c r="BI1498" s="809"/>
      <c r="BJ1498" s="809"/>
      <c r="BK1498" s="809"/>
      <c r="BL1498" s="809"/>
      <c r="BM1498" s="809"/>
      <c r="BN1498" s="809"/>
    </row>
    <row r="1499" spans="1:66">
      <c r="A1499" s="809"/>
      <c r="B1499" s="809"/>
      <c r="C1499" s="809"/>
      <c r="D1499" s="809"/>
      <c r="E1499" s="809"/>
      <c r="F1499" s="809"/>
      <c r="G1499" s="809"/>
      <c r="H1499" s="809"/>
      <c r="I1499" s="809"/>
      <c r="J1499" s="809"/>
      <c r="K1499" s="809"/>
      <c r="L1499" s="809"/>
      <c r="M1499" s="809"/>
      <c r="N1499" s="809"/>
      <c r="O1499" s="809"/>
      <c r="P1499" s="809"/>
      <c r="Q1499" s="809"/>
      <c r="R1499" s="809"/>
      <c r="S1499" s="809"/>
      <c r="T1499" s="809"/>
      <c r="U1499" s="809"/>
      <c r="V1499" s="809"/>
      <c r="W1499" s="809"/>
      <c r="X1499" s="809"/>
      <c r="Y1499" s="809"/>
      <c r="Z1499" s="809"/>
      <c r="AA1499" s="809"/>
      <c r="AB1499" s="809"/>
      <c r="AC1499" s="809"/>
      <c r="AD1499" s="809"/>
      <c r="AE1499" s="809"/>
      <c r="AF1499" s="809"/>
      <c r="AG1499" s="809"/>
      <c r="AH1499" s="809"/>
      <c r="AI1499" s="809"/>
      <c r="AJ1499" s="809"/>
      <c r="AK1499" s="809"/>
      <c r="AL1499" s="809"/>
      <c r="AM1499" s="809"/>
      <c r="AN1499" s="809"/>
      <c r="AO1499" s="809"/>
      <c r="AP1499" s="809"/>
      <c r="AQ1499" s="809"/>
      <c r="AR1499" s="809"/>
      <c r="AS1499" s="809"/>
      <c r="AT1499" s="809"/>
      <c r="AU1499" s="809"/>
      <c r="AV1499" s="809"/>
      <c r="AW1499" s="809"/>
      <c r="AX1499" s="809"/>
      <c r="AY1499" s="809"/>
      <c r="AZ1499" s="809"/>
      <c r="BA1499" s="809"/>
      <c r="BB1499" s="809"/>
      <c r="BC1499" s="809"/>
      <c r="BD1499" s="809"/>
      <c r="BE1499" s="809"/>
      <c r="BF1499" s="809"/>
      <c r="BG1499" s="809"/>
      <c r="BH1499" s="809"/>
      <c r="BI1499" s="809"/>
      <c r="BJ1499" s="809"/>
      <c r="BK1499" s="809"/>
      <c r="BL1499" s="809"/>
      <c r="BM1499" s="809"/>
      <c r="BN1499" s="809"/>
    </row>
    <row r="1500" spans="1:66">
      <c r="A1500" s="809"/>
      <c r="B1500" s="809"/>
      <c r="C1500" s="809"/>
      <c r="D1500" s="809"/>
      <c r="E1500" s="809"/>
      <c r="F1500" s="809"/>
      <c r="G1500" s="809"/>
      <c r="H1500" s="809"/>
      <c r="I1500" s="809"/>
      <c r="J1500" s="809"/>
      <c r="K1500" s="809"/>
      <c r="L1500" s="809"/>
      <c r="M1500" s="809"/>
      <c r="N1500" s="809"/>
      <c r="O1500" s="809"/>
      <c r="P1500" s="809"/>
      <c r="Q1500" s="809"/>
      <c r="R1500" s="809"/>
      <c r="S1500" s="809"/>
      <c r="T1500" s="809"/>
      <c r="U1500" s="809"/>
      <c r="V1500" s="809"/>
      <c r="W1500" s="809"/>
      <c r="X1500" s="809"/>
      <c r="Y1500" s="809"/>
      <c r="Z1500" s="809"/>
      <c r="AA1500" s="809"/>
      <c r="AB1500" s="809"/>
      <c r="AC1500" s="809"/>
      <c r="AD1500" s="809"/>
      <c r="AE1500" s="809"/>
      <c r="AF1500" s="809"/>
      <c r="AG1500" s="809"/>
      <c r="AH1500" s="809"/>
      <c r="AI1500" s="809"/>
      <c r="AJ1500" s="809"/>
      <c r="AK1500" s="809"/>
      <c r="AL1500" s="809"/>
      <c r="AM1500" s="809"/>
      <c r="AN1500" s="809"/>
      <c r="AO1500" s="809"/>
      <c r="AP1500" s="809"/>
      <c r="AQ1500" s="809"/>
      <c r="AR1500" s="809"/>
      <c r="AS1500" s="809"/>
      <c r="AT1500" s="809"/>
      <c r="AU1500" s="809"/>
      <c r="AV1500" s="809"/>
      <c r="AW1500" s="809"/>
      <c r="AX1500" s="809"/>
      <c r="AY1500" s="809"/>
      <c r="AZ1500" s="809"/>
      <c r="BA1500" s="809"/>
      <c r="BB1500" s="809"/>
      <c r="BC1500" s="809"/>
      <c r="BD1500" s="809"/>
      <c r="BE1500" s="809"/>
      <c r="BF1500" s="809"/>
      <c r="BG1500" s="809"/>
      <c r="BH1500" s="809"/>
      <c r="BI1500" s="809"/>
      <c r="BJ1500" s="809"/>
      <c r="BK1500" s="809"/>
      <c r="BL1500" s="809"/>
      <c r="BM1500" s="809"/>
      <c r="BN1500" s="809"/>
    </row>
    <row r="1501" spans="1:66">
      <c r="A1501" s="809"/>
      <c r="B1501" s="809"/>
      <c r="C1501" s="809"/>
      <c r="D1501" s="809"/>
      <c r="E1501" s="809"/>
      <c r="F1501" s="809"/>
      <c r="G1501" s="809"/>
      <c r="H1501" s="809"/>
      <c r="I1501" s="809"/>
      <c r="J1501" s="809"/>
      <c r="K1501" s="809"/>
      <c r="L1501" s="809"/>
      <c r="M1501" s="809"/>
      <c r="N1501" s="809"/>
      <c r="O1501" s="809"/>
      <c r="P1501" s="809"/>
      <c r="Q1501" s="809"/>
      <c r="R1501" s="809"/>
      <c r="S1501" s="809"/>
      <c r="T1501" s="809"/>
      <c r="U1501" s="809"/>
      <c r="V1501" s="809"/>
      <c r="W1501" s="809"/>
      <c r="X1501" s="809"/>
      <c r="Y1501" s="809"/>
      <c r="Z1501" s="809"/>
      <c r="AA1501" s="809"/>
      <c r="AB1501" s="809"/>
      <c r="AC1501" s="809"/>
      <c r="AD1501" s="809"/>
      <c r="AE1501" s="809"/>
      <c r="AF1501" s="809"/>
      <c r="AG1501" s="809"/>
      <c r="AH1501" s="809"/>
      <c r="AI1501" s="809"/>
      <c r="AJ1501" s="809"/>
      <c r="AK1501" s="809"/>
      <c r="AL1501" s="809"/>
      <c r="AM1501" s="809"/>
      <c r="AN1501" s="809"/>
      <c r="AO1501" s="809"/>
      <c r="AP1501" s="809"/>
      <c r="AQ1501" s="809"/>
      <c r="AR1501" s="809"/>
      <c r="AS1501" s="809"/>
      <c r="AT1501" s="809"/>
      <c r="AU1501" s="809"/>
      <c r="AV1501" s="809"/>
      <c r="AW1501" s="809"/>
      <c r="AX1501" s="809"/>
      <c r="AY1501" s="809"/>
      <c r="AZ1501" s="809"/>
      <c r="BA1501" s="809"/>
      <c r="BB1501" s="809"/>
      <c r="BC1501" s="809"/>
      <c r="BD1501" s="809"/>
      <c r="BE1501" s="809"/>
      <c r="BF1501" s="809"/>
      <c r="BG1501" s="809"/>
      <c r="BH1501" s="809"/>
      <c r="BI1501" s="809"/>
      <c r="BJ1501" s="809"/>
      <c r="BK1501" s="809"/>
      <c r="BL1501" s="809"/>
      <c r="BM1501" s="809"/>
      <c r="BN1501" s="809"/>
    </row>
    <row r="1502" spans="1:66">
      <c r="A1502" s="809"/>
      <c r="B1502" s="809"/>
      <c r="C1502" s="809"/>
      <c r="D1502" s="809"/>
      <c r="E1502" s="809"/>
      <c r="F1502" s="809"/>
      <c r="G1502" s="809"/>
      <c r="H1502" s="809"/>
      <c r="I1502" s="809"/>
      <c r="J1502" s="809"/>
      <c r="K1502" s="809"/>
      <c r="L1502" s="809"/>
      <c r="M1502" s="809"/>
      <c r="N1502" s="809"/>
      <c r="O1502" s="809"/>
      <c r="P1502" s="809"/>
      <c r="Q1502" s="809"/>
      <c r="R1502" s="809"/>
      <c r="S1502" s="809"/>
      <c r="T1502" s="809"/>
      <c r="U1502" s="809"/>
      <c r="V1502" s="809"/>
      <c r="W1502" s="809"/>
      <c r="X1502" s="809"/>
      <c r="Y1502" s="809"/>
      <c r="Z1502" s="809"/>
      <c r="AA1502" s="809"/>
      <c r="AB1502" s="809"/>
      <c r="AC1502" s="809"/>
      <c r="AD1502" s="809"/>
      <c r="AE1502" s="809"/>
      <c r="AF1502" s="809"/>
      <c r="AG1502" s="809"/>
      <c r="AH1502" s="809"/>
      <c r="AI1502" s="809"/>
      <c r="AJ1502" s="809"/>
      <c r="AK1502" s="809"/>
      <c r="AL1502" s="809"/>
      <c r="AM1502" s="809"/>
      <c r="AN1502" s="809"/>
      <c r="AO1502" s="809"/>
      <c r="AP1502" s="809"/>
      <c r="AQ1502" s="809"/>
      <c r="AR1502" s="809"/>
      <c r="AS1502" s="809"/>
      <c r="AT1502" s="809"/>
      <c r="AU1502" s="809"/>
      <c r="AV1502" s="809"/>
      <c r="AW1502" s="809"/>
      <c r="AX1502" s="809"/>
      <c r="AY1502" s="809"/>
      <c r="AZ1502" s="809"/>
      <c r="BA1502" s="809"/>
      <c r="BB1502" s="809"/>
      <c r="BC1502" s="809"/>
      <c r="BD1502" s="809"/>
      <c r="BE1502" s="809"/>
      <c r="BF1502" s="809"/>
      <c r="BG1502" s="809"/>
      <c r="BH1502" s="809"/>
      <c r="BI1502" s="809"/>
      <c r="BJ1502" s="809"/>
      <c r="BK1502" s="809"/>
      <c r="BL1502" s="809"/>
      <c r="BM1502" s="809"/>
      <c r="BN1502" s="809"/>
    </row>
    <row r="1503" spans="1:66">
      <c r="A1503" s="809"/>
      <c r="B1503" s="809"/>
      <c r="C1503" s="809"/>
      <c r="D1503" s="809"/>
      <c r="E1503" s="809"/>
      <c r="F1503" s="809"/>
      <c r="G1503" s="809"/>
      <c r="H1503" s="809"/>
      <c r="I1503" s="809"/>
      <c r="J1503" s="809"/>
      <c r="K1503" s="809"/>
      <c r="L1503" s="809"/>
      <c r="M1503" s="809"/>
      <c r="N1503" s="809"/>
      <c r="O1503" s="809"/>
      <c r="P1503" s="809"/>
      <c r="Q1503" s="809"/>
      <c r="R1503" s="809"/>
      <c r="S1503" s="809"/>
      <c r="T1503" s="809"/>
      <c r="U1503" s="809"/>
      <c r="V1503" s="809"/>
      <c r="W1503" s="809"/>
      <c r="X1503" s="809"/>
      <c r="Y1503" s="809"/>
      <c r="Z1503" s="809"/>
      <c r="AA1503" s="809"/>
      <c r="AB1503" s="809"/>
      <c r="AC1503" s="809"/>
      <c r="AD1503" s="809"/>
      <c r="AE1503" s="809"/>
      <c r="AF1503" s="809"/>
      <c r="AG1503" s="809"/>
      <c r="AH1503" s="809"/>
      <c r="AI1503" s="809"/>
      <c r="AJ1503" s="809"/>
      <c r="AK1503" s="809"/>
      <c r="AL1503" s="809"/>
      <c r="AM1503" s="809"/>
      <c r="AN1503" s="809"/>
      <c r="AO1503" s="809"/>
      <c r="AP1503" s="809"/>
      <c r="AQ1503" s="809"/>
      <c r="AR1503" s="809"/>
      <c r="AS1503" s="809"/>
      <c r="AT1503" s="809"/>
      <c r="AU1503" s="809"/>
      <c r="AV1503" s="809"/>
      <c r="AW1503" s="809"/>
      <c r="AX1503" s="809"/>
      <c r="AY1503" s="809"/>
      <c r="AZ1503" s="809"/>
      <c r="BA1503" s="809"/>
      <c r="BB1503" s="809"/>
      <c r="BC1503" s="809"/>
      <c r="BD1503" s="809"/>
      <c r="BE1503" s="809"/>
      <c r="BF1503" s="809"/>
      <c r="BG1503" s="809"/>
      <c r="BH1503" s="809"/>
      <c r="BI1503" s="809"/>
      <c r="BJ1503" s="809"/>
      <c r="BK1503" s="809"/>
      <c r="BL1503" s="809"/>
      <c r="BM1503" s="809"/>
      <c r="BN1503" s="809"/>
    </row>
    <row r="1504" spans="1:66">
      <c r="A1504" s="809"/>
      <c r="B1504" s="809"/>
      <c r="C1504" s="809"/>
      <c r="D1504" s="809"/>
      <c r="E1504" s="809"/>
      <c r="F1504" s="809"/>
      <c r="G1504" s="809"/>
      <c r="H1504" s="809"/>
      <c r="I1504" s="809"/>
      <c r="J1504" s="809"/>
      <c r="K1504" s="809"/>
      <c r="L1504" s="809"/>
      <c r="M1504" s="809"/>
      <c r="N1504" s="809"/>
      <c r="O1504" s="809"/>
      <c r="P1504" s="809"/>
      <c r="Q1504" s="809"/>
      <c r="R1504" s="809"/>
      <c r="S1504" s="809"/>
      <c r="T1504" s="809"/>
      <c r="U1504" s="809"/>
      <c r="V1504" s="809"/>
      <c r="W1504" s="809"/>
      <c r="X1504" s="809"/>
      <c r="Y1504" s="809"/>
      <c r="Z1504" s="809"/>
      <c r="AA1504" s="809"/>
      <c r="AB1504" s="809"/>
      <c r="AC1504" s="809"/>
      <c r="AD1504" s="809"/>
      <c r="AE1504" s="809"/>
      <c r="AF1504" s="809"/>
      <c r="AG1504" s="809"/>
      <c r="AH1504" s="809"/>
      <c r="AI1504" s="809"/>
      <c r="AJ1504" s="809"/>
      <c r="AK1504" s="809"/>
      <c r="AL1504" s="809"/>
      <c r="AM1504" s="809"/>
      <c r="AN1504" s="809"/>
      <c r="AO1504" s="809"/>
      <c r="AP1504" s="809"/>
      <c r="AQ1504" s="809"/>
      <c r="AR1504" s="809"/>
      <c r="AS1504" s="809"/>
      <c r="AT1504" s="809"/>
      <c r="AU1504" s="809"/>
      <c r="AV1504" s="809"/>
      <c r="AW1504" s="809"/>
      <c r="AX1504" s="809"/>
      <c r="AY1504" s="809"/>
      <c r="AZ1504" s="809"/>
      <c r="BA1504" s="809"/>
      <c r="BB1504" s="809"/>
      <c r="BC1504" s="809"/>
      <c r="BD1504" s="809"/>
      <c r="BE1504" s="809"/>
      <c r="BF1504" s="809"/>
      <c r="BG1504" s="809"/>
      <c r="BH1504" s="809"/>
      <c r="BI1504" s="809"/>
      <c r="BJ1504" s="809"/>
      <c r="BK1504" s="809"/>
      <c r="BL1504" s="809"/>
      <c r="BM1504" s="809"/>
      <c r="BN1504" s="809"/>
    </row>
    <row r="1505" spans="1:66">
      <c r="A1505" s="809"/>
      <c r="B1505" s="809"/>
      <c r="C1505" s="809"/>
      <c r="D1505" s="809"/>
      <c r="E1505" s="809"/>
      <c r="F1505" s="809"/>
      <c r="G1505" s="809"/>
      <c r="H1505" s="809"/>
      <c r="I1505" s="809"/>
      <c r="J1505" s="809"/>
      <c r="K1505" s="809"/>
      <c r="L1505" s="809"/>
      <c r="M1505" s="809"/>
      <c r="N1505" s="809"/>
      <c r="O1505" s="809"/>
      <c r="P1505" s="809"/>
      <c r="Q1505" s="809"/>
      <c r="R1505" s="809"/>
      <c r="S1505" s="809"/>
      <c r="T1505" s="809"/>
      <c r="U1505" s="809"/>
      <c r="V1505" s="809"/>
      <c r="W1505" s="809"/>
      <c r="X1505" s="809"/>
      <c r="Y1505" s="809"/>
      <c r="Z1505" s="809"/>
      <c r="AA1505" s="809"/>
      <c r="AB1505" s="809"/>
      <c r="AC1505" s="809"/>
      <c r="AD1505" s="809"/>
      <c r="AE1505" s="809"/>
      <c r="AF1505" s="809"/>
      <c r="AG1505" s="809"/>
      <c r="AH1505" s="809"/>
      <c r="AI1505" s="809"/>
      <c r="AJ1505" s="809"/>
      <c r="AK1505" s="809"/>
      <c r="AL1505" s="809"/>
      <c r="AM1505" s="809"/>
      <c r="AN1505" s="809"/>
      <c r="AO1505" s="809"/>
      <c r="AP1505" s="809"/>
      <c r="AQ1505" s="809"/>
      <c r="AR1505" s="809"/>
      <c r="AS1505" s="809"/>
      <c r="AT1505" s="809"/>
      <c r="AU1505" s="809"/>
      <c r="AV1505" s="809"/>
      <c r="AW1505" s="809"/>
      <c r="AX1505" s="809"/>
      <c r="AY1505" s="809"/>
      <c r="AZ1505" s="809"/>
      <c r="BA1505" s="809"/>
      <c r="BB1505" s="809"/>
      <c r="BC1505" s="809"/>
      <c r="BD1505" s="809"/>
      <c r="BE1505" s="809"/>
      <c r="BF1505" s="809"/>
      <c r="BG1505" s="809"/>
      <c r="BH1505" s="809"/>
      <c r="BI1505" s="809"/>
      <c r="BJ1505" s="809"/>
      <c r="BK1505" s="809"/>
      <c r="BL1505" s="809"/>
      <c r="BM1505" s="809"/>
      <c r="BN1505" s="809"/>
    </row>
    <row r="1506" spans="1:66">
      <c r="A1506" s="809"/>
      <c r="B1506" s="809"/>
      <c r="C1506" s="809"/>
      <c r="D1506" s="809"/>
      <c r="E1506" s="809"/>
      <c r="F1506" s="809"/>
      <c r="G1506" s="809"/>
      <c r="H1506" s="809"/>
      <c r="I1506" s="809"/>
      <c r="J1506" s="809"/>
      <c r="K1506" s="809"/>
      <c r="L1506" s="809"/>
      <c r="M1506" s="809"/>
      <c r="N1506" s="809"/>
      <c r="O1506" s="809"/>
      <c r="P1506" s="809"/>
      <c r="Q1506" s="809"/>
      <c r="R1506" s="809"/>
      <c r="S1506" s="809"/>
      <c r="T1506" s="809"/>
      <c r="U1506" s="809"/>
      <c r="V1506" s="809"/>
      <c r="W1506" s="809"/>
      <c r="X1506" s="809"/>
      <c r="Y1506" s="809"/>
      <c r="Z1506" s="809"/>
      <c r="AA1506" s="809"/>
      <c r="AB1506" s="809"/>
      <c r="AC1506" s="809"/>
      <c r="AD1506" s="809"/>
      <c r="AE1506" s="809"/>
      <c r="AF1506" s="809"/>
      <c r="AG1506" s="809"/>
      <c r="AH1506" s="809"/>
      <c r="AI1506" s="809"/>
      <c r="AJ1506" s="809"/>
      <c r="AK1506" s="809"/>
      <c r="AL1506" s="809"/>
      <c r="AM1506" s="809"/>
      <c r="AN1506" s="809"/>
      <c r="AO1506" s="809"/>
      <c r="AP1506" s="809"/>
      <c r="AQ1506" s="809"/>
      <c r="AR1506" s="809"/>
      <c r="AS1506" s="809"/>
      <c r="AT1506" s="809"/>
      <c r="AU1506" s="809"/>
      <c r="AV1506" s="809"/>
      <c r="AW1506" s="809"/>
      <c r="AX1506" s="809"/>
      <c r="AY1506" s="809"/>
      <c r="AZ1506" s="809"/>
      <c r="BA1506" s="809"/>
      <c r="BB1506" s="809"/>
      <c r="BC1506" s="809"/>
      <c r="BD1506" s="809"/>
      <c r="BE1506" s="809"/>
      <c r="BF1506" s="809"/>
      <c r="BG1506" s="809"/>
      <c r="BH1506" s="809"/>
      <c r="BI1506" s="809"/>
      <c r="BJ1506" s="809"/>
      <c r="BK1506" s="809"/>
      <c r="BL1506" s="809"/>
      <c r="BM1506" s="809"/>
      <c r="BN1506" s="809"/>
    </row>
    <row r="1507" spans="1:66">
      <c r="A1507" s="809"/>
      <c r="B1507" s="809"/>
      <c r="C1507" s="809"/>
      <c r="D1507" s="809"/>
      <c r="E1507" s="809"/>
      <c r="F1507" s="809"/>
      <c r="G1507" s="809"/>
      <c r="H1507" s="809"/>
      <c r="I1507" s="809"/>
      <c r="J1507" s="809"/>
      <c r="K1507" s="809"/>
      <c r="L1507" s="809"/>
      <c r="M1507" s="809"/>
      <c r="N1507" s="809"/>
      <c r="O1507" s="809"/>
      <c r="P1507" s="809"/>
      <c r="Q1507" s="809"/>
      <c r="R1507" s="809"/>
      <c r="S1507" s="809"/>
      <c r="T1507" s="809"/>
      <c r="U1507" s="809"/>
      <c r="V1507" s="809"/>
      <c r="W1507" s="809"/>
      <c r="X1507" s="809"/>
      <c r="Y1507" s="809"/>
      <c r="Z1507" s="809"/>
      <c r="AA1507" s="809"/>
      <c r="AB1507" s="809"/>
      <c r="AC1507" s="809"/>
      <c r="AD1507" s="809"/>
      <c r="AE1507" s="809"/>
      <c r="AF1507" s="809"/>
      <c r="AG1507" s="809"/>
      <c r="AH1507" s="809"/>
      <c r="AI1507" s="809"/>
      <c r="AJ1507" s="809"/>
      <c r="AK1507" s="809"/>
      <c r="AL1507" s="809"/>
      <c r="AM1507" s="809"/>
      <c r="AN1507" s="809"/>
      <c r="AO1507" s="809"/>
      <c r="AP1507" s="809"/>
      <c r="AQ1507" s="809"/>
      <c r="AR1507" s="809"/>
      <c r="AS1507" s="809"/>
      <c r="AT1507" s="809"/>
      <c r="AU1507" s="809"/>
      <c r="AV1507" s="809"/>
      <c r="AW1507" s="809"/>
      <c r="AX1507" s="809"/>
      <c r="AY1507" s="809"/>
      <c r="AZ1507" s="809"/>
      <c r="BA1507" s="809"/>
      <c r="BB1507" s="809"/>
      <c r="BC1507" s="809"/>
      <c r="BD1507" s="809"/>
      <c r="BE1507" s="809"/>
      <c r="BF1507" s="809"/>
      <c r="BG1507" s="809"/>
      <c r="BH1507" s="809"/>
      <c r="BI1507" s="809"/>
      <c r="BJ1507" s="809"/>
      <c r="BK1507" s="809"/>
      <c r="BL1507" s="809"/>
      <c r="BM1507" s="809"/>
      <c r="BN1507" s="809"/>
    </row>
    <row r="1508" spans="1:66">
      <c r="A1508" s="809"/>
      <c r="B1508" s="809"/>
      <c r="C1508" s="809"/>
      <c r="D1508" s="809"/>
      <c r="E1508" s="809"/>
      <c r="F1508" s="809"/>
      <c r="G1508" s="809"/>
      <c r="H1508" s="809"/>
      <c r="I1508" s="809"/>
      <c r="J1508" s="809"/>
      <c r="K1508" s="809"/>
      <c r="L1508" s="809"/>
      <c r="M1508" s="809"/>
      <c r="N1508" s="809"/>
      <c r="O1508" s="809"/>
      <c r="P1508" s="809"/>
      <c r="Q1508" s="809"/>
      <c r="R1508" s="809"/>
      <c r="S1508" s="809"/>
      <c r="T1508" s="809"/>
      <c r="U1508" s="809"/>
      <c r="V1508" s="809"/>
      <c r="W1508" s="809"/>
      <c r="X1508" s="809"/>
      <c r="Y1508" s="809"/>
      <c r="Z1508" s="809"/>
      <c r="AA1508" s="809"/>
      <c r="AB1508" s="809"/>
      <c r="AC1508" s="809"/>
      <c r="AD1508" s="809"/>
      <c r="AE1508" s="809"/>
      <c r="AF1508" s="809"/>
      <c r="AG1508" s="809"/>
      <c r="AH1508" s="809"/>
      <c r="AI1508" s="809"/>
      <c r="AJ1508" s="809"/>
      <c r="AK1508" s="809"/>
      <c r="AL1508" s="809"/>
      <c r="AM1508" s="809"/>
      <c r="AN1508" s="809"/>
      <c r="AO1508" s="809"/>
      <c r="AP1508" s="809"/>
      <c r="AQ1508" s="809"/>
      <c r="AR1508" s="809"/>
      <c r="AS1508" s="809"/>
      <c r="AT1508" s="809"/>
      <c r="AU1508" s="809"/>
      <c r="AV1508" s="809"/>
      <c r="AW1508" s="809"/>
      <c r="AX1508" s="809"/>
      <c r="AY1508" s="809"/>
      <c r="AZ1508" s="809"/>
      <c r="BA1508" s="809"/>
      <c r="BB1508" s="809"/>
      <c r="BC1508" s="809"/>
      <c r="BD1508" s="809"/>
      <c r="BE1508" s="809"/>
      <c r="BF1508" s="809"/>
      <c r="BG1508" s="809"/>
      <c r="BH1508" s="809"/>
      <c r="BI1508" s="809"/>
      <c r="BJ1508" s="809"/>
      <c r="BK1508" s="809"/>
      <c r="BL1508" s="809"/>
      <c r="BM1508" s="809"/>
      <c r="BN1508" s="809"/>
    </row>
    <row r="1509" spans="1:66">
      <c r="A1509" s="809"/>
      <c r="B1509" s="809"/>
      <c r="C1509" s="809"/>
      <c r="D1509" s="809"/>
      <c r="E1509" s="809"/>
      <c r="F1509" s="809"/>
      <c r="G1509" s="809"/>
      <c r="H1509" s="809"/>
      <c r="I1509" s="809"/>
      <c r="J1509" s="809"/>
      <c r="K1509" s="809"/>
      <c r="L1509" s="809"/>
      <c r="M1509" s="809"/>
      <c r="N1509" s="809"/>
      <c r="O1509" s="809"/>
      <c r="P1509" s="809"/>
      <c r="Q1509" s="809"/>
      <c r="R1509" s="809"/>
      <c r="S1509" s="809"/>
      <c r="T1509" s="809"/>
      <c r="U1509" s="809"/>
      <c r="V1509" s="809"/>
      <c r="W1509" s="809"/>
      <c r="X1509" s="809"/>
      <c r="Y1509" s="809"/>
      <c r="Z1509" s="809"/>
      <c r="AA1509" s="809"/>
      <c r="AB1509" s="809"/>
      <c r="AC1509" s="809"/>
      <c r="AD1509" s="809"/>
      <c r="AE1509" s="809"/>
      <c r="AF1509" s="809"/>
      <c r="AG1509" s="809"/>
      <c r="AH1509" s="809"/>
      <c r="AI1509" s="809"/>
      <c r="AJ1509" s="809"/>
      <c r="AK1509" s="809"/>
      <c r="AL1509" s="809"/>
      <c r="AM1509" s="809"/>
      <c r="AN1509" s="809"/>
      <c r="AO1509" s="809"/>
      <c r="AP1509" s="809"/>
      <c r="AQ1509" s="809"/>
      <c r="AR1509" s="809"/>
      <c r="AS1509" s="809"/>
      <c r="AT1509" s="809"/>
      <c r="AU1509" s="809"/>
      <c r="AV1509" s="809"/>
      <c r="AW1509" s="809"/>
      <c r="AX1509" s="809"/>
      <c r="AY1509" s="809"/>
      <c r="AZ1509" s="809"/>
      <c r="BA1509" s="809"/>
      <c r="BB1509" s="809"/>
      <c r="BC1509" s="809"/>
      <c r="BD1509" s="809"/>
      <c r="BE1509" s="809"/>
      <c r="BF1509" s="809"/>
      <c r="BG1509" s="809"/>
      <c r="BH1509" s="809"/>
      <c r="BI1509" s="809"/>
      <c r="BJ1509" s="809"/>
      <c r="BK1509" s="809"/>
      <c r="BL1509" s="809"/>
      <c r="BM1509" s="809"/>
      <c r="BN1509" s="809"/>
    </row>
    <row r="1510" spans="1:66">
      <c r="A1510" s="809"/>
      <c r="B1510" s="809"/>
      <c r="C1510" s="809"/>
      <c r="D1510" s="809"/>
      <c r="E1510" s="809"/>
      <c r="F1510" s="809"/>
      <c r="G1510" s="809"/>
      <c r="H1510" s="809"/>
      <c r="I1510" s="809"/>
      <c r="J1510" s="809"/>
      <c r="K1510" s="809"/>
      <c r="L1510" s="809"/>
      <c r="M1510" s="809"/>
      <c r="N1510" s="809"/>
      <c r="O1510" s="809"/>
      <c r="P1510" s="809"/>
      <c r="Q1510" s="809"/>
      <c r="R1510" s="809"/>
      <c r="S1510" s="809"/>
      <c r="T1510" s="809"/>
      <c r="U1510" s="809"/>
      <c r="V1510" s="809"/>
      <c r="W1510" s="809"/>
      <c r="X1510" s="809"/>
      <c r="Y1510" s="809"/>
      <c r="Z1510" s="809"/>
      <c r="AA1510" s="809"/>
      <c r="AB1510" s="809"/>
      <c r="AC1510" s="809"/>
      <c r="AD1510" s="809"/>
      <c r="AE1510" s="809"/>
      <c r="AF1510" s="809"/>
      <c r="AG1510" s="809"/>
      <c r="AH1510" s="809"/>
      <c r="AI1510" s="809"/>
      <c r="AJ1510" s="809"/>
      <c r="AK1510" s="809"/>
      <c r="AL1510" s="809"/>
      <c r="AM1510" s="809"/>
      <c r="AN1510" s="809"/>
      <c r="AO1510" s="809"/>
      <c r="AP1510" s="809"/>
      <c r="AQ1510" s="809"/>
      <c r="AR1510" s="809"/>
      <c r="AS1510" s="809"/>
      <c r="AT1510" s="809"/>
      <c r="AU1510" s="809"/>
      <c r="AV1510" s="809"/>
      <c r="AW1510" s="809"/>
      <c r="AX1510" s="809"/>
      <c r="AY1510" s="809"/>
      <c r="AZ1510" s="809"/>
      <c r="BA1510" s="809"/>
      <c r="BB1510" s="809"/>
      <c r="BC1510" s="809"/>
      <c r="BD1510" s="809"/>
      <c r="BE1510" s="809"/>
      <c r="BF1510" s="809"/>
      <c r="BG1510" s="809"/>
      <c r="BH1510" s="809"/>
      <c r="BI1510" s="809"/>
      <c r="BJ1510" s="809"/>
      <c r="BK1510" s="809"/>
      <c r="BL1510" s="809"/>
      <c r="BM1510" s="809"/>
      <c r="BN1510" s="809"/>
    </row>
    <row r="1511" spans="1:66">
      <c r="A1511" s="809"/>
      <c r="B1511" s="809"/>
      <c r="C1511" s="809"/>
      <c r="D1511" s="809"/>
      <c r="E1511" s="809"/>
      <c r="F1511" s="809"/>
      <c r="G1511" s="809"/>
      <c r="H1511" s="809"/>
      <c r="I1511" s="809"/>
      <c r="J1511" s="809"/>
      <c r="K1511" s="809"/>
      <c r="L1511" s="809"/>
      <c r="M1511" s="809"/>
      <c r="N1511" s="809"/>
      <c r="O1511" s="809"/>
      <c r="P1511" s="809"/>
      <c r="Q1511" s="809"/>
      <c r="R1511" s="809"/>
      <c r="S1511" s="809"/>
      <c r="T1511" s="809"/>
      <c r="U1511" s="809"/>
      <c r="V1511" s="809"/>
      <c r="W1511" s="809"/>
      <c r="X1511" s="809"/>
      <c r="Y1511" s="809"/>
      <c r="Z1511" s="809"/>
      <c r="AA1511" s="809"/>
      <c r="AB1511" s="809"/>
      <c r="AC1511" s="809"/>
      <c r="AD1511" s="809"/>
      <c r="AE1511" s="809"/>
      <c r="AF1511" s="809"/>
      <c r="AG1511" s="809"/>
      <c r="AH1511" s="809"/>
      <c r="AI1511" s="809"/>
      <c r="AJ1511" s="809"/>
      <c r="AK1511" s="809"/>
      <c r="AL1511" s="809"/>
      <c r="AM1511" s="809"/>
      <c r="AN1511" s="809"/>
      <c r="AO1511" s="809"/>
      <c r="AP1511" s="809"/>
      <c r="AQ1511" s="809"/>
      <c r="AR1511" s="809"/>
      <c r="AS1511" s="809"/>
      <c r="AT1511" s="809"/>
      <c r="AU1511" s="809"/>
      <c r="AV1511" s="809"/>
      <c r="AW1511" s="809"/>
      <c r="AX1511" s="809"/>
      <c r="AY1511" s="809"/>
      <c r="AZ1511" s="809"/>
      <c r="BA1511" s="809"/>
      <c r="BB1511" s="809"/>
      <c r="BC1511" s="809"/>
      <c r="BD1511" s="809"/>
      <c r="BE1511" s="809"/>
      <c r="BF1511" s="809"/>
      <c r="BG1511" s="809"/>
      <c r="BH1511" s="809"/>
      <c r="BI1511" s="809"/>
      <c r="BJ1511" s="809"/>
      <c r="BK1511" s="809"/>
      <c r="BL1511" s="809"/>
      <c r="BM1511" s="809"/>
      <c r="BN1511" s="809"/>
    </row>
    <row r="1512" spans="1:66">
      <c r="A1512" s="809"/>
      <c r="B1512" s="809"/>
      <c r="C1512" s="809"/>
      <c r="D1512" s="809"/>
      <c r="E1512" s="809"/>
      <c r="F1512" s="809"/>
      <c r="G1512" s="809"/>
      <c r="H1512" s="809"/>
      <c r="I1512" s="809"/>
      <c r="J1512" s="809"/>
      <c r="K1512" s="809"/>
      <c r="L1512" s="809"/>
      <c r="M1512" s="809"/>
      <c r="N1512" s="809"/>
      <c r="O1512" s="809"/>
      <c r="P1512" s="809"/>
      <c r="Q1512" s="809"/>
      <c r="R1512" s="809"/>
      <c r="S1512" s="809"/>
      <c r="T1512" s="809"/>
      <c r="U1512" s="809"/>
      <c r="V1512" s="809"/>
      <c r="W1512" s="809"/>
      <c r="X1512" s="809"/>
      <c r="Y1512" s="809"/>
      <c r="Z1512" s="809"/>
      <c r="AA1512" s="809"/>
      <c r="AB1512" s="809"/>
      <c r="AC1512" s="809"/>
      <c r="AD1512" s="809"/>
      <c r="AE1512" s="809"/>
      <c r="AF1512" s="809"/>
      <c r="AG1512" s="809"/>
      <c r="AH1512" s="809"/>
      <c r="AI1512" s="809"/>
      <c r="AJ1512" s="809"/>
      <c r="AK1512" s="809"/>
      <c r="AL1512" s="809"/>
      <c r="AM1512" s="809"/>
      <c r="AN1512" s="809"/>
      <c r="AO1512" s="809"/>
      <c r="AP1512" s="809"/>
      <c r="AQ1512" s="809"/>
      <c r="AR1512" s="809"/>
      <c r="AS1512" s="809"/>
      <c r="AT1512" s="809"/>
      <c r="AU1512" s="809"/>
      <c r="AV1512" s="809"/>
      <c r="AW1512" s="809"/>
      <c r="AX1512" s="809"/>
      <c r="AY1512" s="809"/>
      <c r="AZ1512" s="809"/>
      <c r="BA1512" s="809"/>
      <c r="BB1512" s="809"/>
      <c r="BC1512" s="809"/>
      <c r="BD1512" s="809"/>
      <c r="BE1512" s="809"/>
      <c r="BF1512" s="809"/>
      <c r="BG1512" s="809"/>
      <c r="BH1512" s="809"/>
      <c r="BI1512" s="809"/>
      <c r="BJ1512" s="809"/>
      <c r="BK1512" s="809"/>
      <c r="BL1512" s="809"/>
      <c r="BM1512" s="809"/>
      <c r="BN1512" s="809"/>
    </row>
    <row r="1513" spans="1:66">
      <c r="A1513" s="809"/>
      <c r="B1513" s="809"/>
      <c r="C1513" s="809"/>
      <c r="D1513" s="809"/>
      <c r="E1513" s="809"/>
      <c r="F1513" s="809"/>
      <c r="G1513" s="809"/>
      <c r="H1513" s="809"/>
      <c r="I1513" s="809"/>
      <c r="J1513" s="809"/>
      <c r="K1513" s="809"/>
      <c r="L1513" s="809"/>
      <c r="M1513" s="809"/>
      <c r="N1513" s="809"/>
      <c r="O1513" s="809"/>
      <c r="P1513" s="809"/>
      <c r="Q1513" s="809"/>
      <c r="R1513" s="809"/>
      <c r="S1513" s="809"/>
      <c r="T1513" s="809"/>
      <c r="U1513" s="809"/>
      <c r="V1513" s="809"/>
      <c r="W1513" s="809"/>
      <c r="X1513" s="809"/>
      <c r="Y1513" s="809"/>
      <c r="Z1513" s="809"/>
      <c r="AA1513" s="809"/>
      <c r="AB1513" s="809"/>
      <c r="AC1513" s="809"/>
      <c r="AD1513" s="809"/>
      <c r="AE1513" s="809"/>
      <c r="AF1513" s="809"/>
      <c r="AG1513" s="809"/>
      <c r="AH1513" s="809"/>
      <c r="AI1513" s="809"/>
      <c r="AJ1513" s="809"/>
      <c r="AK1513" s="809"/>
      <c r="AL1513" s="809"/>
      <c r="AM1513" s="809"/>
      <c r="AN1513" s="809"/>
      <c r="AO1513" s="809"/>
      <c r="AP1513" s="809"/>
      <c r="AQ1513" s="809"/>
      <c r="AR1513" s="809"/>
      <c r="AS1513" s="809"/>
      <c r="AT1513" s="809"/>
      <c r="AU1513" s="809"/>
      <c r="AV1513" s="809"/>
      <c r="AW1513" s="809"/>
      <c r="AX1513" s="809"/>
      <c r="AY1513" s="809"/>
      <c r="AZ1513" s="809"/>
      <c r="BA1513" s="809"/>
      <c r="BB1513" s="809"/>
      <c r="BC1513" s="809"/>
      <c r="BD1513" s="809"/>
      <c r="BE1513" s="809"/>
      <c r="BF1513" s="809"/>
      <c r="BG1513" s="809"/>
      <c r="BH1513" s="809"/>
      <c r="BI1513" s="809"/>
      <c r="BJ1513" s="809"/>
      <c r="BK1513" s="809"/>
      <c r="BL1513" s="809"/>
      <c r="BM1513" s="809"/>
      <c r="BN1513" s="809"/>
    </row>
    <row r="1514" spans="1:66">
      <c r="A1514" s="809"/>
      <c r="B1514" s="809"/>
      <c r="C1514" s="809"/>
      <c r="D1514" s="809"/>
      <c r="E1514" s="809"/>
      <c r="F1514" s="809"/>
      <c r="G1514" s="809"/>
      <c r="H1514" s="809"/>
      <c r="I1514" s="809"/>
      <c r="J1514" s="809"/>
      <c r="K1514" s="809"/>
      <c r="L1514" s="809"/>
      <c r="M1514" s="809"/>
      <c r="N1514" s="809"/>
      <c r="O1514" s="809"/>
      <c r="P1514" s="809"/>
      <c r="Q1514" s="809"/>
      <c r="R1514" s="809"/>
      <c r="S1514" s="809"/>
      <c r="T1514" s="809"/>
      <c r="U1514" s="809"/>
      <c r="V1514" s="809"/>
      <c r="W1514" s="809"/>
      <c r="X1514" s="809"/>
      <c r="Y1514" s="809"/>
      <c r="Z1514" s="809"/>
      <c r="AA1514" s="809"/>
      <c r="AB1514" s="809"/>
      <c r="AC1514" s="809"/>
      <c r="AD1514" s="809"/>
      <c r="AE1514" s="809"/>
      <c r="AF1514" s="809"/>
      <c r="AG1514" s="809"/>
      <c r="AH1514" s="809"/>
      <c r="AI1514" s="809"/>
      <c r="AJ1514" s="809"/>
      <c r="AK1514" s="809"/>
      <c r="AL1514" s="809"/>
      <c r="AM1514" s="809"/>
      <c r="AN1514" s="809"/>
      <c r="AO1514" s="809"/>
      <c r="AP1514" s="809"/>
      <c r="AQ1514" s="809"/>
      <c r="AR1514" s="809"/>
      <c r="AS1514" s="809"/>
      <c r="AT1514" s="809"/>
      <c r="AU1514" s="809"/>
      <c r="AV1514" s="809"/>
      <c r="AW1514" s="809"/>
      <c r="AX1514" s="809"/>
      <c r="AY1514" s="809"/>
      <c r="AZ1514" s="809"/>
      <c r="BA1514" s="809"/>
      <c r="BB1514" s="809"/>
      <c r="BC1514" s="809"/>
      <c r="BD1514" s="809"/>
      <c r="BE1514" s="809"/>
      <c r="BF1514" s="809"/>
      <c r="BG1514" s="809"/>
      <c r="BH1514" s="809"/>
      <c r="BI1514" s="809"/>
      <c r="BJ1514" s="809"/>
      <c r="BK1514" s="809"/>
      <c r="BL1514" s="809"/>
      <c r="BM1514" s="809"/>
      <c r="BN1514" s="809"/>
    </row>
    <row r="1515" spans="1:66">
      <c r="A1515" s="809"/>
      <c r="B1515" s="809"/>
      <c r="C1515" s="809"/>
      <c r="D1515" s="809"/>
      <c r="E1515" s="809"/>
      <c r="F1515" s="809"/>
      <c r="G1515" s="809"/>
      <c r="H1515" s="809"/>
      <c r="I1515" s="809"/>
      <c r="J1515" s="809"/>
      <c r="K1515" s="809"/>
      <c r="L1515" s="809"/>
      <c r="M1515" s="809"/>
      <c r="N1515" s="809"/>
      <c r="O1515" s="809"/>
      <c r="P1515" s="809"/>
      <c r="Q1515" s="809"/>
      <c r="R1515" s="809"/>
      <c r="S1515" s="809"/>
      <c r="T1515" s="809"/>
      <c r="U1515" s="809"/>
      <c r="V1515" s="809"/>
      <c r="W1515" s="809"/>
      <c r="X1515" s="809"/>
      <c r="Y1515" s="809"/>
      <c r="Z1515" s="809"/>
      <c r="AA1515" s="809"/>
      <c r="AB1515" s="809"/>
      <c r="AC1515" s="809"/>
      <c r="AD1515" s="809"/>
      <c r="AE1515" s="809"/>
      <c r="AF1515" s="809"/>
      <c r="AG1515" s="809"/>
      <c r="AH1515" s="809"/>
      <c r="AI1515" s="809"/>
      <c r="AJ1515" s="809"/>
      <c r="AK1515" s="809"/>
      <c r="AL1515" s="809"/>
      <c r="AM1515" s="809"/>
      <c r="AN1515" s="809"/>
      <c r="AO1515" s="809"/>
      <c r="AP1515" s="809"/>
      <c r="AQ1515" s="809"/>
      <c r="AR1515" s="809"/>
      <c r="AS1515" s="809"/>
      <c r="AT1515" s="809"/>
      <c r="AU1515" s="809"/>
      <c r="AV1515" s="809"/>
      <c r="AW1515" s="809"/>
      <c r="AX1515" s="809"/>
      <c r="AY1515" s="809"/>
      <c r="AZ1515" s="809"/>
      <c r="BA1515" s="809"/>
      <c r="BB1515" s="809"/>
      <c r="BC1515" s="809"/>
      <c r="BD1515" s="809"/>
      <c r="BE1515" s="809"/>
      <c r="BF1515" s="809"/>
      <c r="BG1515" s="809"/>
      <c r="BH1515" s="809"/>
      <c r="BI1515" s="809"/>
      <c r="BJ1515" s="809"/>
      <c r="BK1515" s="809"/>
      <c r="BL1515" s="809"/>
      <c r="BM1515" s="809"/>
      <c r="BN1515" s="809"/>
    </row>
    <row r="1516" spans="1:66">
      <c r="A1516" s="809"/>
      <c r="B1516" s="809"/>
      <c r="C1516" s="809"/>
      <c r="D1516" s="809"/>
      <c r="E1516" s="809"/>
      <c r="F1516" s="809"/>
      <c r="G1516" s="809"/>
      <c r="H1516" s="809"/>
      <c r="I1516" s="809"/>
      <c r="J1516" s="809"/>
      <c r="K1516" s="809"/>
      <c r="L1516" s="809"/>
      <c r="M1516" s="809"/>
      <c r="N1516" s="809"/>
      <c r="O1516" s="809"/>
      <c r="P1516" s="809"/>
      <c r="Q1516" s="809"/>
      <c r="R1516" s="809"/>
      <c r="S1516" s="809"/>
      <c r="T1516" s="809"/>
      <c r="U1516" s="809"/>
      <c r="V1516" s="809"/>
      <c r="W1516" s="809"/>
      <c r="X1516" s="809"/>
      <c r="Y1516" s="809"/>
      <c r="Z1516" s="809"/>
      <c r="AA1516" s="809"/>
      <c r="AB1516" s="809"/>
      <c r="AC1516" s="809"/>
      <c r="AD1516" s="809"/>
      <c r="AE1516" s="809"/>
      <c r="AF1516" s="809"/>
      <c r="AG1516" s="809"/>
      <c r="AH1516" s="809"/>
      <c r="AI1516" s="809"/>
      <c r="AJ1516" s="809"/>
      <c r="AK1516" s="809"/>
      <c r="AL1516" s="809"/>
      <c r="AM1516" s="809"/>
      <c r="AN1516" s="809"/>
      <c r="AO1516" s="809"/>
      <c r="AP1516" s="809"/>
      <c r="AQ1516" s="809"/>
      <c r="AR1516" s="809"/>
      <c r="AS1516" s="809"/>
      <c r="AT1516" s="809"/>
      <c r="AU1516" s="809"/>
      <c r="AV1516" s="809"/>
      <c r="AW1516" s="809"/>
      <c r="AX1516" s="809"/>
      <c r="AY1516" s="809"/>
      <c r="AZ1516" s="809"/>
      <c r="BA1516" s="809"/>
      <c r="BB1516" s="809"/>
      <c r="BC1516" s="809"/>
      <c r="BD1516" s="809"/>
      <c r="BE1516" s="809"/>
      <c r="BF1516" s="809"/>
      <c r="BG1516" s="809"/>
      <c r="BH1516" s="809"/>
      <c r="BI1516" s="809"/>
      <c r="BJ1516" s="809"/>
      <c r="BK1516" s="809"/>
      <c r="BL1516" s="809"/>
      <c r="BM1516" s="809"/>
      <c r="BN1516" s="809"/>
    </row>
    <row r="1517" spans="1:66">
      <c r="A1517" s="809"/>
      <c r="B1517" s="809"/>
      <c r="C1517" s="809"/>
      <c r="D1517" s="809"/>
      <c r="E1517" s="809"/>
      <c r="F1517" s="809"/>
      <c r="G1517" s="809"/>
      <c r="H1517" s="809"/>
      <c r="I1517" s="809"/>
      <c r="J1517" s="809"/>
      <c r="K1517" s="809"/>
      <c r="L1517" s="809"/>
      <c r="M1517" s="809"/>
      <c r="N1517" s="809"/>
      <c r="O1517" s="809"/>
      <c r="P1517" s="809"/>
      <c r="Q1517" s="809"/>
      <c r="R1517" s="809"/>
      <c r="S1517" s="809"/>
      <c r="T1517" s="809"/>
      <c r="U1517" s="809"/>
      <c r="V1517" s="809"/>
      <c r="W1517" s="809"/>
      <c r="X1517" s="809"/>
      <c r="Y1517" s="809"/>
      <c r="Z1517" s="809"/>
      <c r="AA1517" s="809"/>
      <c r="AB1517" s="809"/>
      <c r="AC1517" s="809"/>
      <c r="AD1517" s="809"/>
      <c r="AE1517" s="809"/>
      <c r="AF1517" s="809"/>
      <c r="AG1517" s="809"/>
      <c r="AH1517" s="809"/>
      <c r="AI1517" s="809"/>
      <c r="AJ1517" s="809"/>
      <c r="AK1517" s="809"/>
      <c r="AL1517" s="809"/>
      <c r="AM1517" s="809"/>
      <c r="AN1517" s="809"/>
      <c r="AO1517" s="809"/>
      <c r="AP1517" s="809"/>
      <c r="AQ1517" s="809"/>
      <c r="AR1517" s="809"/>
      <c r="AS1517" s="809"/>
      <c r="AT1517" s="809"/>
      <c r="AU1517" s="809"/>
      <c r="AV1517" s="809"/>
      <c r="AW1517" s="809"/>
      <c r="AX1517" s="809"/>
      <c r="AY1517" s="809"/>
      <c r="AZ1517" s="809"/>
      <c r="BA1517" s="809"/>
      <c r="BB1517" s="809"/>
      <c r="BC1517" s="809"/>
      <c r="BD1517" s="809"/>
      <c r="BE1517" s="809"/>
      <c r="BF1517" s="809"/>
      <c r="BG1517" s="809"/>
      <c r="BH1517" s="809"/>
      <c r="BI1517" s="809"/>
      <c r="BJ1517" s="809"/>
      <c r="BK1517" s="809"/>
      <c r="BL1517" s="809"/>
      <c r="BM1517" s="809"/>
      <c r="BN1517" s="809"/>
    </row>
    <row r="1518" spans="1:66">
      <c r="A1518" s="809"/>
      <c r="B1518" s="809"/>
      <c r="C1518" s="809"/>
      <c r="D1518" s="809"/>
      <c r="E1518" s="809"/>
      <c r="F1518" s="809"/>
      <c r="G1518" s="809"/>
      <c r="H1518" s="809"/>
      <c r="I1518" s="809"/>
      <c r="J1518" s="809"/>
      <c r="K1518" s="809"/>
      <c r="L1518" s="809"/>
      <c r="M1518" s="809"/>
      <c r="N1518" s="809"/>
      <c r="O1518" s="809"/>
      <c r="P1518" s="809"/>
      <c r="Q1518" s="809"/>
      <c r="R1518" s="809"/>
      <c r="S1518" s="809"/>
      <c r="T1518" s="809"/>
      <c r="U1518" s="809"/>
      <c r="V1518" s="809"/>
      <c r="W1518" s="809"/>
      <c r="X1518" s="809"/>
      <c r="Y1518" s="809"/>
      <c r="Z1518" s="809"/>
      <c r="AA1518" s="809"/>
      <c r="AB1518" s="809"/>
      <c r="AC1518" s="809"/>
      <c r="AD1518" s="809"/>
      <c r="AE1518" s="809"/>
      <c r="AF1518" s="809"/>
      <c r="AG1518" s="809"/>
      <c r="AH1518" s="809"/>
      <c r="AI1518" s="809"/>
      <c r="AJ1518" s="809"/>
      <c r="AK1518" s="809"/>
      <c r="AL1518" s="809"/>
      <c r="AM1518" s="809"/>
      <c r="AN1518" s="809"/>
      <c r="AO1518" s="809"/>
      <c r="AP1518" s="809"/>
      <c r="AQ1518" s="809"/>
      <c r="AR1518" s="809"/>
      <c r="AS1518" s="809"/>
      <c r="AT1518" s="809"/>
      <c r="AU1518" s="809"/>
      <c r="AV1518" s="809"/>
      <c r="AW1518" s="809"/>
      <c r="AX1518" s="809"/>
      <c r="AY1518" s="809"/>
      <c r="AZ1518" s="809"/>
      <c r="BA1518" s="809"/>
      <c r="BB1518" s="809"/>
      <c r="BC1518" s="809"/>
      <c r="BD1518" s="809"/>
      <c r="BE1518" s="809"/>
      <c r="BF1518" s="809"/>
      <c r="BG1518" s="809"/>
      <c r="BH1518" s="809"/>
      <c r="BI1518" s="809"/>
      <c r="BJ1518" s="809"/>
      <c r="BK1518" s="809"/>
      <c r="BL1518" s="809"/>
      <c r="BM1518" s="809"/>
      <c r="BN1518" s="809"/>
    </row>
    <row r="1519" spans="1:66">
      <c r="A1519" s="809"/>
      <c r="B1519" s="809"/>
      <c r="C1519" s="809"/>
      <c r="D1519" s="809"/>
      <c r="E1519" s="809"/>
      <c r="F1519" s="809"/>
      <c r="G1519" s="809"/>
      <c r="H1519" s="809"/>
      <c r="I1519" s="809"/>
      <c r="J1519" s="809"/>
      <c r="K1519" s="809"/>
      <c r="L1519" s="809"/>
      <c r="M1519" s="809"/>
      <c r="N1519" s="809"/>
      <c r="O1519" s="809"/>
      <c r="P1519" s="809"/>
      <c r="Q1519" s="809"/>
      <c r="R1519" s="809"/>
      <c r="S1519" s="809"/>
      <c r="T1519" s="809"/>
      <c r="U1519" s="809"/>
      <c r="V1519" s="809"/>
      <c r="W1519" s="809"/>
      <c r="X1519" s="809"/>
      <c r="Y1519" s="809"/>
      <c r="Z1519" s="809"/>
      <c r="AA1519" s="809"/>
      <c r="AB1519" s="809"/>
      <c r="AC1519" s="809"/>
      <c r="AD1519" s="809"/>
      <c r="AE1519" s="809"/>
      <c r="AF1519" s="809"/>
      <c r="AG1519" s="809"/>
      <c r="AH1519" s="809"/>
      <c r="AI1519" s="809"/>
      <c r="AJ1519" s="809"/>
      <c r="AK1519" s="809"/>
      <c r="AL1519" s="809"/>
      <c r="AM1519" s="809"/>
      <c r="AN1519" s="809"/>
      <c r="AO1519" s="809"/>
      <c r="AP1519" s="809"/>
      <c r="AQ1519" s="809"/>
      <c r="AR1519" s="809"/>
      <c r="AS1519" s="809"/>
      <c r="AT1519" s="809"/>
      <c r="AU1519" s="809"/>
      <c r="AV1519" s="809"/>
      <c r="AW1519" s="809"/>
      <c r="AX1519" s="809"/>
      <c r="AY1519" s="809"/>
      <c r="AZ1519" s="809"/>
      <c r="BA1519" s="809"/>
      <c r="BB1519" s="809"/>
      <c r="BC1519" s="809"/>
      <c r="BD1519" s="809"/>
      <c r="BE1519" s="809"/>
      <c r="BF1519" s="809"/>
      <c r="BG1519" s="809"/>
      <c r="BH1519" s="809"/>
      <c r="BI1519" s="809"/>
      <c r="BJ1519" s="809"/>
      <c r="BK1519" s="809"/>
      <c r="BL1519" s="809"/>
      <c r="BM1519" s="809"/>
      <c r="BN1519" s="809"/>
    </row>
    <row r="1520" spans="1:66">
      <c r="A1520" s="809"/>
      <c r="B1520" s="809"/>
      <c r="C1520" s="809"/>
      <c r="D1520" s="809"/>
      <c r="E1520" s="809"/>
      <c r="F1520" s="809"/>
      <c r="G1520" s="809"/>
      <c r="H1520" s="809"/>
      <c r="I1520" s="809"/>
      <c r="J1520" s="809"/>
      <c r="K1520" s="809"/>
      <c r="L1520" s="809"/>
      <c r="M1520" s="809"/>
      <c r="N1520" s="809"/>
      <c r="O1520" s="809"/>
      <c r="P1520" s="809"/>
      <c r="Q1520" s="809"/>
      <c r="R1520" s="809"/>
      <c r="S1520" s="809"/>
      <c r="T1520" s="809"/>
      <c r="U1520" s="809"/>
      <c r="V1520" s="809"/>
      <c r="W1520" s="809"/>
      <c r="X1520" s="809"/>
      <c r="Y1520" s="809"/>
      <c r="Z1520" s="809"/>
      <c r="AA1520" s="809"/>
      <c r="AB1520" s="809"/>
      <c r="AC1520" s="809"/>
      <c r="AD1520" s="809"/>
      <c r="AE1520" s="809"/>
      <c r="AF1520" s="809"/>
      <c r="AG1520" s="809"/>
      <c r="AH1520" s="809"/>
      <c r="AI1520" s="809"/>
      <c r="AJ1520" s="809"/>
      <c r="AK1520" s="809"/>
      <c r="AL1520" s="809"/>
      <c r="AM1520" s="809"/>
      <c r="AN1520" s="809"/>
      <c r="AO1520" s="809"/>
      <c r="AP1520" s="809"/>
      <c r="AQ1520" s="809"/>
      <c r="AR1520" s="809"/>
      <c r="AS1520" s="809"/>
      <c r="AT1520" s="809"/>
      <c r="AU1520" s="809"/>
      <c r="AV1520" s="809"/>
      <c r="AW1520" s="809"/>
      <c r="AX1520" s="809"/>
      <c r="AY1520" s="809"/>
      <c r="AZ1520" s="809"/>
      <c r="BA1520" s="809"/>
      <c r="BB1520" s="809"/>
      <c r="BC1520" s="809"/>
      <c r="BD1520" s="809"/>
      <c r="BE1520" s="809"/>
      <c r="BF1520" s="809"/>
      <c r="BG1520" s="809"/>
      <c r="BH1520" s="809"/>
      <c r="BI1520" s="809"/>
      <c r="BJ1520" s="809"/>
      <c r="BK1520" s="809"/>
      <c r="BL1520" s="809"/>
      <c r="BM1520" s="809"/>
      <c r="BN1520" s="809"/>
    </row>
    <row r="1521" spans="1:66">
      <c r="A1521" s="809"/>
      <c r="B1521" s="809"/>
      <c r="C1521" s="809"/>
      <c r="D1521" s="809"/>
      <c r="E1521" s="809"/>
      <c r="F1521" s="809"/>
      <c r="G1521" s="809"/>
      <c r="H1521" s="809"/>
      <c r="I1521" s="809"/>
      <c r="J1521" s="809"/>
      <c r="K1521" s="809"/>
      <c r="L1521" s="809"/>
      <c r="M1521" s="809"/>
      <c r="N1521" s="809"/>
      <c r="O1521" s="809"/>
      <c r="P1521" s="809"/>
      <c r="Q1521" s="809"/>
      <c r="R1521" s="809"/>
      <c r="S1521" s="809"/>
      <c r="T1521" s="809"/>
      <c r="U1521" s="809"/>
      <c r="V1521" s="809"/>
      <c r="W1521" s="809"/>
      <c r="X1521" s="809"/>
      <c r="Y1521" s="809"/>
      <c r="Z1521" s="809"/>
      <c r="AA1521" s="809"/>
      <c r="AB1521" s="809"/>
      <c r="AC1521" s="809"/>
      <c r="AD1521" s="809"/>
      <c r="AE1521" s="809"/>
      <c r="AF1521" s="809"/>
      <c r="AG1521" s="809"/>
      <c r="AH1521" s="809"/>
      <c r="AI1521" s="809"/>
      <c r="AJ1521" s="809"/>
      <c r="AK1521" s="809"/>
      <c r="AL1521" s="809"/>
      <c r="AM1521" s="809"/>
      <c r="AN1521" s="809"/>
      <c r="AO1521" s="809"/>
      <c r="AP1521" s="809"/>
      <c r="AQ1521" s="809"/>
      <c r="AR1521" s="809"/>
      <c r="AS1521" s="809"/>
      <c r="AT1521" s="809"/>
      <c r="AU1521" s="809"/>
      <c r="AV1521" s="809"/>
      <c r="AW1521" s="809"/>
      <c r="AX1521" s="809"/>
      <c r="AY1521" s="809"/>
      <c r="AZ1521" s="809"/>
      <c r="BA1521" s="809"/>
      <c r="BB1521" s="809"/>
      <c r="BC1521" s="809"/>
      <c r="BD1521" s="809"/>
      <c r="BE1521" s="809"/>
      <c r="BF1521" s="809"/>
      <c r="BG1521" s="809"/>
      <c r="BH1521" s="809"/>
      <c r="BI1521" s="809"/>
      <c r="BJ1521" s="809"/>
      <c r="BK1521" s="809"/>
      <c r="BL1521" s="809"/>
      <c r="BM1521" s="809"/>
      <c r="BN1521" s="809"/>
    </row>
    <row r="1522" spans="1:66">
      <c r="A1522" s="809"/>
      <c r="B1522" s="809"/>
      <c r="C1522" s="809"/>
      <c r="D1522" s="809"/>
      <c r="E1522" s="809"/>
      <c r="F1522" s="809"/>
      <c r="G1522" s="809"/>
      <c r="H1522" s="809"/>
      <c r="I1522" s="809"/>
      <c r="J1522" s="809"/>
      <c r="K1522" s="809"/>
      <c r="L1522" s="809"/>
      <c r="M1522" s="809"/>
      <c r="N1522" s="809"/>
      <c r="O1522" s="809"/>
      <c r="P1522" s="809"/>
      <c r="Q1522" s="809"/>
      <c r="R1522" s="809"/>
      <c r="S1522" s="809"/>
      <c r="T1522" s="809"/>
      <c r="U1522" s="809"/>
      <c r="V1522" s="809"/>
      <c r="W1522" s="809"/>
      <c r="X1522" s="809"/>
      <c r="Y1522" s="809"/>
      <c r="Z1522" s="809"/>
      <c r="AA1522" s="809"/>
      <c r="AB1522" s="809"/>
      <c r="AC1522" s="809"/>
      <c r="AD1522" s="809"/>
      <c r="AE1522" s="809"/>
      <c r="AF1522" s="809"/>
      <c r="AG1522" s="809"/>
      <c r="AH1522" s="809"/>
      <c r="AI1522" s="809"/>
      <c r="AJ1522" s="809"/>
      <c r="AK1522" s="809"/>
      <c r="AL1522" s="809"/>
      <c r="AM1522" s="809"/>
      <c r="AN1522" s="809"/>
      <c r="AO1522" s="809"/>
      <c r="AP1522" s="809"/>
      <c r="AQ1522" s="809"/>
      <c r="AR1522" s="809"/>
      <c r="AS1522" s="809"/>
      <c r="AT1522" s="809"/>
      <c r="AU1522" s="809"/>
      <c r="AV1522" s="809"/>
      <c r="AW1522" s="809"/>
      <c r="AX1522" s="809"/>
      <c r="AY1522" s="809"/>
      <c r="AZ1522" s="809"/>
      <c r="BA1522" s="809"/>
      <c r="BB1522" s="809"/>
      <c r="BC1522" s="809"/>
      <c r="BD1522" s="809"/>
      <c r="BE1522" s="809"/>
      <c r="BF1522" s="809"/>
      <c r="BG1522" s="809"/>
      <c r="BH1522" s="809"/>
      <c r="BI1522" s="809"/>
      <c r="BJ1522" s="809"/>
      <c r="BK1522" s="809"/>
      <c r="BL1522" s="809"/>
      <c r="BM1522" s="809"/>
      <c r="BN1522" s="809"/>
    </row>
    <row r="1523" spans="1:66">
      <c r="A1523" s="809"/>
      <c r="B1523" s="809"/>
      <c r="C1523" s="809"/>
      <c r="D1523" s="809"/>
      <c r="E1523" s="809"/>
      <c r="F1523" s="809"/>
      <c r="G1523" s="809"/>
      <c r="H1523" s="809"/>
      <c r="I1523" s="809"/>
      <c r="J1523" s="809"/>
      <c r="K1523" s="809"/>
      <c r="L1523" s="809"/>
      <c r="M1523" s="809"/>
      <c r="N1523" s="809"/>
      <c r="O1523" s="809"/>
      <c r="P1523" s="809"/>
      <c r="Q1523" s="809"/>
      <c r="R1523" s="809"/>
      <c r="S1523" s="809"/>
      <c r="T1523" s="809"/>
      <c r="U1523" s="809"/>
      <c r="V1523" s="809"/>
      <c r="W1523" s="809"/>
      <c r="X1523" s="809"/>
      <c r="Y1523" s="809"/>
      <c r="Z1523" s="809"/>
      <c r="AA1523" s="809"/>
      <c r="AB1523" s="809"/>
      <c r="AC1523" s="809"/>
      <c r="AD1523" s="809"/>
      <c r="AE1523" s="809"/>
      <c r="AF1523" s="809"/>
      <c r="AG1523" s="809"/>
      <c r="AH1523" s="809"/>
      <c r="AI1523" s="809"/>
      <c r="AJ1523" s="809"/>
      <c r="AK1523" s="809"/>
      <c r="AL1523" s="809"/>
      <c r="AM1523" s="809"/>
      <c r="AN1523" s="809"/>
      <c r="AO1523" s="809"/>
      <c r="AP1523" s="809"/>
      <c r="AQ1523" s="809"/>
      <c r="AR1523" s="809"/>
      <c r="AS1523" s="809"/>
      <c r="AT1523" s="809"/>
      <c r="AU1523" s="809"/>
      <c r="AV1523" s="809"/>
      <c r="AW1523" s="809"/>
      <c r="AX1523" s="809"/>
      <c r="AY1523" s="809"/>
      <c r="AZ1523" s="809"/>
      <c r="BA1523" s="809"/>
      <c r="BB1523" s="809"/>
      <c r="BC1523" s="809"/>
      <c r="BD1523" s="809"/>
      <c r="BE1523" s="809"/>
      <c r="BF1523" s="809"/>
      <c r="BG1523" s="809"/>
      <c r="BH1523" s="809"/>
      <c r="BI1523" s="809"/>
      <c r="BJ1523" s="809"/>
      <c r="BK1523" s="809"/>
      <c r="BL1523" s="809"/>
      <c r="BM1523" s="809"/>
      <c r="BN1523" s="809"/>
    </row>
    <row r="1524" spans="1:66">
      <c r="A1524" s="809"/>
      <c r="B1524" s="809"/>
      <c r="C1524" s="809"/>
      <c r="D1524" s="809"/>
      <c r="E1524" s="809"/>
      <c r="F1524" s="809"/>
      <c r="G1524" s="809"/>
      <c r="H1524" s="809"/>
      <c r="I1524" s="809"/>
      <c r="J1524" s="809"/>
      <c r="K1524" s="809"/>
      <c r="L1524" s="809"/>
      <c r="M1524" s="809"/>
      <c r="N1524" s="809"/>
      <c r="O1524" s="809"/>
      <c r="P1524" s="809"/>
      <c r="Q1524" s="809"/>
      <c r="R1524" s="809"/>
      <c r="S1524" s="809"/>
      <c r="T1524" s="809"/>
      <c r="U1524" s="809"/>
      <c r="V1524" s="809"/>
      <c r="W1524" s="809"/>
      <c r="X1524" s="809"/>
      <c r="Y1524" s="809"/>
      <c r="Z1524" s="809"/>
      <c r="AA1524" s="809"/>
      <c r="AB1524" s="809"/>
      <c r="AC1524" s="809"/>
      <c r="AD1524" s="809"/>
      <c r="AE1524" s="809"/>
      <c r="AF1524" s="809"/>
      <c r="AG1524" s="809"/>
      <c r="AH1524" s="809"/>
      <c r="AI1524" s="809"/>
      <c r="AJ1524" s="809"/>
      <c r="AK1524" s="809"/>
      <c r="AL1524" s="809"/>
      <c r="AM1524" s="809"/>
      <c r="AN1524" s="809"/>
      <c r="AO1524" s="809"/>
      <c r="AP1524" s="809"/>
      <c r="AQ1524" s="809"/>
      <c r="AR1524" s="809"/>
      <c r="AS1524" s="809"/>
      <c r="AT1524" s="809"/>
      <c r="AU1524" s="809"/>
      <c r="AV1524" s="809"/>
      <c r="AW1524" s="809"/>
      <c r="AX1524" s="809"/>
      <c r="AY1524" s="809"/>
      <c r="AZ1524" s="809"/>
      <c r="BA1524" s="809"/>
      <c r="BB1524" s="809"/>
      <c r="BC1524" s="809"/>
      <c r="BD1524" s="809"/>
      <c r="BE1524" s="809"/>
      <c r="BF1524" s="809"/>
      <c r="BG1524" s="809"/>
      <c r="BH1524" s="809"/>
      <c r="BI1524" s="809"/>
      <c r="BJ1524" s="809"/>
      <c r="BK1524" s="809"/>
      <c r="BL1524" s="809"/>
      <c r="BM1524" s="809"/>
      <c r="BN1524" s="809"/>
    </row>
    <row r="1525" spans="1:66">
      <c r="A1525" s="809"/>
      <c r="B1525" s="809"/>
      <c r="C1525" s="809"/>
      <c r="D1525" s="809"/>
      <c r="E1525" s="809"/>
      <c r="F1525" s="809"/>
      <c r="G1525" s="809"/>
      <c r="H1525" s="809"/>
      <c r="I1525" s="809"/>
      <c r="J1525" s="809"/>
      <c r="K1525" s="809"/>
      <c r="L1525" s="809"/>
      <c r="M1525" s="809"/>
      <c r="N1525" s="809"/>
      <c r="O1525" s="809"/>
      <c r="P1525" s="809"/>
      <c r="Q1525" s="809"/>
      <c r="R1525" s="809"/>
      <c r="S1525" s="809"/>
      <c r="T1525" s="809"/>
      <c r="U1525" s="809"/>
      <c r="V1525" s="809"/>
      <c r="W1525" s="809"/>
      <c r="X1525" s="809"/>
      <c r="Y1525" s="809"/>
      <c r="Z1525" s="809"/>
      <c r="AA1525" s="809"/>
      <c r="AB1525" s="809"/>
      <c r="AC1525" s="809"/>
      <c r="AD1525" s="809"/>
      <c r="AE1525" s="809"/>
      <c r="AF1525" s="809"/>
      <c r="AG1525" s="809"/>
      <c r="AH1525" s="809"/>
      <c r="AI1525" s="809"/>
      <c r="AJ1525" s="809"/>
      <c r="AK1525" s="809"/>
      <c r="AL1525" s="809"/>
      <c r="AM1525" s="809"/>
      <c r="AN1525" s="809"/>
      <c r="AO1525" s="809"/>
      <c r="AP1525" s="809"/>
      <c r="AQ1525" s="809"/>
      <c r="AR1525" s="809"/>
      <c r="AS1525" s="809"/>
      <c r="AT1525" s="809"/>
      <c r="AU1525" s="809"/>
      <c r="AV1525" s="809"/>
      <c r="AW1525" s="809"/>
      <c r="AX1525" s="809"/>
      <c r="AY1525" s="809"/>
      <c r="AZ1525" s="809"/>
      <c r="BA1525" s="809"/>
      <c r="BB1525" s="809"/>
      <c r="BC1525" s="809"/>
      <c r="BD1525" s="809"/>
      <c r="BE1525" s="809"/>
      <c r="BF1525" s="809"/>
      <c r="BG1525" s="809"/>
      <c r="BH1525" s="809"/>
      <c r="BI1525" s="809"/>
      <c r="BJ1525" s="809"/>
      <c r="BK1525" s="809"/>
      <c r="BL1525" s="809"/>
      <c r="BM1525" s="809"/>
      <c r="BN1525" s="809"/>
    </row>
    <row r="1526" spans="1:66">
      <c r="A1526" s="809"/>
      <c r="B1526" s="809"/>
      <c r="C1526" s="809"/>
      <c r="D1526" s="809"/>
      <c r="E1526" s="809"/>
      <c r="F1526" s="809"/>
      <c r="G1526" s="809"/>
      <c r="H1526" s="809"/>
      <c r="I1526" s="809"/>
      <c r="J1526" s="809"/>
      <c r="K1526" s="809"/>
      <c r="L1526" s="809"/>
      <c r="M1526" s="809"/>
      <c r="N1526" s="809"/>
      <c r="O1526" s="809"/>
      <c r="P1526" s="809"/>
      <c r="Q1526" s="809"/>
      <c r="R1526" s="809"/>
      <c r="S1526" s="809"/>
      <c r="T1526" s="809"/>
      <c r="U1526" s="809"/>
      <c r="V1526" s="809"/>
      <c r="W1526" s="809"/>
      <c r="X1526" s="809"/>
      <c r="Y1526" s="809"/>
      <c r="Z1526" s="809"/>
      <c r="AA1526" s="809"/>
      <c r="AB1526" s="809"/>
      <c r="AC1526" s="809"/>
      <c r="AD1526" s="809"/>
      <c r="AE1526" s="809"/>
      <c r="AF1526" s="809"/>
      <c r="AG1526" s="809"/>
      <c r="AH1526" s="809"/>
      <c r="AI1526" s="809"/>
      <c r="AJ1526" s="809"/>
      <c r="AK1526" s="809"/>
      <c r="AL1526" s="809"/>
      <c r="AM1526" s="809"/>
      <c r="AN1526" s="809"/>
      <c r="AO1526" s="809"/>
      <c r="AP1526" s="809"/>
      <c r="AQ1526" s="809"/>
      <c r="AR1526" s="809"/>
      <c r="AS1526" s="809"/>
      <c r="AT1526" s="809"/>
      <c r="AU1526" s="809"/>
      <c r="AV1526" s="809"/>
      <c r="AW1526" s="809"/>
      <c r="AX1526" s="809"/>
      <c r="AY1526" s="809"/>
      <c r="AZ1526" s="809"/>
      <c r="BA1526" s="809"/>
      <c r="BB1526" s="809"/>
      <c r="BC1526" s="809"/>
      <c r="BD1526" s="809"/>
      <c r="BE1526" s="809"/>
      <c r="BF1526" s="809"/>
      <c r="BG1526" s="809"/>
      <c r="BH1526" s="809"/>
      <c r="BI1526" s="809"/>
      <c r="BJ1526" s="809"/>
      <c r="BK1526" s="809"/>
      <c r="BL1526" s="809"/>
      <c r="BM1526" s="809"/>
      <c r="BN1526" s="809"/>
    </row>
    <row r="1527" spans="1:66">
      <c r="A1527" s="809"/>
      <c r="B1527" s="809"/>
      <c r="C1527" s="809"/>
      <c r="D1527" s="809"/>
      <c r="E1527" s="809"/>
      <c r="F1527" s="809"/>
      <c r="G1527" s="809"/>
      <c r="H1527" s="809"/>
      <c r="I1527" s="809"/>
      <c r="J1527" s="809"/>
      <c r="K1527" s="809"/>
      <c r="L1527" s="809"/>
      <c r="M1527" s="809"/>
      <c r="N1527" s="809"/>
      <c r="O1527" s="809"/>
      <c r="P1527" s="809"/>
      <c r="Q1527" s="809"/>
      <c r="R1527" s="809"/>
      <c r="S1527" s="809"/>
      <c r="T1527" s="809"/>
      <c r="U1527" s="809"/>
      <c r="V1527" s="809"/>
      <c r="W1527" s="809"/>
      <c r="X1527" s="809"/>
      <c r="Y1527" s="809"/>
      <c r="Z1527" s="809"/>
      <c r="AA1527" s="809"/>
      <c r="AB1527" s="809"/>
      <c r="AC1527" s="809"/>
      <c r="AD1527" s="809"/>
      <c r="AE1527" s="809"/>
      <c r="AF1527" s="809"/>
      <c r="AG1527" s="809"/>
      <c r="AH1527" s="809"/>
      <c r="AI1527" s="809"/>
      <c r="AJ1527" s="809"/>
      <c r="AK1527" s="809"/>
      <c r="AL1527" s="809"/>
      <c r="AM1527" s="809"/>
      <c r="AN1527" s="809"/>
      <c r="AO1527" s="809"/>
      <c r="AP1527" s="809"/>
      <c r="AQ1527" s="809"/>
      <c r="AR1527" s="809"/>
      <c r="AS1527" s="809"/>
      <c r="AT1527" s="809"/>
      <c r="AU1527" s="809"/>
      <c r="AV1527" s="809"/>
      <c r="AW1527" s="809"/>
      <c r="AX1527" s="809"/>
      <c r="AY1527" s="809"/>
      <c r="AZ1527" s="809"/>
      <c r="BA1527" s="809"/>
      <c r="BB1527" s="809"/>
      <c r="BC1527" s="809"/>
      <c r="BD1527" s="809"/>
      <c r="BE1527" s="809"/>
      <c r="BF1527" s="809"/>
      <c r="BG1527" s="809"/>
      <c r="BH1527" s="809"/>
      <c r="BI1527" s="809"/>
      <c r="BJ1527" s="809"/>
      <c r="BK1527" s="809"/>
      <c r="BL1527" s="809"/>
      <c r="BM1527" s="809"/>
      <c r="BN1527" s="809"/>
    </row>
    <row r="1528" spans="1:66">
      <c r="A1528" s="809"/>
      <c r="B1528" s="809"/>
      <c r="C1528" s="809"/>
      <c r="D1528" s="809"/>
      <c r="E1528" s="809"/>
      <c r="F1528" s="809"/>
      <c r="G1528" s="809"/>
      <c r="H1528" s="809"/>
      <c r="I1528" s="809"/>
      <c r="J1528" s="809"/>
      <c r="K1528" s="809"/>
      <c r="L1528" s="809"/>
      <c r="M1528" s="809"/>
      <c r="N1528" s="809"/>
      <c r="O1528" s="809"/>
      <c r="P1528" s="809"/>
      <c r="Q1528" s="809"/>
      <c r="R1528" s="809"/>
      <c r="S1528" s="809"/>
      <c r="T1528" s="809"/>
      <c r="U1528" s="809"/>
      <c r="V1528" s="809"/>
      <c r="W1528" s="809"/>
      <c r="X1528" s="809"/>
      <c r="Y1528" s="809"/>
      <c r="Z1528" s="809"/>
      <c r="AA1528" s="809"/>
      <c r="AB1528" s="809"/>
      <c r="AC1528" s="809"/>
      <c r="AD1528" s="809"/>
      <c r="AE1528" s="809"/>
      <c r="AF1528" s="809"/>
      <c r="AG1528" s="809"/>
      <c r="AH1528" s="809"/>
      <c r="AI1528" s="809"/>
      <c r="AJ1528" s="809"/>
      <c r="AK1528" s="809"/>
      <c r="AL1528" s="809"/>
      <c r="AM1528" s="809"/>
      <c r="AN1528" s="809"/>
      <c r="AO1528" s="809"/>
      <c r="AP1528" s="809"/>
      <c r="AQ1528" s="809"/>
      <c r="AR1528" s="809"/>
      <c r="AS1528" s="809"/>
      <c r="AT1528" s="809"/>
      <c r="AU1528" s="809"/>
      <c r="AV1528" s="809"/>
      <c r="AW1528" s="809"/>
      <c r="AX1528" s="809"/>
      <c r="AY1528" s="809"/>
      <c r="AZ1528" s="809"/>
      <c r="BA1528" s="809"/>
      <c r="BB1528" s="809"/>
      <c r="BC1528" s="809"/>
      <c r="BD1528" s="809"/>
      <c r="BE1528" s="809"/>
      <c r="BF1528" s="809"/>
      <c r="BG1528" s="809"/>
      <c r="BH1528" s="809"/>
      <c r="BI1528" s="809"/>
      <c r="BJ1528" s="809"/>
      <c r="BK1528" s="809"/>
      <c r="BL1528" s="809"/>
      <c r="BM1528" s="809"/>
      <c r="BN1528" s="809"/>
    </row>
    <row r="1529" spans="1:66">
      <c r="A1529" s="809"/>
      <c r="B1529" s="809"/>
      <c r="C1529" s="809"/>
      <c r="D1529" s="809"/>
      <c r="E1529" s="809"/>
      <c r="F1529" s="809"/>
      <c r="G1529" s="809"/>
      <c r="H1529" s="809"/>
      <c r="I1529" s="809"/>
      <c r="J1529" s="809"/>
      <c r="K1529" s="809"/>
      <c r="L1529" s="809"/>
      <c r="M1529" s="809"/>
      <c r="N1529" s="809"/>
      <c r="O1529" s="809"/>
      <c r="P1529" s="809"/>
      <c r="Q1529" s="809"/>
      <c r="R1529" s="809"/>
      <c r="S1529" s="809"/>
      <c r="T1529" s="809"/>
      <c r="U1529" s="809"/>
      <c r="V1529" s="809"/>
      <c r="W1529" s="809"/>
      <c r="X1529" s="809"/>
      <c r="Y1529" s="809"/>
      <c r="Z1529" s="809"/>
      <c r="AA1529" s="809"/>
      <c r="AB1529" s="809"/>
      <c r="AC1529" s="809"/>
      <c r="AD1529" s="809"/>
      <c r="AE1529" s="809"/>
      <c r="AF1529" s="809"/>
      <c r="AG1529" s="809"/>
      <c r="AH1529" s="809"/>
      <c r="AI1529" s="809"/>
      <c r="AJ1529" s="809"/>
      <c r="AK1529" s="809"/>
      <c r="AL1529" s="809"/>
      <c r="AM1529" s="809"/>
      <c r="AN1529" s="809"/>
      <c r="AO1529" s="809"/>
      <c r="AP1529" s="809"/>
      <c r="AQ1529" s="809"/>
      <c r="AR1529" s="809"/>
      <c r="AS1529" s="809"/>
      <c r="AT1529" s="809"/>
      <c r="AU1529" s="809"/>
      <c r="AV1529" s="809"/>
      <c r="AW1529" s="809"/>
      <c r="AX1529" s="809"/>
      <c r="AY1529" s="809"/>
      <c r="AZ1529" s="809"/>
      <c r="BA1529" s="809"/>
      <c r="BB1529" s="809"/>
      <c r="BC1529" s="809"/>
      <c r="BD1529" s="809"/>
      <c r="BE1529" s="809"/>
      <c r="BF1529" s="809"/>
      <c r="BG1529" s="809"/>
      <c r="BH1529" s="809"/>
      <c r="BI1529" s="809"/>
      <c r="BJ1529" s="809"/>
      <c r="BK1529" s="809"/>
      <c r="BL1529" s="809"/>
      <c r="BM1529" s="809"/>
      <c r="BN1529" s="809"/>
    </row>
    <row r="1530" spans="1:66">
      <c r="A1530" s="809"/>
      <c r="B1530" s="809"/>
      <c r="C1530" s="809"/>
      <c r="D1530" s="809"/>
      <c r="E1530" s="809"/>
      <c r="F1530" s="809"/>
      <c r="G1530" s="809"/>
      <c r="H1530" s="809"/>
      <c r="I1530" s="809"/>
      <c r="J1530" s="809"/>
      <c r="K1530" s="809"/>
      <c r="L1530" s="809"/>
      <c r="M1530" s="809"/>
      <c r="N1530" s="809"/>
      <c r="O1530" s="809"/>
      <c r="P1530" s="809"/>
      <c r="Q1530" s="809"/>
      <c r="R1530" s="809"/>
      <c r="S1530" s="809"/>
      <c r="T1530" s="809"/>
      <c r="U1530" s="809"/>
      <c r="V1530" s="809"/>
      <c r="W1530" s="809"/>
      <c r="X1530" s="809"/>
      <c r="Y1530" s="809"/>
      <c r="Z1530" s="809"/>
      <c r="AA1530" s="809"/>
      <c r="AB1530" s="809"/>
      <c r="AC1530" s="809"/>
      <c r="AD1530" s="809"/>
      <c r="AE1530" s="809"/>
      <c r="AF1530" s="809"/>
      <c r="AG1530" s="809"/>
      <c r="AH1530" s="809"/>
      <c r="AI1530" s="809"/>
      <c r="AJ1530" s="809"/>
      <c r="AK1530" s="809"/>
      <c r="AL1530" s="809"/>
      <c r="AM1530" s="809"/>
      <c r="AN1530" s="809"/>
      <c r="AO1530" s="809"/>
      <c r="AP1530" s="809"/>
      <c r="AQ1530" s="809"/>
      <c r="AR1530" s="809"/>
      <c r="AS1530" s="809"/>
      <c r="AT1530" s="809"/>
      <c r="AU1530" s="809"/>
      <c r="AV1530" s="809"/>
      <c r="AW1530" s="809"/>
      <c r="AX1530" s="809"/>
      <c r="AY1530" s="809"/>
      <c r="AZ1530" s="809"/>
      <c r="BA1530" s="809"/>
      <c r="BB1530" s="809"/>
      <c r="BC1530" s="809"/>
      <c r="BD1530" s="809"/>
      <c r="BE1530" s="809"/>
      <c r="BF1530" s="809"/>
      <c r="BG1530" s="809"/>
      <c r="BH1530" s="809"/>
      <c r="BI1530" s="809"/>
      <c r="BJ1530" s="809"/>
      <c r="BK1530" s="809"/>
      <c r="BL1530" s="809"/>
      <c r="BM1530" s="809"/>
      <c r="BN1530" s="809"/>
    </row>
    <row r="1531" spans="1:66">
      <c r="A1531" s="809"/>
      <c r="B1531" s="809"/>
      <c r="C1531" s="809"/>
      <c r="D1531" s="809"/>
      <c r="E1531" s="809"/>
      <c r="F1531" s="809"/>
      <c r="G1531" s="809"/>
      <c r="H1531" s="809"/>
      <c r="I1531" s="809"/>
      <c r="J1531" s="809"/>
      <c r="K1531" s="809"/>
      <c r="L1531" s="809"/>
      <c r="M1531" s="809"/>
      <c r="N1531" s="809"/>
      <c r="O1531" s="809"/>
      <c r="P1531" s="809"/>
      <c r="Q1531" s="809"/>
      <c r="R1531" s="809"/>
      <c r="S1531" s="809"/>
      <c r="T1531" s="809"/>
      <c r="U1531" s="809"/>
      <c r="V1531" s="809"/>
      <c r="W1531" s="809"/>
      <c r="X1531" s="809"/>
      <c r="Y1531" s="809"/>
      <c r="Z1531" s="809"/>
      <c r="AA1531" s="809"/>
      <c r="AB1531" s="809"/>
      <c r="AC1531" s="809"/>
      <c r="AD1531" s="809"/>
      <c r="AE1531" s="809"/>
      <c r="AF1531" s="809"/>
      <c r="AG1531" s="809"/>
      <c r="AH1531" s="809"/>
      <c r="AI1531" s="809"/>
      <c r="AJ1531" s="809"/>
      <c r="AK1531" s="809"/>
      <c r="AL1531" s="809"/>
      <c r="AM1531" s="809"/>
      <c r="AN1531" s="809"/>
      <c r="AO1531" s="809"/>
      <c r="AP1531" s="809"/>
      <c r="AQ1531" s="809"/>
      <c r="AR1531" s="809"/>
      <c r="AS1531" s="809"/>
      <c r="AT1531" s="809"/>
      <c r="AU1531" s="809"/>
      <c r="AV1531" s="809"/>
      <c r="AW1531" s="809"/>
      <c r="AX1531" s="809"/>
      <c r="AY1531" s="809"/>
      <c r="AZ1531" s="809"/>
      <c r="BA1531" s="809"/>
      <c r="BB1531" s="809"/>
      <c r="BC1531" s="809"/>
      <c r="BD1531" s="809"/>
      <c r="BE1531" s="809"/>
      <c r="BF1531" s="809"/>
      <c r="BG1531" s="809"/>
      <c r="BH1531" s="809"/>
      <c r="BI1531" s="809"/>
      <c r="BJ1531" s="809"/>
      <c r="BK1531" s="809"/>
      <c r="BL1531" s="809"/>
      <c r="BM1531" s="809"/>
      <c r="BN1531" s="809"/>
    </row>
    <row r="1532" spans="1:66">
      <c r="A1532" s="809"/>
      <c r="B1532" s="809"/>
      <c r="C1532" s="809"/>
      <c r="D1532" s="809"/>
      <c r="E1532" s="809"/>
      <c r="F1532" s="809"/>
      <c r="G1532" s="809"/>
      <c r="H1532" s="809"/>
      <c r="I1532" s="809"/>
      <c r="J1532" s="809"/>
      <c r="K1532" s="809"/>
      <c r="L1532" s="809"/>
      <c r="M1532" s="809"/>
      <c r="N1532" s="809"/>
      <c r="O1532" s="809"/>
      <c r="P1532" s="809"/>
      <c r="Q1532" s="809"/>
      <c r="R1532" s="809"/>
      <c r="S1532" s="809"/>
      <c r="T1532" s="809"/>
      <c r="U1532" s="809"/>
      <c r="V1532" s="809"/>
      <c r="W1532" s="809"/>
      <c r="X1532" s="809"/>
      <c r="Y1532" s="809"/>
      <c r="Z1532" s="809"/>
      <c r="AA1532" s="809"/>
      <c r="AB1532" s="809"/>
      <c r="AC1532" s="809"/>
      <c r="AD1532" s="809"/>
      <c r="AE1532" s="809"/>
      <c r="AF1532" s="809"/>
      <c r="AG1532" s="809"/>
      <c r="AH1532" s="809"/>
      <c r="AI1532" s="809"/>
      <c r="AJ1532" s="809"/>
      <c r="AK1532" s="809"/>
      <c r="AL1532" s="809"/>
      <c r="AM1532" s="809"/>
      <c r="AN1532" s="809"/>
      <c r="AO1532" s="809"/>
      <c r="AP1532" s="809"/>
      <c r="AQ1532" s="809"/>
      <c r="AR1532" s="809"/>
      <c r="AS1532" s="809"/>
      <c r="AT1532" s="809"/>
      <c r="AU1532" s="809"/>
      <c r="AV1532" s="809"/>
      <c r="AW1532" s="809"/>
      <c r="AX1532" s="809"/>
      <c r="AY1532" s="809"/>
      <c r="AZ1532" s="809"/>
      <c r="BA1532" s="809"/>
      <c r="BB1532" s="809"/>
      <c r="BC1532" s="809"/>
      <c r="BD1532" s="809"/>
      <c r="BE1532" s="809"/>
      <c r="BF1532" s="809"/>
      <c r="BG1532" s="809"/>
      <c r="BH1532" s="809"/>
      <c r="BI1532" s="809"/>
      <c r="BJ1532" s="809"/>
      <c r="BK1532" s="809"/>
      <c r="BL1532" s="809"/>
      <c r="BM1532" s="809"/>
      <c r="BN1532" s="809"/>
    </row>
    <row r="1533" spans="1:66">
      <c r="A1533" s="809"/>
      <c r="B1533" s="809"/>
      <c r="C1533" s="809"/>
      <c r="D1533" s="809"/>
      <c r="E1533" s="809"/>
      <c r="F1533" s="809"/>
      <c r="G1533" s="809"/>
      <c r="H1533" s="809"/>
      <c r="I1533" s="809"/>
      <c r="J1533" s="809"/>
      <c r="K1533" s="809"/>
      <c r="L1533" s="809"/>
      <c r="M1533" s="809"/>
      <c r="N1533" s="809"/>
      <c r="O1533" s="809"/>
      <c r="P1533" s="809"/>
      <c r="Q1533" s="809"/>
      <c r="R1533" s="809"/>
      <c r="S1533" s="809"/>
      <c r="T1533" s="809"/>
      <c r="U1533" s="809"/>
      <c r="V1533" s="809"/>
      <c r="W1533" s="809"/>
      <c r="X1533" s="809"/>
      <c r="Y1533" s="809"/>
      <c r="Z1533" s="809"/>
      <c r="AA1533" s="809"/>
      <c r="AB1533" s="809"/>
      <c r="AC1533" s="809"/>
      <c r="AD1533" s="809"/>
      <c r="AE1533" s="809"/>
      <c r="AF1533" s="809"/>
      <c r="AG1533" s="809"/>
      <c r="AH1533" s="809"/>
      <c r="AI1533" s="809"/>
      <c r="AJ1533" s="809"/>
      <c r="AK1533" s="809"/>
      <c r="AL1533" s="809"/>
      <c r="AM1533" s="809"/>
      <c r="AN1533" s="809"/>
      <c r="AO1533" s="809"/>
      <c r="AP1533" s="809"/>
      <c r="AQ1533" s="809"/>
      <c r="AR1533" s="809"/>
      <c r="AS1533" s="809"/>
      <c r="AT1533" s="809"/>
      <c r="AU1533" s="809"/>
      <c r="AV1533" s="809"/>
      <c r="AW1533" s="809"/>
      <c r="AX1533" s="809"/>
      <c r="AY1533" s="809"/>
      <c r="AZ1533" s="809"/>
      <c r="BA1533" s="809"/>
      <c r="BB1533" s="809"/>
      <c r="BC1533" s="809"/>
      <c r="BD1533" s="809"/>
      <c r="BE1533" s="809"/>
      <c r="BF1533" s="809"/>
      <c r="BG1533" s="809"/>
      <c r="BH1533" s="809"/>
      <c r="BI1533" s="809"/>
      <c r="BJ1533" s="809"/>
      <c r="BK1533" s="809"/>
      <c r="BL1533" s="809"/>
      <c r="BM1533" s="809"/>
      <c r="BN1533" s="809"/>
    </row>
    <row r="1534" spans="1:66">
      <c r="A1534" s="809"/>
      <c r="B1534" s="809"/>
      <c r="C1534" s="809"/>
      <c r="D1534" s="809"/>
      <c r="E1534" s="809"/>
      <c r="F1534" s="809"/>
      <c r="G1534" s="809"/>
      <c r="H1534" s="809"/>
      <c r="I1534" s="809"/>
      <c r="J1534" s="809"/>
      <c r="K1534" s="809"/>
      <c r="L1534" s="809"/>
      <c r="M1534" s="809"/>
      <c r="N1534" s="809"/>
      <c r="O1534" s="809"/>
      <c r="P1534" s="809"/>
      <c r="Q1534" s="809"/>
      <c r="R1534" s="809"/>
      <c r="S1534" s="809"/>
      <c r="T1534" s="809"/>
      <c r="U1534" s="809"/>
      <c r="V1534" s="809"/>
      <c r="W1534" s="809"/>
      <c r="X1534" s="809"/>
      <c r="Y1534" s="809"/>
      <c r="Z1534" s="809"/>
      <c r="AA1534" s="809"/>
      <c r="AB1534" s="809"/>
      <c r="AC1534" s="809"/>
      <c r="AD1534" s="809"/>
      <c r="AE1534" s="809"/>
      <c r="AF1534" s="809"/>
      <c r="AG1534" s="809"/>
      <c r="AH1534" s="809"/>
      <c r="AI1534" s="809"/>
      <c r="AJ1534" s="809"/>
      <c r="AK1534" s="809"/>
      <c r="AL1534" s="809"/>
      <c r="AM1534" s="809"/>
      <c r="AN1534" s="809"/>
      <c r="AO1534" s="809"/>
      <c r="AP1534" s="809"/>
      <c r="AQ1534" s="809"/>
      <c r="AR1534" s="809"/>
      <c r="AS1534" s="809"/>
      <c r="AT1534" s="809"/>
      <c r="AU1534" s="809"/>
      <c r="AV1534" s="809"/>
      <c r="AW1534" s="809"/>
      <c r="AX1534" s="809"/>
      <c r="AY1534" s="809"/>
      <c r="AZ1534" s="809"/>
      <c r="BA1534" s="809"/>
      <c r="BB1534" s="809"/>
      <c r="BC1534" s="809"/>
      <c r="BD1534" s="809"/>
      <c r="BE1534" s="809"/>
      <c r="BF1534" s="809"/>
      <c r="BG1534" s="809"/>
      <c r="BH1534" s="809"/>
      <c r="BI1534" s="809"/>
      <c r="BJ1534" s="809"/>
      <c r="BK1534" s="809"/>
      <c r="BL1534" s="809"/>
      <c r="BM1534" s="809"/>
      <c r="BN1534" s="809"/>
    </row>
    <row r="1535" spans="1:66">
      <c r="A1535" s="809"/>
      <c r="B1535" s="809"/>
      <c r="C1535" s="809"/>
      <c r="D1535" s="809"/>
      <c r="E1535" s="809"/>
      <c r="F1535" s="809"/>
      <c r="G1535" s="809"/>
      <c r="H1535" s="809"/>
      <c r="I1535" s="809"/>
      <c r="J1535" s="809"/>
      <c r="K1535" s="809"/>
      <c r="L1535" s="809"/>
      <c r="M1535" s="809"/>
      <c r="N1535" s="809"/>
      <c r="O1535" s="809"/>
      <c r="P1535" s="809"/>
      <c r="Q1535" s="809"/>
      <c r="R1535" s="809"/>
      <c r="S1535" s="809"/>
      <c r="T1535" s="809"/>
      <c r="U1535" s="809"/>
      <c r="V1535" s="809"/>
      <c r="W1535" s="809"/>
      <c r="X1535" s="809"/>
      <c r="Y1535" s="809"/>
      <c r="Z1535" s="809"/>
      <c r="AA1535" s="809"/>
      <c r="AB1535" s="809"/>
      <c r="AC1535" s="809"/>
      <c r="AD1535" s="809"/>
      <c r="AE1535" s="809"/>
      <c r="AF1535" s="809"/>
      <c r="AG1535" s="809"/>
      <c r="AH1535" s="809"/>
      <c r="AI1535" s="809"/>
      <c r="AJ1535" s="809"/>
      <c r="AK1535" s="809"/>
      <c r="AL1535" s="809"/>
      <c r="AM1535" s="809"/>
      <c r="AN1535" s="809"/>
      <c r="AO1535" s="809"/>
      <c r="AP1535" s="809"/>
      <c r="AQ1535" s="809"/>
      <c r="AR1535" s="809"/>
      <c r="AS1535" s="809"/>
      <c r="AT1535" s="809"/>
      <c r="AU1535" s="809"/>
      <c r="AV1535" s="809"/>
      <c r="AW1535" s="809"/>
      <c r="AX1535" s="809"/>
      <c r="AY1535" s="809"/>
      <c r="AZ1535" s="809"/>
      <c r="BA1535" s="809"/>
      <c r="BB1535" s="809"/>
      <c r="BC1535" s="809"/>
      <c r="BD1535" s="809"/>
      <c r="BE1535" s="809"/>
      <c r="BF1535" s="809"/>
      <c r="BG1535" s="809"/>
      <c r="BH1535" s="809"/>
      <c r="BI1535" s="809"/>
      <c r="BJ1535" s="809"/>
      <c r="BK1535" s="809"/>
      <c r="BL1535" s="809"/>
      <c r="BM1535" s="809"/>
      <c r="BN1535" s="809"/>
    </row>
    <row r="1536" spans="1:66">
      <c r="A1536" s="809"/>
      <c r="B1536" s="809"/>
      <c r="C1536" s="809"/>
      <c r="D1536" s="809"/>
      <c r="E1536" s="809"/>
      <c r="F1536" s="809"/>
      <c r="G1536" s="809"/>
      <c r="H1536" s="809"/>
      <c r="I1536" s="809"/>
      <c r="J1536" s="809"/>
      <c r="K1536" s="809"/>
      <c r="L1536" s="809"/>
      <c r="M1536" s="809"/>
      <c r="N1536" s="809"/>
      <c r="O1536" s="809"/>
      <c r="P1536" s="809"/>
      <c r="Q1536" s="809"/>
      <c r="R1536" s="809"/>
      <c r="S1536" s="809"/>
      <c r="T1536" s="809"/>
      <c r="U1536" s="809"/>
      <c r="V1536" s="809"/>
      <c r="W1536" s="809"/>
      <c r="X1536" s="809"/>
      <c r="Y1536" s="809"/>
      <c r="Z1536" s="809"/>
      <c r="AA1536" s="809"/>
      <c r="AB1536" s="809"/>
      <c r="AC1536" s="809"/>
      <c r="AD1536" s="809"/>
      <c r="AE1536" s="809"/>
      <c r="AF1536" s="809"/>
      <c r="AG1536" s="809"/>
      <c r="AH1536" s="809"/>
      <c r="AI1536" s="809"/>
      <c r="AJ1536" s="809"/>
      <c r="AK1536" s="809"/>
      <c r="AL1536" s="809"/>
      <c r="AM1536" s="809"/>
      <c r="AN1536" s="809"/>
      <c r="AO1536" s="809"/>
      <c r="AP1536" s="809"/>
      <c r="AQ1536" s="809"/>
      <c r="AR1536" s="809"/>
      <c r="AS1536" s="809"/>
      <c r="AT1536" s="809"/>
      <c r="AU1536" s="809"/>
      <c r="AV1536" s="809"/>
      <c r="AW1536" s="809"/>
      <c r="AX1536" s="809"/>
      <c r="AY1536" s="809"/>
      <c r="AZ1536" s="809"/>
      <c r="BA1536" s="809"/>
      <c r="BB1536" s="809"/>
      <c r="BC1536" s="809"/>
      <c r="BD1536" s="809"/>
      <c r="BE1536" s="809"/>
      <c r="BF1536" s="809"/>
      <c r="BG1536" s="809"/>
      <c r="BH1536" s="809"/>
      <c r="BI1536" s="809"/>
      <c r="BJ1536" s="809"/>
      <c r="BK1536" s="809"/>
      <c r="BL1536" s="809"/>
      <c r="BM1536" s="809"/>
      <c r="BN1536" s="809"/>
    </row>
    <row r="1537" spans="1:66">
      <c r="A1537" s="809"/>
      <c r="B1537" s="809"/>
      <c r="C1537" s="809"/>
      <c r="D1537" s="809"/>
      <c r="E1537" s="809"/>
      <c r="F1537" s="809"/>
      <c r="G1537" s="809"/>
      <c r="H1537" s="809"/>
      <c r="I1537" s="809"/>
      <c r="J1537" s="809"/>
      <c r="K1537" s="809"/>
      <c r="L1537" s="809"/>
      <c r="M1537" s="809"/>
      <c r="N1537" s="809"/>
      <c r="O1537" s="809"/>
      <c r="P1537" s="809"/>
      <c r="Q1537" s="809"/>
      <c r="R1537" s="809"/>
      <c r="S1537" s="809"/>
      <c r="T1537" s="809"/>
      <c r="U1537" s="809"/>
      <c r="V1537" s="809"/>
      <c r="W1537" s="809"/>
      <c r="X1537" s="809"/>
      <c r="Y1537" s="809"/>
      <c r="Z1537" s="809"/>
      <c r="AA1537" s="809"/>
      <c r="AB1537" s="809"/>
      <c r="AC1537" s="809"/>
      <c r="AD1537" s="809"/>
      <c r="AE1537" s="809"/>
      <c r="AF1537" s="809"/>
      <c r="AG1537" s="809"/>
      <c r="AH1537" s="809"/>
      <c r="AI1537" s="809"/>
      <c r="AJ1537" s="809"/>
      <c r="AK1537" s="809"/>
      <c r="AL1537" s="809"/>
      <c r="AM1537" s="809"/>
      <c r="AN1537" s="809"/>
      <c r="AO1537" s="809"/>
      <c r="AP1537" s="809"/>
      <c r="AQ1537" s="809"/>
      <c r="AR1537" s="809"/>
      <c r="AS1537" s="809"/>
      <c r="AT1537" s="809"/>
      <c r="AU1537" s="809"/>
      <c r="AV1537" s="809"/>
      <c r="AW1537" s="809"/>
      <c r="AX1537" s="809"/>
      <c r="AY1537" s="809"/>
      <c r="AZ1537" s="809"/>
      <c r="BA1537" s="809"/>
      <c r="BB1537" s="809"/>
      <c r="BC1537" s="809"/>
      <c r="BD1537" s="809"/>
      <c r="BE1537" s="809"/>
      <c r="BF1537" s="809"/>
      <c r="BG1537" s="809"/>
      <c r="BH1537" s="809"/>
      <c r="BI1537" s="809"/>
      <c r="BJ1537" s="809"/>
      <c r="BK1537" s="809"/>
      <c r="BL1537" s="809"/>
      <c r="BM1537" s="809"/>
      <c r="BN1537" s="809"/>
    </row>
    <row r="1538" spans="1:66">
      <c r="A1538" s="809"/>
      <c r="B1538" s="809"/>
      <c r="C1538" s="809"/>
      <c r="D1538" s="809"/>
      <c r="E1538" s="809"/>
      <c r="F1538" s="809"/>
      <c r="G1538" s="809"/>
      <c r="H1538" s="809"/>
      <c r="I1538" s="809"/>
      <c r="J1538" s="809"/>
      <c r="K1538" s="809"/>
      <c r="L1538" s="809"/>
      <c r="M1538" s="809"/>
      <c r="N1538" s="809"/>
      <c r="O1538" s="809"/>
      <c r="P1538" s="809"/>
      <c r="Q1538" s="809"/>
      <c r="R1538" s="809"/>
      <c r="S1538" s="809"/>
      <c r="T1538" s="809"/>
      <c r="U1538" s="809"/>
      <c r="V1538" s="809"/>
      <c r="W1538" s="809"/>
      <c r="X1538" s="809"/>
      <c r="Y1538" s="809"/>
      <c r="Z1538" s="809"/>
      <c r="AA1538" s="809"/>
      <c r="AB1538" s="809"/>
      <c r="AC1538" s="809"/>
      <c r="AD1538" s="809"/>
      <c r="AE1538" s="809"/>
      <c r="AF1538" s="809"/>
      <c r="AG1538" s="809"/>
      <c r="AH1538" s="809"/>
      <c r="AI1538" s="809"/>
      <c r="AJ1538" s="809"/>
      <c r="AK1538" s="809"/>
      <c r="AL1538" s="809"/>
      <c r="AM1538" s="809"/>
      <c r="AN1538" s="809"/>
      <c r="AO1538" s="809"/>
      <c r="AP1538" s="809"/>
      <c r="AQ1538" s="809"/>
      <c r="AR1538" s="809"/>
      <c r="AS1538" s="809"/>
      <c r="AT1538" s="809"/>
      <c r="AU1538" s="809"/>
      <c r="AV1538" s="809"/>
      <c r="AW1538" s="809"/>
      <c r="AX1538" s="809"/>
      <c r="AY1538" s="809"/>
      <c r="AZ1538" s="809"/>
      <c r="BA1538" s="809"/>
      <c r="BB1538" s="809"/>
      <c r="BC1538" s="809"/>
      <c r="BD1538" s="809"/>
      <c r="BE1538" s="809"/>
      <c r="BF1538" s="809"/>
      <c r="BG1538" s="809"/>
      <c r="BH1538" s="809"/>
      <c r="BI1538" s="809"/>
      <c r="BJ1538" s="809"/>
      <c r="BK1538" s="809"/>
      <c r="BL1538" s="809"/>
      <c r="BM1538" s="809"/>
      <c r="BN1538" s="809"/>
    </row>
    <row r="1539" spans="1:66">
      <c r="A1539" s="809"/>
      <c r="B1539" s="809"/>
      <c r="C1539" s="809"/>
      <c r="D1539" s="809"/>
      <c r="E1539" s="809"/>
      <c r="F1539" s="809"/>
      <c r="G1539" s="809"/>
      <c r="H1539" s="809"/>
      <c r="I1539" s="809"/>
      <c r="J1539" s="809"/>
      <c r="K1539" s="809"/>
      <c r="L1539" s="809"/>
      <c r="M1539" s="809"/>
      <c r="N1539" s="809"/>
      <c r="O1539" s="809"/>
      <c r="P1539" s="809"/>
      <c r="Q1539" s="809"/>
      <c r="R1539" s="809"/>
      <c r="S1539" s="809"/>
      <c r="T1539" s="809"/>
      <c r="U1539" s="809"/>
      <c r="V1539" s="809"/>
      <c r="W1539" s="809"/>
      <c r="X1539" s="809"/>
      <c r="Y1539" s="809"/>
      <c r="Z1539" s="809"/>
      <c r="AA1539" s="809"/>
      <c r="AB1539" s="809"/>
      <c r="AC1539" s="809"/>
      <c r="AD1539" s="809"/>
      <c r="AE1539" s="809"/>
      <c r="AF1539" s="809"/>
      <c r="AG1539" s="809"/>
      <c r="AH1539" s="809"/>
      <c r="AI1539" s="809"/>
      <c r="AJ1539" s="809"/>
      <c r="AK1539" s="809"/>
      <c r="AL1539" s="809"/>
      <c r="AM1539" s="809"/>
      <c r="AN1539" s="809"/>
      <c r="AO1539" s="809"/>
      <c r="AP1539" s="809"/>
      <c r="AQ1539" s="809"/>
      <c r="AR1539" s="809"/>
      <c r="AS1539" s="809"/>
      <c r="AT1539" s="809"/>
      <c r="AU1539" s="809"/>
      <c r="AV1539" s="809"/>
      <c r="AW1539" s="809"/>
      <c r="AX1539" s="809"/>
      <c r="AY1539" s="809"/>
      <c r="AZ1539" s="809"/>
      <c r="BA1539" s="809"/>
      <c r="BB1539" s="809"/>
      <c r="BC1539" s="809"/>
      <c r="BD1539" s="809"/>
      <c r="BE1539" s="809"/>
      <c r="BF1539" s="809"/>
      <c r="BG1539" s="809"/>
      <c r="BH1539" s="809"/>
      <c r="BI1539" s="809"/>
      <c r="BJ1539" s="809"/>
      <c r="BK1539" s="809"/>
      <c r="BL1539" s="809"/>
      <c r="BM1539" s="809"/>
      <c r="BN1539" s="809"/>
    </row>
    <row r="1540" spans="1:66">
      <c r="A1540" s="809"/>
      <c r="B1540" s="809"/>
      <c r="C1540" s="809"/>
      <c r="D1540" s="809"/>
      <c r="E1540" s="809"/>
      <c r="F1540" s="809"/>
      <c r="G1540" s="809"/>
      <c r="H1540" s="809"/>
      <c r="I1540" s="809"/>
      <c r="J1540" s="809"/>
      <c r="K1540" s="809"/>
      <c r="L1540" s="809"/>
      <c r="M1540" s="809"/>
      <c r="N1540" s="809"/>
      <c r="O1540" s="809"/>
      <c r="P1540" s="809"/>
      <c r="Q1540" s="809"/>
      <c r="R1540" s="809"/>
      <c r="S1540" s="809"/>
      <c r="T1540" s="809"/>
      <c r="U1540" s="809"/>
      <c r="V1540" s="809"/>
      <c r="W1540" s="809"/>
      <c r="X1540" s="809"/>
      <c r="Y1540" s="809"/>
      <c r="Z1540" s="809"/>
      <c r="AA1540" s="809"/>
      <c r="AB1540" s="809"/>
      <c r="AC1540" s="809"/>
      <c r="AD1540" s="809"/>
      <c r="AE1540" s="809"/>
      <c r="AF1540" s="809"/>
      <c r="AG1540" s="809"/>
      <c r="AH1540" s="809"/>
      <c r="AI1540" s="809"/>
      <c r="AJ1540" s="809"/>
      <c r="AK1540" s="809"/>
      <c r="AL1540" s="809"/>
      <c r="AM1540" s="809"/>
      <c r="AN1540" s="809"/>
      <c r="AO1540" s="809"/>
      <c r="AP1540" s="809"/>
      <c r="AQ1540" s="809"/>
      <c r="AR1540" s="809"/>
      <c r="AS1540" s="809"/>
      <c r="AT1540" s="809"/>
      <c r="AU1540" s="809"/>
      <c r="AV1540" s="809"/>
      <c r="AW1540" s="809"/>
      <c r="AX1540" s="809"/>
      <c r="AY1540" s="809"/>
      <c r="AZ1540" s="809"/>
      <c r="BA1540" s="809"/>
      <c r="BB1540" s="809"/>
      <c r="BC1540" s="809"/>
      <c r="BD1540" s="809"/>
      <c r="BE1540" s="809"/>
      <c r="BF1540" s="809"/>
      <c r="BG1540" s="809"/>
      <c r="BH1540" s="809"/>
      <c r="BI1540" s="809"/>
      <c r="BJ1540" s="809"/>
      <c r="BK1540" s="809"/>
      <c r="BL1540" s="809"/>
      <c r="BM1540" s="809"/>
      <c r="BN1540" s="809"/>
    </row>
    <row r="1541" spans="1:66">
      <c r="A1541" s="809"/>
      <c r="B1541" s="809"/>
      <c r="C1541" s="809"/>
      <c r="D1541" s="809"/>
      <c r="E1541" s="809"/>
      <c r="F1541" s="809"/>
      <c r="G1541" s="809"/>
      <c r="H1541" s="809"/>
      <c r="I1541" s="809"/>
      <c r="J1541" s="809"/>
      <c r="K1541" s="809"/>
      <c r="L1541" s="809"/>
      <c r="M1541" s="809"/>
      <c r="N1541" s="809"/>
      <c r="O1541" s="809"/>
      <c r="P1541" s="809"/>
      <c r="Q1541" s="809"/>
      <c r="R1541" s="809"/>
      <c r="S1541" s="809"/>
      <c r="T1541" s="809"/>
      <c r="U1541" s="809"/>
      <c r="V1541" s="809"/>
      <c r="W1541" s="809"/>
      <c r="X1541" s="809"/>
      <c r="Y1541" s="809"/>
      <c r="Z1541" s="809"/>
      <c r="AA1541" s="809"/>
      <c r="AB1541" s="809"/>
      <c r="AC1541" s="809"/>
      <c r="AD1541" s="809"/>
      <c r="AE1541" s="809"/>
      <c r="AF1541" s="809"/>
      <c r="AG1541" s="809"/>
      <c r="AH1541" s="809"/>
      <c r="AI1541" s="809"/>
      <c r="AJ1541" s="809"/>
      <c r="AK1541" s="809"/>
      <c r="AL1541" s="809"/>
      <c r="AM1541" s="809"/>
      <c r="AN1541" s="809"/>
      <c r="AO1541" s="809"/>
      <c r="AP1541" s="809"/>
      <c r="AQ1541" s="809"/>
      <c r="AR1541" s="809"/>
      <c r="AS1541" s="809"/>
      <c r="AT1541" s="809"/>
      <c r="AU1541" s="809"/>
      <c r="AV1541" s="809"/>
      <c r="AW1541" s="809"/>
      <c r="AX1541" s="809"/>
      <c r="AY1541" s="809"/>
      <c r="AZ1541" s="809"/>
      <c r="BA1541" s="809"/>
      <c r="BB1541" s="809"/>
      <c r="BC1541" s="809"/>
      <c r="BD1541" s="809"/>
      <c r="BE1541" s="809"/>
      <c r="BF1541" s="809"/>
      <c r="BG1541" s="809"/>
      <c r="BH1541" s="809"/>
      <c r="BI1541" s="809"/>
      <c r="BJ1541" s="809"/>
      <c r="BK1541" s="809"/>
      <c r="BL1541" s="809"/>
      <c r="BM1541" s="809"/>
      <c r="BN1541" s="809"/>
    </row>
    <row r="1542" spans="1:66">
      <c r="A1542" s="809"/>
      <c r="B1542" s="809"/>
      <c r="C1542" s="809"/>
      <c r="D1542" s="809"/>
      <c r="E1542" s="809"/>
      <c r="F1542" s="809"/>
      <c r="G1542" s="809"/>
      <c r="H1542" s="809"/>
      <c r="I1542" s="809"/>
      <c r="J1542" s="809"/>
      <c r="K1542" s="809"/>
      <c r="L1542" s="809"/>
      <c r="M1542" s="809"/>
      <c r="N1542" s="809"/>
      <c r="O1542" s="809"/>
      <c r="P1542" s="809"/>
      <c r="Q1542" s="809"/>
      <c r="R1542" s="809"/>
      <c r="S1542" s="809"/>
      <c r="T1542" s="809"/>
      <c r="U1542" s="809"/>
      <c r="V1542" s="809"/>
      <c r="W1542" s="809"/>
      <c r="X1542" s="809"/>
      <c r="Y1542" s="809"/>
      <c r="Z1542" s="809"/>
      <c r="AA1542" s="809"/>
      <c r="AB1542" s="809"/>
      <c r="AC1542" s="809"/>
      <c r="AD1542" s="809"/>
      <c r="AE1542" s="809"/>
      <c r="AF1542" s="809"/>
      <c r="AG1542" s="809"/>
      <c r="AH1542" s="809"/>
      <c r="AI1542" s="809"/>
      <c r="AJ1542" s="809"/>
      <c r="AK1542" s="809"/>
      <c r="AL1542" s="809"/>
      <c r="AM1542" s="809"/>
      <c r="AN1542" s="809"/>
      <c r="AO1542" s="809"/>
      <c r="AP1542" s="809"/>
      <c r="AQ1542" s="809"/>
      <c r="AR1542" s="809"/>
      <c r="AS1542" s="809"/>
      <c r="AT1542" s="809"/>
      <c r="AU1542" s="809"/>
      <c r="AV1542" s="809"/>
      <c r="AW1542" s="809"/>
      <c r="AX1542" s="809"/>
      <c r="AY1542" s="809"/>
      <c r="AZ1542" s="809"/>
      <c r="BA1542" s="809"/>
      <c r="BB1542" s="809"/>
      <c r="BC1542" s="809"/>
      <c r="BD1542" s="809"/>
      <c r="BE1542" s="809"/>
      <c r="BF1542" s="809"/>
      <c r="BG1542" s="809"/>
      <c r="BH1542" s="809"/>
      <c r="BI1542" s="809"/>
      <c r="BJ1542" s="809"/>
      <c r="BK1542" s="809"/>
      <c r="BL1542" s="809"/>
      <c r="BM1542" s="809"/>
      <c r="BN1542" s="809"/>
    </row>
    <row r="1543" spans="1:66">
      <c r="A1543" s="809"/>
      <c r="B1543" s="809"/>
      <c r="C1543" s="809"/>
      <c r="D1543" s="809"/>
      <c r="E1543" s="809"/>
      <c r="F1543" s="809"/>
      <c r="G1543" s="809"/>
      <c r="H1543" s="809"/>
      <c r="I1543" s="809"/>
      <c r="J1543" s="809"/>
      <c r="K1543" s="809"/>
      <c r="L1543" s="809"/>
      <c r="M1543" s="809"/>
      <c r="N1543" s="809"/>
      <c r="O1543" s="809"/>
      <c r="P1543" s="809"/>
      <c r="Q1543" s="809"/>
      <c r="R1543" s="809"/>
      <c r="S1543" s="809"/>
      <c r="T1543" s="809"/>
      <c r="U1543" s="809"/>
      <c r="V1543" s="809"/>
      <c r="W1543" s="809"/>
      <c r="X1543" s="809"/>
      <c r="Y1543" s="809"/>
      <c r="Z1543" s="809"/>
      <c r="AA1543" s="809"/>
      <c r="AB1543" s="809"/>
      <c r="AC1543" s="809"/>
      <c r="AD1543" s="809"/>
      <c r="AE1543" s="809"/>
      <c r="AF1543" s="809"/>
      <c r="AG1543" s="809"/>
      <c r="AH1543" s="809"/>
      <c r="AI1543" s="809"/>
      <c r="AJ1543" s="809"/>
      <c r="AK1543" s="809"/>
      <c r="AL1543" s="809"/>
      <c r="AM1543" s="809"/>
      <c r="AN1543" s="809"/>
      <c r="AO1543" s="809"/>
      <c r="AP1543" s="809"/>
      <c r="AQ1543" s="809"/>
      <c r="AR1543" s="809"/>
      <c r="AS1543" s="809"/>
      <c r="AT1543" s="809"/>
      <c r="AU1543" s="809"/>
      <c r="AV1543" s="809"/>
      <c r="AW1543" s="809"/>
      <c r="AX1543" s="809"/>
      <c r="AY1543" s="809"/>
      <c r="AZ1543" s="809"/>
      <c r="BA1543" s="809"/>
      <c r="BB1543" s="809"/>
      <c r="BC1543" s="809"/>
      <c r="BD1543" s="809"/>
      <c r="BE1543" s="809"/>
      <c r="BF1543" s="809"/>
      <c r="BG1543" s="809"/>
      <c r="BH1543" s="809"/>
      <c r="BI1543" s="809"/>
      <c r="BJ1543" s="809"/>
      <c r="BK1543" s="809"/>
      <c r="BL1543" s="809"/>
      <c r="BM1543" s="809"/>
      <c r="BN1543" s="809"/>
    </row>
    <row r="1544" spans="1:66">
      <c r="A1544" s="809"/>
      <c r="B1544" s="809"/>
      <c r="C1544" s="809"/>
      <c r="D1544" s="809"/>
      <c r="E1544" s="809"/>
      <c r="F1544" s="809"/>
      <c r="G1544" s="809"/>
      <c r="H1544" s="809"/>
      <c r="I1544" s="809"/>
      <c r="J1544" s="809"/>
      <c r="K1544" s="809"/>
      <c r="L1544" s="809"/>
      <c r="M1544" s="809"/>
      <c r="N1544" s="809"/>
      <c r="O1544" s="809"/>
      <c r="P1544" s="809"/>
      <c r="Q1544" s="809"/>
      <c r="R1544" s="809"/>
      <c r="S1544" s="809"/>
      <c r="T1544" s="809"/>
      <c r="U1544" s="809"/>
      <c r="V1544" s="809"/>
      <c r="W1544" s="809"/>
      <c r="X1544" s="809"/>
      <c r="Y1544" s="809"/>
      <c r="Z1544" s="809"/>
      <c r="AA1544" s="809"/>
      <c r="AB1544" s="809"/>
      <c r="AC1544" s="809"/>
      <c r="AD1544" s="809"/>
      <c r="AE1544" s="809"/>
      <c r="AF1544" s="809"/>
      <c r="AG1544" s="809"/>
      <c r="AH1544" s="809"/>
      <c r="AI1544" s="809"/>
      <c r="AJ1544" s="809"/>
      <c r="AK1544" s="809"/>
      <c r="AL1544" s="809"/>
      <c r="AM1544" s="809"/>
      <c r="AN1544" s="809"/>
      <c r="AO1544" s="809"/>
      <c r="AP1544" s="809"/>
      <c r="AQ1544" s="809"/>
      <c r="AR1544" s="809"/>
      <c r="AS1544" s="809"/>
      <c r="AT1544" s="809"/>
      <c r="AU1544" s="809"/>
      <c r="AV1544" s="809"/>
      <c r="AW1544" s="809"/>
      <c r="AX1544" s="809"/>
      <c r="AY1544" s="809"/>
      <c r="AZ1544" s="809"/>
      <c r="BA1544" s="809"/>
      <c r="BB1544" s="809"/>
      <c r="BC1544" s="809"/>
      <c r="BD1544" s="809"/>
      <c r="BE1544" s="809"/>
      <c r="BF1544" s="809"/>
      <c r="BG1544" s="809"/>
      <c r="BH1544" s="809"/>
      <c r="BI1544" s="809"/>
      <c r="BJ1544" s="809"/>
      <c r="BK1544" s="809"/>
      <c r="BL1544" s="809"/>
      <c r="BM1544" s="809"/>
      <c r="BN1544" s="809"/>
    </row>
    <row r="1545" spans="1:66">
      <c r="A1545" s="809"/>
      <c r="B1545" s="809"/>
      <c r="C1545" s="809"/>
      <c r="D1545" s="809"/>
      <c r="E1545" s="809"/>
      <c r="F1545" s="809"/>
      <c r="G1545" s="809"/>
      <c r="H1545" s="809"/>
      <c r="I1545" s="809"/>
      <c r="J1545" s="809"/>
      <c r="K1545" s="809"/>
      <c r="L1545" s="809"/>
      <c r="M1545" s="809"/>
      <c r="N1545" s="809"/>
      <c r="O1545" s="809"/>
      <c r="P1545" s="809"/>
      <c r="Q1545" s="809"/>
      <c r="R1545" s="809"/>
      <c r="S1545" s="809"/>
      <c r="T1545" s="809"/>
      <c r="U1545" s="809"/>
      <c r="V1545" s="809"/>
      <c r="W1545" s="809"/>
      <c r="X1545" s="809"/>
      <c r="Y1545" s="809"/>
      <c r="Z1545" s="809"/>
      <c r="AA1545" s="809"/>
      <c r="AB1545" s="809"/>
      <c r="AC1545" s="809"/>
      <c r="AD1545" s="809"/>
      <c r="AE1545" s="809"/>
      <c r="AF1545" s="809"/>
      <c r="AG1545" s="809"/>
      <c r="AH1545" s="809"/>
      <c r="AI1545" s="809"/>
      <c r="AJ1545" s="809"/>
      <c r="AK1545" s="809"/>
      <c r="AL1545" s="809"/>
      <c r="AM1545" s="809"/>
      <c r="AN1545" s="809"/>
      <c r="AO1545" s="809"/>
      <c r="AP1545" s="809"/>
      <c r="AQ1545" s="809"/>
      <c r="AR1545" s="809"/>
      <c r="AS1545" s="809"/>
      <c r="AT1545" s="809"/>
      <c r="AU1545" s="809"/>
      <c r="AV1545" s="809"/>
      <c r="AW1545" s="809"/>
      <c r="AX1545" s="809"/>
      <c r="AY1545" s="809"/>
      <c r="AZ1545" s="809"/>
      <c r="BA1545" s="809"/>
      <c r="BB1545" s="809"/>
      <c r="BC1545" s="809"/>
      <c r="BD1545" s="809"/>
      <c r="BE1545" s="809"/>
      <c r="BF1545" s="809"/>
      <c r="BG1545" s="809"/>
      <c r="BH1545" s="809"/>
      <c r="BI1545" s="809"/>
      <c r="BJ1545" s="809"/>
      <c r="BK1545" s="809"/>
      <c r="BL1545" s="809"/>
      <c r="BM1545" s="809"/>
      <c r="BN1545" s="809"/>
    </row>
    <row r="1546" spans="1:66">
      <c r="A1546" s="809"/>
      <c r="B1546" s="809"/>
      <c r="C1546" s="809"/>
      <c r="D1546" s="809"/>
      <c r="E1546" s="809"/>
      <c r="F1546" s="809"/>
      <c r="G1546" s="809"/>
      <c r="H1546" s="809"/>
      <c r="I1546" s="809"/>
      <c r="J1546" s="809"/>
      <c r="K1546" s="809"/>
      <c r="L1546" s="809"/>
      <c r="M1546" s="809"/>
      <c r="N1546" s="809"/>
      <c r="O1546" s="809"/>
      <c r="P1546" s="809"/>
      <c r="Q1546" s="809"/>
      <c r="R1546" s="809"/>
      <c r="S1546" s="809"/>
      <c r="T1546" s="809"/>
      <c r="U1546" s="809"/>
      <c r="V1546" s="809"/>
      <c r="W1546" s="809"/>
      <c r="X1546" s="809"/>
      <c r="Y1546" s="809"/>
      <c r="Z1546" s="809"/>
      <c r="AA1546" s="809"/>
      <c r="AB1546" s="809"/>
      <c r="AC1546" s="809"/>
      <c r="AD1546" s="809"/>
      <c r="AE1546" s="809"/>
      <c r="AF1546" s="809"/>
      <c r="AG1546" s="809"/>
      <c r="AH1546" s="809"/>
      <c r="AI1546" s="809"/>
      <c r="AJ1546" s="809"/>
      <c r="AK1546" s="809"/>
      <c r="AL1546" s="809"/>
      <c r="AM1546" s="809"/>
      <c r="AN1546" s="809"/>
      <c r="AO1546" s="809"/>
      <c r="AP1546" s="809"/>
      <c r="AQ1546" s="809"/>
      <c r="AR1546" s="809"/>
      <c r="AS1546" s="809"/>
      <c r="AT1546" s="809"/>
      <c r="AU1546" s="809"/>
      <c r="AV1546" s="809"/>
      <c r="AW1546" s="809"/>
      <c r="AX1546" s="809"/>
      <c r="AY1546" s="809"/>
      <c r="AZ1546" s="809"/>
      <c r="BA1546" s="809"/>
      <c r="BB1546" s="809"/>
      <c r="BC1546" s="809"/>
      <c r="BD1546" s="809"/>
      <c r="BE1546" s="809"/>
      <c r="BF1546" s="809"/>
      <c r="BG1546" s="809"/>
      <c r="BH1546" s="809"/>
      <c r="BI1546" s="809"/>
      <c r="BJ1546" s="809"/>
      <c r="BK1546" s="809"/>
      <c r="BL1546" s="809"/>
      <c r="BM1546" s="809"/>
      <c r="BN1546" s="809"/>
    </row>
    <row r="1547" spans="1:66">
      <c r="A1547" s="809"/>
      <c r="B1547" s="809"/>
      <c r="C1547" s="809"/>
      <c r="D1547" s="809"/>
      <c r="E1547" s="809"/>
      <c r="F1547" s="809"/>
      <c r="G1547" s="809"/>
      <c r="H1547" s="809"/>
      <c r="I1547" s="809"/>
      <c r="J1547" s="809"/>
      <c r="K1547" s="809"/>
      <c r="L1547" s="809"/>
      <c r="M1547" s="809"/>
      <c r="N1547" s="809"/>
      <c r="O1547" s="809"/>
      <c r="P1547" s="809"/>
      <c r="Q1547" s="809"/>
      <c r="R1547" s="809"/>
      <c r="S1547" s="809"/>
      <c r="T1547" s="809"/>
      <c r="U1547" s="809"/>
      <c r="V1547" s="809"/>
      <c r="W1547" s="809"/>
      <c r="X1547" s="809"/>
      <c r="Y1547" s="809"/>
      <c r="Z1547" s="809"/>
      <c r="AA1547" s="809"/>
      <c r="AB1547" s="809"/>
      <c r="AC1547" s="809"/>
      <c r="AD1547" s="809"/>
      <c r="AE1547" s="809"/>
      <c r="AF1547" s="809"/>
      <c r="AG1547" s="809"/>
      <c r="AH1547" s="809"/>
      <c r="AI1547" s="809"/>
      <c r="AJ1547" s="809"/>
      <c r="AK1547" s="809"/>
      <c r="AL1547" s="809"/>
      <c r="AM1547" s="809"/>
      <c r="AN1547" s="809"/>
      <c r="AO1547" s="809"/>
      <c r="AP1547" s="809"/>
      <c r="AQ1547" s="809"/>
      <c r="AR1547" s="809"/>
      <c r="AS1547" s="809"/>
      <c r="AT1547" s="809"/>
      <c r="AU1547" s="809"/>
      <c r="AV1547" s="809"/>
      <c r="AW1547" s="809"/>
      <c r="AX1547" s="809"/>
      <c r="AY1547" s="809"/>
      <c r="AZ1547" s="809"/>
      <c r="BA1547" s="809"/>
      <c r="BB1547" s="809"/>
      <c r="BC1547" s="809"/>
      <c r="BD1547" s="809"/>
      <c r="BE1547" s="809"/>
      <c r="BF1547" s="809"/>
      <c r="BG1547" s="809"/>
      <c r="BH1547" s="809"/>
      <c r="BI1547" s="809"/>
      <c r="BJ1547" s="809"/>
      <c r="BK1547" s="809"/>
      <c r="BL1547" s="809"/>
      <c r="BM1547" s="809"/>
      <c r="BN1547" s="809"/>
    </row>
    <row r="1548" spans="1:66">
      <c r="A1548" s="809"/>
      <c r="B1548" s="809"/>
      <c r="C1548" s="809"/>
      <c r="D1548" s="809"/>
      <c r="E1548" s="809"/>
      <c r="F1548" s="809"/>
      <c r="G1548" s="809"/>
      <c r="H1548" s="809"/>
      <c r="I1548" s="809"/>
      <c r="J1548" s="809"/>
      <c r="K1548" s="809"/>
      <c r="L1548" s="809"/>
      <c r="M1548" s="809"/>
      <c r="N1548" s="809"/>
      <c r="O1548" s="809"/>
      <c r="P1548" s="809"/>
      <c r="Q1548" s="809"/>
      <c r="R1548" s="809"/>
      <c r="S1548" s="809"/>
      <c r="T1548" s="809"/>
      <c r="U1548" s="809"/>
      <c r="V1548" s="809"/>
      <c r="W1548" s="809"/>
      <c r="X1548" s="809"/>
      <c r="Y1548" s="809"/>
      <c r="Z1548" s="809"/>
      <c r="AA1548" s="809"/>
      <c r="AB1548" s="809"/>
      <c r="AC1548" s="809"/>
      <c r="AD1548" s="809"/>
      <c r="AE1548" s="809"/>
      <c r="AF1548" s="809"/>
      <c r="AG1548" s="809"/>
      <c r="AH1548" s="809"/>
      <c r="AI1548" s="809"/>
      <c r="AJ1548" s="809"/>
      <c r="AK1548" s="809"/>
      <c r="AL1548" s="809"/>
      <c r="AM1548" s="809"/>
      <c r="AN1548" s="809"/>
      <c r="AO1548" s="809"/>
      <c r="AP1548" s="809"/>
      <c r="AQ1548" s="809"/>
      <c r="AR1548" s="809"/>
      <c r="AS1548" s="809"/>
      <c r="AT1548" s="809"/>
      <c r="AU1548" s="809"/>
      <c r="AV1548" s="809"/>
      <c r="AW1548" s="809"/>
      <c r="AX1548" s="809"/>
      <c r="AY1548" s="809"/>
      <c r="AZ1548" s="809"/>
      <c r="BA1548" s="809"/>
      <c r="BB1548" s="809"/>
      <c r="BC1548" s="809"/>
      <c r="BD1548" s="809"/>
      <c r="BE1548" s="809"/>
      <c r="BF1548" s="809"/>
      <c r="BG1548" s="809"/>
      <c r="BH1548" s="809"/>
      <c r="BI1548" s="809"/>
      <c r="BJ1548" s="809"/>
      <c r="BK1548" s="809"/>
      <c r="BL1548" s="809"/>
      <c r="BM1548" s="809"/>
      <c r="BN1548" s="809"/>
    </row>
    <row r="1549" spans="1:66">
      <c r="A1549" s="809"/>
      <c r="B1549" s="809"/>
      <c r="C1549" s="809"/>
      <c r="D1549" s="809"/>
      <c r="E1549" s="809"/>
      <c r="F1549" s="809"/>
      <c r="G1549" s="809"/>
      <c r="H1549" s="809"/>
      <c r="I1549" s="809"/>
      <c r="J1549" s="809"/>
      <c r="K1549" s="809"/>
      <c r="L1549" s="809"/>
      <c r="M1549" s="809"/>
      <c r="N1549" s="809"/>
      <c r="O1549" s="809"/>
      <c r="P1549" s="809"/>
      <c r="Q1549" s="809"/>
      <c r="R1549" s="809"/>
      <c r="S1549" s="809"/>
      <c r="T1549" s="809"/>
      <c r="U1549" s="809"/>
      <c r="V1549" s="809"/>
      <c r="W1549" s="809"/>
      <c r="X1549" s="809"/>
      <c r="Y1549" s="809"/>
      <c r="Z1549" s="809"/>
      <c r="AA1549" s="809"/>
      <c r="AB1549" s="809"/>
      <c r="AC1549" s="809"/>
      <c r="AD1549" s="809"/>
      <c r="AE1549" s="809"/>
      <c r="AF1549" s="809"/>
      <c r="AG1549" s="809"/>
      <c r="AH1549" s="809"/>
      <c r="AI1549" s="809"/>
      <c r="AJ1549" s="809"/>
      <c r="AK1549" s="809"/>
      <c r="AL1549" s="809"/>
      <c r="AM1549" s="809"/>
      <c r="AN1549" s="809"/>
      <c r="AO1549" s="809"/>
      <c r="AP1549" s="809"/>
      <c r="AQ1549" s="809"/>
      <c r="AR1549" s="809"/>
      <c r="AS1549" s="809"/>
      <c r="AT1549" s="809"/>
      <c r="AU1549" s="809"/>
      <c r="AV1549" s="809"/>
      <c r="AW1549" s="809"/>
      <c r="AX1549" s="809"/>
      <c r="AY1549" s="809"/>
      <c r="AZ1549" s="809"/>
      <c r="BA1549" s="809"/>
      <c r="BB1549" s="809"/>
      <c r="BC1549" s="809"/>
      <c r="BD1549" s="809"/>
      <c r="BE1549" s="809"/>
      <c r="BF1549" s="809"/>
      <c r="BG1549" s="809"/>
      <c r="BH1549" s="809"/>
      <c r="BI1549" s="809"/>
      <c r="BJ1549" s="809"/>
      <c r="BK1549" s="809"/>
      <c r="BL1549" s="809"/>
      <c r="BM1549" s="809"/>
      <c r="BN1549" s="809"/>
    </row>
    <row r="1550" spans="1:66">
      <c r="A1550" s="809"/>
      <c r="B1550" s="809"/>
      <c r="C1550" s="809"/>
      <c r="D1550" s="809"/>
      <c r="E1550" s="809"/>
      <c r="F1550" s="809"/>
      <c r="G1550" s="809"/>
      <c r="H1550" s="809"/>
      <c r="I1550" s="809"/>
      <c r="J1550" s="809"/>
      <c r="K1550" s="809"/>
      <c r="L1550" s="809"/>
      <c r="M1550" s="809"/>
      <c r="N1550" s="809"/>
      <c r="AE1550" s="809"/>
      <c r="AF1550" s="809"/>
      <c r="AG1550" s="809"/>
      <c r="AH1550" s="809"/>
      <c r="AI1550" s="809"/>
      <c r="AJ1550" s="809"/>
      <c r="AK1550" s="809"/>
      <c r="AL1550" s="809"/>
      <c r="AM1550" s="809"/>
      <c r="AN1550" s="809"/>
      <c r="AO1550" s="809"/>
      <c r="AP1550" s="809"/>
      <c r="AQ1550" s="809"/>
      <c r="AR1550" s="809"/>
      <c r="AS1550" s="809"/>
      <c r="AT1550" s="809"/>
      <c r="AU1550" s="809"/>
      <c r="AV1550" s="809"/>
      <c r="AW1550" s="809"/>
      <c r="AX1550" s="809"/>
      <c r="AY1550" s="809"/>
      <c r="AZ1550" s="809"/>
      <c r="BA1550" s="809"/>
      <c r="BB1550" s="809"/>
      <c r="BC1550" s="809"/>
      <c r="BD1550" s="809"/>
      <c r="BE1550" s="809"/>
      <c r="BF1550" s="809"/>
      <c r="BG1550" s="809"/>
      <c r="BH1550" s="809"/>
      <c r="BI1550" s="809"/>
      <c r="BJ1550" s="809"/>
      <c r="BK1550" s="809"/>
      <c r="BL1550" s="809"/>
      <c r="BM1550" s="809"/>
      <c r="BN1550" s="809"/>
    </row>
    <row r="1551" spans="1:66">
      <c r="A1551" s="809"/>
      <c r="B1551" s="809"/>
      <c r="C1551" s="809"/>
      <c r="D1551" s="809"/>
      <c r="E1551" s="809"/>
      <c r="F1551" s="809"/>
      <c r="G1551" s="809"/>
      <c r="H1551" s="809"/>
      <c r="I1551" s="809"/>
      <c r="J1551" s="809"/>
      <c r="K1551" s="809"/>
      <c r="L1551" s="809"/>
      <c r="M1551" s="809"/>
      <c r="N1551" s="809"/>
      <c r="AE1551" s="809"/>
      <c r="AF1551" s="809"/>
      <c r="AG1551" s="809"/>
      <c r="AH1551" s="809"/>
      <c r="AI1551" s="809"/>
      <c r="AJ1551" s="809"/>
      <c r="AK1551" s="809"/>
      <c r="AL1551" s="809"/>
      <c r="AM1551" s="809"/>
      <c r="AN1551" s="809"/>
      <c r="AO1551" s="809"/>
      <c r="AP1551" s="809"/>
      <c r="AQ1551" s="809"/>
      <c r="AR1551" s="809"/>
      <c r="AS1551" s="809"/>
      <c r="AT1551" s="809"/>
      <c r="AU1551" s="809"/>
      <c r="AV1551" s="809"/>
      <c r="AW1551" s="809"/>
      <c r="AX1551" s="809"/>
      <c r="AY1551" s="809"/>
      <c r="AZ1551" s="809"/>
      <c r="BA1551" s="809"/>
      <c r="BB1551" s="809"/>
      <c r="BC1551" s="809"/>
      <c r="BD1551" s="809"/>
      <c r="BE1551" s="809"/>
      <c r="BF1551" s="809"/>
      <c r="BG1551" s="809"/>
      <c r="BH1551" s="809"/>
      <c r="BI1551" s="809"/>
      <c r="BJ1551" s="809"/>
      <c r="BK1551" s="809"/>
      <c r="BL1551" s="809"/>
      <c r="BM1551" s="809"/>
      <c r="BN1551" s="809"/>
    </row>
    <row r="1552" spans="1:66">
      <c r="A1552" s="809"/>
      <c r="B1552" s="809"/>
      <c r="C1552" s="809"/>
      <c r="D1552" s="809"/>
      <c r="E1552" s="809"/>
      <c r="F1552" s="809"/>
      <c r="G1552" s="809"/>
      <c r="H1552" s="809"/>
      <c r="I1552" s="809"/>
      <c r="J1552" s="809"/>
      <c r="K1552" s="809"/>
      <c r="L1552" s="809"/>
      <c r="M1552" s="809"/>
      <c r="N1552" s="809"/>
      <c r="AE1552" s="809"/>
      <c r="AF1552" s="809"/>
      <c r="AG1552" s="809"/>
      <c r="AH1552" s="809"/>
      <c r="AI1552" s="809"/>
      <c r="AJ1552" s="809"/>
      <c r="AK1552" s="809"/>
      <c r="AL1552" s="809"/>
      <c r="AM1552" s="809"/>
      <c r="AN1552" s="809"/>
      <c r="AO1552" s="809"/>
      <c r="AP1552" s="809"/>
      <c r="AQ1552" s="809"/>
      <c r="AR1552" s="809"/>
      <c r="AS1552" s="809"/>
      <c r="AT1552" s="809"/>
      <c r="AU1552" s="809"/>
      <c r="AV1552" s="809"/>
      <c r="AW1552" s="809"/>
      <c r="AX1552" s="809"/>
      <c r="AY1552" s="809"/>
      <c r="AZ1552" s="809"/>
      <c r="BA1552" s="809"/>
      <c r="BB1552" s="809"/>
      <c r="BC1552" s="809"/>
      <c r="BD1552" s="809"/>
      <c r="BE1552" s="809"/>
      <c r="BF1552" s="809"/>
      <c r="BG1552" s="809"/>
      <c r="BH1552" s="809"/>
      <c r="BI1552" s="809"/>
      <c r="BJ1552" s="809"/>
      <c r="BK1552" s="809"/>
      <c r="BL1552" s="809"/>
      <c r="BM1552" s="809"/>
      <c r="BN1552" s="809"/>
    </row>
    <row r="1553" spans="1:66">
      <c r="A1553" s="809"/>
      <c r="B1553" s="809"/>
      <c r="C1553" s="809"/>
      <c r="D1553" s="809"/>
      <c r="E1553" s="809"/>
      <c r="F1553" s="809"/>
      <c r="G1553" s="809"/>
      <c r="H1553" s="809"/>
      <c r="I1553" s="809"/>
      <c r="J1553" s="809"/>
      <c r="K1553" s="809"/>
      <c r="L1553" s="809"/>
      <c r="M1553" s="809"/>
      <c r="N1553" s="809"/>
      <c r="AE1553" s="809"/>
      <c r="AF1553" s="809"/>
      <c r="AG1553" s="809"/>
      <c r="AH1553" s="809"/>
      <c r="AI1553" s="809"/>
      <c r="AJ1553" s="809"/>
      <c r="AK1553" s="809"/>
      <c r="AL1553" s="809"/>
      <c r="AM1553" s="809"/>
      <c r="AN1553" s="809"/>
      <c r="AO1553" s="809"/>
      <c r="AP1553" s="809"/>
      <c r="AQ1553" s="809"/>
      <c r="AR1553" s="809"/>
      <c r="AS1553" s="809"/>
      <c r="AT1553" s="809"/>
      <c r="AU1553" s="809"/>
      <c r="AV1553" s="809"/>
      <c r="AW1553" s="809"/>
      <c r="AX1553" s="809"/>
      <c r="AY1553" s="809"/>
      <c r="AZ1553" s="809"/>
      <c r="BA1553" s="809"/>
      <c r="BB1553" s="809"/>
      <c r="BC1553" s="809"/>
      <c r="BD1553" s="809"/>
      <c r="BE1553" s="809"/>
      <c r="BF1553" s="809"/>
      <c r="BG1553" s="809"/>
      <c r="BH1553" s="809"/>
      <c r="BI1553" s="809"/>
      <c r="BJ1553" s="809"/>
      <c r="BK1553" s="809"/>
      <c r="BL1553" s="809"/>
      <c r="BM1553" s="809"/>
      <c r="BN1553" s="809"/>
    </row>
    <row r="1554" spans="1:66">
      <c r="A1554" s="809"/>
      <c r="B1554" s="809"/>
      <c r="C1554" s="809"/>
      <c r="D1554" s="809"/>
      <c r="E1554" s="809"/>
      <c r="F1554" s="809"/>
      <c r="G1554" s="809"/>
      <c r="H1554" s="809"/>
      <c r="I1554" s="809"/>
      <c r="J1554" s="809"/>
      <c r="K1554" s="809"/>
      <c r="L1554" s="809"/>
      <c r="M1554" s="809"/>
      <c r="N1554" s="809"/>
      <c r="AE1554" s="809"/>
      <c r="AF1554" s="809"/>
      <c r="AG1554" s="809"/>
      <c r="AH1554" s="809"/>
      <c r="AI1554" s="809"/>
      <c r="AJ1554" s="809"/>
      <c r="AK1554" s="809"/>
      <c r="AL1554" s="809"/>
      <c r="AM1554" s="809"/>
      <c r="AN1554" s="809"/>
      <c r="AO1554" s="809"/>
      <c r="AP1554" s="809"/>
      <c r="AQ1554" s="809"/>
      <c r="AR1554" s="809"/>
      <c r="AS1554" s="809"/>
      <c r="AT1554" s="809"/>
      <c r="AU1554" s="809"/>
      <c r="AV1554" s="809"/>
      <c r="AW1554" s="809"/>
      <c r="AX1554" s="809"/>
      <c r="AY1554" s="809"/>
      <c r="AZ1554" s="809"/>
      <c r="BA1554" s="809"/>
      <c r="BB1554" s="809"/>
      <c r="BC1554" s="809"/>
      <c r="BD1554" s="809"/>
      <c r="BE1554" s="809"/>
      <c r="BF1554" s="809"/>
      <c r="BG1554" s="809"/>
      <c r="BH1554" s="809"/>
      <c r="BI1554" s="809"/>
      <c r="BJ1554" s="809"/>
      <c r="BK1554" s="809"/>
      <c r="BL1554" s="809"/>
      <c r="BM1554" s="809"/>
      <c r="BN1554" s="809"/>
    </row>
    <row r="1555" spans="1:66">
      <c r="A1555" s="809"/>
      <c r="B1555" s="809"/>
      <c r="C1555" s="809"/>
      <c r="D1555" s="809"/>
      <c r="E1555" s="809"/>
      <c r="F1555" s="809"/>
      <c r="G1555" s="809"/>
      <c r="H1555" s="809"/>
      <c r="I1555" s="809"/>
      <c r="J1555" s="809"/>
      <c r="K1555" s="809"/>
      <c r="L1555" s="809"/>
      <c r="M1555" s="809"/>
      <c r="N1555" s="809"/>
      <c r="AE1555" s="809"/>
      <c r="AF1555" s="809"/>
      <c r="AG1555" s="809"/>
      <c r="AH1555" s="809"/>
      <c r="AI1555" s="809"/>
      <c r="AJ1555" s="809"/>
      <c r="AK1555" s="809"/>
      <c r="AL1555" s="809"/>
      <c r="AM1555" s="809"/>
      <c r="AN1555" s="809"/>
      <c r="AO1555" s="809"/>
      <c r="AP1555" s="809"/>
      <c r="AQ1555" s="809"/>
      <c r="AR1555" s="809"/>
      <c r="AS1555" s="809"/>
      <c r="AT1555" s="809"/>
      <c r="AU1555" s="809"/>
      <c r="AV1555" s="809"/>
      <c r="AW1555" s="809"/>
      <c r="AX1555" s="809"/>
      <c r="AY1555" s="809"/>
      <c r="AZ1555" s="809"/>
      <c r="BA1555" s="809"/>
      <c r="BB1555" s="809"/>
      <c r="BC1555" s="809"/>
      <c r="BD1555" s="809"/>
      <c r="BE1555" s="809"/>
      <c r="BF1555" s="809"/>
      <c r="BG1555" s="809"/>
      <c r="BH1555" s="809"/>
      <c r="BI1555" s="809"/>
      <c r="BJ1555" s="809"/>
      <c r="BK1555" s="809"/>
      <c r="BL1555" s="809"/>
      <c r="BM1555" s="809"/>
      <c r="BN1555" s="809"/>
    </row>
    <row r="1556" spans="1:66">
      <c r="A1556" s="809"/>
      <c r="B1556" s="809"/>
      <c r="C1556" s="809"/>
      <c r="D1556" s="809"/>
      <c r="E1556" s="809"/>
      <c r="F1556" s="809"/>
      <c r="G1556" s="809"/>
      <c r="H1556" s="809"/>
      <c r="I1556" s="809"/>
      <c r="J1556" s="809"/>
      <c r="K1556" s="809"/>
      <c r="L1556" s="809"/>
      <c r="M1556" s="809"/>
      <c r="N1556" s="809"/>
      <c r="AE1556" s="809"/>
      <c r="AF1556" s="809"/>
      <c r="AG1556" s="809"/>
      <c r="AH1556" s="809"/>
      <c r="AI1556" s="809"/>
      <c r="AJ1556" s="809"/>
      <c r="AK1556" s="809"/>
      <c r="AL1556" s="809"/>
      <c r="AM1556" s="809"/>
      <c r="AN1556" s="809"/>
      <c r="AO1556" s="809"/>
      <c r="AP1556" s="809"/>
      <c r="AQ1556" s="809"/>
      <c r="AR1556" s="809"/>
      <c r="AS1556" s="809"/>
      <c r="AT1556" s="809"/>
      <c r="AU1556" s="809"/>
      <c r="AV1556" s="809"/>
      <c r="AW1556" s="809"/>
      <c r="AX1556" s="809"/>
      <c r="AY1556" s="809"/>
      <c r="AZ1556" s="809"/>
      <c r="BA1556" s="809"/>
      <c r="BB1556" s="809"/>
      <c r="BC1556" s="809"/>
      <c r="BD1556" s="809"/>
      <c r="BE1556" s="809"/>
      <c r="BF1556" s="809"/>
      <c r="BG1556" s="809"/>
      <c r="BH1556" s="809"/>
      <c r="BI1556" s="809"/>
      <c r="BJ1556" s="809"/>
      <c r="BK1556" s="809"/>
      <c r="BL1556" s="809"/>
      <c r="BM1556" s="809"/>
      <c r="BN1556" s="809"/>
    </row>
    <row r="1557" spans="1:66">
      <c r="A1557" s="809"/>
      <c r="B1557" s="809"/>
      <c r="C1557" s="809"/>
      <c r="D1557" s="809"/>
      <c r="E1557" s="809"/>
      <c r="F1557" s="809"/>
      <c r="G1557" s="809"/>
      <c r="H1557" s="809"/>
      <c r="I1557" s="809"/>
      <c r="J1557" s="809"/>
      <c r="K1557" s="809"/>
      <c r="L1557" s="809"/>
      <c r="M1557" s="809"/>
      <c r="N1557" s="809"/>
      <c r="AE1557" s="809"/>
      <c r="AF1557" s="809"/>
      <c r="AG1557" s="809"/>
      <c r="AH1557" s="809"/>
      <c r="AI1557" s="809"/>
      <c r="AJ1557" s="809"/>
      <c r="AK1557" s="809"/>
      <c r="AL1557" s="809"/>
      <c r="AM1557" s="809"/>
      <c r="AN1557" s="809"/>
      <c r="AO1557" s="809"/>
      <c r="AP1557" s="809"/>
      <c r="AQ1557" s="809"/>
      <c r="AR1557" s="809"/>
      <c r="AS1557" s="809"/>
      <c r="AT1557" s="809"/>
      <c r="AU1557" s="809"/>
      <c r="AV1557" s="809"/>
      <c r="AW1557" s="809"/>
      <c r="AX1557" s="809"/>
      <c r="AY1557" s="809"/>
      <c r="AZ1557" s="809"/>
      <c r="BA1557" s="809"/>
      <c r="BB1557" s="809"/>
      <c r="BC1557" s="809"/>
      <c r="BD1557" s="809"/>
      <c r="BE1557" s="809"/>
      <c r="BF1557" s="809"/>
      <c r="BG1557" s="809"/>
      <c r="BH1557" s="809"/>
      <c r="BI1557" s="809"/>
      <c r="BJ1557" s="809"/>
      <c r="BK1557" s="809"/>
      <c r="BL1557" s="809"/>
      <c r="BM1557" s="809"/>
      <c r="BN1557" s="809"/>
    </row>
    <row r="1558" spans="1:66">
      <c r="A1558" s="809"/>
      <c r="B1558" s="809"/>
      <c r="C1558" s="809"/>
      <c r="D1558" s="809"/>
      <c r="E1558" s="809"/>
      <c r="F1558" s="809"/>
      <c r="G1558" s="809"/>
      <c r="H1558" s="809"/>
      <c r="I1558" s="809"/>
      <c r="J1558" s="809"/>
      <c r="K1558" s="809"/>
      <c r="L1558" s="809"/>
      <c r="M1558" s="809"/>
      <c r="N1558" s="809"/>
      <c r="AE1558" s="809"/>
      <c r="AF1558" s="809"/>
      <c r="AG1558" s="809"/>
      <c r="AH1558" s="809"/>
      <c r="AI1558" s="809"/>
      <c r="AJ1558" s="809"/>
      <c r="AK1558" s="809"/>
      <c r="AL1558" s="809"/>
      <c r="AM1558" s="809"/>
      <c r="AN1558" s="809"/>
      <c r="AO1558" s="809"/>
      <c r="AP1558" s="809"/>
      <c r="AQ1558" s="809"/>
      <c r="AR1558" s="809"/>
      <c r="AS1558" s="809"/>
      <c r="AT1558" s="809"/>
      <c r="AU1558" s="809"/>
      <c r="AV1558" s="809"/>
      <c r="AW1558" s="809"/>
      <c r="AX1558" s="809"/>
      <c r="AY1558" s="809"/>
      <c r="AZ1558" s="809"/>
      <c r="BA1558" s="809"/>
      <c r="BB1558" s="809"/>
      <c r="BC1558" s="809"/>
      <c r="BD1558" s="809"/>
      <c r="BE1558" s="809"/>
      <c r="BF1558" s="809"/>
      <c r="BG1558" s="809"/>
      <c r="BH1558" s="809"/>
      <c r="BI1558" s="809"/>
      <c r="BJ1558" s="809"/>
      <c r="BK1558" s="809"/>
      <c r="BL1558" s="809"/>
      <c r="BM1558" s="809"/>
      <c r="BN1558" s="809"/>
    </row>
    <row r="1559" spans="1:66">
      <c r="A1559" s="809"/>
      <c r="B1559" s="809"/>
      <c r="C1559" s="809"/>
      <c r="D1559" s="809"/>
      <c r="E1559" s="809"/>
      <c r="F1559" s="809"/>
      <c r="G1559" s="809"/>
      <c r="H1559" s="809"/>
      <c r="I1559" s="809"/>
      <c r="J1559" s="809"/>
      <c r="K1559" s="809"/>
      <c r="L1559" s="809"/>
      <c r="M1559" s="809"/>
      <c r="N1559" s="809"/>
      <c r="AE1559" s="809"/>
      <c r="AF1559" s="809"/>
      <c r="AG1559" s="809"/>
      <c r="AH1559" s="809"/>
      <c r="AI1559" s="809"/>
      <c r="AJ1559" s="809"/>
      <c r="AK1559" s="809"/>
      <c r="AL1559" s="809"/>
      <c r="AM1559" s="809"/>
      <c r="AN1559" s="809"/>
      <c r="AO1559" s="809"/>
      <c r="AP1559" s="809"/>
      <c r="AQ1559" s="809"/>
      <c r="AR1559" s="809"/>
      <c r="AS1559" s="809"/>
      <c r="AT1559" s="809"/>
      <c r="AU1559" s="809"/>
      <c r="AV1559" s="809"/>
      <c r="AW1559" s="809"/>
      <c r="AX1559" s="809"/>
      <c r="AY1559" s="809"/>
      <c r="AZ1559" s="809"/>
      <c r="BA1559" s="809"/>
      <c r="BB1559" s="809"/>
      <c r="BC1559" s="809"/>
      <c r="BD1559" s="809"/>
      <c r="BE1559" s="809"/>
      <c r="BF1559" s="809"/>
      <c r="BG1559" s="809"/>
      <c r="BH1559" s="809"/>
      <c r="BI1559" s="809"/>
      <c r="BJ1559" s="809"/>
      <c r="BK1559" s="809"/>
      <c r="BL1559" s="809"/>
      <c r="BM1559" s="809"/>
      <c r="BN1559" s="809"/>
    </row>
    <row r="1560" spans="1:66">
      <c r="A1560" s="809"/>
      <c r="B1560" s="809"/>
      <c r="C1560" s="809"/>
      <c r="D1560" s="809"/>
      <c r="E1560" s="809"/>
      <c r="F1560" s="809"/>
      <c r="G1560" s="809"/>
      <c r="H1560" s="809"/>
      <c r="I1560" s="809"/>
      <c r="J1560" s="809"/>
      <c r="K1560" s="809"/>
      <c r="L1560" s="809"/>
      <c r="M1560" s="809"/>
      <c r="N1560" s="809"/>
      <c r="AF1560" s="809"/>
      <c r="AG1560" s="809"/>
      <c r="AH1560" s="809"/>
      <c r="AI1560" s="809"/>
      <c r="AJ1560" s="809"/>
      <c r="AK1560" s="809"/>
      <c r="AL1560" s="809"/>
      <c r="AM1560" s="809"/>
      <c r="AN1560" s="809"/>
      <c r="AO1560" s="809"/>
      <c r="AP1560" s="809"/>
      <c r="AQ1560" s="809"/>
      <c r="AR1560" s="809"/>
      <c r="AS1560" s="809"/>
      <c r="AT1560" s="809"/>
      <c r="AU1560" s="809"/>
      <c r="AV1560" s="809"/>
      <c r="AW1560" s="809"/>
      <c r="AX1560" s="809"/>
      <c r="AY1560" s="809"/>
      <c r="AZ1560" s="809"/>
      <c r="BA1560" s="809"/>
      <c r="BB1560" s="809"/>
      <c r="BC1560" s="809"/>
      <c r="BD1560" s="809"/>
      <c r="BE1560" s="809"/>
      <c r="BF1560" s="809"/>
      <c r="BG1560" s="809"/>
      <c r="BH1560" s="809"/>
      <c r="BI1560" s="809"/>
      <c r="BJ1560" s="809"/>
      <c r="BK1560" s="809"/>
      <c r="BL1560" s="809"/>
      <c r="BM1560" s="809"/>
      <c r="BN1560" s="809"/>
    </row>
    <row r="1561" spans="1:66">
      <c r="A1561" s="809"/>
      <c r="B1561" s="809"/>
      <c r="C1561" s="809"/>
      <c r="D1561" s="809"/>
      <c r="E1561" s="809"/>
      <c r="F1561" s="809"/>
      <c r="G1561" s="809"/>
      <c r="H1561" s="809"/>
      <c r="I1561" s="809"/>
      <c r="J1561" s="809"/>
      <c r="K1561" s="809"/>
      <c r="L1561" s="809"/>
      <c r="M1561" s="809"/>
      <c r="N1561" s="809"/>
      <c r="AF1561" s="809"/>
      <c r="AG1561" s="809"/>
      <c r="AH1561" s="809"/>
      <c r="AI1561" s="809"/>
      <c r="AJ1561" s="809"/>
      <c r="AK1561" s="809"/>
      <c r="AL1561" s="809"/>
      <c r="AM1561" s="809"/>
      <c r="AN1561" s="809"/>
      <c r="AO1561" s="809"/>
      <c r="AP1561" s="809"/>
      <c r="AQ1561" s="809"/>
      <c r="AR1561" s="809"/>
      <c r="AS1561" s="809"/>
      <c r="AT1561" s="809"/>
      <c r="AU1561" s="809"/>
      <c r="AV1561" s="809"/>
      <c r="AW1561" s="809"/>
      <c r="AX1561" s="809"/>
      <c r="AY1561" s="809"/>
      <c r="AZ1561" s="809"/>
      <c r="BA1561" s="809"/>
      <c r="BB1561" s="809"/>
      <c r="BC1561" s="809"/>
      <c r="BD1561" s="809"/>
      <c r="BE1561" s="809"/>
      <c r="BF1561" s="809"/>
      <c r="BG1561" s="809"/>
      <c r="BH1561" s="809"/>
      <c r="BI1561" s="809"/>
      <c r="BJ1561" s="809"/>
      <c r="BK1561" s="809"/>
      <c r="BL1561" s="809"/>
      <c r="BM1561" s="809"/>
      <c r="BN1561" s="809"/>
    </row>
    <row r="1562" spans="1:66">
      <c r="A1562" s="809"/>
      <c r="B1562" s="809"/>
      <c r="C1562" s="809"/>
      <c r="D1562" s="809"/>
      <c r="E1562" s="809"/>
      <c r="F1562" s="809"/>
      <c r="G1562" s="809"/>
      <c r="H1562" s="809"/>
      <c r="I1562" s="809"/>
      <c r="J1562" s="809"/>
      <c r="K1562" s="809"/>
      <c r="L1562" s="809"/>
      <c r="M1562" s="809"/>
      <c r="N1562" s="809"/>
      <c r="AF1562" s="809"/>
      <c r="AG1562" s="809"/>
      <c r="AH1562" s="809"/>
      <c r="AI1562" s="809"/>
      <c r="AJ1562" s="809"/>
      <c r="AK1562" s="809"/>
      <c r="AL1562" s="809"/>
      <c r="AM1562" s="809"/>
      <c r="AN1562" s="809"/>
      <c r="AO1562" s="809"/>
      <c r="AP1562" s="809"/>
      <c r="AQ1562" s="809"/>
      <c r="AR1562" s="809"/>
      <c r="AS1562" s="809"/>
      <c r="AT1562" s="809"/>
      <c r="AU1562" s="809"/>
      <c r="AV1562" s="809"/>
      <c r="AW1562" s="809"/>
      <c r="AX1562" s="809"/>
      <c r="AY1562" s="809"/>
      <c r="AZ1562" s="809"/>
      <c r="BA1562" s="809"/>
      <c r="BB1562" s="809"/>
      <c r="BC1562" s="809"/>
      <c r="BD1562" s="809"/>
      <c r="BE1562" s="809"/>
      <c r="BF1562" s="809"/>
      <c r="BG1562" s="809"/>
      <c r="BH1562" s="809"/>
      <c r="BI1562" s="809"/>
      <c r="BJ1562" s="809"/>
      <c r="BK1562" s="809"/>
      <c r="BL1562" s="809"/>
      <c r="BM1562" s="809"/>
      <c r="BN1562" s="809"/>
    </row>
    <row r="1563" spans="1:66">
      <c r="A1563" s="809"/>
      <c r="B1563" s="809"/>
      <c r="C1563" s="809"/>
      <c r="D1563" s="809"/>
      <c r="E1563" s="809"/>
      <c r="F1563" s="809"/>
      <c r="G1563" s="809"/>
      <c r="H1563" s="809"/>
      <c r="I1563" s="809"/>
      <c r="J1563" s="809"/>
      <c r="K1563" s="809"/>
      <c r="L1563" s="809"/>
      <c r="M1563" s="809"/>
      <c r="N1563" s="809"/>
      <c r="AF1563" s="809"/>
      <c r="AG1563" s="809"/>
      <c r="AH1563" s="809"/>
      <c r="AI1563" s="809"/>
      <c r="AJ1563" s="809"/>
      <c r="AK1563" s="809"/>
      <c r="AL1563" s="809"/>
      <c r="AM1563" s="809"/>
      <c r="AN1563" s="809"/>
      <c r="AO1563" s="809"/>
      <c r="AP1563" s="809"/>
      <c r="AQ1563" s="809"/>
      <c r="AR1563" s="809"/>
      <c r="AS1563" s="809"/>
      <c r="AT1563" s="809"/>
      <c r="AU1563" s="809"/>
      <c r="AV1563" s="809"/>
      <c r="AW1563" s="809"/>
      <c r="AX1563" s="809"/>
      <c r="AY1563" s="809"/>
      <c r="AZ1563" s="809"/>
      <c r="BA1563" s="809"/>
      <c r="BB1563" s="809"/>
      <c r="BC1563" s="809"/>
      <c r="BD1563" s="809"/>
      <c r="BE1563" s="809"/>
      <c r="BF1563" s="809"/>
      <c r="BG1563" s="809"/>
      <c r="BH1563" s="809"/>
      <c r="BI1563" s="809"/>
      <c r="BJ1563" s="809"/>
      <c r="BK1563" s="809"/>
      <c r="BL1563" s="809"/>
      <c r="BM1563" s="809"/>
      <c r="BN1563" s="809"/>
    </row>
    <row r="1564" spans="1:66">
      <c r="A1564" s="809"/>
      <c r="B1564" s="809"/>
      <c r="C1564" s="809"/>
      <c r="D1564" s="809"/>
      <c r="E1564" s="809"/>
      <c r="F1564" s="809"/>
      <c r="G1564" s="809"/>
      <c r="H1564" s="809"/>
      <c r="I1564" s="809"/>
      <c r="J1564" s="809"/>
      <c r="K1564" s="809"/>
      <c r="L1564" s="809"/>
      <c r="M1564" s="809"/>
      <c r="N1564" s="809"/>
      <c r="AG1564" s="809"/>
      <c r="AH1564" s="809"/>
      <c r="AI1564" s="809"/>
      <c r="AJ1564" s="809"/>
      <c r="AK1564" s="809"/>
      <c r="AL1564" s="809"/>
      <c r="AM1564" s="809"/>
      <c r="AN1564" s="809"/>
      <c r="AO1564" s="809"/>
      <c r="AP1564" s="809"/>
      <c r="AQ1564" s="809"/>
      <c r="AR1564" s="809"/>
      <c r="AS1564" s="809"/>
      <c r="AT1564" s="809"/>
      <c r="AU1564" s="809"/>
      <c r="AV1564" s="809"/>
      <c r="AW1564" s="809"/>
      <c r="AX1564" s="809"/>
      <c r="AY1564" s="809"/>
      <c r="AZ1564" s="809"/>
      <c r="BA1564" s="809"/>
      <c r="BB1564" s="809"/>
      <c r="BC1564" s="809"/>
      <c r="BD1564" s="809"/>
      <c r="BE1564" s="809"/>
      <c r="BF1564" s="809"/>
      <c r="BG1564" s="809"/>
      <c r="BH1564" s="809"/>
      <c r="BI1564" s="809"/>
      <c r="BJ1564" s="809"/>
      <c r="BK1564" s="809"/>
      <c r="BL1564" s="809"/>
      <c r="BM1564" s="809"/>
      <c r="BN1564" s="809"/>
    </row>
    <row r="1565" spans="1:66">
      <c r="A1565" s="809"/>
      <c r="B1565" s="809"/>
      <c r="C1565" s="809"/>
      <c r="D1565" s="809"/>
      <c r="E1565" s="809"/>
      <c r="F1565" s="809"/>
      <c r="G1565" s="809"/>
      <c r="H1565" s="809"/>
      <c r="I1565" s="809"/>
      <c r="J1565" s="809"/>
      <c r="K1565" s="809"/>
      <c r="L1565" s="809"/>
      <c r="M1565" s="809"/>
      <c r="N1565" s="809"/>
      <c r="AG1565" s="809"/>
      <c r="AH1565" s="809"/>
      <c r="AI1565" s="809"/>
      <c r="AJ1565" s="809"/>
      <c r="AK1565" s="809"/>
      <c r="AL1565" s="809"/>
      <c r="AM1565" s="809"/>
      <c r="AN1565" s="809"/>
      <c r="AO1565" s="809"/>
      <c r="AP1565" s="809"/>
      <c r="AQ1565" s="809"/>
      <c r="AR1565" s="809"/>
      <c r="AS1565" s="809"/>
      <c r="AT1565" s="809"/>
      <c r="AU1565" s="809"/>
      <c r="AV1565" s="809"/>
      <c r="AW1565" s="809"/>
      <c r="AX1565" s="809"/>
      <c r="AY1565" s="809"/>
      <c r="AZ1565" s="809"/>
      <c r="BA1565" s="809"/>
      <c r="BB1565" s="809"/>
      <c r="BC1565" s="809"/>
      <c r="BD1565" s="809"/>
      <c r="BE1565" s="809"/>
      <c r="BF1565" s="809"/>
      <c r="BG1565" s="809"/>
      <c r="BH1565" s="809"/>
      <c r="BI1565" s="809"/>
      <c r="BJ1565" s="809"/>
      <c r="BK1565" s="809"/>
      <c r="BL1565" s="809"/>
      <c r="BM1565" s="809"/>
      <c r="BN1565" s="809"/>
    </row>
    <row r="1566" spans="1:66">
      <c r="A1566" s="809"/>
      <c r="B1566" s="809"/>
      <c r="C1566" s="809"/>
      <c r="D1566" s="809"/>
      <c r="E1566" s="809"/>
      <c r="F1566" s="809"/>
      <c r="G1566" s="809"/>
      <c r="H1566" s="809"/>
      <c r="I1566" s="809"/>
      <c r="J1566" s="809"/>
      <c r="K1566" s="809"/>
      <c r="L1566" s="809"/>
      <c r="M1566" s="809"/>
      <c r="N1566" s="809"/>
      <c r="AG1566" s="809"/>
      <c r="AH1566" s="809"/>
      <c r="AI1566" s="809"/>
      <c r="AJ1566" s="809"/>
      <c r="AK1566" s="809"/>
      <c r="AL1566" s="809"/>
      <c r="AM1566" s="809"/>
      <c r="AN1566" s="809"/>
      <c r="AO1566" s="809"/>
      <c r="AP1566" s="809"/>
      <c r="AQ1566" s="809"/>
      <c r="AR1566" s="809"/>
      <c r="AS1566" s="809"/>
      <c r="AT1566" s="809"/>
      <c r="AU1566" s="809"/>
      <c r="AV1566" s="809"/>
      <c r="AW1566" s="809"/>
      <c r="AX1566" s="809"/>
      <c r="AY1566" s="809"/>
      <c r="AZ1566" s="809"/>
      <c r="BA1566" s="809"/>
      <c r="BB1566" s="809"/>
      <c r="BC1566" s="809"/>
      <c r="BD1566" s="809"/>
      <c r="BE1566" s="809"/>
      <c r="BF1566" s="809"/>
      <c r="BG1566" s="809"/>
      <c r="BH1566" s="809"/>
      <c r="BI1566" s="809"/>
      <c r="BJ1566" s="809"/>
      <c r="BK1566" s="809"/>
      <c r="BL1566" s="809"/>
      <c r="BM1566" s="809"/>
      <c r="BN1566" s="809"/>
    </row>
    <row r="1567" spans="1:66">
      <c r="A1567" s="809"/>
      <c r="B1567" s="809"/>
      <c r="C1567" s="809"/>
      <c r="D1567" s="809"/>
      <c r="E1567" s="809"/>
      <c r="F1567" s="809"/>
      <c r="G1567" s="809"/>
      <c r="H1567" s="809"/>
      <c r="I1567" s="809"/>
      <c r="J1567" s="809"/>
      <c r="K1567" s="809"/>
      <c r="L1567" s="809"/>
      <c r="M1567" s="809"/>
      <c r="N1567" s="809"/>
      <c r="AG1567" s="809"/>
      <c r="AH1567" s="809"/>
      <c r="AI1567" s="809"/>
      <c r="AJ1567" s="809"/>
      <c r="AK1567" s="809"/>
      <c r="AL1567" s="809"/>
      <c r="AM1567" s="809"/>
      <c r="AN1567" s="809"/>
      <c r="AO1567" s="809"/>
      <c r="AP1567" s="809"/>
      <c r="AQ1567" s="809"/>
      <c r="AR1567" s="809"/>
      <c r="AS1567" s="809"/>
      <c r="AT1567" s="809"/>
      <c r="AU1567" s="809"/>
      <c r="AV1567" s="809"/>
      <c r="AW1567" s="809"/>
      <c r="AX1567" s="809"/>
      <c r="AY1567" s="809"/>
      <c r="AZ1567" s="809"/>
      <c r="BA1567" s="809"/>
      <c r="BB1567" s="809"/>
      <c r="BC1567" s="809"/>
      <c r="BD1567" s="809"/>
      <c r="BE1567" s="809"/>
      <c r="BF1567" s="809"/>
      <c r="BG1567" s="809"/>
      <c r="BH1567" s="809"/>
      <c r="BI1567" s="809"/>
      <c r="BJ1567" s="809"/>
      <c r="BK1567" s="809"/>
      <c r="BL1567" s="809"/>
      <c r="BM1567" s="809"/>
      <c r="BN1567" s="809"/>
    </row>
    <row r="1568" spans="1:66">
      <c r="A1568" s="809"/>
      <c r="B1568" s="809"/>
      <c r="C1568" s="809"/>
      <c r="D1568" s="809"/>
      <c r="E1568" s="809"/>
      <c r="F1568" s="809"/>
      <c r="G1568" s="809"/>
      <c r="H1568" s="809"/>
      <c r="I1568" s="809"/>
      <c r="J1568" s="809"/>
      <c r="K1568" s="809"/>
      <c r="L1568" s="809"/>
      <c r="M1568" s="809"/>
      <c r="N1568" s="809"/>
      <c r="AG1568" s="809"/>
      <c r="AH1568" s="809"/>
      <c r="AI1568" s="809"/>
      <c r="AJ1568" s="809"/>
      <c r="AK1568" s="809"/>
      <c r="AL1568" s="809"/>
      <c r="AM1568" s="809"/>
      <c r="AN1568" s="809"/>
      <c r="AO1568" s="809"/>
      <c r="AP1568" s="809"/>
      <c r="AQ1568" s="809"/>
      <c r="AR1568" s="809"/>
      <c r="AS1568" s="809"/>
      <c r="AT1568" s="809"/>
      <c r="AU1568" s="809"/>
      <c r="AV1568" s="809"/>
      <c r="AW1568" s="809"/>
      <c r="AX1568" s="809"/>
      <c r="AY1568" s="809"/>
      <c r="AZ1568" s="809"/>
      <c r="BA1568" s="809"/>
      <c r="BB1568" s="809"/>
      <c r="BC1568" s="809"/>
      <c r="BD1568" s="809"/>
      <c r="BE1568" s="809"/>
      <c r="BF1568" s="809"/>
      <c r="BG1568" s="809"/>
      <c r="BH1568" s="809"/>
    </row>
    <row r="1569" spans="1:60">
      <c r="A1569" s="809"/>
      <c r="B1569" s="809"/>
      <c r="C1569" s="809"/>
      <c r="D1569" s="809"/>
      <c r="E1569" s="809"/>
      <c r="F1569" s="809"/>
      <c r="G1569" s="809"/>
      <c r="H1569" s="809"/>
      <c r="I1569" s="809"/>
      <c r="J1569" s="809"/>
      <c r="K1569" s="809"/>
      <c r="L1569" s="809"/>
      <c r="M1569" s="809"/>
      <c r="N1569" s="809"/>
      <c r="AG1569" s="809"/>
      <c r="AH1569" s="809"/>
      <c r="AI1569" s="809"/>
      <c r="AJ1569" s="809"/>
      <c r="AK1569" s="809"/>
      <c r="AL1569" s="809"/>
      <c r="AM1569" s="809"/>
      <c r="AN1569" s="809"/>
      <c r="AO1569" s="809"/>
      <c r="AP1569" s="809"/>
      <c r="AQ1569" s="809"/>
      <c r="AR1569" s="809"/>
      <c r="AS1569" s="809"/>
      <c r="AT1569" s="809"/>
      <c r="AU1569" s="809"/>
      <c r="AV1569" s="809"/>
      <c r="AW1569" s="809"/>
      <c r="AX1569" s="809"/>
      <c r="AY1569" s="809"/>
      <c r="AZ1569" s="809"/>
      <c r="BA1569" s="809"/>
      <c r="BB1569" s="809"/>
      <c r="BC1569" s="809"/>
      <c r="BD1569" s="809"/>
      <c r="BE1569" s="809"/>
      <c r="BF1569" s="809"/>
      <c r="BG1569" s="809"/>
      <c r="BH1569" s="809"/>
    </row>
    <row r="1570" spans="1:60">
      <c r="A1570" s="809"/>
      <c r="B1570" s="809"/>
      <c r="C1570" s="809"/>
      <c r="D1570" s="809"/>
      <c r="E1570" s="809"/>
      <c r="F1570" s="809"/>
      <c r="G1570" s="809"/>
      <c r="H1570" s="809"/>
      <c r="I1570" s="809"/>
      <c r="J1570" s="809"/>
      <c r="K1570" s="809"/>
      <c r="L1570" s="809"/>
      <c r="M1570" s="809"/>
      <c r="N1570" s="809"/>
      <c r="AT1570" s="809"/>
      <c r="AU1570" s="809"/>
      <c r="AV1570" s="809"/>
      <c r="AW1570" s="809"/>
      <c r="AX1570" s="809"/>
      <c r="AY1570" s="809"/>
      <c r="AZ1570" s="809"/>
      <c r="BA1570" s="809"/>
      <c r="BB1570" s="809"/>
      <c r="BC1570" s="809"/>
      <c r="BD1570" s="809"/>
      <c r="BE1570" s="809"/>
      <c r="BF1570" s="809"/>
      <c r="BG1570" s="809"/>
      <c r="BH1570" s="809"/>
    </row>
    <row r="1571" spans="1:60">
      <c r="A1571" s="809"/>
      <c r="B1571" s="809"/>
      <c r="C1571" s="809"/>
      <c r="D1571" s="809"/>
      <c r="E1571" s="809"/>
      <c r="F1571" s="809"/>
      <c r="G1571" s="809"/>
      <c r="H1571" s="809"/>
      <c r="I1571" s="809"/>
      <c r="J1571" s="809"/>
      <c r="K1571" s="809"/>
      <c r="L1571" s="809"/>
      <c r="M1571" s="809"/>
      <c r="N1571" s="809"/>
      <c r="AU1571" s="809"/>
      <c r="AV1571" s="809"/>
      <c r="AW1571" s="809"/>
      <c r="AX1571" s="809"/>
      <c r="AY1571" s="809"/>
      <c r="AZ1571" s="809"/>
      <c r="BA1571" s="809"/>
      <c r="BB1571" s="809"/>
      <c r="BC1571" s="809"/>
      <c r="BD1571" s="809"/>
      <c r="BE1571" s="809"/>
      <c r="BF1571" s="809"/>
      <c r="BG1571" s="809"/>
    </row>
    <row r="1572" spans="1:60">
      <c r="A1572" s="809"/>
      <c r="B1572" s="809"/>
      <c r="C1572" s="809"/>
      <c r="D1572" s="809"/>
      <c r="E1572" s="809"/>
      <c r="F1572" s="809"/>
      <c r="G1572" s="809"/>
      <c r="H1572" s="809"/>
      <c r="I1572" s="809"/>
      <c r="J1572" s="809"/>
      <c r="K1572" s="809"/>
      <c r="L1572" s="809"/>
      <c r="M1572" s="809"/>
      <c r="N1572" s="809"/>
      <c r="AU1572" s="809"/>
      <c r="AV1572" s="809"/>
      <c r="AW1572" s="809"/>
      <c r="AX1572" s="809"/>
      <c r="AY1572" s="809"/>
      <c r="AZ1572" s="809"/>
      <c r="BA1572" s="809"/>
      <c r="BB1572" s="809"/>
      <c r="BC1572" s="809"/>
      <c r="BD1572" s="809"/>
      <c r="BE1572" s="809"/>
      <c r="BF1572" s="809"/>
      <c r="BG1572" s="809"/>
    </row>
    <row r="1573" spans="1:60">
      <c r="A1573" s="809"/>
      <c r="B1573" s="809"/>
      <c r="C1573" s="809"/>
      <c r="D1573" s="809"/>
      <c r="E1573" s="809"/>
      <c r="F1573" s="809"/>
      <c r="G1573" s="809"/>
      <c r="H1573" s="809"/>
      <c r="I1573" s="809"/>
      <c r="J1573" s="809"/>
      <c r="K1573" s="809"/>
      <c r="L1573" s="809"/>
      <c r="M1573" s="809"/>
      <c r="N1573" s="809"/>
      <c r="AU1573" s="809"/>
      <c r="AV1573" s="809"/>
      <c r="AW1573" s="809"/>
      <c r="AX1573" s="809"/>
      <c r="AY1573" s="809"/>
      <c r="AZ1573" s="809"/>
      <c r="BA1573" s="809"/>
      <c r="BB1573" s="809"/>
      <c r="BC1573" s="809"/>
      <c r="BD1573" s="809"/>
      <c r="BE1573" s="809"/>
      <c r="BF1573" s="809"/>
      <c r="BG1573" s="809"/>
    </row>
    <row r="1574" spans="1:60">
      <c r="A1574" s="809"/>
      <c r="B1574" s="809"/>
      <c r="C1574" s="809"/>
      <c r="D1574" s="809"/>
      <c r="E1574" s="809"/>
      <c r="F1574" s="809"/>
      <c r="G1574" s="809"/>
      <c r="H1574" s="809"/>
      <c r="I1574" s="809"/>
      <c r="J1574" s="809"/>
      <c r="K1574" s="809"/>
      <c r="L1574" s="809"/>
      <c r="M1574" s="809"/>
      <c r="N1574" s="809"/>
      <c r="AU1574" s="809"/>
      <c r="AV1574" s="809"/>
    </row>
    <row r="1575" spans="1:60">
      <c r="A1575" s="809"/>
      <c r="B1575" s="809"/>
      <c r="C1575" s="809"/>
      <c r="D1575" s="809"/>
      <c r="E1575" s="809"/>
      <c r="F1575" s="809"/>
      <c r="G1575" s="809"/>
      <c r="H1575" s="809"/>
      <c r="I1575" s="809"/>
      <c r="J1575" s="809"/>
      <c r="K1575" s="809"/>
      <c r="L1575" s="809"/>
      <c r="M1575" s="809"/>
      <c r="N1575" s="809"/>
      <c r="AU1575" s="809"/>
    </row>
    <row r="1576" spans="1:60">
      <c r="A1576" s="809"/>
      <c r="B1576" s="809"/>
      <c r="C1576" s="809"/>
      <c r="D1576" s="809"/>
      <c r="E1576" s="809"/>
      <c r="F1576" s="809"/>
      <c r="G1576" s="809"/>
      <c r="H1576" s="809"/>
      <c r="I1576" s="809"/>
      <c r="J1576" s="809"/>
      <c r="K1576" s="809"/>
      <c r="L1576" s="809"/>
      <c r="M1576" s="809"/>
      <c r="N1576" s="809"/>
      <c r="AU1576" s="809"/>
    </row>
    <row r="1577" spans="1:60">
      <c r="A1577" s="809"/>
      <c r="B1577" s="809"/>
      <c r="C1577" s="809"/>
      <c r="D1577" s="809"/>
      <c r="E1577" s="809"/>
      <c r="F1577" s="809"/>
      <c r="G1577" s="809"/>
      <c r="H1577" s="809"/>
      <c r="I1577" s="809"/>
      <c r="J1577" s="809"/>
      <c r="K1577" s="809"/>
      <c r="L1577" s="809"/>
      <c r="M1577" s="809"/>
      <c r="N1577" s="809"/>
    </row>
    <row r="1578" spans="1:60">
      <c r="A1578" s="809"/>
      <c r="B1578" s="809"/>
      <c r="C1578" s="809"/>
      <c r="D1578" s="809"/>
      <c r="E1578" s="809"/>
      <c r="F1578" s="809"/>
      <c r="G1578" s="809"/>
      <c r="H1578" s="809"/>
      <c r="I1578" s="809"/>
      <c r="J1578" s="809"/>
      <c r="K1578" s="809"/>
      <c r="L1578" s="809"/>
      <c r="M1578" s="809"/>
      <c r="N1578" s="809"/>
    </row>
    <row r="1579" spans="1:60">
      <c r="A1579" s="809"/>
      <c r="B1579" s="809"/>
      <c r="C1579" s="809"/>
      <c r="D1579" s="809"/>
      <c r="E1579" s="809"/>
      <c r="F1579" s="809"/>
      <c r="G1579" s="809"/>
      <c r="H1579" s="809"/>
      <c r="I1579" s="809"/>
      <c r="J1579" s="809"/>
      <c r="K1579" s="809"/>
      <c r="L1579" s="809"/>
      <c r="M1579" s="809"/>
      <c r="N1579" s="809"/>
    </row>
    <row r="1580" spans="1:60">
      <c r="A1580" s="809"/>
      <c r="B1580" s="809"/>
      <c r="C1580" s="809"/>
      <c r="D1580" s="809"/>
      <c r="E1580" s="809"/>
      <c r="F1580" s="809"/>
      <c r="G1580" s="809"/>
      <c r="H1580" s="809"/>
      <c r="I1580" s="809"/>
      <c r="J1580" s="809"/>
      <c r="K1580" s="809"/>
      <c r="L1580" s="809"/>
      <c r="M1580" s="809"/>
      <c r="N1580" s="809"/>
    </row>
    <row r="1581" spans="1:60">
      <c r="A1581" s="809"/>
      <c r="B1581" s="809"/>
      <c r="C1581" s="809"/>
      <c r="D1581" s="809"/>
      <c r="E1581" s="809"/>
      <c r="F1581" s="809"/>
      <c r="G1581" s="809"/>
      <c r="H1581" s="809"/>
      <c r="I1581" s="809"/>
      <c r="J1581" s="809"/>
      <c r="K1581" s="809"/>
      <c r="L1581" s="809"/>
      <c r="M1581" s="809"/>
      <c r="N1581" s="809"/>
    </row>
    <row r="1582" spans="1:60">
      <c r="A1582" s="809"/>
      <c r="B1582" s="809"/>
      <c r="C1582" s="809"/>
      <c r="D1582" s="809"/>
      <c r="E1582" s="809"/>
      <c r="F1582" s="809"/>
      <c r="G1582" s="809"/>
      <c r="H1582" s="809"/>
      <c r="I1582" s="809"/>
      <c r="J1582" s="809"/>
      <c r="K1582" s="809"/>
      <c r="L1582" s="809"/>
      <c r="M1582" s="809"/>
      <c r="N1582" s="809"/>
    </row>
    <row r="1583" spans="1:60">
      <c r="A1583" s="809"/>
      <c r="B1583" s="809"/>
      <c r="C1583" s="809"/>
      <c r="D1583" s="809"/>
      <c r="E1583" s="809"/>
      <c r="F1583" s="809"/>
      <c r="G1583" s="809"/>
      <c r="H1583" s="809"/>
      <c r="I1583" s="809"/>
      <c r="J1583" s="809"/>
      <c r="K1583" s="809"/>
      <c r="L1583" s="809"/>
      <c r="M1583" s="809"/>
      <c r="N1583" s="809"/>
    </row>
    <row r="1584" spans="1:60">
      <c r="A1584" s="809"/>
      <c r="B1584" s="809"/>
      <c r="C1584" s="809"/>
      <c r="D1584" s="809"/>
      <c r="E1584" s="809"/>
      <c r="F1584" s="809"/>
      <c r="G1584" s="809"/>
      <c r="H1584" s="809"/>
      <c r="I1584" s="809"/>
      <c r="J1584" s="809"/>
      <c r="K1584" s="809"/>
      <c r="L1584" s="809"/>
      <c r="M1584" s="809"/>
      <c r="N1584" s="809"/>
    </row>
    <row r="1585" spans="1:14">
      <c r="A1585" s="809"/>
      <c r="B1585" s="809"/>
      <c r="C1585" s="809"/>
      <c r="D1585" s="809"/>
      <c r="E1585" s="809"/>
      <c r="F1585" s="809"/>
      <c r="G1585" s="809"/>
      <c r="H1585" s="809"/>
      <c r="I1585" s="809"/>
      <c r="J1585" s="809"/>
      <c r="K1585" s="809"/>
      <c r="L1585" s="809"/>
      <c r="M1585" s="809"/>
      <c r="N1585" s="809"/>
    </row>
    <row r="1586" spans="1:14">
      <c r="A1586" s="809"/>
      <c r="B1586" s="809"/>
      <c r="C1586" s="809"/>
      <c r="D1586" s="809"/>
      <c r="E1586" s="809"/>
      <c r="F1586" s="809"/>
      <c r="G1586" s="809"/>
      <c r="H1586" s="809"/>
      <c r="I1586" s="809"/>
      <c r="J1586" s="809"/>
      <c r="K1586" s="809"/>
      <c r="L1586" s="809"/>
      <c r="M1586" s="809"/>
      <c r="N1586" s="809"/>
    </row>
    <row r="1587" spans="1:14">
      <c r="A1587" s="809"/>
      <c r="B1587" s="809"/>
      <c r="C1587" s="809"/>
      <c r="D1587" s="809"/>
      <c r="E1587" s="809"/>
      <c r="F1587" s="809"/>
      <c r="G1587" s="809"/>
      <c r="H1587" s="809"/>
      <c r="I1587" s="809"/>
      <c r="J1587" s="809"/>
      <c r="K1587" s="809"/>
      <c r="L1587" s="809"/>
      <c r="M1587" s="809"/>
      <c r="N1587" s="809"/>
    </row>
  </sheetData>
  <mergeCells count="9">
    <mergeCell ref="P2:R2"/>
    <mergeCell ref="S33:U33"/>
    <mergeCell ref="AB33:AD33"/>
    <mergeCell ref="Y33:AA33"/>
    <mergeCell ref="V33:X33"/>
    <mergeCell ref="S2:U2"/>
    <mergeCell ref="V2:X2"/>
    <mergeCell ref="Y2:AA2"/>
    <mergeCell ref="AB2:AD2"/>
  </mergeCells>
  <pageMargins left="0.75" right="0.75" top="1" bottom="1" header="0.5" footer="0.5"/>
  <pageSetup scale="91" orientation="portrait" r:id="rId1"/>
  <headerFooter alignWithMargins="0"/>
  <ignoredErrors>
    <ignoredError sqref="BD3:BF3"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A60B-EA0F-4FDD-892B-5736E752367F}">
  <sheetPr>
    <tabColor rgb="FFFFFF00"/>
  </sheetPr>
  <dimension ref="A1:BC193"/>
  <sheetViews>
    <sheetView showGridLines="0" zoomScale="90" zoomScaleNormal="90" workbookViewId="0">
      <selection activeCell="A75" sqref="A75"/>
    </sheetView>
  </sheetViews>
  <sheetFormatPr defaultRowHeight="12.75"/>
  <cols>
    <col min="1" max="1" width="38.7109375" style="585" customWidth="1"/>
    <col min="2" max="9" width="10.7109375" style="585" customWidth="1"/>
    <col min="10" max="10" width="4.42578125" style="585" customWidth="1"/>
    <col min="11" max="11" width="9.28515625" style="585" customWidth="1"/>
    <col min="12" max="12" width="44.7109375" style="585" customWidth="1"/>
    <col min="13" max="21" width="10.7109375" style="585" customWidth="1"/>
    <col min="22" max="22" width="9.140625" style="585"/>
    <col min="23" max="23" width="27.140625" style="585" customWidth="1"/>
    <col min="24" max="24" width="9.7109375" style="585" customWidth="1"/>
    <col min="25" max="25" width="8.7109375" style="585" customWidth="1"/>
    <col min="26" max="26" width="9.7109375" style="585" customWidth="1"/>
    <col min="27" max="27" width="8.7109375" style="585" customWidth="1"/>
    <col min="28" max="28" width="9.7109375" style="585" customWidth="1"/>
    <col min="29" max="29" width="8.7109375" style="585" customWidth="1"/>
    <col min="30" max="30" width="9.7109375" style="585" customWidth="1"/>
    <col min="31" max="31" width="8.7109375" style="585" customWidth="1"/>
    <col min="32" max="32" width="9.7109375" style="585" customWidth="1"/>
    <col min="33" max="33" width="8.7109375" style="585" customWidth="1"/>
    <col min="34" max="35" width="9.140625" style="585"/>
    <col min="36" max="36" width="24.7109375" style="585" customWidth="1"/>
    <col min="37" max="38" width="11.7109375" style="585" customWidth="1"/>
    <col min="39" max="39" width="5.7109375" style="585" customWidth="1"/>
    <col min="40" max="40" width="24.7109375" style="585" customWidth="1"/>
    <col min="41" max="42" width="11.7109375" style="585" customWidth="1"/>
    <col min="43" max="45" width="9.140625" style="585"/>
    <col min="46" max="46" width="18.85546875" style="585" customWidth="1"/>
    <col min="47" max="53" width="12.7109375" style="585" customWidth="1"/>
    <col min="54" max="55" width="14.7109375" style="585" customWidth="1"/>
    <col min="56" max="256" width="9.140625" style="585"/>
    <col min="257" max="257" width="38.7109375" style="585" customWidth="1"/>
    <col min="258" max="266" width="10.7109375" style="585" customWidth="1"/>
    <col min="267" max="267" width="11.7109375" style="585" customWidth="1"/>
    <col min="268" max="268" width="44.7109375" style="585" customWidth="1"/>
    <col min="269" max="277" width="10.7109375" style="585" customWidth="1"/>
    <col min="278" max="278" width="9.140625" style="585"/>
    <col min="279" max="279" width="27.140625" style="585" customWidth="1"/>
    <col min="280" max="280" width="9.7109375" style="585" customWidth="1"/>
    <col min="281" max="281" width="8.7109375" style="585" customWidth="1"/>
    <col min="282" max="282" width="9.7109375" style="585" customWidth="1"/>
    <col min="283" max="283" width="8.7109375" style="585" customWidth="1"/>
    <col min="284" max="284" width="9.7109375" style="585" customWidth="1"/>
    <col min="285" max="285" width="8.7109375" style="585" customWidth="1"/>
    <col min="286" max="286" width="9.7109375" style="585" customWidth="1"/>
    <col min="287" max="287" width="8.7109375" style="585" customWidth="1"/>
    <col min="288" max="288" width="9.7109375" style="585" customWidth="1"/>
    <col min="289" max="289" width="8.7109375" style="585" customWidth="1"/>
    <col min="290" max="291" width="9.140625" style="585"/>
    <col min="292" max="292" width="24.7109375" style="585" customWidth="1"/>
    <col min="293" max="294" width="11.7109375" style="585" customWidth="1"/>
    <col min="295" max="295" width="5.7109375" style="585" customWidth="1"/>
    <col min="296" max="296" width="24.7109375" style="585" customWidth="1"/>
    <col min="297" max="298" width="11.7109375" style="585" customWidth="1"/>
    <col min="299" max="301" width="9.140625" style="585"/>
    <col min="302" max="302" width="18.85546875" style="585" customWidth="1"/>
    <col min="303" max="309" width="12.7109375" style="585" customWidth="1"/>
    <col min="310" max="311" width="14.7109375" style="585" customWidth="1"/>
    <col min="312" max="512" width="9.140625" style="585"/>
    <col min="513" max="513" width="38.7109375" style="585" customWidth="1"/>
    <col min="514" max="522" width="10.7109375" style="585" customWidth="1"/>
    <col min="523" max="523" width="11.7109375" style="585" customWidth="1"/>
    <col min="524" max="524" width="44.7109375" style="585" customWidth="1"/>
    <col min="525" max="533" width="10.7109375" style="585" customWidth="1"/>
    <col min="534" max="534" width="9.140625" style="585"/>
    <col min="535" max="535" width="27.140625" style="585" customWidth="1"/>
    <col min="536" max="536" width="9.7109375" style="585" customWidth="1"/>
    <col min="537" max="537" width="8.7109375" style="585" customWidth="1"/>
    <col min="538" max="538" width="9.7109375" style="585" customWidth="1"/>
    <col min="539" max="539" width="8.7109375" style="585" customWidth="1"/>
    <col min="540" max="540" width="9.7109375" style="585" customWidth="1"/>
    <col min="541" max="541" width="8.7109375" style="585" customWidth="1"/>
    <col min="542" max="542" width="9.7109375" style="585" customWidth="1"/>
    <col min="543" max="543" width="8.7109375" style="585" customWidth="1"/>
    <col min="544" max="544" width="9.7109375" style="585" customWidth="1"/>
    <col min="545" max="545" width="8.7109375" style="585" customWidth="1"/>
    <col min="546" max="547" width="9.140625" style="585"/>
    <col min="548" max="548" width="24.7109375" style="585" customWidth="1"/>
    <col min="549" max="550" width="11.7109375" style="585" customWidth="1"/>
    <col min="551" max="551" width="5.7109375" style="585" customWidth="1"/>
    <col min="552" max="552" width="24.7109375" style="585" customWidth="1"/>
    <col min="553" max="554" width="11.7109375" style="585" customWidth="1"/>
    <col min="555" max="557" width="9.140625" style="585"/>
    <col min="558" max="558" width="18.85546875" style="585" customWidth="1"/>
    <col min="559" max="565" width="12.7109375" style="585" customWidth="1"/>
    <col min="566" max="567" width="14.7109375" style="585" customWidth="1"/>
    <col min="568" max="768" width="9.140625" style="585"/>
    <col min="769" max="769" width="38.7109375" style="585" customWidth="1"/>
    <col min="770" max="778" width="10.7109375" style="585" customWidth="1"/>
    <col min="779" max="779" width="11.7109375" style="585" customWidth="1"/>
    <col min="780" max="780" width="44.7109375" style="585" customWidth="1"/>
    <col min="781" max="789" width="10.7109375" style="585" customWidth="1"/>
    <col min="790" max="790" width="9.140625" style="585"/>
    <col min="791" max="791" width="27.140625" style="585" customWidth="1"/>
    <col min="792" max="792" width="9.7109375" style="585" customWidth="1"/>
    <col min="793" max="793" width="8.7109375" style="585" customWidth="1"/>
    <col min="794" max="794" width="9.7109375" style="585" customWidth="1"/>
    <col min="795" max="795" width="8.7109375" style="585" customWidth="1"/>
    <col min="796" max="796" width="9.7109375" style="585" customWidth="1"/>
    <col min="797" max="797" width="8.7109375" style="585" customWidth="1"/>
    <col min="798" max="798" width="9.7109375" style="585" customWidth="1"/>
    <col min="799" max="799" width="8.7109375" style="585" customWidth="1"/>
    <col min="800" max="800" width="9.7109375" style="585" customWidth="1"/>
    <col min="801" max="801" width="8.7109375" style="585" customWidth="1"/>
    <col min="802" max="803" width="9.140625" style="585"/>
    <col min="804" max="804" width="24.7109375" style="585" customWidth="1"/>
    <col min="805" max="806" width="11.7109375" style="585" customWidth="1"/>
    <col min="807" max="807" width="5.7109375" style="585" customWidth="1"/>
    <col min="808" max="808" width="24.7109375" style="585" customWidth="1"/>
    <col min="809" max="810" width="11.7109375" style="585" customWidth="1"/>
    <col min="811" max="813" width="9.140625" style="585"/>
    <col min="814" max="814" width="18.85546875" style="585" customWidth="1"/>
    <col min="815" max="821" width="12.7109375" style="585" customWidth="1"/>
    <col min="822" max="823" width="14.7109375" style="585" customWidth="1"/>
    <col min="824" max="1024" width="9.140625" style="585"/>
    <col min="1025" max="1025" width="38.7109375" style="585" customWidth="1"/>
    <col min="1026" max="1034" width="10.7109375" style="585" customWidth="1"/>
    <col min="1035" max="1035" width="11.7109375" style="585" customWidth="1"/>
    <col min="1036" max="1036" width="44.7109375" style="585" customWidth="1"/>
    <col min="1037" max="1045" width="10.7109375" style="585" customWidth="1"/>
    <col min="1046" max="1046" width="9.140625" style="585"/>
    <col min="1047" max="1047" width="27.140625" style="585" customWidth="1"/>
    <col min="1048" max="1048" width="9.7109375" style="585" customWidth="1"/>
    <col min="1049" max="1049" width="8.7109375" style="585" customWidth="1"/>
    <col min="1050" max="1050" width="9.7109375" style="585" customWidth="1"/>
    <col min="1051" max="1051" width="8.7109375" style="585" customWidth="1"/>
    <col min="1052" max="1052" width="9.7109375" style="585" customWidth="1"/>
    <col min="1053" max="1053" width="8.7109375" style="585" customWidth="1"/>
    <col min="1054" max="1054" width="9.7109375" style="585" customWidth="1"/>
    <col min="1055" max="1055" width="8.7109375" style="585" customWidth="1"/>
    <col min="1056" max="1056" width="9.7109375" style="585" customWidth="1"/>
    <col min="1057" max="1057" width="8.7109375" style="585" customWidth="1"/>
    <col min="1058" max="1059" width="9.140625" style="585"/>
    <col min="1060" max="1060" width="24.7109375" style="585" customWidth="1"/>
    <col min="1061" max="1062" width="11.7109375" style="585" customWidth="1"/>
    <col min="1063" max="1063" width="5.7109375" style="585" customWidth="1"/>
    <col min="1064" max="1064" width="24.7109375" style="585" customWidth="1"/>
    <col min="1065" max="1066" width="11.7109375" style="585" customWidth="1"/>
    <col min="1067" max="1069" width="9.140625" style="585"/>
    <col min="1070" max="1070" width="18.85546875" style="585" customWidth="1"/>
    <col min="1071" max="1077" width="12.7109375" style="585" customWidth="1"/>
    <col min="1078" max="1079" width="14.7109375" style="585" customWidth="1"/>
    <col min="1080" max="1280" width="9.140625" style="585"/>
    <col min="1281" max="1281" width="38.7109375" style="585" customWidth="1"/>
    <col min="1282" max="1290" width="10.7109375" style="585" customWidth="1"/>
    <col min="1291" max="1291" width="11.7109375" style="585" customWidth="1"/>
    <col min="1292" max="1292" width="44.7109375" style="585" customWidth="1"/>
    <col min="1293" max="1301" width="10.7109375" style="585" customWidth="1"/>
    <col min="1302" max="1302" width="9.140625" style="585"/>
    <col min="1303" max="1303" width="27.140625" style="585" customWidth="1"/>
    <col min="1304" max="1304" width="9.7109375" style="585" customWidth="1"/>
    <col min="1305" max="1305" width="8.7109375" style="585" customWidth="1"/>
    <col min="1306" max="1306" width="9.7109375" style="585" customWidth="1"/>
    <col min="1307" max="1307" width="8.7109375" style="585" customWidth="1"/>
    <col min="1308" max="1308" width="9.7109375" style="585" customWidth="1"/>
    <col min="1309" max="1309" width="8.7109375" style="585" customWidth="1"/>
    <col min="1310" max="1310" width="9.7109375" style="585" customWidth="1"/>
    <col min="1311" max="1311" width="8.7109375" style="585" customWidth="1"/>
    <col min="1312" max="1312" width="9.7109375" style="585" customWidth="1"/>
    <col min="1313" max="1313" width="8.7109375" style="585" customWidth="1"/>
    <col min="1314" max="1315" width="9.140625" style="585"/>
    <col min="1316" max="1316" width="24.7109375" style="585" customWidth="1"/>
    <col min="1317" max="1318" width="11.7109375" style="585" customWidth="1"/>
    <col min="1319" max="1319" width="5.7109375" style="585" customWidth="1"/>
    <col min="1320" max="1320" width="24.7109375" style="585" customWidth="1"/>
    <col min="1321" max="1322" width="11.7109375" style="585" customWidth="1"/>
    <col min="1323" max="1325" width="9.140625" style="585"/>
    <col min="1326" max="1326" width="18.85546875" style="585" customWidth="1"/>
    <col min="1327" max="1333" width="12.7109375" style="585" customWidth="1"/>
    <col min="1334" max="1335" width="14.7109375" style="585" customWidth="1"/>
    <col min="1336" max="1536" width="9.140625" style="585"/>
    <col min="1537" max="1537" width="38.7109375" style="585" customWidth="1"/>
    <col min="1538" max="1546" width="10.7109375" style="585" customWidth="1"/>
    <col min="1547" max="1547" width="11.7109375" style="585" customWidth="1"/>
    <col min="1548" max="1548" width="44.7109375" style="585" customWidth="1"/>
    <col min="1549" max="1557" width="10.7109375" style="585" customWidth="1"/>
    <col min="1558" max="1558" width="9.140625" style="585"/>
    <col min="1559" max="1559" width="27.140625" style="585" customWidth="1"/>
    <col min="1560" max="1560" width="9.7109375" style="585" customWidth="1"/>
    <col min="1561" max="1561" width="8.7109375" style="585" customWidth="1"/>
    <col min="1562" max="1562" width="9.7109375" style="585" customWidth="1"/>
    <col min="1563" max="1563" width="8.7109375" style="585" customWidth="1"/>
    <col min="1564" max="1564" width="9.7109375" style="585" customWidth="1"/>
    <col min="1565" max="1565" width="8.7109375" style="585" customWidth="1"/>
    <col min="1566" max="1566" width="9.7109375" style="585" customWidth="1"/>
    <col min="1567" max="1567" width="8.7109375" style="585" customWidth="1"/>
    <col min="1568" max="1568" width="9.7109375" style="585" customWidth="1"/>
    <col min="1569" max="1569" width="8.7109375" style="585" customWidth="1"/>
    <col min="1570" max="1571" width="9.140625" style="585"/>
    <col min="1572" max="1572" width="24.7109375" style="585" customWidth="1"/>
    <col min="1573" max="1574" width="11.7109375" style="585" customWidth="1"/>
    <col min="1575" max="1575" width="5.7109375" style="585" customWidth="1"/>
    <col min="1576" max="1576" width="24.7109375" style="585" customWidth="1"/>
    <col min="1577" max="1578" width="11.7109375" style="585" customWidth="1"/>
    <col min="1579" max="1581" width="9.140625" style="585"/>
    <col min="1582" max="1582" width="18.85546875" style="585" customWidth="1"/>
    <col min="1583" max="1589" width="12.7109375" style="585" customWidth="1"/>
    <col min="1590" max="1591" width="14.7109375" style="585" customWidth="1"/>
    <col min="1592" max="1792" width="9.140625" style="585"/>
    <col min="1793" max="1793" width="38.7109375" style="585" customWidth="1"/>
    <col min="1794" max="1802" width="10.7109375" style="585" customWidth="1"/>
    <col min="1803" max="1803" width="11.7109375" style="585" customWidth="1"/>
    <col min="1804" max="1804" width="44.7109375" style="585" customWidth="1"/>
    <col min="1805" max="1813" width="10.7109375" style="585" customWidth="1"/>
    <col min="1814" max="1814" width="9.140625" style="585"/>
    <col min="1815" max="1815" width="27.140625" style="585" customWidth="1"/>
    <col min="1816" max="1816" width="9.7109375" style="585" customWidth="1"/>
    <col min="1817" max="1817" width="8.7109375" style="585" customWidth="1"/>
    <col min="1818" max="1818" width="9.7109375" style="585" customWidth="1"/>
    <col min="1819" max="1819" width="8.7109375" style="585" customWidth="1"/>
    <col min="1820" max="1820" width="9.7109375" style="585" customWidth="1"/>
    <col min="1821" max="1821" width="8.7109375" style="585" customWidth="1"/>
    <col min="1822" max="1822" width="9.7109375" style="585" customWidth="1"/>
    <col min="1823" max="1823" width="8.7109375" style="585" customWidth="1"/>
    <col min="1824" max="1824" width="9.7109375" style="585" customWidth="1"/>
    <col min="1825" max="1825" width="8.7109375" style="585" customWidth="1"/>
    <col min="1826" max="1827" width="9.140625" style="585"/>
    <col min="1828" max="1828" width="24.7109375" style="585" customWidth="1"/>
    <col min="1829" max="1830" width="11.7109375" style="585" customWidth="1"/>
    <col min="1831" max="1831" width="5.7109375" style="585" customWidth="1"/>
    <col min="1832" max="1832" width="24.7109375" style="585" customWidth="1"/>
    <col min="1833" max="1834" width="11.7109375" style="585" customWidth="1"/>
    <col min="1835" max="1837" width="9.140625" style="585"/>
    <col min="1838" max="1838" width="18.85546875" style="585" customWidth="1"/>
    <col min="1839" max="1845" width="12.7109375" style="585" customWidth="1"/>
    <col min="1846" max="1847" width="14.7109375" style="585" customWidth="1"/>
    <col min="1848" max="2048" width="9.140625" style="585"/>
    <col min="2049" max="2049" width="38.7109375" style="585" customWidth="1"/>
    <col min="2050" max="2058" width="10.7109375" style="585" customWidth="1"/>
    <col min="2059" max="2059" width="11.7109375" style="585" customWidth="1"/>
    <col min="2060" max="2060" width="44.7109375" style="585" customWidth="1"/>
    <col min="2061" max="2069" width="10.7109375" style="585" customWidth="1"/>
    <col min="2070" max="2070" width="9.140625" style="585"/>
    <col min="2071" max="2071" width="27.140625" style="585" customWidth="1"/>
    <col min="2072" max="2072" width="9.7109375" style="585" customWidth="1"/>
    <col min="2073" max="2073" width="8.7109375" style="585" customWidth="1"/>
    <col min="2074" max="2074" width="9.7109375" style="585" customWidth="1"/>
    <col min="2075" max="2075" width="8.7109375" style="585" customWidth="1"/>
    <col min="2076" max="2076" width="9.7109375" style="585" customWidth="1"/>
    <col min="2077" max="2077" width="8.7109375" style="585" customWidth="1"/>
    <col min="2078" max="2078" width="9.7109375" style="585" customWidth="1"/>
    <col min="2079" max="2079" width="8.7109375" style="585" customWidth="1"/>
    <col min="2080" max="2080" width="9.7109375" style="585" customWidth="1"/>
    <col min="2081" max="2081" width="8.7109375" style="585" customWidth="1"/>
    <col min="2082" max="2083" width="9.140625" style="585"/>
    <col min="2084" max="2084" width="24.7109375" style="585" customWidth="1"/>
    <col min="2085" max="2086" width="11.7109375" style="585" customWidth="1"/>
    <col min="2087" max="2087" width="5.7109375" style="585" customWidth="1"/>
    <col min="2088" max="2088" width="24.7109375" style="585" customWidth="1"/>
    <col min="2089" max="2090" width="11.7109375" style="585" customWidth="1"/>
    <col min="2091" max="2093" width="9.140625" style="585"/>
    <col min="2094" max="2094" width="18.85546875" style="585" customWidth="1"/>
    <col min="2095" max="2101" width="12.7109375" style="585" customWidth="1"/>
    <col min="2102" max="2103" width="14.7109375" style="585" customWidth="1"/>
    <col min="2104" max="2304" width="9.140625" style="585"/>
    <col min="2305" max="2305" width="38.7109375" style="585" customWidth="1"/>
    <col min="2306" max="2314" width="10.7109375" style="585" customWidth="1"/>
    <col min="2315" max="2315" width="11.7109375" style="585" customWidth="1"/>
    <col min="2316" max="2316" width="44.7109375" style="585" customWidth="1"/>
    <col min="2317" max="2325" width="10.7109375" style="585" customWidth="1"/>
    <col min="2326" max="2326" width="9.140625" style="585"/>
    <col min="2327" max="2327" width="27.140625" style="585" customWidth="1"/>
    <col min="2328" max="2328" width="9.7109375" style="585" customWidth="1"/>
    <col min="2329" max="2329" width="8.7109375" style="585" customWidth="1"/>
    <col min="2330" max="2330" width="9.7109375" style="585" customWidth="1"/>
    <col min="2331" max="2331" width="8.7109375" style="585" customWidth="1"/>
    <col min="2332" max="2332" width="9.7109375" style="585" customWidth="1"/>
    <col min="2333" max="2333" width="8.7109375" style="585" customWidth="1"/>
    <col min="2334" max="2334" width="9.7109375" style="585" customWidth="1"/>
    <col min="2335" max="2335" width="8.7109375" style="585" customWidth="1"/>
    <col min="2336" max="2336" width="9.7109375" style="585" customWidth="1"/>
    <col min="2337" max="2337" width="8.7109375" style="585" customWidth="1"/>
    <col min="2338" max="2339" width="9.140625" style="585"/>
    <col min="2340" max="2340" width="24.7109375" style="585" customWidth="1"/>
    <col min="2341" max="2342" width="11.7109375" style="585" customWidth="1"/>
    <col min="2343" max="2343" width="5.7109375" style="585" customWidth="1"/>
    <col min="2344" max="2344" width="24.7109375" style="585" customWidth="1"/>
    <col min="2345" max="2346" width="11.7109375" style="585" customWidth="1"/>
    <col min="2347" max="2349" width="9.140625" style="585"/>
    <col min="2350" max="2350" width="18.85546875" style="585" customWidth="1"/>
    <col min="2351" max="2357" width="12.7109375" style="585" customWidth="1"/>
    <col min="2358" max="2359" width="14.7109375" style="585" customWidth="1"/>
    <col min="2360" max="2560" width="9.140625" style="585"/>
    <col min="2561" max="2561" width="38.7109375" style="585" customWidth="1"/>
    <col min="2562" max="2570" width="10.7109375" style="585" customWidth="1"/>
    <col min="2571" max="2571" width="11.7109375" style="585" customWidth="1"/>
    <col min="2572" max="2572" width="44.7109375" style="585" customWidth="1"/>
    <col min="2573" max="2581" width="10.7109375" style="585" customWidth="1"/>
    <col min="2582" max="2582" width="9.140625" style="585"/>
    <col min="2583" max="2583" width="27.140625" style="585" customWidth="1"/>
    <col min="2584" max="2584" width="9.7109375" style="585" customWidth="1"/>
    <col min="2585" max="2585" width="8.7109375" style="585" customWidth="1"/>
    <col min="2586" max="2586" width="9.7109375" style="585" customWidth="1"/>
    <col min="2587" max="2587" width="8.7109375" style="585" customWidth="1"/>
    <col min="2588" max="2588" width="9.7109375" style="585" customWidth="1"/>
    <col min="2589" max="2589" width="8.7109375" style="585" customWidth="1"/>
    <col min="2590" max="2590" width="9.7109375" style="585" customWidth="1"/>
    <col min="2591" max="2591" width="8.7109375" style="585" customWidth="1"/>
    <col min="2592" max="2592" width="9.7109375" style="585" customWidth="1"/>
    <col min="2593" max="2593" width="8.7109375" style="585" customWidth="1"/>
    <col min="2594" max="2595" width="9.140625" style="585"/>
    <col min="2596" max="2596" width="24.7109375" style="585" customWidth="1"/>
    <col min="2597" max="2598" width="11.7109375" style="585" customWidth="1"/>
    <col min="2599" max="2599" width="5.7109375" style="585" customWidth="1"/>
    <col min="2600" max="2600" width="24.7109375" style="585" customWidth="1"/>
    <col min="2601" max="2602" width="11.7109375" style="585" customWidth="1"/>
    <col min="2603" max="2605" width="9.140625" style="585"/>
    <col min="2606" max="2606" width="18.85546875" style="585" customWidth="1"/>
    <col min="2607" max="2613" width="12.7109375" style="585" customWidth="1"/>
    <col min="2614" max="2615" width="14.7109375" style="585" customWidth="1"/>
    <col min="2616" max="2816" width="9.140625" style="585"/>
    <col min="2817" max="2817" width="38.7109375" style="585" customWidth="1"/>
    <col min="2818" max="2826" width="10.7109375" style="585" customWidth="1"/>
    <col min="2827" max="2827" width="11.7109375" style="585" customWidth="1"/>
    <col min="2828" max="2828" width="44.7109375" style="585" customWidth="1"/>
    <col min="2829" max="2837" width="10.7109375" style="585" customWidth="1"/>
    <col min="2838" max="2838" width="9.140625" style="585"/>
    <col min="2839" max="2839" width="27.140625" style="585" customWidth="1"/>
    <col min="2840" max="2840" width="9.7109375" style="585" customWidth="1"/>
    <col min="2841" max="2841" width="8.7109375" style="585" customWidth="1"/>
    <col min="2842" max="2842" width="9.7109375" style="585" customWidth="1"/>
    <col min="2843" max="2843" width="8.7109375" style="585" customWidth="1"/>
    <col min="2844" max="2844" width="9.7109375" style="585" customWidth="1"/>
    <col min="2845" max="2845" width="8.7109375" style="585" customWidth="1"/>
    <col min="2846" max="2846" width="9.7109375" style="585" customWidth="1"/>
    <col min="2847" max="2847" width="8.7109375" style="585" customWidth="1"/>
    <col min="2848" max="2848" width="9.7109375" style="585" customWidth="1"/>
    <col min="2849" max="2849" width="8.7109375" style="585" customWidth="1"/>
    <col min="2850" max="2851" width="9.140625" style="585"/>
    <col min="2852" max="2852" width="24.7109375" style="585" customWidth="1"/>
    <col min="2853" max="2854" width="11.7109375" style="585" customWidth="1"/>
    <col min="2855" max="2855" width="5.7109375" style="585" customWidth="1"/>
    <col min="2856" max="2856" width="24.7109375" style="585" customWidth="1"/>
    <col min="2857" max="2858" width="11.7109375" style="585" customWidth="1"/>
    <col min="2859" max="2861" width="9.140625" style="585"/>
    <col min="2862" max="2862" width="18.85546875" style="585" customWidth="1"/>
    <col min="2863" max="2869" width="12.7109375" style="585" customWidth="1"/>
    <col min="2870" max="2871" width="14.7109375" style="585" customWidth="1"/>
    <col min="2872" max="3072" width="9.140625" style="585"/>
    <col min="3073" max="3073" width="38.7109375" style="585" customWidth="1"/>
    <col min="3074" max="3082" width="10.7109375" style="585" customWidth="1"/>
    <col min="3083" max="3083" width="11.7109375" style="585" customWidth="1"/>
    <col min="3084" max="3084" width="44.7109375" style="585" customWidth="1"/>
    <col min="3085" max="3093" width="10.7109375" style="585" customWidth="1"/>
    <col min="3094" max="3094" width="9.140625" style="585"/>
    <col min="3095" max="3095" width="27.140625" style="585" customWidth="1"/>
    <col min="3096" max="3096" width="9.7109375" style="585" customWidth="1"/>
    <col min="3097" max="3097" width="8.7109375" style="585" customWidth="1"/>
    <col min="3098" max="3098" width="9.7109375" style="585" customWidth="1"/>
    <col min="3099" max="3099" width="8.7109375" style="585" customWidth="1"/>
    <col min="3100" max="3100" width="9.7109375" style="585" customWidth="1"/>
    <col min="3101" max="3101" width="8.7109375" style="585" customWidth="1"/>
    <col min="3102" max="3102" width="9.7109375" style="585" customWidth="1"/>
    <col min="3103" max="3103" width="8.7109375" style="585" customWidth="1"/>
    <col min="3104" max="3104" width="9.7109375" style="585" customWidth="1"/>
    <col min="3105" max="3105" width="8.7109375" style="585" customWidth="1"/>
    <col min="3106" max="3107" width="9.140625" style="585"/>
    <col min="3108" max="3108" width="24.7109375" style="585" customWidth="1"/>
    <col min="3109" max="3110" width="11.7109375" style="585" customWidth="1"/>
    <col min="3111" max="3111" width="5.7109375" style="585" customWidth="1"/>
    <col min="3112" max="3112" width="24.7109375" style="585" customWidth="1"/>
    <col min="3113" max="3114" width="11.7109375" style="585" customWidth="1"/>
    <col min="3115" max="3117" width="9.140625" style="585"/>
    <col min="3118" max="3118" width="18.85546875" style="585" customWidth="1"/>
    <col min="3119" max="3125" width="12.7109375" style="585" customWidth="1"/>
    <col min="3126" max="3127" width="14.7109375" style="585" customWidth="1"/>
    <col min="3128" max="3328" width="9.140625" style="585"/>
    <col min="3329" max="3329" width="38.7109375" style="585" customWidth="1"/>
    <col min="3330" max="3338" width="10.7109375" style="585" customWidth="1"/>
    <col min="3339" max="3339" width="11.7109375" style="585" customWidth="1"/>
    <col min="3340" max="3340" width="44.7109375" style="585" customWidth="1"/>
    <col min="3341" max="3349" width="10.7109375" style="585" customWidth="1"/>
    <col min="3350" max="3350" width="9.140625" style="585"/>
    <col min="3351" max="3351" width="27.140625" style="585" customWidth="1"/>
    <col min="3352" max="3352" width="9.7109375" style="585" customWidth="1"/>
    <col min="3353" max="3353" width="8.7109375" style="585" customWidth="1"/>
    <col min="3354" max="3354" width="9.7109375" style="585" customWidth="1"/>
    <col min="3355" max="3355" width="8.7109375" style="585" customWidth="1"/>
    <col min="3356" max="3356" width="9.7109375" style="585" customWidth="1"/>
    <col min="3357" max="3357" width="8.7109375" style="585" customWidth="1"/>
    <col min="3358" max="3358" width="9.7109375" style="585" customWidth="1"/>
    <col min="3359" max="3359" width="8.7109375" style="585" customWidth="1"/>
    <col min="3360" max="3360" width="9.7109375" style="585" customWidth="1"/>
    <col min="3361" max="3361" width="8.7109375" style="585" customWidth="1"/>
    <col min="3362" max="3363" width="9.140625" style="585"/>
    <col min="3364" max="3364" width="24.7109375" style="585" customWidth="1"/>
    <col min="3365" max="3366" width="11.7109375" style="585" customWidth="1"/>
    <col min="3367" max="3367" width="5.7109375" style="585" customWidth="1"/>
    <col min="3368" max="3368" width="24.7109375" style="585" customWidth="1"/>
    <col min="3369" max="3370" width="11.7109375" style="585" customWidth="1"/>
    <col min="3371" max="3373" width="9.140625" style="585"/>
    <col min="3374" max="3374" width="18.85546875" style="585" customWidth="1"/>
    <col min="3375" max="3381" width="12.7109375" style="585" customWidth="1"/>
    <col min="3382" max="3383" width="14.7109375" style="585" customWidth="1"/>
    <col min="3384" max="3584" width="9.140625" style="585"/>
    <col min="3585" max="3585" width="38.7109375" style="585" customWidth="1"/>
    <col min="3586" max="3594" width="10.7109375" style="585" customWidth="1"/>
    <col min="3595" max="3595" width="11.7109375" style="585" customWidth="1"/>
    <col min="3596" max="3596" width="44.7109375" style="585" customWidth="1"/>
    <col min="3597" max="3605" width="10.7109375" style="585" customWidth="1"/>
    <col min="3606" max="3606" width="9.140625" style="585"/>
    <col min="3607" max="3607" width="27.140625" style="585" customWidth="1"/>
    <col min="3608" max="3608" width="9.7109375" style="585" customWidth="1"/>
    <col min="3609" max="3609" width="8.7109375" style="585" customWidth="1"/>
    <col min="3610" max="3610" width="9.7109375" style="585" customWidth="1"/>
    <col min="3611" max="3611" width="8.7109375" style="585" customWidth="1"/>
    <col min="3612" max="3612" width="9.7109375" style="585" customWidth="1"/>
    <col min="3613" max="3613" width="8.7109375" style="585" customWidth="1"/>
    <col min="3614" max="3614" width="9.7109375" style="585" customWidth="1"/>
    <col min="3615" max="3615" width="8.7109375" style="585" customWidth="1"/>
    <col min="3616" max="3616" width="9.7109375" style="585" customWidth="1"/>
    <col min="3617" max="3617" width="8.7109375" style="585" customWidth="1"/>
    <col min="3618" max="3619" width="9.140625" style="585"/>
    <col min="3620" max="3620" width="24.7109375" style="585" customWidth="1"/>
    <col min="3621" max="3622" width="11.7109375" style="585" customWidth="1"/>
    <col min="3623" max="3623" width="5.7109375" style="585" customWidth="1"/>
    <col min="3624" max="3624" width="24.7109375" style="585" customWidth="1"/>
    <col min="3625" max="3626" width="11.7109375" style="585" customWidth="1"/>
    <col min="3627" max="3629" width="9.140625" style="585"/>
    <col min="3630" max="3630" width="18.85546875" style="585" customWidth="1"/>
    <col min="3631" max="3637" width="12.7109375" style="585" customWidth="1"/>
    <col min="3638" max="3639" width="14.7109375" style="585" customWidth="1"/>
    <col min="3640" max="3840" width="9.140625" style="585"/>
    <col min="3841" max="3841" width="38.7109375" style="585" customWidth="1"/>
    <col min="3842" max="3850" width="10.7109375" style="585" customWidth="1"/>
    <col min="3851" max="3851" width="11.7109375" style="585" customWidth="1"/>
    <col min="3852" max="3852" width="44.7109375" style="585" customWidth="1"/>
    <col min="3853" max="3861" width="10.7109375" style="585" customWidth="1"/>
    <col min="3862" max="3862" width="9.140625" style="585"/>
    <col min="3863" max="3863" width="27.140625" style="585" customWidth="1"/>
    <col min="3864" max="3864" width="9.7109375" style="585" customWidth="1"/>
    <col min="3865" max="3865" width="8.7109375" style="585" customWidth="1"/>
    <col min="3866" max="3866" width="9.7109375" style="585" customWidth="1"/>
    <col min="3867" max="3867" width="8.7109375" style="585" customWidth="1"/>
    <col min="3868" max="3868" width="9.7109375" style="585" customWidth="1"/>
    <col min="3869" max="3869" width="8.7109375" style="585" customWidth="1"/>
    <col min="3870" max="3870" width="9.7109375" style="585" customWidth="1"/>
    <col min="3871" max="3871" width="8.7109375" style="585" customWidth="1"/>
    <col min="3872" max="3872" width="9.7109375" style="585" customWidth="1"/>
    <col min="3873" max="3873" width="8.7109375" style="585" customWidth="1"/>
    <col min="3874" max="3875" width="9.140625" style="585"/>
    <col min="3876" max="3876" width="24.7109375" style="585" customWidth="1"/>
    <col min="3877" max="3878" width="11.7109375" style="585" customWidth="1"/>
    <col min="3879" max="3879" width="5.7109375" style="585" customWidth="1"/>
    <col min="3880" max="3880" width="24.7109375" style="585" customWidth="1"/>
    <col min="3881" max="3882" width="11.7109375" style="585" customWidth="1"/>
    <col min="3883" max="3885" width="9.140625" style="585"/>
    <col min="3886" max="3886" width="18.85546875" style="585" customWidth="1"/>
    <col min="3887" max="3893" width="12.7109375" style="585" customWidth="1"/>
    <col min="3894" max="3895" width="14.7109375" style="585" customWidth="1"/>
    <col min="3896" max="4096" width="9.140625" style="585"/>
    <col min="4097" max="4097" width="38.7109375" style="585" customWidth="1"/>
    <col min="4098" max="4106" width="10.7109375" style="585" customWidth="1"/>
    <col min="4107" max="4107" width="11.7109375" style="585" customWidth="1"/>
    <col min="4108" max="4108" width="44.7109375" style="585" customWidth="1"/>
    <col min="4109" max="4117" width="10.7109375" style="585" customWidth="1"/>
    <col min="4118" max="4118" width="9.140625" style="585"/>
    <col min="4119" max="4119" width="27.140625" style="585" customWidth="1"/>
    <col min="4120" max="4120" width="9.7109375" style="585" customWidth="1"/>
    <col min="4121" max="4121" width="8.7109375" style="585" customWidth="1"/>
    <col min="4122" max="4122" width="9.7109375" style="585" customWidth="1"/>
    <col min="4123" max="4123" width="8.7109375" style="585" customWidth="1"/>
    <col min="4124" max="4124" width="9.7109375" style="585" customWidth="1"/>
    <col min="4125" max="4125" width="8.7109375" style="585" customWidth="1"/>
    <col min="4126" max="4126" width="9.7109375" style="585" customWidth="1"/>
    <col min="4127" max="4127" width="8.7109375" style="585" customWidth="1"/>
    <col min="4128" max="4128" width="9.7109375" style="585" customWidth="1"/>
    <col min="4129" max="4129" width="8.7109375" style="585" customWidth="1"/>
    <col min="4130" max="4131" width="9.140625" style="585"/>
    <col min="4132" max="4132" width="24.7109375" style="585" customWidth="1"/>
    <col min="4133" max="4134" width="11.7109375" style="585" customWidth="1"/>
    <col min="4135" max="4135" width="5.7109375" style="585" customWidth="1"/>
    <col min="4136" max="4136" width="24.7109375" style="585" customWidth="1"/>
    <col min="4137" max="4138" width="11.7109375" style="585" customWidth="1"/>
    <col min="4139" max="4141" width="9.140625" style="585"/>
    <col min="4142" max="4142" width="18.85546875" style="585" customWidth="1"/>
    <col min="4143" max="4149" width="12.7109375" style="585" customWidth="1"/>
    <col min="4150" max="4151" width="14.7109375" style="585" customWidth="1"/>
    <col min="4152" max="4352" width="9.140625" style="585"/>
    <col min="4353" max="4353" width="38.7109375" style="585" customWidth="1"/>
    <col min="4354" max="4362" width="10.7109375" style="585" customWidth="1"/>
    <col min="4363" max="4363" width="11.7109375" style="585" customWidth="1"/>
    <col min="4364" max="4364" width="44.7109375" style="585" customWidth="1"/>
    <col min="4365" max="4373" width="10.7109375" style="585" customWidth="1"/>
    <col min="4374" max="4374" width="9.140625" style="585"/>
    <col min="4375" max="4375" width="27.140625" style="585" customWidth="1"/>
    <col min="4376" max="4376" width="9.7109375" style="585" customWidth="1"/>
    <col min="4377" max="4377" width="8.7109375" style="585" customWidth="1"/>
    <col min="4378" max="4378" width="9.7109375" style="585" customWidth="1"/>
    <col min="4379" max="4379" width="8.7109375" style="585" customWidth="1"/>
    <col min="4380" max="4380" width="9.7109375" style="585" customWidth="1"/>
    <col min="4381" max="4381" width="8.7109375" style="585" customWidth="1"/>
    <col min="4382" max="4382" width="9.7109375" style="585" customWidth="1"/>
    <col min="4383" max="4383" width="8.7109375" style="585" customWidth="1"/>
    <col min="4384" max="4384" width="9.7109375" style="585" customWidth="1"/>
    <col min="4385" max="4385" width="8.7109375" style="585" customWidth="1"/>
    <col min="4386" max="4387" width="9.140625" style="585"/>
    <col min="4388" max="4388" width="24.7109375" style="585" customWidth="1"/>
    <col min="4389" max="4390" width="11.7109375" style="585" customWidth="1"/>
    <col min="4391" max="4391" width="5.7109375" style="585" customWidth="1"/>
    <col min="4392" max="4392" width="24.7109375" style="585" customWidth="1"/>
    <col min="4393" max="4394" width="11.7109375" style="585" customWidth="1"/>
    <col min="4395" max="4397" width="9.140625" style="585"/>
    <col min="4398" max="4398" width="18.85546875" style="585" customWidth="1"/>
    <col min="4399" max="4405" width="12.7109375" style="585" customWidth="1"/>
    <col min="4406" max="4407" width="14.7109375" style="585" customWidth="1"/>
    <col min="4408" max="4608" width="9.140625" style="585"/>
    <col min="4609" max="4609" width="38.7109375" style="585" customWidth="1"/>
    <col min="4610" max="4618" width="10.7109375" style="585" customWidth="1"/>
    <col min="4619" max="4619" width="11.7109375" style="585" customWidth="1"/>
    <col min="4620" max="4620" width="44.7109375" style="585" customWidth="1"/>
    <col min="4621" max="4629" width="10.7109375" style="585" customWidth="1"/>
    <col min="4630" max="4630" width="9.140625" style="585"/>
    <col min="4631" max="4631" width="27.140625" style="585" customWidth="1"/>
    <col min="4632" max="4632" width="9.7109375" style="585" customWidth="1"/>
    <col min="4633" max="4633" width="8.7109375" style="585" customWidth="1"/>
    <col min="4634" max="4634" width="9.7109375" style="585" customWidth="1"/>
    <col min="4635" max="4635" width="8.7109375" style="585" customWidth="1"/>
    <col min="4636" max="4636" width="9.7109375" style="585" customWidth="1"/>
    <col min="4637" max="4637" width="8.7109375" style="585" customWidth="1"/>
    <col min="4638" max="4638" width="9.7109375" style="585" customWidth="1"/>
    <col min="4639" max="4639" width="8.7109375" style="585" customWidth="1"/>
    <col min="4640" max="4640" width="9.7109375" style="585" customWidth="1"/>
    <col min="4641" max="4641" width="8.7109375" style="585" customWidth="1"/>
    <col min="4642" max="4643" width="9.140625" style="585"/>
    <col min="4644" max="4644" width="24.7109375" style="585" customWidth="1"/>
    <col min="4645" max="4646" width="11.7109375" style="585" customWidth="1"/>
    <col min="4647" max="4647" width="5.7109375" style="585" customWidth="1"/>
    <col min="4648" max="4648" width="24.7109375" style="585" customWidth="1"/>
    <col min="4649" max="4650" width="11.7109375" style="585" customWidth="1"/>
    <col min="4651" max="4653" width="9.140625" style="585"/>
    <col min="4654" max="4654" width="18.85546875" style="585" customWidth="1"/>
    <col min="4655" max="4661" width="12.7109375" style="585" customWidth="1"/>
    <col min="4662" max="4663" width="14.7109375" style="585" customWidth="1"/>
    <col min="4664" max="4864" width="9.140625" style="585"/>
    <col min="4865" max="4865" width="38.7109375" style="585" customWidth="1"/>
    <col min="4866" max="4874" width="10.7109375" style="585" customWidth="1"/>
    <col min="4875" max="4875" width="11.7109375" style="585" customWidth="1"/>
    <col min="4876" max="4876" width="44.7109375" style="585" customWidth="1"/>
    <col min="4877" max="4885" width="10.7109375" style="585" customWidth="1"/>
    <col min="4886" max="4886" width="9.140625" style="585"/>
    <col min="4887" max="4887" width="27.140625" style="585" customWidth="1"/>
    <col min="4888" max="4888" width="9.7109375" style="585" customWidth="1"/>
    <col min="4889" max="4889" width="8.7109375" style="585" customWidth="1"/>
    <col min="4890" max="4890" width="9.7109375" style="585" customWidth="1"/>
    <col min="4891" max="4891" width="8.7109375" style="585" customWidth="1"/>
    <col min="4892" max="4892" width="9.7109375" style="585" customWidth="1"/>
    <col min="4893" max="4893" width="8.7109375" style="585" customWidth="1"/>
    <col min="4894" max="4894" width="9.7109375" style="585" customWidth="1"/>
    <col min="4895" max="4895" width="8.7109375" style="585" customWidth="1"/>
    <col min="4896" max="4896" width="9.7109375" style="585" customWidth="1"/>
    <col min="4897" max="4897" width="8.7109375" style="585" customWidth="1"/>
    <col min="4898" max="4899" width="9.140625" style="585"/>
    <col min="4900" max="4900" width="24.7109375" style="585" customWidth="1"/>
    <col min="4901" max="4902" width="11.7109375" style="585" customWidth="1"/>
    <col min="4903" max="4903" width="5.7109375" style="585" customWidth="1"/>
    <col min="4904" max="4904" width="24.7109375" style="585" customWidth="1"/>
    <col min="4905" max="4906" width="11.7109375" style="585" customWidth="1"/>
    <col min="4907" max="4909" width="9.140625" style="585"/>
    <col min="4910" max="4910" width="18.85546875" style="585" customWidth="1"/>
    <col min="4911" max="4917" width="12.7109375" style="585" customWidth="1"/>
    <col min="4918" max="4919" width="14.7109375" style="585" customWidth="1"/>
    <col min="4920" max="5120" width="9.140625" style="585"/>
    <col min="5121" max="5121" width="38.7109375" style="585" customWidth="1"/>
    <col min="5122" max="5130" width="10.7109375" style="585" customWidth="1"/>
    <col min="5131" max="5131" width="11.7109375" style="585" customWidth="1"/>
    <col min="5132" max="5132" width="44.7109375" style="585" customWidth="1"/>
    <col min="5133" max="5141" width="10.7109375" style="585" customWidth="1"/>
    <col min="5142" max="5142" width="9.140625" style="585"/>
    <col min="5143" max="5143" width="27.140625" style="585" customWidth="1"/>
    <col min="5144" max="5144" width="9.7109375" style="585" customWidth="1"/>
    <col min="5145" max="5145" width="8.7109375" style="585" customWidth="1"/>
    <col min="5146" max="5146" width="9.7109375" style="585" customWidth="1"/>
    <col min="5147" max="5147" width="8.7109375" style="585" customWidth="1"/>
    <col min="5148" max="5148" width="9.7109375" style="585" customWidth="1"/>
    <col min="5149" max="5149" width="8.7109375" style="585" customWidth="1"/>
    <col min="5150" max="5150" width="9.7109375" style="585" customWidth="1"/>
    <col min="5151" max="5151" width="8.7109375" style="585" customWidth="1"/>
    <col min="5152" max="5152" width="9.7109375" style="585" customWidth="1"/>
    <col min="5153" max="5153" width="8.7109375" style="585" customWidth="1"/>
    <col min="5154" max="5155" width="9.140625" style="585"/>
    <col min="5156" max="5156" width="24.7109375" style="585" customWidth="1"/>
    <col min="5157" max="5158" width="11.7109375" style="585" customWidth="1"/>
    <col min="5159" max="5159" width="5.7109375" style="585" customWidth="1"/>
    <col min="5160" max="5160" width="24.7109375" style="585" customWidth="1"/>
    <col min="5161" max="5162" width="11.7109375" style="585" customWidth="1"/>
    <col min="5163" max="5165" width="9.140625" style="585"/>
    <col min="5166" max="5166" width="18.85546875" style="585" customWidth="1"/>
    <col min="5167" max="5173" width="12.7109375" style="585" customWidth="1"/>
    <col min="5174" max="5175" width="14.7109375" style="585" customWidth="1"/>
    <col min="5176" max="5376" width="9.140625" style="585"/>
    <col min="5377" max="5377" width="38.7109375" style="585" customWidth="1"/>
    <col min="5378" max="5386" width="10.7109375" style="585" customWidth="1"/>
    <col min="5387" max="5387" width="11.7109375" style="585" customWidth="1"/>
    <col min="5388" max="5388" width="44.7109375" style="585" customWidth="1"/>
    <col min="5389" max="5397" width="10.7109375" style="585" customWidth="1"/>
    <col min="5398" max="5398" width="9.140625" style="585"/>
    <col min="5399" max="5399" width="27.140625" style="585" customWidth="1"/>
    <col min="5400" max="5400" width="9.7109375" style="585" customWidth="1"/>
    <col min="5401" max="5401" width="8.7109375" style="585" customWidth="1"/>
    <col min="5402" max="5402" width="9.7109375" style="585" customWidth="1"/>
    <col min="5403" max="5403" width="8.7109375" style="585" customWidth="1"/>
    <col min="5404" max="5404" width="9.7109375" style="585" customWidth="1"/>
    <col min="5405" max="5405" width="8.7109375" style="585" customWidth="1"/>
    <col min="5406" max="5406" width="9.7109375" style="585" customWidth="1"/>
    <col min="5407" max="5407" width="8.7109375" style="585" customWidth="1"/>
    <col min="5408" max="5408" width="9.7109375" style="585" customWidth="1"/>
    <col min="5409" max="5409" width="8.7109375" style="585" customWidth="1"/>
    <col min="5410" max="5411" width="9.140625" style="585"/>
    <col min="5412" max="5412" width="24.7109375" style="585" customWidth="1"/>
    <col min="5413" max="5414" width="11.7109375" style="585" customWidth="1"/>
    <col min="5415" max="5415" width="5.7109375" style="585" customWidth="1"/>
    <col min="5416" max="5416" width="24.7109375" style="585" customWidth="1"/>
    <col min="5417" max="5418" width="11.7109375" style="585" customWidth="1"/>
    <col min="5419" max="5421" width="9.140625" style="585"/>
    <col min="5422" max="5422" width="18.85546875" style="585" customWidth="1"/>
    <col min="5423" max="5429" width="12.7109375" style="585" customWidth="1"/>
    <col min="5430" max="5431" width="14.7109375" style="585" customWidth="1"/>
    <col min="5432" max="5632" width="9.140625" style="585"/>
    <col min="5633" max="5633" width="38.7109375" style="585" customWidth="1"/>
    <col min="5634" max="5642" width="10.7109375" style="585" customWidth="1"/>
    <col min="5643" max="5643" width="11.7109375" style="585" customWidth="1"/>
    <col min="5644" max="5644" width="44.7109375" style="585" customWidth="1"/>
    <col min="5645" max="5653" width="10.7109375" style="585" customWidth="1"/>
    <col min="5654" max="5654" width="9.140625" style="585"/>
    <col min="5655" max="5655" width="27.140625" style="585" customWidth="1"/>
    <col min="5656" max="5656" width="9.7109375" style="585" customWidth="1"/>
    <col min="5657" max="5657" width="8.7109375" style="585" customWidth="1"/>
    <col min="5658" max="5658" width="9.7109375" style="585" customWidth="1"/>
    <col min="5659" max="5659" width="8.7109375" style="585" customWidth="1"/>
    <col min="5660" max="5660" width="9.7109375" style="585" customWidth="1"/>
    <col min="5661" max="5661" width="8.7109375" style="585" customWidth="1"/>
    <col min="5662" max="5662" width="9.7109375" style="585" customWidth="1"/>
    <col min="5663" max="5663" width="8.7109375" style="585" customWidth="1"/>
    <col min="5664" max="5664" width="9.7109375" style="585" customWidth="1"/>
    <col min="5665" max="5665" width="8.7109375" style="585" customWidth="1"/>
    <col min="5666" max="5667" width="9.140625" style="585"/>
    <col min="5668" max="5668" width="24.7109375" style="585" customWidth="1"/>
    <col min="5669" max="5670" width="11.7109375" style="585" customWidth="1"/>
    <col min="5671" max="5671" width="5.7109375" style="585" customWidth="1"/>
    <col min="5672" max="5672" width="24.7109375" style="585" customWidth="1"/>
    <col min="5673" max="5674" width="11.7109375" style="585" customWidth="1"/>
    <col min="5675" max="5677" width="9.140625" style="585"/>
    <col min="5678" max="5678" width="18.85546875" style="585" customWidth="1"/>
    <col min="5679" max="5685" width="12.7109375" style="585" customWidth="1"/>
    <col min="5686" max="5687" width="14.7109375" style="585" customWidth="1"/>
    <col min="5688" max="5888" width="9.140625" style="585"/>
    <col min="5889" max="5889" width="38.7109375" style="585" customWidth="1"/>
    <col min="5890" max="5898" width="10.7109375" style="585" customWidth="1"/>
    <col min="5899" max="5899" width="11.7109375" style="585" customWidth="1"/>
    <col min="5900" max="5900" width="44.7109375" style="585" customWidth="1"/>
    <col min="5901" max="5909" width="10.7109375" style="585" customWidth="1"/>
    <col min="5910" max="5910" width="9.140625" style="585"/>
    <col min="5911" max="5911" width="27.140625" style="585" customWidth="1"/>
    <col min="5912" max="5912" width="9.7109375" style="585" customWidth="1"/>
    <col min="5913" max="5913" width="8.7109375" style="585" customWidth="1"/>
    <col min="5914" max="5914" width="9.7109375" style="585" customWidth="1"/>
    <col min="5915" max="5915" width="8.7109375" style="585" customWidth="1"/>
    <col min="5916" max="5916" width="9.7109375" style="585" customWidth="1"/>
    <col min="5917" max="5917" width="8.7109375" style="585" customWidth="1"/>
    <col min="5918" max="5918" width="9.7109375" style="585" customWidth="1"/>
    <col min="5919" max="5919" width="8.7109375" style="585" customWidth="1"/>
    <col min="5920" max="5920" width="9.7109375" style="585" customWidth="1"/>
    <col min="5921" max="5921" width="8.7109375" style="585" customWidth="1"/>
    <col min="5922" max="5923" width="9.140625" style="585"/>
    <col min="5924" max="5924" width="24.7109375" style="585" customWidth="1"/>
    <col min="5925" max="5926" width="11.7109375" style="585" customWidth="1"/>
    <col min="5927" max="5927" width="5.7109375" style="585" customWidth="1"/>
    <col min="5928" max="5928" width="24.7109375" style="585" customWidth="1"/>
    <col min="5929" max="5930" width="11.7109375" style="585" customWidth="1"/>
    <col min="5931" max="5933" width="9.140625" style="585"/>
    <col min="5934" max="5934" width="18.85546875" style="585" customWidth="1"/>
    <col min="5935" max="5941" width="12.7109375" style="585" customWidth="1"/>
    <col min="5942" max="5943" width="14.7109375" style="585" customWidth="1"/>
    <col min="5944" max="6144" width="9.140625" style="585"/>
    <col min="6145" max="6145" width="38.7109375" style="585" customWidth="1"/>
    <col min="6146" max="6154" width="10.7109375" style="585" customWidth="1"/>
    <col min="6155" max="6155" width="11.7109375" style="585" customWidth="1"/>
    <col min="6156" max="6156" width="44.7109375" style="585" customWidth="1"/>
    <col min="6157" max="6165" width="10.7109375" style="585" customWidth="1"/>
    <col min="6166" max="6166" width="9.140625" style="585"/>
    <col min="6167" max="6167" width="27.140625" style="585" customWidth="1"/>
    <col min="6168" max="6168" width="9.7109375" style="585" customWidth="1"/>
    <col min="6169" max="6169" width="8.7109375" style="585" customWidth="1"/>
    <col min="6170" max="6170" width="9.7109375" style="585" customWidth="1"/>
    <col min="6171" max="6171" width="8.7109375" style="585" customWidth="1"/>
    <col min="6172" max="6172" width="9.7109375" style="585" customWidth="1"/>
    <col min="6173" max="6173" width="8.7109375" style="585" customWidth="1"/>
    <col min="6174" max="6174" width="9.7109375" style="585" customWidth="1"/>
    <col min="6175" max="6175" width="8.7109375" style="585" customWidth="1"/>
    <col min="6176" max="6176" width="9.7109375" style="585" customWidth="1"/>
    <col min="6177" max="6177" width="8.7109375" style="585" customWidth="1"/>
    <col min="6178" max="6179" width="9.140625" style="585"/>
    <col min="6180" max="6180" width="24.7109375" style="585" customWidth="1"/>
    <col min="6181" max="6182" width="11.7109375" style="585" customWidth="1"/>
    <col min="6183" max="6183" width="5.7109375" style="585" customWidth="1"/>
    <col min="6184" max="6184" width="24.7109375" style="585" customWidth="1"/>
    <col min="6185" max="6186" width="11.7109375" style="585" customWidth="1"/>
    <col min="6187" max="6189" width="9.140625" style="585"/>
    <col min="6190" max="6190" width="18.85546875" style="585" customWidth="1"/>
    <col min="6191" max="6197" width="12.7109375" style="585" customWidth="1"/>
    <col min="6198" max="6199" width="14.7109375" style="585" customWidth="1"/>
    <col min="6200" max="6400" width="9.140625" style="585"/>
    <col min="6401" max="6401" width="38.7109375" style="585" customWidth="1"/>
    <col min="6402" max="6410" width="10.7109375" style="585" customWidth="1"/>
    <col min="6411" max="6411" width="11.7109375" style="585" customWidth="1"/>
    <col min="6412" max="6412" width="44.7109375" style="585" customWidth="1"/>
    <col min="6413" max="6421" width="10.7109375" style="585" customWidth="1"/>
    <col min="6422" max="6422" width="9.140625" style="585"/>
    <col min="6423" max="6423" width="27.140625" style="585" customWidth="1"/>
    <col min="6424" max="6424" width="9.7109375" style="585" customWidth="1"/>
    <col min="6425" max="6425" width="8.7109375" style="585" customWidth="1"/>
    <col min="6426" max="6426" width="9.7109375" style="585" customWidth="1"/>
    <col min="6427" max="6427" width="8.7109375" style="585" customWidth="1"/>
    <col min="6428" max="6428" width="9.7109375" style="585" customWidth="1"/>
    <col min="6429" max="6429" width="8.7109375" style="585" customWidth="1"/>
    <col min="6430" max="6430" width="9.7109375" style="585" customWidth="1"/>
    <col min="6431" max="6431" width="8.7109375" style="585" customWidth="1"/>
    <col min="6432" max="6432" width="9.7109375" style="585" customWidth="1"/>
    <col min="6433" max="6433" width="8.7109375" style="585" customWidth="1"/>
    <col min="6434" max="6435" width="9.140625" style="585"/>
    <col min="6436" max="6436" width="24.7109375" style="585" customWidth="1"/>
    <col min="6437" max="6438" width="11.7109375" style="585" customWidth="1"/>
    <col min="6439" max="6439" width="5.7109375" style="585" customWidth="1"/>
    <col min="6440" max="6440" width="24.7109375" style="585" customWidth="1"/>
    <col min="6441" max="6442" width="11.7109375" style="585" customWidth="1"/>
    <col min="6443" max="6445" width="9.140625" style="585"/>
    <col min="6446" max="6446" width="18.85546875" style="585" customWidth="1"/>
    <col min="6447" max="6453" width="12.7109375" style="585" customWidth="1"/>
    <col min="6454" max="6455" width="14.7109375" style="585" customWidth="1"/>
    <col min="6456" max="6656" width="9.140625" style="585"/>
    <col min="6657" max="6657" width="38.7109375" style="585" customWidth="1"/>
    <col min="6658" max="6666" width="10.7109375" style="585" customWidth="1"/>
    <col min="6667" max="6667" width="11.7109375" style="585" customWidth="1"/>
    <col min="6668" max="6668" width="44.7109375" style="585" customWidth="1"/>
    <col min="6669" max="6677" width="10.7109375" style="585" customWidth="1"/>
    <col min="6678" max="6678" width="9.140625" style="585"/>
    <col min="6679" max="6679" width="27.140625" style="585" customWidth="1"/>
    <col min="6680" max="6680" width="9.7109375" style="585" customWidth="1"/>
    <col min="6681" max="6681" width="8.7109375" style="585" customWidth="1"/>
    <col min="6682" max="6682" width="9.7109375" style="585" customWidth="1"/>
    <col min="6683" max="6683" width="8.7109375" style="585" customWidth="1"/>
    <col min="6684" max="6684" width="9.7109375" style="585" customWidth="1"/>
    <col min="6685" max="6685" width="8.7109375" style="585" customWidth="1"/>
    <col min="6686" max="6686" width="9.7109375" style="585" customWidth="1"/>
    <col min="6687" max="6687" width="8.7109375" style="585" customWidth="1"/>
    <col min="6688" max="6688" width="9.7109375" style="585" customWidth="1"/>
    <col min="6689" max="6689" width="8.7109375" style="585" customWidth="1"/>
    <col min="6690" max="6691" width="9.140625" style="585"/>
    <col min="6692" max="6692" width="24.7109375" style="585" customWidth="1"/>
    <col min="6693" max="6694" width="11.7109375" style="585" customWidth="1"/>
    <col min="6695" max="6695" width="5.7109375" style="585" customWidth="1"/>
    <col min="6696" max="6696" width="24.7109375" style="585" customWidth="1"/>
    <col min="6697" max="6698" width="11.7109375" style="585" customWidth="1"/>
    <col min="6699" max="6701" width="9.140625" style="585"/>
    <col min="6702" max="6702" width="18.85546875" style="585" customWidth="1"/>
    <col min="6703" max="6709" width="12.7109375" style="585" customWidth="1"/>
    <col min="6710" max="6711" width="14.7109375" style="585" customWidth="1"/>
    <col min="6712" max="6912" width="9.140625" style="585"/>
    <col min="6913" max="6913" width="38.7109375" style="585" customWidth="1"/>
    <col min="6914" max="6922" width="10.7109375" style="585" customWidth="1"/>
    <col min="6923" max="6923" width="11.7109375" style="585" customWidth="1"/>
    <col min="6924" max="6924" width="44.7109375" style="585" customWidth="1"/>
    <col min="6925" max="6933" width="10.7109375" style="585" customWidth="1"/>
    <col min="6934" max="6934" width="9.140625" style="585"/>
    <col min="6935" max="6935" width="27.140625" style="585" customWidth="1"/>
    <col min="6936" max="6936" width="9.7109375" style="585" customWidth="1"/>
    <col min="6937" max="6937" width="8.7109375" style="585" customWidth="1"/>
    <col min="6938" max="6938" width="9.7109375" style="585" customWidth="1"/>
    <col min="6939" max="6939" width="8.7109375" style="585" customWidth="1"/>
    <col min="6940" max="6940" width="9.7109375" style="585" customWidth="1"/>
    <col min="6941" max="6941" width="8.7109375" style="585" customWidth="1"/>
    <col min="6942" max="6942" width="9.7109375" style="585" customWidth="1"/>
    <col min="6943" max="6943" width="8.7109375" style="585" customWidth="1"/>
    <col min="6944" max="6944" width="9.7109375" style="585" customWidth="1"/>
    <col min="6945" max="6945" width="8.7109375" style="585" customWidth="1"/>
    <col min="6946" max="6947" width="9.140625" style="585"/>
    <col min="6948" max="6948" width="24.7109375" style="585" customWidth="1"/>
    <col min="6949" max="6950" width="11.7109375" style="585" customWidth="1"/>
    <col min="6951" max="6951" width="5.7109375" style="585" customWidth="1"/>
    <col min="6952" max="6952" width="24.7109375" style="585" customWidth="1"/>
    <col min="6953" max="6954" width="11.7109375" style="585" customWidth="1"/>
    <col min="6955" max="6957" width="9.140625" style="585"/>
    <col min="6958" max="6958" width="18.85546875" style="585" customWidth="1"/>
    <col min="6959" max="6965" width="12.7109375" style="585" customWidth="1"/>
    <col min="6966" max="6967" width="14.7109375" style="585" customWidth="1"/>
    <col min="6968" max="7168" width="9.140625" style="585"/>
    <col min="7169" max="7169" width="38.7109375" style="585" customWidth="1"/>
    <col min="7170" max="7178" width="10.7109375" style="585" customWidth="1"/>
    <col min="7179" max="7179" width="11.7109375" style="585" customWidth="1"/>
    <col min="7180" max="7180" width="44.7109375" style="585" customWidth="1"/>
    <col min="7181" max="7189" width="10.7109375" style="585" customWidth="1"/>
    <col min="7190" max="7190" width="9.140625" style="585"/>
    <col min="7191" max="7191" width="27.140625" style="585" customWidth="1"/>
    <col min="7192" max="7192" width="9.7109375" style="585" customWidth="1"/>
    <col min="7193" max="7193" width="8.7109375" style="585" customWidth="1"/>
    <col min="7194" max="7194" width="9.7109375" style="585" customWidth="1"/>
    <col min="7195" max="7195" width="8.7109375" style="585" customWidth="1"/>
    <col min="7196" max="7196" width="9.7109375" style="585" customWidth="1"/>
    <col min="7197" max="7197" width="8.7109375" style="585" customWidth="1"/>
    <col min="7198" max="7198" width="9.7109375" style="585" customWidth="1"/>
    <col min="7199" max="7199" width="8.7109375" style="585" customWidth="1"/>
    <col min="7200" max="7200" width="9.7109375" style="585" customWidth="1"/>
    <col min="7201" max="7201" width="8.7109375" style="585" customWidth="1"/>
    <col min="7202" max="7203" width="9.140625" style="585"/>
    <col min="7204" max="7204" width="24.7109375" style="585" customWidth="1"/>
    <col min="7205" max="7206" width="11.7109375" style="585" customWidth="1"/>
    <col min="7207" max="7207" width="5.7109375" style="585" customWidth="1"/>
    <col min="7208" max="7208" width="24.7109375" style="585" customWidth="1"/>
    <col min="7209" max="7210" width="11.7109375" style="585" customWidth="1"/>
    <col min="7211" max="7213" width="9.140625" style="585"/>
    <col min="7214" max="7214" width="18.85546875" style="585" customWidth="1"/>
    <col min="7215" max="7221" width="12.7109375" style="585" customWidth="1"/>
    <col min="7222" max="7223" width="14.7109375" style="585" customWidth="1"/>
    <col min="7224" max="7424" width="9.140625" style="585"/>
    <col min="7425" max="7425" width="38.7109375" style="585" customWidth="1"/>
    <col min="7426" max="7434" width="10.7109375" style="585" customWidth="1"/>
    <col min="7435" max="7435" width="11.7109375" style="585" customWidth="1"/>
    <col min="7436" max="7436" width="44.7109375" style="585" customWidth="1"/>
    <col min="7437" max="7445" width="10.7109375" style="585" customWidth="1"/>
    <col min="7446" max="7446" width="9.140625" style="585"/>
    <col min="7447" max="7447" width="27.140625" style="585" customWidth="1"/>
    <col min="7448" max="7448" width="9.7109375" style="585" customWidth="1"/>
    <col min="7449" max="7449" width="8.7109375" style="585" customWidth="1"/>
    <col min="7450" max="7450" width="9.7109375" style="585" customWidth="1"/>
    <col min="7451" max="7451" width="8.7109375" style="585" customWidth="1"/>
    <col min="7452" max="7452" width="9.7109375" style="585" customWidth="1"/>
    <col min="7453" max="7453" width="8.7109375" style="585" customWidth="1"/>
    <col min="7454" max="7454" width="9.7109375" style="585" customWidth="1"/>
    <col min="7455" max="7455" width="8.7109375" style="585" customWidth="1"/>
    <col min="7456" max="7456" width="9.7109375" style="585" customWidth="1"/>
    <col min="7457" max="7457" width="8.7109375" style="585" customWidth="1"/>
    <col min="7458" max="7459" width="9.140625" style="585"/>
    <col min="7460" max="7460" width="24.7109375" style="585" customWidth="1"/>
    <col min="7461" max="7462" width="11.7109375" style="585" customWidth="1"/>
    <col min="7463" max="7463" width="5.7109375" style="585" customWidth="1"/>
    <col min="7464" max="7464" width="24.7109375" style="585" customWidth="1"/>
    <col min="7465" max="7466" width="11.7109375" style="585" customWidth="1"/>
    <col min="7467" max="7469" width="9.140625" style="585"/>
    <col min="7470" max="7470" width="18.85546875" style="585" customWidth="1"/>
    <col min="7471" max="7477" width="12.7109375" style="585" customWidth="1"/>
    <col min="7478" max="7479" width="14.7109375" style="585" customWidth="1"/>
    <col min="7480" max="7680" width="9.140625" style="585"/>
    <col min="7681" max="7681" width="38.7109375" style="585" customWidth="1"/>
    <col min="7682" max="7690" width="10.7109375" style="585" customWidth="1"/>
    <col min="7691" max="7691" width="11.7109375" style="585" customWidth="1"/>
    <col min="7692" max="7692" width="44.7109375" style="585" customWidth="1"/>
    <col min="7693" max="7701" width="10.7109375" style="585" customWidth="1"/>
    <col min="7702" max="7702" width="9.140625" style="585"/>
    <col min="7703" max="7703" width="27.140625" style="585" customWidth="1"/>
    <col min="7704" max="7704" width="9.7109375" style="585" customWidth="1"/>
    <col min="7705" max="7705" width="8.7109375" style="585" customWidth="1"/>
    <col min="7706" max="7706" width="9.7109375" style="585" customWidth="1"/>
    <col min="7707" max="7707" width="8.7109375" style="585" customWidth="1"/>
    <col min="7708" max="7708" width="9.7109375" style="585" customWidth="1"/>
    <col min="7709" max="7709" width="8.7109375" style="585" customWidth="1"/>
    <col min="7710" max="7710" width="9.7109375" style="585" customWidth="1"/>
    <col min="7711" max="7711" width="8.7109375" style="585" customWidth="1"/>
    <col min="7712" max="7712" width="9.7109375" style="585" customWidth="1"/>
    <col min="7713" max="7713" width="8.7109375" style="585" customWidth="1"/>
    <col min="7714" max="7715" width="9.140625" style="585"/>
    <col min="7716" max="7716" width="24.7109375" style="585" customWidth="1"/>
    <col min="7717" max="7718" width="11.7109375" style="585" customWidth="1"/>
    <col min="7719" max="7719" width="5.7109375" style="585" customWidth="1"/>
    <col min="7720" max="7720" width="24.7109375" style="585" customWidth="1"/>
    <col min="7721" max="7722" width="11.7109375" style="585" customWidth="1"/>
    <col min="7723" max="7725" width="9.140625" style="585"/>
    <col min="7726" max="7726" width="18.85546875" style="585" customWidth="1"/>
    <col min="7727" max="7733" width="12.7109375" style="585" customWidth="1"/>
    <col min="7734" max="7735" width="14.7109375" style="585" customWidth="1"/>
    <col min="7736" max="7936" width="9.140625" style="585"/>
    <col min="7937" max="7937" width="38.7109375" style="585" customWidth="1"/>
    <col min="7938" max="7946" width="10.7109375" style="585" customWidth="1"/>
    <col min="7947" max="7947" width="11.7109375" style="585" customWidth="1"/>
    <col min="7948" max="7948" width="44.7109375" style="585" customWidth="1"/>
    <col min="7949" max="7957" width="10.7109375" style="585" customWidth="1"/>
    <col min="7958" max="7958" width="9.140625" style="585"/>
    <col min="7959" max="7959" width="27.140625" style="585" customWidth="1"/>
    <col min="7960" max="7960" width="9.7109375" style="585" customWidth="1"/>
    <col min="7961" max="7961" width="8.7109375" style="585" customWidth="1"/>
    <col min="7962" max="7962" width="9.7109375" style="585" customWidth="1"/>
    <col min="7963" max="7963" width="8.7109375" style="585" customWidth="1"/>
    <col min="7964" max="7964" width="9.7109375" style="585" customWidth="1"/>
    <col min="7965" max="7965" width="8.7109375" style="585" customWidth="1"/>
    <col min="7966" max="7966" width="9.7109375" style="585" customWidth="1"/>
    <col min="7967" max="7967" width="8.7109375" style="585" customWidth="1"/>
    <col min="7968" max="7968" width="9.7109375" style="585" customWidth="1"/>
    <col min="7969" max="7969" width="8.7109375" style="585" customWidth="1"/>
    <col min="7970" max="7971" width="9.140625" style="585"/>
    <col min="7972" max="7972" width="24.7109375" style="585" customWidth="1"/>
    <col min="7973" max="7974" width="11.7109375" style="585" customWidth="1"/>
    <col min="7975" max="7975" width="5.7109375" style="585" customWidth="1"/>
    <col min="7976" max="7976" width="24.7109375" style="585" customWidth="1"/>
    <col min="7977" max="7978" width="11.7109375" style="585" customWidth="1"/>
    <col min="7979" max="7981" width="9.140625" style="585"/>
    <col min="7982" max="7982" width="18.85546875" style="585" customWidth="1"/>
    <col min="7983" max="7989" width="12.7109375" style="585" customWidth="1"/>
    <col min="7990" max="7991" width="14.7109375" style="585" customWidth="1"/>
    <col min="7992" max="8192" width="9.140625" style="585"/>
    <col min="8193" max="8193" width="38.7109375" style="585" customWidth="1"/>
    <col min="8194" max="8202" width="10.7109375" style="585" customWidth="1"/>
    <col min="8203" max="8203" width="11.7109375" style="585" customWidth="1"/>
    <col min="8204" max="8204" width="44.7109375" style="585" customWidth="1"/>
    <col min="8205" max="8213" width="10.7109375" style="585" customWidth="1"/>
    <col min="8214" max="8214" width="9.140625" style="585"/>
    <col min="8215" max="8215" width="27.140625" style="585" customWidth="1"/>
    <col min="8216" max="8216" width="9.7109375" style="585" customWidth="1"/>
    <col min="8217" max="8217" width="8.7109375" style="585" customWidth="1"/>
    <col min="8218" max="8218" width="9.7109375" style="585" customWidth="1"/>
    <col min="8219" max="8219" width="8.7109375" style="585" customWidth="1"/>
    <col min="8220" max="8220" width="9.7109375" style="585" customWidth="1"/>
    <col min="8221" max="8221" width="8.7109375" style="585" customWidth="1"/>
    <col min="8222" max="8222" width="9.7109375" style="585" customWidth="1"/>
    <col min="8223" max="8223" width="8.7109375" style="585" customWidth="1"/>
    <col min="8224" max="8224" width="9.7109375" style="585" customWidth="1"/>
    <col min="8225" max="8225" width="8.7109375" style="585" customWidth="1"/>
    <col min="8226" max="8227" width="9.140625" style="585"/>
    <col min="8228" max="8228" width="24.7109375" style="585" customWidth="1"/>
    <col min="8229" max="8230" width="11.7109375" style="585" customWidth="1"/>
    <col min="8231" max="8231" width="5.7109375" style="585" customWidth="1"/>
    <col min="8232" max="8232" width="24.7109375" style="585" customWidth="1"/>
    <col min="8233" max="8234" width="11.7109375" style="585" customWidth="1"/>
    <col min="8235" max="8237" width="9.140625" style="585"/>
    <col min="8238" max="8238" width="18.85546875" style="585" customWidth="1"/>
    <col min="8239" max="8245" width="12.7109375" style="585" customWidth="1"/>
    <col min="8246" max="8247" width="14.7109375" style="585" customWidth="1"/>
    <col min="8248" max="8448" width="9.140625" style="585"/>
    <col min="8449" max="8449" width="38.7109375" style="585" customWidth="1"/>
    <col min="8450" max="8458" width="10.7109375" style="585" customWidth="1"/>
    <col min="8459" max="8459" width="11.7109375" style="585" customWidth="1"/>
    <col min="8460" max="8460" width="44.7109375" style="585" customWidth="1"/>
    <col min="8461" max="8469" width="10.7109375" style="585" customWidth="1"/>
    <col min="8470" max="8470" width="9.140625" style="585"/>
    <col min="8471" max="8471" width="27.140625" style="585" customWidth="1"/>
    <col min="8472" max="8472" width="9.7109375" style="585" customWidth="1"/>
    <col min="8473" max="8473" width="8.7109375" style="585" customWidth="1"/>
    <col min="8474" max="8474" width="9.7109375" style="585" customWidth="1"/>
    <col min="8475" max="8475" width="8.7109375" style="585" customWidth="1"/>
    <col min="8476" max="8476" width="9.7109375" style="585" customWidth="1"/>
    <col min="8477" max="8477" width="8.7109375" style="585" customWidth="1"/>
    <col min="8478" max="8478" width="9.7109375" style="585" customWidth="1"/>
    <col min="8479" max="8479" width="8.7109375" style="585" customWidth="1"/>
    <col min="8480" max="8480" width="9.7109375" style="585" customWidth="1"/>
    <col min="8481" max="8481" width="8.7109375" style="585" customWidth="1"/>
    <col min="8482" max="8483" width="9.140625" style="585"/>
    <col min="8484" max="8484" width="24.7109375" style="585" customWidth="1"/>
    <col min="8485" max="8486" width="11.7109375" style="585" customWidth="1"/>
    <col min="8487" max="8487" width="5.7109375" style="585" customWidth="1"/>
    <col min="8488" max="8488" width="24.7109375" style="585" customWidth="1"/>
    <col min="8489" max="8490" width="11.7109375" style="585" customWidth="1"/>
    <col min="8491" max="8493" width="9.140625" style="585"/>
    <col min="8494" max="8494" width="18.85546875" style="585" customWidth="1"/>
    <col min="8495" max="8501" width="12.7109375" style="585" customWidth="1"/>
    <col min="8502" max="8503" width="14.7109375" style="585" customWidth="1"/>
    <col min="8504" max="8704" width="9.140625" style="585"/>
    <col min="8705" max="8705" width="38.7109375" style="585" customWidth="1"/>
    <col min="8706" max="8714" width="10.7109375" style="585" customWidth="1"/>
    <col min="8715" max="8715" width="11.7109375" style="585" customWidth="1"/>
    <col min="8716" max="8716" width="44.7109375" style="585" customWidth="1"/>
    <col min="8717" max="8725" width="10.7109375" style="585" customWidth="1"/>
    <col min="8726" max="8726" width="9.140625" style="585"/>
    <col min="8727" max="8727" width="27.140625" style="585" customWidth="1"/>
    <col min="8728" max="8728" width="9.7109375" style="585" customWidth="1"/>
    <col min="8729" max="8729" width="8.7109375" style="585" customWidth="1"/>
    <col min="8730" max="8730" width="9.7109375" style="585" customWidth="1"/>
    <col min="8731" max="8731" width="8.7109375" style="585" customWidth="1"/>
    <col min="8732" max="8732" width="9.7109375" style="585" customWidth="1"/>
    <col min="8733" max="8733" width="8.7109375" style="585" customWidth="1"/>
    <col min="8734" max="8734" width="9.7109375" style="585" customWidth="1"/>
    <col min="8735" max="8735" width="8.7109375" style="585" customWidth="1"/>
    <col min="8736" max="8736" width="9.7109375" style="585" customWidth="1"/>
    <col min="8737" max="8737" width="8.7109375" style="585" customWidth="1"/>
    <col min="8738" max="8739" width="9.140625" style="585"/>
    <col min="8740" max="8740" width="24.7109375" style="585" customWidth="1"/>
    <col min="8741" max="8742" width="11.7109375" style="585" customWidth="1"/>
    <col min="8743" max="8743" width="5.7109375" style="585" customWidth="1"/>
    <col min="8744" max="8744" width="24.7109375" style="585" customWidth="1"/>
    <col min="8745" max="8746" width="11.7109375" style="585" customWidth="1"/>
    <col min="8747" max="8749" width="9.140625" style="585"/>
    <col min="8750" max="8750" width="18.85546875" style="585" customWidth="1"/>
    <col min="8751" max="8757" width="12.7109375" style="585" customWidth="1"/>
    <col min="8758" max="8759" width="14.7109375" style="585" customWidth="1"/>
    <col min="8760" max="8960" width="9.140625" style="585"/>
    <col min="8961" max="8961" width="38.7109375" style="585" customWidth="1"/>
    <col min="8962" max="8970" width="10.7109375" style="585" customWidth="1"/>
    <col min="8971" max="8971" width="11.7109375" style="585" customWidth="1"/>
    <col min="8972" max="8972" width="44.7109375" style="585" customWidth="1"/>
    <col min="8973" max="8981" width="10.7109375" style="585" customWidth="1"/>
    <col min="8982" max="8982" width="9.140625" style="585"/>
    <col min="8983" max="8983" width="27.140625" style="585" customWidth="1"/>
    <col min="8984" max="8984" width="9.7109375" style="585" customWidth="1"/>
    <col min="8985" max="8985" width="8.7109375" style="585" customWidth="1"/>
    <col min="8986" max="8986" width="9.7109375" style="585" customWidth="1"/>
    <col min="8987" max="8987" width="8.7109375" style="585" customWidth="1"/>
    <col min="8988" max="8988" width="9.7109375" style="585" customWidth="1"/>
    <col min="8989" max="8989" width="8.7109375" style="585" customWidth="1"/>
    <col min="8990" max="8990" width="9.7109375" style="585" customWidth="1"/>
    <col min="8991" max="8991" width="8.7109375" style="585" customWidth="1"/>
    <col min="8992" max="8992" width="9.7109375" style="585" customWidth="1"/>
    <col min="8993" max="8993" width="8.7109375" style="585" customWidth="1"/>
    <col min="8994" max="8995" width="9.140625" style="585"/>
    <col min="8996" max="8996" width="24.7109375" style="585" customWidth="1"/>
    <col min="8997" max="8998" width="11.7109375" style="585" customWidth="1"/>
    <col min="8999" max="8999" width="5.7109375" style="585" customWidth="1"/>
    <col min="9000" max="9000" width="24.7109375" style="585" customWidth="1"/>
    <col min="9001" max="9002" width="11.7109375" style="585" customWidth="1"/>
    <col min="9003" max="9005" width="9.140625" style="585"/>
    <col min="9006" max="9006" width="18.85546875" style="585" customWidth="1"/>
    <col min="9007" max="9013" width="12.7109375" style="585" customWidth="1"/>
    <col min="9014" max="9015" width="14.7109375" style="585" customWidth="1"/>
    <col min="9016" max="9216" width="9.140625" style="585"/>
    <col min="9217" max="9217" width="38.7109375" style="585" customWidth="1"/>
    <col min="9218" max="9226" width="10.7109375" style="585" customWidth="1"/>
    <col min="9227" max="9227" width="11.7109375" style="585" customWidth="1"/>
    <col min="9228" max="9228" width="44.7109375" style="585" customWidth="1"/>
    <col min="9229" max="9237" width="10.7109375" style="585" customWidth="1"/>
    <col min="9238" max="9238" width="9.140625" style="585"/>
    <col min="9239" max="9239" width="27.140625" style="585" customWidth="1"/>
    <col min="9240" max="9240" width="9.7109375" style="585" customWidth="1"/>
    <col min="9241" max="9241" width="8.7109375" style="585" customWidth="1"/>
    <col min="9242" max="9242" width="9.7109375" style="585" customWidth="1"/>
    <col min="9243" max="9243" width="8.7109375" style="585" customWidth="1"/>
    <col min="9244" max="9244" width="9.7109375" style="585" customWidth="1"/>
    <col min="9245" max="9245" width="8.7109375" style="585" customWidth="1"/>
    <col min="9246" max="9246" width="9.7109375" style="585" customWidth="1"/>
    <col min="9247" max="9247" width="8.7109375" style="585" customWidth="1"/>
    <col min="9248" max="9248" width="9.7109375" style="585" customWidth="1"/>
    <col min="9249" max="9249" width="8.7109375" style="585" customWidth="1"/>
    <col min="9250" max="9251" width="9.140625" style="585"/>
    <col min="9252" max="9252" width="24.7109375" style="585" customWidth="1"/>
    <col min="9253" max="9254" width="11.7109375" style="585" customWidth="1"/>
    <col min="9255" max="9255" width="5.7109375" style="585" customWidth="1"/>
    <col min="9256" max="9256" width="24.7109375" style="585" customWidth="1"/>
    <col min="9257" max="9258" width="11.7109375" style="585" customWidth="1"/>
    <col min="9259" max="9261" width="9.140625" style="585"/>
    <col min="9262" max="9262" width="18.85546875" style="585" customWidth="1"/>
    <col min="9263" max="9269" width="12.7109375" style="585" customWidth="1"/>
    <col min="9270" max="9271" width="14.7109375" style="585" customWidth="1"/>
    <col min="9272" max="9472" width="9.140625" style="585"/>
    <col min="9473" max="9473" width="38.7109375" style="585" customWidth="1"/>
    <col min="9474" max="9482" width="10.7109375" style="585" customWidth="1"/>
    <col min="9483" max="9483" width="11.7109375" style="585" customWidth="1"/>
    <col min="9484" max="9484" width="44.7109375" style="585" customWidth="1"/>
    <col min="9485" max="9493" width="10.7109375" style="585" customWidth="1"/>
    <col min="9494" max="9494" width="9.140625" style="585"/>
    <col min="9495" max="9495" width="27.140625" style="585" customWidth="1"/>
    <col min="9496" max="9496" width="9.7109375" style="585" customWidth="1"/>
    <col min="9497" max="9497" width="8.7109375" style="585" customWidth="1"/>
    <col min="9498" max="9498" width="9.7109375" style="585" customWidth="1"/>
    <col min="9499" max="9499" width="8.7109375" style="585" customWidth="1"/>
    <col min="9500" max="9500" width="9.7109375" style="585" customWidth="1"/>
    <col min="9501" max="9501" width="8.7109375" style="585" customWidth="1"/>
    <col min="9502" max="9502" width="9.7109375" style="585" customWidth="1"/>
    <col min="9503" max="9503" width="8.7109375" style="585" customWidth="1"/>
    <col min="9504" max="9504" width="9.7109375" style="585" customWidth="1"/>
    <col min="9505" max="9505" width="8.7109375" style="585" customWidth="1"/>
    <col min="9506" max="9507" width="9.140625" style="585"/>
    <col min="9508" max="9508" width="24.7109375" style="585" customWidth="1"/>
    <col min="9509" max="9510" width="11.7109375" style="585" customWidth="1"/>
    <col min="9511" max="9511" width="5.7109375" style="585" customWidth="1"/>
    <col min="9512" max="9512" width="24.7109375" style="585" customWidth="1"/>
    <col min="9513" max="9514" width="11.7109375" style="585" customWidth="1"/>
    <col min="9515" max="9517" width="9.140625" style="585"/>
    <col min="9518" max="9518" width="18.85546875" style="585" customWidth="1"/>
    <col min="9519" max="9525" width="12.7109375" style="585" customWidth="1"/>
    <col min="9526" max="9527" width="14.7109375" style="585" customWidth="1"/>
    <col min="9528" max="9728" width="9.140625" style="585"/>
    <col min="9729" max="9729" width="38.7109375" style="585" customWidth="1"/>
    <col min="9730" max="9738" width="10.7109375" style="585" customWidth="1"/>
    <col min="9739" max="9739" width="11.7109375" style="585" customWidth="1"/>
    <col min="9740" max="9740" width="44.7109375" style="585" customWidth="1"/>
    <col min="9741" max="9749" width="10.7109375" style="585" customWidth="1"/>
    <col min="9750" max="9750" width="9.140625" style="585"/>
    <col min="9751" max="9751" width="27.140625" style="585" customWidth="1"/>
    <col min="9752" max="9752" width="9.7109375" style="585" customWidth="1"/>
    <col min="9753" max="9753" width="8.7109375" style="585" customWidth="1"/>
    <col min="9754" max="9754" width="9.7109375" style="585" customWidth="1"/>
    <col min="9755" max="9755" width="8.7109375" style="585" customWidth="1"/>
    <col min="9756" max="9756" width="9.7109375" style="585" customWidth="1"/>
    <col min="9757" max="9757" width="8.7109375" style="585" customWidth="1"/>
    <col min="9758" max="9758" width="9.7109375" style="585" customWidth="1"/>
    <col min="9759" max="9759" width="8.7109375" style="585" customWidth="1"/>
    <col min="9760" max="9760" width="9.7109375" style="585" customWidth="1"/>
    <col min="9761" max="9761" width="8.7109375" style="585" customWidth="1"/>
    <col min="9762" max="9763" width="9.140625" style="585"/>
    <col min="9764" max="9764" width="24.7109375" style="585" customWidth="1"/>
    <col min="9765" max="9766" width="11.7109375" style="585" customWidth="1"/>
    <col min="9767" max="9767" width="5.7109375" style="585" customWidth="1"/>
    <col min="9768" max="9768" width="24.7109375" style="585" customWidth="1"/>
    <col min="9769" max="9770" width="11.7109375" style="585" customWidth="1"/>
    <col min="9771" max="9773" width="9.140625" style="585"/>
    <col min="9774" max="9774" width="18.85546875" style="585" customWidth="1"/>
    <col min="9775" max="9781" width="12.7109375" style="585" customWidth="1"/>
    <col min="9782" max="9783" width="14.7109375" style="585" customWidth="1"/>
    <col min="9784" max="9984" width="9.140625" style="585"/>
    <col min="9985" max="9985" width="38.7109375" style="585" customWidth="1"/>
    <col min="9986" max="9994" width="10.7109375" style="585" customWidth="1"/>
    <col min="9995" max="9995" width="11.7109375" style="585" customWidth="1"/>
    <col min="9996" max="9996" width="44.7109375" style="585" customWidth="1"/>
    <col min="9997" max="10005" width="10.7109375" style="585" customWidth="1"/>
    <col min="10006" max="10006" width="9.140625" style="585"/>
    <col min="10007" max="10007" width="27.140625" style="585" customWidth="1"/>
    <col min="10008" max="10008" width="9.7109375" style="585" customWidth="1"/>
    <col min="10009" max="10009" width="8.7109375" style="585" customWidth="1"/>
    <col min="10010" max="10010" width="9.7109375" style="585" customWidth="1"/>
    <col min="10011" max="10011" width="8.7109375" style="585" customWidth="1"/>
    <col min="10012" max="10012" width="9.7109375" style="585" customWidth="1"/>
    <col min="10013" max="10013" width="8.7109375" style="585" customWidth="1"/>
    <col min="10014" max="10014" width="9.7109375" style="585" customWidth="1"/>
    <col min="10015" max="10015" width="8.7109375" style="585" customWidth="1"/>
    <col min="10016" max="10016" width="9.7109375" style="585" customWidth="1"/>
    <col min="10017" max="10017" width="8.7109375" style="585" customWidth="1"/>
    <col min="10018" max="10019" width="9.140625" style="585"/>
    <col min="10020" max="10020" width="24.7109375" style="585" customWidth="1"/>
    <col min="10021" max="10022" width="11.7109375" style="585" customWidth="1"/>
    <col min="10023" max="10023" width="5.7109375" style="585" customWidth="1"/>
    <col min="10024" max="10024" width="24.7109375" style="585" customWidth="1"/>
    <col min="10025" max="10026" width="11.7109375" style="585" customWidth="1"/>
    <col min="10027" max="10029" width="9.140625" style="585"/>
    <col min="10030" max="10030" width="18.85546875" style="585" customWidth="1"/>
    <col min="10031" max="10037" width="12.7109375" style="585" customWidth="1"/>
    <col min="10038" max="10039" width="14.7109375" style="585" customWidth="1"/>
    <col min="10040" max="10240" width="9.140625" style="585"/>
    <col min="10241" max="10241" width="38.7109375" style="585" customWidth="1"/>
    <col min="10242" max="10250" width="10.7109375" style="585" customWidth="1"/>
    <col min="10251" max="10251" width="11.7109375" style="585" customWidth="1"/>
    <col min="10252" max="10252" width="44.7109375" style="585" customWidth="1"/>
    <col min="10253" max="10261" width="10.7109375" style="585" customWidth="1"/>
    <col min="10262" max="10262" width="9.140625" style="585"/>
    <col min="10263" max="10263" width="27.140625" style="585" customWidth="1"/>
    <col min="10264" max="10264" width="9.7109375" style="585" customWidth="1"/>
    <col min="10265" max="10265" width="8.7109375" style="585" customWidth="1"/>
    <col min="10266" max="10266" width="9.7109375" style="585" customWidth="1"/>
    <col min="10267" max="10267" width="8.7109375" style="585" customWidth="1"/>
    <col min="10268" max="10268" width="9.7109375" style="585" customWidth="1"/>
    <col min="10269" max="10269" width="8.7109375" style="585" customWidth="1"/>
    <col min="10270" max="10270" width="9.7109375" style="585" customWidth="1"/>
    <col min="10271" max="10271" width="8.7109375" style="585" customWidth="1"/>
    <col min="10272" max="10272" width="9.7109375" style="585" customWidth="1"/>
    <col min="10273" max="10273" width="8.7109375" style="585" customWidth="1"/>
    <col min="10274" max="10275" width="9.140625" style="585"/>
    <col min="10276" max="10276" width="24.7109375" style="585" customWidth="1"/>
    <col min="10277" max="10278" width="11.7109375" style="585" customWidth="1"/>
    <col min="10279" max="10279" width="5.7109375" style="585" customWidth="1"/>
    <col min="10280" max="10280" width="24.7109375" style="585" customWidth="1"/>
    <col min="10281" max="10282" width="11.7109375" style="585" customWidth="1"/>
    <col min="10283" max="10285" width="9.140625" style="585"/>
    <col min="10286" max="10286" width="18.85546875" style="585" customWidth="1"/>
    <col min="10287" max="10293" width="12.7109375" style="585" customWidth="1"/>
    <col min="10294" max="10295" width="14.7109375" style="585" customWidth="1"/>
    <col min="10296" max="10496" width="9.140625" style="585"/>
    <col min="10497" max="10497" width="38.7109375" style="585" customWidth="1"/>
    <col min="10498" max="10506" width="10.7109375" style="585" customWidth="1"/>
    <col min="10507" max="10507" width="11.7109375" style="585" customWidth="1"/>
    <col min="10508" max="10508" width="44.7109375" style="585" customWidth="1"/>
    <col min="10509" max="10517" width="10.7109375" style="585" customWidth="1"/>
    <col min="10518" max="10518" width="9.140625" style="585"/>
    <col min="10519" max="10519" width="27.140625" style="585" customWidth="1"/>
    <col min="10520" max="10520" width="9.7109375" style="585" customWidth="1"/>
    <col min="10521" max="10521" width="8.7109375" style="585" customWidth="1"/>
    <col min="10522" max="10522" width="9.7109375" style="585" customWidth="1"/>
    <col min="10523" max="10523" width="8.7109375" style="585" customWidth="1"/>
    <col min="10524" max="10524" width="9.7109375" style="585" customWidth="1"/>
    <col min="10525" max="10525" width="8.7109375" style="585" customWidth="1"/>
    <col min="10526" max="10526" width="9.7109375" style="585" customWidth="1"/>
    <col min="10527" max="10527" width="8.7109375" style="585" customWidth="1"/>
    <col min="10528" max="10528" width="9.7109375" style="585" customWidth="1"/>
    <col min="10529" max="10529" width="8.7109375" style="585" customWidth="1"/>
    <col min="10530" max="10531" width="9.140625" style="585"/>
    <col min="10532" max="10532" width="24.7109375" style="585" customWidth="1"/>
    <col min="10533" max="10534" width="11.7109375" style="585" customWidth="1"/>
    <col min="10535" max="10535" width="5.7109375" style="585" customWidth="1"/>
    <col min="10536" max="10536" width="24.7109375" style="585" customWidth="1"/>
    <col min="10537" max="10538" width="11.7109375" style="585" customWidth="1"/>
    <col min="10539" max="10541" width="9.140625" style="585"/>
    <col min="10542" max="10542" width="18.85546875" style="585" customWidth="1"/>
    <col min="10543" max="10549" width="12.7109375" style="585" customWidth="1"/>
    <col min="10550" max="10551" width="14.7109375" style="585" customWidth="1"/>
    <col min="10552" max="10752" width="9.140625" style="585"/>
    <col min="10753" max="10753" width="38.7109375" style="585" customWidth="1"/>
    <col min="10754" max="10762" width="10.7109375" style="585" customWidth="1"/>
    <col min="10763" max="10763" width="11.7109375" style="585" customWidth="1"/>
    <col min="10764" max="10764" width="44.7109375" style="585" customWidth="1"/>
    <col min="10765" max="10773" width="10.7109375" style="585" customWidth="1"/>
    <col min="10774" max="10774" width="9.140625" style="585"/>
    <col min="10775" max="10775" width="27.140625" style="585" customWidth="1"/>
    <col min="10776" max="10776" width="9.7109375" style="585" customWidth="1"/>
    <col min="10777" max="10777" width="8.7109375" style="585" customWidth="1"/>
    <col min="10778" max="10778" width="9.7109375" style="585" customWidth="1"/>
    <col min="10779" max="10779" width="8.7109375" style="585" customWidth="1"/>
    <col min="10780" max="10780" width="9.7109375" style="585" customWidth="1"/>
    <col min="10781" max="10781" width="8.7109375" style="585" customWidth="1"/>
    <col min="10782" max="10782" width="9.7109375" style="585" customWidth="1"/>
    <col min="10783" max="10783" width="8.7109375" style="585" customWidth="1"/>
    <col min="10784" max="10784" width="9.7109375" style="585" customWidth="1"/>
    <col min="10785" max="10785" width="8.7109375" style="585" customWidth="1"/>
    <col min="10786" max="10787" width="9.140625" style="585"/>
    <col min="10788" max="10788" width="24.7109375" style="585" customWidth="1"/>
    <col min="10789" max="10790" width="11.7109375" style="585" customWidth="1"/>
    <col min="10791" max="10791" width="5.7109375" style="585" customWidth="1"/>
    <col min="10792" max="10792" width="24.7109375" style="585" customWidth="1"/>
    <col min="10793" max="10794" width="11.7109375" style="585" customWidth="1"/>
    <col min="10795" max="10797" width="9.140625" style="585"/>
    <col min="10798" max="10798" width="18.85546875" style="585" customWidth="1"/>
    <col min="10799" max="10805" width="12.7109375" style="585" customWidth="1"/>
    <col min="10806" max="10807" width="14.7109375" style="585" customWidth="1"/>
    <col min="10808" max="11008" width="9.140625" style="585"/>
    <col min="11009" max="11009" width="38.7109375" style="585" customWidth="1"/>
    <col min="11010" max="11018" width="10.7109375" style="585" customWidth="1"/>
    <col min="11019" max="11019" width="11.7109375" style="585" customWidth="1"/>
    <col min="11020" max="11020" width="44.7109375" style="585" customWidth="1"/>
    <col min="11021" max="11029" width="10.7109375" style="585" customWidth="1"/>
    <col min="11030" max="11030" width="9.140625" style="585"/>
    <col min="11031" max="11031" width="27.140625" style="585" customWidth="1"/>
    <col min="11032" max="11032" width="9.7109375" style="585" customWidth="1"/>
    <col min="11033" max="11033" width="8.7109375" style="585" customWidth="1"/>
    <col min="11034" max="11034" width="9.7109375" style="585" customWidth="1"/>
    <col min="11035" max="11035" width="8.7109375" style="585" customWidth="1"/>
    <col min="11036" max="11036" width="9.7109375" style="585" customWidth="1"/>
    <col min="11037" max="11037" width="8.7109375" style="585" customWidth="1"/>
    <col min="11038" max="11038" width="9.7109375" style="585" customWidth="1"/>
    <col min="11039" max="11039" width="8.7109375" style="585" customWidth="1"/>
    <col min="11040" max="11040" width="9.7109375" style="585" customWidth="1"/>
    <col min="11041" max="11041" width="8.7109375" style="585" customWidth="1"/>
    <col min="11042" max="11043" width="9.140625" style="585"/>
    <col min="11044" max="11044" width="24.7109375" style="585" customWidth="1"/>
    <col min="11045" max="11046" width="11.7109375" style="585" customWidth="1"/>
    <col min="11047" max="11047" width="5.7109375" style="585" customWidth="1"/>
    <col min="11048" max="11048" width="24.7109375" style="585" customWidth="1"/>
    <col min="11049" max="11050" width="11.7109375" style="585" customWidth="1"/>
    <col min="11051" max="11053" width="9.140625" style="585"/>
    <col min="11054" max="11054" width="18.85546875" style="585" customWidth="1"/>
    <col min="11055" max="11061" width="12.7109375" style="585" customWidth="1"/>
    <col min="11062" max="11063" width="14.7109375" style="585" customWidth="1"/>
    <col min="11064" max="11264" width="9.140625" style="585"/>
    <col min="11265" max="11265" width="38.7109375" style="585" customWidth="1"/>
    <col min="11266" max="11274" width="10.7109375" style="585" customWidth="1"/>
    <col min="11275" max="11275" width="11.7109375" style="585" customWidth="1"/>
    <col min="11276" max="11276" width="44.7109375" style="585" customWidth="1"/>
    <col min="11277" max="11285" width="10.7109375" style="585" customWidth="1"/>
    <col min="11286" max="11286" width="9.140625" style="585"/>
    <col min="11287" max="11287" width="27.140625" style="585" customWidth="1"/>
    <col min="11288" max="11288" width="9.7109375" style="585" customWidth="1"/>
    <col min="11289" max="11289" width="8.7109375" style="585" customWidth="1"/>
    <col min="11290" max="11290" width="9.7109375" style="585" customWidth="1"/>
    <col min="11291" max="11291" width="8.7109375" style="585" customWidth="1"/>
    <col min="11292" max="11292" width="9.7109375" style="585" customWidth="1"/>
    <col min="11293" max="11293" width="8.7109375" style="585" customWidth="1"/>
    <col min="11294" max="11294" width="9.7109375" style="585" customWidth="1"/>
    <col min="11295" max="11295" width="8.7109375" style="585" customWidth="1"/>
    <col min="11296" max="11296" width="9.7109375" style="585" customWidth="1"/>
    <col min="11297" max="11297" width="8.7109375" style="585" customWidth="1"/>
    <col min="11298" max="11299" width="9.140625" style="585"/>
    <col min="11300" max="11300" width="24.7109375" style="585" customWidth="1"/>
    <col min="11301" max="11302" width="11.7109375" style="585" customWidth="1"/>
    <col min="11303" max="11303" width="5.7109375" style="585" customWidth="1"/>
    <col min="11304" max="11304" width="24.7109375" style="585" customWidth="1"/>
    <col min="11305" max="11306" width="11.7109375" style="585" customWidth="1"/>
    <col min="11307" max="11309" width="9.140625" style="585"/>
    <col min="11310" max="11310" width="18.85546875" style="585" customWidth="1"/>
    <col min="11311" max="11317" width="12.7109375" style="585" customWidth="1"/>
    <col min="11318" max="11319" width="14.7109375" style="585" customWidth="1"/>
    <col min="11320" max="11520" width="9.140625" style="585"/>
    <col min="11521" max="11521" width="38.7109375" style="585" customWidth="1"/>
    <col min="11522" max="11530" width="10.7109375" style="585" customWidth="1"/>
    <col min="11531" max="11531" width="11.7109375" style="585" customWidth="1"/>
    <col min="11532" max="11532" width="44.7109375" style="585" customWidth="1"/>
    <col min="11533" max="11541" width="10.7109375" style="585" customWidth="1"/>
    <col min="11542" max="11542" width="9.140625" style="585"/>
    <col min="11543" max="11543" width="27.140625" style="585" customWidth="1"/>
    <col min="11544" max="11544" width="9.7109375" style="585" customWidth="1"/>
    <col min="11545" max="11545" width="8.7109375" style="585" customWidth="1"/>
    <col min="11546" max="11546" width="9.7109375" style="585" customWidth="1"/>
    <col min="11547" max="11547" width="8.7109375" style="585" customWidth="1"/>
    <col min="11548" max="11548" width="9.7109375" style="585" customWidth="1"/>
    <col min="11549" max="11549" width="8.7109375" style="585" customWidth="1"/>
    <col min="11550" max="11550" width="9.7109375" style="585" customWidth="1"/>
    <col min="11551" max="11551" width="8.7109375" style="585" customWidth="1"/>
    <col min="11552" max="11552" width="9.7109375" style="585" customWidth="1"/>
    <col min="11553" max="11553" width="8.7109375" style="585" customWidth="1"/>
    <col min="11554" max="11555" width="9.140625" style="585"/>
    <col min="11556" max="11556" width="24.7109375" style="585" customWidth="1"/>
    <col min="11557" max="11558" width="11.7109375" style="585" customWidth="1"/>
    <col min="11559" max="11559" width="5.7109375" style="585" customWidth="1"/>
    <col min="11560" max="11560" width="24.7109375" style="585" customWidth="1"/>
    <col min="11561" max="11562" width="11.7109375" style="585" customWidth="1"/>
    <col min="11563" max="11565" width="9.140625" style="585"/>
    <col min="11566" max="11566" width="18.85546875" style="585" customWidth="1"/>
    <col min="11567" max="11573" width="12.7109375" style="585" customWidth="1"/>
    <col min="11574" max="11575" width="14.7109375" style="585" customWidth="1"/>
    <col min="11576" max="11776" width="9.140625" style="585"/>
    <col min="11777" max="11777" width="38.7109375" style="585" customWidth="1"/>
    <col min="11778" max="11786" width="10.7109375" style="585" customWidth="1"/>
    <col min="11787" max="11787" width="11.7109375" style="585" customWidth="1"/>
    <col min="11788" max="11788" width="44.7109375" style="585" customWidth="1"/>
    <col min="11789" max="11797" width="10.7109375" style="585" customWidth="1"/>
    <col min="11798" max="11798" width="9.140625" style="585"/>
    <col min="11799" max="11799" width="27.140625" style="585" customWidth="1"/>
    <col min="11800" max="11800" width="9.7109375" style="585" customWidth="1"/>
    <col min="11801" max="11801" width="8.7109375" style="585" customWidth="1"/>
    <col min="11802" max="11802" width="9.7109375" style="585" customWidth="1"/>
    <col min="11803" max="11803" width="8.7109375" style="585" customWidth="1"/>
    <col min="11804" max="11804" width="9.7109375" style="585" customWidth="1"/>
    <col min="11805" max="11805" width="8.7109375" style="585" customWidth="1"/>
    <col min="11806" max="11806" width="9.7109375" style="585" customWidth="1"/>
    <col min="11807" max="11807" width="8.7109375" style="585" customWidth="1"/>
    <col min="11808" max="11808" width="9.7109375" style="585" customWidth="1"/>
    <col min="11809" max="11809" width="8.7109375" style="585" customWidth="1"/>
    <col min="11810" max="11811" width="9.140625" style="585"/>
    <col min="11812" max="11812" width="24.7109375" style="585" customWidth="1"/>
    <col min="11813" max="11814" width="11.7109375" style="585" customWidth="1"/>
    <col min="11815" max="11815" width="5.7109375" style="585" customWidth="1"/>
    <col min="11816" max="11816" width="24.7109375" style="585" customWidth="1"/>
    <col min="11817" max="11818" width="11.7109375" style="585" customWidth="1"/>
    <col min="11819" max="11821" width="9.140625" style="585"/>
    <col min="11822" max="11822" width="18.85546875" style="585" customWidth="1"/>
    <col min="11823" max="11829" width="12.7109375" style="585" customWidth="1"/>
    <col min="11830" max="11831" width="14.7109375" style="585" customWidth="1"/>
    <col min="11832" max="12032" width="9.140625" style="585"/>
    <col min="12033" max="12033" width="38.7109375" style="585" customWidth="1"/>
    <col min="12034" max="12042" width="10.7109375" style="585" customWidth="1"/>
    <col min="12043" max="12043" width="11.7109375" style="585" customWidth="1"/>
    <col min="12044" max="12044" width="44.7109375" style="585" customWidth="1"/>
    <col min="12045" max="12053" width="10.7109375" style="585" customWidth="1"/>
    <col min="12054" max="12054" width="9.140625" style="585"/>
    <col min="12055" max="12055" width="27.140625" style="585" customWidth="1"/>
    <col min="12056" max="12056" width="9.7109375" style="585" customWidth="1"/>
    <col min="12057" max="12057" width="8.7109375" style="585" customWidth="1"/>
    <col min="12058" max="12058" width="9.7109375" style="585" customWidth="1"/>
    <col min="12059" max="12059" width="8.7109375" style="585" customWidth="1"/>
    <col min="12060" max="12060" width="9.7109375" style="585" customWidth="1"/>
    <col min="12061" max="12061" width="8.7109375" style="585" customWidth="1"/>
    <col min="12062" max="12062" width="9.7109375" style="585" customWidth="1"/>
    <col min="12063" max="12063" width="8.7109375" style="585" customWidth="1"/>
    <col min="12064" max="12064" width="9.7109375" style="585" customWidth="1"/>
    <col min="12065" max="12065" width="8.7109375" style="585" customWidth="1"/>
    <col min="12066" max="12067" width="9.140625" style="585"/>
    <col min="12068" max="12068" width="24.7109375" style="585" customWidth="1"/>
    <col min="12069" max="12070" width="11.7109375" style="585" customWidth="1"/>
    <col min="12071" max="12071" width="5.7109375" style="585" customWidth="1"/>
    <col min="12072" max="12072" width="24.7109375" style="585" customWidth="1"/>
    <col min="12073" max="12074" width="11.7109375" style="585" customWidth="1"/>
    <col min="12075" max="12077" width="9.140625" style="585"/>
    <col min="12078" max="12078" width="18.85546875" style="585" customWidth="1"/>
    <col min="12079" max="12085" width="12.7109375" style="585" customWidth="1"/>
    <col min="12086" max="12087" width="14.7109375" style="585" customWidth="1"/>
    <col min="12088" max="12288" width="9.140625" style="585"/>
    <col min="12289" max="12289" width="38.7109375" style="585" customWidth="1"/>
    <col min="12290" max="12298" width="10.7109375" style="585" customWidth="1"/>
    <col min="12299" max="12299" width="11.7109375" style="585" customWidth="1"/>
    <col min="12300" max="12300" width="44.7109375" style="585" customWidth="1"/>
    <col min="12301" max="12309" width="10.7109375" style="585" customWidth="1"/>
    <col min="12310" max="12310" width="9.140625" style="585"/>
    <col min="12311" max="12311" width="27.140625" style="585" customWidth="1"/>
    <col min="12312" max="12312" width="9.7109375" style="585" customWidth="1"/>
    <col min="12313" max="12313" width="8.7109375" style="585" customWidth="1"/>
    <col min="12314" max="12314" width="9.7109375" style="585" customWidth="1"/>
    <col min="12315" max="12315" width="8.7109375" style="585" customWidth="1"/>
    <col min="12316" max="12316" width="9.7109375" style="585" customWidth="1"/>
    <col min="12317" max="12317" width="8.7109375" style="585" customWidth="1"/>
    <col min="12318" max="12318" width="9.7109375" style="585" customWidth="1"/>
    <col min="12319" max="12319" width="8.7109375" style="585" customWidth="1"/>
    <col min="12320" max="12320" width="9.7109375" style="585" customWidth="1"/>
    <col min="12321" max="12321" width="8.7109375" style="585" customWidth="1"/>
    <col min="12322" max="12323" width="9.140625" style="585"/>
    <col min="12324" max="12324" width="24.7109375" style="585" customWidth="1"/>
    <col min="12325" max="12326" width="11.7109375" style="585" customWidth="1"/>
    <col min="12327" max="12327" width="5.7109375" style="585" customWidth="1"/>
    <col min="12328" max="12328" width="24.7109375" style="585" customWidth="1"/>
    <col min="12329" max="12330" width="11.7109375" style="585" customWidth="1"/>
    <col min="12331" max="12333" width="9.140625" style="585"/>
    <col min="12334" max="12334" width="18.85546875" style="585" customWidth="1"/>
    <col min="12335" max="12341" width="12.7109375" style="585" customWidth="1"/>
    <col min="12342" max="12343" width="14.7109375" style="585" customWidth="1"/>
    <col min="12344" max="12544" width="9.140625" style="585"/>
    <col min="12545" max="12545" width="38.7109375" style="585" customWidth="1"/>
    <col min="12546" max="12554" width="10.7109375" style="585" customWidth="1"/>
    <col min="12555" max="12555" width="11.7109375" style="585" customWidth="1"/>
    <col min="12556" max="12556" width="44.7109375" style="585" customWidth="1"/>
    <col min="12557" max="12565" width="10.7109375" style="585" customWidth="1"/>
    <col min="12566" max="12566" width="9.140625" style="585"/>
    <col min="12567" max="12567" width="27.140625" style="585" customWidth="1"/>
    <col min="12568" max="12568" width="9.7109375" style="585" customWidth="1"/>
    <col min="12569" max="12569" width="8.7109375" style="585" customWidth="1"/>
    <col min="12570" max="12570" width="9.7109375" style="585" customWidth="1"/>
    <col min="12571" max="12571" width="8.7109375" style="585" customWidth="1"/>
    <col min="12572" max="12572" width="9.7109375" style="585" customWidth="1"/>
    <col min="12573" max="12573" width="8.7109375" style="585" customWidth="1"/>
    <col min="12574" max="12574" width="9.7109375" style="585" customWidth="1"/>
    <col min="12575" max="12575" width="8.7109375" style="585" customWidth="1"/>
    <col min="12576" max="12576" width="9.7109375" style="585" customWidth="1"/>
    <col min="12577" max="12577" width="8.7109375" style="585" customWidth="1"/>
    <col min="12578" max="12579" width="9.140625" style="585"/>
    <col min="12580" max="12580" width="24.7109375" style="585" customWidth="1"/>
    <col min="12581" max="12582" width="11.7109375" style="585" customWidth="1"/>
    <col min="12583" max="12583" width="5.7109375" style="585" customWidth="1"/>
    <col min="12584" max="12584" width="24.7109375" style="585" customWidth="1"/>
    <col min="12585" max="12586" width="11.7109375" style="585" customWidth="1"/>
    <col min="12587" max="12589" width="9.140625" style="585"/>
    <col min="12590" max="12590" width="18.85546875" style="585" customWidth="1"/>
    <col min="12591" max="12597" width="12.7109375" style="585" customWidth="1"/>
    <col min="12598" max="12599" width="14.7109375" style="585" customWidth="1"/>
    <col min="12600" max="12800" width="9.140625" style="585"/>
    <col min="12801" max="12801" width="38.7109375" style="585" customWidth="1"/>
    <col min="12802" max="12810" width="10.7109375" style="585" customWidth="1"/>
    <col min="12811" max="12811" width="11.7109375" style="585" customWidth="1"/>
    <col min="12812" max="12812" width="44.7109375" style="585" customWidth="1"/>
    <col min="12813" max="12821" width="10.7109375" style="585" customWidth="1"/>
    <col min="12822" max="12822" width="9.140625" style="585"/>
    <col min="12823" max="12823" width="27.140625" style="585" customWidth="1"/>
    <col min="12824" max="12824" width="9.7109375" style="585" customWidth="1"/>
    <col min="12825" max="12825" width="8.7109375" style="585" customWidth="1"/>
    <col min="12826" max="12826" width="9.7109375" style="585" customWidth="1"/>
    <col min="12827" max="12827" width="8.7109375" style="585" customWidth="1"/>
    <col min="12828" max="12828" width="9.7109375" style="585" customWidth="1"/>
    <col min="12829" max="12829" width="8.7109375" style="585" customWidth="1"/>
    <col min="12830" max="12830" width="9.7109375" style="585" customWidth="1"/>
    <col min="12831" max="12831" width="8.7109375" style="585" customWidth="1"/>
    <col min="12832" max="12832" width="9.7109375" style="585" customWidth="1"/>
    <col min="12833" max="12833" width="8.7109375" style="585" customWidth="1"/>
    <col min="12834" max="12835" width="9.140625" style="585"/>
    <col min="12836" max="12836" width="24.7109375" style="585" customWidth="1"/>
    <col min="12837" max="12838" width="11.7109375" style="585" customWidth="1"/>
    <col min="12839" max="12839" width="5.7109375" style="585" customWidth="1"/>
    <col min="12840" max="12840" width="24.7109375" style="585" customWidth="1"/>
    <col min="12841" max="12842" width="11.7109375" style="585" customWidth="1"/>
    <col min="12843" max="12845" width="9.140625" style="585"/>
    <col min="12846" max="12846" width="18.85546875" style="585" customWidth="1"/>
    <col min="12847" max="12853" width="12.7109375" style="585" customWidth="1"/>
    <col min="12854" max="12855" width="14.7109375" style="585" customWidth="1"/>
    <col min="12856" max="13056" width="9.140625" style="585"/>
    <col min="13057" max="13057" width="38.7109375" style="585" customWidth="1"/>
    <col min="13058" max="13066" width="10.7109375" style="585" customWidth="1"/>
    <col min="13067" max="13067" width="11.7109375" style="585" customWidth="1"/>
    <col min="13068" max="13068" width="44.7109375" style="585" customWidth="1"/>
    <col min="13069" max="13077" width="10.7109375" style="585" customWidth="1"/>
    <col min="13078" max="13078" width="9.140625" style="585"/>
    <col min="13079" max="13079" width="27.140625" style="585" customWidth="1"/>
    <col min="13080" max="13080" width="9.7109375" style="585" customWidth="1"/>
    <col min="13081" max="13081" width="8.7109375" style="585" customWidth="1"/>
    <col min="13082" max="13082" width="9.7109375" style="585" customWidth="1"/>
    <col min="13083" max="13083" width="8.7109375" style="585" customWidth="1"/>
    <col min="13084" max="13084" width="9.7109375" style="585" customWidth="1"/>
    <col min="13085" max="13085" width="8.7109375" style="585" customWidth="1"/>
    <col min="13086" max="13086" width="9.7109375" style="585" customWidth="1"/>
    <col min="13087" max="13087" width="8.7109375" style="585" customWidth="1"/>
    <col min="13088" max="13088" width="9.7109375" style="585" customWidth="1"/>
    <col min="13089" max="13089" width="8.7109375" style="585" customWidth="1"/>
    <col min="13090" max="13091" width="9.140625" style="585"/>
    <col min="13092" max="13092" width="24.7109375" style="585" customWidth="1"/>
    <col min="13093" max="13094" width="11.7109375" style="585" customWidth="1"/>
    <col min="13095" max="13095" width="5.7109375" style="585" customWidth="1"/>
    <col min="13096" max="13096" width="24.7109375" style="585" customWidth="1"/>
    <col min="13097" max="13098" width="11.7109375" style="585" customWidth="1"/>
    <col min="13099" max="13101" width="9.140625" style="585"/>
    <col min="13102" max="13102" width="18.85546875" style="585" customWidth="1"/>
    <col min="13103" max="13109" width="12.7109375" style="585" customWidth="1"/>
    <col min="13110" max="13111" width="14.7109375" style="585" customWidth="1"/>
    <col min="13112" max="13312" width="9.140625" style="585"/>
    <col min="13313" max="13313" width="38.7109375" style="585" customWidth="1"/>
    <col min="13314" max="13322" width="10.7109375" style="585" customWidth="1"/>
    <col min="13323" max="13323" width="11.7109375" style="585" customWidth="1"/>
    <col min="13324" max="13324" width="44.7109375" style="585" customWidth="1"/>
    <col min="13325" max="13333" width="10.7109375" style="585" customWidth="1"/>
    <col min="13334" max="13334" width="9.140625" style="585"/>
    <col min="13335" max="13335" width="27.140625" style="585" customWidth="1"/>
    <col min="13336" max="13336" width="9.7109375" style="585" customWidth="1"/>
    <col min="13337" max="13337" width="8.7109375" style="585" customWidth="1"/>
    <col min="13338" max="13338" width="9.7109375" style="585" customWidth="1"/>
    <col min="13339" max="13339" width="8.7109375" style="585" customWidth="1"/>
    <col min="13340" max="13340" width="9.7109375" style="585" customWidth="1"/>
    <col min="13341" max="13341" width="8.7109375" style="585" customWidth="1"/>
    <col min="13342" max="13342" width="9.7109375" style="585" customWidth="1"/>
    <col min="13343" max="13343" width="8.7109375" style="585" customWidth="1"/>
    <col min="13344" max="13344" width="9.7109375" style="585" customWidth="1"/>
    <col min="13345" max="13345" width="8.7109375" style="585" customWidth="1"/>
    <col min="13346" max="13347" width="9.140625" style="585"/>
    <col min="13348" max="13348" width="24.7109375" style="585" customWidth="1"/>
    <col min="13349" max="13350" width="11.7109375" style="585" customWidth="1"/>
    <col min="13351" max="13351" width="5.7109375" style="585" customWidth="1"/>
    <col min="13352" max="13352" width="24.7109375" style="585" customWidth="1"/>
    <col min="13353" max="13354" width="11.7109375" style="585" customWidth="1"/>
    <col min="13355" max="13357" width="9.140625" style="585"/>
    <col min="13358" max="13358" width="18.85546875" style="585" customWidth="1"/>
    <col min="13359" max="13365" width="12.7109375" style="585" customWidth="1"/>
    <col min="13366" max="13367" width="14.7109375" style="585" customWidth="1"/>
    <col min="13368" max="13568" width="9.140625" style="585"/>
    <col min="13569" max="13569" width="38.7109375" style="585" customWidth="1"/>
    <col min="13570" max="13578" width="10.7109375" style="585" customWidth="1"/>
    <col min="13579" max="13579" width="11.7109375" style="585" customWidth="1"/>
    <col min="13580" max="13580" width="44.7109375" style="585" customWidth="1"/>
    <col min="13581" max="13589" width="10.7109375" style="585" customWidth="1"/>
    <col min="13590" max="13590" width="9.140625" style="585"/>
    <col min="13591" max="13591" width="27.140625" style="585" customWidth="1"/>
    <col min="13592" max="13592" width="9.7109375" style="585" customWidth="1"/>
    <col min="13593" max="13593" width="8.7109375" style="585" customWidth="1"/>
    <col min="13594" max="13594" width="9.7109375" style="585" customWidth="1"/>
    <col min="13595" max="13595" width="8.7109375" style="585" customWidth="1"/>
    <col min="13596" max="13596" width="9.7109375" style="585" customWidth="1"/>
    <col min="13597" max="13597" width="8.7109375" style="585" customWidth="1"/>
    <col min="13598" max="13598" width="9.7109375" style="585" customWidth="1"/>
    <col min="13599" max="13599" width="8.7109375" style="585" customWidth="1"/>
    <col min="13600" max="13600" width="9.7109375" style="585" customWidth="1"/>
    <col min="13601" max="13601" width="8.7109375" style="585" customWidth="1"/>
    <col min="13602" max="13603" width="9.140625" style="585"/>
    <col min="13604" max="13604" width="24.7109375" style="585" customWidth="1"/>
    <col min="13605" max="13606" width="11.7109375" style="585" customWidth="1"/>
    <col min="13607" max="13607" width="5.7109375" style="585" customWidth="1"/>
    <col min="13608" max="13608" width="24.7109375" style="585" customWidth="1"/>
    <col min="13609" max="13610" width="11.7109375" style="585" customWidth="1"/>
    <col min="13611" max="13613" width="9.140625" style="585"/>
    <col min="13614" max="13614" width="18.85546875" style="585" customWidth="1"/>
    <col min="13615" max="13621" width="12.7109375" style="585" customWidth="1"/>
    <col min="13622" max="13623" width="14.7109375" style="585" customWidth="1"/>
    <col min="13624" max="13824" width="9.140625" style="585"/>
    <col min="13825" max="13825" width="38.7109375" style="585" customWidth="1"/>
    <col min="13826" max="13834" width="10.7109375" style="585" customWidth="1"/>
    <col min="13835" max="13835" width="11.7109375" style="585" customWidth="1"/>
    <col min="13836" max="13836" width="44.7109375" style="585" customWidth="1"/>
    <col min="13837" max="13845" width="10.7109375" style="585" customWidth="1"/>
    <col min="13846" max="13846" width="9.140625" style="585"/>
    <col min="13847" max="13847" width="27.140625" style="585" customWidth="1"/>
    <col min="13848" max="13848" width="9.7109375" style="585" customWidth="1"/>
    <col min="13849" max="13849" width="8.7109375" style="585" customWidth="1"/>
    <col min="13850" max="13850" width="9.7109375" style="585" customWidth="1"/>
    <col min="13851" max="13851" width="8.7109375" style="585" customWidth="1"/>
    <col min="13852" max="13852" width="9.7109375" style="585" customWidth="1"/>
    <col min="13853" max="13853" width="8.7109375" style="585" customWidth="1"/>
    <col min="13854" max="13854" width="9.7109375" style="585" customWidth="1"/>
    <col min="13855" max="13855" width="8.7109375" style="585" customWidth="1"/>
    <col min="13856" max="13856" width="9.7109375" style="585" customWidth="1"/>
    <col min="13857" max="13857" width="8.7109375" style="585" customWidth="1"/>
    <col min="13858" max="13859" width="9.140625" style="585"/>
    <col min="13860" max="13860" width="24.7109375" style="585" customWidth="1"/>
    <col min="13861" max="13862" width="11.7109375" style="585" customWidth="1"/>
    <col min="13863" max="13863" width="5.7109375" style="585" customWidth="1"/>
    <col min="13864" max="13864" width="24.7109375" style="585" customWidth="1"/>
    <col min="13865" max="13866" width="11.7109375" style="585" customWidth="1"/>
    <col min="13867" max="13869" width="9.140625" style="585"/>
    <col min="13870" max="13870" width="18.85546875" style="585" customWidth="1"/>
    <col min="13871" max="13877" width="12.7109375" style="585" customWidth="1"/>
    <col min="13878" max="13879" width="14.7109375" style="585" customWidth="1"/>
    <col min="13880" max="14080" width="9.140625" style="585"/>
    <col min="14081" max="14081" width="38.7109375" style="585" customWidth="1"/>
    <col min="14082" max="14090" width="10.7109375" style="585" customWidth="1"/>
    <col min="14091" max="14091" width="11.7109375" style="585" customWidth="1"/>
    <col min="14092" max="14092" width="44.7109375" style="585" customWidth="1"/>
    <col min="14093" max="14101" width="10.7109375" style="585" customWidth="1"/>
    <col min="14102" max="14102" width="9.140625" style="585"/>
    <col min="14103" max="14103" width="27.140625" style="585" customWidth="1"/>
    <col min="14104" max="14104" width="9.7109375" style="585" customWidth="1"/>
    <col min="14105" max="14105" width="8.7109375" style="585" customWidth="1"/>
    <col min="14106" max="14106" width="9.7109375" style="585" customWidth="1"/>
    <col min="14107" max="14107" width="8.7109375" style="585" customWidth="1"/>
    <col min="14108" max="14108" width="9.7109375" style="585" customWidth="1"/>
    <col min="14109" max="14109" width="8.7109375" style="585" customWidth="1"/>
    <col min="14110" max="14110" width="9.7109375" style="585" customWidth="1"/>
    <col min="14111" max="14111" width="8.7109375" style="585" customWidth="1"/>
    <col min="14112" max="14112" width="9.7109375" style="585" customWidth="1"/>
    <col min="14113" max="14113" width="8.7109375" style="585" customWidth="1"/>
    <col min="14114" max="14115" width="9.140625" style="585"/>
    <col min="14116" max="14116" width="24.7109375" style="585" customWidth="1"/>
    <col min="14117" max="14118" width="11.7109375" style="585" customWidth="1"/>
    <col min="14119" max="14119" width="5.7109375" style="585" customWidth="1"/>
    <col min="14120" max="14120" width="24.7109375" style="585" customWidth="1"/>
    <col min="14121" max="14122" width="11.7109375" style="585" customWidth="1"/>
    <col min="14123" max="14125" width="9.140625" style="585"/>
    <col min="14126" max="14126" width="18.85546875" style="585" customWidth="1"/>
    <col min="14127" max="14133" width="12.7109375" style="585" customWidth="1"/>
    <col min="14134" max="14135" width="14.7109375" style="585" customWidth="1"/>
    <col min="14136" max="14336" width="9.140625" style="585"/>
    <col min="14337" max="14337" width="38.7109375" style="585" customWidth="1"/>
    <col min="14338" max="14346" width="10.7109375" style="585" customWidth="1"/>
    <col min="14347" max="14347" width="11.7109375" style="585" customWidth="1"/>
    <col min="14348" max="14348" width="44.7109375" style="585" customWidth="1"/>
    <col min="14349" max="14357" width="10.7109375" style="585" customWidth="1"/>
    <col min="14358" max="14358" width="9.140625" style="585"/>
    <col min="14359" max="14359" width="27.140625" style="585" customWidth="1"/>
    <col min="14360" max="14360" width="9.7109375" style="585" customWidth="1"/>
    <col min="14361" max="14361" width="8.7109375" style="585" customWidth="1"/>
    <col min="14362" max="14362" width="9.7109375" style="585" customWidth="1"/>
    <col min="14363" max="14363" width="8.7109375" style="585" customWidth="1"/>
    <col min="14364" max="14364" width="9.7109375" style="585" customWidth="1"/>
    <col min="14365" max="14365" width="8.7109375" style="585" customWidth="1"/>
    <col min="14366" max="14366" width="9.7109375" style="585" customWidth="1"/>
    <col min="14367" max="14367" width="8.7109375" style="585" customWidth="1"/>
    <col min="14368" max="14368" width="9.7109375" style="585" customWidth="1"/>
    <col min="14369" max="14369" width="8.7109375" style="585" customWidth="1"/>
    <col min="14370" max="14371" width="9.140625" style="585"/>
    <col min="14372" max="14372" width="24.7109375" style="585" customWidth="1"/>
    <col min="14373" max="14374" width="11.7109375" style="585" customWidth="1"/>
    <col min="14375" max="14375" width="5.7109375" style="585" customWidth="1"/>
    <col min="14376" max="14376" width="24.7109375" style="585" customWidth="1"/>
    <col min="14377" max="14378" width="11.7109375" style="585" customWidth="1"/>
    <col min="14379" max="14381" width="9.140625" style="585"/>
    <col min="14382" max="14382" width="18.85546875" style="585" customWidth="1"/>
    <col min="14383" max="14389" width="12.7109375" style="585" customWidth="1"/>
    <col min="14390" max="14391" width="14.7109375" style="585" customWidth="1"/>
    <col min="14392" max="14592" width="9.140625" style="585"/>
    <col min="14593" max="14593" width="38.7109375" style="585" customWidth="1"/>
    <col min="14594" max="14602" width="10.7109375" style="585" customWidth="1"/>
    <col min="14603" max="14603" width="11.7109375" style="585" customWidth="1"/>
    <col min="14604" max="14604" width="44.7109375" style="585" customWidth="1"/>
    <col min="14605" max="14613" width="10.7109375" style="585" customWidth="1"/>
    <col min="14614" max="14614" width="9.140625" style="585"/>
    <col min="14615" max="14615" width="27.140625" style="585" customWidth="1"/>
    <col min="14616" max="14616" width="9.7109375" style="585" customWidth="1"/>
    <col min="14617" max="14617" width="8.7109375" style="585" customWidth="1"/>
    <col min="14618" max="14618" width="9.7109375" style="585" customWidth="1"/>
    <col min="14619" max="14619" width="8.7109375" style="585" customWidth="1"/>
    <col min="14620" max="14620" width="9.7109375" style="585" customWidth="1"/>
    <col min="14621" max="14621" width="8.7109375" style="585" customWidth="1"/>
    <col min="14622" max="14622" width="9.7109375" style="585" customWidth="1"/>
    <col min="14623" max="14623" width="8.7109375" style="585" customWidth="1"/>
    <col min="14624" max="14624" width="9.7109375" style="585" customWidth="1"/>
    <col min="14625" max="14625" width="8.7109375" style="585" customWidth="1"/>
    <col min="14626" max="14627" width="9.140625" style="585"/>
    <col min="14628" max="14628" width="24.7109375" style="585" customWidth="1"/>
    <col min="14629" max="14630" width="11.7109375" style="585" customWidth="1"/>
    <col min="14631" max="14631" width="5.7109375" style="585" customWidth="1"/>
    <col min="14632" max="14632" width="24.7109375" style="585" customWidth="1"/>
    <col min="14633" max="14634" width="11.7109375" style="585" customWidth="1"/>
    <col min="14635" max="14637" width="9.140625" style="585"/>
    <col min="14638" max="14638" width="18.85546875" style="585" customWidth="1"/>
    <col min="14639" max="14645" width="12.7109375" style="585" customWidth="1"/>
    <col min="14646" max="14647" width="14.7109375" style="585" customWidth="1"/>
    <col min="14648" max="14848" width="9.140625" style="585"/>
    <col min="14849" max="14849" width="38.7109375" style="585" customWidth="1"/>
    <col min="14850" max="14858" width="10.7109375" style="585" customWidth="1"/>
    <col min="14859" max="14859" width="11.7109375" style="585" customWidth="1"/>
    <col min="14860" max="14860" width="44.7109375" style="585" customWidth="1"/>
    <col min="14861" max="14869" width="10.7109375" style="585" customWidth="1"/>
    <col min="14870" max="14870" width="9.140625" style="585"/>
    <col min="14871" max="14871" width="27.140625" style="585" customWidth="1"/>
    <col min="14872" max="14872" width="9.7109375" style="585" customWidth="1"/>
    <col min="14873" max="14873" width="8.7109375" style="585" customWidth="1"/>
    <col min="14874" max="14874" width="9.7109375" style="585" customWidth="1"/>
    <col min="14875" max="14875" width="8.7109375" style="585" customWidth="1"/>
    <col min="14876" max="14876" width="9.7109375" style="585" customWidth="1"/>
    <col min="14877" max="14877" width="8.7109375" style="585" customWidth="1"/>
    <col min="14878" max="14878" width="9.7109375" style="585" customWidth="1"/>
    <col min="14879" max="14879" width="8.7109375" style="585" customWidth="1"/>
    <col min="14880" max="14880" width="9.7109375" style="585" customWidth="1"/>
    <col min="14881" max="14881" width="8.7109375" style="585" customWidth="1"/>
    <col min="14882" max="14883" width="9.140625" style="585"/>
    <col min="14884" max="14884" width="24.7109375" style="585" customWidth="1"/>
    <col min="14885" max="14886" width="11.7109375" style="585" customWidth="1"/>
    <col min="14887" max="14887" width="5.7109375" style="585" customWidth="1"/>
    <col min="14888" max="14888" width="24.7109375" style="585" customWidth="1"/>
    <col min="14889" max="14890" width="11.7109375" style="585" customWidth="1"/>
    <col min="14891" max="14893" width="9.140625" style="585"/>
    <col min="14894" max="14894" width="18.85546875" style="585" customWidth="1"/>
    <col min="14895" max="14901" width="12.7109375" style="585" customWidth="1"/>
    <col min="14902" max="14903" width="14.7109375" style="585" customWidth="1"/>
    <col min="14904" max="15104" width="9.140625" style="585"/>
    <col min="15105" max="15105" width="38.7109375" style="585" customWidth="1"/>
    <col min="15106" max="15114" width="10.7109375" style="585" customWidth="1"/>
    <col min="15115" max="15115" width="11.7109375" style="585" customWidth="1"/>
    <col min="15116" max="15116" width="44.7109375" style="585" customWidth="1"/>
    <col min="15117" max="15125" width="10.7109375" style="585" customWidth="1"/>
    <col min="15126" max="15126" width="9.140625" style="585"/>
    <col min="15127" max="15127" width="27.140625" style="585" customWidth="1"/>
    <col min="15128" max="15128" width="9.7109375" style="585" customWidth="1"/>
    <col min="15129" max="15129" width="8.7109375" style="585" customWidth="1"/>
    <col min="15130" max="15130" width="9.7109375" style="585" customWidth="1"/>
    <col min="15131" max="15131" width="8.7109375" style="585" customWidth="1"/>
    <col min="15132" max="15132" width="9.7109375" style="585" customWidth="1"/>
    <col min="15133" max="15133" width="8.7109375" style="585" customWidth="1"/>
    <col min="15134" max="15134" width="9.7109375" style="585" customWidth="1"/>
    <col min="15135" max="15135" width="8.7109375" style="585" customWidth="1"/>
    <col min="15136" max="15136" width="9.7109375" style="585" customWidth="1"/>
    <col min="15137" max="15137" width="8.7109375" style="585" customWidth="1"/>
    <col min="15138" max="15139" width="9.140625" style="585"/>
    <col min="15140" max="15140" width="24.7109375" style="585" customWidth="1"/>
    <col min="15141" max="15142" width="11.7109375" style="585" customWidth="1"/>
    <col min="15143" max="15143" width="5.7109375" style="585" customWidth="1"/>
    <col min="15144" max="15144" width="24.7109375" style="585" customWidth="1"/>
    <col min="15145" max="15146" width="11.7109375" style="585" customWidth="1"/>
    <col min="15147" max="15149" width="9.140625" style="585"/>
    <col min="15150" max="15150" width="18.85546875" style="585" customWidth="1"/>
    <col min="15151" max="15157" width="12.7109375" style="585" customWidth="1"/>
    <col min="15158" max="15159" width="14.7109375" style="585" customWidth="1"/>
    <col min="15160" max="15360" width="9.140625" style="585"/>
    <col min="15361" max="15361" width="38.7109375" style="585" customWidth="1"/>
    <col min="15362" max="15370" width="10.7109375" style="585" customWidth="1"/>
    <col min="15371" max="15371" width="11.7109375" style="585" customWidth="1"/>
    <col min="15372" max="15372" width="44.7109375" style="585" customWidth="1"/>
    <col min="15373" max="15381" width="10.7109375" style="585" customWidth="1"/>
    <col min="15382" max="15382" width="9.140625" style="585"/>
    <col min="15383" max="15383" width="27.140625" style="585" customWidth="1"/>
    <col min="15384" max="15384" width="9.7109375" style="585" customWidth="1"/>
    <col min="15385" max="15385" width="8.7109375" style="585" customWidth="1"/>
    <col min="15386" max="15386" width="9.7109375" style="585" customWidth="1"/>
    <col min="15387" max="15387" width="8.7109375" style="585" customWidth="1"/>
    <col min="15388" max="15388" width="9.7109375" style="585" customWidth="1"/>
    <col min="15389" max="15389" width="8.7109375" style="585" customWidth="1"/>
    <col min="15390" max="15390" width="9.7109375" style="585" customWidth="1"/>
    <col min="15391" max="15391" width="8.7109375" style="585" customWidth="1"/>
    <col min="15392" max="15392" width="9.7109375" style="585" customWidth="1"/>
    <col min="15393" max="15393" width="8.7109375" style="585" customWidth="1"/>
    <col min="15394" max="15395" width="9.140625" style="585"/>
    <col min="15396" max="15396" width="24.7109375" style="585" customWidth="1"/>
    <col min="15397" max="15398" width="11.7109375" style="585" customWidth="1"/>
    <col min="15399" max="15399" width="5.7109375" style="585" customWidth="1"/>
    <col min="15400" max="15400" width="24.7109375" style="585" customWidth="1"/>
    <col min="15401" max="15402" width="11.7109375" style="585" customWidth="1"/>
    <col min="15403" max="15405" width="9.140625" style="585"/>
    <col min="15406" max="15406" width="18.85546875" style="585" customWidth="1"/>
    <col min="15407" max="15413" width="12.7109375" style="585" customWidth="1"/>
    <col min="15414" max="15415" width="14.7109375" style="585" customWidth="1"/>
    <col min="15416" max="15616" width="9.140625" style="585"/>
    <col min="15617" max="15617" width="38.7109375" style="585" customWidth="1"/>
    <col min="15618" max="15626" width="10.7109375" style="585" customWidth="1"/>
    <col min="15627" max="15627" width="11.7109375" style="585" customWidth="1"/>
    <col min="15628" max="15628" width="44.7109375" style="585" customWidth="1"/>
    <col min="15629" max="15637" width="10.7109375" style="585" customWidth="1"/>
    <col min="15638" max="15638" width="9.140625" style="585"/>
    <col min="15639" max="15639" width="27.140625" style="585" customWidth="1"/>
    <col min="15640" max="15640" width="9.7109375" style="585" customWidth="1"/>
    <col min="15641" max="15641" width="8.7109375" style="585" customWidth="1"/>
    <col min="15642" max="15642" width="9.7109375" style="585" customWidth="1"/>
    <col min="15643" max="15643" width="8.7109375" style="585" customWidth="1"/>
    <col min="15644" max="15644" width="9.7109375" style="585" customWidth="1"/>
    <col min="15645" max="15645" width="8.7109375" style="585" customWidth="1"/>
    <col min="15646" max="15646" width="9.7109375" style="585" customWidth="1"/>
    <col min="15647" max="15647" width="8.7109375" style="585" customWidth="1"/>
    <col min="15648" max="15648" width="9.7109375" style="585" customWidth="1"/>
    <col min="15649" max="15649" width="8.7109375" style="585" customWidth="1"/>
    <col min="15650" max="15651" width="9.140625" style="585"/>
    <col min="15652" max="15652" width="24.7109375" style="585" customWidth="1"/>
    <col min="15653" max="15654" width="11.7109375" style="585" customWidth="1"/>
    <col min="15655" max="15655" width="5.7109375" style="585" customWidth="1"/>
    <col min="15656" max="15656" width="24.7109375" style="585" customWidth="1"/>
    <col min="15657" max="15658" width="11.7109375" style="585" customWidth="1"/>
    <col min="15659" max="15661" width="9.140625" style="585"/>
    <col min="15662" max="15662" width="18.85546875" style="585" customWidth="1"/>
    <col min="15663" max="15669" width="12.7109375" style="585" customWidth="1"/>
    <col min="15670" max="15671" width="14.7109375" style="585" customWidth="1"/>
    <col min="15672" max="15872" width="9.140625" style="585"/>
    <col min="15873" max="15873" width="38.7109375" style="585" customWidth="1"/>
    <col min="15874" max="15882" width="10.7109375" style="585" customWidth="1"/>
    <col min="15883" max="15883" width="11.7109375" style="585" customWidth="1"/>
    <col min="15884" max="15884" width="44.7109375" style="585" customWidth="1"/>
    <col min="15885" max="15893" width="10.7109375" style="585" customWidth="1"/>
    <col min="15894" max="15894" width="9.140625" style="585"/>
    <col min="15895" max="15895" width="27.140625" style="585" customWidth="1"/>
    <col min="15896" max="15896" width="9.7109375" style="585" customWidth="1"/>
    <col min="15897" max="15897" width="8.7109375" style="585" customWidth="1"/>
    <col min="15898" max="15898" width="9.7109375" style="585" customWidth="1"/>
    <col min="15899" max="15899" width="8.7109375" style="585" customWidth="1"/>
    <col min="15900" max="15900" width="9.7109375" style="585" customWidth="1"/>
    <col min="15901" max="15901" width="8.7109375" style="585" customWidth="1"/>
    <col min="15902" max="15902" width="9.7109375" style="585" customWidth="1"/>
    <col min="15903" max="15903" width="8.7109375" style="585" customWidth="1"/>
    <col min="15904" max="15904" width="9.7109375" style="585" customWidth="1"/>
    <col min="15905" max="15905" width="8.7109375" style="585" customWidth="1"/>
    <col min="15906" max="15907" width="9.140625" style="585"/>
    <col min="15908" max="15908" width="24.7109375" style="585" customWidth="1"/>
    <col min="15909" max="15910" width="11.7109375" style="585" customWidth="1"/>
    <col min="15911" max="15911" width="5.7109375" style="585" customWidth="1"/>
    <col min="15912" max="15912" width="24.7109375" style="585" customWidth="1"/>
    <col min="15913" max="15914" width="11.7109375" style="585" customWidth="1"/>
    <col min="15915" max="15917" width="9.140625" style="585"/>
    <col min="15918" max="15918" width="18.85546875" style="585" customWidth="1"/>
    <col min="15919" max="15925" width="12.7109375" style="585" customWidth="1"/>
    <col min="15926" max="15927" width="14.7109375" style="585" customWidth="1"/>
    <col min="15928" max="16128" width="9.140625" style="585"/>
    <col min="16129" max="16129" width="38.7109375" style="585" customWidth="1"/>
    <col min="16130" max="16138" width="10.7109375" style="585" customWidth="1"/>
    <col min="16139" max="16139" width="11.7109375" style="585" customWidth="1"/>
    <col min="16140" max="16140" width="44.7109375" style="585" customWidth="1"/>
    <col min="16141" max="16149" width="10.7109375" style="585" customWidth="1"/>
    <col min="16150" max="16150" width="9.140625" style="585"/>
    <col min="16151" max="16151" width="27.140625" style="585" customWidth="1"/>
    <col min="16152" max="16152" width="9.7109375" style="585" customWidth="1"/>
    <col min="16153" max="16153" width="8.7109375" style="585" customWidth="1"/>
    <col min="16154" max="16154" width="9.7109375" style="585" customWidth="1"/>
    <col min="16155" max="16155" width="8.7109375" style="585" customWidth="1"/>
    <col min="16156" max="16156" width="9.7109375" style="585" customWidth="1"/>
    <col min="16157" max="16157" width="8.7109375" style="585" customWidth="1"/>
    <col min="16158" max="16158" width="9.7109375" style="585" customWidth="1"/>
    <col min="16159" max="16159" width="8.7109375" style="585" customWidth="1"/>
    <col min="16160" max="16160" width="9.7109375" style="585" customWidth="1"/>
    <col min="16161" max="16161" width="8.7109375" style="585" customWidth="1"/>
    <col min="16162" max="16163" width="9.140625" style="585"/>
    <col min="16164" max="16164" width="24.7109375" style="585" customWidth="1"/>
    <col min="16165" max="16166" width="11.7109375" style="585" customWidth="1"/>
    <col min="16167" max="16167" width="5.7109375" style="585" customWidth="1"/>
    <col min="16168" max="16168" width="24.7109375" style="585" customWidth="1"/>
    <col min="16169" max="16170" width="11.7109375" style="585" customWidth="1"/>
    <col min="16171" max="16173" width="9.140625" style="585"/>
    <col min="16174" max="16174" width="18.85546875" style="585" customWidth="1"/>
    <col min="16175" max="16181" width="12.7109375" style="585" customWidth="1"/>
    <col min="16182" max="16183" width="14.7109375" style="585" customWidth="1"/>
    <col min="16184" max="16384" width="9.140625" style="585"/>
  </cols>
  <sheetData>
    <row r="1" spans="1:53">
      <c r="A1" s="381" t="s">
        <v>6410</v>
      </c>
      <c r="B1" s="381"/>
      <c r="C1" s="381"/>
      <c r="D1" s="381"/>
      <c r="E1" s="586"/>
      <c r="F1" s="586"/>
      <c r="L1" s="382" t="s">
        <v>6411</v>
      </c>
      <c r="M1" s="586"/>
      <c r="W1" s="381" t="s">
        <v>6412</v>
      </c>
      <c r="X1" s="586"/>
      <c r="Y1" s="586"/>
      <c r="Z1" s="586"/>
      <c r="AA1" s="586"/>
      <c r="AB1" s="586"/>
      <c r="AC1" s="586"/>
      <c r="AJ1" s="382" t="s">
        <v>6413</v>
      </c>
      <c r="AT1" s="382" t="s">
        <v>6414</v>
      </c>
      <c r="AU1" s="382"/>
    </row>
    <row r="2" spans="1:53">
      <c r="A2" s="586" t="s">
        <v>1810</v>
      </c>
      <c r="B2" s="938">
        <v>2022</v>
      </c>
      <c r="C2" s="938">
        <v>2021</v>
      </c>
      <c r="D2" s="589">
        <v>2020</v>
      </c>
      <c r="E2" s="589">
        <v>2019</v>
      </c>
      <c r="F2" s="642">
        <v>2018</v>
      </c>
      <c r="G2" s="939">
        <v>2017</v>
      </c>
      <c r="K2" s="598"/>
      <c r="L2" s="588" t="s">
        <v>1810</v>
      </c>
      <c r="M2" s="938">
        <v>2022</v>
      </c>
      <c r="N2" s="938">
        <v>2021</v>
      </c>
      <c r="O2" s="642">
        <v>2020</v>
      </c>
      <c r="P2" s="642">
        <v>2019</v>
      </c>
      <c r="Q2" s="642">
        <v>2018</v>
      </c>
      <c r="R2" s="938">
        <v>2017</v>
      </c>
      <c r="S2" s="939">
        <v>2016</v>
      </c>
      <c r="W2" s="585" t="s">
        <v>6415</v>
      </c>
      <c r="X2" s="604"/>
      <c r="Y2" s="602"/>
      <c r="AA2" s="599"/>
      <c r="AJ2" s="1434" t="s">
        <v>3342</v>
      </c>
      <c r="AK2" s="604"/>
      <c r="AL2" s="604"/>
      <c r="AM2" s="604"/>
      <c r="AN2" s="1435" t="s">
        <v>3342</v>
      </c>
      <c r="AO2" s="604"/>
      <c r="AP2" s="602"/>
      <c r="AT2" s="998" t="s">
        <v>6416</v>
      </c>
      <c r="AU2" s="998">
        <v>2024</v>
      </c>
      <c r="AV2" s="998">
        <v>2023</v>
      </c>
      <c r="AW2" s="998">
        <v>2022</v>
      </c>
      <c r="AX2" s="998">
        <v>2021</v>
      </c>
      <c r="AY2" s="998">
        <v>2020</v>
      </c>
      <c r="AZ2" s="998">
        <v>2019</v>
      </c>
      <c r="BA2" s="588">
        <v>2018</v>
      </c>
    </row>
    <row r="3" spans="1:53">
      <c r="A3" s="585" t="s">
        <v>6417</v>
      </c>
      <c r="B3" s="525">
        <v>6910</v>
      </c>
      <c r="C3" s="525">
        <v>6234</v>
      </c>
      <c r="D3" s="463">
        <v>5916</v>
      </c>
      <c r="E3" s="463">
        <v>6355</v>
      </c>
      <c r="F3" s="463">
        <v>6051</v>
      </c>
      <c r="G3" s="525">
        <v>6013</v>
      </c>
      <c r="H3" s="525"/>
      <c r="K3" s="598"/>
      <c r="L3" s="524" t="s">
        <v>6418</v>
      </c>
      <c r="M3" s="1009">
        <v>5.0999999999999996</v>
      </c>
      <c r="N3" s="1009">
        <v>2.1</v>
      </c>
      <c r="O3" s="1436">
        <v>-10.5</v>
      </c>
      <c r="P3" s="1436">
        <v>2.5</v>
      </c>
      <c r="Q3" s="1436">
        <v>-0.8</v>
      </c>
      <c r="R3" s="1009">
        <v>0.9</v>
      </c>
      <c r="S3" s="1009">
        <v>0.2</v>
      </c>
      <c r="T3" s="1009"/>
      <c r="U3" s="1437"/>
      <c r="W3" s="586" t="s">
        <v>3342</v>
      </c>
      <c r="X3" s="1074">
        <v>2019</v>
      </c>
      <c r="Y3" s="611" t="s">
        <v>1666</v>
      </c>
      <c r="AA3" s="599"/>
      <c r="AB3" s="599"/>
      <c r="AC3" s="599"/>
      <c r="AD3" s="599"/>
      <c r="AE3" s="599"/>
      <c r="AF3" s="599"/>
      <c r="AG3" s="599"/>
      <c r="AJ3" s="1438" t="s">
        <v>1932</v>
      </c>
      <c r="AK3" s="614" t="s">
        <v>1665</v>
      </c>
      <c r="AL3" s="614" t="s">
        <v>1666</v>
      </c>
      <c r="AM3" s="614"/>
      <c r="AN3" s="1439" t="s">
        <v>1932</v>
      </c>
      <c r="AO3" s="614" t="s">
        <v>1665</v>
      </c>
      <c r="AP3" s="611" t="s">
        <v>1666</v>
      </c>
      <c r="AT3" s="585" t="s">
        <v>6419</v>
      </c>
      <c r="AU3" s="585">
        <v>28</v>
      </c>
      <c r="AV3" s="585">
        <v>17</v>
      </c>
      <c r="AW3" s="585">
        <v>36</v>
      </c>
      <c r="AX3" s="585">
        <f>SUM(AX4:AX6)</f>
        <v>53</v>
      </c>
      <c r="AY3" s="585">
        <v>67</v>
      </c>
      <c r="AZ3" s="585">
        <v>160</v>
      </c>
      <c r="BA3" s="585">
        <v>154</v>
      </c>
    </row>
    <row r="4" spans="1:53">
      <c r="A4" s="586" t="s">
        <v>6420</v>
      </c>
      <c r="B4" s="633">
        <v>5420</v>
      </c>
      <c r="C4" s="633">
        <v>5157</v>
      </c>
      <c r="D4" s="497">
        <v>5053</v>
      </c>
      <c r="E4" s="497">
        <v>5647</v>
      </c>
      <c r="F4" s="497">
        <v>5508</v>
      </c>
      <c r="G4" s="633">
        <v>5554</v>
      </c>
      <c r="H4" s="525"/>
      <c r="K4" s="1440"/>
      <c r="M4" s="1009"/>
      <c r="N4" s="1009"/>
      <c r="O4" s="1436"/>
      <c r="P4" s="1436"/>
      <c r="Q4" s="1436"/>
      <c r="R4" s="1009"/>
      <c r="S4" s="1009"/>
      <c r="T4" s="1009"/>
      <c r="U4" s="1437"/>
      <c r="W4" s="585" t="s">
        <v>129</v>
      </c>
      <c r="X4" s="525">
        <f>SUM(X5:X18)</f>
        <v>32979</v>
      </c>
      <c r="Y4" s="623">
        <f>SUM(Y5:Y18)</f>
        <v>100.00000000000001</v>
      </c>
      <c r="Z4" s="525"/>
      <c r="AA4" s="623"/>
      <c r="AB4" s="525"/>
      <c r="AC4" s="623"/>
      <c r="AD4" s="525"/>
      <c r="AE4" s="623"/>
      <c r="AF4" s="525"/>
      <c r="AG4" s="623"/>
      <c r="AJ4" s="1053" t="s">
        <v>129</v>
      </c>
      <c r="AK4" s="525">
        <v>119720</v>
      </c>
      <c r="AL4" s="623">
        <v>100</v>
      </c>
      <c r="AM4" s="623"/>
      <c r="AO4" s="525"/>
      <c r="AP4" s="623"/>
      <c r="AT4" s="585" t="s">
        <v>6421</v>
      </c>
      <c r="AU4" s="585">
        <v>21</v>
      </c>
      <c r="AV4" s="585">
        <v>11</v>
      </c>
      <c r="AW4" s="585">
        <v>22</v>
      </c>
      <c r="AX4" s="585">
        <f>AX9+AX14</f>
        <v>44</v>
      </c>
      <c r="AY4" s="585">
        <v>58</v>
      </c>
      <c r="AZ4" s="585">
        <v>128</v>
      </c>
      <c r="BA4" s="585">
        <v>125</v>
      </c>
    </row>
    <row r="5" spans="1:53">
      <c r="A5" s="585" t="s">
        <v>6422</v>
      </c>
      <c r="K5" s="1440"/>
      <c r="L5" s="585" t="s">
        <v>6423</v>
      </c>
      <c r="M5" s="1009">
        <v>1.2</v>
      </c>
      <c r="N5" s="1009">
        <v>3.1</v>
      </c>
      <c r="O5" s="1436">
        <v>-3.4</v>
      </c>
      <c r="P5" s="1436">
        <v>0.1</v>
      </c>
      <c r="Q5" s="1436">
        <v>-0.7</v>
      </c>
      <c r="R5" s="1009">
        <v>2.7</v>
      </c>
      <c r="S5" s="1009">
        <v>1.5</v>
      </c>
      <c r="T5" s="1009"/>
      <c r="U5" s="1437"/>
      <c r="W5" s="382" t="s">
        <v>6424</v>
      </c>
      <c r="X5" s="525">
        <v>619</v>
      </c>
      <c r="Y5" s="623">
        <f>X5/$X$4*100</f>
        <v>1.8769519997574213</v>
      </c>
      <c r="Z5" s="525"/>
      <c r="AA5" s="623"/>
      <c r="AB5" s="525"/>
      <c r="AC5" s="623"/>
      <c r="AD5" s="525"/>
      <c r="AF5" s="525"/>
      <c r="AJ5" s="1053"/>
      <c r="AK5" s="525"/>
      <c r="AL5" s="623"/>
      <c r="AM5" s="623"/>
      <c r="AO5" s="525"/>
      <c r="AP5" s="623"/>
      <c r="AT5" s="585" t="s">
        <v>6425</v>
      </c>
      <c r="AU5" s="382">
        <v>0</v>
      </c>
      <c r="AV5" s="382">
        <v>1</v>
      </c>
      <c r="AW5" s="382">
        <v>1</v>
      </c>
      <c r="AX5" s="585">
        <f>AX10+AX15</f>
        <v>1</v>
      </c>
      <c r="AY5" s="382">
        <v>0</v>
      </c>
      <c r="AZ5" s="382">
        <v>1</v>
      </c>
      <c r="BA5" s="382">
        <v>0</v>
      </c>
    </row>
    <row r="6" spans="1:53">
      <c r="K6" s="1440"/>
      <c r="L6" s="451" t="s">
        <v>6426</v>
      </c>
      <c r="M6" s="1009">
        <v>10.5</v>
      </c>
      <c r="N6" s="1009">
        <v>2.9</v>
      </c>
      <c r="O6" s="1436">
        <v>-19.399999999999999</v>
      </c>
      <c r="P6" s="1436">
        <v>5.4</v>
      </c>
      <c r="Q6" s="1436">
        <v>0.3</v>
      </c>
      <c r="R6" s="1009">
        <v>1.9</v>
      </c>
      <c r="S6" s="1009">
        <v>2.6</v>
      </c>
      <c r="T6" s="1009"/>
      <c r="U6" s="1437"/>
      <c r="W6" s="382" t="s">
        <v>6427</v>
      </c>
      <c r="X6" s="525">
        <v>728</v>
      </c>
      <c r="Y6" s="623">
        <f t="shared" ref="Y6:Y18" si="0">X6/$X$4*100</f>
        <v>2.2074653567421691</v>
      </c>
      <c r="Z6" s="525"/>
      <c r="AA6" s="623"/>
      <c r="AB6" s="525"/>
      <c r="AC6" s="623"/>
      <c r="AD6" s="525"/>
      <c r="AF6" s="525"/>
      <c r="AG6" s="623"/>
      <c r="AJ6" s="1053" t="s">
        <v>6428</v>
      </c>
      <c r="AK6" s="525">
        <v>33306</v>
      </c>
      <c r="AL6" s="623">
        <f t="shared" ref="AL6:AL34" si="1">AK6/$AK$4*100</f>
        <v>27.819913130638156</v>
      </c>
      <c r="AM6" s="623"/>
      <c r="AO6" s="525"/>
      <c r="AP6" s="623"/>
      <c r="AT6" s="585" t="s">
        <v>6429</v>
      </c>
      <c r="AU6" s="382">
        <v>7</v>
      </c>
      <c r="AV6" s="382">
        <v>5</v>
      </c>
      <c r="AW6" s="382">
        <v>13</v>
      </c>
      <c r="AX6" s="585">
        <f>AX11+AX16</f>
        <v>8</v>
      </c>
      <c r="AY6" s="382">
        <v>9</v>
      </c>
      <c r="AZ6" s="382">
        <v>31</v>
      </c>
      <c r="BA6" s="382">
        <v>29</v>
      </c>
    </row>
    <row r="7" spans="1:53">
      <c r="K7" s="1440"/>
      <c r="L7" s="451" t="s">
        <v>25</v>
      </c>
      <c r="M7" s="1009">
        <v>7.7</v>
      </c>
      <c r="N7" s="1009">
        <v>-3.5</v>
      </c>
      <c r="O7" s="1436">
        <v>-26.8</v>
      </c>
      <c r="P7" s="1436">
        <v>4</v>
      </c>
      <c r="Q7" s="1436">
        <v>-0.1</v>
      </c>
      <c r="R7" s="1009">
        <v>1.8</v>
      </c>
      <c r="S7" s="1009">
        <v>3</v>
      </c>
      <c r="T7" s="1009"/>
      <c r="U7" s="1437"/>
      <c r="W7" s="382" t="s">
        <v>6430</v>
      </c>
      <c r="X7" s="525">
        <v>655</v>
      </c>
      <c r="Y7" s="623">
        <f t="shared" si="0"/>
        <v>1.9861123745413749</v>
      </c>
      <c r="Z7" s="525"/>
      <c r="AA7" s="623"/>
      <c r="AB7" s="525"/>
      <c r="AC7" s="623"/>
      <c r="AD7" s="525"/>
      <c r="AF7" s="525"/>
      <c r="AJ7" s="1053" t="s">
        <v>6431</v>
      </c>
      <c r="AK7" s="525">
        <v>1966</v>
      </c>
      <c r="AL7" s="623">
        <f t="shared" si="1"/>
        <v>1.6421650517875042</v>
      </c>
      <c r="AM7" s="623"/>
      <c r="AN7" s="1053" t="s">
        <v>6432</v>
      </c>
      <c r="AO7" s="525">
        <v>1456</v>
      </c>
      <c r="AP7" s="623">
        <f t="shared" ref="AP7:AP34" si="2">AO7/$AK$4*100</f>
        <v>1.2161710658202474</v>
      </c>
    </row>
    <row r="8" spans="1:53">
      <c r="M8" s="1009"/>
      <c r="N8" s="1009"/>
      <c r="O8" s="1436"/>
      <c r="P8" s="1436"/>
      <c r="Q8" s="1436"/>
      <c r="R8" s="1009"/>
      <c r="S8" s="1009"/>
      <c r="T8" s="1009"/>
      <c r="U8" s="1437"/>
      <c r="W8" s="382" t="s">
        <v>6433</v>
      </c>
      <c r="X8" s="525">
        <v>692</v>
      </c>
      <c r="Y8" s="623">
        <f t="shared" si="0"/>
        <v>2.0983049819582158</v>
      </c>
      <c r="Z8" s="525"/>
      <c r="AA8" s="623"/>
      <c r="AB8" s="525"/>
      <c r="AC8" s="623"/>
      <c r="AD8" s="525"/>
      <c r="AF8" s="525"/>
      <c r="AJ8" s="1053" t="s">
        <v>6434</v>
      </c>
      <c r="AK8" s="525">
        <v>1310</v>
      </c>
      <c r="AL8" s="623">
        <f t="shared" si="1"/>
        <v>1.0942198463080521</v>
      </c>
      <c r="AM8" s="623"/>
      <c r="AN8" s="1053" t="s">
        <v>6435</v>
      </c>
      <c r="AO8" s="525">
        <v>1019</v>
      </c>
      <c r="AP8" s="623">
        <f t="shared" si="2"/>
        <v>0.85115268960908785</v>
      </c>
      <c r="AT8" s="585" t="s">
        <v>6436</v>
      </c>
      <c r="AU8" s="585">
        <v>0</v>
      </c>
      <c r="AV8" s="382">
        <v>2</v>
      </c>
      <c r="AW8" s="382">
        <v>2</v>
      </c>
      <c r="AX8" s="585">
        <f>SUM(AX9:AX11)</f>
        <v>6</v>
      </c>
      <c r="AY8" s="382">
        <v>7</v>
      </c>
      <c r="AZ8" s="382">
        <v>6</v>
      </c>
      <c r="BA8" s="382">
        <v>3</v>
      </c>
    </row>
    <row r="9" spans="1:53">
      <c r="A9" s="381" t="s">
        <v>6437</v>
      </c>
      <c r="B9" s="381"/>
      <c r="C9" s="381"/>
      <c r="D9" s="381"/>
      <c r="E9" s="586"/>
      <c r="F9" s="586"/>
      <c r="G9" s="586"/>
      <c r="L9" s="585" t="s">
        <v>6438</v>
      </c>
      <c r="M9" s="1009">
        <v>14.7</v>
      </c>
      <c r="N9" s="1009">
        <v>6.8</v>
      </c>
      <c r="O9" s="1436">
        <v>6.2</v>
      </c>
      <c r="P9" s="1436">
        <v>8.5</v>
      </c>
      <c r="Q9" s="1436">
        <v>4.5</v>
      </c>
      <c r="R9" s="1009">
        <v>-7.3</v>
      </c>
      <c r="S9" s="1009">
        <v>-4</v>
      </c>
      <c r="T9" s="1009"/>
      <c r="U9" s="1437"/>
      <c r="W9" s="382" t="s">
        <v>6439</v>
      </c>
      <c r="X9" s="525">
        <v>1347</v>
      </c>
      <c r="Y9" s="623">
        <f t="shared" si="0"/>
        <v>4.0844173564995909</v>
      </c>
      <c r="Z9" s="525"/>
      <c r="AA9" s="623"/>
      <c r="AB9" s="525"/>
      <c r="AC9" s="623"/>
      <c r="AD9" s="525"/>
      <c r="AF9" s="525"/>
      <c r="AJ9" s="1053" t="s">
        <v>6440</v>
      </c>
      <c r="AK9" s="525">
        <v>1856</v>
      </c>
      <c r="AL9" s="623">
        <f t="shared" si="1"/>
        <v>1.5502839959906449</v>
      </c>
      <c r="AM9" s="623"/>
      <c r="AN9" s="1053" t="s">
        <v>6441</v>
      </c>
      <c r="AO9" s="525">
        <v>1856</v>
      </c>
      <c r="AP9" s="623">
        <f t="shared" si="2"/>
        <v>1.5502839959906449</v>
      </c>
      <c r="AT9" s="585" t="s">
        <v>6421</v>
      </c>
      <c r="AU9" s="585">
        <v>0</v>
      </c>
      <c r="AV9" s="382">
        <v>0</v>
      </c>
      <c r="AW9" s="382">
        <v>0</v>
      </c>
      <c r="AX9" s="585">
        <v>5</v>
      </c>
      <c r="AY9" s="382">
        <v>6</v>
      </c>
      <c r="AZ9" s="382">
        <v>3</v>
      </c>
      <c r="BA9" s="382">
        <v>2</v>
      </c>
    </row>
    <row r="10" spans="1:53">
      <c r="A10" s="586" t="s">
        <v>1810</v>
      </c>
      <c r="B10" s="939">
        <v>2016</v>
      </c>
      <c r="C10" s="938">
        <v>2015</v>
      </c>
      <c r="D10" s="885">
        <v>2014</v>
      </c>
      <c r="E10" s="885">
        <v>2013</v>
      </c>
      <c r="F10" s="885">
        <v>2012</v>
      </c>
      <c r="G10" s="885">
        <v>2011</v>
      </c>
      <c r="M10" s="1009"/>
      <c r="N10" s="1009"/>
      <c r="O10" s="1436"/>
      <c r="P10" s="1436"/>
      <c r="Q10" s="1436"/>
      <c r="R10" s="1009"/>
      <c r="S10" s="1009"/>
      <c r="T10" s="1009"/>
      <c r="U10" s="1437"/>
      <c r="W10" s="382" t="s">
        <v>6442</v>
      </c>
      <c r="X10" s="525">
        <v>1128</v>
      </c>
      <c r="Y10" s="623">
        <f t="shared" si="0"/>
        <v>3.4203584098972075</v>
      </c>
      <c r="Z10" s="525"/>
      <c r="AA10" s="623"/>
      <c r="AB10" s="525"/>
      <c r="AC10" s="623"/>
      <c r="AD10" s="525"/>
      <c r="AF10" s="525"/>
      <c r="AJ10" s="1053" t="s">
        <v>6443</v>
      </c>
      <c r="AK10" s="525">
        <v>1929</v>
      </c>
      <c r="AL10" s="623">
        <f t="shared" si="1"/>
        <v>1.6112596057467423</v>
      </c>
      <c r="AM10" s="623"/>
      <c r="AN10" s="1053" t="s">
        <v>6444</v>
      </c>
      <c r="AO10" s="525">
        <v>1128</v>
      </c>
      <c r="AP10" s="623">
        <f t="shared" si="2"/>
        <v>0.94219846308052113</v>
      </c>
      <c r="AT10" s="585" t="s">
        <v>6425</v>
      </c>
      <c r="AU10" s="585">
        <v>0</v>
      </c>
      <c r="AV10" s="382">
        <v>1</v>
      </c>
      <c r="AW10" s="382">
        <v>1</v>
      </c>
      <c r="AX10" s="585">
        <v>1</v>
      </c>
      <c r="AY10" s="382">
        <v>0</v>
      </c>
      <c r="AZ10" s="382">
        <v>1</v>
      </c>
      <c r="BA10" s="382">
        <v>0</v>
      </c>
    </row>
    <row r="11" spans="1:53">
      <c r="A11" s="585" t="s">
        <v>6417</v>
      </c>
      <c r="B11" s="525">
        <v>5901</v>
      </c>
      <c r="C11" s="525">
        <v>5799</v>
      </c>
      <c r="D11" s="525">
        <v>5610</v>
      </c>
      <c r="E11" s="525">
        <v>5399</v>
      </c>
      <c r="F11" s="525">
        <v>5265</v>
      </c>
      <c r="G11" s="525">
        <v>4984</v>
      </c>
      <c r="H11" s="525"/>
      <c r="L11" s="585" t="s">
        <v>6445</v>
      </c>
      <c r="M11" s="1441" t="s">
        <v>1627</v>
      </c>
      <c r="N11" s="1441" t="s">
        <v>1627</v>
      </c>
      <c r="O11" s="1441" t="s">
        <v>1627</v>
      </c>
      <c r="P11" s="1441" t="s">
        <v>1627</v>
      </c>
      <c r="Q11" s="1441" t="s">
        <v>1627</v>
      </c>
      <c r="R11" s="1441" t="s">
        <v>1627</v>
      </c>
      <c r="S11" s="1441" t="s">
        <v>1627</v>
      </c>
      <c r="T11" s="1009"/>
      <c r="U11" s="1437"/>
      <c r="W11" s="382" t="s">
        <v>6446</v>
      </c>
      <c r="X11" s="525">
        <v>1238</v>
      </c>
      <c r="Y11" s="623">
        <f t="shared" si="0"/>
        <v>3.7539039995148427</v>
      </c>
      <c r="Z11" s="525"/>
      <c r="AA11" s="623"/>
      <c r="AB11" s="525"/>
      <c r="AC11" s="623"/>
      <c r="AD11" s="525"/>
      <c r="AF11" s="525"/>
      <c r="AJ11" s="1053" t="s">
        <v>6447</v>
      </c>
      <c r="AK11" s="525">
        <v>2148</v>
      </c>
      <c r="AL11" s="623">
        <f t="shared" si="1"/>
        <v>1.7941864350150352</v>
      </c>
      <c r="AM11" s="623"/>
      <c r="AN11" s="1053" t="s">
        <v>6448</v>
      </c>
      <c r="AO11" s="525">
        <v>837</v>
      </c>
      <c r="AP11" s="623">
        <f t="shared" si="2"/>
        <v>0.69913130638155696</v>
      </c>
      <c r="AT11" s="585" t="s">
        <v>6429</v>
      </c>
      <c r="AU11" s="585">
        <v>0</v>
      </c>
      <c r="AV11" s="382">
        <v>1</v>
      </c>
      <c r="AW11" s="382">
        <v>1</v>
      </c>
      <c r="AX11" s="585">
        <v>0</v>
      </c>
      <c r="AY11" s="382">
        <v>1</v>
      </c>
      <c r="AZ11" s="382">
        <v>2</v>
      </c>
      <c r="BA11" s="382">
        <v>1</v>
      </c>
    </row>
    <row r="12" spans="1:53">
      <c r="A12" s="586" t="s">
        <v>6420</v>
      </c>
      <c r="B12" s="633">
        <v>5505</v>
      </c>
      <c r="C12" s="633">
        <v>5495</v>
      </c>
      <c r="D12" s="633">
        <v>5450</v>
      </c>
      <c r="E12" s="633">
        <v>5354</v>
      </c>
      <c r="F12" s="633">
        <v>5265</v>
      </c>
      <c r="G12" s="633">
        <v>5155</v>
      </c>
      <c r="H12" s="525"/>
      <c r="L12" s="524" t="s">
        <v>6449</v>
      </c>
      <c r="M12" s="1009">
        <v>150.4</v>
      </c>
      <c r="N12" s="1009">
        <v>-48</v>
      </c>
      <c r="O12" s="1436">
        <v>-73.7</v>
      </c>
      <c r="P12" s="1436">
        <v>18.3</v>
      </c>
      <c r="Q12" s="1436">
        <v>0.3</v>
      </c>
      <c r="R12" s="1009">
        <v>1.5</v>
      </c>
      <c r="S12" s="1436">
        <v>7.5</v>
      </c>
      <c r="T12" s="1009"/>
      <c r="U12" s="1437"/>
      <c r="W12" s="382" t="s">
        <v>6450</v>
      </c>
      <c r="X12" s="525">
        <v>3130</v>
      </c>
      <c r="Y12" s="623">
        <f t="shared" si="0"/>
        <v>9.4908881409381731</v>
      </c>
      <c r="Z12" s="525"/>
      <c r="AA12" s="623"/>
      <c r="AB12" s="525"/>
      <c r="AC12" s="623"/>
      <c r="AD12" s="525"/>
      <c r="AF12" s="525"/>
      <c r="AJ12" s="1053" t="s">
        <v>6451</v>
      </c>
      <c r="AK12" s="525">
        <v>2184</v>
      </c>
      <c r="AL12" s="623">
        <f t="shared" si="1"/>
        <v>1.8242565987303709</v>
      </c>
      <c r="AM12" s="623"/>
      <c r="AN12" s="1053" t="s">
        <v>6452</v>
      </c>
      <c r="AO12" s="525">
        <v>801</v>
      </c>
      <c r="AP12" s="623">
        <f t="shared" si="2"/>
        <v>0.66906114266622119</v>
      </c>
    </row>
    <row r="13" spans="1:53">
      <c r="A13" s="585" t="s">
        <v>6422</v>
      </c>
      <c r="I13" s="525"/>
      <c r="J13" s="525"/>
      <c r="L13" s="615" t="s">
        <v>6426</v>
      </c>
      <c r="M13" s="1009">
        <v>-10.9</v>
      </c>
      <c r="N13" s="623">
        <v>15.1</v>
      </c>
      <c r="O13" s="1436">
        <v>-25.4</v>
      </c>
      <c r="P13" s="1436">
        <v>9.1</v>
      </c>
      <c r="Q13" s="1436">
        <v>-22</v>
      </c>
      <c r="R13" s="1009">
        <v>34.1</v>
      </c>
      <c r="S13" s="1009">
        <v>9.9</v>
      </c>
      <c r="T13" s="1009"/>
      <c r="U13" s="1437"/>
      <c r="W13" s="382" t="s">
        <v>6453</v>
      </c>
      <c r="X13" s="525">
        <v>5242</v>
      </c>
      <c r="Y13" s="623">
        <f t="shared" si="0"/>
        <v>15.894963461596772</v>
      </c>
      <c r="Z13" s="525"/>
      <c r="AA13" s="623"/>
      <c r="AB13" s="525"/>
      <c r="AC13" s="623"/>
      <c r="AD13" s="525"/>
      <c r="AF13" s="525"/>
      <c r="AJ13" s="1053" t="s">
        <v>6454</v>
      </c>
      <c r="AK13" s="525">
        <v>2111</v>
      </c>
      <c r="AL13" s="623">
        <f t="shared" si="1"/>
        <v>1.7632809889742733</v>
      </c>
      <c r="AM13" s="623"/>
      <c r="AN13" s="1053" t="s">
        <v>6455</v>
      </c>
      <c r="AO13" s="525">
        <v>764</v>
      </c>
      <c r="AP13" s="623">
        <f t="shared" si="2"/>
        <v>0.63815569662545935</v>
      </c>
      <c r="AT13" s="585" t="s">
        <v>6456</v>
      </c>
      <c r="AU13" s="585">
        <v>28</v>
      </c>
      <c r="AV13" s="382">
        <v>15</v>
      </c>
      <c r="AW13" s="382">
        <v>34</v>
      </c>
      <c r="AX13" s="585">
        <f>SUM(AX14:AX16)</f>
        <v>47</v>
      </c>
      <c r="AY13" s="382">
        <v>60</v>
      </c>
      <c r="AZ13" s="382">
        <v>154</v>
      </c>
      <c r="BA13" s="382">
        <v>151</v>
      </c>
    </row>
    <row r="14" spans="1:53">
      <c r="I14" s="525"/>
      <c r="J14" s="525"/>
      <c r="L14" s="615" t="s">
        <v>25</v>
      </c>
      <c r="M14" s="1009">
        <v>262</v>
      </c>
      <c r="N14" s="1009">
        <v>-62.4</v>
      </c>
      <c r="O14" s="1436">
        <v>-77</v>
      </c>
      <c r="P14" s="1436">
        <v>19</v>
      </c>
      <c r="Q14" s="799">
        <v>2.6</v>
      </c>
      <c r="R14" s="1009">
        <v>-0.9</v>
      </c>
      <c r="S14" s="1009">
        <v>7.3</v>
      </c>
      <c r="T14" s="1009"/>
      <c r="U14" s="1437"/>
      <c r="W14" s="382" t="s">
        <v>6457</v>
      </c>
      <c r="X14" s="525">
        <v>5569</v>
      </c>
      <c r="Y14" s="623">
        <f t="shared" si="0"/>
        <v>16.886503532551018</v>
      </c>
      <c r="Z14" s="525"/>
      <c r="AA14" s="623"/>
      <c r="AB14" s="525"/>
      <c r="AC14" s="623"/>
      <c r="AD14" s="525"/>
      <c r="AF14" s="525"/>
      <c r="AJ14" s="1053" t="s">
        <v>6458</v>
      </c>
      <c r="AK14" s="525">
        <v>2075</v>
      </c>
      <c r="AL14" s="623">
        <f t="shared" si="1"/>
        <v>1.7332108252589375</v>
      </c>
      <c r="AM14" s="623"/>
      <c r="AN14" s="1053" t="s">
        <v>6459</v>
      </c>
      <c r="AO14" s="525">
        <v>1602</v>
      </c>
      <c r="AP14" s="623">
        <f t="shared" si="2"/>
        <v>1.3381222853324424</v>
      </c>
      <c r="AT14" s="585" t="s">
        <v>6421</v>
      </c>
      <c r="AU14" s="585">
        <v>21</v>
      </c>
      <c r="AV14" s="382">
        <v>11</v>
      </c>
      <c r="AW14" s="382">
        <v>22</v>
      </c>
      <c r="AX14" s="585">
        <v>39</v>
      </c>
      <c r="AY14" s="382">
        <v>52</v>
      </c>
      <c r="AZ14" s="382">
        <v>125</v>
      </c>
      <c r="BA14" s="382">
        <v>123</v>
      </c>
    </row>
    <row r="15" spans="1:53">
      <c r="I15" s="525"/>
      <c r="J15" s="525"/>
      <c r="L15" s="524" t="s">
        <v>6460</v>
      </c>
      <c r="M15" s="623">
        <v>8.6999999999999993</v>
      </c>
      <c r="N15" s="623">
        <v>2.2000000000000002</v>
      </c>
      <c r="O15" s="1436">
        <v>-2.2999999999999998</v>
      </c>
      <c r="P15" s="1436">
        <v>9</v>
      </c>
      <c r="Q15" s="799">
        <v>2.8</v>
      </c>
      <c r="R15" s="1009">
        <v>-2.9</v>
      </c>
      <c r="S15" s="1009">
        <v>-0.4</v>
      </c>
      <c r="T15" s="1009"/>
      <c r="U15" s="1437"/>
      <c r="W15" s="382" t="s">
        <v>6461</v>
      </c>
      <c r="X15" s="525">
        <v>4040</v>
      </c>
      <c r="Y15" s="623">
        <f t="shared" si="0"/>
        <v>12.250219836865885</v>
      </c>
      <c r="Z15" s="525"/>
      <c r="AA15" s="623"/>
      <c r="AB15" s="525"/>
      <c r="AC15" s="623"/>
      <c r="AD15" s="525"/>
      <c r="AF15" s="525"/>
      <c r="AG15" s="623"/>
      <c r="AJ15" s="1053" t="s">
        <v>6462</v>
      </c>
      <c r="AK15" s="525">
        <v>1674</v>
      </c>
      <c r="AL15" s="623">
        <f t="shared" si="1"/>
        <v>1.3982626127631139</v>
      </c>
      <c r="AM15" s="623"/>
      <c r="AN15" s="1053" t="s">
        <v>6463</v>
      </c>
      <c r="AO15" s="525">
        <v>1056</v>
      </c>
      <c r="AP15" s="623">
        <f t="shared" si="2"/>
        <v>0.88205813564984969</v>
      </c>
      <c r="AT15" s="585" t="s">
        <v>6425</v>
      </c>
      <c r="AU15" s="382">
        <v>0</v>
      </c>
      <c r="AV15" s="382">
        <v>0</v>
      </c>
      <c r="AW15" s="382">
        <v>0</v>
      </c>
      <c r="AX15" s="585">
        <v>0</v>
      </c>
      <c r="AY15" s="382">
        <v>0</v>
      </c>
      <c r="AZ15" s="382">
        <v>0</v>
      </c>
      <c r="BA15" s="382">
        <v>0</v>
      </c>
    </row>
    <row r="16" spans="1:53">
      <c r="I16" s="525"/>
      <c r="J16" s="525"/>
      <c r="L16" s="615" t="s">
        <v>6426</v>
      </c>
      <c r="M16" s="623">
        <v>7.5</v>
      </c>
      <c r="N16" s="623">
        <v>2</v>
      </c>
      <c r="O16" s="1436">
        <v>-6.3</v>
      </c>
      <c r="P16" s="1436">
        <v>8.8000000000000007</v>
      </c>
      <c r="Q16" s="799">
        <v>1.7</v>
      </c>
      <c r="R16" s="1009">
        <v>-0.4</v>
      </c>
      <c r="S16" s="1009">
        <v>0.3</v>
      </c>
      <c r="T16" s="1009"/>
      <c r="U16" s="1437"/>
      <c r="W16" s="382" t="s">
        <v>6464</v>
      </c>
      <c r="X16" s="525">
        <v>3567</v>
      </c>
      <c r="Y16" s="623">
        <f t="shared" si="0"/>
        <v>10.815973801510053</v>
      </c>
      <c r="Z16" s="525"/>
      <c r="AA16" s="623"/>
      <c r="AB16" s="525"/>
      <c r="AC16" s="623"/>
      <c r="AD16" s="525"/>
      <c r="AF16" s="525"/>
      <c r="AJ16" s="1053" t="s">
        <v>6465</v>
      </c>
      <c r="AK16" s="525">
        <v>2657</v>
      </c>
      <c r="AL16" s="623">
        <f t="shared" si="1"/>
        <v>2.2193451386568657</v>
      </c>
      <c r="AM16" s="623"/>
      <c r="AN16" s="1053" t="s">
        <v>6466</v>
      </c>
      <c r="AO16" s="525">
        <v>182</v>
      </c>
      <c r="AP16" s="623">
        <f t="shared" si="2"/>
        <v>0.15202138322753092</v>
      </c>
      <c r="AT16" s="585" t="s">
        <v>6429</v>
      </c>
      <c r="AU16" s="382">
        <v>7</v>
      </c>
      <c r="AV16" s="382">
        <v>4</v>
      </c>
      <c r="AW16" s="382">
        <v>12</v>
      </c>
      <c r="AX16" s="585">
        <v>8</v>
      </c>
      <c r="AY16" s="382">
        <v>8</v>
      </c>
      <c r="AZ16" s="382">
        <v>29</v>
      </c>
      <c r="BA16" s="382">
        <v>28</v>
      </c>
    </row>
    <row r="17" spans="1:55">
      <c r="A17" s="382" t="s">
        <v>6467</v>
      </c>
      <c r="L17" s="615" t="s">
        <v>25</v>
      </c>
      <c r="M17" s="1009">
        <v>11.6</v>
      </c>
      <c r="N17" s="1009">
        <v>2.7</v>
      </c>
      <c r="O17" s="799">
        <v>9.5</v>
      </c>
      <c r="P17" s="1436">
        <v>9.6</v>
      </c>
      <c r="Q17" s="799">
        <v>6.5</v>
      </c>
      <c r="R17" s="1009">
        <v>-10.3</v>
      </c>
      <c r="S17" s="1009">
        <v>-2.2000000000000002</v>
      </c>
      <c r="T17" s="1009"/>
      <c r="U17" s="1437"/>
      <c r="W17" s="382" t="s">
        <v>6468</v>
      </c>
      <c r="X17" s="525">
        <v>3058</v>
      </c>
      <c r="Y17" s="623">
        <f t="shared" si="0"/>
        <v>9.2725673913702664</v>
      </c>
      <c r="Z17" s="525"/>
      <c r="AA17" s="623"/>
      <c r="AB17" s="525"/>
      <c r="AC17" s="623"/>
      <c r="AD17" s="525"/>
      <c r="AF17" s="525"/>
      <c r="AJ17" s="1053" t="s">
        <v>6469</v>
      </c>
      <c r="AK17" s="525">
        <v>2948</v>
      </c>
      <c r="AL17" s="623">
        <f t="shared" si="1"/>
        <v>2.4624122953558305</v>
      </c>
      <c r="AM17" s="623"/>
      <c r="AN17" s="1053" t="s">
        <v>6470</v>
      </c>
      <c r="AO17" s="525">
        <v>764</v>
      </c>
      <c r="AP17" s="623">
        <f t="shared" si="2"/>
        <v>0.63815569662545935</v>
      </c>
    </row>
    <row r="18" spans="1:55">
      <c r="A18" s="586" t="s">
        <v>4346</v>
      </c>
      <c r="B18" s="586"/>
      <c r="C18" s="586"/>
      <c r="D18" s="586"/>
      <c r="E18" s="586"/>
      <c r="F18" s="586"/>
      <c r="G18" s="586"/>
      <c r="H18" s="586"/>
      <c r="M18" s="1009"/>
      <c r="N18" s="1009"/>
      <c r="O18" s="1436"/>
      <c r="P18" s="1436"/>
      <c r="Q18" s="1436"/>
      <c r="R18" s="1009"/>
      <c r="S18" s="1009"/>
      <c r="T18" s="1009"/>
      <c r="U18" s="1437"/>
      <c r="W18" s="381" t="s">
        <v>6471</v>
      </c>
      <c r="X18" s="633">
        <v>1966</v>
      </c>
      <c r="Y18" s="634">
        <f t="shared" si="0"/>
        <v>5.9613693562570118</v>
      </c>
      <c r="Z18" s="633"/>
      <c r="AA18" s="634"/>
      <c r="AB18" s="525"/>
      <c r="AC18" s="623"/>
      <c r="AD18" s="525"/>
      <c r="AF18" s="525"/>
      <c r="AJ18" s="1053" t="s">
        <v>6472</v>
      </c>
      <c r="AK18" s="525">
        <v>1492</v>
      </c>
      <c r="AL18" s="623">
        <f t="shared" si="1"/>
        <v>1.2462412295355831</v>
      </c>
      <c r="AM18" s="623"/>
      <c r="AN18" s="1053" t="s">
        <v>6473</v>
      </c>
      <c r="AO18" s="525">
        <v>728</v>
      </c>
      <c r="AP18" s="623">
        <f t="shared" si="2"/>
        <v>0.60808553291012368</v>
      </c>
      <c r="AT18" s="585" t="s">
        <v>6474</v>
      </c>
      <c r="AU18" s="623">
        <f>AU13/AU3*100</f>
        <v>100</v>
      </c>
      <c r="AV18" s="623">
        <f>AV13/AV3*100</f>
        <v>88.235294117647058</v>
      </c>
      <c r="AW18" s="623">
        <v>94.4</v>
      </c>
      <c r="AX18" s="623">
        <f t="shared" ref="AX18:BA19" si="3">AX13/AX3*100</f>
        <v>88.679245283018872</v>
      </c>
      <c r="AY18" s="623">
        <f t="shared" si="3"/>
        <v>89.552238805970148</v>
      </c>
      <c r="AZ18" s="623">
        <f t="shared" si="3"/>
        <v>96.25</v>
      </c>
      <c r="BA18" s="623">
        <f t="shared" si="3"/>
        <v>98.05194805194806</v>
      </c>
    </row>
    <row r="19" spans="1:55">
      <c r="A19" s="588" t="s">
        <v>1810</v>
      </c>
      <c r="B19" s="938">
        <v>2022</v>
      </c>
      <c r="C19" s="938">
        <v>2021</v>
      </c>
      <c r="D19" s="642">
        <v>2020</v>
      </c>
      <c r="E19" s="642">
        <v>2019</v>
      </c>
      <c r="F19" s="642">
        <v>2018</v>
      </c>
      <c r="G19" s="938">
        <v>2017</v>
      </c>
      <c r="H19" s="939">
        <v>2016</v>
      </c>
      <c r="L19" s="624" t="s">
        <v>6475</v>
      </c>
      <c r="M19" s="1009"/>
      <c r="N19" s="1009"/>
      <c r="O19" s="1436"/>
      <c r="P19" s="1436"/>
      <c r="Q19" s="1436"/>
      <c r="R19" s="1009"/>
      <c r="S19" s="1009"/>
      <c r="T19" s="1009"/>
      <c r="U19" s="1437"/>
      <c r="AJ19" s="1053" t="s">
        <v>6476</v>
      </c>
      <c r="AK19" s="525">
        <v>2803</v>
      </c>
      <c r="AL19" s="623">
        <f t="shared" si="1"/>
        <v>2.3412963581690609</v>
      </c>
      <c r="AM19" s="623"/>
      <c r="AN19" s="1053" t="s">
        <v>6477</v>
      </c>
      <c r="AO19" s="525">
        <v>2293</v>
      </c>
      <c r="AP19" s="623">
        <f t="shared" si="2"/>
        <v>1.9153023722018041</v>
      </c>
      <c r="AT19" s="585" t="s">
        <v>6421</v>
      </c>
      <c r="AU19" s="623">
        <f>AU14/AU4*100</f>
        <v>100</v>
      </c>
      <c r="AV19" s="623">
        <f>AV14/AV4*100</f>
        <v>100</v>
      </c>
      <c r="AW19" s="623">
        <v>100</v>
      </c>
      <c r="AX19" s="623">
        <f t="shared" si="3"/>
        <v>88.63636363636364</v>
      </c>
      <c r="AY19" s="623">
        <f t="shared" si="3"/>
        <v>89.65517241379311</v>
      </c>
      <c r="AZ19" s="623">
        <f t="shared" si="3"/>
        <v>97.65625</v>
      </c>
      <c r="BA19" s="623">
        <f t="shared" si="3"/>
        <v>98.4</v>
      </c>
    </row>
    <row r="20" spans="1:55">
      <c r="A20" s="524" t="s">
        <v>6418</v>
      </c>
      <c r="B20" s="525">
        <v>6910</v>
      </c>
      <c r="C20" s="525">
        <v>6234</v>
      </c>
      <c r="D20" s="463">
        <v>5916</v>
      </c>
      <c r="E20" s="463">
        <v>6355</v>
      </c>
      <c r="F20" s="463">
        <v>6051</v>
      </c>
      <c r="G20" s="525">
        <v>6013</v>
      </c>
      <c r="H20" s="525">
        <v>5901</v>
      </c>
      <c r="L20" s="524" t="s">
        <v>6478</v>
      </c>
      <c r="M20" s="1009">
        <v>1.4</v>
      </c>
      <c r="N20" s="1009">
        <v>4.0999999999999996</v>
      </c>
      <c r="O20" s="799">
        <v>9.3000000000000007</v>
      </c>
      <c r="P20" s="1436">
        <v>3.7</v>
      </c>
      <c r="Q20" s="1436">
        <v>0.2</v>
      </c>
      <c r="R20" s="1009">
        <v>-1.7</v>
      </c>
      <c r="S20" s="1009">
        <v>-2.4</v>
      </c>
      <c r="T20" s="1009"/>
      <c r="U20" s="1437"/>
      <c r="X20" s="1442">
        <v>2019</v>
      </c>
      <c r="Z20" s="1442"/>
      <c r="AB20" s="1443"/>
      <c r="AC20" s="525"/>
      <c r="AD20" s="1443"/>
      <c r="AF20" s="1443"/>
      <c r="AJ20" s="1053" t="s">
        <v>6479</v>
      </c>
      <c r="AK20" s="525">
        <v>2512</v>
      </c>
      <c r="AL20" s="623">
        <f t="shared" si="1"/>
        <v>2.0982292014700969</v>
      </c>
      <c r="AM20" s="623"/>
      <c r="AN20" s="1053" t="s">
        <v>6480</v>
      </c>
      <c r="AO20" s="525">
        <v>364</v>
      </c>
      <c r="AP20" s="623">
        <f t="shared" si="2"/>
        <v>0.30404276645506184</v>
      </c>
      <c r="AT20" s="585" t="s">
        <v>6425</v>
      </c>
      <c r="AU20" s="623">
        <v>0</v>
      </c>
      <c r="AV20" s="623">
        <v>0</v>
      </c>
      <c r="AW20" s="623">
        <v>0</v>
      </c>
      <c r="AX20" s="623">
        <f>AX15/AX5*100</f>
        <v>0</v>
      </c>
      <c r="AY20" s="623">
        <v>0</v>
      </c>
      <c r="AZ20" s="623">
        <f>AZ15/AZ5*100</f>
        <v>0</v>
      </c>
      <c r="BA20" s="623">
        <v>0</v>
      </c>
      <c r="BB20" s="1444"/>
      <c r="BC20" s="1444"/>
    </row>
    <row r="21" spans="1:55">
      <c r="D21" s="382"/>
      <c r="E21" s="382"/>
      <c r="F21" s="382"/>
      <c r="L21" s="524" t="s">
        <v>4579</v>
      </c>
      <c r="M21" s="1009">
        <v>4.5999999999999996</v>
      </c>
      <c r="N21" s="1009">
        <v>2.9</v>
      </c>
      <c r="O21" s="799">
        <v>7.5</v>
      </c>
      <c r="P21" s="1436">
        <v>7.2</v>
      </c>
      <c r="Q21" s="1436">
        <v>1.2</v>
      </c>
      <c r="R21" s="1009">
        <v>-6.9</v>
      </c>
      <c r="S21" s="1009">
        <v>-1.9</v>
      </c>
      <c r="T21" s="1009"/>
      <c r="U21" s="1437"/>
      <c r="AC21" s="525"/>
      <c r="AJ21" s="1053" t="s">
        <v>6481</v>
      </c>
      <c r="AK21" s="525">
        <v>2366</v>
      </c>
      <c r="AL21" s="623">
        <f t="shared" si="1"/>
        <v>1.9762779819579017</v>
      </c>
      <c r="AM21" s="623"/>
      <c r="AN21" s="1053" t="s">
        <v>6482</v>
      </c>
      <c r="AO21" s="525">
        <v>910</v>
      </c>
      <c r="AP21" s="623">
        <f t="shared" si="2"/>
        <v>0.76010691613765446</v>
      </c>
      <c r="AT21" s="586" t="s">
        <v>6429</v>
      </c>
      <c r="AU21" s="634">
        <f>AU16/AU6*100</f>
        <v>100</v>
      </c>
      <c r="AV21" s="634">
        <f>AV16/AV6*100</f>
        <v>80</v>
      </c>
      <c r="AW21" s="634">
        <v>92.3</v>
      </c>
      <c r="AX21" s="634">
        <f>AX16/AX6*100</f>
        <v>100</v>
      </c>
      <c r="AY21" s="634">
        <f>AY16/AY6*100</f>
        <v>88.888888888888886</v>
      </c>
      <c r="AZ21" s="634">
        <f>AZ16/AZ6*100</f>
        <v>93.548387096774192</v>
      </c>
      <c r="BA21" s="634">
        <f>BA16/BA6*100</f>
        <v>96.551724137931032</v>
      </c>
      <c r="BB21" s="1444"/>
      <c r="BC21" s="1444"/>
    </row>
    <row r="22" spans="1:55">
      <c r="A22" s="585" t="s">
        <v>6423</v>
      </c>
      <c r="B22" s="525">
        <v>4140</v>
      </c>
      <c r="C22" s="525">
        <v>3828</v>
      </c>
      <c r="D22" s="463">
        <v>3567</v>
      </c>
      <c r="E22" s="463">
        <v>3636</v>
      </c>
      <c r="F22" s="463">
        <v>3604</v>
      </c>
      <c r="G22" s="525">
        <v>3549</v>
      </c>
      <c r="H22" s="525">
        <v>3384</v>
      </c>
      <c r="L22" s="655" t="s">
        <v>6483</v>
      </c>
      <c r="M22" s="1013">
        <v>-3.4</v>
      </c>
      <c r="N22" s="1013">
        <v>6</v>
      </c>
      <c r="O22" s="805">
        <v>12.2</v>
      </c>
      <c r="P22" s="1445">
        <v>-1.5</v>
      </c>
      <c r="Q22" s="1445">
        <v>-1.4</v>
      </c>
      <c r="R22" s="1013">
        <v>7</v>
      </c>
      <c r="S22" s="1013">
        <v>-3.2</v>
      </c>
      <c r="T22" s="1009"/>
      <c r="U22" s="1437"/>
      <c r="W22" s="585" t="s">
        <v>6484</v>
      </c>
      <c r="X22" s="1004">
        <v>62230</v>
      </c>
      <c r="Y22" s="1004"/>
      <c r="Z22" s="1004"/>
      <c r="AA22" s="1004"/>
      <c r="AB22" s="1004"/>
      <c r="AC22" s="1004"/>
      <c r="AD22" s="1004"/>
      <c r="AE22" s="1004"/>
      <c r="AF22" s="1004"/>
      <c r="AJ22" s="1053" t="s">
        <v>6485</v>
      </c>
      <c r="AK22" s="525">
        <v>3895</v>
      </c>
      <c r="AL22" s="623">
        <f t="shared" si="1"/>
        <v>3.2534246575342465</v>
      </c>
      <c r="AM22" s="623"/>
      <c r="AN22" s="1053" t="s">
        <v>6486</v>
      </c>
      <c r="AO22" s="525">
        <v>255</v>
      </c>
      <c r="AP22" s="623">
        <f t="shared" si="2"/>
        <v>0.21299699298362845</v>
      </c>
      <c r="AT22" s="585" t="s">
        <v>6487</v>
      </c>
      <c r="BB22" s="1444"/>
      <c r="BC22" s="1444"/>
    </row>
    <row r="23" spans="1:55">
      <c r="A23" s="451" t="s">
        <v>6426</v>
      </c>
      <c r="B23" s="525">
        <v>2003</v>
      </c>
      <c r="C23" s="525">
        <v>1684</v>
      </c>
      <c r="D23" s="463">
        <v>1554</v>
      </c>
      <c r="E23" s="463">
        <v>1893</v>
      </c>
      <c r="F23" s="463">
        <v>1799</v>
      </c>
      <c r="G23" s="525">
        <v>1759</v>
      </c>
      <c r="H23" s="525">
        <v>1693</v>
      </c>
      <c r="L23" s="585" t="s">
        <v>6422</v>
      </c>
      <c r="Z23" s="525"/>
      <c r="AB23" s="525"/>
      <c r="AC23" s="525"/>
      <c r="AD23" s="525"/>
      <c r="AE23" s="525"/>
      <c r="AF23" s="525"/>
      <c r="AJ23" s="1053" t="s">
        <v>6488</v>
      </c>
      <c r="AK23" s="525">
        <v>2839</v>
      </c>
      <c r="AL23" s="623">
        <f t="shared" si="1"/>
        <v>2.3713665218843971</v>
      </c>
      <c r="AM23" s="623"/>
      <c r="AN23" s="1053" t="s">
        <v>6489</v>
      </c>
      <c r="AO23" s="525">
        <v>546</v>
      </c>
      <c r="AP23" s="623">
        <f t="shared" si="2"/>
        <v>0.45606414968259273</v>
      </c>
      <c r="AT23" s="585" t="s">
        <v>6490</v>
      </c>
      <c r="BB23" s="1444"/>
      <c r="BC23" s="1444"/>
    </row>
    <row r="24" spans="1:55">
      <c r="A24" s="451" t="s">
        <v>25</v>
      </c>
      <c r="B24" s="525">
        <v>2599</v>
      </c>
      <c r="C24" s="525">
        <v>2250</v>
      </c>
      <c r="D24" s="463">
        <v>2276</v>
      </c>
      <c r="E24" s="463">
        <v>3059</v>
      </c>
      <c r="F24" s="463">
        <v>2880</v>
      </c>
      <c r="G24" s="525">
        <v>2821</v>
      </c>
      <c r="H24" s="525">
        <v>2726</v>
      </c>
      <c r="I24" s="525"/>
      <c r="J24" s="525"/>
      <c r="L24" s="624" t="s">
        <v>6491</v>
      </c>
      <c r="M24" s="624"/>
      <c r="N24" s="624"/>
      <c r="O24" s="624"/>
      <c r="W24" s="585" t="s">
        <v>6492</v>
      </c>
      <c r="X24" s="1004">
        <v>74309</v>
      </c>
      <c r="Y24" s="1004"/>
      <c r="Z24" s="1004"/>
      <c r="AA24" s="1004"/>
      <c r="AB24" s="1004"/>
      <c r="AC24" s="1004"/>
      <c r="AD24" s="1004"/>
      <c r="AE24" s="1004"/>
      <c r="AF24" s="1004"/>
      <c r="AJ24" s="1053" t="s">
        <v>6493</v>
      </c>
      <c r="AK24" s="525">
        <v>1820</v>
      </c>
      <c r="AL24" s="623">
        <f t="shared" si="1"/>
        <v>1.5202138322753089</v>
      </c>
      <c r="AM24" s="623"/>
      <c r="AN24" s="1053" t="s">
        <v>6494</v>
      </c>
      <c r="AO24" s="525">
        <v>1092</v>
      </c>
      <c r="AP24" s="623">
        <f t="shared" si="2"/>
        <v>0.91212829936518547</v>
      </c>
      <c r="AT24" s="585" t="s">
        <v>6495</v>
      </c>
    </row>
    <row r="25" spans="1:55">
      <c r="A25" s="451" t="s">
        <v>6496</v>
      </c>
      <c r="B25" s="1446">
        <v>-463</v>
      </c>
      <c r="C25" s="1446">
        <v>-106</v>
      </c>
      <c r="D25" s="1447">
        <v>-263</v>
      </c>
      <c r="E25" s="1448">
        <v>-1316</v>
      </c>
      <c r="F25" s="1447">
        <v>-1075</v>
      </c>
      <c r="G25" s="1449">
        <v>-1031</v>
      </c>
      <c r="H25" s="1449">
        <v>-1035</v>
      </c>
      <c r="I25" s="525"/>
      <c r="J25" s="525"/>
      <c r="AJ25" s="1053" t="s">
        <v>6497</v>
      </c>
      <c r="AK25" s="525">
        <v>1929</v>
      </c>
      <c r="AL25" s="623">
        <f t="shared" si="1"/>
        <v>1.6112596057467423</v>
      </c>
      <c r="AM25" s="623"/>
      <c r="AN25" s="1053" t="s">
        <v>6498</v>
      </c>
      <c r="AO25" s="525">
        <v>218</v>
      </c>
      <c r="AP25" s="623">
        <f t="shared" si="2"/>
        <v>0.18209154694286669</v>
      </c>
      <c r="AT25" s="585" t="s">
        <v>6499</v>
      </c>
    </row>
    <row r="26" spans="1:55">
      <c r="D26" s="382"/>
      <c r="E26" s="463"/>
      <c r="F26" s="382"/>
      <c r="I26" s="525"/>
      <c r="J26" s="525"/>
      <c r="W26" s="586" t="s">
        <v>6500</v>
      </c>
      <c r="X26" s="586">
        <v>3.4</v>
      </c>
      <c r="Y26" s="586"/>
      <c r="Z26" s="586"/>
      <c r="AA26" s="586"/>
      <c r="AJ26" s="1053" t="s">
        <v>6501</v>
      </c>
      <c r="AK26" s="525">
        <v>1638</v>
      </c>
      <c r="AL26" s="623">
        <f t="shared" si="1"/>
        <v>1.3681924490477781</v>
      </c>
      <c r="AM26" s="623"/>
      <c r="AN26" s="1053" t="s">
        <v>6502</v>
      </c>
      <c r="AO26" s="525">
        <v>255</v>
      </c>
      <c r="AP26" s="623">
        <f t="shared" si="2"/>
        <v>0.21299699298362845</v>
      </c>
      <c r="AT26" s="585" t="s">
        <v>6503</v>
      </c>
    </row>
    <row r="27" spans="1:55">
      <c r="A27" s="585" t="s">
        <v>6438</v>
      </c>
      <c r="B27" s="525">
        <v>2013</v>
      </c>
      <c r="C27" s="525">
        <v>1589</v>
      </c>
      <c r="D27" s="463">
        <v>1437</v>
      </c>
      <c r="E27" s="463">
        <v>1340</v>
      </c>
      <c r="F27" s="463">
        <v>1216</v>
      </c>
      <c r="G27" s="525">
        <v>1141</v>
      </c>
      <c r="H27" s="525">
        <v>1205</v>
      </c>
      <c r="I27" s="525"/>
      <c r="J27" s="525"/>
      <c r="W27" s="382" t="s">
        <v>6504</v>
      </c>
      <c r="AJ27" s="1053" t="s">
        <v>6505</v>
      </c>
      <c r="AK27" s="525">
        <v>2330</v>
      </c>
      <c r="AL27" s="623">
        <f t="shared" si="1"/>
        <v>1.9462078182425659</v>
      </c>
      <c r="AM27" s="623"/>
      <c r="AN27" s="1053" t="s">
        <v>6506</v>
      </c>
      <c r="AO27" s="525">
        <v>582</v>
      </c>
      <c r="AP27" s="623">
        <f t="shared" si="2"/>
        <v>0.48613431339792851</v>
      </c>
    </row>
    <row r="28" spans="1:55">
      <c r="D28" s="382"/>
      <c r="E28" s="463"/>
      <c r="F28" s="382"/>
      <c r="I28" s="525"/>
      <c r="J28" s="525"/>
      <c r="L28" s="382" t="s">
        <v>6507</v>
      </c>
      <c r="M28" s="381"/>
      <c r="N28" s="382"/>
      <c r="AJ28" s="1053" t="s">
        <v>6508</v>
      </c>
      <c r="AK28" s="525">
        <v>1602</v>
      </c>
      <c r="AL28" s="623">
        <f t="shared" si="1"/>
        <v>1.3381222853324424</v>
      </c>
      <c r="AM28" s="623"/>
      <c r="AN28" s="1053" t="s">
        <v>6509</v>
      </c>
      <c r="AO28" s="525">
        <v>328</v>
      </c>
      <c r="AP28" s="623">
        <f t="shared" si="2"/>
        <v>0.27397260273972601</v>
      </c>
    </row>
    <row r="29" spans="1:55">
      <c r="A29" s="585" t="s">
        <v>6445</v>
      </c>
      <c r="B29" s="1446">
        <v>-3876</v>
      </c>
      <c r="C29" s="1446">
        <v>-3469</v>
      </c>
      <c r="D29" s="1447">
        <v>-3009</v>
      </c>
      <c r="E29" s="1448">
        <v>-2132</v>
      </c>
      <c r="F29" s="1447">
        <v>-2085</v>
      </c>
      <c r="G29" s="1449">
        <v>-1883</v>
      </c>
      <c r="H29" s="1449">
        <v>-1917</v>
      </c>
      <c r="I29" s="1007"/>
      <c r="J29" s="1007"/>
      <c r="L29" s="588" t="s">
        <v>1810</v>
      </c>
      <c r="M29" s="938">
        <v>2022</v>
      </c>
      <c r="N29" s="938">
        <v>2021</v>
      </c>
      <c r="O29" s="642">
        <v>2020</v>
      </c>
      <c r="P29" s="642">
        <v>2019</v>
      </c>
      <c r="Q29" s="664">
        <v>2018</v>
      </c>
      <c r="R29" s="938">
        <v>2017</v>
      </c>
      <c r="S29" s="939">
        <v>2016</v>
      </c>
      <c r="AJ29" s="1053" t="s">
        <v>6510</v>
      </c>
      <c r="AK29" s="525">
        <v>1674</v>
      </c>
      <c r="AL29" s="623">
        <f t="shared" si="1"/>
        <v>1.3982626127631139</v>
      </c>
      <c r="AM29" s="623"/>
      <c r="AN29" s="1053" t="s">
        <v>6511</v>
      </c>
      <c r="AO29" s="525">
        <v>2584</v>
      </c>
      <c r="AP29" s="623">
        <f t="shared" si="2"/>
        <v>2.1583695289007685</v>
      </c>
    </row>
    <row r="30" spans="1:55">
      <c r="A30" s="524" t="s">
        <v>6449</v>
      </c>
      <c r="B30" s="525">
        <v>545</v>
      </c>
      <c r="C30" s="525">
        <v>193</v>
      </c>
      <c r="D30" s="463">
        <v>379</v>
      </c>
      <c r="E30" s="463">
        <v>1414</v>
      </c>
      <c r="F30" s="463">
        <v>1165</v>
      </c>
      <c r="G30" s="525">
        <v>1141</v>
      </c>
      <c r="H30" s="525">
        <v>1119</v>
      </c>
      <c r="I30" s="525"/>
      <c r="J30" s="525"/>
      <c r="L30" s="585" t="s">
        <v>6512</v>
      </c>
      <c r="O30" s="382"/>
      <c r="P30" s="382"/>
      <c r="Q30" s="382"/>
      <c r="AJ30" s="1053" t="s">
        <v>6513</v>
      </c>
      <c r="AK30" s="525">
        <v>1383</v>
      </c>
      <c r="AL30" s="623">
        <f t="shared" si="1"/>
        <v>1.1551954560641498</v>
      </c>
      <c r="AM30" s="623"/>
      <c r="AN30" s="1053" t="s">
        <v>6514</v>
      </c>
      <c r="AO30" s="525">
        <v>2475</v>
      </c>
      <c r="AP30" s="623">
        <f t="shared" si="2"/>
        <v>2.0673237554293351</v>
      </c>
    </row>
    <row r="31" spans="1:55">
      <c r="A31" s="615" t="s">
        <v>6426</v>
      </c>
      <c r="B31" s="585">
        <v>76</v>
      </c>
      <c r="C31" s="585">
        <v>81</v>
      </c>
      <c r="D31" s="382">
        <v>68</v>
      </c>
      <c r="E31" s="463">
        <v>92</v>
      </c>
      <c r="F31" s="463">
        <v>83</v>
      </c>
      <c r="G31" s="525">
        <v>105</v>
      </c>
      <c r="H31" s="525">
        <v>78</v>
      </c>
      <c r="I31" s="525"/>
      <c r="J31" s="525"/>
      <c r="L31" s="524" t="s">
        <v>6418</v>
      </c>
      <c r="M31" s="623">
        <v>5.0999999999999996</v>
      </c>
      <c r="N31" s="623">
        <v>2.1</v>
      </c>
      <c r="O31" s="1436">
        <v>-10.5</v>
      </c>
      <c r="P31" s="1436">
        <v>2.5</v>
      </c>
      <c r="Q31" s="1436">
        <v>-0.8</v>
      </c>
      <c r="R31" s="1009">
        <v>0.9</v>
      </c>
      <c r="S31" s="1009">
        <v>0.2</v>
      </c>
      <c r="T31" s="1009"/>
      <c r="U31" s="1009"/>
      <c r="AJ31" s="1053" t="s">
        <v>6515</v>
      </c>
      <c r="AK31" s="525">
        <v>2075</v>
      </c>
      <c r="AL31" s="623">
        <f t="shared" si="1"/>
        <v>1.7332108252589375</v>
      </c>
      <c r="AM31" s="623"/>
      <c r="AN31" s="1053" t="s">
        <v>6516</v>
      </c>
      <c r="AO31" s="525">
        <v>1019</v>
      </c>
      <c r="AP31" s="623">
        <f t="shared" si="2"/>
        <v>0.85115268960908785</v>
      </c>
      <c r="AT31" s="382" t="s">
        <v>6517</v>
      </c>
      <c r="AU31" s="382"/>
    </row>
    <row r="32" spans="1:55">
      <c r="A32" s="615" t="s">
        <v>25</v>
      </c>
      <c r="B32" s="585">
        <v>470</v>
      </c>
      <c r="C32" s="585">
        <v>112</v>
      </c>
      <c r="D32" s="382">
        <v>311</v>
      </c>
      <c r="E32" s="463">
        <v>1322</v>
      </c>
      <c r="F32" s="463">
        <v>1082</v>
      </c>
      <c r="G32" s="525">
        <v>1036</v>
      </c>
      <c r="H32" s="525">
        <v>1040</v>
      </c>
      <c r="I32" s="525"/>
      <c r="J32" s="525"/>
      <c r="O32" s="382"/>
      <c r="P32" s="382"/>
      <c r="Q32" s="382"/>
      <c r="S32" s="1009"/>
      <c r="T32" s="1009"/>
      <c r="U32" s="1009"/>
      <c r="W32" s="381" t="s">
        <v>6518</v>
      </c>
      <c r="X32" s="586"/>
      <c r="Y32" s="586"/>
      <c r="Z32" s="586"/>
      <c r="AA32" s="586"/>
      <c r="AB32" s="586"/>
      <c r="AC32" s="586"/>
      <c r="AD32" s="586"/>
      <c r="AE32" s="586"/>
      <c r="AF32" s="586"/>
      <c r="AG32" s="586"/>
      <c r="AJ32" s="1053" t="s">
        <v>6519</v>
      </c>
      <c r="AK32" s="525">
        <v>1929</v>
      </c>
      <c r="AL32" s="623">
        <f t="shared" si="1"/>
        <v>1.6112596057467423</v>
      </c>
      <c r="AM32" s="623"/>
      <c r="AN32" s="1053" t="s">
        <v>6520</v>
      </c>
      <c r="AO32" s="525">
        <v>1092</v>
      </c>
      <c r="AP32" s="623">
        <f t="shared" si="2"/>
        <v>0.91212829936518547</v>
      </c>
      <c r="AT32" s="998" t="s">
        <v>6416</v>
      </c>
      <c r="AU32" s="588">
        <v>2017</v>
      </c>
      <c r="AV32" s="938">
        <v>2016</v>
      </c>
      <c r="AW32" s="939">
        <v>2015</v>
      </c>
      <c r="AX32" s="939">
        <v>2014</v>
      </c>
      <c r="AY32" s="939">
        <v>2013</v>
      </c>
      <c r="AZ32" s="939">
        <v>2012</v>
      </c>
      <c r="BA32" s="939">
        <v>2011</v>
      </c>
    </row>
    <row r="33" spans="1:53">
      <c r="A33" s="524" t="s">
        <v>6460</v>
      </c>
      <c r="B33" s="525">
        <v>4421</v>
      </c>
      <c r="C33" s="525">
        <v>3662</v>
      </c>
      <c r="D33" s="463">
        <v>3388</v>
      </c>
      <c r="E33" s="463">
        <v>3547</v>
      </c>
      <c r="F33" s="463">
        <v>3250</v>
      </c>
      <c r="G33" s="525">
        <v>3024</v>
      </c>
      <c r="H33" s="525">
        <v>3036</v>
      </c>
      <c r="I33" s="1007"/>
      <c r="J33" s="1007"/>
      <c r="L33" s="585" t="s">
        <v>6521</v>
      </c>
      <c r="O33" s="382"/>
      <c r="P33" s="382"/>
      <c r="Q33" s="382"/>
      <c r="S33" s="1009"/>
      <c r="T33" s="1009"/>
      <c r="U33" s="1009"/>
      <c r="W33" s="585" t="s">
        <v>6415</v>
      </c>
      <c r="X33" s="604"/>
      <c r="Y33" s="604"/>
      <c r="Z33" s="602"/>
      <c r="AA33" s="603"/>
      <c r="AB33" s="604"/>
      <c r="AC33" s="604"/>
      <c r="AD33" s="604"/>
      <c r="AE33" s="604"/>
      <c r="AF33" s="604"/>
      <c r="AG33" s="602"/>
      <c r="AJ33" s="1053" t="s">
        <v>6522</v>
      </c>
      <c r="AK33" s="525">
        <v>1565</v>
      </c>
      <c r="AL33" s="623">
        <f t="shared" si="1"/>
        <v>1.3072168392916805</v>
      </c>
      <c r="AM33" s="623"/>
      <c r="AN33" s="1053" t="s">
        <v>6523</v>
      </c>
      <c r="AO33" s="525">
        <v>655</v>
      </c>
      <c r="AP33" s="623">
        <f t="shared" si="2"/>
        <v>0.54710992315402607</v>
      </c>
      <c r="AT33" s="585" t="s">
        <v>6419</v>
      </c>
      <c r="AU33" s="382">
        <v>127</v>
      </c>
      <c r="AV33" s="585">
        <v>164</v>
      </c>
      <c r="AW33" s="585">
        <f>SUM(AW34:AW36)</f>
        <v>138</v>
      </c>
      <c r="AX33" s="585">
        <f>SUM(AX34:AX36)</f>
        <v>131</v>
      </c>
      <c r="AY33" s="585">
        <f>SUM(AY34:AY36)</f>
        <v>155</v>
      </c>
      <c r="AZ33" s="585">
        <f>SUM(AZ34:AZ36)</f>
        <v>171</v>
      </c>
      <c r="BA33" s="585">
        <f>SUM(BA34:BA36)</f>
        <v>141</v>
      </c>
    </row>
    <row r="34" spans="1:53" ht="12.75" customHeight="1">
      <c r="A34" s="615" t="s">
        <v>6426</v>
      </c>
      <c r="B34" s="525">
        <v>3105</v>
      </c>
      <c r="C34" s="525">
        <v>2613</v>
      </c>
      <c r="D34" s="463">
        <v>2408</v>
      </c>
      <c r="E34" s="463">
        <v>2666</v>
      </c>
      <c r="F34" s="463">
        <v>2471</v>
      </c>
      <c r="G34" s="525">
        <v>2316</v>
      </c>
      <c r="H34" s="525">
        <v>2272</v>
      </c>
      <c r="I34" s="525"/>
      <c r="J34" s="525"/>
      <c r="L34" s="585" t="s">
        <v>6423</v>
      </c>
      <c r="M34" s="886">
        <v>0.75</v>
      </c>
      <c r="N34" s="886">
        <v>1.9</v>
      </c>
      <c r="O34" s="1450">
        <v>-1.92</v>
      </c>
      <c r="P34" s="918">
        <v>0.05</v>
      </c>
      <c r="Q34" s="1450">
        <v>-0.39</v>
      </c>
      <c r="R34" s="1451">
        <v>1.54</v>
      </c>
      <c r="S34" s="886">
        <v>0.86</v>
      </c>
      <c r="T34" s="1451"/>
      <c r="U34" s="525"/>
      <c r="W34" s="586" t="s">
        <v>3342</v>
      </c>
      <c r="X34" s="1074">
        <v>2010</v>
      </c>
      <c r="Y34" s="614" t="s">
        <v>1666</v>
      </c>
      <c r="Z34" s="885">
        <v>2008</v>
      </c>
      <c r="AA34" s="614" t="s">
        <v>1666</v>
      </c>
      <c r="AB34" s="614">
        <v>2005</v>
      </c>
      <c r="AC34" s="614" t="s">
        <v>1666</v>
      </c>
      <c r="AD34" s="614">
        <v>2003</v>
      </c>
      <c r="AE34" s="614" t="s">
        <v>1666</v>
      </c>
      <c r="AF34" s="614">
        <v>2001</v>
      </c>
      <c r="AG34" s="611" t="s">
        <v>1666</v>
      </c>
      <c r="AJ34" s="1452" t="s">
        <v>6524</v>
      </c>
      <c r="AK34" s="633">
        <v>1347</v>
      </c>
      <c r="AL34" s="634">
        <f t="shared" si="1"/>
        <v>1.1251252923488138</v>
      </c>
      <c r="AM34" s="634"/>
      <c r="AN34" s="1452" t="s">
        <v>6525</v>
      </c>
      <c r="AO34" s="633">
        <v>1492</v>
      </c>
      <c r="AP34" s="634">
        <f t="shared" si="2"/>
        <v>1.2462412295355831</v>
      </c>
      <c r="AT34" s="585" t="s">
        <v>6421</v>
      </c>
      <c r="AU34" s="382">
        <v>97</v>
      </c>
      <c r="AV34" s="585">
        <v>129</v>
      </c>
      <c r="AW34" s="585">
        <f t="shared" ref="AW34:BA36" si="4">AW39+AW44</f>
        <v>112</v>
      </c>
      <c r="AX34" s="585">
        <f t="shared" si="4"/>
        <v>103</v>
      </c>
      <c r="AY34" s="585">
        <f t="shared" si="4"/>
        <v>120</v>
      </c>
      <c r="AZ34" s="585">
        <f t="shared" si="4"/>
        <v>140</v>
      </c>
      <c r="BA34" s="585">
        <f t="shared" si="4"/>
        <v>108</v>
      </c>
    </row>
    <row r="35" spans="1:53">
      <c r="A35" s="615" t="s">
        <v>25</v>
      </c>
      <c r="B35" s="463">
        <v>1316</v>
      </c>
      <c r="C35" s="463">
        <v>1050</v>
      </c>
      <c r="D35" s="463">
        <v>980</v>
      </c>
      <c r="E35" s="463">
        <v>881</v>
      </c>
      <c r="F35" s="463">
        <v>779</v>
      </c>
      <c r="G35" s="525">
        <v>709</v>
      </c>
      <c r="H35" s="525">
        <v>764</v>
      </c>
      <c r="I35" s="525"/>
      <c r="J35" s="525"/>
      <c r="L35" s="451" t="s">
        <v>6426</v>
      </c>
      <c r="M35" s="886">
        <v>2.88</v>
      </c>
      <c r="N35" s="886">
        <v>0.78</v>
      </c>
      <c r="O35" s="1450">
        <v>-5.7</v>
      </c>
      <c r="P35" s="918">
        <v>1.57</v>
      </c>
      <c r="Q35" s="918">
        <v>0.08</v>
      </c>
      <c r="R35" s="1451">
        <v>0.56000000000000005</v>
      </c>
      <c r="S35" s="886">
        <v>0.73</v>
      </c>
      <c r="T35" s="1451"/>
      <c r="U35" s="525"/>
      <c r="W35" s="585" t="s">
        <v>129</v>
      </c>
      <c r="X35" s="525">
        <v>44664</v>
      </c>
      <c r="Y35" s="623">
        <v>100</v>
      </c>
      <c r="Z35" s="525">
        <v>46246</v>
      </c>
      <c r="AA35" s="623">
        <v>100</v>
      </c>
      <c r="AB35" s="525">
        <v>40298</v>
      </c>
      <c r="AC35" s="623">
        <v>100</v>
      </c>
      <c r="AD35" s="525">
        <v>39008</v>
      </c>
      <c r="AE35" s="623">
        <v>100</v>
      </c>
      <c r="AF35" s="525">
        <v>39107</v>
      </c>
      <c r="AG35" s="623">
        <v>100</v>
      </c>
      <c r="AT35" s="585" t="s">
        <v>6425</v>
      </c>
      <c r="AU35" s="382">
        <v>0</v>
      </c>
      <c r="AV35" s="382">
        <v>2</v>
      </c>
      <c r="AW35" s="585">
        <f t="shared" si="4"/>
        <v>0</v>
      </c>
      <c r="AX35" s="585">
        <f t="shared" si="4"/>
        <v>0</v>
      </c>
      <c r="AY35" s="585">
        <f t="shared" si="4"/>
        <v>1</v>
      </c>
      <c r="AZ35" s="585">
        <f t="shared" si="4"/>
        <v>2</v>
      </c>
      <c r="BA35" s="585">
        <f t="shared" si="4"/>
        <v>0</v>
      </c>
    </row>
    <row r="36" spans="1:53">
      <c r="D36" s="382"/>
      <c r="E36" s="463"/>
      <c r="F36" s="382"/>
      <c r="I36" s="525"/>
      <c r="J36" s="525"/>
      <c r="L36" s="451" t="s">
        <v>25</v>
      </c>
      <c r="M36" s="1451">
        <v>2.8</v>
      </c>
      <c r="N36" s="1451">
        <v>-1.35</v>
      </c>
      <c r="O36" s="1450">
        <v>-12.73</v>
      </c>
      <c r="P36" s="918">
        <v>1.88</v>
      </c>
      <c r="Q36" s="1450">
        <v>-0.05</v>
      </c>
      <c r="R36" s="1451">
        <v>0.82</v>
      </c>
      <c r="S36" s="886">
        <v>1.35</v>
      </c>
      <c r="T36" s="1451"/>
      <c r="U36" s="525"/>
      <c r="W36" s="585" t="s">
        <v>6428</v>
      </c>
      <c r="X36" s="525">
        <v>2512</v>
      </c>
      <c r="Y36" s="623">
        <v>5.624216371126634</v>
      </c>
      <c r="Z36" s="525">
        <v>2622</v>
      </c>
      <c r="AA36" s="623">
        <v>5.6696795398520949</v>
      </c>
      <c r="AB36" s="525">
        <v>1089</v>
      </c>
      <c r="AC36" s="623">
        <v>2.7023673631445733</v>
      </c>
      <c r="AD36" s="525">
        <v>2319</v>
      </c>
      <c r="AE36" s="585">
        <v>3.3</v>
      </c>
      <c r="AF36" s="525">
        <v>2074</v>
      </c>
      <c r="AG36" s="585">
        <v>5.3</v>
      </c>
      <c r="AK36" s="1443">
        <v>2010</v>
      </c>
      <c r="AO36" s="1443">
        <v>2008</v>
      </c>
      <c r="AT36" s="585" t="s">
        <v>6429</v>
      </c>
      <c r="AU36" s="382">
        <v>30</v>
      </c>
      <c r="AV36" s="382">
        <v>33</v>
      </c>
      <c r="AW36" s="585">
        <f t="shared" si="4"/>
        <v>26</v>
      </c>
      <c r="AX36" s="585">
        <f t="shared" si="4"/>
        <v>28</v>
      </c>
      <c r="AY36" s="585">
        <f t="shared" si="4"/>
        <v>34</v>
      </c>
      <c r="AZ36" s="585">
        <f t="shared" si="4"/>
        <v>29</v>
      </c>
      <c r="BA36" s="585">
        <f t="shared" si="4"/>
        <v>33</v>
      </c>
    </row>
    <row r="37" spans="1:53">
      <c r="A37" s="624" t="s">
        <v>6475</v>
      </c>
      <c r="D37" s="382"/>
      <c r="E37" s="463"/>
      <c r="F37" s="382"/>
      <c r="G37" s="624"/>
      <c r="H37" s="624"/>
      <c r="I37" s="525"/>
      <c r="J37" s="525"/>
      <c r="L37" s="451" t="s">
        <v>6496</v>
      </c>
      <c r="M37" s="1451">
        <v>-4.93</v>
      </c>
      <c r="N37" s="886">
        <v>2.48</v>
      </c>
      <c r="O37" s="918">
        <v>16.52</v>
      </c>
      <c r="P37" s="1450">
        <v>-3.4</v>
      </c>
      <c r="Q37" s="1450">
        <v>-0.42</v>
      </c>
      <c r="R37" s="1451">
        <v>0.16</v>
      </c>
      <c r="S37" s="1451">
        <v>-1.22</v>
      </c>
      <c r="T37" s="1451"/>
      <c r="U37" s="525"/>
      <c r="W37" s="585" t="s">
        <v>6526</v>
      </c>
      <c r="X37" s="525">
        <v>619</v>
      </c>
      <c r="Y37" s="623">
        <v>1.3859036360379724</v>
      </c>
      <c r="Z37" s="525">
        <v>760</v>
      </c>
      <c r="AA37" s="623">
        <v>1.6433853738701727</v>
      </c>
      <c r="AB37" s="525">
        <v>537</v>
      </c>
      <c r="AC37" s="623">
        <v>1.3325723360960842</v>
      </c>
      <c r="AD37" s="525">
        <v>860</v>
      </c>
      <c r="AE37" s="585">
        <v>2.6</v>
      </c>
      <c r="AF37" s="525">
        <v>1296</v>
      </c>
      <c r="AG37" s="585">
        <v>3.3</v>
      </c>
    </row>
    <row r="38" spans="1:53">
      <c r="A38" s="524" t="s">
        <v>6478</v>
      </c>
      <c r="B38" s="525">
        <v>4633</v>
      </c>
      <c r="C38" s="525">
        <v>4287</v>
      </c>
      <c r="D38" s="463">
        <v>3920</v>
      </c>
      <c r="E38" s="463">
        <v>3511</v>
      </c>
      <c r="F38" s="463">
        <v>3316</v>
      </c>
      <c r="G38" s="525">
        <v>3205</v>
      </c>
      <c r="H38" s="525">
        <v>3229</v>
      </c>
      <c r="I38" s="525"/>
      <c r="J38" s="525"/>
      <c r="M38" s="1451"/>
      <c r="N38" s="1451"/>
      <c r="O38" s="1450"/>
      <c r="P38" s="1450"/>
      <c r="Q38" s="1450"/>
      <c r="R38" s="1451"/>
      <c r="S38" s="1451"/>
      <c r="T38" s="1451"/>
      <c r="U38" s="525"/>
      <c r="W38" s="585" t="s">
        <v>6527</v>
      </c>
      <c r="X38" s="525">
        <v>728</v>
      </c>
      <c r="Y38" s="623">
        <v>1.6299480566003939</v>
      </c>
      <c r="Z38" s="525">
        <v>874</v>
      </c>
      <c r="AA38" s="623">
        <v>1.8898931799506986</v>
      </c>
      <c r="AB38" s="525">
        <v>459</v>
      </c>
      <c r="AC38" s="623">
        <v>1.1390143431435804</v>
      </c>
      <c r="AD38" s="525">
        <v>748</v>
      </c>
      <c r="AE38" s="585">
        <v>1.9</v>
      </c>
      <c r="AF38" s="525">
        <v>778</v>
      </c>
      <c r="AG38" s="623">
        <v>2</v>
      </c>
      <c r="AJ38" s="585" t="s">
        <v>6528</v>
      </c>
      <c r="AK38" s="525">
        <v>12864</v>
      </c>
      <c r="AO38" s="525">
        <v>13089</v>
      </c>
      <c r="AT38" s="585" t="s">
        <v>6436</v>
      </c>
      <c r="AU38" s="382">
        <v>9</v>
      </c>
      <c r="AV38" s="382">
        <v>12</v>
      </c>
      <c r="AW38" s="585">
        <f>SUM(AW39:AW41)</f>
        <v>13</v>
      </c>
      <c r="AX38" s="585">
        <f>SUM(AX39:AX41)</f>
        <v>7</v>
      </c>
      <c r="AY38" s="585">
        <f>SUM(AY39:AY41)</f>
        <v>9</v>
      </c>
      <c r="AZ38" s="585">
        <f>SUM(AZ39:AZ41)</f>
        <v>6</v>
      </c>
      <c r="BA38" s="585">
        <f>SUM(BA39:BA41)</f>
        <v>10</v>
      </c>
    </row>
    <row r="39" spans="1:53">
      <c r="A39" s="524" t="s">
        <v>4579</v>
      </c>
      <c r="B39" s="525">
        <v>2862</v>
      </c>
      <c r="C39" s="525">
        <v>2549</v>
      </c>
      <c r="D39" s="463">
        <v>2376</v>
      </c>
      <c r="E39" s="463">
        <v>2176</v>
      </c>
      <c r="F39" s="463">
        <v>1987</v>
      </c>
      <c r="G39" s="525">
        <v>1903</v>
      </c>
      <c r="H39" s="525">
        <v>2009</v>
      </c>
      <c r="I39" s="525"/>
      <c r="J39" s="525"/>
      <c r="L39" s="585" t="s">
        <v>6438</v>
      </c>
      <c r="M39" s="886">
        <v>3.82</v>
      </c>
      <c r="N39" s="886">
        <v>1.65</v>
      </c>
      <c r="O39" s="1450">
        <v>1.29</v>
      </c>
      <c r="P39" s="918">
        <v>1.7</v>
      </c>
      <c r="Q39" s="918">
        <v>0.85</v>
      </c>
      <c r="R39" s="1451">
        <v>-1.5</v>
      </c>
      <c r="S39" s="1451">
        <v>-0.86</v>
      </c>
      <c r="T39" s="1451"/>
      <c r="U39" s="525"/>
      <c r="W39" s="585" t="s">
        <v>6529</v>
      </c>
      <c r="X39" s="525">
        <v>655</v>
      </c>
      <c r="Y39" s="623">
        <v>1.4665054630127172</v>
      </c>
      <c r="Z39" s="525">
        <v>760</v>
      </c>
      <c r="AA39" s="623">
        <v>1.6433853738701727</v>
      </c>
      <c r="AB39" s="525">
        <v>344</v>
      </c>
      <c r="AC39" s="623">
        <v>0.85364037917514524</v>
      </c>
      <c r="AD39" s="525">
        <v>785</v>
      </c>
      <c r="AE39" s="585">
        <v>2.9</v>
      </c>
      <c r="AF39" s="525">
        <v>1199</v>
      </c>
      <c r="AG39" s="585">
        <v>3.1</v>
      </c>
      <c r="AK39" s="525"/>
      <c r="AO39" s="525"/>
      <c r="AT39" s="585" t="s">
        <v>6421</v>
      </c>
      <c r="AU39" s="382">
        <v>5</v>
      </c>
      <c r="AV39" s="382">
        <v>10</v>
      </c>
      <c r="AW39" s="585">
        <v>12</v>
      </c>
      <c r="AX39" s="585">
        <v>7</v>
      </c>
      <c r="AY39" s="585">
        <v>7</v>
      </c>
      <c r="AZ39" s="585">
        <v>4</v>
      </c>
      <c r="BA39" s="585">
        <v>9</v>
      </c>
    </row>
    <row r="40" spans="1:53">
      <c r="A40" s="655" t="s">
        <v>6483</v>
      </c>
      <c r="B40" s="633">
        <v>1771</v>
      </c>
      <c r="C40" s="633">
        <v>1738</v>
      </c>
      <c r="D40" s="497">
        <v>1545</v>
      </c>
      <c r="E40" s="497">
        <v>1335</v>
      </c>
      <c r="F40" s="497">
        <v>1328</v>
      </c>
      <c r="G40" s="633">
        <v>1302</v>
      </c>
      <c r="H40" s="633">
        <v>1220</v>
      </c>
      <c r="I40" s="525"/>
      <c r="J40" s="525"/>
      <c r="M40" s="1451"/>
      <c r="N40" s="1451"/>
      <c r="O40" s="1450"/>
      <c r="P40" s="1450"/>
      <c r="Q40" s="1450"/>
      <c r="R40" s="1451"/>
      <c r="S40" s="1451"/>
      <c r="T40" s="1451"/>
      <c r="U40" s="525"/>
      <c r="W40" s="585" t="s">
        <v>6530</v>
      </c>
      <c r="X40" s="525">
        <v>692</v>
      </c>
      <c r="Y40" s="623">
        <v>1.5493462296256493</v>
      </c>
      <c r="Z40" s="525">
        <v>798</v>
      </c>
      <c r="AA40" s="623">
        <v>1.725554642563681</v>
      </c>
      <c r="AB40" s="525">
        <v>573</v>
      </c>
      <c r="AC40" s="623">
        <v>1.4219067943818551</v>
      </c>
      <c r="AD40" s="525">
        <v>748</v>
      </c>
      <c r="AE40" s="585">
        <v>2.8</v>
      </c>
      <c r="AF40" s="525">
        <v>940</v>
      </c>
      <c r="AG40" s="585">
        <v>2.4</v>
      </c>
      <c r="AJ40" s="585" t="s">
        <v>6531</v>
      </c>
      <c r="AK40" s="525">
        <v>12786</v>
      </c>
      <c r="AO40" s="525">
        <v>13200</v>
      </c>
      <c r="AT40" s="585" t="s">
        <v>6425</v>
      </c>
      <c r="AU40" s="382">
        <v>0</v>
      </c>
      <c r="AV40" s="382">
        <v>2</v>
      </c>
      <c r="AW40" s="585">
        <v>0</v>
      </c>
      <c r="AX40" s="585">
        <v>0</v>
      </c>
      <c r="AY40" s="585">
        <v>1</v>
      </c>
      <c r="AZ40" s="585">
        <v>2</v>
      </c>
      <c r="BA40" s="585">
        <v>0</v>
      </c>
    </row>
    <row r="41" spans="1:53">
      <c r="A41" s="585" t="s">
        <v>6422</v>
      </c>
      <c r="I41" s="525"/>
      <c r="J41" s="525"/>
      <c r="L41" s="585" t="s">
        <v>6445</v>
      </c>
      <c r="M41" s="1451">
        <v>-0.43</v>
      </c>
      <c r="N41" s="1451">
        <v>-4.25</v>
      </c>
      <c r="O41" s="1450">
        <v>-15</v>
      </c>
      <c r="P41" s="1450">
        <v>-1.25</v>
      </c>
      <c r="Q41" s="1450">
        <v>-1.37</v>
      </c>
      <c r="R41" s="1451">
        <v>1.79</v>
      </c>
      <c r="S41" s="886">
        <v>1.54</v>
      </c>
      <c r="T41" s="1451"/>
      <c r="U41" s="525"/>
      <c r="W41" s="585" t="s">
        <v>6532</v>
      </c>
      <c r="X41" s="525">
        <v>1347</v>
      </c>
      <c r="Y41" s="623">
        <v>3.0158516926383663</v>
      </c>
      <c r="Z41" s="525">
        <v>1178</v>
      </c>
      <c r="AA41" s="623">
        <v>2.5472473294987674</v>
      </c>
      <c r="AB41" s="525">
        <v>1261</v>
      </c>
      <c r="AC41" s="623">
        <v>3.1291875527321453</v>
      </c>
      <c r="AD41" s="525">
        <v>1159</v>
      </c>
      <c r="AE41" s="585">
        <v>2.8</v>
      </c>
      <c r="AF41" s="525">
        <v>1102</v>
      </c>
      <c r="AG41" s="585">
        <v>2.8</v>
      </c>
      <c r="AK41" s="525"/>
      <c r="AO41" s="525"/>
      <c r="AT41" s="585" t="s">
        <v>6429</v>
      </c>
      <c r="AU41" s="382">
        <v>4</v>
      </c>
      <c r="AV41" s="382">
        <v>0</v>
      </c>
      <c r="AW41" s="585">
        <v>1</v>
      </c>
      <c r="AX41" s="585">
        <v>0</v>
      </c>
      <c r="AY41" s="585">
        <v>1</v>
      </c>
      <c r="AZ41" s="585">
        <v>0</v>
      </c>
      <c r="BA41" s="585">
        <v>1</v>
      </c>
    </row>
    <row r="42" spans="1:53">
      <c r="A42" s="624" t="s">
        <v>6491</v>
      </c>
      <c r="B42" s="624"/>
      <c r="C42" s="624"/>
      <c r="D42" s="624"/>
      <c r="I42" s="525"/>
      <c r="J42" s="525"/>
      <c r="L42" s="524" t="s">
        <v>6449</v>
      </c>
      <c r="M42" s="1451">
        <v>4.79</v>
      </c>
      <c r="N42" s="1451">
        <v>-2.99</v>
      </c>
      <c r="O42" s="1450">
        <v>-16.239999999999998</v>
      </c>
      <c r="P42" s="918">
        <v>3.52</v>
      </c>
      <c r="Q42" s="918">
        <v>0.06</v>
      </c>
      <c r="R42" s="1451">
        <v>0.28999999999999998</v>
      </c>
      <c r="S42" s="886">
        <v>1.34</v>
      </c>
      <c r="T42" s="1451"/>
      <c r="U42" s="525"/>
      <c r="W42" s="585" t="s">
        <v>6533</v>
      </c>
      <c r="X42" s="525">
        <v>1128</v>
      </c>
      <c r="Y42" s="623">
        <v>2.5255239118753359</v>
      </c>
      <c r="Z42" s="525">
        <v>1064</v>
      </c>
      <c r="AA42" s="623">
        <v>2.3007395234182417</v>
      </c>
      <c r="AB42" s="525">
        <v>917</v>
      </c>
      <c r="AC42" s="623">
        <v>2.2755471735570003</v>
      </c>
      <c r="AD42" s="525">
        <v>1309</v>
      </c>
      <c r="AE42" s="585">
        <v>2.2999999999999998</v>
      </c>
      <c r="AF42" s="525">
        <v>1102</v>
      </c>
      <c r="AG42" s="585">
        <v>2.8</v>
      </c>
      <c r="AJ42" s="586" t="s">
        <v>6534</v>
      </c>
      <c r="AK42" s="633">
        <v>25462</v>
      </c>
      <c r="AL42" s="586"/>
      <c r="AM42" s="586"/>
      <c r="AN42" s="586"/>
      <c r="AO42" s="633">
        <v>25479</v>
      </c>
      <c r="AP42" s="586"/>
    </row>
    <row r="43" spans="1:53">
      <c r="I43" s="525"/>
      <c r="J43" s="525"/>
      <c r="L43" s="615" t="s">
        <v>6426</v>
      </c>
      <c r="M43" s="1451">
        <v>-0.14000000000000001</v>
      </c>
      <c r="N43" s="886">
        <v>0.17</v>
      </c>
      <c r="O43" s="1450">
        <v>-0.36</v>
      </c>
      <c r="P43" s="918">
        <v>0.13</v>
      </c>
      <c r="Q43" s="1450">
        <v>-0.38</v>
      </c>
      <c r="R43" s="1451">
        <v>0.45</v>
      </c>
      <c r="S43" s="886">
        <v>0.12</v>
      </c>
      <c r="T43" s="1451"/>
      <c r="U43" s="525"/>
      <c r="W43" s="585" t="s">
        <v>6535</v>
      </c>
      <c r="X43" s="525">
        <v>1238</v>
      </c>
      <c r="Y43" s="623">
        <v>2.7718072720759448</v>
      </c>
      <c r="Z43" s="525">
        <v>1330</v>
      </c>
      <c r="AA43" s="623">
        <v>2.8759244042728018</v>
      </c>
      <c r="AB43" s="525">
        <v>1261</v>
      </c>
      <c r="AC43" s="623">
        <v>3.1291875527321453</v>
      </c>
      <c r="AD43" s="525">
        <v>673</v>
      </c>
      <c r="AE43" s="585">
        <v>2.2000000000000002</v>
      </c>
      <c r="AF43" s="525">
        <v>810</v>
      </c>
      <c r="AG43" s="585">
        <v>2.1</v>
      </c>
      <c r="AJ43" s="585" t="s">
        <v>6536</v>
      </c>
      <c r="AT43" s="585" t="s">
        <v>6456</v>
      </c>
      <c r="AU43" s="382">
        <v>118</v>
      </c>
      <c r="AV43" s="382">
        <v>152</v>
      </c>
      <c r="AW43" s="585">
        <f>SUM(AW44:AW46)</f>
        <v>125</v>
      </c>
      <c r="AX43" s="585">
        <f>SUM(AX44:AX46)</f>
        <v>124</v>
      </c>
      <c r="AY43" s="585">
        <f>SUM(AY44:AY46)</f>
        <v>146</v>
      </c>
      <c r="AZ43" s="585">
        <f>SUM(AZ44:AZ46)</f>
        <v>165</v>
      </c>
      <c r="BA43" s="585">
        <f>SUM(BA44:BA46)</f>
        <v>131</v>
      </c>
    </row>
    <row r="44" spans="1:53">
      <c r="I44" s="525"/>
      <c r="J44" s="525"/>
      <c r="L44" s="615" t="s">
        <v>25</v>
      </c>
      <c r="M44" s="1451">
        <v>4.93</v>
      </c>
      <c r="N44" s="1451">
        <v>-3.16</v>
      </c>
      <c r="O44" s="1450">
        <v>-15.89</v>
      </c>
      <c r="P44" s="918">
        <v>3.39</v>
      </c>
      <c r="Q44" s="918">
        <v>0.44</v>
      </c>
      <c r="R44" s="1451">
        <v>-0.16</v>
      </c>
      <c r="S44" s="886">
        <v>1.22</v>
      </c>
      <c r="T44" s="1451"/>
      <c r="U44" s="525"/>
      <c r="W44" s="585" t="s">
        <v>6439</v>
      </c>
      <c r="X44" s="525">
        <v>3130</v>
      </c>
      <c r="Y44" s="623">
        <v>7.0078810675264194</v>
      </c>
      <c r="Z44" s="525">
        <v>3420</v>
      </c>
      <c r="AA44" s="623">
        <v>7.3952341824157761</v>
      </c>
      <c r="AB44" s="525">
        <v>2350</v>
      </c>
      <c r="AC44" s="623">
        <v>5.8315549158767181</v>
      </c>
      <c r="AD44" s="525">
        <v>3029</v>
      </c>
      <c r="AE44" s="585">
        <v>7.3</v>
      </c>
      <c r="AF44" s="525">
        <v>2495</v>
      </c>
      <c r="AG44" s="585">
        <v>6.4</v>
      </c>
      <c r="AT44" s="585" t="s">
        <v>6421</v>
      </c>
      <c r="AU44" s="382">
        <v>92</v>
      </c>
      <c r="AV44" s="382">
        <v>119</v>
      </c>
      <c r="AW44" s="382">
        <v>100</v>
      </c>
      <c r="AX44" s="382">
        <v>96</v>
      </c>
      <c r="AY44" s="382">
        <v>113</v>
      </c>
      <c r="AZ44" s="382">
        <v>136</v>
      </c>
      <c r="BA44" s="382">
        <v>99</v>
      </c>
    </row>
    <row r="45" spans="1:53">
      <c r="L45" s="524" t="s">
        <v>6460</v>
      </c>
      <c r="M45" s="1451">
        <v>-5.22</v>
      </c>
      <c r="N45" s="1451">
        <v>-1.26</v>
      </c>
      <c r="O45" s="918">
        <v>1.24</v>
      </c>
      <c r="P45" s="1450">
        <v>-4.7699999999999996</v>
      </c>
      <c r="Q45" s="1450">
        <v>-1.43</v>
      </c>
      <c r="R45" s="1451">
        <v>1.5</v>
      </c>
      <c r="S45" s="886">
        <v>0.2</v>
      </c>
      <c r="T45" s="1451"/>
      <c r="U45" s="525"/>
      <c r="W45" s="585" t="s">
        <v>6537</v>
      </c>
      <c r="X45" s="525">
        <v>5242</v>
      </c>
      <c r="Y45" s="623">
        <v>11.736521583378112</v>
      </c>
      <c r="Z45" s="525">
        <v>6346</v>
      </c>
      <c r="AA45" s="623">
        <v>13.722267871815941</v>
      </c>
      <c r="AB45" s="525">
        <v>5274</v>
      </c>
      <c r="AC45" s="623">
        <v>13.087498138865453</v>
      </c>
      <c r="AD45" s="525">
        <v>6283</v>
      </c>
      <c r="AE45" s="585">
        <v>13.8</v>
      </c>
      <c r="AF45" s="525">
        <v>5508</v>
      </c>
      <c r="AG45" s="585">
        <v>14.1</v>
      </c>
      <c r="AT45" s="585" t="s">
        <v>6425</v>
      </c>
      <c r="AU45" s="382">
        <v>0</v>
      </c>
      <c r="AV45" s="382">
        <v>0</v>
      </c>
      <c r="AW45" s="382">
        <v>0</v>
      </c>
      <c r="AX45" s="382">
        <v>0</v>
      </c>
      <c r="AY45" s="382">
        <v>0</v>
      </c>
      <c r="AZ45" s="382">
        <v>0</v>
      </c>
      <c r="BA45" s="382">
        <v>0</v>
      </c>
    </row>
    <row r="46" spans="1:53">
      <c r="A46" s="382" t="s">
        <v>6538</v>
      </c>
      <c r="L46" s="615" t="s">
        <v>6426</v>
      </c>
      <c r="M46" s="1451">
        <v>-3.21</v>
      </c>
      <c r="N46" s="1451">
        <v>-0.81</v>
      </c>
      <c r="O46" s="918">
        <v>2.54</v>
      </c>
      <c r="P46" s="1450">
        <v>-3.53</v>
      </c>
      <c r="Q46" s="1450">
        <v>-0.65</v>
      </c>
      <c r="R46" s="1451">
        <v>0.15</v>
      </c>
      <c r="S46" s="1451">
        <v>-0.1</v>
      </c>
      <c r="T46" s="1451"/>
      <c r="U46" s="525"/>
      <c r="W46" s="585" t="s">
        <v>6450</v>
      </c>
      <c r="X46" s="525">
        <v>5569</v>
      </c>
      <c r="Y46" s="623">
        <v>12.468654845065377</v>
      </c>
      <c r="Z46" s="525">
        <v>5130</v>
      </c>
      <c r="AA46" s="623">
        <v>11.092851273623666</v>
      </c>
      <c r="AB46" s="525">
        <v>5331</v>
      </c>
      <c r="AC46" s="623">
        <v>13.22894436448459</v>
      </c>
      <c r="AD46" s="525">
        <v>4600</v>
      </c>
      <c r="AE46" s="585">
        <v>10.7</v>
      </c>
      <c r="AF46" s="525">
        <v>5314</v>
      </c>
      <c r="AG46" s="585">
        <v>13.6</v>
      </c>
      <c r="AT46" s="585" t="s">
        <v>6429</v>
      </c>
      <c r="AU46" s="382">
        <v>26</v>
      </c>
      <c r="AV46" s="382">
        <v>33</v>
      </c>
      <c r="AW46" s="382">
        <v>25</v>
      </c>
      <c r="AX46" s="382">
        <v>28</v>
      </c>
      <c r="AY46" s="382">
        <v>33</v>
      </c>
      <c r="AZ46" s="382">
        <v>29</v>
      </c>
      <c r="BA46" s="382">
        <v>32</v>
      </c>
    </row>
    <row r="47" spans="1:53">
      <c r="A47" s="381" t="s">
        <v>6539</v>
      </c>
      <c r="B47" s="586"/>
      <c r="C47" s="586"/>
      <c r="D47" s="586"/>
      <c r="E47" s="586"/>
      <c r="F47" s="586"/>
      <c r="G47" s="586"/>
      <c r="H47" s="586"/>
      <c r="L47" s="615" t="s">
        <v>25</v>
      </c>
      <c r="M47" s="1451">
        <v>-2.0099999999999998</v>
      </c>
      <c r="N47" s="1451">
        <v>-0.45</v>
      </c>
      <c r="O47" s="1450">
        <v>-1.3</v>
      </c>
      <c r="P47" s="1450">
        <v>-1.24</v>
      </c>
      <c r="Q47" s="1450">
        <v>-0.78</v>
      </c>
      <c r="R47" s="1451">
        <v>1.34</v>
      </c>
      <c r="S47" s="886">
        <v>0.3</v>
      </c>
      <c r="T47" s="1451"/>
      <c r="U47" s="525"/>
      <c r="W47" s="585" t="s">
        <v>6453</v>
      </c>
      <c r="X47" s="525">
        <v>4040</v>
      </c>
      <c r="Y47" s="623">
        <v>9.0453161382769132</v>
      </c>
      <c r="Z47" s="525">
        <v>5054</v>
      </c>
      <c r="AA47" s="623">
        <v>10.928512736236648</v>
      </c>
      <c r="AB47" s="525">
        <v>4471</v>
      </c>
      <c r="AC47" s="623">
        <v>11.094843416546727</v>
      </c>
      <c r="AD47" s="525">
        <v>3927</v>
      </c>
      <c r="AE47" s="585">
        <v>10.199999999999999</v>
      </c>
      <c r="AF47" s="525">
        <v>3920</v>
      </c>
      <c r="AG47" s="623">
        <v>10</v>
      </c>
    </row>
    <row r="48" spans="1:53">
      <c r="A48" s="588" t="s">
        <v>1810</v>
      </c>
      <c r="B48" s="938">
        <v>2022</v>
      </c>
      <c r="C48" s="938">
        <v>2021</v>
      </c>
      <c r="D48" s="642">
        <v>2020</v>
      </c>
      <c r="E48" s="642">
        <v>2019</v>
      </c>
      <c r="F48" s="664">
        <v>2018</v>
      </c>
      <c r="G48" s="938">
        <v>2017</v>
      </c>
      <c r="H48" s="939">
        <v>2016</v>
      </c>
      <c r="M48" s="1451"/>
      <c r="N48" s="1451"/>
      <c r="O48" s="1450"/>
      <c r="P48" s="1450"/>
      <c r="Q48" s="1450"/>
      <c r="R48" s="1451"/>
      <c r="S48" s="1451"/>
      <c r="T48" s="1451"/>
      <c r="U48" s="525"/>
      <c r="W48" s="585" t="s">
        <v>6457</v>
      </c>
      <c r="X48" s="525">
        <v>3567</v>
      </c>
      <c r="Y48" s="623">
        <v>7.9862976894142932</v>
      </c>
      <c r="Z48" s="525">
        <v>3914</v>
      </c>
      <c r="AA48" s="623">
        <v>8.4634346754313885</v>
      </c>
      <c r="AB48" s="525">
        <v>3497</v>
      </c>
      <c r="AC48" s="623">
        <v>8.6778500173705897</v>
      </c>
      <c r="AD48" s="525">
        <v>3590</v>
      </c>
      <c r="AE48" s="585">
        <v>9.6</v>
      </c>
      <c r="AF48" s="525">
        <v>3305</v>
      </c>
      <c r="AG48" s="585">
        <v>8.5</v>
      </c>
      <c r="AT48" s="585" t="s">
        <v>6474</v>
      </c>
      <c r="AU48" s="623">
        <v>92.9</v>
      </c>
      <c r="AV48" s="623">
        <f t="shared" ref="AV48:BA49" si="5">AV43/AV33*100</f>
        <v>92.682926829268297</v>
      </c>
      <c r="AW48" s="1444">
        <f t="shared" si="5"/>
        <v>90.579710144927532</v>
      </c>
      <c r="AX48" s="1444">
        <f t="shared" si="5"/>
        <v>94.656488549618317</v>
      </c>
      <c r="AY48" s="1444">
        <f t="shared" si="5"/>
        <v>94.193548387096769</v>
      </c>
      <c r="AZ48" s="1444">
        <f t="shared" si="5"/>
        <v>96.491228070175438</v>
      </c>
      <c r="BA48" s="1444">
        <f t="shared" si="5"/>
        <v>92.907801418439718</v>
      </c>
    </row>
    <row r="49" spans="1:55">
      <c r="A49" s="524" t="s">
        <v>6418</v>
      </c>
      <c r="B49" s="525">
        <v>5420</v>
      </c>
      <c r="C49" s="525">
        <v>5157</v>
      </c>
      <c r="D49" s="463">
        <v>5053</v>
      </c>
      <c r="E49" s="463">
        <v>5647</v>
      </c>
      <c r="F49" s="463">
        <v>5508</v>
      </c>
      <c r="G49" s="525">
        <v>5554</v>
      </c>
      <c r="H49" s="525">
        <v>5505</v>
      </c>
      <c r="L49" s="624" t="s">
        <v>6475</v>
      </c>
      <c r="M49" s="1451"/>
      <c r="N49" s="1451"/>
      <c r="O49" s="1450"/>
      <c r="P49" s="1450"/>
      <c r="Q49" s="1453"/>
      <c r="R49" s="1454"/>
      <c r="S49" s="1451"/>
      <c r="T49" s="1451"/>
      <c r="U49" s="525"/>
      <c r="W49" s="585" t="s">
        <v>6540</v>
      </c>
      <c r="X49" s="525">
        <v>3058</v>
      </c>
      <c r="Y49" s="623">
        <v>6.8466774135769288</v>
      </c>
      <c r="Z49" s="525">
        <v>3078</v>
      </c>
      <c r="AA49" s="623">
        <v>6.6557107641741986</v>
      </c>
      <c r="AB49" s="525">
        <v>3038</v>
      </c>
      <c r="AC49" s="623">
        <v>7.5388356742270082</v>
      </c>
      <c r="AD49" s="525">
        <v>2431</v>
      </c>
      <c r="AE49" s="585">
        <v>7.1</v>
      </c>
      <c r="AF49" s="525">
        <v>2624</v>
      </c>
      <c r="AG49" s="585">
        <v>6.7</v>
      </c>
      <c r="AT49" s="585" t="s">
        <v>6421</v>
      </c>
      <c r="AU49" s="623">
        <v>94.8</v>
      </c>
      <c r="AV49" s="623">
        <f t="shared" si="5"/>
        <v>92.248062015503876</v>
      </c>
      <c r="AW49" s="1444">
        <f t="shared" si="5"/>
        <v>89.285714285714292</v>
      </c>
      <c r="AX49" s="1444">
        <f t="shared" si="5"/>
        <v>93.203883495145632</v>
      </c>
      <c r="AY49" s="1444">
        <f t="shared" si="5"/>
        <v>94.166666666666671</v>
      </c>
      <c r="AZ49" s="1444">
        <f t="shared" si="5"/>
        <v>97.142857142857139</v>
      </c>
      <c r="BA49" s="1444">
        <f t="shared" si="5"/>
        <v>91.666666666666657</v>
      </c>
    </row>
    <row r="50" spans="1:55">
      <c r="D50" s="382"/>
      <c r="E50" s="382"/>
      <c r="F50" s="382"/>
      <c r="H50" s="525"/>
      <c r="L50" s="524" t="s">
        <v>6478</v>
      </c>
      <c r="M50" s="1451">
        <v>0.95</v>
      </c>
      <c r="N50" s="1451">
        <v>2.77</v>
      </c>
      <c r="O50" s="918">
        <v>5.1100000000000003</v>
      </c>
      <c r="P50" s="918">
        <v>2.0299999999999998</v>
      </c>
      <c r="Q50" s="1450">
        <v>0.08</v>
      </c>
      <c r="R50" s="1451">
        <v>-0.94</v>
      </c>
      <c r="S50" s="1451">
        <v>-1.35</v>
      </c>
      <c r="T50" s="1451"/>
      <c r="U50" s="525"/>
      <c r="W50" s="585" t="s">
        <v>6541</v>
      </c>
      <c r="X50" s="525">
        <v>1966</v>
      </c>
      <c r="Y50" s="623">
        <v>4.4017553286763391</v>
      </c>
      <c r="Z50" s="525">
        <v>2280</v>
      </c>
      <c r="AA50" s="623">
        <v>4.9301561216105174</v>
      </c>
      <c r="AB50" s="525">
        <v>2178</v>
      </c>
      <c r="AC50" s="623">
        <v>5.4047347262891465</v>
      </c>
      <c r="AD50" s="525">
        <v>2319</v>
      </c>
      <c r="AE50" s="585">
        <v>4.5999999999999996</v>
      </c>
      <c r="AF50" s="525">
        <v>1717</v>
      </c>
      <c r="AG50" s="585">
        <v>4.4000000000000004</v>
      </c>
      <c r="AT50" s="585" t="s">
        <v>6425</v>
      </c>
      <c r="AU50" s="623">
        <v>0</v>
      </c>
      <c r="AV50" s="623">
        <v>0</v>
      </c>
      <c r="AW50" s="1444">
        <v>0</v>
      </c>
      <c r="AX50" s="1444">
        <v>0</v>
      </c>
      <c r="AY50" s="1444">
        <f>AY45/AY35*100</f>
        <v>0</v>
      </c>
      <c r="AZ50" s="1444">
        <f>AZ45/AZ35*100</f>
        <v>0</v>
      </c>
      <c r="BA50" s="1444">
        <v>0</v>
      </c>
    </row>
    <row r="51" spans="1:55">
      <c r="A51" s="585" t="s">
        <v>6423</v>
      </c>
      <c r="B51" s="525">
        <v>3450</v>
      </c>
      <c r="C51" s="525">
        <v>3408</v>
      </c>
      <c r="D51" s="463">
        <v>3305</v>
      </c>
      <c r="E51" s="463">
        <v>3421</v>
      </c>
      <c r="F51" s="463">
        <v>3418</v>
      </c>
      <c r="G51" s="525">
        <v>3441</v>
      </c>
      <c r="H51" s="525">
        <v>3351</v>
      </c>
      <c r="L51" s="524" t="s">
        <v>4579</v>
      </c>
      <c r="M51" s="1451">
        <v>1.9</v>
      </c>
      <c r="N51" s="1451">
        <v>0.19</v>
      </c>
      <c r="O51" s="918">
        <v>2.5499999999999998</v>
      </c>
      <c r="P51" s="918">
        <v>2.36</v>
      </c>
      <c r="Q51" s="1450">
        <v>0.38</v>
      </c>
      <c r="R51" s="1451">
        <v>-2.37</v>
      </c>
      <c r="S51" s="1451">
        <v>-0.65</v>
      </c>
      <c r="T51" s="1451"/>
      <c r="U51" s="525"/>
      <c r="W51" s="585" t="s">
        <v>6542</v>
      </c>
      <c r="X51" s="525">
        <v>2439</v>
      </c>
      <c r="Y51" s="623">
        <v>5.4607737775389573</v>
      </c>
      <c r="Z51" s="525">
        <v>1748</v>
      </c>
      <c r="AA51" s="623">
        <v>3.7797863599013972</v>
      </c>
      <c r="AB51" s="525">
        <v>1834</v>
      </c>
      <c r="AC51" s="623">
        <v>4.5510943471140006</v>
      </c>
      <c r="AD51" s="525">
        <v>1272</v>
      </c>
      <c r="AE51" s="585">
        <v>4.8</v>
      </c>
      <c r="AF51" s="525">
        <v>1426</v>
      </c>
      <c r="AG51" s="585">
        <v>3.6</v>
      </c>
      <c r="AT51" s="586" t="s">
        <v>6429</v>
      </c>
      <c r="AU51" s="634">
        <v>86.7</v>
      </c>
      <c r="AV51" s="634">
        <v>100</v>
      </c>
      <c r="AW51" s="1455">
        <f>AW46/AW36*100</f>
        <v>96.15384615384616</v>
      </c>
      <c r="AX51" s="1455">
        <f>AX46/AX36*100</f>
        <v>100</v>
      </c>
      <c r="AY51" s="1455">
        <f>AY46/AY36*100</f>
        <v>97.058823529411768</v>
      </c>
      <c r="AZ51" s="1455">
        <f>AZ46/AZ36*100</f>
        <v>100</v>
      </c>
      <c r="BA51" s="1455">
        <f>BA46/BA36*100</f>
        <v>96.969696969696969</v>
      </c>
    </row>
    <row r="52" spans="1:55">
      <c r="A52" s="451" t="s">
        <v>6426</v>
      </c>
      <c r="B52" s="525">
        <v>1719</v>
      </c>
      <c r="C52" s="525">
        <v>1555</v>
      </c>
      <c r="D52" s="463">
        <v>1510</v>
      </c>
      <c r="E52" s="463">
        <v>1873</v>
      </c>
      <c r="F52" s="463">
        <v>1778</v>
      </c>
      <c r="G52" s="525">
        <v>1773</v>
      </c>
      <c r="H52" s="525">
        <v>1739</v>
      </c>
      <c r="L52" s="655" t="s">
        <v>6483</v>
      </c>
      <c r="M52" s="1456">
        <v>-0.95</v>
      </c>
      <c r="N52" s="1456">
        <v>1.58</v>
      </c>
      <c r="O52" s="921">
        <v>2.56</v>
      </c>
      <c r="P52" s="1457">
        <v>-0.33</v>
      </c>
      <c r="Q52" s="1457">
        <v>-0.3</v>
      </c>
      <c r="R52" s="1458">
        <v>1.43</v>
      </c>
      <c r="S52" s="1456">
        <v>-0.7</v>
      </c>
      <c r="T52" s="1451"/>
      <c r="U52" s="1451"/>
      <c r="W52" s="585" t="s">
        <v>6543</v>
      </c>
      <c r="X52" s="525">
        <v>1565</v>
      </c>
      <c r="Y52" s="623">
        <v>3.5039405337632097</v>
      </c>
      <c r="Z52" s="525">
        <v>1102</v>
      </c>
      <c r="AA52" s="623">
        <v>2.38290879211175</v>
      </c>
      <c r="AB52" s="525">
        <v>1720</v>
      </c>
      <c r="AC52" s="623">
        <v>4.268201895875726</v>
      </c>
      <c r="AD52" s="525">
        <v>486</v>
      </c>
      <c r="AE52" s="585">
        <v>2.2000000000000002</v>
      </c>
      <c r="AF52" s="525">
        <v>1037</v>
      </c>
      <c r="AG52" s="585">
        <v>2.7</v>
      </c>
      <c r="AT52" s="585" t="s">
        <v>6487</v>
      </c>
      <c r="BB52" s="623"/>
    </row>
    <row r="53" spans="1:55">
      <c r="A53" s="451" t="s">
        <v>25</v>
      </c>
      <c r="B53" s="525">
        <v>2124</v>
      </c>
      <c r="C53" s="525">
        <v>1972</v>
      </c>
      <c r="D53" s="463">
        <v>2044</v>
      </c>
      <c r="E53" s="463">
        <v>2791</v>
      </c>
      <c r="F53" s="463">
        <v>2685</v>
      </c>
      <c r="G53" s="525">
        <v>2687</v>
      </c>
      <c r="H53" s="525">
        <v>2641</v>
      </c>
      <c r="I53" s="525"/>
      <c r="J53" s="525"/>
      <c r="L53" s="585" t="s">
        <v>6422</v>
      </c>
      <c r="U53" s="525"/>
      <c r="W53" s="586" t="s">
        <v>6544</v>
      </c>
      <c r="X53" s="633">
        <v>5169</v>
      </c>
      <c r="Y53" s="634">
        <v>11.573078989790435</v>
      </c>
      <c r="Z53" s="633">
        <v>4788</v>
      </c>
      <c r="AA53" s="634">
        <v>10.353327855382087</v>
      </c>
      <c r="AB53" s="633">
        <v>4127</v>
      </c>
      <c r="AC53" s="634">
        <v>10.241203037371582</v>
      </c>
      <c r="AD53" s="633">
        <v>2468</v>
      </c>
      <c r="AE53" s="634">
        <v>9</v>
      </c>
      <c r="AF53" s="633">
        <v>2462</v>
      </c>
      <c r="AG53" s="586">
        <v>6.3</v>
      </c>
      <c r="AT53" s="585" t="s">
        <v>6545</v>
      </c>
      <c r="BB53" s="623"/>
      <c r="BC53" s="623"/>
    </row>
    <row r="54" spans="1:55">
      <c r="A54" s="451" t="s">
        <v>6496</v>
      </c>
      <c r="B54" s="1007">
        <v>-387</v>
      </c>
      <c r="C54" s="1007">
        <v>-103</v>
      </c>
      <c r="D54" s="619">
        <v>-244</v>
      </c>
      <c r="E54" s="619">
        <v>-1248</v>
      </c>
      <c r="F54" s="619">
        <v>-1047</v>
      </c>
      <c r="G54" s="1007">
        <v>-1022</v>
      </c>
      <c r="H54" s="1007">
        <v>-1032</v>
      </c>
      <c r="I54" s="525"/>
      <c r="J54" s="525"/>
      <c r="L54" s="624" t="s">
        <v>6491</v>
      </c>
      <c r="M54" s="624"/>
      <c r="N54" s="624"/>
      <c r="O54" s="624"/>
      <c r="AT54" s="585" t="s">
        <v>6495</v>
      </c>
      <c r="BB54" s="623"/>
      <c r="BC54" s="623"/>
    </row>
    <row r="55" spans="1:55">
      <c r="D55" s="382"/>
      <c r="E55" s="382"/>
      <c r="F55" s="382"/>
      <c r="H55" s="525"/>
      <c r="I55" s="525"/>
      <c r="J55" s="525"/>
      <c r="X55" s="1442">
        <v>2010</v>
      </c>
      <c r="Z55" s="1442">
        <v>2008</v>
      </c>
      <c r="AB55" s="1443">
        <v>2005</v>
      </c>
      <c r="AC55" s="525"/>
      <c r="AD55" s="1443">
        <v>2003</v>
      </c>
      <c r="AF55" s="1443">
        <v>2001</v>
      </c>
      <c r="AT55" s="585" t="s">
        <v>6499</v>
      </c>
      <c r="BB55" s="623"/>
      <c r="BC55" s="623"/>
    </row>
    <row r="56" spans="1:55">
      <c r="A56" s="585" t="s">
        <v>6438</v>
      </c>
      <c r="B56" s="525">
        <v>1613</v>
      </c>
      <c r="C56" s="525">
        <v>1407</v>
      </c>
      <c r="D56" s="463">
        <v>1318</v>
      </c>
      <c r="E56" s="463">
        <v>1241</v>
      </c>
      <c r="F56" s="463">
        <v>1144</v>
      </c>
      <c r="G56" s="525">
        <v>1095</v>
      </c>
      <c r="H56" s="525">
        <v>1181</v>
      </c>
      <c r="I56" s="525"/>
      <c r="J56" s="525"/>
      <c r="AC56" s="525"/>
      <c r="AT56" s="585" t="s">
        <v>6503</v>
      </c>
    </row>
    <row r="57" spans="1:55">
      <c r="D57" s="382"/>
      <c r="E57" s="382"/>
      <c r="F57" s="382"/>
      <c r="H57" s="525"/>
      <c r="I57" s="525"/>
      <c r="J57" s="525"/>
      <c r="W57" s="585" t="s">
        <v>6484</v>
      </c>
      <c r="X57" s="1004">
        <v>39052</v>
      </c>
      <c r="Y57" s="1004"/>
      <c r="Z57" s="1004">
        <v>37741</v>
      </c>
      <c r="AA57" s="1004"/>
      <c r="AB57" s="1004">
        <v>40373</v>
      </c>
      <c r="AC57" s="1004"/>
      <c r="AD57" s="1004">
        <v>33457</v>
      </c>
      <c r="AE57" s="1004"/>
      <c r="AF57" s="1004">
        <v>34235</v>
      </c>
    </row>
    <row r="58" spans="1:55">
      <c r="A58" s="585" t="s">
        <v>6445</v>
      </c>
      <c r="B58" s="1007">
        <v>-3301</v>
      </c>
      <c r="C58" s="1007">
        <v>-3279</v>
      </c>
      <c r="D58" s="619">
        <v>-3035</v>
      </c>
      <c r="E58" s="619">
        <v>-2118</v>
      </c>
      <c r="F58" s="619">
        <v>-2041</v>
      </c>
      <c r="G58" s="1007">
        <v>-1958</v>
      </c>
      <c r="H58" s="1007">
        <v>-2068</v>
      </c>
      <c r="I58" s="1007"/>
      <c r="J58" s="1007"/>
      <c r="L58" s="382" t="s">
        <v>6546</v>
      </c>
      <c r="M58" s="382"/>
      <c r="N58" s="382"/>
      <c r="Z58" s="525"/>
      <c r="AB58" s="525"/>
      <c r="AC58" s="525"/>
      <c r="AD58" s="525"/>
      <c r="AE58" s="525"/>
      <c r="AF58" s="525"/>
    </row>
    <row r="59" spans="1:55">
      <c r="A59" s="524" t="s">
        <v>6449</v>
      </c>
      <c r="B59" s="525">
        <v>463</v>
      </c>
      <c r="C59" s="525">
        <v>185</v>
      </c>
      <c r="D59" s="382">
        <v>355</v>
      </c>
      <c r="E59" s="463">
        <v>1352</v>
      </c>
      <c r="F59" s="463">
        <v>1143</v>
      </c>
      <c r="G59" s="525">
        <v>1140</v>
      </c>
      <c r="H59" s="525">
        <v>1122</v>
      </c>
      <c r="I59" s="525"/>
      <c r="J59" s="525"/>
      <c r="L59" s="382" t="s">
        <v>6547</v>
      </c>
      <c r="M59" s="381"/>
      <c r="N59" s="382"/>
      <c r="O59" s="586"/>
      <c r="P59" s="586"/>
      <c r="Q59" s="586"/>
      <c r="R59" s="586"/>
      <c r="S59" s="586"/>
      <c r="W59" s="585" t="s">
        <v>6492</v>
      </c>
      <c r="X59" s="1004">
        <v>49263</v>
      </c>
      <c r="Y59" s="1004"/>
      <c r="Z59" s="1004">
        <v>45786</v>
      </c>
      <c r="AA59" s="1004"/>
      <c r="AB59" s="1004">
        <v>47062</v>
      </c>
      <c r="AC59" s="1004"/>
      <c r="AD59" s="1004">
        <v>41196</v>
      </c>
      <c r="AE59" s="1004"/>
      <c r="AF59" s="1004">
        <v>40877</v>
      </c>
    </row>
    <row r="60" spans="1:55">
      <c r="A60" s="615" t="s">
        <v>6426</v>
      </c>
      <c r="B60" s="585">
        <v>73</v>
      </c>
      <c r="C60" s="585">
        <v>82</v>
      </c>
      <c r="D60" s="382">
        <v>71</v>
      </c>
      <c r="E60" s="382">
        <v>96</v>
      </c>
      <c r="F60" s="463">
        <v>88</v>
      </c>
      <c r="G60" s="525">
        <v>112</v>
      </c>
      <c r="H60" s="525">
        <v>84</v>
      </c>
      <c r="I60" s="525"/>
      <c r="J60" s="525"/>
      <c r="L60" s="588" t="s">
        <v>1810</v>
      </c>
      <c r="M60" s="939">
        <v>2022</v>
      </c>
      <c r="N60" s="590">
        <v>2021</v>
      </c>
      <c r="O60" s="589">
        <v>2020</v>
      </c>
      <c r="P60" s="589">
        <v>2019</v>
      </c>
      <c r="Q60" s="938">
        <v>2018</v>
      </c>
      <c r="R60" s="939">
        <v>2017</v>
      </c>
      <c r="S60" s="939">
        <v>2016</v>
      </c>
    </row>
    <row r="61" spans="1:55">
      <c r="A61" s="615" t="s">
        <v>25</v>
      </c>
      <c r="B61" s="585">
        <v>392</v>
      </c>
      <c r="C61" s="585">
        <v>108</v>
      </c>
      <c r="D61" s="382">
        <v>288</v>
      </c>
      <c r="E61" s="463">
        <v>1254</v>
      </c>
      <c r="F61" s="463">
        <v>1054</v>
      </c>
      <c r="G61" s="525">
        <v>1028</v>
      </c>
      <c r="H61" s="525">
        <v>1037</v>
      </c>
      <c r="I61" s="525"/>
      <c r="J61" s="525"/>
      <c r="M61" s="2101" t="s">
        <v>1666</v>
      </c>
      <c r="N61" s="2102"/>
      <c r="O61" s="2102"/>
      <c r="P61" s="2102"/>
      <c r="Q61" s="2102"/>
      <c r="R61" s="2102"/>
      <c r="S61" s="2102"/>
      <c r="W61" s="585" t="s">
        <v>6500</v>
      </c>
      <c r="X61" s="585">
        <v>3.8</v>
      </c>
      <c r="Z61" s="585">
        <v>3.5</v>
      </c>
      <c r="AB61" s="585">
        <v>3.9</v>
      </c>
      <c r="AD61" s="585">
        <v>3.7</v>
      </c>
      <c r="AF61" s="585">
        <v>3.8</v>
      </c>
    </row>
    <row r="62" spans="1:55">
      <c r="A62" s="524" t="s">
        <v>6460</v>
      </c>
      <c r="B62" s="525">
        <v>3764</v>
      </c>
      <c r="C62" s="525">
        <v>3464</v>
      </c>
      <c r="D62" s="463">
        <v>3391</v>
      </c>
      <c r="E62" s="463">
        <v>3470</v>
      </c>
      <c r="F62" s="463">
        <v>3184</v>
      </c>
      <c r="G62" s="525">
        <v>3098</v>
      </c>
      <c r="H62" s="525">
        <v>3190</v>
      </c>
      <c r="I62" s="1007"/>
      <c r="J62" s="1007"/>
      <c r="L62" s="524" t="s">
        <v>6418</v>
      </c>
      <c r="M62" s="1459">
        <v>5.5</v>
      </c>
      <c r="N62" s="857">
        <v>3.2</v>
      </c>
      <c r="O62" s="857">
        <v>4</v>
      </c>
      <c r="P62" s="855">
        <v>2.4</v>
      </c>
      <c r="Q62" s="855">
        <v>1.5</v>
      </c>
      <c r="R62" s="855">
        <v>1</v>
      </c>
      <c r="S62" s="855">
        <v>1.6</v>
      </c>
      <c r="T62" s="855"/>
      <c r="U62" s="855"/>
    </row>
    <row r="63" spans="1:55">
      <c r="A63" s="615" t="s">
        <v>6426</v>
      </c>
      <c r="B63" s="525">
        <v>2804</v>
      </c>
      <c r="C63" s="525">
        <v>2609</v>
      </c>
      <c r="D63" s="463">
        <v>2559</v>
      </c>
      <c r="E63" s="463">
        <v>2731</v>
      </c>
      <c r="F63" s="463">
        <v>2511</v>
      </c>
      <c r="G63" s="525">
        <v>2470</v>
      </c>
      <c r="H63" s="525">
        <v>2480</v>
      </c>
      <c r="I63" s="525"/>
      <c r="J63" s="525"/>
      <c r="L63" s="586" t="s">
        <v>6423</v>
      </c>
      <c r="M63" s="1460">
        <v>6.8</v>
      </c>
      <c r="N63" s="805">
        <v>4</v>
      </c>
      <c r="O63" s="867">
        <v>1.6</v>
      </c>
      <c r="P63" s="867">
        <v>0.8</v>
      </c>
      <c r="Q63" s="855">
        <v>2.2000000000000002</v>
      </c>
      <c r="R63" s="855">
        <v>2.1</v>
      </c>
      <c r="S63" s="855">
        <v>1.4</v>
      </c>
      <c r="T63" s="855"/>
      <c r="U63" s="855"/>
      <c r="W63" s="586" t="s">
        <v>6548</v>
      </c>
      <c r="X63" s="586">
        <v>1.7</v>
      </c>
      <c r="Y63" s="586"/>
      <c r="Z63" s="586">
        <v>1.5</v>
      </c>
      <c r="AA63" s="586"/>
      <c r="AB63" s="586">
        <v>2.2000000000000002</v>
      </c>
      <c r="AC63" s="586"/>
      <c r="AD63" s="586">
        <v>1.6</v>
      </c>
      <c r="AE63" s="586"/>
      <c r="AF63" s="586">
        <v>1.6</v>
      </c>
      <c r="AG63" s="586"/>
    </row>
    <row r="64" spans="1:55">
      <c r="A64" s="615" t="s">
        <v>25</v>
      </c>
      <c r="B64" s="463">
        <v>935</v>
      </c>
      <c r="C64" s="463">
        <v>838</v>
      </c>
      <c r="D64" s="382">
        <v>816</v>
      </c>
      <c r="E64" s="382">
        <v>745</v>
      </c>
      <c r="F64" s="463">
        <v>680</v>
      </c>
      <c r="G64" s="525">
        <v>638</v>
      </c>
      <c r="H64" s="525">
        <v>711</v>
      </c>
      <c r="I64" s="525"/>
      <c r="J64" s="525"/>
      <c r="M64" s="2127" t="s">
        <v>6549</v>
      </c>
      <c r="N64" s="2128"/>
      <c r="O64" s="2128"/>
      <c r="P64" s="2128"/>
      <c r="Q64" s="2128"/>
      <c r="R64" s="2128"/>
      <c r="S64" s="2128"/>
      <c r="T64" s="382"/>
      <c r="U64" s="382"/>
      <c r="W64" s="585" t="s">
        <v>6550</v>
      </c>
    </row>
    <row r="65" spans="1:53">
      <c r="D65" s="382"/>
      <c r="E65" s="382"/>
      <c r="F65" s="463"/>
      <c r="G65" s="525"/>
      <c r="H65" s="525"/>
      <c r="I65" s="525"/>
      <c r="J65" s="525"/>
      <c r="L65" s="524" t="s">
        <v>6418</v>
      </c>
      <c r="M65" s="1461">
        <v>127.5</v>
      </c>
      <c r="N65" s="623">
        <v>120.9</v>
      </c>
      <c r="O65" s="623">
        <v>117.1</v>
      </c>
      <c r="P65" s="623">
        <v>112.5</v>
      </c>
      <c r="Q65" s="623">
        <v>109.9</v>
      </c>
      <c r="R65" s="623">
        <v>108.3</v>
      </c>
      <c r="S65" s="623">
        <v>107.2</v>
      </c>
      <c r="T65" s="623"/>
      <c r="U65" s="623"/>
    </row>
    <row r="66" spans="1:53">
      <c r="A66" s="624" t="s">
        <v>6475</v>
      </c>
      <c r="D66" s="382"/>
      <c r="E66" s="382"/>
      <c r="F66" s="463"/>
      <c r="G66" s="525"/>
      <c r="H66" s="525"/>
      <c r="I66" s="525"/>
      <c r="J66" s="525"/>
      <c r="L66" s="586" t="s">
        <v>6423</v>
      </c>
      <c r="M66" s="1460">
        <v>120</v>
      </c>
      <c r="N66" s="634">
        <v>112.3</v>
      </c>
      <c r="O66" s="634">
        <v>107.9</v>
      </c>
      <c r="P66" s="634">
        <v>106.3</v>
      </c>
      <c r="Q66" s="634">
        <v>105.4</v>
      </c>
      <c r="R66" s="634">
        <v>103.2</v>
      </c>
      <c r="S66" s="634">
        <v>101</v>
      </c>
      <c r="T66" s="623"/>
      <c r="U66" s="623"/>
    </row>
    <row r="67" spans="1:53">
      <c r="A67" s="524" t="s">
        <v>6478</v>
      </c>
      <c r="B67" s="525">
        <v>3595</v>
      </c>
      <c r="C67" s="525">
        <v>3547</v>
      </c>
      <c r="D67" s="463">
        <v>3406</v>
      </c>
      <c r="E67" s="463">
        <v>3115</v>
      </c>
      <c r="F67" s="463">
        <v>3003</v>
      </c>
      <c r="G67" s="525">
        <v>2999</v>
      </c>
      <c r="H67" s="525">
        <v>3051</v>
      </c>
      <c r="I67" s="525"/>
      <c r="J67" s="525"/>
      <c r="L67" s="585" t="s">
        <v>6422</v>
      </c>
    </row>
    <row r="68" spans="1:53">
      <c r="A68" s="524" t="s">
        <v>4579</v>
      </c>
      <c r="B68" s="525">
        <v>2245</v>
      </c>
      <c r="C68" s="525">
        <v>2146</v>
      </c>
      <c r="D68" s="463">
        <v>2084</v>
      </c>
      <c r="E68" s="463">
        <v>1938</v>
      </c>
      <c r="F68" s="463">
        <v>1808</v>
      </c>
      <c r="G68" s="525">
        <v>1787</v>
      </c>
      <c r="H68" s="525">
        <v>1920</v>
      </c>
      <c r="I68" s="525"/>
      <c r="J68" s="525"/>
      <c r="L68" s="624"/>
      <c r="Y68" s="525"/>
    </row>
    <row r="69" spans="1:53">
      <c r="A69" s="655" t="s">
        <v>6483</v>
      </c>
      <c r="B69" s="633">
        <v>1352</v>
      </c>
      <c r="C69" s="633">
        <v>1400</v>
      </c>
      <c r="D69" s="497">
        <v>1321</v>
      </c>
      <c r="E69" s="497">
        <v>1177</v>
      </c>
      <c r="F69" s="497">
        <v>1195</v>
      </c>
      <c r="G69" s="633">
        <v>1212</v>
      </c>
      <c r="H69" s="633">
        <v>1133</v>
      </c>
      <c r="I69" s="525"/>
      <c r="J69" s="525"/>
    </row>
    <row r="70" spans="1:53">
      <c r="A70" s="585" t="s">
        <v>6422</v>
      </c>
      <c r="I70" s="525"/>
      <c r="J70" s="525"/>
      <c r="Y70" s="525"/>
    </row>
    <row r="71" spans="1:53">
      <c r="A71" s="624" t="s">
        <v>6491</v>
      </c>
      <c r="B71" s="624"/>
      <c r="C71" s="624"/>
      <c r="D71" s="624"/>
      <c r="I71" s="525"/>
      <c r="J71" s="525"/>
      <c r="L71" s="382" t="s">
        <v>6551</v>
      </c>
      <c r="M71" s="382"/>
      <c r="N71" s="382"/>
    </row>
    <row r="72" spans="1:53">
      <c r="I72" s="525"/>
      <c r="J72" s="525"/>
      <c r="L72" s="382" t="s">
        <v>6552</v>
      </c>
      <c r="M72" s="381"/>
      <c r="N72" s="382"/>
    </row>
    <row r="73" spans="1:53">
      <c r="I73" s="525"/>
      <c r="J73" s="525"/>
      <c r="L73" s="588" t="s">
        <v>1810</v>
      </c>
      <c r="M73" s="938">
        <v>2022</v>
      </c>
      <c r="N73" s="938">
        <v>2021</v>
      </c>
      <c r="O73" s="642">
        <v>2020</v>
      </c>
      <c r="P73" s="642">
        <v>2019</v>
      </c>
      <c r="Q73" s="664">
        <v>2018</v>
      </c>
      <c r="R73" s="938">
        <v>2017</v>
      </c>
      <c r="S73" s="939">
        <v>2016</v>
      </c>
    </row>
    <row r="74" spans="1:53">
      <c r="L74" s="524" t="s">
        <v>6553</v>
      </c>
      <c r="M74" s="525">
        <v>6910</v>
      </c>
      <c r="N74" s="525">
        <v>6234</v>
      </c>
      <c r="O74" s="463">
        <v>5916</v>
      </c>
      <c r="P74" s="463">
        <v>6355</v>
      </c>
      <c r="Q74" s="463">
        <v>6051</v>
      </c>
      <c r="R74" s="525">
        <v>6013</v>
      </c>
      <c r="S74" s="525">
        <v>5901</v>
      </c>
      <c r="T74" s="525"/>
      <c r="U74" s="525"/>
    </row>
    <row r="75" spans="1:53">
      <c r="O75" s="382"/>
      <c r="P75" s="463"/>
      <c r="Q75" s="463"/>
      <c r="R75" s="525"/>
      <c r="S75" s="525"/>
      <c r="T75" s="525"/>
      <c r="U75" s="525"/>
    </row>
    <row r="76" spans="1:53">
      <c r="L76" s="585" t="s">
        <v>6554</v>
      </c>
      <c r="M76" s="525">
        <v>4038</v>
      </c>
      <c r="N76" s="525">
        <v>3615</v>
      </c>
      <c r="O76" s="463">
        <v>3527</v>
      </c>
      <c r="P76" s="463">
        <v>3557</v>
      </c>
      <c r="Q76" s="463">
        <v>3379</v>
      </c>
      <c r="R76" s="525">
        <v>3335</v>
      </c>
      <c r="S76" s="525">
        <v>3264</v>
      </c>
      <c r="T76" s="525"/>
      <c r="U76" s="525"/>
    </row>
    <row r="77" spans="1:53">
      <c r="O77" s="382"/>
      <c r="P77" s="463"/>
      <c r="Q77" s="463"/>
      <c r="R77" s="525"/>
      <c r="S77" s="525"/>
      <c r="T77" s="525"/>
      <c r="U77" s="525"/>
    </row>
    <row r="78" spans="1:53">
      <c r="A78" s="1462"/>
      <c r="L78" s="585" t="s">
        <v>6555</v>
      </c>
      <c r="M78" s="585">
        <v>445</v>
      </c>
      <c r="N78" s="585">
        <v>338</v>
      </c>
      <c r="O78" s="382">
        <v>277</v>
      </c>
      <c r="P78" s="463">
        <v>501</v>
      </c>
      <c r="Q78" s="463">
        <v>468</v>
      </c>
      <c r="R78" s="525">
        <v>421</v>
      </c>
      <c r="S78" s="525">
        <v>408</v>
      </c>
      <c r="T78" s="525"/>
      <c r="U78" s="525"/>
    </row>
    <row r="79" spans="1:53">
      <c r="O79" s="382"/>
      <c r="P79" s="463"/>
      <c r="Q79" s="463"/>
      <c r="R79" s="525"/>
      <c r="S79" s="525"/>
      <c r="T79" s="525"/>
      <c r="U79" s="525"/>
      <c r="AX79" s="623"/>
      <c r="AY79" s="623"/>
      <c r="AZ79" s="623"/>
      <c r="BA79" s="623"/>
    </row>
    <row r="80" spans="1:53">
      <c r="L80" s="586" t="s">
        <v>6556</v>
      </c>
      <c r="M80" s="633">
        <v>2427</v>
      </c>
      <c r="N80" s="633">
        <v>2281</v>
      </c>
      <c r="O80" s="497">
        <v>2112</v>
      </c>
      <c r="P80" s="497">
        <v>2297</v>
      </c>
      <c r="Q80" s="497">
        <v>2204</v>
      </c>
      <c r="R80" s="633">
        <v>2257</v>
      </c>
      <c r="S80" s="633">
        <v>2229</v>
      </c>
      <c r="T80" s="525"/>
      <c r="U80" s="525"/>
      <c r="AT80" s="623"/>
      <c r="AU80" s="623"/>
      <c r="AV80" s="623"/>
      <c r="AW80" s="623"/>
      <c r="AX80" s="623"/>
      <c r="AY80" s="623"/>
      <c r="AZ80" s="623"/>
      <c r="BA80" s="623"/>
    </row>
    <row r="81" spans="12:54">
      <c r="L81" s="585" t="s">
        <v>6422</v>
      </c>
      <c r="AT81" s="623"/>
      <c r="AU81" s="623"/>
      <c r="AV81" s="623"/>
      <c r="AW81" s="623"/>
      <c r="AX81" s="623"/>
      <c r="AY81" s="623"/>
      <c r="AZ81" s="623"/>
      <c r="BA81" s="623"/>
    </row>
    <row r="82" spans="12:54">
      <c r="L82" s="585" t="s">
        <v>6557</v>
      </c>
      <c r="AT82" s="623"/>
      <c r="AU82" s="623"/>
      <c r="AV82" s="623"/>
      <c r="AX82" s="623"/>
      <c r="AY82" s="623"/>
      <c r="AZ82" s="623"/>
      <c r="BA82" s="623"/>
    </row>
    <row r="83" spans="12:54">
      <c r="BB83" s="623"/>
    </row>
    <row r="84" spans="12:54">
      <c r="BB84" s="623"/>
    </row>
    <row r="85" spans="12:54">
      <c r="BB85" s="623"/>
    </row>
    <row r="86" spans="12:54">
      <c r="L86" s="382" t="s">
        <v>6558</v>
      </c>
      <c r="M86" s="382"/>
      <c r="N86" s="382"/>
      <c r="BB86" s="623"/>
    </row>
    <row r="87" spans="12:54">
      <c r="L87" s="382" t="s">
        <v>6552</v>
      </c>
      <c r="M87" s="381"/>
      <c r="N87" s="381"/>
    </row>
    <row r="88" spans="12:54">
      <c r="L88" s="588" t="s">
        <v>1810</v>
      </c>
      <c r="M88" s="938">
        <v>2021</v>
      </c>
      <c r="N88" s="938">
        <v>2020</v>
      </c>
      <c r="O88" s="642">
        <v>2019</v>
      </c>
      <c r="P88" s="642">
        <v>2018</v>
      </c>
      <c r="Q88" s="938">
        <v>2017</v>
      </c>
      <c r="R88" s="938">
        <v>2016</v>
      </c>
      <c r="S88" s="939">
        <v>2015</v>
      </c>
    </row>
    <row r="89" spans="12:54">
      <c r="L89" s="524" t="s">
        <v>6418</v>
      </c>
      <c r="M89" s="525">
        <v>6234</v>
      </c>
      <c r="N89" s="525">
        <v>5916</v>
      </c>
      <c r="O89" s="463">
        <v>6355</v>
      </c>
      <c r="P89" s="463">
        <v>6051</v>
      </c>
      <c r="Q89" s="525">
        <v>6013</v>
      </c>
      <c r="R89" s="525">
        <v>5901</v>
      </c>
      <c r="S89" s="525">
        <v>5799</v>
      </c>
      <c r="T89" s="525"/>
      <c r="U89" s="525"/>
    </row>
    <row r="90" spans="12:54">
      <c r="O90" s="382"/>
      <c r="P90" s="463"/>
      <c r="Q90" s="525"/>
      <c r="R90" s="525"/>
      <c r="S90" s="525"/>
      <c r="T90" s="525"/>
      <c r="U90" s="525"/>
    </row>
    <row r="91" spans="12:54">
      <c r="L91" s="382" t="s">
        <v>6559</v>
      </c>
      <c r="M91" s="525">
        <v>3717</v>
      </c>
      <c r="N91" s="525">
        <v>3454</v>
      </c>
      <c r="O91" s="463">
        <v>3999</v>
      </c>
      <c r="P91" s="463">
        <v>3741</v>
      </c>
      <c r="Q91" s="463">
        <v>3709</v>
      </c>
      <c r="R91" s="525">
        <v>3586</v>
      </c>
      <c r="S91" s="525">
        <v>3465</v>
      </c>
      <c r="T91" s="525"/>
      <c r="U91" s="525"/>
    </row>
    <row r="92" spans="12:54">
      <c r="L92" s="451" t="s">
        <v>2310</v>
      </c>
      <c r="M92" s="585">
        <v>604</v>
      </c>
      <c r="N92" s="585">
        <v>522</v>
      </c>
      <c r="O92" s="382">
        <v>453</v>
      </c>
      <c r="P92" s="463">
        <v>412</v>
      </c>
      <c r="Q92" s="463">
        <v>388</v>
      </c>
      <c r="R92" s="525">
        <v>376</v>
      </c>
      <c r="S92" s="525">
        <v>420</v>
      </c>
      <c r="T92" s="525"/>
      <c r="U92" s="525"/>
    </row>
    <row r="93" spans="12:54">
      <c r="L93" s="451" t="s">
        <v>6560</v>
      </c>
      <c r="M93" s="585">
        <v>570</v>
      </c>
      <c r="N93" s="585">
        <v>496</v>
      </c>
      <c r="O93" s="382">
        <v>683</v>
      </c>
      <c r="P93" s="463">
        <v>625</v>
      </c>
      <c r="Q93" s="463">
        <v>624</v>
      </c>
      <c r="R93" s="525">
        <v>607</v>
      </c>
      <c r="S93" s="525">
        <v>587</v>
      </c>
      <c r="T93" s="525"/>
      <c r="U93" s="525"/>
      <c r="AT93" s="1463"/>
      <c r="AU93" s="1463"/>
      <c r="AV93" s="1463"/>
      <c r="AW93" s="1463"/>
      <c r="AX93" s="1463"/>
    </row>
    <row r="94" spans="12:54">
      <c r="L94" s="451" t="s">
        <v>6561</v>
      </c>
      <c r="M94" s="382">
        <v>349</v>
      </c>
      <c r="N94" s="382">
        <v>397</v>
      </c>
      <c r="O94" s="382">
        <v>838</v>
      </c>
      <c r="P94" s="463">
        <v>759</v>
      </c>
      <c r="Q94" s="463">
        <v>736</v>
      </c>
      <c r="R94" s="525">
        <v>708</v>
      </c>
      <c r="S94" s="525">
        <v>651</v>
      </c>
      <c r="T94" s="525"/>
      <c r="U94" s="525"/>
      <c r="AR94" s="637"/>
      <c r="AT94" s="1463"/>
      <c r="AU94" s="1463"/>
      <c r="AV94" s="1463"/>
      <c r="AW94" s="1463"/>
      <c r="AX94" s="1463"/>
    </row>
    <row r="95" spans="12:54">
      <c r="L95" s="451" t="s">
        <v>6562</v>
      </c>
      <c r="M95" s="525">
        <v>2194</v>
      </c>
      <c r="N95" s="525">
        <v>2039</v>
      </c>
      <c r="O95" s="463">
        <v>2024</v>
      </c>
      <c r="P95" s="463">
        <v>1946</v>
      </c>
      <c r="Q95" s="463">
        <v>1962</v>
      </c>
      <c r="R95" s="525">
        <v>1895</v>
      </c>
      <c r="S95" s="525">
        <v>1807</v>
      </c>
      <c r="T95" s="525"/>
      <c r="U95" s="525"/>
      <c r="AX95" s="623"/>
    </row>
    <row r="96" spans="12:54">
      <c r="O96" s="382"/>
      <c r="P96" s="463"/>
      <c r="Q96" s="525"/>
      <c r="R96" s="525"/>
      <c r="S96" s="525"/>
      <c r="T96" s="525"/>
      <c r="U96" s="525"/>
      <c r="AT96" s="624"/>
      <c r="AU96" s="624"/>
      <c r="AY96" s="623"/>
    </row>
    <row r="97" spans="12:51">
      <c r="L97" s="382" t="s">
        <v>2334</v>
      </c>
      <c r="M97" s="525">
        <v>2518</v>
      </c>
      <c r="N97" s="525">
        <v>2461</v>
      </c>
      <c r="O97" s="463">
        <v>2356</v>
      </c>
      <c r="P97" s="463">
        <v>2310</v>
      </c>
      <c r="Q97" s="463">
        <v>2303</v>
      </c>
      <c r="R97" s="525">
        <v>2315</v>
      </c>
      <c r="S97" s="525">
        <v>2334</v>
      </c>
      <c r="T97" s="525"/>
      <c r="U97" s="525"/>
      <c r="AS97" s="886"/>
      <c r="AT97" s="624"/>
      <c r="AU97" s="624"/>
      <c r="AY97" s="623"/>
    </row>
    <row r="98" spans="12:51">
      <c r="L98" s="451" t="s">
        <v>4579</v>
      </c>
      <c r="M98" s="525">
        <v>1471</v>
      </c>
      <c r="N98" s="525">
        <v>1439</v>
      </c>
      <c r="O98" s="463">
        <v>1353</v>
      </c>
      <c r="P98" s="463">
        <v>1303</v>
      </c>
      <c r="Q98" s="463">
        <v>1288</v>
      </c>
      <c r="R98" s="525">
        <v>1295</v>
      </c>
      <c r="S98" s="525">
        <v>1331</v>
      </c>
      <c r="T98" s="525"/>
      <c r="U98" s="525"/>
      <c r="AS98" s="886"/>
      <c r="AT98" s="624"/>
      <c r="AU98" s="624"/>
      <c r="AY98" s="623"/>
    </row>
    <row r="99" spans="12:51">
      <c r="L99" s="498" t="s">
        <v>6483</v>
      </c>
      <c r="M99" s="633">
        <v>1046</v>
      </c>
      <c r="N99" s="633">
        <v>1023</v>
      </c>
      <c r="O99" s="497">
        <v>1003</v>
      </c>
      <c r="P99" s="497">
        <v>1007</v>
      </c>
      <c r="Q99" s="497">
        <v>1016</v>
      </c>
      <c r="R99" s="633">
        <v>1020</v>
      </c>
      <c r="S99" s="633">
        <v>1003</v>
      </c>
      <c r="T99" s="525"/>
      <c r="U99" s="525"/>
      <c r="AS99" s="624"/>
      <c r="AT99" s="624"/>
      <c r="AU99" s="624"/>
      <c r="AY99" s="623"/>
    </row>
    <row r="100" spans="12:51">
      <c r="L100" s="585" t="s">
        <v>6422</v>
      </c>
      <c r="AT100" s="624"/>
      <c r="AU100" s="624"/>
      <c r="AY100" s="623"/>
    </row>
    <row r="101" spans="12:51">
      <c r="L101" s="585" t="s">
        <v>6557</v>
      </c>
      <c r="AT101" s="624"/>
      <c r="AU101" s="624"/>
      <c r="AY101" s="623"/>
    </row>
    <row r="102" spans="12:51">
      <c r="O102" s="525"/>
      <c r="P102" s="525"/>
      <c r="Q102" s="525"/>
      <c r="R102" s="525"/>
      <c r="S102" s="525"/>
      <c r="AT102" s="624"/>
      <c r="AU102" s="624"/>
      <c r="AY102" s="623"/>
    </row>
    <row r="103" spans="12:51">
      <c r="AX103" s="623"/>
    </row>
    <row r="104" spans="12:51">
      <c r="AX104" s="623"/>
    </row>
    <row r="105" spans="12:51">
      <c r="L105" s="382" t="s">
        <v>6563</v>
      </c>
      <c r="M105" s="382"/>
      <c r="N105" s="382"/>
    </row>
    <row r="106" spans="12:51">
      <c r="L106" s="382" t="s">
        <v>6564</v>
      </c>
      <c r="M106" s="381"/>
      <c r="N106" s="381"/>
    </row>
    <row r="107" spans="12:51">
      <c r="L107" s="588" t="s">
        <v>1810</v>
      </c>
      <c r="M107" s="938">
        <v>2021</v>
      </c>
      <c r="N107" s="938">
        <v>2020</v>
      </c>
      <c r="O107" s="589">
        <v>2019</v>
      </c>
      <c r="P107" s="589">
        <v>2018</v>
      </c>
      <c r="Q107" s="938">
        <v>2017</v>
      </c>
      <c r="R107" s="938">
        <v>2016</v>
      </c>
      <c r="S107" s="939">
        <v>2015</v>
      </c>
      <c r="AS107" s="624"/>
    </row>
    <row r="108" spans="12:51">
      <c r="L108" s="524" t="s">
        <v>6418</v>
      </c>
      <c r="M108" s="585">
        <v>100</v>
      </c>
      <c r="N108" s="585">
        <v>100</v>
      </c>
      <c r="O108" s="585">
        <v>100</v>
      </c>
      <c r="P108" s="585">
        <v>100</v>
      </c>
      <c r="Q108" s="585">
        <v>100</v>
      </c>
      <c r="R108" s="585">
        <v>100</v>
      </c>
      <c r="S108" s="585">
        <v>100</v>
      </c>
      <c r="AS108" s="624"/>
    </row>
    <row r="110" spans="12:51">
      <c r="L110" s="382" t="s">
        <v>6559</v>
      </c>
      <c r="M110" s="585">
        <v>60</v>
      </c>
      <c r="N110" s="585">
        <v>58</v>
      </c>
      <c r="O110" s="585">
        <v>63</v>
      </c>
      <c r="P110" s="585">
        <v>62</v>
      </c>
      <c r="Q110" s="382">
        <v>62</v>
      </c>
      <c r="R110" s="382">
        <v>61</v>
      </c>
      <c r="S110" s="382">
        <v>60</v>
      </c>
    </row>
    <row r="111" spans="12:51">
      <c r="L111" s="451" t="s">
        <v>2310</v>
      </c>
      <c r="M111" s="585">
        <v>10</v>
      </c>
      <c r="N111" s="382">
        <v>9</v>
      </c>
      <c r="O111" s="382">
        <v>7</v>
      </c>
      <c r="P111" s="382">
        <v>7</v>
      </c>
      <c r="Q111" s="382">
        <v>6</v>
      </c>
      <c r="R111" s="382">
        <v>6</v>
      </c>
      <c r="S111" s="382">
        <v>7</v>
      </c>
    </row>
    <row r="112" spans="12:51">
      <c r="L112" s="451" t="s">
        <v>6560</v>
      </c>
      <c r="M112" s="585">
        <v>9</v>
      </c>
      <c r="N112" s="382">
        <v>8</v>
      </c>
      <c r="O112" s="382">
        <v>11</v>
      </c>
      <c r="P112" s="382">
        <v>10</v>
      </c>
      <c r="Q112" s="382">
        <v>10</v>
      </c>
      <c r="R112" s="382">
        <v>10</v>
      </c>
      <c r="S112" s="382">
        <v>10</v>
      </c>
    </row>
    <row r="113" spans="12:21">
      <c r="L113" s="451" t="s">
        <v>6561</v>
      </c>
      <c r="M113" s="585">
        <v>6</v>
      </c>
      <c r="N113" s="382">
        <v>7</v>
      </c>
      <c r="O113" s="382">
        <v>13</v>
      </c>
      <c r="P113" s="382">
        <v>13</v>
      </c>
      <c r="Q113" s="382">
        <v>12</v>
      </c>
      <c r="R113" s="382">
        <v>12</v>
      </c>
      <c r="S113" s="382">
        <v>11</v>
      </c>
    </row>
    <row r="114" spans="12:21">
      <c r="L114" s="451" t="s">
        <v>6562</v>
      </c>
      <c r="M114" s="585">
        <v>35</v>
      </c>
      <c r="N114" s="382">
        <v>34</v>
      </c>
      <c r="O114" s="382">
        <v>32</v>
      </c>
      <c r="P114" s="382">
        <v>32</v>
      </c>
      <c r="Q114" s="382">
        <v>33</v>
      </c>
      <c r="R114" s="382">
        <v>32</v>
      </c>
      <c r="S114" s="382">
        <v>31</v>
      </c>
    </row>
    <row r="116" spans="12:21">
      <c r="L116" s="382" t="s">
        <v>2334</v>
      </c>
      <c r="M116" s="585">
        <v>40</v>
      </c>
      <c r="N116" s="382">
        <v>42</v>
      </c>
      <c r="O116" s="585">
        <v>37</v>
      </c>
      <c r="P116" s="585">
        <v>38</v>
      </c>
      <c r="Q116" s="585">
        <v>38</v>
      </c>
      <c r="R116" s="585">
        <v>39</v>
      </c>
      <c r="S116" s="585">
        <v>40</v>
      </c>
    </row>
    <row r="117" spans="12:21">
      <c r="L117" s="451" t="s">
        <v>4579</v>
      </c>
      <c r="M117" s="585">
        <v>24</v>
      </c>
      <c r="N117" s="382">
        <v>24</v>
      </c>
      <c r="O117" s="585">
        <v>21</v>
      </c>
      <c r="P117" s="585">
        <v>22</v>
      </c>
      <c r="Q117" s="585">
        <v>21</v>
      </c>
      <c r="R117" s="585">
        <v>22</v>
      </c>
      <c r="S117" s="585">
        <v>23</v>
      </c>
    </row>
    <row r="118" spans="12:21">
      <c r="L118" s="498" t="s">
        <v>6483</v>
      </c>
      <c r="M118" s="586">
        <v>17</v>
      </c>
      <c r="N118" s="586">
        <v>17</v>
      </c>
      <c r="O118" s="586">
        <v>16</v>
      </c>
      <c r="P118" s="586">
        <v>17</v>
      </c>
      <c r="Q118" s="381">
        <v>17</v>
      </c>
      <c r="R118" s="586">
        <v>17</v>
      </c>
      <c r="S118" s="586">
        <v>17</v>
      </c>
    </row>
    <row r="119" spans="12:21">
      <c r="L119" s="585" t="s">
        <v>6422</v>
      </c>
      <c r="P119" s="382"/>
    </row>
    <row r="123" spans="12:21">
      <c r="L123" s="382" t="s">
        <v>6565</v>
      </c>
      <c r="M123" s="382"/>
      <c r="N123" s="382"/>
    </row>
    <row r="124" spans="12:21">
      <c r="L124" s="382" t="s">
        <v>6566</v>
      </c>
      <c r="M124" s="381"/>
      <c r="N124" s="381"/>
    </row>
    <row r="125" spans="12:21">
      <c r="L125" s="588" t="s">
        <v>1810</v>
      </c>
      <c r="M125" s="938">
        <v>2021</v>
      </c>
      <c r="N125" s="938">
        <v>2020</v>
      </c>
      <c r="O125" s="642">
        <v>2019</v>
      </c>
      <c r="P125" s="642">
        <v>2018</v>
      </c>
      <c r="Q125" s="938">
        <v>2017</v>
      </c>
      <c r="R125" s="938">
        <v>2016</v>
      </c>
      <c r="S125" s="939">
        <v>2015</v>
      </c>
    </row>
    <row r="126" spans="12:21">
      <c r="L126" s="524" t="s">
        <v>6418</v>
      </c>
      <c r="M126" s="525">
        <v>5157</v>
      </c>
      <c r="N126" s="525">
        <v>5053</v>
      </c>
      <c r="O126" s="463">
        <v>5647</v>
      </c>
      <c r="P126" s="463">
        <v>5508</v>
      </c>
      <c r="Q126" s="525">
        <v>5554</v>
      </c>
      <c r="R126" s="525">
        <v>5505</v>
      </c>
      <c r="S126" s="525">
        <v>5495</v>
      </c>
      <c r="T126" s="525"/>
      <c r="U126" s="525"/>
    </row>
    <row r="127" spans="12:21">
      <c r="O127" s="382"/>
      <c r="P127" s="463"/>
      <c r="Q127" s="525"/>
      <c r="R127" s="525"/>
      <c r="S127" s="525"/>
      <c r="T127" s="525"/>
      <c r="U127" s="525"/>
    </row>
    <row r="128" spans="12:21">
      <c r="L128" s="382" t="s">
        <v>6559</v>
      </c>
      <c r="M128" s="525">
        <v>3109</v>
      </c>
      <c r="N128" s="525">
        <v>2979</v>
      </c>
      <c r="O128" s="463">
        <v>3611</v>
      </c>
      <c r="P128" s="463">
        <v>3456</v>
      </c>
      <c r="Q128" s="463">
        <v>3442</v>
      </c>
      <c r="R128" s="525">
        <v>3383</v>
      </c>
      <c r="S128" s="525">
        <v>3331</v>
      </c>
      <c r="T128" s="525"/>
      <c r="U128" s="525"/>
    </row>
    <row r="129" spans="12:21">
      <c r="L129" s="451" t="s">
        <v>2310</v>
      </c>
      <c r="M129" s="585">
        <v>460</v>
      </c>
      <c r="N129" s="585">
        <v>422</v>
      </c>
      <c r="O129" s="382">
        <v>372</v>
      </c>
      <c r="P129" s="463">
        <v>351</v>
      </c>
      <c r="Q129" s="463">
        <v>344</v>
      </c>
      <c r="R129" s="525">
        <v>346</v>
      </c>
      <c r="S129" s="525">
        <v>393</v>
      </c>
      <c r="T129" s="525"/>
      <c r="U129" s="525"/>
    </row>
    <row r="130" spans="12:21">
      <c r="L130" s="451" t="s">
        <v>6560</v>
      </c>
      <c r="M130" s="585">
        <v>473</v>
      </c>
      <c r="N130" s="585">
        <v>440</v>
      </c>
      <c r="O130" s="382">
        <v>644</v>
      </c>
      <c r="P130" s="463">
        <v>598</v>
      </c>
      <c r="Q130" s="463">
        <v>599</v>
      </c>
      <c r="R130" s="525">
        <v>579</v>
      </c>
      <c r="S130" s="525">
        <v>557</v>
      </c>
      <c r="T130" s="525"/>
      <c r="U130" s="525"/>
    </row>
    <row r="131" spans="12:21">
      <c r="L131" s="451" t="s">
        <v>6561</v>
      </c>
      <c r="M131" s="382">
        <v>306</v>
      </c>
      <c r="N131" s="382">
        <v>340</v>
      </c>
      <c r="O131" s="382">
        <v>738</v>
      </c>
      <c r="P131" s="463">
        <v>677</v>
      </c>
      <c r="Q131" s="463">
        <v>675</v>
      </c>
      <c r="R131" s="525">
        <v>657</v>
      </c>
      <c r="S131" s="525">
        <v>615</v>
      </c>
      <c r="T131" s="525"/>
      <c r="U131" s="525"/>
    </row>
    <row r="132" spans="12:21">
      <c r="L132" s="451" t="s">
        <v>6562</v>
      </c>
      <c r="M132" s="525">
        <v>1861</v>
      </c>
      <c r="N132" s="525">
        <v>1772</v>
      </c>
      <c r="O132" s="463">
        <v>1857</v>
      </c>
      <c r="P132" s="463">
        <v>1831</v>
      </c>
      <c r="Q132" s="463">
        <v>1826</v>
      </c>
      <c r="R132" s="525">
        <v>1802</v>
      </c>
      <c r="S132" s="525">
        <v>1766</v>
      </c>
      <c r="T132" s="525"/>
      <c r="U132" s="525"/>
    </row>
    <row r="133" spans="12:21">
      <c r="O133" s="382"/>
      <c r="P133" s="463"/>
      <c r="Q133" s="525"/>
      <c r="R133" s="525"/>
      <c r="S133" s="525"/>
      <c r="T133" s="525"/>
      <c r="U133" s="525"/>
    </row>
    <row r="134" spans="12:21">
      <c r="L134" s="382" t="s">
        <v>2334</v>
      </c>
      <c r="M134" s="525">
        <v>2047</v>
      </c>
      <c r="N134" s="525">
        <v>2071</v>
      </c>
      <c r="O134" s="463">
        <v>2042</v>
      </c>
      <c r="P134" s="463">
        <v>2055</v>
      </c>
      <c r="Q134" s="463">
        <v>2114</v>
      </c>
      <c r="R134" s="525">
        <v>2123</v>
      </c>
      <c r="S134" s="525">
        <v>2164</v>
      </c>
      <c r="T134" s="525"/>
      <c r="U134" s="525"/>
    </row>
    <row r="135" spans="12:21">
      <c r="L135" s="451" t="s">
        <v>4579</v>
      </c>
      <c r="M135" s="525">
        <v>1250</v>
      </c>
      <c r="N135" s="525">
        <v>1271</v>
      </c>
      <c r="O135" s="463">
        <v>1217</v>
      </c>
      <c r="P135" s="463">
        <v>1198</v>
      </c>
      <c r="Q135" s="463">
        <v>1220</v>
      </c>
      <c r="R135" s="525">
        <v>1242</v>
      </c>
      <c r="S135" s="525">
        <v>1288</v>
      </c>
      <c r="T135" s="525"/>
      <c r="U135" s="525"/>
    </row>
    <row r="136" spans="12:21">
      <c r="L136" s="498" t="s">
        <v>6483</v>
      </c>
      <c r="M136" s="586">
        <v>799</v>
      </c>
      <c r="N136" s="586">
        <v>802</v>
      </c>
      <c r="O136" s="381">
        <v>824</v>
      </c>
      <c r="P136" s="497">
        <v>854</v>
      </c>
      <c r="Q136" s="497">
        <v>890</v>
      </c>
      <c r="R136" s="633">
        <v>878</v>
      </c>
      <c r="S136" s="633">
        <v>875</v>
      </c>
      <c r="T136" s="525"/>
      <c r="U136" s="525"/>
    </row>
    <row r="137" spans="12:21">
      <c r="L137" s="585" t="s">
        <v>6422</v>
      </c>
    </row>
    <row r="138" spans="12:21">
      <c r="L138" s="585" t="s">
        <v>6557</v>
      </c>
    </row>
    <row r="142" spans="12:21">
      <c r="L142" s="382" t="s">
        <v>6567</v>
      </c>
      <c r="M142" s="381"/>
      <c r="N142" s="381"/>
    </row>
    <row r="143" spans="12:21">
      <c r="L143" s="588" t="s">
        <v>1810</v>
      </c>
      <c r="M143" s="938">
        <v>2021</v>
      </c>
      <c r="N143" s="938">
        <v>2020</v>
      </c>
      <c r="O143" s="642">
        <v>2019</v>
      </c>
      <c r="P143" s="642">
        <v>2018</v>
      </c>
      <c r="Q143" s="938">
        <v>2017</v>
      </c>
      <c r="R143" s="938">
        <v>2016</v>
      </c>
      <c r="S143" s="939">
        <v>2015</v>
      </c>
    </row>
    <row r="144" spans="12:21">
      <c r="L144" s="524" t="s">
        <v>6418</v>
      </c>
      <c r="M144" s="1009">
        <v>2.1</v>
      </c>
      <c r="N144" s="1009">
        <v>-10.5</v>
      </c>
      <c r="O144" s="382">
        <v>2.5</v>
      </c>
      <c r="P144" s="1436">
        <v>-0.8</v>
      </c>
      <c r="Q144" s="1009">
        <v>0.9</v>
      </c>
      <c r="R144" s="1009">
        <v>0.2</v>
      </c>
      <c r="S144" s="1009">
        <v>0.8</v>
      </c>
    </row>
    <row r="145" spans="12:21">
      <c r="O145" s="382"/>
      <c r="P145" s="1436"/>
      <c r="Q145" s="1009"/>
      <c r="R145" s="1009"/>
      <c r="S145" s="1009"/>
      <c r="T145" s="1009"/>
      <c r="U145" s="1009"/>
    </row>
    <row r="146" spans="12:21">
      <c r="L146" s="382" t="s">
        <v>6559</v>
      </c>
      <c r="M146" s="1009">
        <v>4.4000000000000004</v>
      </c>
      <c r="N146" s="1009">
        <v>-17.5</v>
      </c>
      <c r="O146" s="799">
        <v>4.5</v>
      </c>
      <c r="P146" s="799">
        <v>0.4</v>
      </c>
      <c r="Q146" s="799">
        <v>1.7</v>
      </c>
      <c r="R146" s="623">
        <v>1.6</v>
      </c>
      <c r="S146" s="623">
        <v>0.5</v>
      </c>
      <c r="T146" s="1009"/>
      <c r="U146" s="1009"/>
    </row>
    <row r="147" spans="12:21">
      <c r="L147" s="451" t="s">
        <v>2310</v>
      </c>
      <c r="M147" s="585">
        <v>9.1</v>
      </c>
      <c r="N147" s="585">
        <v>13.3</v>
      </c>
      <c r="O147" s="799">
        <v>5.9</v>
      </c>
      <c r="P147" s="799">
        <v>2.1</v>
      </c>
      <c r="Q147" s="1436">
        <v>-0.6</v>
      </c>
      <c r="R147" s="1009">
        <v>-11.9</v>
      </c>
      <c r="S147" s="1009">
        <v>-11</v>
      </c>
      <c r="T147" s="1009"/>
      <c r="U147" s="1009"/>
    </row>
    <row r="148" spans="12:21">
      <c r="L148" s="451" t="s">
        <v>6560</v>
      </c>
      <c r="M148" s="1009">
        <v>7.6</v>
      </c>
      <c r="N148" s="1009">
        <v>-31.6</v>
      </c>
      <c r="O148" s="799">
        <v>7.6</v>
      </c>
      <c r="P148" s="1436">
        <v>-0.2</v>
      </c>
      <c r="Q148" s="799">
        <v>3.4</v>
      </c>
      <c r="R148" s="623">
        <v>4</v>
      </c>
      <c r="S148" s="623">
        <v>3.5</v>
      </c>
      <c r="T148" s="1009"/>
      <c r="U148" s="1009"/>
    </row>
    <row r="149" spans="12:21">
      <c r="L149" s="451" t="s">
        <v>6561</v>
      </c>
      <c r="M149" s="1436">
        <v>-10</v>
      </c>
      <c r="N149" s="1436">
        <v>-54</v>
      </c>
      <c r="O149" s="799">
        <v>9</v>
      </c>
      <c r="P149" s="799">
        <v>0.4</v>
      </c>
      <c r="Q149" s="799">
        <v>2.7</v>
      </c>
      <c r="R149" s="623">
        <v>6.8</v>
      </c>
      <c r="S149" s="623">
        <v>4.2</v>
      </c>
      <c r="T149" s="1009"/>
      <c r="U149" s="1009"/>
    </row>
    <row r="150" spans="12:21">
      <c r="L150" s="451" t="s">
        <v>6562</v>
      </c>
      <c r="M150" s="1009">
        <v>5.0999999999999996</v>
      </c>
      <c r="N150" s="1009">
        <v>-4.5999999999999996</v>
      </c>
      <c r="O150" s="752">
        <v>1.4</v>
      </c>
      <c r="P150" s="799">
        <v>0.3</v>
      </c>
      <c r="Q150" s="799">
        <v>1.3</v>
      </c>
      <c r="R150" s="623">
        <v>2.1</v>
      </c>
      <c r="S150" s="623">
        <v>1.3</v>
      </c>
      <c r="T150" s="1009"/>
      <c r="U150" s="1009"/>
    </row>
    <row r="151" spans="12:21">
      <c r="O151" s="382"/>
      <c r="P151" s="1436"/>
      <c r="Q151" s="1009"/>
      <c r="R151" s="1009"/>
      <c r="S151" s="1009"/>
      <c r="T151" s="1009"/>
      <c r="U151" s="1009"/>
    </row>
    <row r="152" spans="12:21">
      <c r="L152" s="382" t="s">
        <v>2334</v>
      </c>
      <c r="M152" s="1436">
        <v>-1.1000000000000001</v>
      </c>
      <c r="N152" s="1436">
        <v>1.4</v>
      </c>
      <c r="O152" s="1436">
        <v>-0.6</v>
      </c>
      <c r="P152" s="1436">
        <v>-2.8</v>
      </c>
      <c r="Q152" s="1436">
        <v>-0.4</v>
      </c>
      <c r="R152" s="1009">
        <v>-1.9</v>
      </c>
      <c r="S152" s="1009">
        <v>1.3</v>
      </c>
      <c r="T152" s="1009"/>
      <c r="U152" s="1009"/>
    </row>
    <row r="153" spans="12:21">
      <c r="L153" s="451" t="s">
        <v>4579</v>
      </c>
      <c r="M153" s="1436">
        <v>-1.7</v>
      </c>
      <c r="N153" s="1436">
        <v>4.5</v>
      </c>
      <c r="O153" s="799">
        <v>1.6</v>
      </c>
      <c r="P153" s="1436">
        <v>-1.8</v>
      </c>
      <c r="Q153" s="1436">
        <v>-1.8</v>
      </c>
      <c r="R153" s="1009">
        <v>-3.5</v>
      </c>
      <c r="S153" s="1009">
        <v>1.3</v>
      </c>
      <c r="T153" s="1009"/>
      <c r="U153" s="1009"/>
    </row>
    <row r="154" spans="12:21">
      <c r="L154" s="498" t="s">
        <v>6483</v>
      </c>
      <c r="M154" s="1013">
        <v>-0.4</v>
      </c>
      <c r="N154" s="1013">
        <v>-2.6</v>
      </c>
      <c r="O154" s="1445">
        <v>-3.5</v>
      </c>
      <c r="P154" s="1445">
        <v>-4</v>
      </c>
      <c r="Q154" s="1445">
        <v>1.3</v>
      </c>
      <c r="R154" s="1013">
        <v>-0.3</v>
      </c>
      <c r="S154" s="1013">
        <v>1.2</v>
      </c>
      <c r="T154" s="1009"/>
      <c r="U154" s="1009"/>
    </row>
    <row r="155" spans="12:21">
      <c r="L155" s="585" t="s">
        <v>6422</v>
      </c>
      <c r="T155" s="1009"/>
      <c r="U155" s="1009"/>
    </row>
    <row r="156" spans="12:21">
      <c r="L156" s="624" t="s">
        <v>6491</v>
      </c>
      <c r="M156" s="624"/>
      <c r="N156" s="624"/>
    </row>
    <row r="157" spans="12:21">
      <c r="L157" s="624"/>
      <c r="M157" s="624"/>
      <c r="N157" s="624"/>
    </row>
    <row r="158" spans="12:21">
      <c r="L158" s="624"/>
      <c r="M158" s="624"/>
      <c r="N158" s="624"/>
    </row>
    <row r="159" spans="12:21">
      <c r="L159" s="624"/>
      <c r="M159" s="624"/>
      <c r="N159" s="624"/>
    </row>
    <row r="160" spans="12:21">
      <c r="L160" s="382" t="s">
        <v>6568</v>
      </c>
      <c r="M160" s="382"/>
      <c r="N160" s="382"/>
      <c r="O160" s="382"/>
      <c r="P160" s="382"/>
      <c r="Q160" s="382"/>
      <c r="R160" s="382"/>
      <c r="S160" s="382"/>
    </row>
    <row r="161" spans="12:21">
      <c r="L161" s="388" t="s">
        <v>1810</v>
      </c>
      <c r="M161" s="389">
        <v>2021</v>
      </c>
      <c r="N161" s="389">
        <v>2020</v>
      </c>
      <c r="O161" s="642">
        <v>2019</v>
      </c>
      <c r="P161" s="642">
        <v>2018</v>
      </c>
      <c r="Q161" s="389">
        <v>2017</v>
      </c>
      <c r="R161" s="389">
        <v>2016</v>
      </c>
      <c r="S161" s="390">
        <v>2015</v>
      </c>
    </row>
    <row r="162" spans="12:21">
      <c r="L162" s="382" t="s">
        <v>6512</v>
      </c>
      <c r="M162" s="382"/>
      <c r="N162" s="382"/>
      <c r="O162" s="439"/>
      <c r="P162" s="439"/>
      <c r="Q162" s="382"/>
      <c r="R162" s="382"/>
      <c r="S162" s="382"/>
    </row>
    <row r="163" spans="12:21">
      <c r="L163" s="382" t="s">
        <v>6418</v>
      </c>
      <c r="M163" s="662">
        <v>2.1</v>
      </c>
      <c r="N163" s="662">
        <v>-10.5</v>
      </c>
      <c r="O163" s="857">
        <v>2.5</v>
      </c>
      <c r="P163" s="662">
        <v>-0.8</v>
      </c>
      <c r="Q163" s="857">
        <v>0.9</v>
      </c>
      <c r="R163" s="857">
        <v>0.2</v>
      </c>
      <c r="S163" s="857">
        <v>0.8</v>
      </c>
    </row>
    <row r="164" spans="12:21">
      <c r="L164" s="382"/>
      <c r="M164" s="463"/>
      <c r="N164" s="463"/>
      <c r="O164" s="463"/>
      <c r="P164" s="463"/>
      <c r="Q164" s="463"/>
      <c r="R164" s="463"/>
      <c r="S164" s="463"/>
      <c r="T164" s="525"/>
      <c r="U164" s="525"/>
    </row>
    <row r="165" spans="12:21">
      <c r="L165" s="382" t="s">
        <v>6521</v>
      </c>
      <c r="M165" s="382"/>
      <c r="N165" s="382"/>
      <c r="O165" s="382"/>
      <c r="P165" s="463"/>
      <c r="Q165" s="463"/>
      <c r="R165" s="463"/>
      <c r="S165" s="463"/>
      <c r="T165" s="525"/>
      <c r="U165" s="525"/>
    </row>
    <row r="166" spans="12:21">
      <c r="L166" s="451" t="s">
        <v>6559</v>
      </c>
      <c r="M166" s="1450">
        <v>2.5499999999999998</v>
      </c>
      <c r="N166" s="1450">
        <v>-11.06</v>
      </c>
      <c r="O166" s="918">
        <v>2.77</v>
      </c>
      <c r="P166" s="918">
        <v>0.26</v>
      </c>
      <c r="Q166" s="918">
        <v>1.06</v>
      </c>
      <c r="R166" s="918">
        <v>0.94</v>
      </c>
      <c r="S166" s="918">
        <v>0.31</v>
      </c>
      <c r="T166" s="525"/>
      <c r="U166" s="525"/>
    </row>
    <row r="167" spans="12:21">
      <c r="L167" s="612" t="s">
        <v>2310</v>
      </c>
      <c r="M167" s="918">
        <v>0.81</v>
      </c>
      <c r="N167" s="918">
        <v>0.94</v>
      </c>
      <c r="O167" s="918">
        <v>0.41</v>
      </c>
      <c r="P167" s="918">
        <v>0.14000000000000001</v>
      </c>
      <c r="Q167" s="1450">
        <v>-0.04</v>
      </c>
      <c r="R167" s="1450">
        <v>-0.87</v>
      </c>
      <c r="S167" s="1450">
        <v>-0.91</v>
      </c>
      <c r="T167" s="525"/>
      <c r="U167" s="525"/>
    </row>
    <row r="168" spans="12:21">
      <c r="L168" s="612" t="s">
        <v>6560</v>
      </c>
      <c r="M168" s="1450">
        <v>0.65</v>
      </c>
      <c r="N168" s="1450">
        <v>-3.43</v>
      </c>
      <c r="O168" s="918">
        <v>0.78</v>
      </c>
      <c r="P168" s="1450">
        <v>-0.02</v>
      </c>
      <c r="Q168" s="918">
        <v>0.35</v>
      </c>
      <c r="R168" s="918">
        <v>0.4</v>
      </c>
      <c r="S168" s="918">
        <v>0.35</v>
      </c>
      <c r="T168" s="525"/>
      <c r="U168" s="525"/>
    </row>
    <row r="169" spans="12:21">
      <c r="L169" s="612" t="s">
        <v>6561</v>
      </c>
      <c r="M169" s="1450">
        <v>-0.65</v>
      </c>
      <c r="N169" s="1450">
        <v>-7.08</v>
      </c>
      <c r="O169" s="918">
        <v>1.1200000000000001</v>
      </c>
      <c r="P169" s="918">
        <v>0.05</v>
      </c>
      <c r="Q169" s="918">
        <v>0.32</v>
      </c>
      <c r="R169" s="918">
        <v>0.76</v>
      </c>
      <c r="S169" s="918">
        <v>0.45</v>
      </c>
      <c r="T169" s="525"/>
      <c r="U169" s="525"/>
    </row>
    <row r="170" spans="12:21">
      <c r="L170" s="612" t="s">
        <v>6562</v>
      </c>
      <c r="M170" s="1450">
        <v>1.74</v>
      </c>
      <c r="N170" s="1450">
        <v>-1.48</v>
      </c>
      <c r="O170" s="918">
        <v>0.46</v>
      </c>
      <c r="P170" s="918">
        <v>0.09</v>
      </c>
      <c r="Q170" s="918">
        <v>0.42</v>
      </c>
      <c r="R170" s="918">
        <v>0.65</v>
      </c>
      <c r="S170" s="918">
        <v>0.42</v>
      </c>
      <c r="T170" s="525"/>
      <c r="U170" s="525"/>
    </row>
    <row r="171" spans="12:21">
      <c r="L171" s="451" t="s">
        <v>2334</v>
      </c>
      <c r="M171" s="1450">
        <v>-0.47</v>
      </c>
      <c r="N171" s="1450">
        <v>0.53</v>
      </c>
      <c r="O171" s="1450">
        <v>-0.24</v>
      </c>
      <c r="P171" s="1450">
        <v>-1.08</v>
      </c>
      <c r="Q171" s="1450">
        <v>-0.17</v>
      </c>
      <c r="R171" s="1450">
        <v>-0.75</v>
      </c>
      <c r="S171" s="918">
        <v>0.5</v>
      </c>
      <c r="T171" s="525"/>
      <c r="U171" s="525"/>
    </row>
    <row r="172" spans="12:21">
      <c r="L172" s="612" t="s">
        <v>4579</v>
      </c>
      <c r="M172" s="1450">
        <v>-0.41</v>
      </c>
      <c r="N172" s="1450">
        <v>0.94</v>
      </c>
      <c r="O172" s="918">
        <v>0.35</v>
      </c>
      <c r="P172" s="1450">
        <v>-0.39</v>
      </c>
      <c r="Q172" s="1450">
        <v>-0.4</v>
      </c>
      <c r="R172" s="1450">
        <v>-0.81</v>
      </c>
      <c r="S172" s="918">
        <v>0.3</v>
      </c>
      <c r="T172" s="525"/>
      <c r="U172" s="525"/>
    </row>
    <row r="173" spans="12:21">
      <c r="L173" s="892" t="s">
        <v>6483</v>
      </c>
      <c r="M173" s="1457">
        <v>-0.06</v>
      </c>
      <c r="N173" s="1457">
        <v>-0.41</v>
      </c>
      <c r="O173" s="1457">
        <v>-0.59</v>
      </c>
      <c r="P173" s="1457">
        <v>-0.69</v>
      </c>
      <c r="Q173" s="921">
        <v>0.23</v>
      </c>
      <c r="R173" s="921">
        <v>0.06</v>
      </c>
      <c r="S173" s="921">
        <v>0.21</v>
      </c>
      <c r="T173" s="525"/>
      <c r="U173" s="525"/>
    </row>
    <row r="174" spans="12:21">
      <c r="L174" s="382" t="s">
        <v>6422</v>
      </c>
      <c r="M174" s="382"/>
      <c r="N174" s="382"/>
      <c r="O174" s="382"/>
      <c r="P174" s="382"/>
      <c r="Q174" s="382"/>
      <c r="R174" s="382"/>
      <c r="S174" s="382"/>
      <c r="T174" s="525"/>
      <c r="U174" s="525"/>
    </row>
    <row r="175" spans="12:21">
      <c r="L175" s="624"/>
      <c r="M175" s="624"/>
      <c r="N175" s="624"/>
    </row>
    <row r="178" spans="12:19">
      <c r="L178" s="382" t="s">
        <v>6569</v>
      </c>
      <c r="M178" s="382"/>
      <c r="N178" s="382"/>
    </row>
    <row r="179" spans="12:19">
      <c r="L179" s="382" t="s">
        <v>6552</v>
      </c>
      <c r="M179" s="381"/>
      <c r="N179" s="381"/>
    </row>
    <row r="180" spans="12:19">
      <c r="L180" s="588" t="s">
        <v>1810</v>
      </c>
      <c r="M180" s="938">
        <v>2021</v>
      </c>
      <c r="N180" s="938">
        <v>2020</v>
      </c>
      <c r="O180" s="642">
        <v>2019</v>
      </c>
      <c r="P180" s="589">
        <v>2018</v>
      </c>
      <c r="Q180" s="938">
        <v>2017</v>
      </c>
      <c r="R180" s="938">
        <v>2016</v>
      </c>
      <c r="S180" s="939">
        <v>2015</v>
      </c>
    </row>
    <row r="181" spans="12:19">
      <c r="L181" s="382" t="s">
        <v>6570</v>
      </c>
      <c r="M181" s="525">
        <v>3615</v>
      </c>
      <c r="N181" s="525">
        <v>3527</v>
      </c>
      <c r="O181" s="525">
        <v>3557</v>
      </c>
      <c r="P181" s="525">
        <v>3379</v>
      </c>
      <c r="Q181" s="525">
        <v>3335</v>
      </c>
      <c r="R181" s="525">
        <v>3264</v>
      </c>
      <c r="S181" s="525">
        <v>3239</v>
      </c>
    </row>
    <row r="182" spans="12:19">
      <c r="P182" s="525"/>
      <c r="Q182" s="525"/>
      <c r="R182" s="525"/>
      <c r="S182" s="525"/>
    </row>
    <row r="183" spans="12:19">
      <c r="L183" s="382" t="s">
        <v>6559</v>
      </c>
      <c r="M183" s="525">
        <v>1735</v>
      </c>
      <c r="N183" s="525">
        <v>1705</v>
      </c>
      <c r="O183" s="525">
        <v>1874</v>
      </c>
      <c r="P183" s="525">
        <v>1755</v>
      </c>
      <c r="Q183" s="463">
        <v>1722</v>
      </c>
      <c r="R183" s="525">
        <v>1639</v>
      </c>
      <c r="S183" s="525">
        <v>1573</v>
      </c>
    </row>
    <row r="184" spans="12:19">
      <c r="L184" s="451" t="s">
        <v>2310</v>
      </c>
      <c r="M184" s="585">
        <v>387</v>
      </c>
      <c r="N184" s="585">
        <v>331</v>
      </c>
      <c r="O184" s="585">
        <v>263</v>
      </c>
      <c r="P184" s="525">
        <v>208</v>
      </c>
      <c r="Q184" s="463">
        <v>193</v>
      </c>
      <c r="R184" s="525">
        <v>193</v>
      </c>
      <c r="S184" s="525">
        <v>213</v>
      </c>
    </row>
    <row r="185" spans="12:19">
      <c r="L185" s="451" t="s">
        <v>6560</v>
      </c>
      <c r="M185" s="585">
        <v>321</v>
      </c>
      <c r="N185" s="585">
        <v>324</v>
      </c>
      <c r="O185" s="585">
        <v>401</v>
      </c>
      <c r="P185" s="525">
        <v>367</v>
      </c>
      <c r="Q185" s="463">
        <v>367</v>
      </c>
      <c r="R185" s="525">
        <v>350</v>
      </c>
      <c r="S185" s="525">
        <v>330</v>
      </c>
    </row>
    <row r="186" spans="12:19">
      <c r="L186" s="451" t="s">
        <v>6561</v>
      </c>
      <c r="M186" s="382">
        <v>232</v>
      </c>
      <c r="N186" s="382">
        <v>228</v>
      </c>
      <c r="O186" s="382">
        <v>371</v>
      </c>
      <c r="P186" s="525">
        <v>344</v>
      </c>
      <c r="Q186" s="463">
        <v>339</v>
      </c>
      <c r="R186" s="525">
        <v>328</v>
      </c>
      <c r="S186" s="525">
        <v>306</v>
      </c>
    </row>
    <row r="187" spans="12:19">
      <c r="L187" s="451" t="s">
        <v>6562</v>
      </c>
      <c r="M187" s="382">
        <v>795</v>
      </c>
      <c r="N187" s="382">
        <v>822</v>
      </c>
      <c r="O187" s="382">
        <v>839</v>
      </c>
      <c r="P187" s="525">
        <v>836</v>
      </c>
      <c r="Q187" s="463">
        <v>823</v>
      </c>
      <c r="R187" s="525">
        <v>767</v>
      </c>
      <c r="S187" s="525">
        <v>724</v>
      </c>
    </row>
    <row r="188" spans="12:19">
      <c r="P188" s="525"/>
      <c r="Q188" s="525"/>
      <c r="R188" s="525"/>
      <c r="S188" s="525"/>
    </row>
    <row r="189" spans="12:19">
      <c r="L189" s="382" t="s">
        <v>2334</v>
      </c>
      <c r="M189" s="525">
        <v>1880</v>
      </c>
      <c r="N189" s="525">
        <v>1822</v>
      </c>
      <c r="O189" s="525">
        <v>1683</v>
      </c>
      <c r="P189" s="525">
        <v>1625</v>
      </c>
      <c r="Q189" s="463">
        <v>1613</v>
      </c>
      <c r="R189" s="525">
        <v>1625</v>
      </c>
      <c r="S189" s="525">
        <v>1666</v>
      </c>
    </row>
    <row r="190" spans="12:19">
      <c r="L190" s="451" t="s">
        <v>4579</v>
      </c>
      <c r="M190" s="463">
        <v>1030</v>
      </c>
      <c r="N190" s="463">
        <v>1005</v>
      </c>
      <c r="O190" s="382">
        <v>923</v>
      </c>
      <c r="P190" s="525">
        <v>874</v>
      </c>
      <c r="Q190" s="463">
        <v>857</v>
      </c>
      <c r="R190" s="525">
        <v>864</v>
      </c>
      <c r="S190" s="525">
        <v>902</v>
      </c>
    </row>
    <row r="191" spans="12:19">
      <c r="L191" s="498" t="s">
        <v>6483</v>
      </c>
      <c r="M191" s="586">
        <v>850</v>
      </c>
      <c r="N191" s="586">
        <v>817</v>
      </c>
      <c r="O191" s="586">
        <v>760</v>
      </c>
      <c r="P191" s="633">
        <v>751</v>
      </c>
      <c r="Q191" s="497">
        <v>755</v>
      </c>
      <c r="R191" s="633">
        <v>760</v>
      </c>
      <c r="S191" s="633">
        <v>764</v>
      </c>
    </row>
    <row r="192" spans="12:19">
      <c r="L192" s="585" t="s">
        <v>6422</v>
      </c>
    </row>
    <row r="193" spans="12:14">
      <c r="L193" s="585" t="s">
        <v>6557</v>
      </c>
      <c r="M193" s="624"/>
      <c r="N193" s="624"/>
    </row>
  </sheetData>
  <mergeCells count="2">
    <mergeCell ref="M61:S61"/>
    <mergeCell ref="M64:S64"/>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DF90-0A3D-4E76-8040-6CFEA9EFBE1A}">
  <sheetPr>
    <tabColor rgb="FFFFFF00"/>
  </sheetPr>
  <dimension ref="B1:CF150"/>
  <sheetViews>
    <sheetView showGridLines="0" zoomScale="90" zoomScaleNormal="90" workbookViewId="0">
      <selection activeCell="BX15" sqref="BX15"/>
    </sheetView>
  </sheetViews>
  <sheetFormatPr defaultRowHeight="15"/>
  <cols>
    <col min="1" max="1" width="3.5703125" customWidth="1"/>
    <col min="2" max="2" width="26.42578125" customWidth="1"/>
    <col min="3" max="3" width="9.140625" customWidth="1"/>
    <col min="15" max="15" width="37.140625" customWidth="1"/>
    <col min="27" max="27" width="23.28515625" customWidth="1"/>
    <col min="28" max="39" width="10.7109375" customWidth="1"/>
    <col min="41" max="41" width="28.5703125" customWidth="1"/>
    <col min="42" max="42" width="12.140625" customWidth="1"/>
    <col min="43" max="43" width="11.42578125" customWidth="1"/>
    <col min="45" max="45" width="32.42578125" customWidth="1"/>
    <col min="46" max="46" width="11.28515625" customWidth="1"/>
    <col min="47" max="47" width="10.28515625" customWidth="1"/>
    <col min="48" max="48" width="10.85546875" customWidth="1"/>
    <col min="50" max="50" width="70.42578125" customWidth="1"/>
    <col min="51" max="51" width="10.28515625" customWidth="1"/>
    <col min="53" max="53" width="10.5703125" customWidth="1"/>
    <col min="55" max="55" width="17.140625" customWidth="1"/>
    <col min="64" max="64" width="18.140625" customWidth="1"/>
    <col min="65" max="74" width="13.28515625" customWidth="1"/>
    <col min="75" max="75" width="18.28515625" customWidth="1"/>
    <col min="78" max="78" width="39.42578125" customWidth="1"/>
    <col min="79" max="83" width="11.7109375" style="91" customWidth="1"/>
  </cols>
  <sheetData>
    <row r="1" spans="2:84" ht="12" customHeight="1">
      <c r="B1" s="274" t="s">
        <v>1615</v>
      </c>
      <c r="C1" s="113"/>
      <c r="D1" s="113"/>
      <c r="E1" s="113"/>
      <c r="F1" s="113"/>
      <c r="G1" s="113"/>
      <c r="H1" s="113"/>
      <c r="I1" s="113"/>
      <c r="J1" s="113"/>
      <c r="K1" s="113"/>
      <c r="L1" s="113"/>
      <c r="O1" s="1" t="s">
        <v>1664</v>
      </c>
      <c r="P1" s="3"/>
      <c r="Q1" s="3"/>
      <c r="R1" s="3"/>
      <c r="S1" s="3"/>
      <c r="AA1" s="1" t="s">
        <v>1716</v>
      </c>
      <c r="AB1" s="1"/>
      <c r="AC1" s="1"/>
      <c r="AD1" s="1"/>
      <c r="AE1" s="1"/>
      <c r="AF1" s="3"/>
      <c r="AG1" s="3"/>
      <c r="AH1" s="3"/>
      <c r="AI1" s="3"/>
      <c r="AJ1" s="3"/>
      <c r="AO1" s="115" t="s">
        <v>1825</v>
      </c>
      <c r="AP1" s="2"/>
      <c r="AQ1" s="2"/>
      <c r="AS1" s="1" t="s">
        <v>1857</v>
      </c>
      <c r="AT1" s="3"/>
      <c r="AU1" s="3"/>
      <c r="AV1" s="3"/>
      <c r="AX1" s="3" t="s">
        <v>1878</v>
      </c>
      <c r="AY1" s="3"/>
      <c r="AZ1" s="3"/>
      <c r="BA1" s="3"/>
      <c r="BC1" s="1" t="s">
        <v>1910</v>
      </c>
      <c r="BD1" s="3"/>
      <c r="BE1" s="3"/>
      <c r="BF1" s="3"/>
      <c r="BG1" s="3"/>
      <c r="BH1" s="3"/>
      <c r="BI1" s="3"/>
      <c r="BJ1" s="2"/>
      <c r="BL1" s="274" t="s">
        <v>1938</v>
      </c>
      <c r="BM1" s="274"/>
      <c r="BN1" s="274"/>
      <c r="BO1" s="274"/>
      <c r="BP1" s="274"/>
      <c r="BQ1" s="274"/>
      <c r="BR1" s="274"/>
      <c r="BS1" s="1"/>
      <c r="BT1" s="3"/>
      <c r="BU1" s="3"/>
      <c r="BV1" s="3"/>
      <c r="BW1" s="2"/>
      <c r="BZ1" s="1"/>
      <c r="CA1" s="3"/>
      <c r="CB1" s="3"/>
      <c r="CC1" s="3"/>
      <c r="CD1" s="3"/>
      <c r="CE1" s="3"/>
      <c r="CF1" s="2"/>
    </row>
    <row r="2" spans="2:84" ht="12" customHeight="1">
      <c r="B2" s="173"/>
      <c r="C2" s="2039" t="s">
        <v>1616</v>
      </c>
      <c r="D2" s="2046"/>
      <c r="E2" s="2046"/>
      <c r="F2" s="2046"/>
      <c r="G2" s="2040"/>
      <c r="H2" s="2039" t="s">
        <v>1617</v>
      </c>
      <c r="I2" s="2046"/>
      <c r="J2" s="2046"/>
      <c r="K2" s="2046"/>
      <c r="L2" s="2046"/>
      <c r="O2" s="283"/>
      <c r="P2" s="2039" t="s">
        <v>1665</v>
      </c>
      <c r="Q2" s="2040"/>
      <c r="R2" s="2039" t="s">
        <v>1666</v>
      </c>
      <c r="S2" s="2046"/>
      <c r="AA2" s="108"/>
      <c r="AB2" s="2050">
        <v>2023</v>
      </c>
      <c r="AC2" s="2051"/>
      <c r="AD2" s="2052"/>
      <c r="AE2" s="2050">
        <v>2018</v>
      </c>
      <c r="AF2" s="2051"/>
      <c r="AG2" s="2052"/>
      <c r="AH2" s="2056">
        <v>2007</v>
      </c>
      <c r="AI2" s="2057"/>
      <c r="AJ2" s="2057"/>
      <c r="AO2" s="32" t="s">
        <v>1826</v>
      </c>
      <c r="AP2" s="17" t="s">
        <v>1717</v>
      </c>
      <c r="AQ2" s="28" t="s">
        <v>1015</v>
      </c>
      <c r="AS2" s="32" t="s">
        <v>1826</v>
      </c>
      <c r="AT2" s="17" t="s">
        <v>1717</v>
      </c>
      <c r="AU2" s="17" t="s">
        <v>1015</v>
      </c>
      <c r="AV2" s="28" t="s">
        <v>1858</v>
      </c>
      <c r="AX2" s="32" t="s">
        <v>1826</v>
      </c>
      <c r="AY2" s="17" t="s">
        <v>1717</v>
      </c>
      <c r="AZ2" s="17" t="s">
        <v>1015</v>
      </c>
      <c r="BA2" s="28" t="s">
        <v>1858</v>
      </c>
      <c r="BC2" s="1" t="s">
        <v>1911</v>
      </c>
      <c r="BD2" s="3"/>
      <c r="BE2" s="3"/>
      <c r="BF2" s="3"/>
      <c r="BG2" s="3"/>
      <c r="BH2" s="3"/>
      <c r="BI2" s="3"/>
      <c r="BJ2" s="2"/>
      <c r="BL2" s="2051" t="s">
        <v>1808</v>
      </c>
      <c r="BM2" s="66" t="s">
        <v>1919</v>
      </c>
      <c r="BN2" s="66" t="s">
        <v>1920</v>
      </c>
      <c r="BO2" s="66" t="s">
        <v>1919</v>
      </c>
      <c r="BP2" s="66" t="s">
        <v>1920</v>
      </c>
      <c r="BQ2" s="66" t="s">
        <v>1919</v>
      </c>
      <c r="BR2" s="66" t="s">
        <v>1920</v>
      </c>
      <c r="BS2" s="26" t="s">
        <v>1919</v>
      </c>
      <c r="BT2" s="26" t="s">
        <v>1920</v>
      </c>
      <c r="BU2" s="26" t="s">
        <v>1919</v>
      </c>
      <c r="BV2" s="27" t="s">
        <v>1920</v>
      </c>
      <c r="BW2" s="2"/>
      <c r="BZ2" s="3"/>
      <c r="CA2" s="2065"/>
      <c r="CB2" s="2065"/>
      <c r="CC2" s="2065"/>
      <c r="CD2" s="2065"/>
      <c r="CE2" s="3"/>
      <c r="CF2" s="2"/>
    </row>
    <row r="3" spans="2:84" ht="12.95" customHeight="1">
      <c r="B3" s="287" t="s">
        <v>1618</v>
      </c>
      <c r="C3" s="15">
        <v>2023</v>
      </c>
      <c r="D3" s="15">
        <v>2018</v>
      </c>
      <c r="E3" s="15">
        <v>2007</v>
      </c>
      <c r="F3" s="15">
        <v>2002</v>
      </c>
      <c r="G3" s="15">
        <v>1998</v>
      </c>
      <c r="H3" s="15">
        <v>2023</v>
      </c>
      <c r="I3" s="15">
        <v>2018</v>
      </c>
      <c r="J3" s="15">
        <v>2007</v>
      </c>
      <c r="K3" s="15">
        <v>2002</v>
      </c>
      <c r="L3" s="31">
        <v>1998</v>
      </c>
      <c r="O3" s="287" t="s">
        <v>1648</v>
      </c>
      <c r="P3" s="15">
        <v>2023</v>
      </c>
      <c r="Q3" s="15">
        <v>2018</v>
      </c>
      <c r="R3" s="15">
        <v>2023</v>
      </c>
      <c r="S3" s="31">
        <v>2018</v>
      </c>
      <c r="AA3" s="3"/>
      <c r="AB3" s="191"/>
      <c r="AC3" s="2048" t="s">
        <v>1617</v>
      </c>
      <c r="AD3" s="297" t="s">
        <v>1717</v>
      </c>
      <c r="AE3" s="191"/>
      <c r="AF3" s="191"/>
      <c r="AG3" s="107" t="s">
        <v>1717</v>
      </c>
      <c r="AH3" s="191"/>
      <c r="AI3" s="191"/>
      <c r="AJ3" s="107" t="s">
        <v>1717</v>
      </c>
      <c r="AO3" s="3" t="s">
        <v>545</v>
      </c>
      <c r="AP3" s="53">
        <v>135018</v>
      </c>
      <c r="AQ3" s="53">
        <v>596705</v>
      </c>
      <c r="AS3" s="108" t="s">
        <v>545</v>
      </c>
      <c r="AT3" s="132">
        <v>81197</v>
      </c>
      <c r="AU3" s="132">
        <v>295299</v>
      </c>
      <c r="AV3" s="280">
        <v>152.74</v>
      </c>
      <c r="AX3" s="3" t="s">
        <v>545</v>
      </c>
      <c r="AY3" s="53">
        <v>56614</v>
      </c>
      <c r="AZ3" s="53">
        <v>150959</v>
      </c>
      <c r="BA3" s="279">
        <v>2.67</v>
      </c>
      <c r="BB3" s="91"/>
      <c r="BC3" s="32" t="s">
        <v>1808</v>
      </c>
      <c r="BD3" s="15">
        <v>2024</v>
      </c>
      <c r="BE3" s="17">
        <v>2023</v>
      </c>
      <c r="BF3" s="17">
        <v>2022</v>
      </c>
      <c r="BG3" s="17">
        <v>2021</v>
      </c>
      <c r="BH3" s="17">
        <v>2020</v>
      </c>
      <c r="BI3" s="28">
        <v>2019</v>
      </c>
      <c r="BJ3" s="22"/>
      <c r="BL3" s="2067"/>
      <c r="BM3" s="2039">
        <v>2024</v>
      </c>
      <c r="BN3" s="2040"/>
      <c r="BO3" s="2067">
        <v>2023</v>
      </c>
      <c r="BP3" s="2067"/>
      <c r="BQ3" s="2039">
        <v>2022</v>
      </c>
      <c r="BR3" s="2040"/>
      <c r="BS3" s="2068">
        <v>2021</v>
      </c>
      <c r="BT3" s="2068"/>
      <c r="BU3" s="2042">
        <v>2020</v>
      </c>
      <c r="BV3" s="2043"/>
      <c r="BW3" s="2"/>
      <c r="BZ3" s="3"/>
      <c r="CA3" s="22"/>
      <c r="CB3" s="22"/>
      <c r="CC3" s="22"/>
      <c r="CD3" s="22"/>
      <c r="CE3" s="3"/>
      <c r="CF3" s="2"/>
    </row>
    <row r="4" spans="2:84" ht="12.95" customHeight="1">
      <c r="B4" s="113" t="s">
        <v>1616</v>
      </c>
      <c r="C4" s="4">
        <v>583</v>
      </c>
      <c r="D4" s="4">
        <v>264</v>
      </c>
      <c r="E4" s="4">
        <v>104</v>
      </c>
      <c r="F4" s="4">
        <v>153</v>
      </c>
      <c r="G4" s="4">
        <v>201</v>
      </c>
      <c r="H4" s="273">
        <v>2848</v>
      </c>
      <c r="I4" s="273">
        <v>2441</v>
      </c>
      <c r="J4" s="273">
        <v>1000</v>
      </c>
      <c r="K4" s="273">
        <v>1648</v>
      </c>
      <c r="L4" s="273">
        <v>2144</v>
      </c>
      <c r="O4" s="108" t="s">
        <v>1667</v>
      </c>
      <c r="P4" s="107">
        <v>583</v>
      </c>
      <c r="Q4" s="107">
        <v>264</v>
      </c>
      <c r="R4" s="198">
        <v>100</v>
      </c>
      <c r="S4" s="198">
        <v>100</v>
      </c>
      <c r="AA4" s="23" t="s">
        <v>1718</v>
      </c>
      <c r="AB4" s="106" t="s">
        <v>1616</v>
      </c>
      <c r="AC4" s="2049"/>
      <c r="AD4" s="298" t="s">
        <v>1719</v>
      </c>
      <c r="AE4" s="97" t="s">
        <v>1616</v>
      </c>
      <c r="AF4" s="97" t="s">
        <v>1617</v>
      </c>
      <c r="AG4" s="29" t="s">
        <v>1719</v>
      </c>
      <c r="AH4" s="97" t="s">
        <v>1616</v>
      </c>
      <c r="AI4" s="97" t="s">
        <v>1617</v>
      </c>
      <c r="AJ4" s="29" t="s">
        <v>1719</v>
      </c>
      <c r="AO4" s="3" t="s">
        <v>1827</v>
      </c>
      <c r="AP4" s="205">
        <v>34</v>
      </c>
      <c r="AQ4" s="205">
        <v>106</v>
      </c>
      <c r="AS4" s="3" t="s">
        <v>1846</v>
      </c>
      <c r="AT4" s="22">
        <v>46</v>
      </c>
      <c r="AU4" s="22">
        <v>164</v>
      </c>
      <c r="AV4" s="279">
        <v>3.57</v>
      </c>
      <c r="AX4" s="3" t="s">
        <v>1879</v>
      </c>
      <c r="AY4" s="53">
        <v>20805</v>
      </c>
      <c r="AZ4" s="53">
        <v>44108</v>
      </c>
      <c r="BA4" s="279">
        <v>2.12</v>
      </c>
      <c r="BC4" s="22" t="s">
        <v>545</v>
      </c>
      <c r="BD4" s="22">
        <v>805.9</v>
      </c>
      <c r="BE4" s="22">
        <v>789.3</v>
      </c>
      <c r="BF4" s="22">
        <v>756.9</v>
      </c>
      <c r="BG4" s="22">
        <v>981.8</v>
      </c>
      <c r="BH4" s="22">
        <v>577.4</v>
      </c>
      <c r="BI4" s="22">
        <v>886.1</v>
      </c>
      <c r="BJ4" s="22"/>
      <c r="BL4" s="3" t="s">
        <v>545</v>
      </c>
      <c r="BM4" s="22">
        <v>755</v>
      </c>
      <c r="BN4" s="53">
        <v>30069</v>
      </c>
      <c r="BO4" s="22">
        <v>851</v>
      </c>
      <c r="BP4" s="53">
        <v>52369</v>
      </c>
      <c r="BQ4" s="53">
        <v>1085</v>
      </c>
      <c r="BR4" s="53">
        <v>47796</v>
      </c>
      <c r="BS4" s="285">
        <v>936</v>
      </c>
      <c r="BT4" s="286">
        <v>47259</v>
      </c>
      <c r="BU4" s="22">
        <v>366</v>
      </c>
      <c r="BV4" s="53">
        <v>20933</v>
      </c>
      <c r="BW4" s="2"/>
      <c r="BZ4" s="3"/>
      <c r="CA4" s="3"/>
      <c r="CB4" s="22"/>
      <c r="CC4" s="22"/>
      <c r="CD4" s="22"/>
      <c r="CE4" s="3"/>
      <c r="CF4" s="2"/>
    </row>
    <row r="5" spans="2:84" ht="12.95" customHeight="1">
      <c r="B5" s="2" t="s">
        <v>1619</v>
      </c>
      <c r="C5" s="5">
        <v>574</v>
      </c>
      <c r="D5" s="5">
        <v>256</v>
      </c>
      <c r="E5" s="5">
        <v>97</v>
      </c>
      <c r="F5" s="5">
        <v>143</v>
      </c>
      <c r="G5" s="5">
        <v>194</v>
      </c>
      <c r="H5" s="47">
        <v>1776</v>
      </c>
      <c r="I5" s="47">
        <v>1008</v>
      </c>
      <c r="J5" s="5">
        <v>831</v>
      </c>
      <c r="K5" s="47">
        <v>1230</v>
      </c>
      <c r="L5" s="47">
        <v>1504</v>
      </c>
      <c r="O5" s="3"/>
      <c r="P5" s="3"/>
      <c r="Q5" s="3"/>
      <c r="R5" s="3"/>
      <c r="S5" s="3"/>
      <c r="AA5" s="3" t="s">
        <v>1720</v>
      </c>
      <c r="AB5" s="22">
        <v>36</v>
      </c>
      <c r="AC5" s="22">
        <v>4</v>
      </c>
      <c r="AD5" s="53">
        <v>2305</v>
      </c>
      <c r="AE5" s="22">
        <v>24</v>
      </c>
      <c r="AF5" s="22">
        <v>4</v>
      </c>
      <c r="AG5" s="53">
        <v>6250</v>
      </c>
      <c r="AH5" s="22">
        <v>7</v>
      </c>
      <c r="AI5" s="22">
        <v>5</v>
      </c>
      <c r="AJ5" s="53">
        <v>7750</v>
      </c>
      <c r="AO5" s="3" t="s">
        <v>1828</v>
      </c>
      <c r="AP5" s="22">
        <v>1</v>
      </c>
      <c r="AQ5" s="22">
        <v>3</v>
      </c>
      <c r="AS5" s="3" t="s">
        <v>1859</v>
      </c>
      <c r="AT5" s="22">
        <v>386</v>
      </c>
      <c r="AU5" s="53">
        <v>1903</v>
      </c>
      <c r="AV5" s="279">
        <v>4.93</v>
      </c>
      <c r="AX5" s="3" t="s">
        <v>1880</v>
      </c>
      <c r="AY5" s="22">
        <v>85</v>
      </c>
      <c r="AZ5" s="22">
        <v>298</v>
      </c>
      <c r="BA5" s="279">
        <v>3.5</v>
      </c>
      <c r="BC5" s="3"/>
      <c r="BD5" s="3"/>
      <c r="BE5" s="3"/>
      <c r="BF5" s="3"/>
      <c r="BG5" s="3"/>
      <c r="BH5" s="3"/>
      <c r="BI5" s="3"/>
      <c r="BJ5" s="2"/>
      <c r="BL5" s="3" t="s">
        <v>1818</v>
      </c>
      <c r="BM5" s="22">
        <v>645</v>
      </c>
      <c r="BN5" s="53">
        <v>8290</v>
      </c>
      <c r="BO5" s="22">
        <v>785</v>
      </c>
      <c r="BP5" s="53">
        <v>36879</v>
      </c>
      <c r="BQ5" s="22">
        <v>960</v>
      </c>
      <c r="BR5" s="53">
        <v>25732</v>
      </c>
      <c r="BS5" s="285">
        <v>772</v>
      </c>
      <c r="BT5" s="286">
        <v>14619</v>
      </c>
      <c r="BU5" s="22">
        <v>323</v>
      </c>
      <c r="BV5" s="53">
        <v>6496</v>
      </c>
      <c r="BW5" s="2"/>
      <c r="BZ5" s="3"/>
      <c r="CA5" s="3"/>
      <c r="CB5" s="22"/>
      <c r="CC5" s="22"/>
      <c r="CD5" s="22"/>
      <c r="CE5" s="3"/>
      <c r="CF5" s="2"/>
    </row>
    <row r="6" spans="2:84" ht="12.95" customHeight="1">
      <c r="B6" s="2" t="s">
        <v>1620</v>
      </c>
      <c r="C6" s="5">
        <v>571</v>
      </c>
      <c r="D6" s="5">
        <v>254</v>
      </c>
      <c r="E6" s="5">
        <v>95</v>
      </c>
      <c r="F6" s="5">
        <v>141</v>
      </c>
      <c r="G6" s="5">
        <v>177</v>
      </c>
      <c r="H6" s="47">
        <v>1373</v>
      </c>
      <c r="I6" s="5">
        <v>665</v>
      </c>
      <c r="J6" s="5">
        <v>498</v>
      </c>
      <c r="K6" s="5">
        <v>744</v>
      </c>
      <c r="L6" s="5">
        <v>647</v>
      </c>
      <c r="O6" s="3" t="s">
        <v>1668</v>
      </c>
      <c r="P6" s="3"/>
      <c r="Q6" s="3"/>
      <c r="R6" s="3"/>
      <c r="S6" s="3"/>
      <c r="AA6" s="3" t="s">
        <v>1721</v>
      </c>
      <c r="AB6" s="22" t="s">
        <v>546</v>
      </c>
      <c r="AC6" s="22" t="s">
        <v>546</v>
      </c>
      <c r="AD6" s="22" t="s">
        <v>546</v>
      </c>
      <c r="AE6" s="22">
        <v>10</v>
      </c>
      <c r="AF6" s="22">
        <v>1</v>
      </c>
      <c r="AG6" s="53">
        <v>2350</v>
      </c>
      <c r="AH6" s="22">
        <v>3</v>
      </c>
      <c r="AI6" s="22">
        <v>1</v>
      </c>
      <c r="AJ6" s="53">
        <v>4100</v>
      </c>
      <c r="AO6" s="3" t="s">
        <v>1829</v>
      </c>
      <c r="AP6" s="22">
        <v>180</v>
      </c>
      <c r="AQ6" s="53">
        <v>1215</v>
      </c>
      <c r="AS6" s="3" t="s">
        <v>1860</v>
      </c>
      <c r="AT6" s="22">
        <v>297</v>
      </c>
      <c r="AU6" s="22">
        <v>768</v>
      </c>
      <c r="AV6" s="279">
        <v>2.59</v>
      </c>
      <c r="AX6" s="3" t="s">
        <v>1881</v>
      </c>
      <c r="AY6" s="22">
        <v>292</v>
      </c>
      <c r="AZ6" s="22">
        <v>726</v>
      </c>
      <c r="BA6" s="279">
        <v>2.4900000000000002</v>
      </c>
      <c r="BC6" s="3" t="s">
        <v>1812</v>
      </c>
      <c r="BD6" s="22">
        <v>699</v>
      </c>
      <c r="BE6" s="22">
        <v>712</v>
      </c>
      <c r="BF6" s="22">
        <v>623.5</v>
      </c>
      <c r="BG6" s="22">
        <v>849.8</v>
      </c>
      <c r="BH6" s="22">
        <v>526.9</v>
      </c>
      <c r="BI6" s="22">
        <v>773.4</v>
      </c>
      <c r="BJ6" s="5"/>
      <c r="BL6" s="3" t="s">
        <v>1921</v>
      </c>
      <c r="BM6" s="22">
        <v>88</v>
      </c>
      <c r="BN6" s="53">
        <v>5163</v>
      </c>
      <c r="BO6" s="22">
        <v>50</v>
      </c>
      <c r="BP6" s="53">
        <v>4847</v>
      </c>
      <c r="BQ6" s="22">
        <v>91</v>
      </c>
      <c r="BR6" s="53">
        <v>8826</v>
      </c>
      <c r="BS6" s="285">
        <v>108</v>
      </c>
      <c r="BT6" s="286">
        <v>15709</v>
      </c>
      <c r="BU6" s="22">
        <v>24</v>
      </c>
      <c r="BV6" s="53">
        <v>6478</v>
      </c>
      <c r="BW6" s="2"/>
      <c r="BZ6" s="3"/>
      <c r="CA6" s="3"/>
      <c r="CB6" s="22"/>
      <c r="CC6" s="22"/>
      <c r="CD6" s="22"/>
      <c r="CE6" s="3"/>
      <c r="CF6" s="2"/>
    </row>
    <row r="7" spans="2:84" ht="12.95" customHeight="1">
      <c r="B7" s="2" t="s">
        <v>1621</v>
      </c>
      <c r="C7" s="5">
        <v>85</v>
      </c>
      <c r="D7" s="5">
        <v>95</v>
      </c>
      <c r="E7" s="5">
        <v>53</v>
      </c>
      <c r="F7" s="5">
        <v>79</v>
      </c>
      <c r="G7" s="5">
        <v>116</v>
      </c>
      <c r="H7" s="5">
        <v>402</v>
      </c>
      <c r="I7" s="5">
        <v>343</v>
      </c>
      <c r="J7" s="5">
        <v>332</v>
      </c>
      <c r="K7" s="5">
        <v>485</v>
      </c>
      <c r="L7" s="5">
        <v>857</v>
      </c>
      <c r="O7" s="3" t="s">
        <v>1669</v>
      </c>
      <c r="P7" s="22">
        <v>320</v>
      </c>
      <c r="Q7" s="22">
        <v>151</v>
      </c>
      <c r="R7" s="22">
        <v>54.9</v>
      </c>
      <c r="S7" s="22">
        <v>57.2</v>
      </c>
      <c r="AA7" s="3" t="s">
        <v>1722</v>
      </c>
      <c r="AB7" s="22">
        <v>49</v>
      </c>
      <c r="AC7" s="22">
        <v>7</v>
      </c>
      <c r="AD7" s="53">
        <v>1586</v>
      </c>
      <c r="AE7" s="22">
        <v>24</v>
      </c>
      <c r="AF7" s="22">
        <v>3</v>
      </c>
      <c r="AG7" s="22">
        <v>729</v>
      </c>
      <c r="AH7" s="22">
        <v>1</v>
      </c>
      <c r="AI7" s="22" t="s">
        <v>1640</v>
      </c>
      <c r="AJ7" s="22" t="s">
        <v>1640</v>
      </c>
      <c r="AO7" s="3" t="s">
        <v>1830</v>
      </c>
      <c r="AP7" s="22">
        <v>58</v>
      </c>
      <c r="AQ7" s="22">
        <v>276</v>
      </c>
      <c r="AS7" s="3" t="s">
        <v>1851</v>
      </c>
      <c r="AT7" s="22">
        <v>136</v>
      </c>
      <c r="AU7" s="22">
        <v>471</v>
      </c>
      <c r="AV7" s="279">
        <v>3.46</v>
      </c>
      <c r="AX7" s="3" t="s">
        <v>1882</v>
      </c>
      <c r="AY7" s="22">
        <v>47</v>
      </c>
      <c r="AZ7" s="22">
        <v>143</v>
      </c>
      <c r="BA7" s="279">
        <v>3.06</v>
      </c>
      <c r="BC7" s="3" t="s">
        <v>1813</v>
      </c>
      <c r="BD7" s="22">
        <v>60.9</v>
      </c>
      <c r="BE7" s="22">
        <v>36.700000000000003</v>
      </c>
      <c r="BF7" s="22">
        <v>54.8</v>
      </c>
      <c r="BG7" s="22">
        <v>86.7</v>
      </c>
      <c r="BH7" s="22">
        <v>33.299999999999997</v>
      </c>
      <c r="BI7" s="22">
        <v>50.9</v>
      </c>
      <c r="BJ7" s="5"/>
      <c r="BL7" s="3"/>
      <c r="BM7" s="3"/>
      <c r="BN7" s="3"/>
      <c r="BO7" s="3"/>
      <c r="BP7" s="3"/>
      <c r="BQ7" s="3"/>
      <c r="BR7" s="3"/>
      <c r="BS7" s="3"/>
      <c r="BT7" s="3"/>
      <c r="BU7" s="3"/>
      <c r="BV7" s="3"/>
      <c r="BW7" s="2"/>
      <c r="BZ7" s="3"/>
      <c r="CA7" s="3"/>
      <c r="CB7" s="22"/>
      <c r="CC7" s="22"/>
      <c r="CD7" s="22"/>
      <c r="CE7" s="3"/>
      <c r="CF7" s="2"/>
    </row>
    <row r="8" spans="2:84" ht="12.95" customHeight="1">
      <c r="B8" s="2" t="s">
        <v>1622</v>
      </c>
      <c r="C8" s="5">
        <v>62</v>
      </c>
      <c r="D8" s="5">
        <v>39</v>
      </c>
      <c r="E8" s="5">
        <v>10</v>
      </c>
      <c r="F8" s="5">
        <v>16</v>
      </c>
      <c r="G8" s="5">
        <v>13</v>
      </c>
      <c r="H8" s="5">
        <v>192</v>
      </c>
      <c r="I8" s="5">
        <v>152</v>
      </c>
      <c r="J8" s="5">
        <v>58</v>
      </c>
      <c r="K8" s="5">
        <v>226</v>
      </c>
      <c r="L8" s="5">
        <v>345</v>
      </c>
      <c r="O8" s="3" t="s">
        <v>1670</v>
      </c>
      <c r="P8" s="22">
        <v>263</v>
      </c>
      <c r="Q8" s="22">
        <v>113</v>
      </c>
      <c r="R8" s="22">
        <v>45.1</v>
      </c>
      <c r="S8" s="22">
        <v>42.8</v>
      </c>
      <c r="AA8" s="3" t="s">
        <v>1723</v>
      </c>
      <c r="AB8" s="22">
        <v>6</v>
      </c>
      <c r="AC8" s="22">
        <v>1</v>
      </c>
      <c r="AD8" s="22">
        <v>330</v>
      </c>
      <c r="AE8" s="22" t="s">
        <v>1724</v>
      </c>
      <c r="AF8" s="22" t="s">
        <v>1724</v>
      </c>
      <c r="AG8" s="22" t="s">
        <v>1724</v>
      </c>
      <c r="AH8" s="22" t="s">
        <v>1724</v>
      </c>
      <c r="AI8" s="22" t="s">
        <v>1724</v>
      </c>
      <c r="AJ8" s="22" t="s">
        <v>1724</v>
      </c>
      <c r="AO8" s="3" t="s">
        <v>1831</v>
      </c>
      <c r="AP8" s="22">
        <v>684</v>
      </c>
      <c r="AQ8" s="53">
        <v>1176</v>
      </c>
      <c r="AS8" s="3" t="s">
        <v>1832</v>
      </c>
      <c r="AT8" s="53">
        <v>8330</v>
      </c>
      <c r="AU8" s="53">
        <v>26730</v>
      </c>
      <c r="AV8" s="279">
        <v>3.21</v>
      </c>
      <c r="AX8" s="3" t="s">
        <v>1883</v>
      </c>
      <c r="AY8" s="22">
        <v>52</v>
      </c>
      <c r="AZ8" s="22">
        <v>175</v>
      </c>
      <c r="BA8" s="279">
        <v>3.37</v>
      </c>
      <c r="BC8" s="3" t="s">
        <v>1815</v>
      </c>
      <c r="BD8" s="22">
        <v>17.5</v>
      </c>
      <c r="BE8" s="22">
        <v>31.2</v>
      </c>
      <c r="BF8" s="22">
        <v>45.1</v>
      </c>
      <c r="BG8" s="22">
        <v>32.6</v>
      </c>
      <c r="BH8" s="22">
        <v>9.4</v>
      </c>
      <c r="BI8" s="22">
        <v>54.5</v>
      </c>
      <c r="BJ8" s="5"/>
      <c r="BL8" s="3" t="s">
        <v>1922</v>
      </c>
      <c r="BM8" s="22">
        <v>3</v>
      </c>
      <c r="BN8" s="22">
        <v>461</v>
      </c>
      <c r="BO8" s="22">
        <v>5</v>
      </c>
      <c r="BP8" s="22">
        <v>51</v>
      </c>
      <c r="BQ8" s="22">
        <v>6</v>
      </c>
      <c r="BR8" s="53">
        <v>3348</v>
      </c>
      <c r="BS8" s="285">
        <v>7</v>
      </c>
      <c r="BT8" s="285">
        <v>117</v>
      </c>
      <c r="BU8" s="22">
        <v>6</v>
      </c>
      <c r="BV8" s="22">
        <v>483</v>
      </c>
      <c r="BW8" s="2"/>
      <c r="BZ8" s="3"/>
      <c r="CA8" s="3"/>
      <c r="CB8" s="22"/>
      <c r="CC8" s="22"/>
      <c r="CD8" s="22"/>
      <c r="CE8" s="3"/>
      <c r="CF8" s="2"/>
    </row>
    <row r="9" spans="2:84" ht="12.95" customHeight="1">
      <c r="B9" s="2" t="s">
        <v>1623</v>
      </c>
      <c r="C9" s="5">
        <v>49</v>
      </c>
      <c r="D9" s="5">
        <v>78</v>
      </c>
      <c r="E9" s="5">
        <v>5</v>
      </c>
      <c r="F9" s="5">
        <v>9</v>
      </c>
      <c r="G9" s="5">
        <v>6</v>
      </c>
      <c r="H9" s="5">
        <v>672</v>
      </c>
      <c r="I9" s="47">
        <v>1019</v>
      </c>
      <c r="J9" s="5">
        <v>51</v>
      </c>
      <c r="K9" s="5">
        <v>33</v>
      </c>
      <c r="L9" s="5">
        <v>133</v>
      </c>
      <c r="O9" s="3"/>
      <c r="P9" s="3"/>
      <c r="Q9" s="3"/>
      <c r="R9" s="3"/>
      <c r="S9" s="3"/>
      <c r="AA9" s="3" t="s">
        <v>1725</v>
      </c>
      <c r="AB9" s="22">
        <v>5</v>
      </c>
      <c r="AC9" s="22">
        <v>1</v>
      </c>
      <c r="AD9" s="22">
        <v>302</v>
      </c>
      <c r="AE9" s="22" t="s">
        <v>1724</v>
      </c>
      <c r="AF9" s="22" t="s">
        <v>1724</v>
      </c>
      <c r="AG9" s="22" t="s">
        <v>1724</v>
      </c>
      <c r="AH9" s="22" t="s">
        <v>1724</v>
      </c>
      <c r="AI9" s="22" t="s">
        <v>1724</v>
      </c>
      <c r="AJ9" s="22" t="s">
        <v>1724</v>
      </c>
      <c r="AO9" s="3" t="s">
        <v>1832</v>
      </c>
      <c r="AP9" s="53">
        <v>4696</v>
      </c>
      <c r="AQ9" s="53">
        <v>15346</v>
      </c>
      <c r="AS9" s="3" t="s">
        <v>1861</v>
      </c>
      <c r="AT9" s="22">
        <v>844</v>
      </c>
      <c r="AU9" s="53">
        <v>2984</v>
      </c>
      <c r="AV9" s="279">
        <v>3.54</v>
      </c>
      <c r="AX9" s="3" t="s">
        <v>1884</v>
      </c>
      <c r="AY9" s="22">
        <v>7</v>
      </c>
      <c r="AZ9" s="22">
        <v>20</v>
      </c>
      <c r="BA9" s="279">
        <v>3</v>
      </c>
      <c r="BC9" s="299" t="s">
        <v>1709</v>
      </c>
      <c r="BD9" s="300">
        <v>28.5</v>
      </c>
      <c r="BE9" s="300">
        <v>9.4</v>
      </c>
      <c r="BF9" s="300">
        <v>33.5</v>
      </c>
      <c r="BG9" s="300">
        <v>12.7</v>
      </c>
      <c r="BH9" s="300">
        <v>7.8</v>
      </c>
      <c r="BI9" s="300">
        <v>7.3</v>
      </c>
      <c r="BJ9" s="62"/>
      <c r="BL9" s="3" t="s">
        <v>1923</v>
      </c>
      <c r="BM9" s="22" t="s">
        <v>1640</v>
      </c>
      <c r="BN9" s="22">
        <v>355</v>
      </c>
      <c r="BO9" s="22" t="s">
        <v>546</v>
      </c>
      <c r="BP9" s="22" t="s">
        <v>546</v>
      </c>
      <c r="BQ9" s="22" t="s">
        <v>1640</v>
      </c>
      <c r="BR9" s="53">
        <v>1433</v>
      </c>
      <c r="BS9" s="285">
        <v>1</v>
      </c>
      <c r="BT9" s="286">
        <v>1004</v>
      </c>
      <c r="BU9" s="22" t="s">
        <v>1640</v>
      </c>
      <c r="BV9" s="53">
        <v>4975</v>
      </c>
      <c r="BW9" s="2"/>
      <c r="BZ9" s="3"/>
      <c r="CA9" s="3"/>
      <c r="CB9" s="22"/>
      <c r="CC9" s="22"/>
      <c r="CD9" s="22"/>
      <c r="CE9" s="3"/>
      <c r="CF9" s="2"/>
    </row>
    <row r="10" spans="2:84" ht="12.95" customHeight="1">
      <c r="B10" s="2" t="s">
        <v>1624</v>
      </c>
      <c r="C10" s="5">
        <v>243</v>
      </c>
      <c r="D10" s="5">
        <v>182</v>
      </c>
      <c r="E10" s="5">
        <v>50</v>
      </c>
      <c r="F10" s="5">
        <v>102</v>
      </c>
      <c r="G10" s="5">
        <v>132</v>
      </c>
      <c r="H10" s="5">
        <v>209</v>
      </c>
      <c r="I10" s="5">
        <v>261</v>
      </c>
      <c r="J10" s="5">
        <v>60</v>
      </c>
      <c r="K10" s="5">
        <v>159</v>
      </c>
      <c r="L10" s="5">
        <v>182</v>
      </c>
      <c r="O10" s="3" t="s">
        <v>1671</v>
      </c>
      <c r="P10" s="3"/>
      <c r="Q10" s="3"/>
      <c r="R10" s="3"/>
      <c r="S10" s="3"/>
      <c r="AA10" s="3" t="s">
        <v>1726</v>
      </c>
      <c r="AB10" s="22">
        <v>70</v>
      </c>
      <c r="AC10" s="22">
        <v>17</v>
      </c>
      <c r="AD10" s="53">
        <v>8227</v>
      </c>
      <c r="AE10" s="22">
        <v>18</v>
      </c>
      <c r="AF10" s="22">
        <v>2</v>
      </c>
      <c r="AG10" s="53">
        <v>3665</v>
      </c>
      <c r="AH10" s="22">
        <v>8</v>
      </c>
      <c r="AI10" s="22">
        <v>9</v>
      </c>
      <c r="AJ10" s="53">
        <v>18800</v>
      </c>
      <c r="AO10" s="3" t="s">
        <v>1833</v>
      </c>
      <c r="AP10" s="53">
        <v>1716</v>
      </c>
      <c r="AQ10" s="53">
        <v>4363</v>
      </c>
      <c r="AS10" s="3" t="s">
        <v>1862</v>
      </c>
      <c r="AT10" s="22">
        <v>21</v>
      </c>
      <c r="AU10" s="22">
        <v>74</v>
      </c>
      <c r="AV10" s="279">
        <v>3.52</v>
      </c>
      <c r="AX10" s="3" t="s">
        <v>1885</v>
      </c>
      <c r="AY10" s="53">
        <v>1139</v>
      </c>
      <c r="AZ10" s="53">
        <v>2470</v>
      </c>
      <c r="BA10" s="279">
        <v>2.17</v>
      </c>
      <c r="BC10" s="13" t="s">
        <v>1912</v>
      </c>
      <c r="BD10" s="30"/>
      <c r="BE10" s="30"/>
      <c r="BF10" s="30"/>
      <c r="BG10" s="30"/>
      <c r="BH10" s="30"/>
      <c r="BI10" s="30"/>
      <c r="BJ10" s="14"/>
      <c r="BL10" s="3" t="s">
        <v>1924</v>
      </c>
      <c r="BM10" s="22">
        <v>16</v>
      </c>
      <c r="BN10" s="53">
        <v>15524</v>
      </c>
      <c r="BO10" s="22">
        <v>11</v>
      </c>
      <c r="BP10" s="53">
        <v>10420</v>
      </c>
      <c r="BQ10" s="22">
        <v>27</v>
      </c>
      <c r="BR10" s="53">
        <v>7919</v>
      </c>
      <c r="BS10" s="285">
        <v>37</v>
      </c>
      <c r="BT10" s="286">
        <v>15323</v>
      </c>
      <c r="BU10" s="22">
        <v>8</v>
      </c>
      <c r="BV10" s="53">
        <v>1498</v>
      </c>
      <c r="BW10" s="2"/>
      <c r="BZ10" s="30"/>
      <c r="CA10" s="3"/>
      <c r="CB10" s="3"/>
      <c r="CC10" s="3"/>
      <c r="CD10" s="3"/>
      <c r="CE10" s="3"/>
      <c r="CF10" s="2"/>
    </row>
    <row r="11" spans="2:84" ht="12.95" customHeight="1">
      <c r="B11" s="2"/>
      <c r="C11" s="2"/>
      <c r="D11" s="2"/>
      <c r="E11" s="2"/>
      <c r="F11" s="2"/>
      <c r="G11" s="2"/>
      <c r="H11" s="2"/>
      <c r="I11" s="2"/>
      <c r="J11" s="2"/>
      <c r="K11" s="2"/>
      <c r="L11" s="2"/>
      <c r="O11" s="3" t="s">
        <v>1672</v>
      </c>
      <c r="P11" s="22">
        <v>60</v>
      </c>
      <c r="Q11" s="22">
        <v>11</v>
      </c>
      <c r="R11" s="22">
        <v>10.3</v>
      </c>
      <c r="S11" s="22">
        <v>4.2</v>
      </c>
      <c r="AA11" s="3" t="s">
        <v>1727</v>
      </c>
      <c r="AB11" s="22">
        <v>79</v>
      </c>
      <c r="AC11" s="22">
        <v>13</v>
      </c>
      <c r="AD11" s="53">
        <v>8005</v>
      </c>
      <c r="AE11" s="22">
        <v>35</v>
      </c>
      <c r="AF11" s="22">
        <v>6</v>
      </c>
      <c r="AG11" s="53">
        <v>8737</v>
      </c>
      <c r="AH11" s="22">
        <v>10</v>
      </c>
      <c r="AI11" s="22">
        <v>6</v>
      </c>
      <c r="AJ11" s="53">
        <v>13000</v>
      </c>
      <c r="AO11" s="3" t="s">
        <v>1834</v>
      </c>
      <c r="AP11" s="22">
        <v>497</v>
      </c>
      <c r="AQ11" s="53">
        <v>1624</v>
      </c>
      <c r="AS11" s="3" t="s">
        <v>1847</v>
      </c>
      <c r="AT11" s="53">
        <v>15755</v>
      </c>
      <c r="AU11" s="53">
        <v>76908</v>
      </c>
      <c r="AV11" s="279">
        <v>4.88</v>
      </c>
      <c r="AX11" s="3" t="s">
        <v>1886</v>
      </c>
      <c r="AY11" s="22">
        <v>40</v>
      </c>
      <c r="AZ11" s="22">
        <v>114</v>
      </c>
      <c r="BA11" s="279">
        <v>2.85</v>
      </c>
      <c r="BC11" s="2"/>
      <c r="BD11" s="2"/>
      <c r="BE11" s="2"/>
      <c r="BF11" s="2"/>
      <c r="BG11" s="2"/>
      <c r="BH11" s="2"/>
      <c r="BI11" s="2"/>
      <c r="BJ11" s="2"/>
      <c r="BL11" s="3" t="s">
        <v>1925</v>
      </c>
      <c r="BM11" s="22" t="s">
        <v>546</v>
      </c>
      <c r="BN11" s="22" t="s">
        <v>546</v>
      </c>
      <c r="BO11" s="22" t="s">
        <v>546</v>
      </c>
      <c r="BP11" s="22" t="s">
        <v>546</v>
      </c>
      <c r="BQ11" s="22" t="s">
        <v>546</v>
      </c>
      <c r="BR11" s="22" t="s">
        <v>546</v>
      </c>
      <c r="BS11" s="285" t="s">
        <v>546</v>
      </c>
      <c r="BT11" s="285" t="s">
        <v>546</v>
      </c>
      <c r="BU11" s="22" t="s">
        <v>1640</v>
      </c>
      <c r="BV11" s="22">
        <v>63</v>
      </c>
      <c r="BW11" s="2"/>
      <c r="BZ11" s="30"/>
      <c r="CA11" s="3"/>
      <c r="CB11" s="3"/>
      <c r="CC11" s="3"/>
      <c r="CD11" s="3"/>
      <c r="CE11" s="3"/>
      <c r="CF11" s="2"/>
    </row>
    <row r="12" spans="2:84" ht="12.95" customHeight="1">
      <c r="B12" s="10" t="s">
        <v>1625</v>
      </c>
      <c r="C12" s="275">
        <v>2.1000000000000001E-2</v>
      </c>
      <c r="D12" s="275">
        <v>1.7999999999999999E-2</v>
      </c>
      <c r="E12" s="275">
        <v>7.0000000000000001E-3</v>
      </c>
      <c r="F12" s="275">
        <v>0.123</v>
      </c>
      <c r="G12" s="275">
        <v>0.16</v>
      </c>
      <c r="H12" s="11" t="s">
        <v>1626</v>
      </c>
      <c r="I12" s="11" t="s">
        <v>1627</v>
      </c>
      <c r="J12" s="11" t="s">
        <v>1627</v>
      </c>
      <c r="K12" s="11" t="s">
        <v>1627</v>
      </c>
      <c r="L12" s="11" t="s">
        <v>1627</v>
      </c>
      <c r="O12" s="3"/>
      <c r="P12" s="3"/>
      <c r="Q12" s="3"/>
      <c r="R12" s="3"/>
      <c r="S12" s="3"/>
      <c r="AA12" s="3"/>
      <c r="AB12" s="3"/>
      <c r="AC12" s="3"/>
      <c r="AD12" s="3"/>
      <c r="AE12" s="3"/>
      <c r="AF12" s="3"/>
      <c r="AG12" s="3"/>
      <c r="AH12" s="3"/>
      <c r="AI12" s="3"/>
      <c r="AJ12" s="3"/>
      <c r="AO12" s="3" t="s">
        <v>1835</v>
      </c>
      <c r="AP12" s="22">
        <v>18</v>
      </c>
      <c r="AQ12" s="22">
        <v>62</v>
      </c>
      <c r="AS12" s="3" t="s">
        <v>1863</v>
      </c>
      <c r="AT12" s="22">
        <v>56</v>
      </c>
      <c r="AU12" s="22">
        <v>226</v>
      </c>
      <c r="AV12" s="279">
        <v>4.04</v>
      </c>
      <c r="AX12" s="3" t="s">
        <v>1887</v>
      </c>
      <c r="AY12" s="22">
        <v>87</v>
      </c>
      <c r="AZ12" s="22">
        <v>363</v>
      </c>
      <c r="BA12" s="279">
        <v>4.18</v>
      </c>
      <c r="BC12" s="2"/>
      <c r="BD12" s="2"/>
      <c r="BE12" s="2"/>
      <c r="BF12" s="2"/>
      <c r="BG12" s="2"/>
      <c r="BH12" s="2"/>
      <c r="BI12" s="2"/>
      <c r="BJ12" s="2"/>
      <c r="BL12" s="3" t="s">
        <v>1822</v>
      </c>
      <c r="BM12" s="22" t="s">
        <v>546</v>
      </c>
      <c r="BN12" s="22" t="s">
        <v>546</v>
      </c>
      <c r="BO12" s="22" t="s">
        <v>1640</v>
      </c>
      <c r="BP12" s="22">
        <v>49</v>
      </c>
      <c r="BQ12" s="22" t="s">
        <v>1640</v>
      </c>
      <c r="BR12" s="22">
        <v>253</v>
      </c>
      <c r="BS12" s="285">
        <v>1</v>
      </c>
      <c r="BT12" s="285">
        <v>315</v>
      </c>
      <c r="BU12" s="285">
        <v>4</v>
      </c>
      <c r="BV12" s="285">
        <v>177</v>
      </c>
      <c r="BW12" s="2"/>
      <c r="BZ12" s="2"/>
      <c r="CA12" s="3"/>
      <c r="CB12" s="3"/>
      <c r="CC12" s="3"/>
      <c r="CD12" s="3"/>
      <c r="CE12" s="3"/>
      <c r="CF12" s="2"/>
    </row>
    <row r="13" spans="2:84" ht="12.95" customHeight="1">
      <c r="B13" s="13" t="s">
        <v>1628</v>
      </c>
      <c r="C13" s="14"/>
      <c r="D13" s="2"/>
      <c r="E13" s="2"/>
      <c r="F13" s="2"/>
      <c r="G13" s="2"/>
      <c r="H13" s="2"/>
      <c r="I13" s="2"/>
      <c r="J13" s="2"/>
      <c r="K13" s="2"/>
      <c r="L13" s="2"/>
      <c r="O13" s="3" t="s">
        <v>1673</v>
      </c>
      <c r="P13" s="22">
        <v>85</v>
      </c>
      <c r="Q13" s="22">
        <v>38</v>
      </c>
      <c r="R13" s="22">
        <v>14.6</v>
      </c>
      <c r="S13" s="22">
        <v>14.4</v>
      </c>
      <c r="AA13" s="3" t="s">
        <v>1728</v>
      </c>
      <c r="AB13" s="22">
        <v>56</v>
      </c>
      <c r="AC13" s="22">
        <v>12</v>
      </c>
      <c r="AD13" s="53">
        <v>9790</v>
      </c>
      <c r="AE13" s="22">
        <v>28</v>
      </c>
      <c r="AF13" s="22">
        <v>4</v>
      </c>
      <c r="AG13" s="53">
        <v>12474</v>
      </c>
      <c r="AH13" s="22">
        <v>9</v>
      </c>
      <c r="AI13" s="22">
        <v>7</v>
      </c>
      <c r="AJ13" s="53">
        <v>23000</v>
      </c>
      <c r="AO13" s="3" t="s">
        <v>1836</v>
      </c>
      <c r="AP13" s="22">
        <v>185</v>
      </c>
      <c r="AQ13" s="53">
        <v>1039</v>
      </c>
      <c r="AS13" s="3" t="s">
        <v>1828</v>
      </c>
      <c r="AT13" s="22">
        <v>171</v>
      </c>
      <c r="AU13" s="22">
        <v>678</v>
      </c>
      <c r="AV13" s="279">
        <v>3.96</v>
      </c>
      <c r="AX13" s="3" t="s">
        <v>1888</v>
      </c>
      <c r="AY13" s="22">
        <v>547</v>
      </c>
      <c r="AZ13" s="53">
        <v>1862</v>
      </c>
      <c r="BA13" s="279">
        <v>3.4</v>
      </c>
      <c r="BC13" s="2"/>
      <c r="BD13" s="2"/>
      <c r="BE13" s="2"/>
      <c r="BF13" s="2"/>
      <c r="BG13" s="2"/>
      <c r="BH13" s="2"/>
      <c r="BI13" s="2"/>
      <c r="BJ13" s="2"/>
      <c r="BL13" s="3" t="s">
        <v>1926</v>
      </c>
      <c r="BM13" s="22" t="s">
        <v>546</v>
      </c>
      <c r="BN13" s="22" t="s">
        <v>546</v>
      </c>
      <c r="BO13" s="22" t="s">
        <v>546</v>
      </c>
      <c r="BP13" s="22" t="s">
        <v>546</v>
      </c>
      <c r="BQ13" s="22" t="s">
        <v>546</v>
      </c>
      <c r="BR13" s="22" t="s">
        <v>546</v>
      </c>
      <c r="BS13" s="285" t="s">
        <v>546</v>
      </c>
      <c r="BT13" s="285" t="s">
        <v>546</v>
      </c>
      <c r="BU13" s="285" t="s">
        <v>1640</v>
      </c>
      <c r="BV13" s="285">
        <v>327</v>
      </c>
      <c r="BW13" s="2"/>
      <c r="BZ13" s="2"/>
      <c r="CA13" s="3"/>
      <c r="CB13" s="3"/>
      <c r="CC13" s="3"/>
      <c r="CD13" s="3"/>
      <c r="CE13" s="3"/>
      <c r="CF13" s="2"/>
    </row>
    <row r="14" spans="2:84" ht="12.95" customHeight="1">
      <c r="B14" s="13" t="s">
        <v>1629</v>
      </c>
      <c r="C14" s="14"/>
      <c r="D14" s="2"/>
      <c r="E14" s="2"/>
      <c r="F14" s="2"/>
      <c r="G14" s="2"/>
      <c r="H14" s="2"/>
      <c r="I14" s="2"/>
      <c r="J14" s="2"/>
      <c r="K14" s="2"/>
      <c r="L14" s="2"/>
      <c r="O14" s="3" t="s">
        <v>1674</v>
      </c>
      <c r="P14" s="22">
        <v>127</v>
      </c>
      <c r="Q14" s="22">
        <v>43</v>
      </c>
      <c r="R14" s="22">
        <v>21.8</v>
      </c>
      <c r="S14" s="22">
        <v>16.3</v>
      </c>
      <c r="AA14" s="23" t="s">
        <v>1729</v>
      </c>
      <c r="AB14" s="29">
        <v>15</v>
      </c>
      <c r="AC14" s="29">
        <v>8</v>
      </c>
      <c r="AD14" s="54">
        <v>5850</v>
      </c>
      <c r="AE14" s="29">
        <v>7</v>
      </c>
      <c r="AF14" s="29">
        <v>2</v>
      </c>
      <c r="AG14" s="54">
        <v>6153</v>
      </c>
      <c r="AH14" s="29">
        <v>2</v>
      </c>
      <c r="AI14" s="29" t="s">
        <v>1640</v>
      </c>
      <c r="AJ14" s="29" t="s">
        <v>1640</v>
      </c>
      <c r="AO14" s="3" t="s">
        <v>1837</v>
      </c>
      <c r="AP14" s="22">
        <v>110</v>
      </c>
      <c r="AQ14" s="22">
        <v>457</v>
      </c>
      <c r="AS14" s="3" t="s">
        <v>1864</v>
      </c>
      <c r="AT14" s="22">
        <v>33</v>
      </c>
      <c r="AU14" s="22">
        <v>107</v>
      </c>
      <c r="AV14" s="279">
        <v>3.24</v>
      </c>
      <c r="AX14" s="3" t="s">
        <v>1889</v>
      </c>
      <c r="AY14" s="22">
        <v>151</v>
      </c>
      <c r="AZ14" s="22">
        <v>631</v>
      </c>
      <c r="BA14" s="279">
        <v>4.18</v>
      </c>
      <c r="BC14" s="1" t="s">
        <v>1913</v>
      </c>
      <c r="BD14" s="2"/>
      <c r="BE14" s="2"/>
      <c r="BF14" s="2"/>
      <c r="BG14" s="2"/>
      <c r="BH14" s="2"/>
      <c r="BI14" s="2"/>
      <c r="BJ14" s="2"/>
      <c r="BL14" s="3" t="s">
        <v>1927</v>
      </c>
      <c r="BM14" s="22">
        <v>3</v>
      </c>
      <c r="BN14" s="22">
        <v>276</v>
      </c>
      <c r="BO14" s="22" t="s">
        <v>1640</v>
      </c>
      <c r="BP14" s="22">
        <v>123</v>
      </c>
      <c r="BQ14" s="22">
        <v>1</v>
      </c>
      <c r="BR14" s="22">
        <v>285</v>
      </c>
      <c r="BS14" s="285">
        <v>10</v>
      </c>
      <c r="BT14" s="285">
        <v>169</v>
      </c>
      <c r="BU14" s="285">
        <v>1</v>
      </c>
      <c r="BV14" s="285">
        <v>436</v>
      </c>
      <c r="BW14" s="2"/>
      <c r="BZ14" s="2"/>
      <c r="CA14" s="3"/>
      <c r="CB14" s="3"/>
      <c r="CC14" s="3"/>
      <c r="CD14" s="3"/>
      <c r="CE14" s="3"/>
      <c r="CF14" s="2"/>
    </row>
    <row r="15" spans="2:84" ht="12.95" customHeight="1">
      <c r="O15" s="3" t="s">
        <v>1675</v>
      </c>
      <c r="P15" s="22">
        <v>311</v>
      </c>
      <c r="Q15" s="22">
        <v>172</v>
      </c>
      <c r="R15" s="22">
        <v>53.3</v>
      </c>
      <c r="S15" s="22">
        <v>65.2</v>
      </c>
      <c r="AA15" s="2060" t="s">
        <v>1628</v>
      </c>
      <c r="AB15" s="2060"/>
      <c r="AC15" s="2060"/>
      <c r="AD15" s="2060"/>
      <c r="AE15" s="2060"/>
      <c r="AF15" s="3"/>
      <c r="AG15" s="3"/>
      <c r="AH15" s="3"/>
      <c r="AI15" s="3"/>
      <c r="AJ15" s="3"/>
      <c r="AO15" s="3" t="s">
        <v>1838</v>
      </c>
      <c r="AP15" s="22">
        <v>66</v>
      </c>
      <c r="AQ15" s="22">
        <v>252</v>
      </c>
      <c r="AS15" s="3" t="s">
        <v>1827</v>
      </c>
      <c r="AT15" s="22">
        <v>225</v>
      </c>
      <c r="AU15" s="22">
        <v>757</v>
      </c>
      <c r="AV15" s="279">
        <v>3.36</v>
      </c>
      <c r="AX15" s="3" t="s">
        <v>1890</v>
      </c>
      <c r="AY15" s="22">
        <v>526</v>
      </c>
      <c r="AZ15" s="53">
        <v>2042</v>
      </c>
      <c r="BA15" s="279">
        <v>3.88</v>
      </c>
      <c r="BC15" s="42" t="s">
        <v>1914</v>
      </c>
      <c r="BD15" s="42"/>
      <c r="BE15" s="42"/>
      <c r="BF15" s="10"/>
      <c r="BG15" s="10"/>
      <c r="BH15" s="10"/>
      <c r="BI15" s="10"/>
      <c r="BJ15" s="2"/>
      <c r="BL15" s="2066" t="s">
        <v>1912</v>
      </c>
      <c r="BM15" s="2066"/>
      <c r="BN15" s="2066"/>
      <c r="BO15" s="2066"/>
      <c r="BP15" s="2066"/>
      <c r="BQ15" s="2066"/>
      <c r="BR15" s="108"/>
      <c r="BS15" s="108"/>
      <c r="BT15" s="108"/>
      <c r="BU15" s="108"/>
      <c r="BV15" s="108"/>
      <c r="BW15" s="2"/>
      <c r="BZ15" s="2036"/>
      <c r="CA15" s="2036"/>
      <c r="CB15" s="2036"/>
      <c r="CC15" s="2036"/>
      <c r="CD15" s="2036"/>
      <c r="CE15" s="2036"/>
      <c r="CF15" s="2"/>
    </row>
    <row r="16" spans="2:84" ht="12.95" customHeight="1">
      <c r="O16" s="3"/>
      <c r="P16" s="3"/>
      <c r="Q16" s="3"/>
      <c r="R16" s="3"/>
      <c r="S16" s="3"/>
      <c r="AA16" s="2038" t="s">
        <v>1646</v>
      </c>
      <c r="AB16" s="2038"/>
      <c r="AC16" s="2038"/>
      <c r="AD16" s="2038"/>
      <c r="AE16" s="2038"/>
      <c r="AF16" s="245"/>
      <c r="AG16" s="245"/>
      <c r="AH16" s="3"/>
      <c r="AI16" s="3"/>
      <c r="AJ16" s="3"/>
      <c r="AO16" s="3" t="s">
        <v>1839</v>
      </c>
      <c r="AP16" s="53">
        <v>48515</v>
      </c>
      <c r="AQ16" s="53">
        <v>191422</v>
      </c>
      <c r="AS16" s="3" t="s">
        <v>1865</v>
      </c>
      <c r="AT16" s="22">
        <v>34</v>
      </c>
      <c r="AU16" s="22">
        <v>117</v>
      </c>
      <c r="AV16" s="279">
        <v>3.44</v>
      </c>
      <c r="AX16" s="3" t="s">
        <v>1891</v>
      </c>
      <c r="AY16" s="22">
        <v>82</v>
      </c>
      <c r="AZ16" s="22">
        <v>299</v>
      </c>
      <c r="BA16" s="279">
        <v>3.65</v>
      </c>
      <c r="BC16" s="111" t="s">
        <v>1808</v>
      </c>
      <c r="BD16" s="282">
        <v>2024</v>
      </c>
      <c r="BE16" s="97">
        <v>2023</v>
      </c>
      <c r="BF16" s="97">
        <v>2022</v>
      </c>
      <c r="BG16" s="97">
        <v>2021</v>
      </c>
      <c r="BH16" s="97">
        <v>2020</v>
      </c>
      <c r="BI16" s="106">
        <v>2019</v>
      </c>
      <c r="BJ16" s="22"/>
      <c r="BL16" s="2037" t="s">
        <v>1928</v>
      </c>
      <c r="BM16" s="2037"/>
      <c r="BN16" s="2037"/>
      <c r="BO16" s="30"/>
      <c r="BP16" s="30"/>
      <c r="BQ16" s="30"/>
      <c r="BR16" s="3"/>
      <c r="BS16" s="3"/>
      <c r="BT16" s="3"/>
      <c r="BU16" s="3"/>
      <c r="BV16" s="3"/>
      <c r="BW16" s="2"/>
      <c r="BZ16" s="3"/>
      <c r="CA16" s="2065"/>
      <c r="CB16" s="2065"/>
      <c r="CC16" s="2065"/>
      <c r="CD16" s="2065"/>
      <c r="CE16" s="2065"/>
      <c r="CF16" s="2"/>
    </row>
    <row r="17" spans="2:84" ht="12.95" customHeight="1">
      <c r="O17" s="3" t="s">
        <v>1676</v>
      </c>
      <c r="P17" s="3"/>
      <c r="Q17" s="3"/>
      <c r="R17" s="3"/>
      <c r="S17" s="3"/>
      <c r="AA17" s="2038" t="s">
        <v>1730</v>
      </c>
      <c r="AB17" s="2038"/>
      <c r="AC17" s="2038"/>
      <c r="AD17" s="2038"/>
      <c r="AE17" s="2038"/>
      <c r="AF17" s="245"/>
      <c r="AG17" s="245"/>
      <c r="AH17" s="3"/>
      <c r="AI17" s="3"/>
      <c r="AJ17" s="3"/>
      <c r="AO17" s="3" t="s">
        <v>1840</v>
      </c>
      <c r="AP17" s="22">
        <v>757</v>
      </c>
      <c r="AQ17" s="53">
        <v>4997</v>
      </c>
      <c r="AS17" s="3" t="s">
        <v>1840</v>
      </c>
      <c r="AT17" s="22">
        <v>20</v>
      </c>
      <c r="AU17" s="22">
        <v>80</v>
      </c>
      <c r="AV17" s="279">
        <v>4</v>
      </c>
      <c r="AX17" s="3" t="s">
        <v>1892</v>
      </c>
      <c r="AY17" s="22">
        <v>435</v>
      </c>
      <c r="AZ17" s="53">
        <v>1770</v>
      </c>
      <c r="BA17" s="279">
        <v>4.07</v>
      </c>
      <c r="BC17" s="22" t="s">
        <v>545</v>
      </c>
      <c r="BD17" s="22">
        <v>60.2</v>
      </c>
      <c r="BE17" s="22">
        <v>51.3</v>
      </c>
      <c r="BF17" s="22">
        <v>71.099999999999994</v>
      </c>
      <c r="BG17" s="22">
        <v>92</v>
      </c>
      <c r="BH17" s="22">
        <v>64</v>
      </c>
      <c r="BI17" s="22">
        <v>78</v>
      </c>
      <c r="BJ17" s="22"/>
      <c r="BL17" s="301" t="s">
        <v>1929</v>
      </c>
      <c r="BM17" s="30"/>
      <c r="BN17" s="30"/>
      <c r="BO17" s="30"/>
      <c r="BP17" s="30"/>
      <c r="BQ17" s="30"/>
      <c r="BR17" s="3"/>
      <c r="BS17" s="3"/>
      <c r="BT17" s="3"/>
      <c r="BU17" s="3"/>
      <c r="BV17" s="3"/>
      <c r="BW17" s="2"/>
      <c r="BZ17" s="3"/>
      <c r="CA17" s="2065"/>
      <c r="CB17" s="2065"/>
      <c r="CC17" s="21"/>
      <c r="CD17" s="21"/>
      <c r="CE17" s="21"/>
      <c r="CF17" s="2"/>
    </row>
    <row r="18" spans="2:84" ht="12.95" customHeight="1">
      <c r="B18" s="1" t="s">
        <v>1630</v>
      </c>
      <c r="C18" s="2"/>
      <c r="D18" s="2"/>
      <c r="E18" s="2"/>
      <c r="O18" s="3" t="s">
        <v>1677</v>
      </c>
      <c r="P18" s="22">
        <v>30</v>
      </c>
      <c r="Q18" s="22">
        <v>3</v>
      </c>
      <c r="R18" s="22">
        <v>5.0999999999999996</v>
      </c>
      <c r="S18" s="22">
        <v>1.1000000000000001</v>
      </c>
      <c r="AO18" s="3" t="s">
        <v>1841</v>
      </c>
      <c r="AP18" s="53">
        <v>2808</v>
      </c>
      <c r="AQ18" s="53">
        <v>11252</v>
      </c>
      <c r="AS18" s="3" t="s">
        <v>1833</v>
      </c>
      <c r="AT18" s="53">
        <v>8040</v>
      </c>
      <c r="AU18" s="53">
        <v>16612</v>
      </c>
      <c r="AV18" s="279">
        <v>2.0699999999999998</v>
      </c>
      <c r="AX18" s="3" t="s">
        <v>1893</v>
      </c>
      <c r="AY18" s="53">
        <v>1458</v>
      </c>
      <c r="AZ18" s="53">
        <v>6856</v>
      </c>
      <c r="BA18" s="279">
        <v>4.7</v>
      </c>
      <c r="BC18" s="2"/>
      <c r="BD18" s="2"/>
      <c r="BE18" s="2"/>
      <c r="BF18" s="2"/>
      <c r="BG18" s="2"/>
      <c r="BH18" s="2"/>
      <c r="BI18" s="2"/>
      <c r="BJ18" s="2"/>
      <c r="BL18" s="2"/>
      <c r="BM18" s="2"/>
      <c r="BN18" s="2"/>
      <c r="BO18" s="2"/>
      <c r="BP18" s="2"/>
      <c r="BQ18" s="2"/>
      <c r="BR18" s="2"/>
      <c r="BS18" s="2"/>
      <c r="BT18" s="2"/>
      <c r="BU18" s="2"/>
      <c r="BV18" s="2"/>
      <c r="BW18" s="2"/>
      <c r="BZ18" s="3"/>
      <c r="CA18" s="2055"/>
      <c r="CB18" s="2055"/>
      <c r="CC18" s="22"/>
      <c r="CD18" s="53"/>
      <c r="CE18" s="53"/>
      <c r="CF18" s="2"/>
    </row>
    <row r="19" spans="2:84" ht="12.95" customHeight="1">
      <c r="B19" s="2053" t="s">
        <v>1631</v>
      </c>
      <c r="C19" s="2047">
        <v>2023</v>
      </c>
      <c r="D19" s="2042"/>
      <c r="E19" s="113"/>
      <c r="O19" s="3" t="s">
        <v>1678</v>
      </c>
      <c r="P19" s="22">
        <v>54</v>
      </c>
      <c r="Q19" s="22">
        <v>9</v>
      </c>
      <c r="R19" s="22">
        <v>9.3000000000000007</v>
      </c>
      <c r="S19" s="22">
        <v>3.4</v>
      </c>
      <c r="AO19" s="3" t="s">
        <v>1842</v>
      </c>
      <c r="AP19" s="22">
        <v>747</v>
      </c>
      <c r="AQ19" s="53">
        <v>1889</v>
      </c>
      <c r="AS19" s="3" t="s">
        <v>1866</v>
      </c>
      <c r="AT19" s="53">
        <v>1279</v>
      </c>
      <c r="AU19" s="53">
        <v>6327</v>
      </c>
      <c r="AV19" s="279">
        <v>4.95</v>
      </c>
      <c r="AX19" s="3" t="s">
        <v>1894</v>
      </c>
      <c r="AY19" s="53">
        <v>5970</v>
      </c>
      <c r="AZ19" s="53">
        <v>18086</v>
      </c>
      <c r="BA19" s="279">
        <v>3.03</v>
      </c>
      <c r="BC19" s="2" t="s">
        <v>1812</v>
      </c>
      <c r="BD19" s="5">
        <v>38.6</v>
      </c>
      <c r="BE19" s="5">
        <v>38.299999999999997</v>
      </c>
      <c r="BF19" s="5">
        <v>48</v>
      </c>
      <c r="BG19" s="5">
        <v>56</v>
      </c>
      <c r="BH19" s="5">
        <v>49.1</v>
      </c>
      <c r="BI19" s="5">
        <v>56.7</v>
      </c>
      <c r="BJ19" s="5"/>
      <c r="BL19" s="2"/>
      <c r="BM19" s="2"/>
      <c r="BN19" s="2"/>
      <c r="BO19" s="2"/>
      <c r="BP19" s="2"/>
      <c r="BQ19" s="2"/>
      <c r="BR19" s="2"/>
      <c r="BS19" s="2"/>
      <c r="BT19" s="2"/>
      <c r="BU19" s="2"/>
      <c r="BV19" s="2"/>
      <c r="BW19" s="2"/>
      <c r="BZ19" s="3"/>
      <c r="CA19" s="2055"/>
      <c r="CB19" s="2055"/>
      <c r="CC19" s="22"/>
      <c r="CD19" s="22"/>
      <c r="CE19" s="22"/>
      <c r="CF19" s="2"/>
    </row>
    <row r="20" spans="2:84" ht="12.95" customHeight="1">
      <c r="B20" s="2054"/>
      <c r="C20" s="26" t="s">
        <v>1616</v>
      </c>
      <c r="D20" s="27" t="s">
        <v>1617</v>
      </c>
      <c r="E20" s="113"/>
      <c r="O20" s="3" t="s">
        <v>1679</v>
      </c>
      <c r="P20" s="22">
        <v>110</v>
      </c>
      <c r="Q20" s="22">
        <v>36</v>
      </c>
      <c r="R20" s="22">
        <v>18.899999999999999</v>
      </c>
      <c r="S20" s="22">
        <v>13.6</v>
      </c>
      <c r="AO20" s="3" t="s">
        <v>1843</v>
      </c>
      <c r="AP20" s="22">
        <v>88</v>
      </c>
      <c r="AQ20" s="22">
        <v>313</v>
      </c>
      <c r="AS20" s="3" t="s">
        <v>1867</v>
      </c>
      <c r="AT20" s="22">
        <v>306</v>
      </c>
      <c r="AU20" s="22">
        <v>693</v>
      </c>
      <c r="AV20" s="279">
        <v>2.2599999999999998</v>
      </c>
      <c r="AX20" s="3" t="s">
        <v>1895</v>
      </c>
      <c r="AY20" s="53">
        <v>7971</v>
      </c>
      <c r="AZ20" s="53">
        <v>14271</v>
      </c>
      <c r="BA20" s="279">
        <v>1.79</v>
      </c>
      <c r="BC20" s="2" t="s">
        <v>1813</v>
      </c>
      <c r="BD20" s="5">
        <v>13.9</v>
      </c>
      <c r="BE20" s="5">
        <v>8.6</v>
      </c>
      <c r="BF20" s="5">
        <v>13.9</v>
      </c>
      <c r="BG20" s="5">
        <v>19</v>
      </c>
      <c r="BH20" s="5">
        <v>11</v>
      </c>
      <c r="BI20" s="5">
        <v>15.3</v>
      </c>
      <c r="BJ20" s="5"/>
      <c r="BL20" s="2036" t="s">
        <v>1937</v>
      </c>
      <c r="BM20" s="2036"/>
      <c r="BN20" s="2036"/>
      <c r="BO20" s="2036"/>
      <c r="BP20" s="2036"/>
      <c r="BQ20" s="2036"/>
      <c r="BR20" s="2"/>
      <c r="BW20" s="2"/>
      <c r="BZ20" s="3"/>
      <c r="CA20" s="2055"/>
      <c r="CB20" s="2055"/>
      <c r="CC20" s="22"/>
      <c r="CD20" s="22"/>
      <c r="CE20" s="22"/>
      <c r="CF20" s="2"/>
    </row>
    <row r="21" spans="2:84" ht="12.95" customHeight="1">
      <c r="B21" s="3" t="s">
        <v>129</v>
      </c>
      <c r="C21" s="22">
        <v>583</v>
      </c>
      <c r="D21" s="53">
        <v>2848</v>
      </c>
      <c r="E21" s="2"/>
      <c r="O21" s="3" t="s">
        <v>1680</v>
      </c>
      <c r="P21" s="22">
        <v>172</v>
      </c>
      <c r="Q21" s="22">
        <v>96</v>
      </c>
      <c r="R21" s="22">
        <v>29.5</v>
      </c>
      <c r="S21" s="22">
        <v>36.4</v>
      </c>
      <c r="AO21" s="3" t="s">
        <v>1844</v>
      </c>
      <c r="AP21" s="22">
        <v>98</v>
      </c>
      <c r="AQ21" s="22">
        <v>515</v>
      </c>
      <c r="AS21" s="3" t="s">
        <v>1868</v>
      </c>
      <c r="AT21" s="22">
        <v>252</v>
      </c>
      <c r="AU21" s="53">
        <v>1323</v>
      </c>
      <c r="AV21" s="279">
        <v>5.25</v>
      </c>
      <c r="AX21" s="3" t="s">
        <v>1896</v>
      </c>
      <c r="AY21" s="22">
        <v>11</v>
      </c>
      <c r="AZ21" s="22">
        <v>36</v>
      </c>
      <c r="BA21" s="279">
        <v>3.25</v>
      </c>
      <c r="BC21" s="2" t="s">
        <v>1815</v>
      </c>
      <c r="BD21" s="5">
        <v>2.9</v>
      </c>
      <c r="BE21" s="5">
        <v>3</v>
      </c>
      <c r="BF21" s="5">
        <v>4.8</v>
      </c>
      <c r="BG21" s="5">
        <v>15</v>
      </c>
      <c r="BH21" s="5">
        <v>2.9</v>
      </c>
      <c r="BI21" s="5">
        <v>4.5</v>
      </c>
      <c r="BJ21" s="5"/>
      <c r="BL21" s="2051" t="s">
        <v>1808</v>
      </c>
      <c r="BM21" s="66" t="s">
        <v>1919</v>
      </c>
      <c r="BN21" s="66" t="s">
        <v>1920</v>
      </c>
      <c r="BO21" s="66" t="s">
        <v>1919</v>
      </c>
      <c r="BP21" s="66" t="s">
        <v>1920</v>
      </c>
      <c r="BQ21" s="66" t="s">
        <v>1919</v>
      </c>
      <c r="BR21" s="66" t="s">
        <v>1920</v>
      </c>
      <c r="BS21" s="66" t="s">
        <v>1919</v>
      </c>
      <c r="BT21" s="66" t="s">
        <v>1920</v>
      </c>
      <c r="BU21" s="26" t="s">
        <v>1919</v>
      </c>
      <c r="BV21" s="27" t="s">
        <v>1920</v>
      </c>
      <c r="BW21" s="21"/>
      <c r="BZ21" s="3"/>
      <c r="CA21" s="2055"/>
      <c r="CB21" s="2055"/>
      <c r="CC21" s="22"/>
      <c r="CD21" s="22"/>
      <c r="CE21" s="22"/>
      <c r="CF21" s="2"/>
    </row>
    <row r="22" spans="2:84" ht="12.95" customHeight="1">
      <c r="B22" s="3" t="s">
        <v>1632</v>
      </c>
      <c r="C22" s="22">
        <v>181</v>
      </c>
      <c r="D22" s="22">
        <v>78</v>
      </c>
      <c r="E22" s="2"/>
      <c r="O22" s="3" t="s">
        <v>1681</v>
      </c>
      <c r="P22" s="22">
        <v>217</v>
      </c>
      <c r="Q22" s="22">
        <v>120</v>
      </c>
      <c r="R22" s="22">
        <v>37.200000000000003</v>
      </c>
      <c r="S22" s="22">
        <v>45.5</v>
      </c>
      <c r="AA22" s="1" t="s">
        <v>1731</v>
      </c>
      <c r="AB22" s="3"/>
      <c r="AC22" s="3"/>
      <c r="AD22" s="3"/>
      <c r="AE22" s="3"/>
      <c r="AF22" s="3"/>
      <c r="AG22" s="3"/>
      <c r="AH22" s="3"/>
      <c r="AI22" s="3"/>
      <c r="AJ22" s="3"/>
      <c r="AO22" s="3" t="s">
        <v>1845</v>
      </c>
      <c r="AP22" s="22">
        <v>134</v>
      </c>
      <c r="AQ22" s="22">
        <v>514</v>
      </c>
      <c r="AS22" s="3" t="s">
        <v>1869</v>
      </c>
      <c r="AT22" s="22">
        <v>319</v>
      </c>
      <c r="AU22" s="53">
        <v>1620</v>
      </c>
      <c r="AV22" s="279">
        <v>5.08</v>
      </c>
      <c r="AX22" s="3" t="s">
        <v>1897</v>
      </c>
      <c r="AY22" s="22">
        <v>508</v>
      </c>
      <c r="AZ22" s="53">
        <v>2340</v>
      </c>
      <c r="BA22" s="279">
        <v>4.6100000000000003</v>
      </c>
      <c r="BC22" s="2" t="s">
        <v>1709</v>
      </c>
      <c r="BD22" s="5">
        <v>4.7</v>
      </c>
      <c r="BE22" s="5">
        <v>1.4</v>
      </c>
      <c r="BF22" s="5">
        <v>4.4000000000000004</v>
      </c>
      <c r="BG22" s="5">
        <v>2</v>
      </c>
      <c r="BH22" s="5">
        <v>1</v>
      </c>
      <c r="BI22" s="5">
        <v>1.5</v>
      </c>
      <c r="BJ22" s="5"/>
      <c r="BL22" s="2067"/>
      <c r="BM22" s="2039">
        <v>2019</v>
      </c>
      <c r="BN22" s="2040"/>
      <c r="BO22" s="2067">
        <v>2018</v>
      </c>
      <c r="BP22" s="2067"/>
      <c r="BQ22" s="2039">
        <v>2017</v>
      </c>
      <c r="BR22" s="2040"/>
      <c r="BS22" s="2039">
        <v>2016</v>
      </c>
      <c r="BT22" s="2046"/>
      <c r="BU22" s="2042">
        <v>2015</v>
      </c>
      <c r="BV22" s="2043"/>
      <c r="BW22" s="21"/>
      <c r="BZ22" s="3"/>
      <c r="CA22" s="3"/>
      <c r="CB22" s="3"/>
      <c r="CC22" s="22"/>
      <c r="CD22" s="22"/>
      <c r="CE22" s="22"/>
      <c r="CF22" s="2"/>
    </row>
    <row r="23" spans="2:84" ht="12.95" customHeight="1">
      <c r="B23" s="3" t="s">
        <v>1633</v>
      </c>
      <c r="C23" s="22">
        <v>212</v>
      </c>
      <c r="D23" s="22">
        <v>305</v>
      </c>
      <c r="E23" s="2"/>
      <c r="O23" s="3" t="s">
        <v>1682</v>
      </c>
      <c r="P23" s="22">
        <v>59</v>
      </c>
      <c r="Q23" s="22">
        <v>62</v>
      </c>
      <c r="R23" s="22">
        <v>10.1</v>
      </c>
      <c r="S23" s="22" t="s">
        <v>1627</v>
      </c>
      <c r="AA23" s="108"/>
      <c r="AB23" s="2039">
        <v>2023</v>
      </c>
      <c r="AC23" s="2046"/>
      <c r="AD23" s="2040"/>
      <c r="AE23" s="2042">
        <v>2018</v>
      </c>
      <c r="AF23" s="2043"/>
      <c r="AG23" s="2044"/>
      <c r="AH23" s="2058">
        <v>2007</v>
      </c>
      <c r="AI23" s="2059"/>
      <c r="AJ23" s="2059"/>
      <c r="AO23" s="3" t="s">
        <v>1846</v>
      </c>
      <c r="AP23" s="22">
        <v>509</v>
      </c>
      <c r="AQ23" s="53">
        <v>3054</v>
      </c>
      <c r="AS23" s="3" t="s">
        <v>1852</v>
      </c>
      <c r="AT23" s="53">
        <v>2218</v>
      </c>
      <c r="AU23" s="53">
        <v>13627</v>
      </c>
      <c r="AV23" s="279">
        <v>6.14</v>
      </c>
      <c r="AX23" s="3" t="s">
        <v>1898</v>
      </c>
      <c r="AY23" s="22">
        <v>468</v>
      </c>
      <c r="AZ23" s="53">
        <v>2032</v>
      </c>
      <c r="BA23" s="279">
        <v>4.34</v>
      </c>
      <c r="BC23" s="60" t="s">
        <v>1912</v>
      </c>
      <c r="BD23" s="61"/>
      <c r="BE23" s="61"/>
      <c r="BF23" s="61"/>
      <c r="BG23" s="61"/>
      <c r="BH23" s="61"/>
      <c r="BI23" s="61"/>
      <c r="BJ23" s="14"/>
      <c r="BL23" s="3" t="s">
        <v>545</v>
      </c>
      <c r="BM23" s="22">
        <v>788</v>
      </c>
      <c r="BN23" s="53">
        <v>45178</v>
      </c>
      <c r="BO23" s="22">
        <v>442</v>
      </c>
      <c r="BP23" s="53">
        <v>99397</v>
      </c>
      <c r="BQ23" s="22">
        <v>505</v>
      </c>
      <c r="BR23" s="53">
        <v>74637</v>
      </c>
      <c r="BS23" s="22">
        <v>642</v>
      </c>
      <c r="BT23" s="53">
        <v>60779</v>
      </c>
      <c r="BU23" s="285">
        <v>634</v>
      </c>
      <c r="BV23" s="286">
        <v>199875</v>
      </c>
      <c r="BW23" s="285"/>
      <c r="BZ23" s="3"/>
      <c r="CA23" s="3"/>
      <c r="CB23" s="3"/>
      <c r="CC23" s="22"/>
      <c r="CD23" s="22"/>
      <c r="CE23" s="22"/>
      <c r="CF23" s="2"/>
    </row>
    <row r="24" spans="2:84" ht="12.95" customHeight="1">
      <c r="B24" s="3" t="s">
        <v>1634</v>
      </c>
      <c r="C24" s="22">
        <v>45</v>
      </c>
      <c r="D24" s="22">
        <v>155</v>
      </c>
      <c r="E24" s="2"/>
      <c r="O24" s="3"/>
      <c r="P24" s="3"/>
      <c r="Q24" s="3"/>
      <c r="R24" s="3"/>
      <c r="S24" s="3"/>
      <c r="AA24" s="3"/>
      <c r="AB24" s="191"/>
      <c r="AC24" s="3"/>
      <c r="AD24" s="96" t="s">
        <v>1717</v>
      </c>
      <c r="AE24" s="3"/>
      <c r="AF24" s="191"/>
      <c r="AG24" s="22" t="s">
        <v>1717</v>
      </c>
      <c r="AH24" s="191"/>
      <c r="AI24" s="3"/>
      <c r="AJ24" s="22" t="s">
        <v>1717</v>
      </c>
      <c r="AO24" s="3" t="s">
        <v>1847</v>
      </c>
      <c r="AP24" s="53">
        <v>67492</v>
      </c>
      <c r="AQ24" s="53">
        <v>333542</v>
      </c>
      <c r="AS24" s="3" t="s">
        <v>1870</v>
      </c>
      <c r="AT24" s="22">
        <v>8</v>
      </c>
      <c r="AU24" s="22">
        <v>28</v>
      </c>
      <c r="AV24" s="279">
        <v>3.5</v>
      </c>
      <c r="AX24" s="3" t="s">
        <v>1899</v>
      </c>
      <c r="AY24" s="53">
        <v>2205</v>
      </c>
      <c r="AZ24" s="53">
        <v>14628</v>
      </c>
      <c r="BA24" s="279">
        <v>6.63</v>
      </c>
      <c r="BC24" s="2"/>
      <c r="BD24" s="2"/>
      <c r="BE24" s="2"/>
      <c r="BF24" s="2"/>
      <c r="BG24" s="2"/>
      <c r="BH24" s="2"/>
      <c r="BI24" s="2"/>
      <c r="BJ24" s="2"/>
      <c r="BL24" s="3" t="s">
        <v>1818</v>
      </c>
      <c r="BM24" s="22">
        <v>657</v>
      </c>
      <c r="BN24" s="53">
        <v>14882</v>
      </c>
      <c r="BO24" s="22">
        <v>374</v>
      </c>
      <c r="BP24" s="53">
        <v>34349</v>
      </c>
      <c r="BQ24" s="22">
        <v>404</v>
      </c>
      <c r="BR24" s="53">
        <v>27856</v>
      </c>
      <c r="BS24" s="22">
        <v>390</v>
      </c>
      <c r="BT24" s="53">
        <v>12221</v>
      </c>
      <c r="BU24" s="285">
        <v>463</v>
      </c>
      <c r="BV24" s="286">
        <v>85955</v>
      </c>
      <c r="BW24" s="285"/>
      <c r="BZ24" s="3"/>
      <c r="CA24" s="2055"/>
      <c r="CB24" s="2055"/>
      <c r="CC24" s="22"/>
      <c r="CD24" s="22"/>
      <c r="CE24" s="22"/>
      <c r="CF24" s="2"/>
    </row>
    <row r="25" spans="2:84" ht="12.95" customHeight="1">
      <c r="B25" s="3" t="s">
        <v>1635</v>
      </c>
      <c r="C25" s="22">
        <v>61</v>
      </c>
      <c r="D25" s="22">
        <v>355</v>
      </c>
      <c r="E25" s="2"/>
      <c r="O25" s="3" t="s">
        <v>1683</v>
      </c>
      <c r="P25" s="3"/>
      <c r="Q25" s="3"/>
      <c r="R25" s="3"/>
      <c r="S25" s="3"/>
      <c r="AA25" s="23" t="s">
        <v>1718</v>
      </c>
      <c r="AB25" s="97" t="s">
        <v>1616</v>
      </c>
      <c r="AC25" s="29" t="s">
        <v>1617</v>
      </c>
      <c r="AD25" s="97" t="s">
        <v>1719</v>
      </c>
      <c r="AE25" s="29" t="s">
        <v>1616</v>
      </c>
      <c r="AF25" s="97" t="s">
        <v>1617</v>
      </c>
      <c r="AG25" s="29" t="s">
        <v>1719</v>
      </c>
      <c r="AH25" s="97" t="s">
        <v>1616</v>
      </c>
      <c r="AI25" s="29" t="s">
        <v>1617</v>
      </c>
      <c r="AJ25" s="29" t="s">
        <v>1719</v>
      </c>
      <c r="AO25" s="3" t="s">
        <v>1848</v>
      </c>
      <c r="AP25" s="22">
        <v>58</v>
      </c>
      <c r="AQ25" s="22">
        <v>131</v>
      </c>
      <c r="AS25" s="3" t="s">
        <v>1841</v>
      </c>
      <c r="AT25" s="22">
        <v>989</v>
      </c>
      <c r="AU25" s="53">
        <v>3122</v>
      </c>
      <c r="AV25" s="279">
        <v>3.16</v>
      </c>
      <c r="AX25" s="3" t="s">
        <v>1900</v>
      </c>
      <c r="AY25" s="53">
        <v>6196</v>
      </c>
      <c r="AZ25" s="53">
        <v>18722</v>
      </c>
      <c r="BA25" s="279">
        <v>3.02</v>
      </c>
      <c r="BC25" s="2"/>
      <c r="BD25" s="2"/>
      <c r="BE25" s="2"/>
      <c r="BF25" s="2"/>
      <c r="BG25" s="2"/>
      <c r="BH25" s="2"/>
      <c r="BI25" s="2"/>
      <c r="BJ25" s="2"/>
      <c r="BL25" s="3" t="s">
        <v>1921</v>
      </c>
      <c r="BM25" s="22">
        <v>92</v>
      </c>
      <c r="BN25" s="53">
        <v>19165</v>
      </c>
      <c r="BO25" s="22">
        <v>47</v>
      </c>
      <c r="BP25" s="53">
        <v>47024</v>
      </c>
      <c r="BQ25" s="22">
        <v>40</v>
      </c>
      <c r="BR25" s="53">
        <v>35937</v>
      </c>
      <c r="BS25" s="22">
        <v>130</v>
      </c>
      <c r="BT25" s="53">
        <v>11789</v>
      </c>
      <c r="BU25" s="285">
        <v>58</v>
      </c>
      <c r="BV25" s="286">
        <v>17485</v>
      </c>
      <c r="BW25" s="285"/>
      <c r="BZ25" s="3"/>
      <c r="CA25" s="2055"/>
      <c r="CB25" s="2055"/>
      <c r="CC25" s="22"/>
      <c r="CD25" s="22"/>
      <c r="CE25" s="22"/>
      <c r="CF25" s="2"/>
    </row>
    <row r="26" spans="2:84" ht="12.95" customHeight="1">
      <c r="B26" s="3" t="s">
        <v>1636</v>
      </c>
      <c r="C26" s="22">
        <v>12</v>
      </c>
      <c r="D26" s="22">
        <v>96</v>
      </c>
      <c r="E26" s="2"/>
      <c r="O26" s="3" t="s">
        <v>1684</v>
      </c>
      <c r="P26" s="22">
        <v>186</v>
      </c>
      <c r="Q26" s="22">
        <v>202</v>
      </c>
      <c r="R26" s="22">
        <v>31.9</v>
      </c>
      <c r="S26" s="22">
        <v>76.5</v>
      </c>
      <c r="AA26" s="108" t="s">
        <v>1732</v>
      </c>
      <c r="AB26" s="107">
        <v>10</v>
      </c>
      <c r="AC26" s="107">
        <v>1</v>
      </c>
      <c r="AD26" s="107">
        <v>246</v>
      </c>
      <c r="AE26" s="107">
        <v>5</v>
      </c>
      <c r="AF26" s="107" t="s">
        <v>1627</v>
      </c>
      <c r="AG26" s="107">
        <v>110</v>
      </c>
      <c r="AH26" s="107">
        <v>2</v>
      </c>
      <c r="AI26" s="107" t="s">
        <v>1627</v>
      </c>
      <c r="AJ26" s="107" t="s">
        <v>1640</v>
      </c>
      <c r="AO26" s="3" t="s">
        <v>1849</v>
      </c>
      <c r="AP26" s="22">
        <v>10</v>
      </c>
      <c r="AQ26" s="22">
        <v>29</v>
      </c>
      <c r="AS26" s="3" t="s">
        <v>1831</v>
      </c>
      <c r="AT26" s="22">
        <v>68</v>
      </c>
      <c r="AU26" s="22">
        <v>150</v>
      </c>
      <c r="AV26" s="279">
        <v>2.21</v>
      </c>
      <c r="AX26" s="3" t="s">
        <v>1901</v>
      </c>
      <c r="AY26" s="22">
        <v>116</v>
      </c>
      <c r="AZ26" s="22">
        <v>497</v>
      </c>
      <c r="BA26" s="279">
        <v>4.3</v>
      </c>
      <c r="BC26" s="2"/>
      <c r="BD26" s="2"/>
      <c r="BE26" s="2"/>
      <c r="BF26" s="2"/>
      <c r="BG26" s="2"/>
      <c r="BH26" s="2"/>
      <c r="BI26" s="2"/>
      <c r="BJ26" s="2"/>
      <c r="BL26" s="3" t="s">
        <v>1922</v>
      </c>
      <c r="BM26" s="22">
        <v>26</v>
      </c>
      <c r="BN26" s="53">
        <v>8753</v>
      </c>
      <c r="BO26" s="22">
        <v>6</v>
      </c>
      <c r="BP26" s="53">
        <v>10867</v>
      </c>
      <c r="BQ26" s="22">
        <v>23</v>
      </c>
      <c r="BR26" s="53">
        <v>3310</v>
      </c>
      <c r="BS26" s="22">
        <v>53</v>
      </c>
      <c r="BT26" s="53">
        <v>8876</v>
      </c>
      <c r="BU26" s="285">
        <v>46</v>
      </c>
      <c r="BV26" s="286">
        <v>13983</v>
      </c>
      <c r="BW26" s="285"/>
      <c r="BZ26" s="3"/>
      <c r="CA26" s="2055"/>
      <c r="CB26" s="2055"/>
      <c r="CC26" s="22"/>
      <c r="CD26" s="22"/>
      <c r="CE26" s="22"/>
      <c r="CF26" s="2"/>
    </row>
    <row r="27" spans="2:84" ht="12.95" customHeight="1">
      <c r="B27" s="3" t="s">
        <v>1637</v>
      </c>
      <c r="C27" s="22">
        <v>35</v>
      </c>
      <c r="D27" s="22">
        <v>404</v>
      </c>
      <c r="E27" s="2"/>
      <c r="O27" s="3" t="s">
        <v>1685</v>
      </c>
      <c r="P27" s="22">
        <v>397</v>
      </c>
      <c r="Q27" s="22">
        <v>62</v>
      </c>
      <c r="R27" s="22">
        <v>68.099999999999994</v>
      </c>
      <c r="S27" s="22">
        <v>23.5</v>
      </c>
      <c r="AA27" s="3" t="s">
        <v>1733</v>
      </c>
      <c r="AB27" s="22">
        <v>49</v>
      </c>
      <c r="AC27" s="22">
        <v>13</v>
      </c>
      <c r="AD27" s="53">
        <v>22828</v>
      </c>
      <c r="AE27" s="22">
        <v>32</v>
      </c>
      <c r="AF27" s="22">
        <v>6</v>
      </c>
      <c r="AG27" s="53">
        <v>6453</v>
      </c>
      <c r="AH27" s="22" t="s">
        <v>1724</v>
      </c>
      <c r="AI27" s="22" t="s">
        <v>1724</v>
      </c>
      <c r="AJ27" s="22" t="s">
        <v>1724</v>
      </c>
      <c r="AO27" s="3" t="s">
        <v>1850</v>
      </c>
      <c r="AP27" s="22">
        <v>418</v>
      </c>
      <c r="AQ27" s="53">
        <v>1340</v>
      </c>
      <c r="AS27" s="3" t="s">
        <v>1834</v>
      </c>
      <c r="AT27" s="53">
        <v>2976</v>
      </c>
      <c r="AU27" s="53">
        <v>10311</v>
      </c>
      <c r="AV27" s="279">
        <v>3.46</v>
      </c>
      <c r="AX27" s="3" t="s">
        <v>1902</v>
      </c>
      <c r="AY27" s="22">
        <v>23</v>
      </c>
      <c r="AZ27" s="22">
        <v>82</v>
      </c>
      <c r="BA27" s="279">
        <v>3.5</v>
      </c>
      <c r="BC27" s="1" t="s">
        <v>1915</v>
      </c>
      <c r="BD27" s="2"/>
      <c r="BE27" s="2"/>
      <c r="BF27" s="2"/>
      <c r="BG27" s="2"/>
      <c r="BH27" s="2"/>
      <c r="BI27" s="2"/>
      <c r="BJ27" s="2"/>
      <c r="BL27" s="3" t="s">
        <v>1923</v>
      </c>
      <c r="BM27" s="22">
        <v>4</v>
      </c>
      <c r="BN27" s="22">
        <v>675</v>
      </c>
      <c r="BO27" s="22">
        <v>2</v>
      </c>
      <c r="BP27" s="22">
        <v>716</v>
      </c>
      <c r="BQ27" s="22" t="s">
        <v>546</v>
      </c>
      <c r="BR27" s="22" t="s">
        <v>546</v>
      </c>
      <c r="BS27" s="22">
        <v>1</v>
      </c>
      <c r="BT27" s="22">
        <v>355</v>
      </c>
      <c r="BU27" s="285" t="s">
        <v>1640</v>
      </c>
      <c r="BV27" s="285">
        <v>698</v>
      </c>
      <c r="BW27" s="285"/>
      <c r="BZ27" s="3"/>
      <c r="CA27" s="2055"/>
      <c r="CB27" s="2055"/>
      <c r="CC27" s="22"/>
      <c r="CD27" s="22"/>
      <c r="CE27" s="22"/>
      <c r="CF27" s="2"/>
    </row>
    <row r="28" spans="2:84" ht="12.95" customHeight="1">
      <c r="B28" s="288" t="s">
        <v>1638</v>
      </c>
      <c r="C28" s="278">
        <v>37</v>
      </c>
      <c r="D28" s="289">
        <v>1455</v>
      </c>
      <c r="E28" s="2"/>
      <c r="O28" s="3" t="s">
        <v>1686</v>
      </c>
      <c r="P28" s="22">
        <v>30</v>
      </c>
      <c r="Q28" s="22">
        <v>8</v>
      </c>
      <c r="R28" s="22">
        <v>5.0999999999999996</v>
      </c>
      <c r="S28" s="22">
        <v>3</v>
      </c>
      <c r="AA28" s="3" t="s">
        <v>1734</v>
      </c>
      <c r="AB28" s="22">
        <v>86</v>
      </c>
      <c r="AC28" s="22">
        <v>53</v>
      </c>
      <c r="AD28" s="53">
        <v>114546</v>
      </c>
      <c r="AE28" s="22">
        <v>48</v>
      </c>
      <c r="AF28" s="22">
        <v>21</v>
      </c>
      <c r="AG28" s="53">
        <v>82563</v>
      </c>
      <c r="AH28" s="22">
        <v>25</v>
      </c>
      <c r="AI28" s="22">
        <v>43</v>
      </c>
      <c r="AJ28" s="53">
        <v>126203</v>
      </c>
      <c r="AO28" s="3" t="s">
        <v>1851</v>
      </c>
      <c r="AP28" s="22">
        <v>101</v>
      </c>
      <c r="AQ28" s="22">
        <v>526</v>
      </c>
      <c r="AS28" s="3" t="s">
        <v>1871</v>
      </c>
      <c r="AT28" s="22">
        <v>206</v>
      </c>
      <c r="AU28" s="22">
        <v>845</v>
      </c>
      <c r="AV28" s="279">
        <v>4.0999999999999996</v>
      </c>
      <c r="AX28" s="3" t="s">
        <v>1903</v>
      </c>
      <c r="AY28" s="22">
        <v>632</v>
      </c>
      <c r="AZ28" s="53">
        <v>1547</v>
      </c>
      <c r="BA28" s="279">
        <v>2.4500000000000002</v>
      </c>
      <c r="BC28" s="115" t="s">
        <v>1916</v>
      </c>
      <c r="BD28" s="115"/>
      <c r="BE28" s="115"/>
      <c r="BF28" s="115"/>
      <c r="BG28" s="2"/>
      <c r="BH28" s="2"/>
      <c r="BI28" s="2"/>
      <c r="BJ28" s="2"/>
      <c r="BL28" s="3" t="s">
        <v>1924</v>
      </c>
      <c r="BM28" s="22">
        <v>9</v>
      </c>
      <c r="BN28" s="53">
        <v>1162</v>
      </c>
      <c r="BO28" s="22">
        <v>8</v>
      </c>
      <c r="BP28" s="53">
        <v>6376</v>
      </c>
      <c r="BQ28" s="22">
        <v>22</v>
      </c>
      <c r="BR28" s="53">
        <v>4196</v>
      </c>
      <c r="BS28" s="22">
        <v>60</v>
      </c>
      <c r="BT28" s="53">
        <v>25496</v>
      </c>
      <c r="BU28" s="285">
        <v>47</v>
      </c>
      <c r="BV28" s="286">
        <v>77245</v>
      </c>
      <c r="BW28" s="285"/>
      <c r="BZ28" s="30"/>
      <c r="CA28" s="3"/>
      <c r="CB28" s="3"/>
      <c r="CC28" s="3"/>
      <c r="CD28" s="3"/>
      <c r="CE28" s="3"/>
      <c r="CF28" s="2"/>
    </row>
    <row r="29" spans="2:84" ht="12.95" customHeight="1">
      <c r="B29" s="2037" t="s">
        <v>1628</v>
      </c>
      <c r="C29" s="2037"/>
      <c r="D29" s="3"/>
      <c r="E29" s="2"/>
      <c r="O29" s="3" t="s">
        <v>1687</v>
      </c>
      <c r="P29" s="22">
        <v>13</v>
      </c>
      <c r="Q29" s="22">
        <v>5</v>
      </c>
      <c r="R29" s="22">
        <v>2.2000000000000002</v>
      </c>
      <c r="S29" s="22">
        <v>1.9</v>
      </c>
      <c r="AA29" s="3" t="s">
        <v>1735</v>
      </c>
      <c r="AB29" s="22">
        <v>14</v>
      </c>
      <c r="AC29" s="22">
        <v>11</v>
      </c>
      <c r="AD29" s="53">
        <v>3804</v>
      </c>
      <c r="AE29" s="22">
        <v>7</v>
      </c>
      <c r="AF29" s="22">
        <v>2</v>
      </c>
      <c r="AG29" s="22">
        <v>762</v>
      </c>
      <c r="AH29" s="22">
        <v>11</v>
      </c>
      <c r="AI29" s="22">
        <v>2</v>
      </c>
      <c r="AJ29" s="53">
        <v>9020</v>
      </c>
      <c r="AO29" s="3" t="s">
        <v>1852</v>
      </c>
      <c r="AP29" s="53">
        <v>1359</v>
      </c>
      <c r="AQ29" s="53">
        <v>8401</v>
      </c>
      <c r="AS29" s="3" t="s">
        <v>1843</v>
      </c>
      <c r="AT29" s="22">
        <v>619</v>
      </c>
      <c r="AU29" s="53">
        <v>2404</v>
      </c>
      <c r="AV29" s="279">
        <v>3.88</v>
      </c>
      <c r="AX29" s="3" t="s">
        <v>1904</v>
      </c>
      <c r="AY29" s="22">
        <v>914</v>
      </c>
      <c r="AZ29" s="53">
        <v>3079</v>
      </c>
      <c r="BA29" s="279">
        <v>3.37</v>
      </c>
      <c r="BC29" s="32" t="s">
        <v>1808</v>
      </c>
      <c r="BD29" s="15">
        <v>2024</v>
      </c>
      <c r="BE29" s="17">
        <v>2023</v>
      </c>
      <c r="BF29" s="17">
        <v>2022</v>
      </c>
      <c r="BG29" s="17">
        <v>2021</v>
      </c>
      <c r="BH29" s="17">
        <v>2020</v>
      </c>
      <c r="BI29" s="28">
        <v>2019</v>
      </c>
      <c r="BJ29" s="22"/>
      <c r="BL29" s="3" t="s">
        <v>1925</v>
      </c>
      <c r="BM29" s="22" t="s">
        <v>1640</v>
      </c>
      <c r="BN29" s="22">
        <v>284</v>
      </c>
      <c r="BO29" s="22" t="s">
        <v>1640</v>
      </c>
      <c r="BP29" s="22">
        <v>180</v>
      </c>
      <c r="BQ29" s="22" t="s">
        <v>1640</v>
      </c>
      <c r="BR29" s="22">
        <v>339</v>
      </c>
      <c r="BS29" s="22" t="s">
        <v>546</v>
      </c>
      <c r="BT29" s="22" t="s">
        <v>546</v>
      </c>
      <c r="BU29" s="285">
        <v>3</v>
      </c>
      <c r="BV29" s="285" t="s">
        <v>546</v>
      </c>
      <c r="BW29" s="285"/>
      <c r="BZ29" s="30"/>
      <c r="CA29" s="3"/>
      <c r="CB29" s="3"/>
      <c r="CC29" s="3"/>
      <c r="CD29" s="3"/>
      <c r="CE29" s="3"/>
      <c r="CF29" s="2"/>
    </row>
    <row r="30" spans="2:84" ht="12.95" customHeight="1">
      <c r="O30" s="3" t="s">
        <v>1688</v>
      </c>
      <c r="P30" s="22">
        <v>22</v>
      </c>
      <c r="Q30" s="22">
        <v>6</v>
      </c>
      <c r="R30" s="22">
        <v>3.8</v>
      </c>
      <c r="S30" s="22">
        <v>2.2999999999999998</v>
      </c>
      <c r="AA30" s="3" t="s">
        <v>1736</v>
      </c>
      <c r="AB30" s="22">
        <v>40</v>
      </c>
      <c r="AC30" s="22">
        <v>16</v>
      </c>
      <c r="AD30" s="53">
        <v>123167</v>
      </c>
      <c r="AE30" s="22">
        <v>41</v>
      </c>
      <c r="AF30" s="22">
        <v>19</v>
      </c>
      <c r="AG30" s="53">
        <v>122770</v>
      </c>
      <c r="AH30" s="22">
        <v>17</v>
      </c>
      <c r="AI30" s="22">
        <v>27</v>
      </c>
      <c r="AJ30" s="53">
        <v>73950</v>
      </c>
      <c r="AO30" s="3" t="s">
        <v>1853</v>
      </c>
      <c r="AP30" s="22">
        <v>171</v>
      </c>
      <c r="AQ30" s="22">
        <v>626</v>
      </c>
      <c r="AS30" s="3" t="s">
        <v>1836</v>
      </c>
      <c r="AT30" s="22">
        <v>584</v>
      </c>
      <c r="AU30" s="53">
        <v>2345</v>
      </c>
      <c r="AV30" s="279">
        <v>4.0199999999999996</v>
      </c>
      <c r="AX30" s="3" t="s">
        <v>1831</v>
      </c>
      <c r="AY30" s="22">
        <v>620</v>
      </c>
      <c r="AZ30" s="53">
        <v>1052</v>
      </c>
      <c r="BA30" s="279">
        <v>1.7</v>
      </c>
      <c r="BC30" s="22" t="s">
        <v>545</v>
      </c>
      <c r="BD30" s="22">
        <v>13.4</v>
      </c>
      <c r="BE30" s="22">
        <v>42.5</v>
      </c>
      <c r="BF30" s="22">
        <v>29.7</v>
      </c>
      <c r="BG30" s="22">
        <v>33.6</v>
      </c>
      <c r="BH30" s="22">
        <v>24.6</v>
      </c>
      <c r="BI30" s="22">
        <v>35.299999999999997</v>
      </c>
      <c r="BJ30" s="22"/>
      <c r="BL30" s="3" t="s">
        <v>1822</v>
      </c>
      <c r="BM30" s="22" t="s">
        <v>1640</v>
      </c>
      <c r="BN30" s="22">
        <v>7</v>
      </c>
      <c r="BO30" s="22" t="s">
        <v>546</v>
      </c>
      <c r="BP30" s="22" t="s">
        <v>546</v>
      </c>
      <c r="BQ30" s="22">
        <v>13</v>
      </c>
      <c r="BR30" s="22">
        <v>986</v>
      </c>
      <c r="BS30" s="22">
        <v>4</v>
      </c>
      <c r="BT30" s="22">
        <v>679</v>
      </c>
      <c r="BU30" s="285">
        <v>12</v>
      </c>
      <c r="BV30" s="286">
        <v>2992</v>
      </c>
      <c r="BW30" s="285"/>
      <c r="BZ30" s="3"/>
      <c r="CA30" s="3"/>
      <c r="CB30" s="3"/>
      <c r="CC30" s="3"/>
      <c r="CD30" s="3"/>
      <c r="CE30" s="63"/>
      <c r="CF30" s="2"/>
    </row>
    <row r="31" spans="2:84" ht="12.95" customHeight="1">
      <c r="O31" s="3" t="s">
        <v>1689</v>
      </c>
      <c r="P31" s="22">
        <v>30</v>
      </c>
      <c r="Q31" s="22">
        <v>24</v>
      </c>
      <c r="R31" s="22">
        <v>5.0999999999999996</v>
      </c>
      <c r="S31" s="22">
        <v>9.1</v>
      </c>
      <c r="AA31" s="3" t="s">
        <v>1737</v>
      </c>
      <c r="AB31" s="22">
        <v>13</v>
      </c>
      <c r="AC31" s="22">
        <v>4</v>
      </c>
      <c r="AD31" s="53">
        <v>3880</v>
      </c>
      <c r="AE31" s="22">
        <v>14</v>
      </c>
      <c r="AF31" s="22">
        <v>4</v>
      </c>
      <c r="AG31" s="53">
        <v>9730</v>
      </c>
      <c r="AH31" s="22">
        <v>5</v>
      </c>
      <c r="AI31" s="22">
        <v>3</v>
      </c>
      <c r="AJ31" s="53">
        <v>4930</v>
      </c>
      <c r="AO31" s="23" t="s">
        <v>1854</v>
      </c>
      <c r="AP31" s="54">
        <v>3508</v>
      </c>
      <c r="AQ31" s="54">
        <v>12235</v>
      </c>
      <c r="AS31" s="3" t="s">
        <v>1837</v>
      </c>
      <c r="AT31" s="22">
        <v>188</v>
      </c>
      <c r="AU31" s="22">
        <v>771</v>
      </c>
      <c r="AV31" s="279">
        <v>4.0999999999999996</v>
      </c>
      <c r="AX31" s="3" t="s">
        <v>1905</v>
      </c>
      <c r="AY31" s="22">
        <v>3</v>
      </c>
      <c r="AZ31" s="22">
        <v>9</v>
      </c>
      <c r="BA31" s="279">
        <v>3.25</v>
      </c>
      <c r="BC31" s="3"/>
      <c r="BD31" s="3"/>
      <c r="BE31" s="3"/>
      <c r="BF31" s="3"/>
      <c r="BG31" s="3"/>
      <c r="BH31" s="3"/>
      <c r="BI31" s="3"/>
      <c r="BJ31" s="2"/>
      <c r="BL31" s="3" t="s">
        <v>1926</v>
      </c>
      <c r="BM31" s="22" t="s">
        <v>1640</v>
      </c>
      <c r="BN31" s="22">
        <v>93</v>
      </c>
      <c r="BO31" s="22" t="s">
        <v>546</v>
      </c>
      <c r="BP31" s="22" t="s">
        <v>546</v>
      </c>
      <c r="BQ31" s="22" t="s">
        <v>1640</v>
      </c>
      <c r="BR31" s="22">
        <v>597</v>
      </c>
      <c r="BS31" s="22">
        <v>1</v>
      </c>
      <c r="BT31" s="22" t="s">
        <v>546</v>
      </c>
      <c r="BU31" s="285" t="s">
        <v>546</v>
      </c>
      <c r="BV31" s="285" t="s">
        <v>546</v>
      </c>
      <c r="BW31" s="285"/>
      <c r="BZ31" s="2"/>
      <c r="CA31" s="3"/>
      <c r="CB31" s="3"/>
      <c r="CC31" s="3"/>
      <c r="CD31" s="3"/>
      <c r="CE31" s="3"/>
      <c r="CF31" s="2"/>
    </row>
    <row r="32" spans="2:84" ht="12.95" customHeight="1">
      <c r="B32" s="1" t="s">
        <v>1639</v>
      </c>
      <c r="C32" s="2"/>
      <c r="D32" s="2"/>
      <c r="E32" s="2"/>
      <c r="F32" s="2"/>
      <c r="G32" s="2"/>
      <c r="H32" s="2"/>
      <c r="I32" s="2"/>
      <c r="J32" s="2"/>
      <c r="K32" s="2"/>
      <c r="L32" s="2"/>
      <c r="O32" s="3" t="s">
        <v>1690</v>
      </c>
      <c r="P32" s="22">
        <v>302</v>
      </c>
      <c r="Q32" s="22">
        <v>19</v>
      </c>
      <c r="R32" s="22">
        <v>51.8</v>
      </c>
      <c r="S32" s="22">
        <v>7.2</v>
      </c>
      <c r="AA32" s="3" t="s">
        <v>1738</v>
      </c>
      <c r="AB32" s="22" t="s">
        <v>546</v>
      </c>
      <c r="AC32" s="22" t="s">
        <v>546</v>
      </c>
      <c r="AD32" s="22" t="s">
        <v>546</v>
      </c>
      <c r="AE32" s="22">
        <v>1</v>
      </c>
      <c r="AF32" s="22" t="s">
        <v>1640</v>
      </c>
      <c r="AG32" s="22" t="s">
        <v>1640</v>
      </c>
      <c r="AH32" s="22">
        <v>1</v>
      </c>
      <c r="AI32" s="22" t="s">
        <v>1640</v>
      </c>
      <c r="AJ32" s="22" t="s">
        <v>1640</v>
      </c>
      <c r="AO32" s="13" t="s">
        <v>1855</v>
      </c>
      <c r="AP32" s="14"/>
      <c r="AQ32" s="2"/>
      <c r="AS32" s="3" t="s">
        <v>1850</v>
      </c>
      <c r="AT32" s="53">
        <v>2307</v>
      </c>
      <c r="AU32" s="53">
        <v>7302</v>
      </c>
      <c r="AV32" s="279">
        <v>3.17</v>
      </c>
      <c r="AX32" s="3" t="s">
        <v>1906</v>
      </c>
      <c r="AY32" s="22">
        <v>46</v>
      </c>
      <c r="AZ32" s="22">
        <v>115</v>
      </c>
      <c r="BA32" s="279">
        <v>2.5</v>
      </c>
      <c r="BC32" s="3" t="s">
        <v>1812</v>
      </c>
      <c r="BD32" s="22">
        <v>18.100000000000001</v>
      </c>
      <c r="BE32" s="22">
        <v>18.600000000000001</v>
      </c>
      <c r="BF32" s="22">
        <v>11.3</v>
      </c>
      <c r="BG32" s="22">
        <v>15.1</v>
      </c>
      <c r="BH32" s="22">
        <v>10.7</v>
      </c>
      <c r="BI32" s="22">
        <v>13.6</v>
      </c>
      <c r="BJ32" s="5"/>
      <c r="BL32" s="3" t="s">
        <v>1927</v>
      </c>
      <c r="BM32" s="22" t="s">
        <v>1640</v>
      </c>
      <c r="BN32" s="22">
        <v>157</v>
      </c>
      <c r="BO32" s="22">
        <v>5</v>
      </c>
      <c r="BP32" s="22">
        <v>356</v>
      </c>
      <c r="BQ32" s="22">
        <v>3</v>
      </c>
      <c r="BR32" s="22">
        <v>401</v>
      </c>
      <c r="BS32" s="22">
        <v>3</v>
      </c>
      <c r="BT32" s="53">
        <v>1288</v>
      </c>
      <c r="BU32" s="285">
        <v>5</v>
      </c>
      <c r="BV32" s="286">
        <v>1231</v>
      </c>
      <c r="BW32" s="285"/>
      <c r="BZ32" s="2036"/>
      <c r="CA32" s="2036"/>
      <c r="CB32" s="2036"/>
      <c r="CC32" s="2036"/>
      <c r="CD32" s="2036"/>
      <c r="CE32" s="2036"/>
      <c r="CF32" s="2"/>
    </row>
    <row r="33" spans="2:84" ht="12.95" customHeight="1">
      <c r="B33" s="283"/>
      <c r="C33" s="2039" t="s">
        <v>1616</v>
      </c>
      <c r="D33" s="2046"/>
      <c r="E33" s="2046"/>
      <c r="F33" s="2046"/>
      <c r="G33" s="2040"/>
      <c r="H33" s="2039" t="s">
        <v>1617</v>
      </c>
      <c r="I33" s="2046"/>
      <c r="J33" s="2046"/>
      <c r="K33" s="2046"/>
      <c r="L33" s="2046"/>
      <c r="O33" s="3"/>
      <c r="P33" s="3"/>
      <c r="Q33" s="3"/>
      <c r="R33" s="3"/>
      <c r="S33" s="3"/>
      <c r="AA33" s="3" t="s">
        <v>1739</v>
      </c>
      <c r="AB33" s="22" t="s">
        <v>546</v>
      </c>
      <c r="AC33" s="22" t="s">
        <v>546</v>
      </c>
      <c r="AD33" s="22" t="s">
        <v>546</v>
      </c>
      <c r="AE33" s="22">
        <v>0</v>
      </c>
      <c r="AF33" s="22">
        <v>0</v>
      </c>
      <c r="AG33" s="22">
        <v>0</v>
      </c>
      <c r="AH33" s="22">
        <v>5</v>
      </c>
      <c r="AI33" s="22">
        <v>12</v>
      </c>
      <c r="AJ33" s="53">
        <v>66000</v>
      </c>
      <c r="AO33" s="14" t="s">
        <v>1856</v>
      </c>
      <c r="AP33" s="14"/>
      <c r="AQ33" s="2"/>
      <c r="AS33" s="3" t="s">
        <v>1872</v>
      </c>
      <c r="AT33" s="22">
        <v>343</v>
      </c>
      <c r="AU33" s="53">
        <v>1554</v>
      </c>
      <c r="AV33" s="279">
        <v>4.53</v>
      </c>
      <c r="AX33" s="3" t="s">
        <v>1907</v>
      </c>
      <c r="AY33" s="22">
        <v>97</v>
      </c>
      <c r="AZ33" s="22">
        <v>339</v>
      </c>
      <c r="BA33" s="279">
        <v>3.5</v>
      </c>
      <c r="BC33" s="3" t="s">
        <v>1813</v>
      </c>
      <c r="BD33" s="22">
        <v>4.4000000000000004</v>
      </c>
      <c r="BE33" s="22">
        <v>4.5</v>
      </c>
      <c r="BF33" s="22">
        <v>4</v>
      </c>
      <c r="BG33" s="22">
        <v>4.67</v>
      </c>
      <c r="BH33" s="22">
        <v>3</v>
      </c>
      <c r="BI33" s="22">
        <v>3.4</v>
      </c>
      <c r="BJ33" s="5"/>
      <c r="BL33" s="2064" t="s">
        <v>1912</v>
      </c>
      <c r="BM33" s="2064"/>
      <c r="BN33" s="2064"/>
      <c r="BO33" s="2064"/>
      <c r="BP33" s="2064"/>
      <c r="BQ33" s="2064"/>
      <c r="BR33" s="8"/>
      <c r="BS33" s="8"/>
      <c r="BT33" s="8"/>
      <c r="BU33" s="8"/>
      <c r="BV33" s="8"/>
      <c r="BW33" s="2"/>
      <c r="BY33" s="91"/>
      <c r="BZ33" s="3"/>
      <c r="CA33" s="2065"/>
      <c r="CB33" s="2065"/>
      <c r="CC33" s="2065"/>
      <c r="CD33" s="2065"/>
      <c r="CE33" s="2065"/>
      <c r="CF33" s="2"/>
    </row>
    <row r="34" spans="2:84" ht="12.95" customHeight="1">
      <c r="B34" s="287" t="s">
        <v>1631</v>
      </c>
      <c r="C34" s="15">
        <v>2018</v>
      </c>
      <c r="D34" s="15">
        <v>2007</v>
      </c>
      <c r="E34" s="15">
        <v>2002</v>
      </c>
      <c r="F34" s="15">
        <v>1998</v>
      </c>
      <c r="G34" s="15">
        <v>1992</v>
      </c>
      <c r="H34" s="15">
        <v>2018</v>
      </c>
      <c r="I34" s="15">
        <v>2007</v>
      </c>
      <c r="J34" s="15">
        <v>2002</v>
      </c>
      <c r="K34" s="15">
        <v>1998</v>
      </c>
      <c r="L34" s="31">
        <v>1992</v>
      </c>
      <c r="O34" s="3" t="s">
        <v>1691</v>
      </c>
      <c r="P34" s="3"/>
      <c r="Q34" s="3"/>
      <c r="R34" s="3"/>
      <c r="S34" s="3"/>
      <c r="AA34" s="3" t="s">
        <v>1740</v>
      </c>
      <c r="AB34" s="22">
        <v>11</v>
      </c>
      <c r="AC34" s="22">
        <v>41</v>
      </c>
      <c r="AD34" s="53">
        <v>60294</v>
      </c>
      <c r="AE34" s="22">
        <v>9</v>
      </c>
      <c r="AF34" s="22">
        <v>34</v>
      </c>
      <c r="AG34" s="53">
        <v>91530</v>
      </c>
      <c r="AH34" s="22">
        <v>4</v>
      </c>
      <c r="AI34" s="22">
        <v>21</v>
      </c>
      <c r="AJ34" s="53">
        <v>123250</v>
      </c>
      <c r="AS34" s="3" t="s">
        <v>1873</v>
      </c>
      <c r="AT34" s="22">
        <v>144</v>
      </c>
      <c r="AU34" s="22">
        <v>504</v>
      </c>
      <c r="AV34" s="279">
        <v>3.5</v>
      </c>
      <c r="AX34" s="3" t="s">
        <v>1908</v>
      </c>
      <c r="AY34" s="22">
        <v>41</v>
      </c>
      <c r="AZ34" s="22">
        <v>136</v>
      </c>
      <c r="BA34" s="279">
        <v>3.28</v>
      </c>
      <c r="BC34" s="3" t="s">
        <v>1815</v>
      </c>
      <c r="BD34" s="22">
        <v>5.9</v>
      </c>
      <c r="BE34" s="22">
        <v>10.5</v>
      </c>
      <c r="BF34" s="22">
        <v>9.4</v>
      </c>
      <c r="BG34" s="22">
        <v>6.66</v>
      </c>
      <c r="BH34" s="22">
        <v>2.5</v>
      </c>
      <c r="BI34" s="22">
        <v>12.9</v>
      </c>
      <c r="BJ34" s="5"/>
      <c r="BL34" s="2045" t="s">
        <v>1928</v>
      </c>
      <c r="BM34" s="2045"/>
      <c r="BN34" s="2045"/>
      <c r="BO34" s="14"/>
      <c r="BP34" s="14"/>
      <c r="BQ34" s="14"/>
      <c r="BR34" s="2"/>
      <c r="BS34" s="2"/>
      <c r="BT34" s="2"/>
      <c r="BU34" s="2"/>
      <c r="BV34" s="2"/>
      <c r="BW34" s="2"/>
      <c r="BY34" s="91"/>
      <c r="BZ34" s="3"/>
      <c r="CA34" s="2055"/>
      <c r="CB34" s="2055"/>
      <c r="CC34" s="22"/>
      <c r="CD34" s="22"/>
      <c r="CE34" s="22"/>
      <c r="CF34" s="2"/>
    </row>
    <row r="35" spans="2:84" ht="12.95" customHeight="1">
      <c r="B35" s="245" t="s">
        <v>129</v>
      </c>
      <c r="C35" s="290">
        <v>264</v>
      </c>
      <c r="D35" s="290">
        <v>104</v>
      </c>
      <c r="E35" s="290">
        <v>153</v>
      </c>
      <c r="F35" s="290">
        <v>201</v>
      </c>
      <c r="G35" s="290">
        <v>199</v>
      </c>
      <c r="H35" s="291">
        <v>2441</v>
      </c>
      <c r="I35" s="291">
        <v>1000</v>
      </c>
      <c r="J35" s="291">
        <v>1648</v>
      </c>
      <c r="K35" s="291">
        <v>2144</v>
      </c>
      <c r="L35" s="291">
        <v>1919</v>
      </c>
      <c r="O35" s="3" t="s">
        <v>1692</v>
      </c>
      <c r="P35" s="22" t="s">
        <v>546</v>
      </c>
      <c r="Q35" s="22" t="s">
        <v>546</v>
      </c>
      <c r="R35" s="22" t="s">
        <v>546</v>
      </c>
      <c r="S35" s="22" t="s">
        <v>546</v>
      </c>
      <c r="AA35" s="3" t="s">
        <v>1741</v>
      </c>
      <c r="AB35" s="22">
        <v>78</v>
      </c>
      <c r="AC35" s="22">
        <v>54</v>
      </c>
      <c r="AD35" s="53">
        <v>312115</v>
      </c>
      <c r="AE35" s="22">
        <v>53</v>
      </c>
      <c r="AF35" s="22">
        <v>80</v>
      </c>
      <c r="AG35" s="53">
        <v>302647</v>
      </c>
      <c r="AH35" s="22">
        <v>22</v>
      </c>
      <c r="AI35" s="22">
        <v>92</v>
      </c>
      <c r="AJ35" s="53">
        <v>1354320</v>
      </c>
      <c r="AS35" s="3" t="s">
        <v>1874</v>
      </c>
      <c r="AT35" s="22">
        <v>649</v>
      </c>
      <c r="AU35" s="53">
        <v>3290</v>
      </c>
      <c r="AV35" s="279">
        <v>5.07</v>
      </c>
      <c r="AX35" s="23" t="s">
        <v>1909</v>
      </c>
      <c r="AY35" s="54">
        <v>5040</v>
      </c>
      <c r="AZ35" s="54">
        <v>12111</v>
      </c>
      <c r="BA35" s="281">
        <v>2.4</v>
      </c>
      <c r="BC35" s="3" t="s">
        <v>1709</v>
      </c>
      <c r="BD35" s="22">
        <v>9.1</v>
      </c>
      <c r="BE35" s="22">
        <v>8.9</v>
      </c>
      <c r="BF35" s="22">
        <v>5</v>
      </c>
      <c r="BG35" s="22">
        <v>7.19</v>
      </c>
      <c r="BH35" s="22">
        <v>8.4</v>
      </c>
      <c r="BI35" s="22">
        <v>5.4</v>
      </c>
      <c r="BJ35" s="5"/>
      <c r="BL35" s="284" t="s">
        <v>1930</v>
      </c>
      <c r="BM35" s="14"/>
      <c r="BN35" s="14"/>
      <c r="BO35" s="14"/>
      <c r="BP35" s="14"/>
      <c r="BQ35" s="14"/>
      <c r="BR35" s="2"/>
      <c r="BW35" s="2"/>
      <c r="BY35" s="91"/>
      <c r="BZ35" s="3"/>
      <c r="CA35" s="2055"/>
      <c r="CB35" s="2055"/>
      <c r="CC35" s="22"/>
      <c r="CD35" s="53"/>
      <c r="CE35" s="53"/>
      <c r="CF35" s="2"/>
    </row>
    <row r="36" spans="2:84" ht="12" customHeight="1">
      <c r="B36" s="245" t="s">
        <v>1632</v>
      </c>
      <c r="C36" s="290">
        <v>55</v>
      </c>
      <c r="D36" s="290">
        <v>13</v>
      </c>
      <c r="E36" s="290">
        <v>16</v>
      </c>
      <c r="F36" s="290">
        <v>23</v>
      </c>
      <c r="G36" s="290">
        <v>22</v>
      </c>
      <c r="H36" s="290">
        <v>27</v>
      </c>
      <c r="I36" s="290">
        <v>6</v>
      </c>
      <c r="J36" s="290">
        <v>8</v>
      </c>
      <c r="K36" s="290" t="s">
        <v>1640</v>
      </c>
      <c r="L36" s="290" t="s">
        <v>1640</v>
      </c>
      <c r="O36" s="3" t="s">
        <v>1693</v>
      </c>
      <c r="P36" s="22">
        <v>157</v>
      </c>
      <c r="Q36" s="22">
        <v>52</v>
      </c>
      <c r="R36" s="22">
        <v>26.9</v>
      </c>
      <c r="S36" s="290">
        <v>19.7</v>
      </c>
      <c r="AA36" s="3" t="s">
        <v>1742</v>
      </c>
      <c r="AB36" s="22">
        <v>162</v>
      </c>
      <c r="AC36" s="22">
        <v>84</v>
      </c>
      <c r="AD36" s="53">
        <v>202501</v>
      </c>
      <c r="AE36" s="22">
        <v>97</v>
      </c>
      <c r="AF36" s="22">
        <v>37</v>
      </c>
      <c r="AG36" s="53">
        <v>171583</v>
      </c>
      <c r="AH36" s="22">
        <v>44</v>
      </c>
      <c r="AI36" s="22">
        <v>43</v>
      </c>
      <c r="AJ36" s="53">
        <v>164959</v>
      </c>
      <c r="AS36" s="3" t="s">
        <v>1875</v>
      </c>
      <c r="AT36" s="22">
        <v>550</v>
      </c>
      <c r="AU36" s="53">
        <v>2676</v>
      </c>
      <c r="AV36" s="279">
        <v>4.87</v>
      </c>
      <c r="AX36" s="30" t="s">
        <v>1855</v>
      </c>
      <c r="AY36" s="3"/>
      <c r="AZ36" s="3"/>
      <c r="BA36" s="3"/>
      <c r="BC36" s="60" t="s">
        <v>1912</v>
      </c>
      <c r="BD36" s="61"/>
      <c r="BE36" s="61"/>
      <c r="BF36" s="61"/>
      <c r="BG36" s="61"/>
      <c r="BH36" s="61"/>
      <c r="BI36" s="61"/>
      <c r="BJ36" s="14"/>
      <c r="BY36" s="91"/>
      <c r="BZ36" s="3"/>
      <c r="CA36" s="2055"/>
      <c r="CB36" s="2055"/>
      <c r="CC36" s="22"/>
      <c r="CD36" s="22"/>
      <c r="CE36" s="22"/>
      <c r="CF36" s="2"/>
    </row>
    <row r="37" spans="2:84" ht="12.95" customHeight="1">
      <c r="B37" s="245" t="s">
        <v>1641</v>
      </c>
      <c r="C37" s="290">
        <v>84</v>
      </c>
      <c r="D37" s="290">
        <v>27</v>
      </c>
      <c r="E37" s="290">
        <v>38</v>
      </c>
      <c r="F37" s="290">
        <v>53</v>
      </c>
      <c r="G37" s="290">
        <v>70</v>
      </c>
      <c r="H37" s="290">
        <v>131</v>
      </c>
      <c r="I37" s="290">
        <v>45</v>
      </c>
      <c r="J37" s="290">
        <v>53</v>
      </c>
      <c r="K37" s="290">
        <v>77</v>
      </c>
      <c r="L37" s="290">
        <v>109</v>
      </c>
      <c r="O37" s="3" t="s">
        <v>1694</v>
      </c>
      <c r="P37" s="22">
        <v>2</v>
      </c>
      <c r="Q37" s="22" t="s">
        <v>546</v>
      </c>
      <c r="R37" s="22">
        <v>0.3</v>
      </c>
      <c r="S37" s="22" t="s">
        <v>546</v>
      </c>
      <c r="AA37" s="3" t="s">
        <v>1743</v>
      </c>
      <c r="AB37" s="22">
        <v>48</v>
      </c>
      <c r="AC37" s="22">
        <v>7</v>
      </c>
      <c r="AD37" s="53">
        <v>40350</v>
      </c>
      <c r="AE37" s="22" t="s">
        <v>546</v>
      </c>
      <c r="AF37" s="22" t="s">
        <v>546</v>
      </c>
      <c r="AG37" s="22" t="s">
        <v>546</v>
      </c>
      <c r="AH37" s="22" t="s">
        <v>546</v>
      </c>
      <c r="AI37" s="22" t="s">
        <v>546</v>
      </c>
      <c r="AJ37" s="22" t="s">
        <v>546</v>
      </c>
      <c r="AS37" s="3" t="s">
        <v>1829</v>
      </c>
      <c r="AT37" s="22">
        <v>124</v>
      </c>
      <c r="AU37" s="22">
        <v>775</v>
      </c>
      <c r="AV37" s="279">
        <v>6.25</v>
      </c>
      <c r="BC37" s="2"/>
      <c r="BD37" s="2"/>
      <c r="BE37" s="2"/>
      <c r="BF37" s="2"/>
      <c r="BG37" s="2"/>
      <c r="BH37" s="2"/>
      <c r="BI37" s="2"/>
      <c r="BJ37" s="2"/>
      <c r="BY37" s="91"/>
      <c r="BZ37" s="3"/>
      <c r="CA37" s="2055"/>
      <c r="CB37" s="2055"/>
      <c r="CC37" s="22"/>
      <c r="CD37" s="22"/>
      <c r="CE37" s="22"/>
      <c r="CF37" s="2"/>
    </row>
    <row r="38" spans="2:84" ht="12.95" customHeight="1">
      <c r="B38" s="245" t="s">
        <v>1642</v>
      </c>
      <c r="C38" s="290">
        <v>35</v>
      </c>
      <c r="D38" s="290">
        <v>13</v>
      </c>
      <c r="E38" s="290">
        <v>16</v>
      </c>
      <c r="F38" s="290">
        <v>24</v>
      </c>
      <c r="G38" s="290">
        <v>25</v>
      </c>
      <c r="H38" s="290">
        <v>123</v>
      </c>
      <c r="I38" s="290">
        <v>45</v>
      </c>
      <c r="J38" s="290">
        <v>53</v>
      </c>
      <c r="K38" s="290">
        <v>86</v>
      </c>
      <c r="L38" s="290">
        <v>88</v>
      </c>
      <c r="O38" s="3" t="s">
        <v>1695</v>
      </c>
      <c r="P38" s="22">
        <v>9</v>
      </c>
      <c r="Q38" s="22">
        <v>8</v>
      </c>
      <c r="R38" s="22">
        <v>1.5</v>
      </c>
      <c r="S38" s="22">
        <v>3</v>
      </c>
      <c r="AA38" s="3" t="s">
        <v>1744</v>
      </c>
      <c r="AB38" s="22">
        <v>6</v>
      </c>
      <c r="AC38" s="22">
        <v>3</v>
      </c>
      <c r="AD38" s="53">
        <v>10600</v>
      </c>
      <c r="AE38" s="22">
        <v>8</v>
      </c>
      <c r="AF38" s="22">
        <v>6</v>
      </c>
      <c r="AG38" s="53">
        <v>19460</v>
      </c>
      <c r="AH38" s="22">
        <v>1</v>
      </c>
      <c r="AI38" s="22" t="s">
        <v>1640</v>
      </c>
      <c r="AJ38" s="22" t="s">
        <v>1640</v>
      </c>
      <c r="AS38" s="3" t="s">
        <v>1876</v>
      </c>
      <c r="AT38" s="22">
        <v>26</v>
      </c>
      <c r="AU38" s="22">
        <v>69</v>
      </c>
      <c r="AV38" s="279">
        <v>2.65</v>
      </c>
      <c r="BC38" s="2"/>
      <c r="BD38" s="2"/>
      <c r="BE38" s="2"/>
      <c r="BF38" s="2"/>
      <c r="BG38" s="2"/>
      <c r="BH38" s="2"/>
      <c r="BI38" s="2"/>
      <c r="BJ38" s="2"/>
      <c r="BY38" s="91"/>
      <c r="BZ38" s="3"/>
      <c r="CA38" s="3"/>
      <c r="CB38" s="3"/>
      <c r="CC38" s="22"/>
      <c r="CD38" s="22"/>
      <c r="CE38" s="22"/>
      <c r="CF38" s="2"/>
    </row>
    <row r="39" spans="2:84" ht="12.95" customHeight="1">
      <c r="B39" s="245" t="s">
        <v>1643</v>
      </c>
      <c r="C39" s="290">
        <v>36</v>
      </c>
      <c r="D39" s="290">
        <v>15</v>
      </c>
      <c r="E39" s="290">
        <v>21</v>
      </c>
      <c r="F39" s="290">
        <v>32</v>
      </c>
      <c r="G39" s="290">
        <v>26</v>
      </c>
      <c r="H39" s="290">
        <v>196</v>
      </c>
      <c r="I39" s="290">
        <v>81</v>
      </c>
      <c r="J39" s="290">
        <v>116</v>
      </c>
      <c r="K39" s="290">
        <v>179</v>
      </c>
      <c r="L39" s="290">
        <v>148</v>
      </c>
      <c r="O39" s="3" t="s">
        <v>1696</v>
      </c>
      <c r="P39" s="22">
        <v>100</v>
      </c>
      <c r="Q39" s="22">
        <v>44</v>
      </c>
      <c r="R39" s="22">
        <v>17.2</v>
      </c>
      <c r="S39" s="22">
        <v>16.7</v>
      </c>
      <c r="AA39" s="3" t="s">
        <v>1745</v>
      </c>
      <c r="AB39" s="22">
        <v>85</v>
      </c>
      <c r="AC39" s="22">
        <v>28</v>
      </c>
      <c r="AD39" s="53">
        <v>58785</v>
      </c>
      <c r="AE39" s="22">
        <v>50</v>
      </c>
      <c r="AF39" s="22">
        <v>15</v>
      </c>
      <c r="AG39" s="53">
        <v>22176</v>
      </c>
      <c r="AH39" s="22">
        <v>19</v>
      </c>
      <c r="AI39" s="22">
        <v>15</v>
      </c>
      <c r="AJ39" s="53">
        <v>36229</v>
      </c>
      <c r="AS39" s="3" t="s">
        <v>1838</v>
      </c>
      <c r="AT39" s="22">
        <v>150</v>
      </c>
      <c r="AU39" s="22">
        <v>357</v>
      </c>
      <c r="AV39" s="279">
        <v>2.38</v>
      </c>
      <c r="BC39" s="2"/>
      <c r="BD39" s="2"/>
      <c r="BE39" s="2"/>
      <c r="BF39" s="2"/>
      <c r="BG39" s="2"/>
      <c r="BH39" s="2"/>
      <c r="BI39" s="2"/>
      <c r="BJ39" s="2"/>
      <c r="BY39" s="91"/>
      <c r="BZ39" s="3"/>
      <c r="CA39" s="3"/>
      <c r="CB39" s="3"/>
      <c r="CC39" s="22"/>
      <c r="CD39" s="22"/>
      <c r="CE39" s="22"/>
      <c r="CF39" s="2"/>
    </row>
    <row r="40" spans="2:84" ht="12.95" customHeight="1">
      <c r="B40" s="245" t="s">
        <v>1644</v>
      </c>
      <c r="C40" s="290">
        <v>8</v>
      </c>
      <c r="D40" s="290">
        <v>4</v>
      </c>
      <c r="E40" s="290">
        <v>11</v>
      </c>
      <c r="F40" s="290">
        <v>16</v>
      </c>
      <c r="G40" s="290">
        <v>9</v>
      </c>
      <c r="H40" s="290">
        <v>68</v>
      </c>
      <c r="I40" s="290">
        <v>33</v>
      </c>
      <c r="J40" s="290">
        <v>91</v>
      </c>
      <c r="K40" s="290">
        <v>135</v>
      </c>
      <c r="L40" s="290">
        <v>79</v>
      </c>
      <c r="O40" s="3" t="s">
        <v>1697</v>
      </c>
      <c r="P40" s="22">
        <v>9</v>
      </c>
      <c r="Q40" s="22" t="s">
        <v>546</v>
      </c>
      <c r="R40" s="22">
        <v>1.5</v>
      </c>
      <c r="S40" s="22" t="s">
        <v>546</v>
      </c>
      <c r="AA40" s="3" t="s">
        <v>1746</v>
      </c>
      <c r="AB40" s="22">
        <v>49</v>
      </c>
      <c r="AC40" s="22">
        <v>7</v>
      </c>
      <c r="AD40" s="53">
        <v>13307</v>
      </c>
      <c r="AE40" s="22">
        <v>27</v>
      </c>
      <c r="AF40" s="22">
        <v>3</v>
      </c>
      <c r="AG40" s="22">
        <v>801</v>
      </c>
      <c r="AH40" s="22">
        <v>9</v>
      </c>
      <c r="AI40" s="22">
        <v>3</v>
      </c>
      <c r="AJ40" s="53">
        <v>5210</v>
      </c>
      <c r="AS40" s="3" t="s">
        <v>1839</v>
      </c>
      <c r="AT40" s="53">
        <v>13418</v>
      </c>
      <c r="AU40" s="53">
        <v>46000</v>
      </c>
      <c r="AV40" s="279">
        <v>3.43</v>
      </c>
      <c r="BC40" s="1" t="s">
        <v>1917</v>
      </c>
      <c r="BD40" s="3"/>
      <c r="BE40" s="3"/>
      <c r="BF40" s="3"/>
      <c r="BG40" s="3"/>
      <c r="BH40" s="3"/>
      <c r="BI40" s="3"/>
      <c r="BJ40" s="2"/>
      <c r="BY40" s="91"/>
      <c r="BZ40" s="3"/>
      <c r="CA40" s="3"/>
      <c r="CB40" s="3"/>
      <c r="CC40" s="22"/>
      <c r="CD40" s="22"/>
      <c r="CE40" s="22"/>
      <c r="CF40" s="2"/>
    </row>
    <row r="41" spans="2:84" ht="12.95" customHeight="1">
      <c r="B41" s="245" t="s">
        <v>1645</v>
      </c>
      <c r="C41" s="290">
        <v>16</v>
      </c>
      <c r="D41" s="290">
        <v>15</v>
      </c>
      <c r="E41" s="290">
        <v>27</v>
      </c>
      <c r="F41" s="290">
        <v>23</v>
      </c>
      <c r="G41" s="290">
        <v>22</v>
      </c>
      <c r="H41" s="290">
        <v>193</v>
      </c>
      <c r="I41" s="290">
        <v>208</v>
      </c>
      <c r="J41" s="290">
        <v>313</v>
      </c>
      <c r="K41" s="290">
        <v>280</v>
      </c>
      <c r="L41" s="290">
        <v>291</v>
      </c>
      <c r="O41" s="3" t="s">
        <v>1698</v>
      </c>
      <c r="P41" s="22">
        <v>14</v>
      </c>
      <c r="Q41" s="22" t="s">
        <v>546</v>
      </c>
      <c r="R41" s="22">
        <v>2.4</v>
      </c>
      <c r="S41" s="22" t="s">
        <v>546</v>
      </c>
      <c r="AA41" s="3" t="s">
        <v>1747</v>
      </c>
      <c r="AB41" s="22">
        <v>219</v>
      </c>
      <c r="AC41" s="22">
        <v>71</v>
      </c>
      <c r="AD41" s="53">
        <v>66934</v>
      </c>
      <c r="AE41" s="22">
        <v>110</v>
      </c>
      <c r="AF41" s="22">
        <v>25</v>
      </c>
      <c r="AG41" s="53">
        <v>28661</v>
      </c>
      <c r="AH41" s="22">
        <v>28</v>
      </c>
      <c r="AI41" s="22">
        <v>9</v>
      </c>
      <c r="AJ41" s="53">
        <v>27858</v>
      </c>
      <c r="AS41" s="3" t="s">
        <v>1842</v>
      </c>
      <c r="AT41" s="53">
        <v>5210</v>
      </c>
      <c r="AU41" s="53">
        <v>13903</v>
      </c>
      <c r="AV41" s="279">
        <v>2.67</v>
      </c>
      <c r="BC41" s="32" t="s">
        <v>1808</v>
      </c>
      <c r="BD41" s="15">
        <v>2024</v>
      </c>
      <c r="BE41" s="17">
        <v>2023</v>
      </c>
      <c r="BF41" s="17">
        <v>2022</v>
      </c>
      <c r="BG41" s="17">
        <v>2021</v>
      </c>
      <c r="BH41" s="17">
        <v>2020</v>
      </c>
      <c r="BI41" s="28">
        <v>2019</v>
      </c>
      <c r="BJ41" s="22"/>
      <c r="BY41" s="91"/>
      <c r="BZ41" s="3"/>
      <c r="CA41" s="2055"/>
      <c r="CB41" s="2055"/>
      <c r="CC41" s="22"/>
      <c r="CD41" s="22"/>
      <c r="CE41" s="22"/>
      <c r="CF41" s="2"/>
    </row>
    <row r="42" spans="2:84" ht="12.95" customHeight="1">
      <c r="B42" s="287" t="s">
        <v>1638</v>
      </c>
      <c r="C42" s="100">
        <v>30</v>
      </c>
      <c r="D42" s="100">
        <v>17</v>
      </c>
      <c r="E42" s="100">
        <v>24</v>
      </c>
      <c r="F42" s="100">
        <v>30</v>
      </c>
      <c r="G42" s="100">
        <v>25</v>
      </c>
      <c r="H42" s="292">
        <v>1705</v>
      </c>
      <c r="I42" s="100">
        <v>583</v>
      </c>
      <c r="J42" s="292">
        <v>1014</v>
      </c>
      <c r="K42" s="292">
        <v>1335</v>
      </c>
      <c r="L42" s="292">
        <v>1152</v>
      </c>
      <c r="O42" s="3" t="s">
        <v>1699</v>
      </c>
      <c r="P42" s="22">
        <v>6</v>
      </c>
      <c r="Q42" s="22" t="s">
        <v>546</v>
      </c>
      <c r="R42" s="22">
        <v>1</v>
      </c>
      <c r="S42" s="22" t="s">
        <v>546</v>
      </c>
      <c r="AA42" s="3" t="s">
        <v>1748</v>
      </c>
      <c r="AB42" s="22">
        <v>23</v>
      </c>
      <c r="AC42" s="22">
        <v>2</v>
      </c>
      <c r="AD42" s="22">
        <v>982</v>
      </c>
      <c r="AE42" s="22">
        <v>4</v>
      </c>
      <c r="AF42" s="22" t="s">
        <v>1640</v>
      </c>
      <c r="AG42" s="22" t="s">
        <v>1640</v>
      </c>
      <c r="AH42" s="22">
        <v>4</v>
      </c>
      <c r="AI42" s="22">
        <v>11</v>
      </c>
      <c r="AJ42" s="53">
        <v>13220</v>
      </c>
      <c r="AS42" s="3" t="s">
        <v>1877</v>
      </c>
      <c r="AT42" s="22">
        <v>131</v>
      </c>
      <c r="AU42" s="22">
        <v>649</v>
      </c>
      <c r="AV42" s="279">
        <v>4.95</v>
      </c>
      <c r="BC42" s="22" t="s">
        <v>545</v>
      </c>
      <c r="BD42" s="53">
        <v>12796</v>
      </c>
      <c r="BE42" s="53">
        <v>11659</v>
      </c>
      <c r="BF42" s="53">
        <v>15178</v>
      </c>
      <c r="BG42" s="53">
        <v>16103</v>
      </c>
      <c r="BH42" s="53">
        <v>13617</v>
      </c>
      <c r="BI42" s="53">
        <v>15086</v>
      </c>
      <c r="BJ42" s="53"/>
      <c r="BY42" s="91"/>
      <c r="BZ42" s="3"/>
      <c r="CA42" s="2055"/>
      <c r="CB42" s="2055"/>
      <c r="CC42" s="22"/>
      <c r="CD42" s="22"/>
      <c r="CE42" s="22"/>
      <c r="CF42" s="2"/>
    </row>
    <row r="43" spans="2:84" ht="12.95" customHeight="1">
      <c r="B43" s="2041" t="s">
        <v>1628</v>
      </c>
      <c r="C43" s="2041"/>
      <c r="D43" s="113"/>
      <c r="E43" s="113"/>
      <c r="F43" s="113"/>
      <c r="G43" s="113"/>
      <c r="H43" s="113"/>
      <c r="I43" s="113"/>
      <c r="J43" s="113"/>
      <c r="K43" s="113"/>
      <c r="L43" s="113"/>
      <c r="O43" s="3" t="s">
        <v>1700</v>
      </c>
      <c r="P43" s="22">
        <v>17</v>
      </c>
      <c r="Q43" s="22" t="s">
        <v>546</v>
      </c>
      <c r="R43" s="22">
        <v>2.9</v>
      </c>
      <c r="S43" s="22" t="s">
        <v>546</v>
      </c>
      <c r="AA43" s="3" t="s">
        <v>1749</v>
      </c>
      <c r="AB43" s="22">
        <v>53</v>
      </c>
      <c r="AC43" s="22">
        <v>9</v>
      </c>
      <c r="AD43" s="53">
        <v>14968</v>
      </c>
      <c r="AE43" s="22">
        <v>41</v>
      </c>
      <c r="AF43" s="22">
        <v>13</v>
      </c>
      <c r="AG43" s="53">
        <v>36656</v>
      </c>
      <c r="AH43" s="22">
        <v>10</v>
      </c>
      <c r="AI43" s="22">
        <v>14</v>
      </c>
      <c r="AJ43" s="53">
        <v>45350</v>
      </c>
      <c r="AS43" s="23" t="s">
        <v>1854</v>
      </c>
      <c r="AT43" s="54">
        <v>13739</v>
      </c>
      <c r="AU43" s="54">
        <v>46075</v>
      </c>
      <c r="AV43" s="281">
        <v>3.35</v>
      </c>
      <c r="BC43" s="3"/>
      <c r="BD43" s="3"/>
      <c r="BE43" s="3"/>
      <c r="BF43" s="3"/>
      <c r="BG43" s="3"/>
      <c r="BH43" s="3"/>
      <c r="BI43" s="3"/>
      <c r="BJ43" s="2"/>
      <c r="BY43" s="91"/>
      <c r="BZ43" s="3"/>
      <c r="CA43" s="2055"/>
      <c r="CB43" s="2055"/>
      <c r="CC43" s="22"/>
      <c r="CD43" s="22"/>
      <c r="CE43" s="22"/>
      <c r="CF43" s="2"/>
    </row>
    <row r="44" spans="2:84" ht="12.95" customHeight="1">
      <c r="B44" s="2041" t="s">
        <v>1646</v>
      </c>
      <c r="C44" s="2041"/>
      <c r="D44" s="2041"/>
      <c r="E44" s="2041"/>
      <c r="F44" s="2041"/>
      <c r="G44" s="113"/>
      <c r="H44" s="113"/>
      <c r="I44" s="113"/>
      <c r="J44" s="113"/>
      <c r="K44" s="113"/>
      <c r="L44" s="113"/>
      <c r="O44" s="3" t="s">
        <v>1701</v>
      </c>
      <c r="P44" s="22">
        <v>2</v>
      </c>
      <c r="Q44" s="22" t="s">
        <v>546</v>
      </c>
      <c r="R44" s="22">
        <v>0.3</v>
      </c>
      <c r="S44" s="22" t="s">
        <v>546</v>
      </c>
      <c r="AA44" s="3" t="s">
        <v>1750</v>
      </c>
      <c r="AB44" s="22">
        <v>7</v>
      </c>
      <c r="AC44" s="22">
        <v>5</v>
      </c>
      <c r="AD44" s="53">
        <v>30240</v>
      </c>
      <c r="AE44" s="22">
        <v>10</v>
      </c>
      <c r="AF44" s="22">
        <v>3</v>
      </c>
      <c r="AG44" s="53">
        <v>8237</v>
      </c>
      <c r="AH44" s="22">
        <v>9</v>
      </c>
      <c r="AI44" s="22">
        <v>3</v>
      </c>
      <c r="AJ44" s="53">
        <v>12340</v>
      </c>
      <c r="AS44" s="13" t="s">
        <v>1855</v>
      </c>
      <c r="AT44" s="14"/>
      <c r="AU44" s="2"/>
      <c r="AV44" s="2"/>
      <c r="BC44" s="3" t="s">
        <v>1812</v>
      </c>
      <c r="BD44" s="53">
        <v>8376</v>
      </c>
      <c r="BE44" s="53">
        <v>8348</v>
      </c>
      <c r="BF44" s="53">
        <v>9812</v>
      </c>
      <c r="BG44" s="53">
        <v>10700</v>
      </c>
      <c r="BH44" s="53">
        <v>9240</v>
      </c>
      <c r="BI44" s="53">
        <v>10751</v>
      </c>
      <c r="BJ44" s="47"/>
      <c r="BY44" s="91"/>
      <c r="BZ44" s="3"/>
      <c r="CA44" s="2055"/>
      <c r="CB44" s="2055"/>
      <c r="CC44" s="22"/>
      <c r="CD44" s="22"/>
      <c r="CE44" s="22"/>
      <c r="CF44" s="2"/>
    </row>
    <row r="45" spans="2:84" ht="12.95" customHeight="1">
      <c r="O45" s="3" t="s">
        <v>1702</v>
      </c>
      <c r="P45" s="22">
        <v>427</v>
      </c>
      <c r="Q45" s="22">
        <v>188</v>
      </c>
      <c r="R45" s="22">
        <v>73.2</v>
      </c>
      <c r="S45" s="290">
        <v>71.2</v>
      </c>
      <c r="AA45" s="3" t="s">
        <v>1751</v>
      </c>
      <c r="AB45" s="22">
        <v>95</v>
      </c>
      <c r="AC45" s="22">
        <v>20</v>
      </c>
      <c r="AD45" s="53">
        <v>100728</v>
      </c>
      <c r="AE45" s="22">
        <v>55</v>
      </c>
      <c r="AF45" s="22">
        <v>24</v>
      </c>
      <c r="AG45" s="53">
        <v>152182</v>
      </c>
      <c r="AH45" s="22">
        <v>27</v>
      </c>
      <c r="AI45" s="22">
        <v>19</v>
      </c>
      <c r="AJ45" s="53">
        <v>86425</v>
      </c>
      <c r="AS45" s="25"/>
      <c r="AT45" s="25"/>
      <c r="BC45" s="3" t="s">
        <v>1813</v>
      </c>
      <c r="BD45" s="53">
        <v>2819</v>
      </c>
      <c r="BE45" s="53">
        <v>1920</v>
      </c>
      <c r="BF45" s="53">
        <v>3057</v>
      </c>
      <c r="BG45" s="53">
        <v>3466</v>
      </c>
      <c r="BH45" s="53">
        <v>2909</v>
      </c>
      <c r="BI45" s="53">
        <v>2598</v>
      </c>
      <c r="BJ45" s="47"/>
      <c r="BY45" s="91"/>
      <c r="BZ45" s="30"/>
      <c r="CA45" s="3"/>
      <c r="CB45" s="3"/>
      <c r="CC45" s="3"/>
      <c r="CD45" s="3"/>
      <c r="CE45" s="3"/>
      <c r="CF45" s="2"/>
    </row>
    <row r="46" spans="2:84" ht="12.95" customHeight="1">
      <c r="O46" s="3" t="s">
        <v>1703</v>
      </c>
      <c r="P46" s="22" t="s">
        <v>546</v>
      </c>
      <c r="Q46" s="22" t="s">
        <v>546</v>
      </c>
      <c r="R46" s="22" t="s">
        <v>546</v>
      </c>
      <c r="S46" s="22" t="s">
        <v>546</v>
      </c>
      <c r="AA46" s="3" t="s">
        <v>1752</v>
      </c>
      <c r="AB46" s="22">
        <v>18</v>
      </c>
      <c r="AC46" s="22">
        <v>26</v>
      </c>
      <c r="AD46" s="53">
        <v>87160</v>
      </c>
      <c r="AE46" s="22">
        <v>12</v>
      </c>
      <c r="AF46" s="22">
        <v>45</v>
      </c>
      <c r="AG46" s="53">
        <v>398811</v>
      </c>
      <c r="AH46" s="22">
        <v>7</v>
      </c>
      <c r="AI46" s="22">
        <v>88</v>
      </c>
      <c r="AJ46" s="53">
        <v>772000</v>
      </c>
      <c r="BC46" s="3"/>
      <c r="BD46" s="3"/>
      <c r="BE46" s="3"/>
      <c r="BF46" s="3"/>
      <c r="BG46" s="3"/>
      <c r="BH46" s="3"/>
      <c r="BI46" s="3"/>
      <c r="BJ46" s="2"/>
      <c r="BY46" s="91"/>
      <c r="BZ46" s="30"/>
      <c r="CA46" s="3"/>
      <c r="CB46" s="3"/>
      <c r="CC46" s="3"/>
      <c r="CD46" s="3"/>
      <c r="CE46" s="63"/>
      <c r="CF46" s="2"/>
    </row>
    <row r="47" spans="2:84" ht="12.95" customHeight="1">
      <c r="B47" s="1" t="s">
        <v>1647</v>
      </c>
      <c r="C47" s="3"/>
      <c r="D47" s="3"/>
      <c r="E47" s="3"/>
      <c r="F47" s="3"/>
      <c r="G47" s="3"/>
      <c r="H47" s="3"/>
      <c r="I47" s="3"/>
      <c r="J47" s="3"/>
      <c r="K47" s="3"/>
      <c r="L47" s="3"/>
      <c r="O47" s="3"/>
      <c r="P47" s="3"/>
      <c r="Q47" s="3"/>
      <c r="R47" s="3"/>
      <c r="S47" s="3"/>
      <c r="AA47" s="23" t="s">
        <v>1753</v>
      </c>
      <c r="AB47" s="29">
        <v>86</v>
      </c>
      <c r="AC47" s="29">
        <v>44</v>
      </c>
      <c r="AD47" s="54">
        <v>23958</v>
      </c>
      <c r="AE47" s="29">
        <v>35</v>
      </c>
      <c r="AF47" s="29">
        <v>15</v>
      </c>
      <c r="AG47" s="54">
        <v>37070</v>
      </c>
      <c r="AH47" s="29">
        <v>10</v>
      </c>
      <c r="AI47" s="29">
        <v>2</v>
      </c>
      <c r="AJ47" s="54">
        <v>9525</v>
      </c>
      <c r="BC47" s="3" t="s">
        <v>1815</v>
      </c>
      <c r="BD47" s="22">
        <v>820</v>
      </c>
      <c r="BE47" s="22">
        <v>967</v>
      </c>
      <c r="BF47" s="53">
        <v>1362</v>
      </c>
      <c r="BG47" s="53">
        <v>1383</v>
      </c>
      <c r="BH47" s="53">
        <v>1087</v>
      </c>
      <c r="BI47" s="53">
        <v>1298</v>
      </c>
      <c r="BJ47" s="47"/>
      <c r="BZ47" s="2"/>
      <c r="CA47" s="3"/>
      <c r="CB47" s="3"/>
      <c r="CC47" s="3"/>
      <c r="CD47" s="3"/>
      <c r="CE47" s="3"/>
      <c r="CF47" s="2"/>
    </row>
    <row r="48" spans="2:84" ht="12" customHeight="1">
      <c r="B48" s="108"/>
      <c r="C48" s="2042" t="s">
        <v>1616</v>
      </c>
      <c r="D48" s="2043"/>
      <c r="E48" s="2043"/>
      <c r="F48" s="2043"/>
      <c r="G48" s="2044"/>
      <c r="H48" s="2042" t="s">
        <v>1617</v>
      </c>
      <c r="I48" s="2043"/>
      <c r="J48" s="2043"/>
      <c r="K48" s="2043"/>
      <c r="L48" s="2043"/>
      <c r="O48" s="3" t="s">
        <v>1704</v>
      </c>
      <c r="P48" s="22" t="s">
        <v>546</v>
      </c>
      <c r="Q48" s="22" t="s">
        <v>546</v>
      </c>
      <c r="R48" s="22" t="s">
        <v>546</v>
      </c>
      <c r="S48" s="22" t="s">
        <v>546</v>
      </c>
      <c r="AA48" s="2045" t="s">
        <v>1628</v>
      </c>
      <c r="AB48" s="2045"/>
      <c r="AC48" s="14"/>
      <c r="AD48" s="14"/>
      <c r="AE48" s="14"/>
      <c r="AF48" s="2"/>
      <c r="AG48" s="2"/>
      <c r="AH48" s="2"/>
      <c r="AI48" s="2"/>
      <c r="AJ48" s="2"/>
      <c r="BC48" s="23" t="s">
        <v>1709</v>
      </c>
      <c r="BD48" s="29">
        <v>781</v>
      </c>
      <c r="BE48" s="29">
        <v>424</v>
      </c>
      <c r="BF48" s="29">
        <v>947</v>
      </c>
      <c r="BG48" s="29">
        <v>554</v>
      </c>
      <c r="BH48" s="29">
        <v>381</v>
      </c>
      <c r="BI48" s="29">
        <v>439</v>
      </c>
      <c r="BJ48" s="5"/>
      <c r="BZ48" s="2"/>
      <c r="CA48" s="3"/>
      <c r="CB48" s="3"/>
      <c r="CC48" s="3"/>
      <c r="CD48" s="3"/>
      <c r="CE48" s="3"/>
      <c r="CF48" s="2"/>
    </row>
    <row r="49" spans="2:84" ht="12" customHeight="1">
      <c r="B49" s="23" t="s">
        <v>1648</v>
      </c>
      <c r="C49" s="17">
        <v>2023</v>
      </c>
      <c r="D49" s="17">
        <v>2018</v>
      </c>
      <c r="E49" s="17">
        <v>2007</v>
      </c>
      <c r="F49" s="17">
        <v>2002</v>
      </c>
      <c r="G49" s="17">
        <v>1998</v>
      </c>
      <c r="H49" s="17">
        <v>2023</v>
      </c>
      <c r="I49" s="17">
        <v>2018</v>
      </c>
      <c r="J49" s="17">
        <v>2007</v>
      </c>
      <c r="K49" s="17">
        <v>2002</v>
      </c>
      <c r="L49" s="28">
        <v>1998</v>
      </c>
      <c r="O49" s="3" t="s">
        <v>1705</v>
      </c>
      <c r="P49" s="22">
        <v>415</v>
      </c>
      <c r="Q49" s="22">
        <v>188</v>
      </c>
      <c r="R49" s="22">
        <v>71.2</v>
      </c>
      <c r="S49" s="22">
        <v>71.2</v>
      </c>
      <c r="AA49" s="2045" t="s">
        <v>1646</v>
      </c>
      <c r="AB49" s="2045"/>
      <c r="AC49" s="2045"/>
      <c r="AD49" s="2045"/>
      <c r="AE49" s="2045"/>
      <c r="AF49" s="2"/>
      <c r="AG49" s="2"/>
      <c r="AH49" s="2"/>
      <c r="AI49" s="2"/>
      <c r="AJ49" s="2"/>
      <c r="BC49" s="13" t="s">
        <v>1912</v>
      </c>
      <c r="BD49" s="30"/>
      <c r="BE49" s="30"/>
      <c r="BF49" s="30"/>
      <c r="BG49" s="30"/>
      <c r="BH49" s="30"/>
      <c r="BI49" s="30"/>
      <c r="BJ49" s="14"/>
      <c r="BZ49" s="2"/>
      <c r="CA49" s="3"/>
      <c r="CB49" s="3"/>
      <c r="CC49" s="3"/>
      <c r="CD49" s="3"/>
      <c r="CE49" s="3"/>
      <c r="CF49" s="2"/>
    </row>
    <row r="50" spans="2:84" ht="12" customHeight="1">
      <c r="B50" s="3" t="s">
        <v>129</v>
      </c>
      <c r="C50" s="22">
        <v>583</v>
      </c>
      <c r="D50" s="22">
        <v>264</v>
      </c>
      <c r="E50" s="22">
        <v>104</v>
      </c>
      <c r="F50" s="22">
        <v>153</v>
      </c>
      <c r="G50" s="22">
        <v>201</v>
      </c>
      <c r="H50" s="53">
        <v>2848</v>
      </c>
      <c r="I50" s="53">
        <v>2441</v>
      </c>
      <c r="J50" s="53">
        <v>1000</v>
      </c>
      <c r="K50" s="53">
        <v>1648</v>
      </c>
      <c r="L50" s="53">
        <v>2144</v>
      </c>
      <c r="O50" s="3" t="s">
        <v>1706</v>
      </c>
      <c r="P50" s="22" t="s">
        <v>546</v>
      </c>
      <c r="Q50" s="22" t="s">
        <v>546</v>
      </c>
      <c r="R50" s="22" t="s">
        <v>546</v>
      </c>
      <c r="S50" s="22" t="s">
        <v>546</v>
      </c>
      <c r="AA50" s="2045" t="s">
        <v>1629</v>
      </c>
      <c r="AB50" s="2045"/>
      <c r="AC50" s="14"/>
      <c r="AD50" s="14"/>
      <c r="AE50" s="14"/>
      <c r="AF50" s="2"/>
      <c r="AG50" s="2"/>
      <c r="AH50" s="2"/>
      <c r="AI50" s="2"/>
      <c r="AJ50" s="2"/>
      <c r="BC50" s="13" t="s">
        <v>1918</v>
      </c>
      <c r="BD50" s="30"/>
      <c r="BE50" s="30"/>
      <c r="BF50" s="30"/>
      <c r="BG50" s="30"/>
      <c r="BH50" s="30"/>
      <c r="BI50" s="30"/>
      <c r="BJ50" s="14"/>
      <c r="BZ50" s="2055"/>
      <c r="CA50" s="2055"/>
      <c r="CB50" s="2055"/>
      <c r="CC50" s="2055"/>
      <c r="CD50" s="2055"/>
      <c r="CE50" s="2055"/>
      <c r="CF50" s="2"/>
    </row>
    <row r="51" spans="2:84" ht="12" customHeight="1">
      <c r="B51" s="3" t="s">
        <v>1649</v>
      </c>
      <c r="C51" s="22">
        <v>549</v>
      </c>
      <c r="D51" s="22">
        <v>167</v>
      </c>
      <c r="E51" s="22">
        <v>79</v>
      </c>
      <c r="F51" s="22">
        <v>75</v>
      </c>
      <c r="G51" s="22">
        <v>104</v>
      </c>
      <c r="H51" s="53">
        <v>2620</v>
      </c>
      <c r="I51" s="53">
        <v>1547</v>
      </c>
      <c r="J51" s="22">
        <v>741</v>
      </c>
      <c r="K51" s="22">
        <v>689</v>
      </c>
      <c r="L51" s="22">
        <v>830</v>
      </c>
      <c r="O51" s="3" t="s">
        <v>1707</v>
      </c>
      <c r="P51" s="22">
        <v>12</v>
      </c>
      <c r="Q51" s="22" t="s">
        <v>546</v>
      </c>
      <c r="R51" s="22">
        <v>2.1</v>
      </c>
      <c r="S51" s="22" t="s">
        <v>546</v>
      </c>
      <c r="AA51" s="2045" t="s">
        <v>1754</v>
      </c>
      <c r="AB51" s="2045"/>
      <c r="AC51" s="14"/>
      <c r="AD51" s="14"/>
      <c r="AE51" s="14"/>
      <c r="AF51" s="2"/>
      <c r="AG51" s="2"/>
      <c r="AH51" s="2"/>
      <c r="AI51" s="2"/>
      <c r="AJ51" s="2"/>
      <c r="BZ51" s="3"/>
      <c r="CA51" s="2065"/>
      <c r="CB51" s="2065"/>
      <c r="CC51" s="2065"/>
      <c r="CD51" s="2065"/>
      <c r="CE51" s="2065"/>
      <c r="CF51" s="2"/>
    </row>
    <row r="52" spans="2:84" ht="12.75" customHeight="1">
      <c r="B52" s="3" t="s">
        <v>1650</v>
      </c>
      <c r="C52" s="22">
        <v>10</v>
      </c>
      <c r="D52" s="22">
        <v>10</v>
      </c>
      <c r="E52" s="22">
        <v>4</v>
      </c>
      <c r="F52" s="22">
        <v>7</v>
      </c>
      <c r="G52" s="22">
        <v>20</v>
      </c>
      <c r="H52" s="22">
        <v>101</v>
      </c>
      <c r="I52" s="22">
        <v>36</v>
      </c>
      <c r="J52" s="22">
        <v>72</v>
      </c>
      <c r="K52" s="22">
        <v>112</v>
      </c>
      <c r="L52" s="22">
        <v>522</v>
      </c>
      <c r="O52" s="3" t="s">
        <v>1708</v>
      </c>
      <c r="P52" s="22">
        <v>50</v>
      </c>
      <c r="Q52" s="22">
        <v>9</v>
      </c>
      <c r="R52" s="22">
        <v>8.6</v>
      </c>
      <c r="S52" s="22">
        <v>3.4</v>
      </c>
      <c r="BZ52" s="3"/>
      <c r="CA52" s="2055"/>
      <c r="CB52" s="2055"/>
      <c r="CC52" s="21"/>
      <c r="CD52" s="21"/>
      <c r="CE52" s="21"/>
      <c r="CF52" s="2"/>
    </row>
    <row r="53" spans="2:84" ht="12.75" customHeight="1">
      <c r="B53" s="3" t="s">
        <v>1651</v>
      </c>
      <c r="C53" s="22">
        <v>24</v>
      </c>
      <c r="D53" s="22">
        <v>87</v>
      </c>
      <c r="E53" s="22">
        <v>21</v>
      </c>
      <c r="F53" s="22">
        <v>71</v>
      </c>
      <c r="G53" s="22">
        <v>77</v>
      </c>
      <c r="H53" s="22">
        <v>127</v>
      </c>
      <c r="I53" s="22">
        <v>858</v>
      </c>
      <c r="J53" s="22">
        <v>186</v>
      </c>
      <c r="K53" s="22">
        <v>847</v>
      </c>
      <c r="L53" s="22">
        <v>792</v>
      </c>
      <c r="O53" s="3" t="s">
        <v>1709</v>
      </c>
      <c r="P53" s="22" t="s">
        <v>546</v>
      </c>
      <c r="Q53" s="22">
        <v>15</v>
      </c>
      <c r="R53" s="22" t="s">
        <v>546</v>
      </c>
      <c r="S53" s="22">
        <v>5.7</v>
      </c>
      <c r="BZ53" s="3"/>
      <c r="CA53" s="2055"/>
      <c r="CB53" s="2055"/>
      <c r="CC53" s="22"/>
      <c r="CD53" s="53"/>
      <c r="CE53" s="53"/>
      <c r="CF53" s="2"/>
    </row>
    <row r="54" spans="2:84" ht="12.75" customHeight="1">
      <c r="B54" s="3"/>
      <c r="C54" s="3"/>
      <c r="D54" s="3"/>
      <c r="E54" s="3"/>
      <c r="F54" s="3"/>
      <c r="G54" s="3"/>
      <c r="H54" s="3"/>
      <c r="I54" s="3"/>
      <c r="J54" s="3"/>
      <c r="K54" s="3"/>
      <c r="L54" s="3"/>
      <c r="O54" s="3"/>
      <c r="P54" s="3"/>
      <c r="Q54" s="3"/>
      <c r="R54" s="3"/>
      <c r="S54" s="3"/>
      <c r="BZ54" s="3"/>
      <c r="CA54" s="2055"/>
      <c r="CB54" s="2055"/>
      <c r="CC54" s="22"/>
      <c r="CD54" s="22"/>
      <c r="CE54" s="22"/>
      <c r="CF54" s="2"/>
    </row>
    <row r="55" spans="2:84" ht="12" customHeight="1">
      <c r="B55" s="3" t="s">
        <v>1652</v>
      </c>
      <c r="C55" s="22">
        <v>384</v>
      </c>
      <c r="D55" s="22">
        <v>199</v>
      </c>
      <c r="E55" s="22">
        <v>80</v>
      </c>
      <c r="F55" s="22">
        <v>134</v>
      </c>
      <c r="G55" s="22">
        <v>147</v>
      </c>
      <c r="H55" s="53">
        <v>2216</v>
      </c>
      <c r="I55" s="53">
        <v>2251</v>
      </c>
      <c r="J55" s="22">
        <v>874</v>
      </c>
      <c r="K55" s="53">
        <v>1559</v>
      </c>
      <c r="L55" s="53">
        <v>1743</v>
      </c>
      <c r="O55" s="3" t="s">
        <v>1710</v>
      </c>
      <c r="P55" s="3"/>
      <c r="Q55" s="3"/>
      <c r="R55" s="3"/>
      <c r="S55" s="3"/>
      <c r="BZ55" s="3"/>
      <c r="CA55" s="3"/>
      <c r="CB55" s="3"/>
      <c r="CC55" s="22"/>
      <c r="CD55" s="22"/>
      <c r="CE55" s="22"/>
      <c r="CF55" s="2"/>
    </row>
    <row r="56" spans="2:84" ht="12.75" customHeight="1">
      <c r="B56" s="23" t="s">
        <v>1653</v>
      </c>
      <c r="C56" s="29">
        <v>199</v>
      </c>
      <c r="D56" s="29">
        <v>65</v>
      </c>
      <c r="E56" s="29">
        <v>24</v>
      </c>
      <c r="F56" s="29">
        <v>19</v>
      </c>
      <c r="G56" s="29">
        <v>54</v>
      </c>
      <c r="H56" s="29">
        <v>633</v>
      </c>
      <c r="I56" s="29">
        <v>190</v>
      </c>
      <c r="J56" s="29">
        <v>126</v>
      </c>
      <c r="K56" s="29">
        <v>89</v>
      </c>
      <c r="L56" s="29">
        <v>401</v>
      </c>
      <c r="O56" s="3" t="s">
        <v>1711</v>
      </c>
      <c r="P56" s="22">
        <v>382</v>
      </c>
      <c r="Q56" s="22">
        <v>188</v>
      </c>
      <c r="R56" s="22">
        <v>65.5</v>
      </c>
      <c r="S56" s="22">
        <v>71.2</v>
      </c>
      <c r="AA56" s="1" t="s">
        <v>1755</v>
      </c>
      <c r="AB56" s="2"/>
      <c r="AC56" s="2"/>
      <c r="AD56" s="2"/>
      <c r="AE56" s="2"/>
      <c r="AF56" s="2"/>
      <c r="AG56" s="2"/>
      <c r="AH56" s="2"/>
      <c r="AI56" s="2"/>
      <c r="AJ56" s="2"/>
      <c r="AK56" s="2"/>
      <c r="AL56" s="2"/>
      <c r="AM56" s="2"/>
      <c r="BZ56" s="3"/>
      <c r="CA56" s="2055"/>
      <c r="CB56" s="2055"/>
      <c r="CC56" s="22"/>
      <c r="CD56" s="22"/>
      <c r="CE56" s="22"/>
      <c r="CF56" s="2"/>
    </row>
    <row r="57" spans="2:84" ht="12.75" customHeight="1">
      <c r="B57" s="2045" t="s">
        <v>1628</v>
      </c>
      <c r="C57" s="2045"/>
      <c r="D57" s="2"/>
      <c r="E57" s="2"/>
      <c r="F57" s="2"/>
      <c r="G57" s="2"/>
      <c r="H57" s="2"/>
      <c r="I57" s="2"/>
      <c r="J57" s="2"/>
      <c r="K57" s="2"/>
      <c r="L57" s="2"/>
      <c r="O57" s="23" t="s">
        <v>1712</v>
      </c>
      <c r="P57" s="29">
        <v>201</v>
      </c>
      <c r="Q57" s="29">
        <v>76</v>
      </c>
      <c r="R57" s="29">
        <v>34.5</v>
      </c>
      <c r="S57" s="29">
        <v>28.8</v>
      </c>
      <c r="AA57" s="8"/>
      <c r="AB57" s="2033">
        <v>2023</v>
      </c>
      <c r="AC57" s="2034"/>
      <c r="AD57" s="2034"/>
      <c r="AE57" s="2035"/>
      <c r="AF57" s="2033">
        <v>2018</v>
      </c>
      <c r="AG57" s="2034"/>
      <c r="AH57" s="2034"/>
      <c r="AI57" s="2035"/>
      <c r="AJ57" s="2033">
        <v>2007</v>
      </c>
      <c r="AK57" s="2034"/>
      <c r="AL57" s="2034"/>
      <c r="AM57" s="2034"/>
      <c r="BZ57" s="3"/>
      <c r="CA57" s="2055"/>
      <c r="CB57" s="2055"/>
      <c r="CC57" s="22"/>
      <c r="CD57" s="22"/>
      <c r="CE57" s="22"/>
      <c r="CF57" s="2"/>
    </row>
    <row r="58" spans="2:84" ht="14.1" customHeight="1">
      <c r="B58" s="2045" t="s">
        <v>1646</v>
      </c>
      <c r="C58" s="2045"/>
      <c r="D58" s="2045"/>
      <c r="E58" s="2045"/>
      <c r="F58" s="2045"/>
      <c r="G58" s="2"/>
      <c r="H58" s="2"/>
      <c r="I58" s="2"/>
      <c r="J58" s="2"/>
      <c r="K58" s="2"/>
      <c r="L58" s="2"/>
      <c r="O58" s="2055" t="s">
        <v>1628</v>
      </c>
      <c r="P58" s="2055"/>
      <c r="Q58" s="245"/>
      <c r="R58" s="245"/>
      <c r="S58" s="245"/>
      <c r="AA58" s="2"/>
      <c r="AB58" s="188"/>
      <c r="AC58" s="293" t="s">
        <v>1756</v>
      </c>
      <c r="AD58" s="263" t="s">
        <v>1757</v>
      </c>
      <c r="AE58" s="115"/>
      <c r="AF58" s="277"/>
      <c r="AG58" s="293" t="s">
        <v>1756</v>
      </c>
      <c r="AH58" s="263" t="s">
        <v>1757</v>
      </c>
      <c r="AI58" s="115"/>
      <c r="AJ58" s="277"/>
      <c r="AK58" s="293" t="s">
        <v>1756</v>
      </c>
      <c r="AL58" s="263" t="s">
        <v>1757</v>
      </c>
      <c r="AM58" s="115"/>
      <c r="BZ58" s="3"/>
      <c r="CA58" s="2055"/>
      <c r="CB58" s="2055"/>
      <c r="CC58" s="22"/>
      <c r="CD58" s="22"/>
      <c r="CE58" s="22"/>
      <c r="CF58" s="2"/>
    </row>
    <row r="59" spans="2:84" ht="14.1" customHeight="1">
      <c r="B59" s="2041" t="s">
        <v>1654</v>
      </c>
      <c r="C59" s="2041"/>
      <c r="D59" s="2041"/>
      <c r="E59" s="113"/>
      <c r="F59" s="113"/>
      <c r="G59" s="113"/>
      <c r="H59" s="113"/>
      <c r="I59" s="113"/>
      <c r="J59" s="113"/>
      <c r="K59" s="113"/>
      <c r="L59" s="113"/>
      <c r="O59" s="113"/>
      <c r="P59" s="113"/>
      <c r="Q59" s="113"/>
      <c r="R59" s="113"/>
      <c r="S59" s="113"/>
      <c r="AA59" s="2"/>
      <c r="AB59" s="210"/>
      <c r="AC59" s="293" t="s">
        <v>1758</v>
      </c>
      <c r="AD59" s="295" t="s">
        <v>1759</v>
      </c>
      <c r="AE59" s="293" t="s">
        <v>1717</v>
      </c>
      <c r="AF59" s="296"/>
      <c r="AG59" s="293" t="s">
        <v>1758</v>
      </c>
      <c r="AH59" s="295" t="s">
        <v>1759</v>
      </c>
      <c r="AI59" s="293" t="s">
        <v>1717</v>
      </c>
      <c r="AJ59" s="296"/>
      <c r="AK59" s="293" t="s">
        <v>1758</v>
      </c>
      <c r="AL59" s="295" t="s">
        <v>1759</v>
      </c>
      <c r="AM59" s="293" t="s">
        <v>1717</v>
      </c>
      <c r="BZ59" s="3"/>
      <c r="CA59" s="2055"/>
      <c r="CB59" s="2055"/>
      <c r="CC59" s="22"/>
      <c r="CD59" s="22"/>
      <c r="CE59" s="22"/>
      <c r="CF59" s="2"/>
    </row>
    <row r="60" spans="2:84" ht="14.1" customHeight="1">
      <c r="B60" s="2041" t="s">
        <v>1655</v>
      </c>
      <c r="C60" s="2041"/>
      <c r="D60" s="2041"/>
      <c r="E60" s="2041"/>
      <c r="F60" s="2041"/>
      <c r="G60" s="2041"/>
      <c r="H60" s="2041"/>
      <c r="I60" s="2041"/>
      <c r="J60" s="2041"/>
      <c r="K60" s="2041"/>
      <c r="L60" s="113"/>
      <c r="AA60" s="10" t="s">
        <v>1760</v>
      </c>
      <c r="AB60" s="68" t="s">
        <v>1616</v>
      </c>
      <c r="AC60" s="294" t="s">
        <v>1761</v>
      </c>
      <c r="AD60" s="276" t="s">
        <v>1761</v>
      </c>
      <c r="AE60" s="294" t="s">
        <v>1762</v>
      </c>
      <c r="AF60" s="276" t="s">
        <v>1616</v>
      </c>
      <c r="AG60" s="294" t="s">
        <v>1761</v>
      </c>
      <c r="AH60" s="276" t="s">
        <v>1761</v>
      </c>
      <c r="AI60" s="294" t="s">
        <v>1762</v>
      </c>
      <c r="AJ60" s="276" t="s">
        <v>1616</v>
      </c>
      <c r="AK60" s="294" t="s">
        <v>1761</v>
      </c>
      <c r="AL60" s="276" t="s">
        <v>1761</v>
      </c>
      <c r="AM60" s="294" t="s">
        <v>1762</v>
      </c>
      <c r="BZ60" s="30"/>
      <c r="CA60" s="3"/>
      <c r="CB60" s="3"/>
      <c r="CC60" s="3"/>
      <c r="CD60" s="3"/>
      <c r="CE60" s="3"/>
      <c r="CF60" s="2"/>
    </row>
    <row r="61" spans="2:84" ht="14.1" customHeight="1">
      <c r="B61" s="2041" t="s">
        <v>1656</v>
      </c>
      <c r="C61" s="2041"/>
      <c r="D61" s="2041"/>
      <c r="E61" s="113"/>
      <c r="F61" s="113"/>
      <c r="G61" s="113"/>
      <c r="H61" s="113"/>
      <c r="I61" s="113"/>
      <c r="J61" s="113"/>
      <c r="K61" s="113"/>
      <c r="L61" s="113"/>
      <c r="AA61" s="3" t="s">
        <v>1763</v>
      </c>
      <c r="AB61" s="22">
        <v>206</v>
      </c>
      <c r="AC61" s="22">
        <v>346</v>
      </c>
      <c r="AD61" s="22">
        <v>835</v>
      </c>
      <c r="AE61" s="53">
        <v>29946</v>
      </c>
      <c r="AF61" s="22">
        <v>122</v>
      </c>
      <c r="AG61" s="22">
        <v>402</v>
      </c>
      <c r="AH61" s="22">
        <v>500</v>
      </c>
      <c r="AI61" s="53">
        <v>29194</v>
      </c>
      <c r="AJ61" s="22">
        <v>16</v>
      </c>
      <c r="AK61" s="22">
        <v>94</v>
      </c>
      <c r="AL61" s="22">
        <v>168</v>
      </c>
      <c r="AM61" s="53">
        <v>7770</v>
      </c>
      <c r="BZ61" s="30"/>
      <c r="CA61" s="3"/>
      <c r="CB61" s="3"/>
      <c r="CC61" s="3"/>
      <c r="CD61" s="3"/>
      <c r="CE61" s="3"/>
      <c r="CF61" s="2"/>
    </row>
    <row r="62" spans="2:84" ht="12.95" customHeight="1">
      <c r="O62" s="115" t="s">
        <v>1713</v>
      </c>
      <c r="P62" s="2"/>
      <c r="Q62" s="2"/>
      <c r="R62" s="2"/>
      <c r="S62" s="2"/>
      <c r="T62" s="2"/>
      <c r="U62" s="2"/>
      <c r="V62" s="2"/>
      <c r="W62" s="2"/>
      <c r="AA62" s="3" t="s">
        <v>1764</v>
      </c>
      <c r="AB62" s="22">
        <v>289</v>
      </c>
      <c r="AC62" s="53">
        <v>8008</v>
      </c>
      <c r="AD62" s="53">
        <v>36753</v>
      </c>
      <c r="AE62" s="53">
        <v>126518</v>
      </c>
      <c r="AF62" s="22">
        <v>157</v>
      </c>
      <c r="AG62" s="53">
        <v>6327</v>
      </c>
      <c r="AH62" s="53">
        <v>27531</v>
      </c>
      <c r="AI62" s="53">
        <v>443379</v>
      </c>
      <c r="AJ62" s="22">
        <v>31</v>
      </c>
      <c r="AK62" s="53">
        <v>5526</v>
      </c>
      <c r="AL62" s="53">
        <v>13673</v>
      </c>
      <c r="AM62" s="53">
        <v>238246</v>
      </c>
      <c r="BZ62" s="2"/>
      <c r="CA62" s="3"/>
      <c r="CB62" s="3"/>
      <c r="CC62" s="3"/>
      <c r="CD62" s="3"/>
      <c r="CE62" s="3"/>
      <c r="CF62" s="2"/>
    </row>
    <row r="63" spans="2:84" ht="12.95" customHeight="1">
      <c r="O63" s="8"/>
      <c r="P63" s="2033" t="s">
        <v>1665</v>
      </c>
      <c r="Q63" s="2034"/>
      <c r="R63" s="2034"/>
      <c r="S63" s="2035"/>
      <c r="T63" s="2033" t="s">
        <v>1666</v>
      </c>
      <c r="U63" s="2034"/>
      <c r="V63" s="2034"/>
      <c r="W63" s="2034"/>
      <c r="AA63" s="3" t="s">
        <v>1765</v>
      </c>
      <c r="AB63" s="22">
        <v>89</v>
      </c>
      <c r="AC63" s="53">
        <v>1862</v>
      </c>
      <c r="AD63" s="53">
        <v>6307</v>
      </c>
      <c r="AE63" s="53">
        <v>6955</v>
      </c>
      <c r="AF63" s="22">
        <v>80</v>
      </c>
      <c r="AG63" s="53">
        <v>30787</v>
      </c>
      <c r="AH63" s="53">
        <v>33234</v>
      </c>
      <c r="AI63" s="53">
        <v>7404</v>
      </c>
      <c r="AJ63" s="22">
        <v>16</v>
      </c>
      <c r="AK63" s="22">
        <v>774</v>
      </c>
      <c r="AL63" s="53">
        <v>2771</v>
      </c>
      <c r="AM63" s="53">
        <v>4100</v>
      </c>
      <c r="BZ63" s="2"/>
      <c r="CA63" s="3"/>
      <c r="CB63" s="3"/>
      <c r="CC63" s="3"/>
      <c r="CD63" s="3"/>
      <c r="CE63" s="3"/>
      <c r="CF63" s="2"/>
    </row>
    <row r="64" spans="2:84" ht="12.95" customHeight="1">
      <c r="B64" s="1" t="s">
        <v>1657</v>
      </c>
      <c r="C64" s="2"/>
      <c r="D64" s="2"/>
      <c r="E64" s="2"/>
      <c r="F64" s="2"/>
      <c r="G64" s="2"/>
      <c r="H64" s="2"/>
      <c r="I64" s="2"/>
      <c r="J64" s="2"/>
      <c r="K64" s="2"/>
      <c r="L64" s="2"/>
      <c r="O64" s="2" t="s">
        <v>1648</v>
      </c>
      <c r="P64" s="17">
        <v>2007</v>
      </c>
      <c r="Q64" s="17">
        <v>2002</v>
      </c>
      <c r="R64" s="17">
        <v>1998</v>
      </c>
      <c r="S64" s="17">
        <v>1992</v>
      </c>
      <c r="T64" s="17">
        <v>2007</v>
      </c>
      <c r="U64" s="17">
        <v>2002</v>
      </c>
      <c r="V64" s="17">
        <v>1998</v>
      </c>
      <c r="W64" s="28">
        <v>1992</v>
      </c>
      <c r="AA64" s="3" t="s">
        <v>1766</v>
      </c>
      <c r="AB64" s="22">
        <v>149</v>
      </c>
      <c r="AC64" s="22">
        <v>134</v>
      </c>
      <c r="AD64" s="53">
        <v>1011</v>
      </c>
      <c r="AE64" s="53">
        <v>40143</v>
      </c>
      <c r="AF64" s="22">
        <v>89</v>
      </c>
      <c r="AG64" s="22">
        <v>100</v>
      </c>
      <c r="AH64" s="22">
        <v>898</v>
      </c>
      <c r="AI64" s="53">
        <v>44365</v>
      </c>
      <c r="AJ64" s="22">
        <v>14</v>
      </c>
      <c r="AK64" s="22">
        <v>61</v>
      </c>
      <c r="AL64" s="22">
        <v>258</v>
      </c>
      <c r="AM64" s="53">
        <v>9650</v>
      </c>
      <c r="BZ64" s="2"/>
      <c r="CA64" s="3"/>
      <c r="CB64" s="3"/>
      <c r="CC64" s="3"/>
      <c r="CD64" s="3"/>
      <c r="CE64" s="3"/>
      <c r="CF64" s="2"/>
    </row>
    <row r="65" spans="2:84" ht="18.75" customHeight="1">
      <c r="B65" s="8"/>
      <c r="C65" s="2033" t="s">
        <v>1616</v>
      </c>
      <c r="D65" s="2034"/>
      <c r="E65" s="2034"/>
      <c r="F65" s="2034"/>
      <c r="G65" s="2035"/>
      <c r="H65" s="2033" t="s">
        <v>1617</v>
      </c>
      <c r="I65" s="2034"/>
      <c r="J65" s="2034"/>
      <c r="K65" s="2034"/>
      <c r="L65" s="2034"/>
      <c r="O65" s="108" t="s">
        <v>1667</v>
      </c>
      <c r="P65" s="107">
        <v>104</v>
      </c>
      <c r="Q65" s="107">
        <v>153</v>
      </c>
      <c r="R65" s="107">
        <v>201</v>
      </c>
      <c r="S65" s="107">
        <v>199</v>
      </c>
      <c r="T65" s="107">
        <v>100</v>
      </c>
      <c r="U65" s="107">
        <v>100</v>
      </c>
      <c r="V65" s="107">
        <v>100</v>
      </c>
      <c r="W65" s="107">
        <v>100</v>
      </c>
      <c r="AA65" s="3" t="s">
        <v>1767</v>
      </c>
      <c r="AB65" s="22">
        <v>160</v>
      </c>
      <c r="AC65" s="53">
        <v>3017</v>
      </c>
      <c r="AD65" s="53">
        <v>3151</v>
      </c>
      <c r="AE65" s="53">
        <v>18620</v>
      </c>
      <c r="AF65" s="22">
        <v>81</v>
      </c>
      <c r="AG65" s="53">
        <v>1068</v>
      </c>
      <c r="AH65" s="53">
        <v>2507</v>
      </c>
      <c r="AI65" s="53">
        <v>97625</v>
      </c>
      <c r="AJ65" s="22">
        <v>17</v>
      </c>
      <c r="AK65" s="53">
        <v>1172</v>
      </c>
      <c r="AL65" s="53">
        <v>1323</v>
      </c>
      <c r="AM65" s="53">
        <v>20200</v>
      </c>
      <c r="BZ65" s="2055"/>
      <c r="CA65" s="2055"/>
      <c r="CB65" s="2055"/>
      <c r="CC65" s="2055"/>
      <c r="CD65" s="2055"/>
      <c r="CE65" s="2055"/>
      <c r="CF65" s="2"/>
    </row>
    <row r="66" spans="2:84" ht="12.75" customHeight="1">
      <c r="B66" s="23" t="s">
        <v>1648</v>
      </c>
      <c r="C66" s="17">
        <v>2023</v>
      </c>
      <c r="D66" s="17">
        <v>2018</v>
      </c>
      <c r="E66" s="17">
        <v>2007</v>
      </c>
      <c r="F66" s="17">
        <v>2002</v>
      </c>
      <c r="G66" s="17">
        <v>1998</v>
      </c>
      <c r="H66" s="17">
        <v>2023</v>
      </c>
      <c r="I66" s="17">
        <v>2018</v>
      </c>
      <c r="J66" s="17">
        <v>2007</v>
      </c>
      <c r="K66" s="17">
        <v>2002</v>
      </c>
      <c r="L66" s="28">
        <v>1998</v>
      </c>
      <c r="O66" s="2"/>
      <c r="P66" s="2"/>
      <c r="Q66" s="2"/>
      <c r="R66" s="2"/>
      <c r="S66" s="2"/>
      <c r="T66" s="2"/>
      <c r="U66" s="2"/>
      <c r="V66" s="2"/>
      <c r="W66" s="2"/>
      <c r="AA66" s="3" t="s">
        <v>646</v>
      </c>
      <c r="AB66" s="22">
        <v>18</v>
      </c>
      <c r="AC66" s="22">
        <v>62</v>
      </c>
      <c r="AD66" s="22">
        <v>111</v>
      </c>
      <c r="AE66" s="22">
        <v>260</v>
      </c>
      <c r="AF66" s="22">
        <v>8</v>
      </c>
      <c r="AG66" s="22">
        <v>60</v>
      </c>
      <c r="AH66" s="22">
        <v>11</v>
      </c>
      <c r="AI66" s="22" t="s">
        <v>1640</v>
      </c>
      <c r="AJ66" s="22" t="s">
        <v>1724</v>
      </c>
      <c r="AK66" s="22" t="s">
        <v>1724</v>
      </c>
      <c r="AL66" s="22" t="s">
        <v>1724</v>
      </c>
      <c r="AM66" s="22" t="s">
        <v>1724</v>
      </c>
      <c r="BZ66" s="3"/>
      <c r="CA66" s="2065"/>
      <c r="CB66" s="2065"/>
      <c r="CC66" s="2065"/>
      <c r="CD66" s="2065"/>
      <c r="CE66" s="2065"/>
      <c r="CF66" s="2"/>
    </row>
    <row r="67" spans="2:84" ht="12.75" customHeight="1">
      <c r="B67" s="3" t="s">
        <v>129</v>
      </c>
      <c r="C67" s="22">
        <v>583</v>
      </c>
      <c r="D67" s="22">
        <v>264</v>
      </c>
      <c r="E67" s="22">
        <v>104</v>
      </c>
      <c r="F67" s="22">
        <v>153</v>
      </c>
      <c r="G67" s="22">
        <v>201</v>
      </c>
      <c r="H67" s="53">
        <v>2848</v>
      </c>
      <c r="I67" s="53">
        <v>2441</v>
      </c>
      <c r="J67" s="53">
        <v>1000</v>
      </c>
      <c r="K67" s="53">
        <v>1648</v>
      </c>
      <c r="L67" s="53">
        <v>2144</v>
      </c>
      <c r="O67" s="3" t="s">
        <v>1668</v>
      </c>
      <c r="P67" s="3"/>
      <c r="Q67" s="3"/>
      <c r="R67" s="3"/>
      <c r="S67" s="3"/>
      <c r="T67" s="3"/>
      <c r="U67" s="3"/>
      <c r="V67" s="3"/>
      <c r="W67" s="3"/>
      <c r="AA67" s="3"/>
      <c r="AB67" s="3"/>
      <c r="AC67" s="3"/>
      <c r="AD67" s="3"/>
      <c r="AE67" s="3"/>
      <c r="AF67" s="3"/>
      <c r="AG67" s="3"/>
      <c r="AH67" s="3"/>
      <c r="AI67" s="3"/>
      <c r="AJ67" s="3"/>
      <c r="AK67" s="3"/>
      <c r="AL67" s="3"/>
      <c r="AM67" s="3"/>
      <c r="BZ67" s="3"/>
      <c r="CA67" s="2065"/>
      <c r="CB67" s="2065"/>
      <c r="CC67" s="21"/>
      <c r="CD67" s="21"/>
      <c r="CE67" s="21"/>
      <c r="CF67" s="2"/>
    </row>
    <row r="68" spans="2:84" ht="12.75" customHeight="1">
      <c r="B68" s="3" t="s">
        <v>1658</v>
      </c>
      <c r="C68" s="22">
        <v>559</v>
      </c>
      <c r="D68" s="22">
        <v>177</v>
      </c>
      <c r="E68" s="22">
        <v>83</v>
      </c>
      <c r="F68" s="22">
        <v>82</v>
      </c>
      <c r="G68" s="22">
        <v>124</v>
      </c>
      <c r="H68" s="53">
        <v>2614</v>
      </c>
      <c r="I68" s="53">
        <v>1562</v>
      </c>
      <c r="J68" s="22">
        <v>791</v>
      </c>
      <c r="K68" s="22">
        <v>709</v>
      </c>
      <c r="L68" s="22" t="s">
        <v>1640</v>
      </c>
      <c r="O68" s="2" t="s">
        <v>1669</v>
      </c>
      <c r="P68" s="5">
        <v>48</v>
      </c>
      <c r="Q68" s="5">
        <v>84</v>
      </c>
      <c r="R68" s="5">
        <v>116</v>
      </c>
      <c r="S68" s="5">
        <v>107</v>
      </c>
      <c r="T68" s="5">
        <v>46.2</v>
      </c>
      <c r="U68" s="5">
        <v>54.9</v>
      </c>
      <c r="V68" s="5">
        <v>57.7</v>
      </c>
      <c r="W68" s="5">
        <v>53.8</v>
      </c>
      <c r="AA68" s="3" t="s">
        <v>1768</v>
      </c>
      <c r="AB68" s="22">
        <v>70</v>
      </c>
      <c r="AC68" s="22">
        <v>42</v>
      </c>
      <c r="AD68" s="53">
        <v>1767</v>
      </c>
      <c r="AE68" s="53">
        <v>19011</v>
      </c>
      <c r="AF68" s="22">
        <v>51</v>
      </c>
      <c r="AG68" s="22">
        <v>536</v>
      </c>
      <c r="AH68" s="53">
        <v>1828</v>
      </c>
      <c r="AI68" s="53">
        <v>11054</v>
      </c>
      <c r="AJ68" s="22" t="s">
        <v>1724</v>
      </c>
      <c r="AK68" s="22" t="s">
        <v>1724</v>
      </c>
      <c r="AL68" s="22" t="s">
        <v>1724</v>
      </c>
      <c r="AM68" s="22" t="s">
        <v>1724</v>
      </c>
      <c r="BZ68" s="3"/>
      <c r="CA68" s="2055"/>
      <c r="CB68" s="2055"/>
      <c r="CC68" s="22"/>
      <c r="CD68" s="53"/>
      <c r="CE68" s="53"/>
      <c r="CF68" s="2"/>
    </row>
    <row r="69" spans="2:84" ht="12.75" customHeight="1">
      <c r="B69" s="3" t="s">
        <v>1659</v>
      </c>
      <c r="C69" s="22">
        <v>56</v>
      </c>
      <c r="D69" s="22">
        <v>97</v>
      </c>
      <c r="E69" s="22">
        <v>25</v>
      </c>
      <c r="F69" s="22">
        <v>78</v>
      </c>
      <c r="G69" s="22">
        <v>97</v>
      </c>
      <c r="H69" s="22">
        <v>267</v>
      </c>
      <c r="I69" s="22" t="s">
        <v>1640</v>
      </c>
      <c r="J69" s="22">
        <v>209</v>
      </c>
      <c r="K69" s="22">
        <v>938</v>
      </c>
      <c r="L69" s="53">
        <v>1134</v>
      </c>
      <c r="O69" s="2" t="s">
        <v>1670</v>
      </c>
      <c r="P69" s="5">
        <v>56</v>
      </c>
      <c r="Q69" s="5">
        <v>69</v>
      </c>
      <c r="R69" s="5">
        <v>85</v>
      </c>
      <c r="S69" s="5">
        <v>92</v>
      </c>
      <c r="T69" s="5">
        <v>53.8</v>
      </c>
      <c r="U69" s="5">
        <v>45.1</v>
      </c>
      <c r="V69" s="5">
        <v>42.3</v>
      </c>
      <c r="W69" s="5">
        <v>46.2</v>
      </c>
      <c r="AA69" s="3" t="s">
        <v>1769</v>
      </c>
      <c r="AB69" s="22">
        <v>47</v>
      </c>
      <c r="AC69" s="22">
        <v>25</v>
      </c>
      <c r="AD69" s="22">
        <v>471</v>
      </c>
      <c r="AE69" s="53">
        <v>1705</v>
      </c>
      <c r="AF69" s="22">
        <v>31</v>
      </c>
      <c r="AG69" s="22">
        <v>142</v>
      </c>
      <c r="AH69" s="22">
        <v>117</v>
      </c>
      <c r="AI69" s="53">
        <v>3429</v>
      </c>
      <c r="AJ69" s="22">
        <v>4</v>
      </c>
      <c r="AK69" s="22">
        <v>2</v>
      </c>
      <c r="AL69" s="22">
        <v>35</v>
      </c>
      <c r="AM69" s="53">
        <v>4200</v>
      </c>
      <c r="BZ69" s="3"/>
      <c r="CA69" s="2055"/>
      <c r="CB69" s="2055"/>
      <c r="CC69" s="63"/>
      <c r="CD69" s="22"/>
      <c r="CE69" s="22"/>
      <c r="CF69" s="2"/>
    </row>
    <row r="70" spans="2:84" ht="12.75" customHeight="1">
      <c r="B70" s="3" t="s">
        <v>1660</v>
      </c>
      <c r="C70" s="22">
        <v>12</v>
      </c>
      <c r="D70" s="22">
        <v>2</v>
      </c>
      <c r="E70" s="22" t="s">
        <v>546</v>
      </c>
      <c r="F70" s="22" t="s">
        <v>546</v>
      </c>
      <c r="G70" s="22">
        <v>1</v>
      </c>
      <c r="H70" s="22">
        <v>32</v>
      </c>
      <c r="I70" s="22" t="s">
        <v>1640</v>
      </c>
      <c r="J70" s="22" t="s">
        <v>546</v>
      </c>
      <c r="K70" s="22" t="s">
        <v>546</v>
      </c>
      <c r="L70" s="22" t="s">
        <v>1640</v>
      </c>
      <c r="O70" s="2"/>
      <c r="P70" s="2"/>
      <c r="Q70" s="2"/>
      <c r="R70" s="2"/>
      <c r="S70" s="2"/>
      <c r="T70" s="2"/>
      <c r="U70" s="2"/>
      <c r="V70" s="2"/>
      <c r="W70" s="2"/>
      <c r="AA70" s="3" t="s">
        <v>1770</v>
      </c>
      <c r="AB70" s="22">
        <v>100</v>
      </c>
      <c r="AC70" s="22">
        <v>81</v>
      </c>
      <c r="AD70" s="22">
        <v>580</v>
      </c>
      <c r="AE70" s="53">
        <v>8209</v>
      </c>
      <c r="AF70" s="22">
        <v>78</v>
      </c>
      <c r="AG70" s="22" t="s">
        <v>1640</v>
      </c>
      <c r="AH70" s="53">
        <v>1413</v>
      </c>
      <c r="AI70" s="53">
        <v>5434</v>
      </c>
      <c r="AJ70" s="22">
        <v>7</v>
      </c>
      <c r="AK70" s="22">
        <v>120</v>
      </c>
      <c r="AL70" s="22">
        <v>153</v>
      </c>
      <c r="AM70" s="53">
        <v>7390</v>
      </c>
      <c r="BZ70" s="3"/>
      <c r="CA70" s="2055"/>
      <c r="CB70" s="2055"/>
      <c r="CC70" s="63"/>
      <c r="CD70" s="22"/>
      <c r="CE70" s="22"/>
      <c r="CF70" s="2"/>
    </row>
    <row r="71" spans="2:84" ht="12.75" customHeight="1">
      <c r="B71" s="3"/>
      <c r="C71" s="3"/>
      <c r="D71" s="3"/>
      <c r="E71" s="3"/>
      <c r="F71" s="3"/>
      <c r="G71" s="3"/>
      <c r="H71" s="3"/>
      <c r="I71" s="3"/>
      <c r="J71" s="3"/>
      <c r="K71" s="3"/>
      <c r="L71" s="3"/>
      <c r="O71" s="2" t="s">
        <v>1671</v>
      </c>
      <c r="P71" s="2"/>
      <c r="Q71" s="2"/>
      <c r="R71" s="2"/>
      <c r="S71" s="2"/>
      <c r="T71" s="2"/>
      <c r="U71" s="2"/>
      <c r="V71" s="2"/>
      <c r="W71" s="2"/>
      <c r="AA71" s="3" t="s">
        <v>1771</v>
      </c>
      <c r="AB71" s="22">
        <v>247</v>
      </c>
      <c r="AC71" s="53">
        <v>1100</v>
      </c>
      <c r="AD71" s="53">
        <v>4604</v>
      </c>
      <c r="AE71" s="53">
        <v>72158</v>
      </c>
      <c r="AF71" s="22">
        <v>161</v>
      </c>
      <c r="AG71" s="53">
        <v>2774</v>
      </c>
      <c r="AH71" s="53">
        <v>3230</v>
      </c>
      <c r="AI71" s="53">
        <v>44563</v>
      </c>
      <c r="AJ71" s="22">
        <v>21</v>
      </c>
      <c r="AK71" s="22">
        <v>768</v>
      </c>
      <c r="AL71" s="22">
        <v>384</v>
      </c>
      <c r="AM71" s="53">
        <v>9760</v>
      </c>
      <c r="BZ71" s="3"/>
      <c r="CA71" s="2055"/>
      <c r="CB71" s="2055"/>
      <c r="CC71" s="63"/>
      <c r="CD71" s="22"/>
      <c r="CE71" s="22"/>
      <c r="CF71" s="2"/>
    </row>
    <row r="72" spans="2:84" ht="12.95" customHeight="1">
      <c r="B72" s="3" t="s">
        <v>1661</v>
      </c>
      <c r="C72" s="22">
        <v>414</v>
      </c>
      <c r="D72" s="22">
        <v>258</v>
      </c>
      <c r="E72" s="22">
        <v>96</v>
      </c>
      <c r="F72" s="22">
        <v>142</v>
      </c>
      <c r="G72" s="22">
        <v>179</v>
      </c>
      <c r="H72" s="53">
        <v>1056</v>
      </c>
      <c r="I72" s="22">
        <v>766</v>
      </c>
      <c r="J72" s="22">
        <v>565</v>
      </c>
      <c r="K72" s="22">
        <v>772</v>
      </c>
      <c r="L72" s="22">
        <v>606</v>
      </c>
      <c r="O72" s="2" t="s">
        <v>1714</v>
      </c>
      <c r="P72" s="5">
        <v>8</v>
      </c>
      <c r="Q72" s="5">
        <v>16</v>
      </c>
      <c r="R72" s="5">
        <v>24</v>
      </c>
      <c r="S72" s="5">
        <v>80</v>
      </c>
      <c r="T72" s="5">
        <v>7.7</v>
      </c>
      <c r="U72" s="5">
        <v>10.5</v>
      </c>
      <c r="V72" s="5">
        <v>11.9</v>
      </c>
      <c r="W72" s="5">
        <v>40.200000000000003</v>
      </c>
      <c r="AA72" s="3" t="s">
        <v>1772</v>
      </c>
      <c r="AB72" s="22">
        <v>238</v>
      </c>
      <c r="AC72" s="22">
        <v>453</v>
      </c>
      <c r="AD72" s="53">
        <v>1475</v>
      </c>
      <c r="AE72" s="53">
        <v>25790</v>
      </c>
      <c r="AF72" s="22">
        <v>131</v>
      </c>
      <c r="AG72" s="53">
        <v>1576</v>
      </c>
      <c r="AH72" s="22">
        <v>695</v>
      </c>
      <c r="AI72" s="53">
        <v>74343</v>
      </c>
      <c r="AJ72" s="22">
        <v>15</v>
      </c>
      <c r="AK72" s="22">
        <v>247</v>
      </c>
      <c r="AL72" s="22">
        <v>103</v>
      </c>
      <c r="AM72" s="53">
        <v>18150</v>
      </c>
      <c r="BZ72" s="3"/>
      <c r="CA72" s="3"/>
      <c r="CB72" s="3"/>
      <c r="CC72" s="63"/>
      <c r="CD72" s="22"/>
      <c r="CE72" s="22"/>
      <c r="CF72" s="2"/>
    </row>
    <row r="73" spans="2:84" ht="12.75" customHeight="1">
      <c r="B73" s="3" t="s">
        <v>1662</v>
      </c>
      <c r="C73" s="22">
        <v>62</v>
      </c>
      <c r="D73" s="22">
        <v>15</v>
      </c>
      <c r="E73" s="22">
        <v>8</v>
      </c>
      <c r="F73" s="22">
        <v>7</v>
      </c>
      <c r="G73" s="22">
        <v>14</v>
      </c>
      <c r="H73" s="22">
        <v>69</v>
      </c>
      <c r="I73" s="22">
        <v>71</v>
      </c>
      <c r="J73" s="22">
        <v>62</v>
      </c>
      <c r="K73" s="22">
        <v>70</v>
      </c>
      <c r="L73" s="22">
        <v>163</v>
      </c>
      <c r="O73" s="2" t="s">
        <v>1715</v>
      </c>
      <c r="P73" s="5">
        <v>4</v>
      </c>
      <c r="Q73" s="5">
        <v>12</v>
      </c>
      <c r="R73" s="5">
        <v>31</v>
      </c>
      <c r="S73" s="5">
        <v>38</v>
      </c>
      <c r="T73" s="5">
        <v>3.8</v>
      </c>
      <c r="U73" s="5">
        <v>7.8</v>
      </c>
      <c r="V73" s="5">
        <v>15.4</v>
      </c>
      <c r="W73" s="5">
        <v>19.100000000000001</v>
      </c>
      <c r="AA73" s="3" t="s">
        <v>1773</v>
      </c>
      <c r="AB73" s="22">
        <v>30</v>
      </c>
      <c r="AC73" s="22">
        <v>21</v>
      </c>
      <c r="AD73" s="22">
        <v>219</v>
      </c>
      <c r="AE73" s="22">
        <v>340</v>
      </c>
      <c r="AF73" s="22">
        <v>19</v>
      </c>
      <c r="AG73" s="22">
        <v>30</v>
      </c>
      <c r="AH73" s="22">
        <v>48</v>
      </c>
      <c r="AI73" s="22">
        <v>588</v>
      </c>
      <c r="AJ73" s="22">
        <v>4</v>
      </c>
      <c r="AK73" s="22">
        <v>47</v>
      </c>
      <c r="AL73" s="22">
        <v>4</v>
      </c>
      <c r="AM73" s="22">
        <v>130</v>
      </c>
      <c r="BZ73" s="3"/>
      <c r="CA73" s="2055"/>
      <c r="CB73" s="2055"/>
      <c r="CC73" s="22"/>
      <c r="CD73" s="22"/>
      <c r="CE73" s="22"/>
      <c r="CF73" s="2"/>
    </row>
    <row r="74" spans="2:84" ht="12.75" customHeight="1">
      <c r="B74" s="23" t="s">
        <v>1663</v>
      </c>
      <c r="C74" s="29">
        <v>366</v>
      </c>
      <c r="D74" s="29">
        <v>248</v>
      </c>
      <c r="E74" s="29">
        <v>91</v>
      </c>
      <c r="F74" s="29">
        <v>139</v>
      </c>
      <c r="G74" s="29">
        <v>172</v>
      </c>
      <c r="H74" s="29">
        <v>988</v>
      </c>
      <c r="I74" s="29">
        <v>695</v>
      </c>
      <c r="J74" s="29">
        <v>503</v>
      </c>
      <c r="K74" s="29">
        <v>703</v>
      </c>
      <c r="L74" s="29">
        <v>443</v>
      </c>
      <c r="O74" s="2" t="s">
        <v>1674</v>
      </c>
      <c r="P74" s="5">
        <v>16</v>
      </c>
      <c r="Q74" s="5">
        <v>48</v>
      </c>
      <c r="R74" s="5">
        <v>46</v>
      </c>
      <c r="S74" s="5">
        <v>21</v>
      </c>
      <c r="T74" s="5">
        <v>15.4</v>
      </c>
      <c r="U74" s="5">
        <v>31.4</v>
      </c>
      <c r="V74" s="5">
        <v>22.9</v>
      </c>
      <c r="W74" s="5">
        <v>10.6</v>
      </c>
      <c r="AA74" s="3" t="s">
        <v>1774</v>
      </c>
      <c r="AB74" s="22">
        <v>207</v>
      </c>
      <c r="AC74" s="22">
        <v>545</v>
      </c>
      <c r="AD74" s="53">
        <v>4674</v>
      </c>
      <c r="AE74" s="53">
        <v>29613</v>
      </c>
      <c r="AF74" s="22">
        <v>105</v>
      </c>
      <c r="AG74" s="53">
        <v>8551</v>
      </c>
      <c r="AH74" s="53">
        <v>4100</v>
      </c>
      <c r="AI74" s="53">
        <v>61269</v>
      </c>
      <c r="AJ74" s="22">
        <v>25</v>
      </c>
      <c r="AK74" s="22">
        <v>205</v>
      </c>
      <c r="AL74" s="53">
        <v>2153</v>
      </c>
      <c r="AM74" s="53">
        <v>51330</v>
      </c>
      <c r="BZ74" s="3"/>
      <c r="CA74" s="2055"/>
      <c r="CB74" s="2055"/>
      <c r="CC74" s="22"/>
      <c r="CD74" s="22"/>
      <c r="CE74" s="22"/>
      <c r="CF74" s="2"/>
    </row>
    <row r="75" spans="2:84" ht="12.75" customHeight="1">
      <c r="B75" s="2037" t="s">
        <v>1628</v>
      </c>
      <c r="C75" s="2037"/>
      <c r="D75" s="3"/>
      <c r="E75" s="3"/>
      <c r="F75" s="3"/>
      <c r="G75" s="3"/>
      <c r="H75" s="3"/>
      <c r="I75" s="3"/>
      <c r="J75" s="3"/>
      <c r="K75" s="3"/>
      <c r="L75" s="2"/>
      <c r="O75" s="2" t="s">
        <v>1675</v>
      </c>
      <c r="P75" s="5">
        <v>76</v>
      </c>
      <c r="Q75" s="5">
        <v>77</v>
      </c>
      <c r="R75" s="5">
        <v>100</v>
      </c>
      <c r="S75" s="5">
        <v>60</v>
      </c>
      <c r="T75" s="5">
        <v>73.099999999999994</v>
      </c>
      <c r="U75" s="5">
        <v>50.3</v>
      </c>
      <c r="V75" s="5">
        <v>49.8</v>
      </c>
      <c r="W75" s="5">
        <v>30.2</v>
      </c>
      <c r="AA75" s="3" t="s">
        <v>1775</v>
      </c>
      <c r="AB75" s="22">
        <v>65</v>
      </c>
      <c r="AC75" s="22">
        <v>283</v>
      </c>
      <c r="AD75" s="53">
        <v>2865</v>
      </c>
      <c r="AE75" s="53">
        <v>1076</v>
      </c>
      <c r="AF75" s="22">
        <v>48</v>
      </c>
      <c r="AG75" s="53">
        <v>1660</v>
      </c>
      <c r="AH75" s="53">
        <v>4107</v>
      </c>
      <c r="AI75" s="53">
        <v>9068</v>
      </c>
      <c r="AJ75" s="22">
        <v>4</v>
      </c>
      <c r="AK75" s="22">
        <v>600</v>
      </c>
      <c r="AL75" s="53">
        <v>6600</v>
      </c>
      <c r="AM75" s="53">
        <v>17570</v>
      </c>
      <c r="BZ75" s="3"/>
      <c r="CA75" s="2055"/>
      <c r="CB75" s="2055"/>
      <c r="CC75" s="22"/>
      <c r="CD75" s="22"/>
      <c r="CE75" s="22"/>
      <c r="CF75" s="2"/>
    </row>
    <row r="76" spans="2:84" ht="12.75" customHeight="1">
      <c r="B76" s="2037" t="s">
        <v>1646</v>
      </c>
      <c r="C76" s="2037"/>
      <c r="D76" s="2037"/>
      <c r="E76" s="2037"/>
      <c r="F76" s="2037"/>
      <c r="G76" s="3"/>
      <c r="H76" s="3"/>
      <c r="I76" s="3"/>
      <c r="J76" s="3"/>
      <c r="K76" s="3"/>
      <c r="L76" s="2"/>
      <c r="O76" s="2"/>
      <c r="P76" s="2"/>
      <c r="Q76" s="2"/>
      <c r="R76" s="2"/>
      <c r="S76" s="2"/>
      <c r="T76" s="2"/>
      <c r="U76" s="2"/>
      <c r="V76" s="2"/>
      <c r="W76" s="2"/>
      <c r="AA76" s="3" t="s">
        <v>1776</v>
      </c>
      <c r="AB76" s="22">
        <v>157</v>
      </c>
      <c r="AC76" s="22">
        <v>151</v>
      </c>
      <c r="AD76" s="53">
        <v>1622</v>
      </c>
      <c r="AE76" s="53">
        <v>26106</v>
      </c>
      <c r="AF76" s="22">
        <v>121</v>
      </c>
      <c r="AG76" s="53">
        <v>1052</v>
      </c>
      <c r="AH76" s="53">
        <v>1899</v>
      </c>
      <c r="AI76" s="53">
        <v>27250</v>
      </c>
      <c r="AJ76" s="22">
        <v>12</v>
      </c>
      <c r="AK76" s="22">
        <v>68</v>
      </c>
      <c r="AL76" s="22">
        <v>101</v>
      </c>
      <c r="AM76" s="53">
        <v>1850</v>
      </c>
      <c r="BZ76" s="3"/>
      <c r="CA76" s="2055"/>
      <c r="CB76" s="2055"/>
      <c r="CC76" s="22"/>
      <c r="CD76" s="22"/>
      <c r="CE76" s="22"/>
      <c r="CF76" s="2"/>
    </row>
    <row r="77" spans="2:84" ht="12.75" customHeight="1">
      <c r="B77" s="2037" t="s">
        <v>1629</v>
      </c>
      <c r="C77" s="2037"/>
      <c r="D77" s="3"/>
      <c r="E77" s="3"/>
      <c r="F77" s="3"/>
      <c r="G77" s="3"/>
      <c r="H77" s="3"/>
      <c r="I77" s="3"/>
      <c r="J77" s="3"/>
      <c r="K77" s="3"/>
      <c r="L77" s="2"/>
      <c r="O77" s="2" t="s">
        <v>1676</v>
      </c>
      <c r="P77" s="2"/>
      <c r="Q77" s="2"/>
      <c r="R77" s="2"/>
      <c r="S77" s="2"/>
      <c r="T77" s="2"/>
      <c r="U77" s="2"/>
      <c r="V77" s="2"/>
      <c r="W77" s="2"/>
      <c r="AA77" s="3" t="s">
        <v>1777</v>
      </c>
      <c r="AB77" s="22">
        <v>84</v>
      </c>
      <c r="AC77" s="22">
        <v>22</v>
      </c>
      <c r="AD77" s="22">
        <v>184</v>
      </c>
      <c r="AE77" s="53">
        <v>1962</v>
      </c>
      <c r="AF77" s="22">
        <v>68</v>
      </c>
      <c r="AG77" s="22">
        <v>54</v>
      </c>
      <c r="AH77" s="22">
        <v>174</v>
      </c>
      <c r="AI77" s="53">
        <v>4605</v>
      </c>
      <c r="AJ77" s="22">
        <v>3</v>
      </c>
      <c r="AK77" s="22">
        <v>0</v>
      </c>
      <c r="AL77" s="22">
        <v>5</v>
      </c>
      <c r="AM77" s="22">
        <v>275</v>
      </c>
      <c r="BZ77" s="3"/>
      <c r="CA77" s="2055"/>
      <c r="CB77" s="2055"/>
      <c r="CC77" s="22"/>
      <c r="CD77" s="22"/>
      <c r="CE77" s="22"/>
      <c r="CF77" s="2"/>
    </row>
    <row r="78" spans="2:84" ht="12.95" customHeight="1">
      <c r="B78" s="2038" t="s">
        <v>1654</v>
      </c>
      <c r="C78" s="2038"/>
      <c r="D78" s="2038"/>
      <c r="E78" s="245"/>
      <c r="F78" s="245"/>
      <c r="G78" s="245"/>
      <c r="H78" s="245"/>
      <c r="I78" s="245"/>
      <c r="J78" s="245"/>
      <c r="K78" s="245"/>
      <c r="L78" s="2"/>
      <c r="O78" s="2" t="s">
        <v>1677</v>
      </c>
      <c r="P78" s="5">
        <v>3</v>
      </c>
      <c r="Q78" s="5">
        <v>3</v>
      </c>
      <c r="R78" s="5">
        <v>9</v>
      </c>
      <c r="S78" s="5">
        <v>12</v>
      </c>
      <c r="T78" s="5">
        <v>2.9</v>
      </c>
      <c r="U78" s="88">
        <v>2</v>
      </c>
      <c r="V78" s="5">
        <v>4.5</v>
      </c>
      <c r="W78" s="88">
        <v>6</v>
      </c>
      <c r="AA78" s="3" t="s">
        <v>1778</v>
      </c>
      <c r="AB78" s="22">
        <v>112</v>
      </c>
      <c r="AC78" s="22">
        <v>105</v>
      </c>
      <c r="AD78" s="22">
        <v>812</v>
      </c>
      <c r="AE78" s="53">
        <v>2431</v>
      </c>
      <c r="AF78" s="22">
        <v>55</v>
      </c>
      <c r="AG78" s="22">
        <v>123</v>
      </c>
      <c r="AH78" s="22">
        <v>347</v>
      </c>
      <c r="AI78" s="53">
        <v>3185</v>
      </c>
      <c r="AJ78" s="22">
        <v>13</v>
      </c>
      <c r="AK78" s="22">
        <v>54</v>
      </c>
      <c r="AL78" s="22">
        <v>348</v>
      </c>
      <c r="AM78" s="53">
        <v>1280</v>
      </c>
      <c r="BZ78" s="14"/>
      <c r="CA78" s="3"/>
      <c r="CB78" s="3"/>
      <c r="CC78" s="3"/>
      <c r="CD78" s="3"/>
      <c r="CE78" s="3"/>
      <c r="CF78" s="2"/>
    </row>
    <row r="79" spans="2:84" ht="12.95" customHeight="1">
      <c r="B79" s="2038" t="s">
        <v>1655</v>
      </c>
      <c r="C79" s="2038"/>
      <c r="D79" s="2038"/>
      <c r="E79" s="2038"/>
      <c r="F79" s="2038"/>
      <c r="G79" s="2038"/>
      <c r="H79" s="2038"/>
      <c r="I79" s="2038"/>
      <c r="J79" s="2038"/>
      <c r="K79" s="2038"/>
      <c r="L79" s="113"/>
      <c r="O79" s="2" t="s">
        <v>1678</v>
      </c>
      <c r="P79" s="5">
        <v>15</v>
      </c>
      <c r="Q79" s="5">
        <v>19</v>
      </c>
      <c r="R79" s="5">
        <v>27</v>
      </c>
      <c r="S79" s="5">
        <v>32</v>
      </c>
      <c r="T79" s="5">
        <v>14.4</v>
      </c>
      <c r="U79" s="5">
        <v>12.4</v>
      </c>
      <c r="V79" s="5">
        <v>13.4</v>
      </c>
      <c r="W79" s="5">
        <v>16.100000000000001</v>
      </c>
      <c r="AA79" s="3" t="s">
        <v>1779</v>
      </c>
      <c r="AB79" s="22">
        <v>43</v>
      </c>
      <c r="AC79" s="22">
        <v>35</v>
      </c>
      <c r="AD79" s="22">
        <v>466</v>
      </c>
      <c r="AE79" s="22">
        <v>973</v>
      </c>
      <c r="AF79" s="22">
        <v>46</v>
      </c>
      <c r="AG79" s="22">
        <v>174</v>
      </c>
      <c r="AH79" s="22">
        <v>332</v>
      </c>
      <c r="AI79" s="53">
        <v>6766</v>
      </c>
      <c r="AJ79" s="22">
        <v>12</v>
      </c>
      <c r="AK79" s="22">
        <v>442</v>
      </c>
      <c r="AL79" s="22">
        <v>207</v>
      </c>
      <c r="AM79" s="53">
        <v>11110</v>
      </c>
      <c r="BZ79" s="14"/>
      <c r="CA79" s="3"/>
      <c r="CB79" s="3"/>
      <c r="CC79" s="3"/>
      <c r="CD79" s="3"/>
      <c r="CE79" s="3"/>
      <c r="CF79" s="2"/>
    </row>
    <row r="80" spans="2:84" ht="12.95" customHeight="1">
      <c r="B80" s="2038" t="s">
        <v>1656</v>
      </c>
      <c r="C80" s="2038"/>
      <c r="D80" s="2038"/>
      <c r="E80" s="245"/>
      <c r="F80" s="245"/>
      <c r="G80" s="245"/>
      <c r="H80" s="245"/>
      <c r="I80" s="245"/>
      <c r="J80" s="245"/>
      <c r="K80" s="245"/>
      <c r="L80" s="113"/>
      <c r="O80" s="2" t="s">
        <v>1679</v>
      </c>
      <c r="P80" s="5">
        <v>19</v>
      </c>
      <c r="Q80" s="5">
        <v>49</v>
      </c>
      <c r="R80" s="5">
        <v>52</v>
      </c>
      <c r="S80" s="5">
        <v>40</v>
      </c>
      <c r="T80" s="5">
        <v>18.3</v>
      </c>
      <c r="U80" s="88">
        <v>32</v>
      </c>
      <c r="V80" s="5">
        <v>25.9</v>
      </c>
      <c r="W80" s="5">
        <v>20.100000000000001</v>
      </c>
      <c r="AA80" s="23" t="s">
        <v>1780</v>
      </c>
      <c r="AB80" s="29">
        <v>131</v>
      </c>
      <c r="AC80" s="29">
        <v>110</v>
      </c>
      <c r="AD80" s="29">
        <v>676</v>
      </c>
      <c r="AE80" s="54">
        <v>5920</v>
      </c>
      <c r="AF80" s="29">
        <v>54</v>
      </c>
      <c r="AG80" s="29">
        <v>369</v>
      </c>
      <c r="AH80" s="29">
        <v>358</v>
      </c>
      <c r="AI80" s="54">
        <v>6664</v>
      </c>
      <c r="AJ80" s="29">
        <v>4</v>
      </c>
      <c r="AK80" s="29">
        <v>481</v>
      </c>
      <c r="AL80" s="29">
        <v>17</v>
      </c>
      <c r="AM80" s="29">
        <v>436</v>
      </c>
    </row>
    <row r="81" spans="15:39" ht="12" customHeight="1">
      <c r="O81" s="2" t="s">
        <v>1680</v>
      </c>
      <c r="P81" s="5">
        <v>32</v>
      </c>
      <c r="Q81" s="5">
        <v>43</v>
      </c>
      <c r="R81" s="5">
        <v>68</v>
      </c>
      <c r="S81" s="5">
        <v>62</v>
      </c>
      <c r="T81" s="5">
        <v>30.8</v>
      </c>
      <c r="U81" s="5">
        <v>28.1</v>
      </c>
      <c r="V81" s="5">
        <v>33.799999999999997</v>
      </c>
      <c r="W81" s="5">
        <v>31.2</v>
      </c>
      <c r="AA81" s="2045" t="s">
        <v>1628</v>
      </c>
      <c r="AB81" s="2045"/>
      <c r="AC81" s="14"/>
      <c r="AD81" s="14"/>
      <c r="AE81" s="2"/>
      <c r="AF81" s="2"/>
      <c r="AG81" s="2"/>
      <c r="AH81" s="2"/>
      <c r="AI81" s="2"/>
      <c r="AJ81" s="2"/>
      <c r="AK81" s="2"/>
      <c r="AL81" s="2"/>
      <c r="AM81" s="2"/>
    </row>
    <row r="82" spans="15:39" ht="12" customHeight="1">
      <c r="O82" s="2" t="s">
        <v>1681</v>
      </c>
      <c r="P82" s="5">
        <v>35</v>
      </c>
      <c r="Q82" s="5">
        <v>39</v>
      </c>
      <c r="R82" s="5">
        <v>45</v>
      </c>
      <c r="S82" s="5">
        <v>53</v>
      </c>
      <c r="T82" s="5">
        <v>33.700000000000003</v>
      </c>
      <c r="U82" s="5">
        <v>25.5</v>
      </c>
      <c r="V82" s="5">
        <v>22.4</v>
      </c>
      <c r="W82" s="5">
        <v>26.6</v>
      </c>
      <c r="AA82" s="2045" t="s">
        <v>1646</v>
      </c>
      <c r="AB82" s="2045"/>
      <c r="AC82" s="2045"/>
      <c r="AD82" s="2045"/>
      <c r="AE82" s="2"/>
      <c r="AF82" s="2"/>
      <c r="AG82" s="2"/>
      <c r="AH82" s="2"/>
      <c r="AI82" s="2"/>
      <c r="AJ82" s="2"/>
      <c r="AK82" s="2"/>
      <c r="AL82" s="2"/>
      <c r="AM82" s="2"/>
    </row>
    <row r="83" spans="15:39" ht="12" customHeight="1">
      <c r="O83" s="2" t="s">
        <v>1682</v>
      </c>
      <c r="P83" s="5">
        <v>59</v>
      </c>
      <c r="Q83" s="5">
        <v>56</v>
      </c>
      <c r="R83" s="5">
        <v>55</v>
      </c>
      <c r="S83" s="5">
        <v>55</v>
      </c>
      <c r="T83" s="5" t="s">
        <v>1627</v>
      </c>
      <c r="U83" s="5" t="s">
        <v>1627</v>
      </c>
      <c r="V83" s="5" t="s">
        <v>1627</v>
      </c>
      <c r="W83" s="5" t="s">
        <v>1627</v>
      </c>
      <c r="AA83" s="13" t="s">
        <v>1754</v>
      </c>
      <c r="AB83" s="14"/>
      <c r="AC83" s="14"/>
      <c r="AD83" s="14"/>
      <c r="AE83" s="2"/>
      <c r="AF83" s="2"/>
      <c r="AG83" s="2"/>
      <c r="AH83" s="2"/>
      <c r="AI83" s="2"/>
      <c r="AJ83" s="2"/>
      <c r="AK83" s="2"/>
      <c r="AL83" s="2"/>
      <c r="AM83" s="2"/>
    </row>
    <row r="84" spans="15:39" ht="12" customHeight="1">
      <c r="O84" s="2"/>
      <c r="P84" s="2"/>
      <c r="Q84" s="2"/>
      <c r="R84" s="2"/>
      <c r="S84" s="2"/>
      <c r="T84" s="2"/>
      <c r="U84" s="2"/>
      <c r="V84" s="2"/>
      <c r="W84" s="2"/>
    </row>
    <row r="85" spans="15:39" ht="12" customHeight="1">
      <c r="O85" s="2" t="s">
        <v>1683</v>
      </c>
      <c r="P85" s="2"/>
      <c r="Q85" s="2"/>
      <c r="R85" s="2"/>
      <c r="S85" s="2"/>
      <c r="T85" s="2"/>
      <c r="U85" s="2"/>
      <c r="V85" s="2"/>
      <c r="W85" s="2"/>
    </row>
    <row r="86" spans="15:39" ht="12" customHeight="1">
      <c r="O86" s="2" t="s">
        <v>1684</v>
      </c>
      <c r="P86" s="5">
        <v>74</v>
      </c>
      <c r="Q86" s="5">
        <v>106</v>
      </c>
      <c r="R86" s="5">
        <v>140</v>
      </c>
      <c r="S86" s="5">
        <v>97</v>
      </c>
      <c r="T86" s="5">
        <v>71.2</v>
      </c>
      <c r="U86" s="5">
        <v>69.3</v>
      </c>
      <c r="V86" s="5">
        <v>69.7</v>
      </c>
      <c r="W86" s="5">
        <v>48.7</v>
      </c>
    </row>
    <row r="87" spans="15:39" ht="12" customHeight="1">
      <c r="O87" s="2" t="s">
        <v>1685</v>
      </c>
      <c r="P87" s="5">
        <v>30</v>
      </c>
      <c r="Q87" s="5">
        <v>47</v>
      </c>
      <c r="R87" s="5">
        <v>61</v>
      </c>
      <c r="S87" s="5">
        <v>102</v>
      </c>
      <c r="T87" s="5">
        <v>28.8</v>
      </c>
      <c r="U87" s="5">
        <v>30.7</v>
      </c>
      <c r="V87" s="5">
        <v>30.3</v>
      </c>
      <c r="W87" s="5">
        <v>51.3</v>
      </c>
      <c r="AA87" s="1" t="s">
        <v>1781</v>
      </c>
      <c r="AB87" s="2"/>
      <c r="AC87" s="2"/>
      <c r="AD87" s="2"/>
      <c r="AE87" s="2"/>
      <c r="AF87" s="2"/>
      <c r="AG87" s="2"/>
      <c r="AH87" s="2"/>
      <c r="AI87" s="2"/>
      <c r="AJ87" s="2"/>
      <c r="AK87" s="2"/>
      <c r="AL87" s="2"/>
      <c r="AM87" s="2"/>
    </row>
    <row r="88" spans="15:39" ht="12" customHeight="1">
      <c r="O88" s="2" t="s">
        <v>1686</v>
      </c>
      <c r="P88" s="5">
        <v>2</v>
      </c>
      <c r="Q88" s="5">
        <v>9</v>
      </c>
      <c r="R88" s="5">
        <v>2</v>
      </c>
      <c r="S88" s="5">
        <v>15</v>
      </c>
      <c r="T88" s="5">
        <v>1.9</v>
      </c>
      <c r="U88" s="5">
        <v>5.9</v>
      </c>
      <c r="V88" s="88">
        <v>1</v>
      </c>
      <c r="W88" s="5">
        <v>7.5</v>
      </c>
      <c r="AA88" s="173"/>
      <c r="AB88" s="2039" t="s">
        <v>1782</v>
      </c>
      <c r="AC88" s="2046"/>
      <c r="AD88" s="2046"/>
      <c r="AE88" s="2046"/>
      <c r="AF88" s="2046"/>
      <c r="AG88" s="2040"/>
      <c r="AH88" s="2039" t="s">
        <v>1783</v>
      </c>
      <c r="AI88" s="2046"/>
      <c r="AJ88" s="2046"/>
      <c r="AK88" s="2046"/>
      <c r="AL88" s="2046"/>
      <c r="AM88" s="2046"/>
    </row>
    <row r="89" spans="15:39" ht="12" customHeight="1">
      <c r="O89" s="2" t="s">
        <v>1687</v>
      </c>
      <c r="P89" s="5">
        <v>4</v>
      </c>
      <c r="Q89" s="5">
        <v>2</v>
      </c>
      <c r="R89" s="5">
        <v>1</v>
      </c>
      <c r="S89" s="5">
        <v>11</v>
      </c>
      <c r="T89" s="5">
        <v>3.8</v>
      </c>
      <c r="U89" s="5">
        <v>1.3</v>
      </c>
      <c r="V89" s="5">
        <v>0.5</v>
      </c>
      <c r="W89" s="5">
        <v>5.5</v>
      </c>
      <c r="AA89" s="113"/>
      <c r="AB89" s="2063">
        <v>2023</v>
      </c>
      <c r="AC89" s="2063"/>
      <c r="AD89" s="2063">
        <v>2018</v>
      </c>
      <c r="AE89" s="2063"/>
      <c r="AF89" s="2063">
        <v>2007</v>
      </c>
      <c r="AG89" s="2063"/>
      <c r="AH89" s="2063">
        <v>2023</v>
      </c>
      <c r="AI89" s="2063"/>
      <c r="AJ89" s="2063">
        <v>2018</v>
      </c>
      <c r="AK89" s="2063"/>
      <c r="AL89" s="2063">
        <v>2007</v>
      </c>
      <c r="AM89" s="2039"/>
    </row>
    <row r="90" spans="15:39" ht="12" customHeight="1">
      <c r="O90" s="2" t="s">
        <v>1688</v>
      </c>
      <c r="P90" s="5">
        <v>6</v>
      </c>
      <c r="Q90" s="5">
        <v>2</v>
      </c>
      <c r="R90" s="5">
        <v>2</v>
      </c>
      <c r="S90" s="5">
        <v>4</v>
      </c>
      <c r="T90" s="5">
        <v>5.8</v>
      </c>
      <c r="U90" s="5">
        <v>1.3</v>
      </c>
      <c r="V90" s="88">
        <v>1</v>
      </c>
      <c r="W90" s="88">
        <v>2</v>
      </c>
      <c r="AA90" s="175" t="s">
        <v>1648</v>
      </c>
      <c r="AB90" s="15" t="s">
        <v>1616</v>
      </c>
      <c r="AC90" s="15" t="s">
        <v>1665</v>
      </c>
      <c r="AD90" s="15" t="s">
        <v>1616</v>
      </c>
      <c r="AE90" s="15" t="s">
        <v>1665</v>
      </c>
      <c r="AF90" s="15" t="s">
        <v>1616</v>
      </c>
      <c r="AG90" s="15" t="s">
        <v>1665</v>
      </c>
      <c r="AH90" s="15" t="s">
        <v>1616</v>
      </c>
      <c r="AI90" s="15" t="s">
        <v>1784</v>
      </c>
      <c r="AJ90" s="15" t="s">
        <v>1616</v>
      </c>
      <c r="AK90" s="15" t="s">
        <v>1665</v>
      </c>
      <c r="AL90" s="15" t="s">
        <v>1616</v>
      </c>
      <c r="AM90" s="31" t="s">
        <v>1665</v>
      </c>
    </row>
    <row r="91" spans="15:39" ht="12.95" customHeight="1">
      <c r="O91" s="2" t="s">
        <v>1689</v>
      </c>
      <c r="P91" s="5">
        <v>6</v>
      </c>
      <c r="Q91" s="5">
        <v>9</v>
      </c>
      <c r="R91" s="5">
        <v>10</v>
      </c>
      <c r="S91" s="5">
        <v>14</v>
      </c>
      <c r="T91" s="5">
        <v>5.8</v>
      </c>
      <c r="U91" s="5">
        <v>5.9</v>
      </c>
      <c r="V91" s="88">
        <v>5</v>
      </c>
      <c r="W91" s="88">
        <v>7</v>
      </c>
      <c r="AA91" s="3" t="s">
        <v>1785</v>
      </c>
      <c r="AB91" s="3"/>
      <c r="AC91" s="3"/>
      <c r="AD91" s="3"/>
      <c r="AE91" s="3"/>
      <c r="AF91" s="3"/>
      <c r="AG91" s="3"/>
      <c r="AH91" s="3"/>
      <c r="AI91" s="3"/>
      <c r="AJ91" s="3"/>
      <c r="AK91" s="3"/>
      <c r="AL91" s="3"/>
      <c r="AM91" s="3"/>
    </row>
    <row r="92" spans="15:39" ht="12.95" customHeight="1">
      <c r="O92" s="2" t="s">
        <v>1690</v>
      </c>
      <c r="P92" s="5">
        <v>12</v>
      </c>
      <c r="Q92" s="5">
        <v>25</v>
      </c>
      <c r="R92" s="5">
        <v>46</v>
      </c>
      <c r="S92" s="5">
        <v>58</v>
      </c>
      <c r="T92" s="5">
        <v>11.5</v>
      </c>
      <c r="U92" s="5">
        <v>16.3</v>
      </c>
      <c r="V92" s="5">
        <v>22.9</v>
      </c>
      <c r="W92" s="5">
        <v>29.1</v>
      </c>
      <c r="AA92" s="3"/>
      <c r="AB92" s="3"/>
      <c r="AC92" s="3"/>
      <c r="AD92" s="3"/>
      <c r="AE92" s="3"/>
      <c r="AF92" s="3"/>
      <c r="AG92" s="3"/>
      <c r="AH92" s="3"/>
      <c r="AI92" s="3"/>
      <c r="AJ92" s="3"/>
      <c r="AK92" s="3"/>
      <c r="AL92" s="3"/>
      <c r="AM92" s="3"/>
    </row>
    <row r="93" spans="15:39" ht="12.95" customHeight="1">
      <c r="O93" s="2"/>
      <c r="P93" s="2"/>
      <c r="Q93" s="2"/>
      <c r="R93" s="2"/>
      <c r="S93" s="2"/>
      <c r="T93" s="2"/>
      <c r="U93" s="2"/>
      <c r="V93" s="2"/>
      <c r="W93" s="2"/>
      <c r="AA93" s="3" t="s">
        <v>1786</v>
      </c>
      <c r="AB93" s="22">
        <v>2</v>
      </c>
      <c r="AC93" s="22" t="s">
        <v>1640</v>
      </c>
      <c r="AD93" s="22">
        <v>8</v>
      </c>
      <c r="AE93" s="22">
        <v>20</v>
      </c>
      <c r="AF93" s="22">
        <v>4</v>
      </c>
      <c r="AG93" s="22">
        <v>12</v>
      </c>
      <c r="AH93" s="22" t="s">
        <v>546</v>
      </c>
      <c r="AI93" s="22" t="s">
        <v>546</v>
      </c>
      <c r="AJ93" s="22">
        <v>0</v>
      </c>
      <c r="AK93" s="22">
        <v>0</v>
      </c>
      <c r="AL93" s="22">
        <v>1</v>
      </c>
      <c r="AM93" s="22" t="s">
        <v>1640</v>
      </c>
    </row>
    <row r="94" spans="15:39" ht="12.95" customHeight="1">
      <c r="O94" s="2" t="s">
        <v>1691</v>
      </c>
      <c r="P94" s="2"/>
      <c r="Q94" s="2"/>
      <c r="R94" s="2"/>
      <c r="S94" s="2"/>
      <c r="T94" s="2"/>
      <c r="U94" s="2"/>
      <c r="V94" s="2"/>
      <c r="W94" s="2"/>
      <c r="AA94" s="3" t="s">
        <v>1787</v>
      </c>
      <c r="AB94" s="22">
        <v>44</v>
      </c>
      <c r="AC94" s="22">
        <v>237</v>
      </c>
      <c r="AD94" s="22">
        <v>21</v>
      </c>
      <c r="AE94" s="22">
        <v>97</v>
      </c>
      <c r="AF94" s="22">
        <v>13</v>
      </c>
      <c r="AG94" s="22">
        <v>112</v>
      </c>
      <c r="AH94" s="22">
        <v>8</v>
      </c>
      <c r="AI94" s="22">
        <v>20</v>
      </c>
      <c r="AJ94" s="22">
        <v>16</v>
      </c>
      <c r="AK94" s="22">
        <v>33</v>
      </c>
      <c r="AL94" s="22">
        <v>9</v>
      </c>
      <c r="AM94" s="22">
        <v>19</v>
      </c>
    </row>
    <row r="95" spans="15:39" ht="12.95" customHeight="1">
      <c r="O95" s="2" t="s">
        <v>1692</v>
      </c>
      <c r="P95" s="2"/>
      <c r="Q95" s="2"/>
      <c r="R95" s="2"/>
      <c r="S95" s="2"/>
      <c r="T95" s="2"/>
      <c r="U95" s="2"/>
      <c r="V95" s="2"/>
      <c r="W95" s="2"/>
      <c r="AA95" s="3" t="s">
        <v>1788</v>
      </c>
      <c r="AB95" s="22">
        <v>35</v>
      </c>
      <c r="AC95" s="22">
        <v>214</v>
      </c>
      <c r="AD95" s="22">
        <v>0</v>
      </c>
      <c r="AE95" s="22">
        <v>0</v>
      </c>
      <c r="AF95" s="22">
        <v>1</v>
      </c>
      <c r="AG95" s="22" t="s">
        <v>1640</v>
      </c>
      <c r="AH95" s="22">
        <v>8</v>
      </c>
      <c r="AI95" s="22">
        <v>16</v>
      </c>
      <c r="AJ95" s="22">
        <v>0</v>
      </c>
      <c r="AK95" s="22">
        <v>0</v>
      </c>
      <c r="AL95" s="22">
        <v>1</v>
      </c>
      <c r="AM95" s="22" t="s">
        <v>1640</v>
      </c>
    </row>
    <row r="96" spans="15:39" ht="12.95" customHeight="1">
      <c r="O96" s="2" t="s">
        <v>1693</v>
      </c>
      <c r="P96" s="5">
        <v>20</v>
      </c>
      <c r="Q96" s="5">
        <v>32</v>
      </c>
      <c r="R96" s="5">
        <v>36</v>
      </c>
      <c r="S96" s="5">
        <v>35</v>
      </c>
      <c r="T96" s="5">
        <v>19.2</v>
      </c>
      <c r="U96" s="5">
        <v>20.9</v>
      </c>
      <c r="V96" s="5">
        <v>17.899999999999999</v>
      </c>
      <c r="W96" s="5">
        <v>17.600000000000001</v>
      </c>
      <c r="AA96" s="3" t="s">
        <v>1789</v>
      </c>
      <c r="AB96" s="22">
        <v>9</v>
      </c>
      <c r="AC96" s="22">
        <v>23</v>
      </c>
      <c r="AD96" s="22">
        <v>21</v>
      </c>
      <c r="AE96" s="22">
        <v>97</v>
      </c>
      <c r="AF96" s="22">
        <v>13</v>
      </c>
      <c r="AG96" s="22">
        <v>110</v>
      </c>
      <c r="AH96" s="22">
        <v>4</v>
      </c>
      <c r="AI96" s="22">
        <v>4</v>
      </c>
      <c r="AJ96" s="22">
        <v>16</v>
      </c>
      <c r="AK96" s="22">
        <v>33</v>
      </c>
      <c r="AL96" s="22">
        <v>8</v>
      </c>
      <c r="AM96" s="22">
        <v>17</v>
      </c>
    </row>
    <row r="97" spans="15:39" ht="12.95" customHeight="1">
      <c r="O97" s="2" t="s">
        <v>1694</v>
      </c>
      <c r="P97" s="2"/>
      <c r="Q97" s="2"/>
      <c r="R97" s="2"/>
      <c r="S97" s="2"/>
      <c r="T97" s="2"/>
      <c r="U97" s="2"/>
      <c r="V97" s="2"/>
      <c r="W97" s="2"/>
      <c r="AA97" s="3" t="s">
        <v>1790</v>
      </c>
      <c r="AB97" s="22">
        <v>42</v>
      </c>
      <c r="AC97" s="53">
        <v>1011</v>
      </c>
      <c r="AD97" s="22">
        <v>43</v>
      </c>
      <c r="AE97" s="22">
        <v>540</v>
      </c>
      <c r="AF97" s="22">
        <v>22</v>
      </c>
      <c r="AG97" s="22">
        <v>635</v>
      </c>
      <c r="AH97" s="22">
        <v>17</v>
      </c>
      <c r="AI97" s="22">
        <v>128</v>
      </c>
      <c r="AJ97" s="22">
        <v>43</v>
      </c>
      <c r="AK97" s="22">
        <v>540</v>
      </c>
      <c r="AL97" s="22">
        <v>20</v>
      </c>
      <c r="AM97" s="22">
        <v>356</v>
      </c>
    </row>
    <row r="98" spans="15:39" ht="12.95" customHeight="1">
      <c r="O98" s="2" t="s">
        <v>1695</v>
      </c>
      <c r="P98" s="5">
        <v>3</v>
      </c>
      <c r="Q98" s="5">
        <v>5</v>
      </c>
      <c r="R98" s="5">
        <v>2</v>
      </c>
      <c r="S98" s="5">
        <v>4</v>
      </c>
      <c r="T98" s="5">
        <v>2.9</v>
      </c>
      <c r="U98" s="5">
        <v>3.3</v>
      </c>
      <c r="V98" s="88">
        <v>1</v>
      </c>
      <c r="W98" s="88">
        <v>2</v>
      </c>
      <c r="AA98" s="3" t="s">
        <v>1791</v>
      </c>
      <c r="AB98" s="22">
        <v>29</v>
      </c>
      <c r="AC98" s="22">
        <v>512</v>
      </c>
      <c r="AD98" s="22">
        <v>19</v>
      </c>
      <c r="AE98" s="22">
        <v>171</v>
      </c>
      <c r="AF98" s="22">
        <v>10</v>
      </c>
      <c r="AG98" s="22">
        <v>124</v>
      </c>
      <c r="AH98" s="22">
        <v>5</v>
      </c>
      <c r="AI98" s="22">
        <v>10</v>
      </c>
      <c r="AJ98" s="22">
        <v>6</v>
      </c>
      <c r="AK98" s="22">
        <v>55</v>
      </c>
      <c r="AL98" s="22">
        <v>4</v>
      </c>
      <c r="AM98" s="22">
        <v>11</v>
      </c>
    </row>
    <row r="99" spans="15:39" ht="12.95" customHeight="1">
      <c r="O99" s="2" t="s">
        <v>1696</v>
      </c>
      <c r="P99" s="5">
        <v>16</v>
      </c>
      <c r="Q99" s="5">
        <v>26</v>
      </c>
      <c r="R99" s="5">
        <v>31</v>
      </c>
      <c r="S99" s="5">
        <v>30</v>
      </c>
      <c r="T99" s="5">
        <v>15.4</v>
      </c>
      <c r="U99" s="5">
        <v>17</v>
      </c>
      <c r="V99" s="5">
        <v>15.4</v>
      </c>
      <c r="W99" s="5">
        <v>15.1</v>
      </c>
      <c r="AA99" s="3" t="s">
        <v>1792</v>
      </c>
      <c r="AB99" s="22">
        <v>6</v>
      </c>
      <c r="AC99" s="22">
        <v>28</v>
      </c>
      <c r="AD99" s="22">
        <v>1</v>
      </c>
      <c r="AE99" s="22" t="s">
        <v>1640</v>
      </c>
      <c r="AF99" s="22">
        <v>2</v>
      </c>
      <c r="AG99" s="22" t="s">
        <v>1640</v>
      </c>
      <c r="AH99" s="22" t="s">
        <v>546</v>
      </c>
      <c r="AI99" s="22" t="s">
        <v>546</v>
      </c>
      <c r="AJ99" s="22">
        <v>0</v>
      </c>
      <c r="AK99" s="22">
        <v>0</v>
      </c>
      <c r="AL99" s="22">
        <v>0</v>
      </c>
      <c r="AM99" s="22">
        <v>0</v>
      </c>
    </row>
    <row r="100" spans="15:39" ht="12.95" customHeight="1">
      <c r="O100" s="2" t="s">
        <v>1697</v>
      </c>
      <c r="P100" s="5">
        <v>1</v>
      </c>
      <c r="Q100" s="5">
        <v>1</v>
      </c>
      <c r="R100" s="5">
        <v>3</v>
      </c>
      <c r="S100" s="5">
        <v>1</v>
      </c>
      <c r="T100" s="5">
        <v>1</v>
      </c>
      <c r="U100" s="5">
        <v>0.7</v>
      </c>
      <c r="V100" s="5">
        <v>1.5</v>
      </c>
      <c r="W100" s="5">
        <v>0.5</v>
      </c>
      <c r="AA100" s="3" t="s">
        <v>1793</v>
      </c>
      <c r="AB100" s="22">
        <v>11</v>
      </c>
      <c r="AC100" s="22">
        <v>209</v>
      </c>
      <c r="AD100" s="22" t="s">
        <v>546</v>
      </c>
      <c r="AE100" s="22" t="s">
        <v>546</v>
      </c>
      <c r="AF100" s="22" t="s">
        <v>546</v>
      </c>
      <c r="AG100" s="22" t="s">
        <v>546</v>
      </c>
      <c r="AH100" s="22">
        <v>5</v>
      </c>
      <c r="AI100" s="53">
        <v>8000</v>
      </c>
      <c r="AJ100" s="22" t="s">
        <v>546</v>
      </c>
      <c r="AK100" s="22" t="s">
        <v>546</v>
      </c>
      <c r="AL100" s="22" t="s">
        <v>546</v>
      </c>
      <c r="AM100" s="22" t="s">
        <v>546</v>
      </c>
    </row>
    <row r="101" spans="15:39" ht="12.95" customHeight="1">
      <c r="O101" s="2" t="s">
        <v>1698</v>
      </c>
      <c r="P101" s="5" t="s">
        <v>546</v>
      </c>
      <c r="Q101" s="5" t="s">
        <v>546</v>
      </c>
      <c r="R101" s="5" t="s">
        <v>546</v>
      </c>
      <c r="S101" s="5" t="s">
        <v>546</v>
      </c>
      <c r="T101" s="5" t="s">
        <v>546</v>
      </c>
      <c r="U101" s="5" t="s">
        <v>546</v>
      </c>
      <c r="V101" s="5" t="s">
        <v>546</v>
      </c>
      <c r="W101" s="5" t="s">
        <v>546</v>
      </c>
      <c r="AA101" s="3"/>
      <c r="AB101" s="3"/>
      <c r="AC101" s="3"/>
      <c r="AD101" s="3"/>
      <c r="AE101" s="3"/>
      <c r="AF101" s="3"/>
      <c r="AG101" s="3"/>
      <c r="AH101" s="3"/>
      <c r="AI101" s="3"/>
      <c r="AJ101" s="3"/>
      <c r="AK101" s="3"/>
      <c r="AL101" s="3"/>
      <c r="AM101" s="3"/>
    </row>
    <row r="102" spans="15:39" ht="12.95" customHeight="1">
      <c r="O102" s="2" t="s">
        <v>1699</v>
      </c>
      <c r="P102" s="5" t="s">
        <v>546</v>
      </c>
      <c r="Q102" s="5" t="s">
        <v>546</v>
      </c>
      <c r="R102" s="5" t="s">
        <v>546</v>
      </c>
      <c r="S102" s="5" t="s">
        <v>546</v>
      </c>
      <c r="T102" s="5" t="s">
        <v>546</v>
      </c>
      <c r="U102" s="5" t="s">
        <v>546</v>
      </c>
      <c r="V102" s="5" t="s">
        <v>546</v>
      </c>
      <c r="W102" s="5" t="s">
        <v>546</v>
      </c>
      <c r="AA102" s="3" t="s">
        <v>1794</v>
      </c>
      <c r="AB102" s="3"/>
      <c r="AC102" s="3"/>
      <c r="AD102" s="3"/>
      <c r="AE102" s="3"/>
      <c r="AF102" s="3"/>
      <c r="AG102" s="3"/>
      <c r="AH102" s="3"/>
      <c r="AI102" s="3"/>
      <c r="AJ102" s="3"/>
      <c r="AK102" s="3"/>
      <c r="AL102" s="3"/>
      <c r="AM102" s="3"/>
    </row>
    <row r="103" spans="15:39" ht="12.95" customHeight="1">
      <c r="O103" s="2" t="s">
        <v>1700</v>
      </c>
      <c r="P103" s="5" t="s">
        <v>546</v>
      </c>
      <c r="Q103" s="5" t="s">
        <v>546</v>
      </c>
      <c r="R103" s="5" t="s">
        <v>546</v>
      </c>
      <c r="S103" s="5" t="s">
        <v>546</v>
      </c>
      <c r="T103" s="5" t="s">
        <v>546</v>
      </c>
      <c r="U103" s="5" t="s">
        <v>546</v>
      </c>
      <c r="V103" s="5" t="s">
        <v>546</v>
      </c>
      <c r="W103" s="5" t="s">
        <v>546</v>
      </c>
      <c r="AA103" s="3"/>
      <c r="AB103" s="3"/>
      <c r="AC103" s="3"/>
      <c r="AD103" s="3"/>
      <c r="AE103" s="3"/>
      <c r="AF103" s="3"/>
      <c r="AG103" s="3"/>
      <c r="AH103" s="3"/>
      <c r="AI103" s="3"/>
      <c r="AJ103" s="3"/>
      <c r="AK103" s="3"/>
      <c r="AL103" s="3"/>
      <c r="AM103" s="3"/>
    </row>
    <row r="104" spans="15:39" ht="12.95" customHeight="1">
      <c r="O104" s="2" t="s">
        <v>1701</v>
      </c>
      <c r="P104" s="5" t="s">
        <v>546</v>
      </c>
      <c r="Q104" s="5" t="s">
        <v>546</v>
      </c>
      <c r="R104" s="5" t="s">
        <v>546</v>
      </c>
      <c r="S104" s="5" t="s">
        <v>546</v>
      </c>
      <c r="T104" s="5" t="s">
        <v>546</v>
      </c>
      <c r="U104" s="5" t="s">
        <v>546</v>
      </c>
      <c r="V104" s="5" t="s">
        <v>546</v>
      </c>
      <c r="W104" s="5" t="s">
        <v>546</v>
      </c>
      <c r="AA104" s="3" t="s">
        <v>1795</v>
      </c>
      <c r="AB104" s="22">
        <v>134</v>
      </c>
      <c r="AC104" s="53">
        <v>9280</v>
      </c>
      <c r="AD104" s="22">
        <v>53</v>
      </c>
      <c r="AE104" s="53">
        <v>3858</v>
      </c>
      <c r="AF104" s="22">
        <v>8</v>
      </c>
      <c r="AG104" s="22">
        <v>182</v>
      </c>
      <c r="AH104" s="22">
        <v>16</v>
      </c>
      <c r="AI104" s="53">
        <v>2168</v>
      </c>
      <c r="AJ104" s="22">
        <v>6</v>
      </c>
      <c r="AK104" s="22">
        <v>295</v>
      </c>
      <c r="AL104" s="22">
        <v>3</v>
      </c>
      <c r="AM104" s="22">
        <v>37</v>
      </c>
    </row>
    <row r="105" spans="15:39" ht="12.95" customHeight="1">
      <c r="O105" s="2" t="s">
        <v>1702</v>
      </c>
      <c r="P105" s="5">
        <v>77</v>
      </c>
      <c r="Q105" s="5">
        <v>109</v>
      </c>
      <c r="R105" s="5">
        <v>148</v>
      </c>
      <c r="S105" s="5">
        <v>151</v>
      </c>
      <c r="T105" s="5">
        <v>74</v>
      </c>
      <c r="U105" s="5">
        <v>71.2</v>
      </c>
      <c r="V105" s="5">
        <v>73.599999999999994</v>
      </c>
      <c r="W105" s="5">
        <v>75.900000000000006</v>
      </c>
      <c r="AA105" s="3" t="s">
        <v>1796</v>
      </c>
      <c r="AB105" s="22">
        <v>111</v>
      </c>
      <c r="AC105" s="53">
        <v>6243</v>
      </c>
      <c r="AD105" s="22">
        <v>27</v>
      </c>
      <c r="AE105" s="53">
        <v>1552</v>
      </c>
      <c r="AF105" s="22">
        <v>1</v>
      </c>
      <c r="AG105" s="22" t="s">
        <v>1640</v>
      </c>
      <c r="AH105" s="22">
        <v>16</v>
      </c>
      <c r="AI105" s="22" t="s">
        <v>1640</v>
      </c>
      <c r="AJ105" s="22">
        <v>5</v>
      </c>
      <c r="AK105" s="22">
        <v>245</v>
      </c>
      <c r="AL105" s="22">
        <v>0</v>
      </c>
      <c r="AM105" s="22">
        <v>0</v>
      </c>
    </row>
    <row r="106" spans="15:39" ht="12.95" customHeight="1">
      <c r="O106" s="2" t="s">
        <v>1703</v>
      </c>
      <c r="P106" s="5" t="s">
        <v>546</v>
      </c>
      <c r="Q106" s="5" t="s">
        <v>546</v>
      </c>
      <c r="R106" s="5" t="s">
        <v>546</v>
      </c>
      <c r="S106" s="5" t="s">
        <v>546</v>
      </c>
      <c r="T106" s="5" t="s">
        <v>546</v>
      </c>
      <c r="U106" s="5" t="s">
        <v>546</v>
      </c>
      <c r="V106" s="5" t="s">
        <v>546</v>
      </c>
      <c r="W106" s="5" t="s">
        <v>546</v>
      </c>
      <c r="AA106" s="3" t="s">
        <v>1797</v>
      </c>
      <c r="AB106" s="22">
        <v>72</v>
      </c>
      <c r="AC106" s="53">
        <v>3037</v>
      </c>
      <c r="AD106" s="22">
        <v>37</v>
      </c>
      <c r="AE106" s="53">
        <v>2701</v>
      </c>
      <c r="AF106" s="22">
        <v>7</v>
      </c>
      <c r="AG106" s="22">
        <v>172</v>
      </c>
      <c r="AH106" s="22">
        <v>2</v>
      </c>
      <c r="AI106" s="22" t="s">
        <v>1640</v>
      </c>
      <c r="AJ106" s="22">
        <v>3</v>
      </c>
      <c r="AK106" s="22">
        <v>90</v>
      </c>
      <c r="AL106" s="22">
        <v>3</v>
      </c>
      <c r="AM106" s="22">
        <v>37</v>
      </c>
    </row>
    <row r="107" spans="15:39" ht="12.95" customHeight="1">
      <c r="O107" s="2" t="s">
        <v>1704</v>
      </c>
      <c r="P107" s="5" t="s">
        <v>546</v>
      </c>
      <c r="Q107" s="5" t="s">
        <v>546</v>
      </c>
      <c r="R107" s="5" t="s">
        <v>546</v>
      </c>
      <c r="S107" s="5" t="s">
        <v>546</v>
      </c>
      <c r="T107" s="5" t="s">
        <v>546</v>
      </c>
      <c r="U107" s="5" t="s">
        <v>546</v>
      </c>
      <c r="V107" s="5" t="s">
        <v>546</v>
      </c>
      <c r="W107" s="5" t="s">
        <v>546</v>
      </c>
      <c r="AA107" s="3" t="s">
        <v>1798</v>
      </c>
      <c r="AB107" s="22" t="s">
        <v>546</v>
      </c>
      <c r="AC107" s="22" t="s">
        <v>546</v>
      </c>
      <c r="AD107" s="22">
        <v>14</v>
      </c>
      <c r="AE107" s="22">
        <v>490</v>
      </c>
      <c r="AF107" s="22">
        <v>6</v>
      </c>
      <c r="AG107" s="22">
        <v>272</v>
      </c>
      <c r="AH107" s="22" t="s">
        <v>546</v>
      </c>
      <c r="AI107" s="22" t="s">
        <v>546</v>
      </c>
      <c r="AJ107" s="22">
        <v>0</v>
      </c>
      <c r="AK107" s="22">
        <v>0</v>
      </c>
      <c r="AL107" s="22">
        <v>0</v>
      </c>
      <c r="AM107" s="22">
        <v>0</v>
      </c>
    </row>
    <row r="108" spans="15:39" ht="12.95" customHeight="1">
      <c r="O108" s="2" t="s">
        <v>1705</v>
      </c>
      <c r="P108" s="5">
        <v>77</v>
      </c>
      <c r="Q108" s="5">
        <v>109</v>
      </c>
      <c r="R108" s="5">
        <v>148</v>
      </c>
      <c r="S108" s="5">
        <v>151</v>
      </c>
      <c r="T108" s="5">
        <v>74</v>
      </c>
      <c r="U108" s="5">
        <v>71.2</v>
      </c>
      <c r="V108" s="5">
        <v>73.599999999999994</v>
      </c>
      <c r="W108" s="5">
        <v>75.900000000000006</v>
      </c>
      <c r="AA108" s="3" t="s">
        <v>1799</v>
      </c>
      <c r="AB108" s="22">
        <v>22</v>
      </c>
      <c r="AC108" s="53">
        <v>2959</v>
      </c>
      <c r="AD108" s="3"/>
      <c r="AE108" s="3"/>
      <c r="AF108" s="3"/>
      <c r="AG108" s="3"/>
      <c r="AH108" s="22">
        <v>3</v>
      </c>
      <c r="AI108" s="53">
        <v>1500</v>
      </c>
      <c r="AJ108" s="22" t="s">
        <v>546</v>
      </c>
      <c r="AK108" s="22" t="s">
        <v>546</v>
      </c>
      <c r="AL108" s="22" t="s">
        <v>546</v>
      </c>
      <c r="AM108" s="22" t="s">
        <v>546</v>
      </c>
    </row>
    <row r="109" spans="15:39" ht="12.95" customHeight="1">
      <c r="O109" s="2" t="s">
        <v>1706</v>
      </c>
      <c r="P109" s="2"/>
      <c r="Q109" s="2"/>
      <c r="R109" s="2"/>
      <c r="S109" s="2"/>
      <c r="T109" s="2"/>
      <c r="U109" s="2"/>
      <c r="V109" s="2"/>
      <c r="W109" s="2"/>
      <c r="AA109" s="3" t="s">
        <v>1800</v>
      </c>
      <c r="AB109" s="22">
        <v>78</v>
      </c>
      <c r="AC109" s="53">
        <v>1847</v>
      </c>
      <c r="AD109" s="22">
        <v>12</v>
      </c>
      <c r="AE109" s="22">
        <v>217</v>
      </c>
      <c r="AF109" s="22">
        <v>6</v>
      </c>
      <c r="AG109" s="22">
        <v>79</v>
      </c>
      <c r="AH109" s="22">
        <v>3</v>
      </c>
      <c r="AI109" s="22">
        <v>15</v>
      </c>
      <c r="AJ109" s="22">
        <v>0</v>
      </c>
      <c r="AK109" s="22">
        <v>0</v>
      </c>
      <c r="AL109" s="22">
        <v>1</v>
      </c>
      <c r="AM109" s="22" t="s">
        <v>1640</v>
      </c>
    </row>
    <row r="110" spans="15:39" ht="12.95" customHeight="1">
      <c r="O110" s="2" t="s">
        <v>1707</v>
      </c>
      <c r="P110" s="5" t="s">
        <v>546</v>
      </c>
      <c r="Q110" s="5" t="s">
        <v>546</v>
      </c>
      <c r="R110" s="5" t="s">
        <v>546</v>
      </c>
      <c r="S110" s="5" t="s">
        <v>546</v>
      </c>
      <c r="T110" s="5" t="s">
        <v>546</v>
      </c>
      <c r="U110" s="5" t="s">
        <v>546</v>
      </c>
      <c r="V110" s="5" t="s">
        <v>546</v>
      </c>
      <c r="W110" s="5" t="s">
        <v>546</v>
      </c>
      <c r="AA110" s="3" t="s">
        <v>1801</v>
      </c>
      <c r="AB110" s="22" t="s">
        <v>546</v>
      </c>
      <c r="AC110" s="22" t="s">
        <v>546</v>
      </c>
      <c r="AD110" s="22">
        <v>7</v>
      </c>
      <c r="AE110" s="22">
        <v>400</v>
      </c>
      <c r="AF110" s="22">
        <v>2</v>
      </c>
      <c r="AG110" s="22" t="s">
        <v>1640</v>
      </c>
      <c r="AH110" s="22" t="s">
        <v>546</v>
      </c>
      <c r="AI110" s="22" t="s">
        <v>546</v>
      </c>
      <c r="AJ110" s="22">
        <v>2</v>
      </c>
      <c r="AK110" s="22" t="s">
        <v>1640</v>
      </c>
      <c r="AL110" s="22">
        <v>1</v>
      </c>
      <c r="AM110" s="22" t="s">
        <v>1640</v>
      </c>
    </row>
    <row r="111" spans="15:39" ht="12.95" customHeight="1">
      <c r="O111" s="2" t="s">
        <v>1708</v>
      </c>
      <c r="P111" s="5">
        <v>3</v>
      </c>
      <c r="Q111" s="5">
        <v>5</v>
      </c>
      <c r="R111" s="5">
        <v>7</v>
      </c>
      <c r="S111" s="5">
        <v>9</v>
      </c>
      <c r="T111" s="5">
        <v>2.9</v>
      </c>
      <c r="U111" s="5">
        <v>3.3</v>
      </c>
      <c r="V111" s="5">
        <v>3.5</v>
      </c>
      <c r="W111" s="5">
        <v>4.5</v>
      </c>
      <c r="AA111" s="3" t="s">
        <v>1802</v>
      </c>
      <c r="AB111" s="22">
        <v>32</v>
      </c>
      <c r="AC111" s="22">
        <v>855</v>
      </c>
      <c r="AD111" s="22">
        <v>12</v>
      </c>
      <c r="AE111" s="22">
        <v>144</v>
      </c>
      <c r="AF111" s="22">
        <v>2</v>
      </c>
      <c r="AG111" s="22" t="s">
        <v>1640</v>
      </c>
      <c r="AH111" s="22">
        <v>3</v>
      </c>
      <c r="AI111" s="22">
        <v>9</v>
      </c>
      <c r="AJ111" s="22">
        <v>0</v>
      </c>
      <c r="AK111" s="22">
        <v>0</v>
      </c>
      <c r="AL111" s="22">
        <v>1</v>
      </c>
      <c r="AM111" s="22" t="s">
        <v>1640</v>
      </c>
    </row>
    <row r="112" spans="15:39" ht="12.95" customHeight="1">
      <c r="O112" s="2" t="s">
        <v>1709</v>
      </c>
      <c r="P112" s="5">
        <v>4</v>
      </c>
      <c r="Q112" s="5">
        <v>7</v>
      </c>
      <c r="R112" s="5">
        <v>10</v>
      </c>
      <c r="S112" s="5">
        <v>4</v>
      </c>
      <c r="T112" s="5">
        <v>3.8</v>
      </c>
      <c r="U112" s="5">
        <v>4.5999999999999996</v>
      </c>
      <c r="V112" s="186">
        <v>5</v>
      </c>
      <c r="W112" s="186">
        <v>2</v>
      </c>
      <c r="AA112" s="3" t="s">
        <v>1803</v>
      </c>
      <c r="AB112" s="22">
        <v>2</v>
      </c>
      <c r="AC112" s="22" t="s">
        <v>1640</v>
      </c>
      <c r="AD112" s="22">
        <v>3</v>
      </c>
      <c r="AE112" s="22">
        <v>101</v>
      </c>
      <c r="AF112" s="22">
        <v>1</v>
      </c>
      <c r="AG112" s="22" t="s">
        <v>1640</v>
      </c>
      <c r="AH112" s="22" t="s">
        <v>546</v>
      </c>
      <c r="AI112" s="22" t="s">
        <v>546</v>
      </c>
      <c r="AJ112" s="22">
        <v>0</v>
      </c>
      <c r="AK112" s="22">
        <v>0</v>
      </c>
      <c r="AL112" s="22">
        <v>0</v>
      </c>
      <c r="AM112" s="22">
        <v>0</v>
      </c>
    </row>
    <row r="113" spans="4:39" ht="12.95" customHeight="1">
      <c r="O113" s="2"/>
      <c r="P113" s="2"/>
      <c r="Q113" s="2"/>
      <c r="R113" s="2"/>
      <c r="S113" s="2"/>
      <c r="T113" s="2"/>
      <c r="U113" s="2"/>
      <c r="V113" s="2"/>
      <c r="W113" s="2"/>
      <c r="AA113" s="3" t="s">
        <v>1804</v>
      </c>
      <c r="AB113" s="22" t="s">
        <v>546</v>
      </c>
      <c r="AC113" s="22" t="s">
        <v>546</v>
      </c>
      <c r="AD113" s="22" t="s">
        <v>1627</v>
      </c>
      <c r="AE113" s="22" t="s">
        <v>1627</v>
      </c>
      <c r="AF113" s="22" t="s">
        <v>1627</v>
      </c>
      <c r="AG113" s="22" t="s">
        <v>1627</v>
      </c>
      <c r="AH113" s="22">
        <v>43</v>
      </c>
      <c r="AI113" s="53">
        <v>21702</v>
      </c>
      <c r="AJ113" s="22">
        <v>43</v>
      </c>
      <c r="AK113" s="53">
        <v>44876</v>
      </c>
      <c r="AL113" s="22">
        <v>1</v>
      </c>
      <c r="AM113" s="22" t="s">
        <v>1640</v>
      </c>
    </row>
    <row r="114" spans="4:39" ht="12.95" customHeight="1">
      <c r="O114" s="2" t="s">
        <v>1710</v>
      </c>
      <c r="P114" s="2"/>
      <c r="Q114" s="2"/>
      <c r="R114" s="2"/>
      <c r="S114" s="2"/>
      <c r="T114" s="2"/>
      <c r="U114" s="2"/>
      <c r="V114" s="2"/>
      <c r="W114" s="2"/>
      <c r="AA114" s="3" t="s">
        <v>1805</v>
      </c>
      <c r="AB114" s="22" t="s">
        <v>546</v>
      </c>
      <c r="AC114" s="22" t="s">
        <v>546</v>
      </c>
      <c r="AD114" s="22">
        <v>1</v>
      </c>
      <c r="AE114" s="22" t="s">
        <v>1640</v>
      </c>
      <c r="AF114" s="22">
        <v>0</v>
      </c>
      <c r="AG114" s="22">
        <v>0</v>
      </c>
      <c r="AH114" s="22" t="s">
        <v>546</v>
      </c>
      <c r="AI114" s="22" t="s">
        <v>546</v>
      </c>
      <c r="AJ114" s="22">
        <v>0</v>
      </c>
      <c r="AK114" s="22">
        <v>0</v>
      </c>
      <c r="AL114" s="22">
        <v>1</v>
      </c>
      <c r="AM114" s="22" t="s">
        <v>1640</v>
      </c>
    </row>
    <row r="115" spans="4:39" ht="12.95" customHeight="1">
      <c r="O115" s="2" t="s">
        <v>1711</v>
      </c>
      <c r="P115" s="5">
        <v>91</v>
      </c>
      <c r="Q115" s="5">
        <v>128</v>
      </c>
      <c r="R115" s="5">
        <v>177</v>
      </c>
      <c r="S115" s="5">
        <v>176</v>
      </c>
      <c r="T115" s="5">
        <v>88</v>
      </c>
      <c r="U115" s="5">
        <v>84</v>
      </c>
      <c r="V115" s="5">
        <v>88.1</v>
      </c>
      <c r="W115" s="5">
        <v>88.4</v>
      </c>
      <c r="AA115" s="3"/>
      <c r="AB115" s="3"/>
      <c r="AC115" s="3"/>
      <c r="AD115" s="3"/>
      <c r="AE115" s="3"/>
      <c r="AF115" s="3"/>
      <c r="AG115" s="3"/>
      <c r="AH115" s="3"/>
      <c r="AI115" s="3"/>
      <c r="AJ115" s="3"/>
      <c r="AK115" s="3"/>
      <c r="AL115" s="3"/>
      <c r="AM115" s="3"/>
    </row>
    <row r="116" spans="4:39" ht="12" customHeight="1">
      <c r="O116" s="10" t="s">
        <v>1712</v>
      </c>
      <c r="P116" s="11">
        <v>13</v>
      </c>
      <c r="Q116" s="11">
        <v>25</v>
      </c>
      <c r="R116" s="11">
        <v>24</v>
      </c>
      <c r="S116" s="11">
        <v>23</v>
      </c>
      <c r="T116" s="11">
        <v>13</v>
      </c>
      <c r="U116" s="11">
        <v>16</v>
      </c>
      <c r="V116" s="11">
        <v>11.9</v>
      </c>
      <c r="W116" s="11">
        <v>11.6</v>
      </c>
      <c r="AA116" s="10" t="s">
        <v>1806</v>
      </c>
      <c r="AB116" s="11">
        <v>15</v>
      </c>
      <c r="AC116" s="11" t="s">
        <v>546</v>
      </c>
      <c r="AD116" s="11">
        <v>6</v>
      </c>
      <c r="AE116" s="11" t="s">
        <v>546</v>
      </c>
      <c r="AF116" s="11">
        <v>3</v>
      </c>
      <c r="AG116" s="11" t="s">
        <v>546</v>
      </c>
      <c r="AH116" s="11">
        <v>15</v>
      </c>
      <c r="AI116" s="11" t="s">
        <v>1640</v>
      </c>
      <c r="AJ116" s="11">
        <v>6</v>
      </c>
      <c r="AK116" s="11" t="s">
        <v>546</v>
      </c>
      <c r="AL116" s="11">
        <v>3</v>
      </c>
      <c r="AM116" s="11" t="s">
        <v>546</v>
      </c>
    </row>
    <row r="117" spans="4:39" ht="12" customHeight="1">
      <c r="O117" s="2036" t="s">
        <v>1628</v>
      </c>
      <c r="P117" s="2036"/>
      <c r="Q117" s="2"/>
      <c r="R117" s="2"/>
      <c r="S117" s="2"/>
      <c r="T117" s="2"/>
      <c r="U117" s="2"/>
      <c r="V117" s="2"/>
      <c r="W117" s="2"/>
      <c r="AA117" s="13" t="s">
        <v>1628</v>
      </c>
      <c r="AB117" s="2"/>
      <c r="AC117" s="2"/>
      <c r="AD117" s="2"/>
      <c r="AE117" s="2"/>
      <c r="AF117" s="2"/>
      <c r="AG117" s="2"/>
      <c r="AH117" s="2"/>
      <c r="AI117" s="2"/>
      <c r="AJ117" s="2"/>
      <c r="AK117" s="2"/>
      <c r="AL117" s="2"/>
      <c r="AM117" s="2"/>
    </row>
    <row r="118" spans="4:39" ht="12" customHeight="1">
      <c r="D118" s="91"/>
      <c r="AA118" s="2045" t="s">
        <v>1646</v>
      </c>
      <c r="AB118" s="2045"/>
      <c r="AC118" s="2045"/>
      <c r="AD118" s="2045"/>
      <c r="AE118" s="2"/>
      <c r="AF118" s="2"/>
      <c r="AG118" s="2"/>
      <c r="AH118" s="2"/>
      <c r="AI118" s="2"/>
      <c r="AJ118" s="2"/>
      <c r="AK118" s="2"/>
      <c r="AL118" s="2"/>
      <c r="AM118" s="2"/>
    </row>
    <row r="119" spans="4:39" ht="12" customHeight="1">
      <c r="AA119" s="2045" t="s">
        <v>1629</v>
      </c>
      <c r="AB119" s="2045"/>
      <c r="AC119" s="2045"/>
      <c r="AD119" s="2"/>
      <c r="AE119" s="2"/>
      <c r="AF119" s="2"/>
      <c r="AG119" s="2"/>
      <c r="AH119" s="2"/>
      <c r="AI119" s="2"/>
      <c r="AJ119" s="2"/>
      <c r="AK119" s="2"/>
      <c r="AL119" s="2"/>
      <c r="AM119" s="2"/>
    </row>
    <row r="120" spans="4:39" ht="12" customHeight="1"/>
    <row r="121" spans="4:39" ht="12" customHeight="1"/>
    <row r="122" spans="4:39">
      <c r="AA122" s="1" t="s">
        <v>1807</v>
      </c>
      <c r="AB122" s="2"/>
      <c r="AC122" s="2"/>
      <c r="AD122" s="2"/>
      <c r="AE122" s="2"/>
      <c r="AF122" s="2"/>
      <c r="AG122" s="2"/>
    </row>
    <row r="123" spans="4:39">
      <c r="AA123" s="8" t="s">
        <v>1808</v>
      </c>
      <c r="AB123" s="9">
        <v>2024</v>
      </c>
      <c r="AC123" s="9">
        <v>2023</v>
      </c>
      <c r="AD123" s="9">
        <v>2022</v>
      </c>
      <c r="AE123" s="9">
        <v>2021</v>
      </c>
      <c r="AF123" s="9">
        <v>2020</v>
      </c>
      <c r="AG123" s="33">
        <v>2019</v>
      </c>
    </row>
    <row r="124" spans="4:39">
      <c r="AA124" s="11" t="s">
        <v>545</v>
      </c>
      <c r="AB124" s="9">
        <v>459</v>
      </c>
      <c r="AC124" s="9">
        <v>628</v>
      </c>
      <c r="AD124" s="9">
        <v>798</v>
      </c>
      <c r="AE124" s="9">
        <v>300</v>
      </c>
      <c r="AF124" s="9">
        <v>270</v>
      </c>
      <c r="AG124" s="33">
        <v>320</v>
      </c>
    </row>
    <row r="125" spans="4:39" ht="12" customHeight="1">
      <c r="AA125" s="2062" t="s">
        <v>2769</v>
      </c>
      <c r="AB125" s="2062"/>
      <c r="AC125" s="2062"/>
      <c r="AD125" s="2062"/>
      <c r="AE125" s="2062"/>
      <c r="AF125" s="2062"/>
      <c r="AG125" s="2062"/>
    </row>
    <row r="126" spans="4:39" ht="9.75" customHeight="1">
      <c r="AA126" s="2061"/>
      <c r="AB126" s="2061"/>
      <c r="AC126" s="2061"/>
      <c r="AD126" s="2"/>
      <c r="AE126" s="2"/>
      <c r="AF126" s="2"/>
      <c r="AG126" s="2"/>
    </row>
    <row r="129" spans="27:37" ht="12" customHeight="1">
      <c r="AA129" s="2055" t="s">
        <v>1939</v>
      </c>
      <c r="AB129" s="2055"/>
      <c r="AC129" s="2055"/>
      <c r="AD129" s="2055"/>
      <c r="AE129" s="2055"/>
      <c r="AF129" s="2055"/>
      <c r="AG129" s="2055"/>
      <c r="AH129" s="3"/>
      <c r="AI129" s="3"/>
      <c r="AJ129" s="3"/>
      <c r="AK129" s="3"/>
    </row>
    <row r="130" spans="27:37" ht="12" customHeight="1">
      <c r="AA130" s="3" t="s">
        <v>1809</v>
      </c>
      <c r="AB130" s="3"/>
      <c r="AC130" s="3"/>
      <c r="AD130" s="3"/>
      <c r="AE130" s="3"/>
      <c r="AF130" s="3"/>
      <c r="AG130" s="3"/>
      <c r="AH130" s="3"/>
      <c r="AI130" s="3"/>
      <c r="AJ130" s="3"/>
      <c r="AK130" s="3"/>
    </row>
    <row r="131" spans="27:37" ht="12" customHeight="1">
      <c r="AA131" s="32" t="s">
        <v>1810</v>
      </c>
      <c r="AB131" s="15">
        <v>2024</v>
      </c>
      <c r="AC131" s="17">
        <v>2023</v>
      </c>
      <c r="AD131" s="17">
        <v>2022</v>
      </c>
      <c r="AE131" s="17">
        <v>2021</v>
      </c>
      <c r="AF131" s="17">
        <v>2020</v>
      </c>
      <c r="AG131" s="17">
        <v>2019</v>
      </c>
      <c r="AH131" s="17">
        <v>2018</v>
      </c>
      <c r="AI131" s="17">
        <v>2017</v>
      </c>
      <c r="AJ131" s="17">
        <v>2016</v>
      </c>
      <c r="AK131" s="28">
        <v>2015</v>
      </c>
    </row>
    <row r="132" spans="27:37" ht="12.95" customHeight="1">
      <c r="AA132" s="108" t="s">
        <v>129</v>
      </c>
      <c r="AB132" s="107">
        <v>379.1</v>
      </c>
      <c r="AC132" s="107">
        <v>383.2</v>
      </c>
      <c r="AD132" s="107">
        <v>294.5</v>
      </c>
      <c r="AE132" s="107">
        <v>484.1</v>
      </c>
      <c r="AF132" s="107">
        <v>263.3</v>
      </c>
      <c r="AG132" s="107">
        <v>492.6</v>
      </c>
      <c r="AH132" s="107">
        <v>513.29999999999995</v>
      </c>
      <c r="AI132" s="107">
        <v>342.2</v>
      </c>
      <c r="AJ132" s="107">
        <v>456.6</v>
      </c>
      <c r="AK132" s="107">
        <v>565.79999999999995</v>
      </c>
    </row>
    <row r="133" spans="27:37" ht="12.95" customHeight="1">
      <c r="AA133" s="3" t="s">
        <v>1811</v>
      </c>
      <c r="AB133" s="22">
        <v>365.5</v>
      </c>
      <c r="AC133" s="22">
        <v>360.6</v>
      </c>
      <c r="AD133" s="22">
        <v>273.60000000000002</v>
      </c>
      <c r="AE133" s="22">
        <v>438</v>
      </c>
      <c r="AF133" s="22">
        <v>262.8</v>
      </c>
      <c r="AG133" s="22">
        <v>409.7</v>
      </c>
      <c r="AH133" s="22">
        <v>464.2</v>
      </c>
      <c r="AI133" s="22">
        <v>309.89999999999998</v>
      </c>
      <c r="AJ133" s="22">
        <v>427.6</v>
      </c>
      <c r="AK133" s="22">
        <v>513.5</v>
      </c>
    </row>
    <row r="134" spans="27:37" ht="12.95" customHeight="1">
      <c r="AA134" s="3" t="s">
        <v>1812</v>
      </c>
      <c r="AB134" s="22">
        <v>317</v>
      </c>
      <c r="AC134" s="22">
        <v>322.89999999999998</v>
      </c>
      <c r="AD134" s="22">
        <v>219.5</v>
      </c>
      <c r="AE134" s="22">
        <v>382.7</v>
      </c>
      <c r="AF134" s="22">
        <v>239</v>
      </c>
      <c r="AG134" s="22">
        <v>363.5</v>
      </c>
      <c r="AH134" s="22">
        <v>397</v>
      </c>
      <c r="AI134" s="22">
        <v>271.60000000000002</v>
      </c>
      <c r="AJ134" s="22">
        <v>378.3</v>
      </c>
      <c r="AK134" s="22">
        <v>455.7</v>
      </c>
    </row>
    <row r="135" spans="27:37" ht="12.95" customHeight="1">
      <c r="AA135" s="3" t="s">
        <v>1813</v>
      </c>
      <c r="AB135" s="22">
        <v>27.6</v>
      </c>
      <c r="AC135" s="22">
        <v>17.5</v>
      </c>
      <c r="AD135" s="22">
        <v>21.9</v>
      </c>
      <c r="AE135" s="22">
        <v>36.200000000000003</v>
      </c>
      <c r="AF135" s="22">
        <v>15.1</v>
      </c>
      <c r="AG135" s="22">
        <v>21.4</v>
      </c>
      <c r="AH135" s="22">
        <v>26.3</v>
      </c>
      <c r="AI135" s="22">
        <v>21.6</v>
      </c>
      <c r="AJ135" s="22">
        <v>23.2</v>
      </c>
      <c r="AK135" s="22">
        <v>13.3</v>
      </c>
    </row>
    <row r="136" spans="27:37" ht="12.95" customHeight="1">
      <c r="AA136" s="3" t="s">
        <v>1814</v>
      </c>
      <c r="AB136" s="22">
        <v>5.3</v>
      </c>
      <c r="AC136" s="22">
        <v>3.5</v>
      </c>
      <c r="AD136" s="22">
        <v>5.7</v>
      </c>
      <c r="AE136" s="22">
        <v>0.8</v>
      </c>
      <c r="AF136" s="22">
        <v>0.8</v>
      </c>
      <c r="AG136" s="22">
        <v>1.5</v>
      </c>
      <c r="AH136" s="22">
        <v>3.2</v>
      </c>
      <c r="AI136" s="22">
        <v>2.1</v>
      </c>
      <c r="AJ136" s="22">
        <v>1.4</v>
      </c>
      <c r="AK136" s="22">
        <v>13.8</v>
      </c>
    </row>
    <row r="137" spans="27:37" ht="12.95" customHeight="1">
      <c r="AA137" s="3" t="s">
        <v>1815</v>
      </c>
      <c r="AB137" s="22">
        <v>7.9</v>
      </c>
      <c r="AC137" s="22">
        <v>14.1</v>
      </c>
      <c r="AD137" s="22">
        <v>19.3</v>
      </c>
      <c r="AE137" s="22">
        <v>15</v>
      </c>
      <c r="AF137" s="22">
        <v>4.3</v>
      </c>
      <c r="AG137" s="22">
        <v>19.3</v>
      </c>
      <c r="AH137" s="22">
        <v>34.799999999999997</v>
      </c>
      <c r="AI137" s="22">
        <v>12.2</v>
      </c>
      <c r="AJ137" s="22">
        <v>22.6</v>
      </c>
      <c r="AK137" s="22">
        <v>27.2</v>
      </c>
    </row>
    <row r="138" spans="27:37" ht="12.95" customHeight="1">
      <c r="AA138" s="3" t="s">
        <v>1816</v>
      </c>
      <c r="AB138" s="22">
        <v>5.4</v>
      </c>
      <c r="AC138" s="22">
        <v>2</v>
      </c>
      <c r="AD138" s="22">
        <v>4.5999999999999996</v>
      </c>
      <c r="AE138" s="22">
        <v>3.3</v>
      </c>
      <c r="AF138" s="22">
        <v>0.9</v>
      </c>
      <c r="AG138" s="22">
        <v>1.6</v>
      </c>
      <c r="AH138" s="22">
        <v>0.3</v>
      </c>
      <c r="AI138" s="22">
        <v>0</v>
      </c>
      <c r="AJ138" s="22">
        <v>0.6</v>
      </c>
      <c r="AK138" s="22">
        <v>1.8</v>
      </c>
    </row>
    <row r="139" spans="27:37" ht="12.95" customHeight="1">
      <c r="AA139" s="3" t="s">
        <v>1709</v>
      </c>
      <c r="AB139" s="22">
        <v>21.4</v>
      </c>
      <c r="AC139" s="22">
        <v>0.6</v>
      </c>
      <c r="AD139" s="22">
        <v>2.6</v>
      </c>
      <c r="AE139" s="22">
        <v>0</v>
      </c>
      <c r="AF139" s="22">
        <v>2.7</v>
      </c>
      <c r="AG139" s="22">
        <v>2.4</v>
      </c>
      <c r="AH139" s="22">
        <v>2.6</v>
      </c>
      <c r="AI139" s="22">
        <v>2.4</v>
      </c>
      <c r="AJ139" s="22">
        <v>0.7</v>
      </c>
      <c r="AK139" s="22">
        <v>1.7</v>
      </c>
    </row>
    <row r="140" spans="27:37" ht="12.95" customHeight="1">
      <c r="AA140" s="3"/>
      <c r="AB140" s="3"/>
      <c r="AC140" s="3"/>
      <c r="AD140" s="3"/>
      <c r="AE140" s="3"/>
      <c r="AF140" s="3"/>
      <c r="AG140" s="3"/>
      <c r="AH140" s="3"/>
      <c r="AI140" s="3"/>
      <c r="AJ140" s="3"/>
      <c r="AK140" s="3"/>
    </row>
    <row r="141" spans="27:37" ht="12.95" customHeight="1">
      <c r="AA141" s="3" t="s">
        <v>1817</v>
      </c>
      <c r="AB141" s="3"/>
      <c r="AC141" s="22">
        <v>22.6</v>
      </c>
      <c r="AD141" s="22">
        <v>20.9</v>
      </c>
      <c r="AE141" s="22">
        <v>46.1</v>
      </c>
      <c r="AF141" s="22">
        <v>0.5</v>
      </c>
      <c r="AG141" s="22">
        <v>82.9</v>
      </c>
      <c r="AH141" s="22">
        <v>49.1</v>
      </c>
      <c r="AI141" s="22">
        <v>32.299999999999997</v>
      </c>
      <c r="AJ141" s="22">
        <v>28</v>
      </c>
      <c r="AK141" s="22">
        <v>52.3</v>
      </c>
    </row>
    <row r="142" spans="27:37" ht="12.95" customHeight="1">
      <c r="AA142" s="3" t="s">
        <v>1818</v>
      </c>
      <c r="AB142" s="22">
        <v>3.7</v>
      </c>
      <c r="AC142" s="22">
        <v>16.8</v>
      </c>
      <c r="AD142" s="22">
        <v>7.9</v>
      </c>
      <c r="AE142" s="22">
        <v>5.0999999999999996</v>
      </c>
      <c r="AF142" s="22">
        <v>0.4</v>
      </c>
      <c r="AG142" s="22">
        <v>55.1</v>
      </c>
      <c r="AH142" s="22">
        <v>15.5</v>
      </c>
      <c r="AI142" s="22">
        <v>12.8</v>
      </c>
      <c r="AJ142" s="22">
        <v>5.2</v>
      </c>
      <c r="AK142" s="22">
        <v>21.7</v>
      </c>
    </row>
    <row r="143" spans="27:37" ht="12.95" customHeight="1">
      <c r="AA143" s="3" t="s">
        <v>1819</v>
      </c>
      <c r="AB143" s="22">
        <v>23.4</v>
      </c>
      <c r="AC143" s="22">
        <v>2.2000000000000002</v>
      </c>
      <c r="AD143" s="22">
        <v>4.8</v>
      </c>
      <c r="AE143" s="22">
        <v>25.8</v>
      </c>
      <c r="AF143" s="22">
        <v>0.1</v>
      </c>
      <c r="AG143" s="22">
        <v>15.8</v>
      </c>
      <c r="AH143" s="22">
        <v>21.9</v>
      </c>
      <c r="AI143" s="22">
        <v>15</v>
      </c>
      <c r="AJ143" s="22">
        <v>6</v>
      </c>
      <c r="AK143" s="22">
        <v>4.7</v>
      </c>
    </row>
    <row r="144" spans="27:37" ht="12.95" customHeight="1">
      <c r="AA144" s="3" t="s">
        <v>1820</v>
      </c>
      <c r="AB144" s="22">
        <v>0.2</v>
      </c>
      <c r="AC144" s="22">
        <v>0.1</v>
      </c>
      <c r="AD144" s="22">
        <v>2.1</v>
      </c>
      <c r="AE144" s="22">
        <v>3</v>
      </c>
      <c r="AF144" s="22">
        <v>0</v>
      </c>
      <c r="AG144" s="22">
        <v>3.4</v>
      </c>
      <c r="AH144" s="22">
        <v>4.9000000000000004</v>
      </c>
      <c r="AI144" s="22">
        <v>1.4</v>
      </c>
      <c r="AJ144" s="22">
        <v>3.7</v>
      </c>
      <c r="AK144" s="22">
        <v>3.7</v>
      </c>
    </row>
    <row r="145" spans="27:37" ht="12.95" customHeight="1">
      <c r="AA145" s="3" t="s">
        <v>1821</v>
      </c>
      <c r="AB145" s="22">
        <v>0.2</v>
      </c>
      <c r="AC145" s="22">
        <v>0</v>
      </c>
      <c r="AD145" s="22">
        <v>0.2</v>
      </c>
      <c r="AE145" s="22">
        <v>0.4</v>
      </c>
      <c r="AF145" s="22">
        <v>0</v>
      </c>
      <c r="AG145" s="22">
        <v>0.2</v>
      </c>
      <c r="AH145" s="22">
        <v>0.4</v>
      </c>
      <c r="AI145" s="22">
        <v>0.7</v>
      </c>
      <c r="AJ145" s="22">
        <v>0.1</v>
      </c>
      <c r="AK145" s="22">
        <v>0.2</v>
      </c>
    </row>
    <row r="146" spans="27:37" ht="12.95" customHeight="1">
      <c r="AA146" s="3" t="s">
        <v>1815</v>
      </c>
      <c r="AB146" s="22">
        <v>7</v>
      </c>
      <c r="AC146" s="22">
        <v>3.4</v>
      </c>
      <c r="AD146" s="22">
        <v>6.1</v>
      </c>
      <c r="AE146" s="22">
        <v>10.3</v>
      </c>
      <c r="AF146" s="22">
        <v>0</v>
      </c>
      <c r="AG146" s="22">
        <v>7.7</v>
      </c>
      <c r="AH146" s="22">
        <v>6.2</v>
      </c>
      <c r="AI146" s="22">
        <v>1.9</v>
      </c>
      <c r="AJ146" s="22">
        <v>12</v>
      </c>
      <c r="AK146" s="22">
        <v>20.8</v>
      </c>
    </row>
    <row r="147" spans="27:37" ht="12.95" customHeight="1">
      <c r="AA147" s="3" t="s">
        <v>1822</v>
      </c>
      <c r="AB147" s="22">
        <v>0</v>
      </c>
      <c r="AC147" s="22">
        <v>0</v>
      </c>
      <c r="AD147" s="22">
        <v>0</v>
      </c>
      <c r="AE147" s="22">
        <v>0.5</v>
      </c>
      <c r="AF147" s="22">
        <v>0</v>
      </c>
      <c r="AG147" s="22">
        <v>0.1</v>
      </c>
      <c r="AH147" s="22">
        <v>0</v>
      </c>
      <c r="AI147" s="22">
        <v>0.3</v>
      </c>
      <c r="AJ147" s="22">
        <v>0.3</v>
      </c>
      <c r="AK147" s="22">
        <v>0.8</v>
      </c>
    </row>
    <row r="148" spans="27:37" ht="12.95" customHeight="1">
      <c r="AA148" s="23" t="s">
        <v>1709</v>
      </c>
      <c r="AB148" s="29">
        <v>0.1</v>
      </c>
      <c r="AC148" s="29">
        <v>0.1</v>
      </c>
      <c r="AD148" s="29">
        <v>0</v>
      </c>
      <c r="AE148" s="29">
        <v>1</v>
      </c>
      <c r="AF148" s="29">
        <v>0</v>
      </c>
      <c r="AG148" s="29">
        <v>0.6</v>
      </c>
      <c r="AH148" s="29">
        <v>0.2</v>
      </c>
      <c r="AI148" s="29">
        <v>0.2</v>
      </c>
      <c r="AJ148" s="29">
        <v>0.7</v>
      </c>
      <c r="AK148" s="29">
        <v>0.3</v>
      </c>
    </row>
    <row r="149" spans="27:37" ht="12" customHeight="1">
      <c r="AA149" s="2037" t="s">
        <v>1823</v>
      </c>
      <c r="AB149" s="2037"/>
      <c r="AC149" s="2037"/>
      <c r="AD149" s="2037"/>
      <c r="AE149" s="2037"/>
      <c r="AF149" s="2037"/>
      <c r="AG149" s="2037"/>
      <c r="AH149" s="2037"/>
      <c r="AI149" s="30"/>
      <c r="AJ149" s="30"/>
      <c r="AK149" s="3"/>
    </row>
    <row r="150" spans="27:37" ht="12" customHeight="1">
      <c r="AA150" s="2037" t="s">
        <v>1824</v>
      </c>
      <c r="AB150" s="2037"/>
      <c r="AC150" s="2037"/>
      <c r="AD150" s="2037"/>
      <c r="AE150" s="2037"/>
      <c r="AF150" s="2037"/>
      <c r="AG150" s="2037"/>
      <c r="AH150" s="2037"/>
      <c r="AI150" s="2037"/>
      <c r="AJ150" s="2037"/>
      <c r="AK150" s="3"/>
    </row>
  </sheetData>
  <mergeCells count="124">
    <mergeCell ref="CA77:CB77"/>
    <mergeCell ref="CA70:CB70"/>
    <mergeCell ref="CA71:CB71"/>
    <mergeCell ref="CA73:CB73"/>
    <mergeCell ref="CA74:CB74"/>
    <mergeCell ref="CA75:CB75"/>
    <mergeCell ref="CA76:CB76"/>
    <mergeCell ref="CA59:CB59"/>
    <mergeCell ref="BZ65:CE65"/>
    <mergeCell ref="CA66:CE66"/>
    <mergeCell ref="CA67:CB67"/>
    <mergeCell ref="CA68:CB68"/>
    <mergeCell ref="CA69:CB69"/>
    <mergeCell ref="CA52:CB52"/>
    <mergeCell ref="CA53:CB53"/>
    <mergeCell ref="CA54:CB54"/>
    <mergeCell ref="CA56:CB56"/>
    <mergeCell ref="CA57:CB57"/>
    <mergeCell ref="CA58:CB58"/>
    <mergeCell ref="CA41:CB41"/>
    <mergeCell ref="CA42:CB42"/>
    <mergeCell ref="CA43:CB43"/>
    <mergeCell ref="CA44:CB44"/>
    <mergeCell ref="BZ50:CE50"/>
    <mergeCell ref="CA51:CE51"/>
    <mergeCell ref="CA33:CE33"/>
    <mergeCell ref="CA34:CB34"/>
    <mergeCell ref="CA35:CB35"/>
    <mergeCell ref="CA36:CB36"/>
    <mergeCell ref="CA37:CB37"/>
    <mergeCell ref="CA20:CB20"/>
    <mergeCell ref="CA21:CB21"/>
    <mergeCell ref="CA24:CB24"/>
    <mergeCell ref="CA25:CB25"/>
    <mergeCell ref="CA26:CB26"/>
    <mergeCell ref="CA27:CB27"/>
    <mergeCell ref="BL33:BQ33"/>
    <mergeCell ref="BL34:BN34"/>
    <mergeCell ref="BS22:BT22"/>
    <mergeCell ref="BU22:BV22"/>
    <mergeCell ref="CA2:CD2"/>
    <mergeCell ref="BZ15:CE15"/>
    <mergeCell ref="CA16:CE16"/>
    <mergeCell ref="CA17:CB17"/>
    <mergeCell ref="CA18:CB18"/>
    <mergeCell ref="CA19:CB19"/>
    <mergeCell ref="BU3:BV3"/>
    <mergeCell ref="BL15:BQ15"/>
    <mergeCell ref="BL16:BN16"/>
    <mergeCell ref="BL20:BQ20"/>
    <mergeCell ref="BL21:BL22"/>
    <mergeCell ref="BM22:BN22"/>
    <mergeCell ref="BO22:BP22"/>
    <mergeCell ref="BQ22:BR22"/>
    <mergeCell ref="BL2:BL3"/>
    <mergeCell ref="BM3:BN3"/>
    <mergeCell ref="BO3:BP3"/>
    <mergeCell ref="BQ3:BR3"/>
    <mergeCell ref="BS3:BT3"/>
    <mergeCell ref="BZ32:CE32"/>
    <mergeCell ref="AA129:AG129"/>
    <mergeCell ref="AA149:AH149"/>
    <mergeCell ref="AA150:AJ150"/>
    <mergeCell ref="AB88:AG88"/>
    <mergeCell ref="AH88:AM88"/>
    <mergeCell ref="AB89:AC89"/>
    <mergeCell ref="AD89:AE89"/>
    <mergeCell ref="AF89:AG89"/>
    <mergeCell ref="AH89:AI89"/>
    <mergeCell ref="AJ89:AK89"/>
    <mergeCell ref="AL89:AM89"/>
    <mergeCell ref="AA81:AB81"/>
    <mergeCell ref="AA82:AD82"/>
    <mergeCell ref="AA16:AE16"/>
    <mergeCell ref="AA17:AE17"/>
    <mergeCell ref="AA15:AE15"/>
    <mergeCell ref="AA50:AB50"/>
    <mergeCell ref="AA118:AD118"/>
    <mergeCell ref="AA119:AC119"/>
    <mergeCell ref="AA126:AC126"/>
    <mergeCell ref="AA125:AG125"/>
    <mergeCell ref="O58:P58"/>
    <mergeCell ref="AH2:AJ2"/>
    <mergeCell ref="AH23:AJ23"/>
    <mergeCell ref="AA48:AB48"/>
    <mergeCell ref="AA49:AE49"/>
    <mergeCell ref="AA51:AB51"/>
    <mergeCell ref="AB57:AE57"/>
    <mergeCell ref="AF57:AI57"/>
    <mergeCell ref="AJ57:AM57"/>
    <mergeCell ref="B29:C29"/>
    <mergeCell ref="AC3:AC4"/>
    <mergeCell ref="AB23:AD23"/>
    <mergeCell ref="AE23:AG23"/>
    <mergeCell ref="AB2:AD2"/>
    <mergeCell ref="AE2:AG2"/>
    <mergeCell ref="B19:B20"/>
    <mergeCell ref="C33:G33"/>
    <mergeCell ref="H33:L33"/>
    <mergeCell ref="R2:S2"/>
    <mergeCell ref="P63:S63"/>
    <mergeCell ref="T63:W63"/>
    <mergeCell ref="O117:P117"/>
    <mergeCell ref="B76:F76"/>
    <mergeCell ref="B77:C77"/>
    <mergeCell ref="B78:D78"/>
    <mergeCell ref="B79:K79"/>
    <mergeCell ref="B80:D80"/>
    <mergeCell ref="P2:Q2"/>
    <mergeCell ref="B59:D59"/>
    <mergeCell ref="B60:K60"/>
    <mergeCell ref="B61:D61"/>
    <mergeCell ref="C65:G65"/>
    <mergeCell ref="H65:L65"/>
    <mergeCell ref="B75:C75"/>
    <mergeCell ref="B43:C43"/>
    <mergeCell ref="B44:F44"/>
    <mergeCell ref="C48:G48"/>
    <mergeCell ref="H48:L48"/>
    <mergeCell ref="B57:C57"/>
    <mergeCell ref="B58:F58"/>
    <mergeCell ref="C2:G2"/>
    <mergeCell ref="H2:L2"/>
    <mergeCell ref="C19:D1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D98B-F9B8-471C-BFBC-4E79EEDDC0F8}">
  <sheetPr>
    <tabColor rgb="FFFFFF00"/>
    <pageSetUpPr fitToPage="1"/>
  </sheetPr>
  <dimension ref="A1:BW63"/>
  <sheetViews>
    <sheetView showGridLines="0" zoomScale="90" zoomScaleNormal="90" workbookViewId="0">
      <selection activeCell="G45" sqref="G45"/>
    </sheetView>
  </sheetViews>
  <sheetFormatPr defaultRowHeight="12.75"/>
  <cols>
    <col min="1" max="1" width="40.7109375" style="585" customWidth="1"/>
    <col min="2" max="2" width="14.7109375" style="585" customWidth="1"/>
    <col min="3" max="3" width="16.7109375" style="585" customWidth="1"/>
    <col min="4" max="4" width="14.7109375" style="585" customWidth="1"/>
    <col min="5" max="5" width="16.7109375" style="585" customWidth="1"/>
    <col min="6" max="7" width="14.7109375" style="585" customWidth="1"/>
    <col min="8" max="9" width="9.5703125" style="585" customWidth="1"/>
    <col min="10" max="11" width="9.140625" style="585"/>
    <col min="12" max="12" width="18.7109375" style="585" customWidth="1"/>
    <col min="13" max="19" width="9.140625" style="585"/>
    <col min="20" max="20" width="10.7109375" style="585" customWidth="1"/>
    <col min="21" max="21" width="9.140625" style="585"/>
    <col min="22" max="22" width="24.7109375" style="585" customWidth="1"/>
    <col min="23" max="26" width="12.7109375" style="585" customWidth="1"/>
    <col min="27" max="28" width="9.140625" style="585"/>
    <col min="29" max="29" width="40.7109375" style="585" customWidth="1"/>
    <col min="30" max="33" width="12.7109375" style="585" customWidth="1"/>
    <col min="34" max="35" width="9.140625" style="585"/>
    <col min="36" max="36" width="50.7109375" style="585" customWidth="1"/>
    <col min="37" max="40" width="12.7109375" style="585" customWidth="1"/>
    <col min="41" max="42" width="9.140625" style="585"/>
    <col min="43" max="43" width="45.7109375" style="585" customWidth="1"/>
    <col min="44" max="47" width="12.7109375" style="585" customWidth="1"/>
    <col min="48" max="49" width="9.140625" style="585"/>
    <col min="50" max="50" width="40.7109375" style="585" customWidth="1"/>
    <col min="51" max="54" width="12.7109375" style="585" customWidth="1"/>
    <col min="55" max="56" width="9.140625" style="585"/>
    <col min="57" max="57" width="45.7109375" style="585" customWidth="1"/>
    <col min="58" max="61" width="11.7109375" style="585" customWidth="1"/>
    <col min="62" max="63" width="9.140625" style="585"/>
    <col min="64" max="64" width="34.7109375" style="585" customWidth="1"/>
    <col min="65" max="68" width="11.7109375" style="585" customWidth="1"/>
    <col min="69" max="70" width="9.140625" style="585"/>
    <col min="71" max="71" width="40.7109375" style="585" customWidth="1"/>
    <col min="72" max="75" width="11.7109375" style="585" customWidth="1"/>
    <col min="76" max="258" width="9.140625" style="585"/>
    <col min="259" max="259" width="40.7109375" style="585" customWidth="1"/>
    <col min="260" max="260" width="14.7109375" style="585" customWidth="1"/>
    <col min="261" max="261" width="16.7109375" style="585" customWidth="1"/>
    <col min="262" max="262" width="14.7109375" style="585" customWidth="1"/>
    <col min="263" max="263" width="16.7109375" style="585" customWidth="1"/>
    <col min="264" max="265" width="14.7109375" style="585" customWidth="1"/>
    <col min="266" max="267" width="9.140625" style="585"/>
    <col min="268" max="268" width="18.7109375" style="585" customWidth="1"/>
    <col min="269" max="275" width="9.140625" style="585"/>
    <col min="276" max="276" width="10.7109375" style="585" customWidth="1"/>
    <col min="277" max="277" width="9.140625" style="585"/>
    <col min="278" max="278" width="24.7109375" style="585" customWidth="1"/>
    <col min="279" max="282" width="12.7109375" style="585" customWidth="1"/>
    <col min="283" max="284" width="9.140625" style="585"/>
    <col min="285" max="285" width="40.7109375" style="585" customWidth="1"/>
    <col min="286" max="289" width="12.7109375" style="585" customWidth="1"/>
    <col min="290" max="291" width="9.140625" style="585"/>
    <col min="292" max="292" width="50.7109375" style="585" customWidth="1"/>
    <col min="293" max="296" width="12.7109375" style="585" customWidth="1"/>
    <col min="297" max="298" width="9.140625" style="585"/>
    <col min="299" max="299" width="45.7109375" style="585" customWidth="1"/>
    <col min="300" max="303" width="12.7109375" style="585" customWidth="1"/>
    <col min="304" max="305" width="9.140625" style="585"/>
    <col min="306" max="306" width="40.7109375" style="585" customWidth="1"/>
    <col min="307" max="310" width="12.7109375" style="585" customWidth="1"/>
    <col min="311" max="312" width="9.140625" style="585"/>
    <col min="313" max="313" width="45.7109375" style="585" customWidth="1"/>
    <col min="314" max="317" width="11.7109375" style="585" customWidth="1"/>
    <col min="318" max="319" width="9.140625" style="585"/>
    <col min="320" max="320" width="34.7109375" style="585" customWidth="1"/>
    <col min="321" max="324" width="11.7109375" style="585" customWidth="1"/>
    <col min="325" max="326" width="9.140625" style="585"/>
    <col min="327" max="327" width="40.7109375" style="585" customWidth="1"/>
    <col min="328" max="331" width="11.7109375" style="585" customWidth="1"/>
    <col min="332" max="514" width="9.140625" style="585"/>
    <col min="515" max="515" width="40.7109375" style="585" customWidth="1"/>
    <col min="516" max="516" width="14.7109375" style="585" customWidth="1"/>
    <col min="517" max="517" width="16.7109375" style="585" customWidth="1"/>
    <col min="518" max="518" width="14.7109375" style="585" customWidth="1"/>
    <col min="519" max="519" width="16.7109375" style="585" customWidth="1"/>
    <col min="520" max="521" width="14.7109375" style="585" customWidth="1"/>
    <col min="522" max="523" width="9.140625" style="585"/>
    <col min="524" max="524" width="18.7109375" style="585" customWidth="1"/>
    <col min="525" max="531" width="9.140625" style="585"/>
    <col min="532" max="532" width="10.7109375" style="585" customWidth="1"/>
    <col min="533" max="533" width="9.140625" style="585"/>
    <col min="534" max="534" width="24.7109375" style="585" customWidth="1"/>
    <col min="535" max="538" width="12.7109375" style="585" customWidth="1"/>
    <col min="539" max="540" width="9.140625" style="585"/>
    <col min="541" max="541" width="40.7109375" style="585" customWidth="1"/>
    <col min="542" max="545" width="12.7109375" style="585" customWidth="1"/>
    <col min="546" max="547" width="9.140625" style="585"/>
    <col min="548" max="548" width="50.7109375" style="585" customWidth="1"/>
    <col min="549" max="552" width="12.7109375" style="585" customWidth="1"/>
    <col min="553" max="554" width="9.140625" style="585"/>
    <col min="555" max="555" width="45.7109375" style="585" customWidth="1"/>
    <col min="556" max="559" width="12.7109375" style="585" customWidth="1"/>
    <col min="560" max="561" width="9.140625" style="585"/>
    <col min="562" max="562" width="40.7109375" style="585" customWidth="1"/>
    <col min="563" max="566" width="12.7109375" style="585" customWidth="1"/>
    <col min="567" max="568" width="9.140625" style="585"/>
    <col min="569" max="569" width="45.7109375" style="585" customWidth="1"/>
    <col min="570" max="573" width="11.7109375" style="585" customWidth="1"/>
    <col min="574" max="575" width="9.140625" style="585"/>
    <col min="576" max="576" width="34.7109375" style="585" customWidth="1"/>
    <col min="577" max="580" width="11.7109375" style="585" customWidth="1"/>
    <col min="581" max="582" width="9.140625" style="585"/>
    <col min="583" max="583" width="40.7109375" style="585" customWidth="1"/>
    <col min="584" max="587" width="11.7109375" style="585" customWidth="1"/>
    <col min="588" max="770" width="9.140625" style="585"/>
    <col min="771" max="771" width="40.7109375" style="585" customWidth="1"/>
    <col min="772" max="772" width="14.7109375" style="585" customWidth="1"/>
    <col min="773" max="773" width="16.7109375" style="585" customWidth="1"/>
    <col min="774" max="774" width="14.7109375" style="585" customWidth="1"/>
    <col min="775" max="775" width="16.7109375" style="585" customWidth="1"/>
    <col min="776" max="777" width="14.7109375" style="585" customWidth="1"/>
    <col min="778" max="779" width="9.140625" style="585"/>
    <col min="780" max="780" width="18.7109375" style="585" customWidth="1"/>
    <col min="781" max="787" width="9.140625" style="585"/>
    <col min="788" max="788" width="10.7109375" style="585" customWidth="1"/>
    <col min="789" max="789" width="9.140625" style="585"/>
    <col min="790" max="790" width="24.7109375" style="585" customWidth="1"/>
    <col min="791" max="794" width="12.7109375" style="585" customWidth="1"/>
    <col min="795" max="796" width="9.140625" style="585"/>
    <col min="797" max="797" width="40.7109375" style="585" customWidth="1"/>
    <col min="798" max="801" width="12.7109375" style="585" customWidth="1"/>
    <col min="802" max="803" width="9.140625" style="585"/>
    <col min="804" max="804" width="50.7109375" style="585" customWidth="1"/>
    <col min="805" max="808" width="12.7109375" style="585" customWidth="1"/>
    <col min="809" max="810" width="9.140625" style="585"/>
    <col min="811" max="811" width="45.7109375" style="585" customWidth="1"/>
    <col min="812" max="815" width="12.7109375" style="585" customWidth="1"/>
    <col min="816" max="817" width="9.140625" style="585"/>
    <col min="818" max="818" width="40.7109375" style="585" customWidth="1"/>
    <col min="819" max="822" width="12.7109375" style="585" customWidth="1"/>
    <col min="823" max="824" width="9.140625" style="585"/>
    <col min="825" max="825" width="45.7109375" style="585" customWidth="1"/>
    <col min="826" max="829" width="11.7109375" style="585" customWidth="1"/>
    <col min="830" max="831" width="9.140625" style="585"/>
    <col min="832" max="832" width="34.7109375" style="585" customWidth="1"/>
    <col min="833" max="836" width="11.7109375" style="585" customWidth="1"/>
    <col min="837" max="838" width="9.140625" style="585"/>
    <col min="839" max="839" width="40.7109375" style="585" customWidth="1"/>
    <col min="840" max="843" width="11.7109375" style="585" customWidth="1"/>
    <col min="844" max="1026" width="9.140625" style="585"/>
    <col min="1027" max="1027" width="40.7109375" style="585" customWidth="1"/>
    <col min="1028" max="1028" width="14.7109375" style="585" customWidth="1"/>
    <col min="1029" max="1029" width="16.7109375" style="585" customWidth="1"/>
    <col min="1030" max="1030" width="14.7109375" style="585" customWidth="1"/>
    <col min="1031" max="1031" width="16.7109375" style="585" customWidth="1"/>
    <col min="1032" max="1033" width="14.7109375" style="585" customWidth="1"/>
    <col min="1034" max="1035" width="9.140625" style="585"/>
    <col min="1036" max="1036" width="18.7109375" style="585" customWidth="1"/>
    <col min="1037" max="1043" width="9.140625" style="585"/>
    <col min="1044" max="1044" width="10.7109375" style="585" customWidth="1"/>
    <col min="1045" max="1045" width="9.140625" style="585"/>
    <col min="1046" max="1046" width="24.7109375" style="585" customWidth="1"/>
    <col min="1047" max="1050" width="12.7109375" style="585" customWidth="1"/>
    <col min="1051" max="1052" width="9.140625" style="585"/>
    <col min="1053" max="1053" width="40.7109375" style="585" customWidth="1"/>
    <col min="1054" max="1057" width="12.7109375" style="585" customWidth="1"/>
    <col min="1058" max="1059" width="9.140625" style="585"/>
    <col min="1060" max="1060" width="50.7109375" style="585" customWidth="1"/>
    <col min="1061" max="1064" width="12.7109375" style="585" customWidth="1"/>
    <col min="1065" max="1066" width="9.140625" style="585"/>
    <col min="1067" max="1067" width="45.7109375" style="585" customWidth="1"/>
    <col min="1068" max="1071" width="12.7109375" style="585" customWidth="1"/>
    <col min="1072" max="1073" width="9.140625" style="585"/>
    <col min="1074" max="1074" width="40.7109375" style="585" customWidth="1"/>
    <col min="1075" max="1078" width="12.7109375" style="585" customWidth="1"/>
    <col min="1079" max="1080" width="9.140625" style="585"/>
    <col min="1081" max="1081" width="45.7109375" style="585" customWidth="1"/>
    <col min="1082" max="1085" width="11.7109375" style="585" customWidth="1"/>
    <col min="1086" max="1087" width="9.140625" style="585"/>
    <col min="1088" max="1088" width="34.7109375" style="585" customWidth="1"/>
    <col min="1089" max="1092" width="11.7109375" style="585" customWidth="1"/>
    <col min="1093" max="1094" width="9.140625" style="585"/>
    <col min="1095" max="1095" width="40.7109375" style="585" customWidth="1"/>
    <col min="1096" max="1099" width="11.7109375" style="585" customWidth="1"/>
    <col min="1100" max="1282" width="9.140625" style="585"/>
    <col min="1283" max="1283" width="40.7109375" style="585" customWidth="1"/>
    <col min="1284" max="1284" width="14.7109375" style="585" customWidth="1"/>
    <col min="1285" max="1285" width="16.7109375" style="585" customWidth="1"/>
    <col min="1286" max="1286" width="14.7109375" style="585" customWidth="1"/>
    <col min="1287" max="1287" width="16.7109375" style="585" customWidth="1"/>
    <col min="1288" max="1289" width="14.7109375" style="585" customWidth="1"/>
    <col min="1290" max="1291" width="9.140625" style="585"/>
    <col min="1292" max="1292" width="18.7109375" style="585" customWidth="1"/>
    <col min="1293" max="1299" width="9.140625" style="585"/>
    <col min="1300" max="1300" width="10.7109375" style="585" customWidth="1"/>
    <col min="1301" max="1301" width="9.140625" style="585"/>
    <col min="1302" max="1302" width="24.7109375" style="585" customWidth="1"/>
    <col min="1303" max="1306" width="12.7109375" style="585" customWidth="1"/>
    <col min="1307" max="1308" width="9.140625" style="585"/>
    <col min="1309" max="1309" width="40.7109375" style="585" customWidth="1"/>
    <col min="1310" max="1313" width="12.7109375" style="585" customWidth="1"/>
    <col min="1314" max="1315" width="9.140625" style="585"/>
    <col min="1316" max="1316" width="50.7109375" style="585" customWidth="1"/>
    <col min="1317" max="1320" width="12.7109375" style="585" customWidth="1"/>
    <col min="1321" max="1322" width="9.140625" style="585"/>
    <col min="1323" max="1323" width="45.7109375" style="585" customWidth="1"/>
    <col min="1324" max="1327" width="12.7109375" style="585" customWidth="1"/>
    <col min="1328" max="1329" width="9.140625" style="585"/>
    <col min="1330" max="1330" width="40.7109375" style="585" customWidth="1"/>
    <col min="1331" max="1334" width="12.7109375" style="585" customWidth="1"/>
    <col min="1335" max="1336" width="9.140625" style="585"/>
    <col min="1337" max="1337" width="45.7109375" style="585" customWidth="1"/>
    <col min="1338" max="1341" width="11.7109375" style="585" customWidth="1"/>
    <col min="1342" max="1343" width="9.140625" style="585"/>
    <col min="1344" max="1344" width="34.7109375" style="585" customWidth="1"/>
    <col min="1345" max="1348" width="11.7109375" style="585" customWidth="1"/>
    <col min="1349" max="1350" width="9.140625" style="585"/>
    <col min="1351" max="1351" width="40.7109375" style="585" customWidth="1"/>
    <col min="1352" max="1355" width="11.7109375" style="585" customWidth="1"/>
    <col min="1356" max="1538" width="9.140625" style="585"/>
    <col min="1539" max="1539" width="40.7109375" style="585" customWidth="1"/>
    <col min="1540" max="1540" width="14.7109375" style="585" customWidth="1"/>
    <col min="1541" max="1541" width="16.7109375" style="585" customWidth="1"/>
    <col min="1542" max="1542" width="14.7109375" style="585" customWidth="1"/>
    <col min="1543" max="1543" width="16.7109375" style="585" customWidth="1"/>
    <col min="1544" max="1545" width="14.7109375" style="585" customWidth="1"/>
    <col min="1546" max="1547" width="9.140625" style="585"/>
    <col min="1548" max="1548" width="18.7109375" style="585" customWidth="1"/>
    <col min="1549" max="1555" width="9.140625" style="585"/>
    <col min="1556" max="1556" width="10.7109375" style="585" customWidth="1"/>
    <col min="1557" max="1557" width="9.140625" style="585"/>
    <col min="1558" max="1558" width="24.7109375" style="585" customWidth="1"/>
    <col min="1559" max="1562" width="12.7109375" style="585" customWidth="1"/>
    <col min="1563" max="1564" width="9.140625" style="585"/>
    <col min="1565" max="1565" width="40.7109375" style="585" customWidth="1"/>
    <col min="1566" max="1569" width="12.7109375" style="585" customWidth="1"/>
    <col min="1570" max="1571" width="9.140625" style="585"/>
    <col min="1572" max="1572" width="50.7109375" style="585" customWidth="1"/>
    <col min="1573" max="1576" width="12.7109375" style="585" customWidth="1"/>
    <col min="1577" max="1578" width="9.140625" style="585"/>
    <col min="1579" max="1579" width="45.7109375" style="585" customWidth="1"/>
    <col min="1580" max="1583" width="12.7109375" style="585" customWidth="1"/>
    <col min="1584" max="1585" width="9.140625" style="585"/>
    <col min="1586" max="1586" width="40.7109375" style="585" customWidth="1"/>
    <col min="1587" max="1590" width="12.7109375" style="585" customWidth="1"/>
    <col min="1591" max="1592" width="9.140625" style="585"/>
    <col min="1593" max="1593" width="45.7109375" style="585" customWidth="1"/>
    <col min="1594" max="1597" width="11.7109375" style="585" customWidth="1"/>
    <col min="1598" max="1599" width="9.140625" style="585"/>
    <col min="1600" max="1600" width="34.7109375" style="585" customWidth="1"/>
    <col min="1601" max="1604" width="11.7109375" style="585" customWidth="1"/>
    <col min="1605" max="1606" width="9.140625" style="585"/>
    <col min="1607" max="1607" width="40.7109375" style="585" customWidth="1"/>
    <col min="1608" max="1611" width="11.7109375" style="585" customWidth="1"/>
    <col min="1612" max="1794" width="9.140625" style="585"/>
    <col min="1795" max="1795" width="40.7109375" style="585" customWidth="1"/>
    <col min="1796" max="1796" width="14.7109375" style="585" customWidth="1"/>
    <col min="1797" max="1797" width="16.7109375" style="585" customWidth="1"/>
    <col min="1798" max="1798" width="14.7109375" style="585" customWidth="1"/>
    <col min="1799" max="1799" width="16.7109375" style="585" customWidth="1"/>
    <col min="1800" max="1801" width="14.7109375" style="585" customWidth="1"/>
    <col min="1802" max="1803" width="9.140625" style="585"/>
    <col min="1804" max="1804" width="18.7109375" style="585" customWidth="1"/>
    <col min="1805" max="1811" width="9.140625" style="585"/>
    <col min="1812" max="1812" width="10.7109375" style="585" customWidth="1"/>
    <col min="1813" max="1813" width="9.140625" style="585"/>
    <col min="1814" max="1814" width="24.7109375" style="585" customWidth="1"/>
    <col min="1815" max="1818" width="12.7109375" style="585" customWidth="1"/>
    <col min="1819" max="1820" width="9.140625" style="585"/>
    <col min="1821" max="1821" width="40.7109375" style="585" customWidth="1"/>
    <col min="1822" max="1825" width="12.7109375" style="585" customWidth="1"/>
    <col min="1826" max="1827" width="9.140625" style="585"/>
    <col min="1828" max="1828" width="50.7109375" style="585" customWidth="1"/>
    <col min="1829" max="1832" width="12.7109375" style="585" customWidth="1"/>
    <col min="1833" max="1834" width="9.140625" style="585"/>
    <col min="1835" max="1835" width="45.7109375" style="585" customWidth="1"/>
    <col min="1836" max="1839" width="12.7109375" style="585" customWidth="1"/>
    <col min="1840" max="1841" width="9.140625" style="585"/>
    <col min="1842" max="1842" width="40.7109375" style="585" customWidth="1"/>
    <col min="1843" max="1846" width="12.7109375" style="585" customWidth="1"/>
    <col min="1847" max="1848" width="9.140625" style="585"/>
    <col min="1849" max="1849" width="45.7109375" style="585" customWidth="1"/>
    <col min="1850" max="1853" width="11.7109375" style="585" customWidth="1"/>
    <col min="1854" max="1855" width="9.140625" style="585"/>
    <col min="1856" max="1856" width="34.7109375" style="585" customWidth="1"/>
    <col min="1857" max="1860" width="11.7109375" style="585" customWidth="1"/>
    <col min="1861" max="1862" width="9.140625" style="585"/>
    <col min="1863" max="1863" width="40.7109375" style="585" customWidth="1"/>
    <col min="1864" max="1867" width="11.7109375" style="585" customWidth="1"/>
    <col min="1868" max="2050" width="9.140625" style="585"/>
    <col min="2051" max="2051" width="40.7109375" style="585" customWidth="1"/>
    <col min="2052" max="2052" width="14.7109375" style="585" customWidth="1"/>
    <col min="2053" max="2053" width="16.7109375" style="585" customWidth="1"/>
    <col min="2054" max="2054" width="14.7109375" style="585" customWidth="1"/>
    <col min="2055" max="2055" width="16.7109375" style="585" customWidth="1"/>
    <col min="2056" max="2057" width="14.7109375" style="585" customWidth="1"/>
    <col min="2058" max="2059" width="9.140625" style="585"/>
    <col min="2060" max="2060" width="18.7109375" style="585" customWidth="1"/>
    <col min="2061" max="2067" width="9.140625" style="585"/>
    <col min="2068" max="2068" width="10.7109375" style="585" customWidth="1"/>
    <col min="2069" max="2069" width="9.140625" style="585"/>
    <col min="2070" max="2070" width="24.7109375" style="585" customWidth="1"/>
    <col min="2071" max="2074" width="12.7109375" style="585" customWidth="1"/>
    <col min="2075" max="2076" width="9.140625" style="585"/>
    <col min="2077" max="2077" width="40.7109375" style="585" customWidth="1"/>
    <col min="2078" max="2081" width="12.7109375" style="585" customWidth="1"/>
    <col min="2082" max="2083" width="9.140625" style="585"/>
    <col min="2084" max="2084" width="50.7109375" style="585" customWidth="1"/>
    <col min="2085" max="2088" width="12.7109375" style="585" customWidth="1"/>
    <col min="2089" max="2090" width="9.140625" style="585"/>
    <col min="2091" max="2091" width="45.7109375" style="585" customWidth="1"/>
    <col min="2092" max="2095" width="12.7109375" style="585" customWidth="1"/>
    <col min="2096" max="2097" width="9.140625" style="585"/>
    <col min="2098" max="2098" width="40.7109375" style="585" customWidth="1"/>
    <col min="2099" max="2102" width="12.7109375" style="585" customWidth="1"/>
    <col min="2103" max="2104" width="9.140625" style="585"/>
    <col min="2105" max="2105" width="45.7109375" style="585" customWidth="1"/>
    <col min="2106" max="2109" width="11.7109375" style="585" customWidth="1"/>
    <col min="2110" max="2111" width="9.140625" style="585"/>
    <col min="2112" max="2112" width="34.7109375" style="585" customWidth="1"/>
    <col min="2113" max="2116" width="11.7109375" style="585" customWidth="1"/>
    <col min="2117" max="2118" width="9.140625" style="585"/>
    <col min="2119" max="2119" width="40.7109375" style="585" customWidth="1"/>
    <col min="2120" max="2123" width="11.7109375" style="585" customWidth="1"/>
    <col min="2124" max="2306" width="9.140625" style="585"/>
    <col min="2307" max="2307" width="40.7109375" style="585" customWidth="1"/>
    <col min="2308" max="2308" width="14.7109375" style="585" customWidth="1"/>
    <col min="2309" max="2309" width="16.7109375" style="585" customWidth="1"/>
    <col min="2310" max="2310" width="14.7109375" style="585" customWidth="1"/>
    <col min="2311" max="2311" width="16.7109375" style="585" customWidth="1"/>
    <col min="2312" max="2313" width="14.7109375" style="585" customWidth="1"/>
    <col min="2314" max="2315" width="9.140625" style="585"/>
    <col min="2316" max="2316" width="18.7109375" style="585" customWidth="1"/>
    <col min="2317" max="2323" width="9.140625" style="585"/>
    <col min="2324" max="2324" width="10.7109375" style="585" customWidth="1"/>
    <col min="2325" max="2325" width="9.140625" style="585"/>
    <col min="2326" max="2326" width="24.7109375" style="585" customWidth="1"/>
    <col min="2327" max="2330" width="12.7109375" style="585" customWidth="1"/>
    <col min="2331" max="2332" width="9.140625" style="585"/>
    <col min="2333" max="2333" width="40.7109375" style="585" customWidth="1"/>
    <col min="2334" max="2337" width="12.7109375" style="585" customWidth="1"/>
    <col min="2338" max="2339" width="9.140625" style="585"/>
    <col min="2340" max="2340" width="50.7109375" style="585" customWidth="1"/>
    <col min="2341" max="2344" width="12.7109375" style="585" customWidth="1"/>
    <col min="2345" max="2346" width="9.140625" style="585"/>
    <col min="2347" max="2347" width="45.7109375" style="585" customWidth="1"/>
    <col min="2348" max="2351" width="12.7109375" style="585" customWidth="1"/>
    <col min="2352" max="2353" width="9.140625" style="585"/>
    <col min="2354" max="2354" width="40.7109375" style="585" customWidth="1"/>
    <col min="2355" max="2358" width="12.7109375" style="585" customWidth="1"/>
    <col min="2359" max="2360" width="9.140625" style="585"/>
    <col min="2361" max="2361" width="45.7109375" style="585" customWidth="1"/>
    <col min="2362" max="2365" width="11.7109375" style="585" customWidth="1"/>
    <col min="2366" max="2367" width="9.140625" style="585"/>
    <col min="2368" max="2368" width="34.7109375" style="585" customWidth="1"/>
    <col min="2369" max="2372" width="11.7109375" style="585" customWidth="1"/>
    <col min="2373" max="2374" width="9.140625" style="585"/>
    <col min="2375" max="2375" width="40.7109375" style="585" customWidth="1"/>
    <col min="2376" max="2379" width="11.7109375" style="585" customWidth="1"/>
    <col min="2380" max="2562" width="9.140625" style="585"/>
    <col min="2563" max="2563" width="40.7109375" style="585" customWidth="1"/>
    <col min="2564" max="2564" width="14.7109375" style="585" customWidth="1"/>
    <col min="2565" max="2565" width="16.7109375" style="585" customWidth="1"/>
    <col min="2566" max="2566" width="14.7109375" style="585" customWidth="1"/>
    <col min="2567" max="2567" width="16.7109375" style="585" customWidth="1"/>
    <col min="2568" max="2569" width="14.7109375" style="585" customWidth="1"/>
    <col min="2570" max="2571" width="9.140625" style="585"/>
    <col min="2572" max="2572" width="18.7109375" style="585" customWidth="1"/>
    <col min="2573" max="2579" width="9.140625" style="585"/>
    <col min="2580" max="2580" width="10.7109375" style="585" customWidth="1"/>
    <col min="2581" max="2581" width="9.140625" style="585"/>
    <col min="2582" max="2582" width="24.7109375" style="585" customWidth="1"/>
    <col min="2583" max="2586" width="12.7109375" style="585" customWidth="1"/>
    <col min="2587" max="2588" width="9.140625" style="585"/>
    <col min="2589" max="2589" width="40.7109375" style="585" customWidth="1"/>
    <col min="2590" max="2593" width="12.7109375" style="585" customWidth="1"/>
    <col min="2594" max="2595" width="9.140625" style="585"/>
    <col min="2596" max="2596" width="50.7109375" style="585" customWidth="1"/>
    <col min="2597" max="2600" width="12.7109375" style="585" customWidth="1"/>
    <col min="2601" max="2602" width="9.140625" style="585"/>
    <col min="2603" max="2603" width="45.7109375" style="585" customWidth="1"/>
    <col min="2604" max="2607" width="12.7109375" style="585" customWidth="1"/>
    <col min="2608" max="2609" width="9.140625" style="585"/>
    <col min="2610" max="2610" width="40.7109375" style="585" customWidth="1"/>
    <col min="2611" max="2614" width="12.7109375" style="585" customWidth="1"/>
    <col min="2615" max="2616" width="9.140625" style="585"/>
    <col min="2617" max="2617" width="45.7109375" style="585" customWidth="1"/>
    <col min="2618" max="2621" width="11.7109375" style="585" customWidth="1"/>
    <col min="2622" max="2623" width="9.140625" style="585"/>
    <col min="2624" max="2624" width="34.7109375" style="585" customWidth="1"/>
    <col min="2625" max="2628" width="11.7109375" style="585" customWidth="1"/>
    <col min="2629" max="2630" width="9.140625" style="585"/>
    <col min="2631" max="2631" width="40.7109375" style="585" customWidth="1"/>
    <col min="2632" max="2635" width="11.7109375" style="585" customWidth="1"/>
    <col min="2636" max="2818" width="9.140625" style="585"/>
    <col min="2819" max="2819" width="40.7109375" style="585" customWidth="1"/>
    <col min="2820" max="2820" width="14.7109375" style="585" customWidth="1"/>
    <col min="2821" max="2821" width="16.7109375" style="585" customWidth="1"/>
    <col min="2822" max="2822" width="14.7109375" style="585" customWidth="1"/>
    <col min="2823" max="2823" width="16.7109375" style="585" customWidth="1"/>
    <col min="2824" max="2825" width="14.7109375" style="585" customWidth="1"/>
    <col min="2826" max="2827" width="9.140625" style="585"/>
    <col min="2828" max="2828" width="18.7109375" style="585" customWidth="1"/>
    <col min="2829" max="2835" width="9.140625" style="585"/>
    <col min="2836" max="2836" width="10.7109375" style="585" customWidth="1"/>
    <col min="2837" max="2837" width="9.140625" style="585"/>
    <col min="2838" max="2838" width="24.7109375" style="585" customWidth="1"/>
    <col min="2839" max="2842" width="12.7109375" style="585" customWidth="1"/>
    <col min="2843" max="2844" width="9.140625" style="585"/>
    <col min="2845" max="2845" width="40.7109375" style="585" customWidth="1"/>
    <col min="2846" max="2849" width="12.7109375" style="585" customWidth="1"/>
    <col min="2850" max="2851" width="9.140625" style="585"/>
    <col min="2852" max="2852" width="50.7109375" style="585" customWidth="1"/>
    <col min="2853" max="2856" width="12.7109375" style="585" customWidth="1"/>
    <col min="2857" max="2858" width="9.140625" style="585"/>
    <col min="2859" max="2859" width="45.7109375" style="585" customWidth="1"/>
    <col min="2860" max="2863" width="12.7109375" style="585" customWidth="1"/>
    <col min="2864" max="2865" width="9.140625" style="585"/>
    <col min="2866" max="2866" width="40.7109375" style="585" customWidth="1"/>
    <col min="2867" max="2870" width="12.7109375" style="585" customWidth="1"/>
    <col min="2871" max="2872" width="9.140625" style="585"/>
    <col min="2873" max="2873" width="45.7109375" style="585" customWidth="1"/>
    <col min="2874" max="2877" width="11.7109375" style="585" customWidth="1"/>
    <col min="2878" max="2879" width="9.140625" style="585"/>
    <col min="2880" max="2880" width="34.7109375" style="585" customWidth="1"/>
    <col min="2881" max="2884" width="11.7109375" style="585" customWidth="1"/>
    <col min="2885" max="2886" width="9.140625" style="585"/>
    <col min="2887" max="2887" width="40.7109375" style="585" customWidth="1"/>
    <col min="2888" max="2891" width="11.7109375" style="585" customWidth="1"/>
    <col min="2892" max="3074" width="9.140625" style="585"/>
    <col min="3075" max="3075" width="40.7109375" style="585" customWidth="1"/>
    <col min="3076" max="3076" width="14.7109375" style="585" customWidth="1"/>
    <col min="3077" max="3077" width="16.7109375" style="585" customWidth="1"/>
    <col min="3078" max="3078" width="14.7109375" style="585" customWidth="1"/>
    <col min="3079" max="3079" width="16.7109375" style="585" customWidth="1"/>
    <col min="3080" max="3081" width="14.7109375" style="585" customWidth="1"/>
    <col min="3082" max="3083" width="9.140625" style="585"/>
    <col min="3084" max="3084" width="18.7109375" style="585" customWidth="1"/>
    <col min="3085" max="3091" width="9.140625" style="585"/>
    <col min="3092" max="3092" width="10.7109375" style="585" customWidth="1"/>
    <col min="3093" max="3093" width="9.140625" style="585"/>
    <col min="3094" max="3094" width="24.7109375" style="585" customWidth="1"/>
    <col min="3095" max="3098" width="12.7109375" style="585" customWidth="1"/>
    <col min="3099" max="3100" width="9.140625" style="585"/>
    <col min="3101" max="3101" width="40.7109375" style="585" customWidth="1"/>
    <col min="3102" max="3105" width="12.7109375" style="585" customWidth="1"/>
    <col min="3106" max="3107" width="9.140625" style="585"/>
    <col min="3108" max="3108" width="50.7109375" style="585" customWidth="1"/>
    <col min="3109" max="3112" width="12.7109375" style="585" customWidth="1"/>
    <col min="3113" max="3114" width="9.140625" style="585"/>
    <col min="3115" max="3115" width="45.7109375" style="585" customWidth="1"/>
    <col min="3116" max="3119" width="12.7109375" style="585" customWidth="1"/>
    <col min="3120" max="3121" width="9.140625" style="585"/>
    <col min="3122" max="3122" width="40.7109375" style="585" customWidth="1"/>
    <col min="3123" max="3126" width="12.7109375" style="585" customWidth="1"/>
    <col min="3127" max="3128" width="9.140625" style="585"/>
    <col min="3129" max="3129" width="45.7109375" style="585" customWidth="1"/>
    <col min="3130" max="3133" width="11.7109375" style="585" customWidth="1"/>
    <col min="3134" max="3135" width="9.140625" style="585"/>
    <col min="3136" max="3136" width="34.7109375" style="585" customWidth="1"/>
    <col min="3137" max="3140" width="11.7109375" style="585" customWidth="1"/>
    <col min="3141" max="3142" width="9.140625" style="585"/>
    <col min="3143" max="3143" width="40.7109375" style="585" customWidth="1"/>
    <col min="3144" max="3147" width="11.7109375" style="585" customWidth="1"/>
    <col min="3148" max="3330" width="9.140625" style="585"/>
    <col min="3331" max="3331" width="40.7109375" style="585" customWidth="1"/>
    <col min="3332" max="3332" width="14.7109375" style="585" customWidth="1"/>
    <col min="3333" max="3333" width="16.7109375" style="585" customWidth="1"/>
    <col min="3334" max="3334" width="14.7109375" style="585" customWidth="1"/>
    <col min="3335" max="3335" width="16.7109375" style="585" customWidth="1"/>
    <col min="3336" max="3337" width="14.7109375" style="585" customWidth="1"/>
    <col min="3338" max="3339" width="9.140625" style="585"/>
    <col min="3340" max="3340" width="18.7109375" style="585" customWidth="1"/>
    <col min="3341" max="3347" width="9.140625" style="585"/>
    <col min="3348" max="3348" width="10.7109375" style="585" customWidth="1"/>
    <col min="3349" max="3349" width="9.140625" style="585"/>
    <col min="3350" max="3350" width="24.7109375" style="585" customWidth="1"/>
    <col min="3351" max="3354" width="12.7109375" style="585" customWidth="1"/>
    <col min="3355" max="3356" width="9.140625" style="585"/>
    <col min="3357" max="3357" width="40.7109375" style="585" customWidth="1"/>
    <col min="3358" max="3361" width="12.7109375" style="585" customWidth="1"/>
    <col min="3362" max="3363" width="9.140625" style="585"/>
    <col min="3364" max="3364" width="50.7109375" style="585" customWidth="1"/>
    <col min="3365" max="3368" width="12.7109375" style="585" customWidth="1"/>
    <col min="3369" max="3370" width="9.140625" style="585"/>
    <col min="3371" max="3371" width="45.7109375" style="585" customWidth="1"/>
    <col min="3372" max="3375" width="12.7109375" style="585" customWidth="1"/>
    <col min="3376" max="3377" width="9.140625" style="585"/>
    <col min="3378" max="3378" width="40.7109375" style="585" customWidth="1"/>
    <col min="3379" max="3382" width="12.7109375" style="585" customWidth="1"/>
    <col min="3383" max="3384" width="9.140625" style="585"/>
    <col min="3385" max="3385" width="45.7109375" style="585" customWidth="1"/>
    <col min="3386" max="3389" width="11.7109375" style="585" customWidth="1"/>
    <col min="3390" max="3391" width="9.140625" style="585"/>
    <col min="3392" max="3392" width="34.7109375" style="585" customWidth="1"/>
    <col min="3393" max="3396" width="11.7109375" style="585" customWidth="1"/>
    <col min="3397" max="3398" width="9.140625" style="585"/>
    <col min="3399" max="3399" width="40.7109375" style="585" customWidth="1"/>
    <col min="3400" max="3403" width="11.7109375" style="585" customWidth="1"/>
    <col min="3404" max="3586" width="9.140625" style="585"/>
    <col min="3587" max="3587" width="40.7109375" style="585" customWidth="1"/>
    <col min="3588" max="3588" width="14.7109375" style="585" customWidth="1"/>
    <col min="3589" max="3589" width="16.7109375" style="585" customWidth="1"/>
    <col min="3590" max="3590" width="14.7109375" style="585" customWidth="1"/>
    <col min="3591" max="3591" width="16.7109375" style="585" customWidth="1"/>
    <col min="3592" max="3593" width="14.7109375" style="585" customWidth="1"/>
    <col min="3594" max="3595" width="9.140625" style="585"/>
    <col min="3596" max="3596" width="18.7109375" style="585" customWidth="1"/>
    <col min="3597" max="3603" width="9.140625" style="585"/>
    <col min="3604" max="3604" width="10.7109375" style="585" customWidth="1"/>
    <col min="3605" max="3605" width="9.140625" style="585"/>
    <col min="3606" max="3606" width="24.7109375" style="585" customWidth="1"/>
    <col min="3607" max="3610" width="12.7109375" style="585" customWidth="1"/>
    <col min="3611" max="3612" width="9.140625" style="585"/>
    <col min="3613" max="3613" width="40.7109375" style="585" customWidth="1"/>
    <col min="3614" max="3617" width="12.7109375" style="585" customWidth="1"/>
    <col min="3618" max="3619" width="9.140625" style="585"/>
    <col min="3620" max="3620" width="50.7109375" style="585" customWidth="1"/>
    <col min="3621" max="3624" width="12.7109375" style="585" customWidth="1"/>
    <col min="3625" max="3626" width="9.140625" style="585"/>
    <col min="3627" max="3627" width="45.7109375" style="585" customWidth="1"/>
    <col min="3628" max="3631" width="12.7109375" style="585" customWidth="1"/>
    <col min="3632" max="3633" width="9.140625" style="585"/>
    <col min="3634" max="3634" width="40.7109375" style="585" customWidth="1"/>
    <col min="3635" max="3638" width="12.7109375" style="585" customWidth="1"/>
    <col min="3639" max="3640" width="9.140625" style="585"/>
    <col min="3641" max="3641" width="45.7109375" style="585" customWidth="1"/>
    <col min="3642" max="3645" width="11.7109375" style="585" customWidth="1"/>
    <col min="3646" max="3647" width="9.140625" style="585"/>
    <col min="3648" max="3648" width="34.7109375" style="585" customWidth="1"/>
    <col min="3649" max="3652" width="11.7109375" style="585" customWidth="1"/>
    <col min="3653" max="3654" width="9.140625" style="585"/>
    <col min="3655" max="3655" width="40.7109375" style="585" customWidth="1"/>
    <col min="3656" max="3659" width="11.7109375" style="585" customWidth="1"/>
    <col min="3660" max="3842" width="9.140625" style="585"/>
    <col min="3843" max="3843" width="40.7109375" style="585" customWidth="1"/>
    <col min="3844" max="3844" width="14.7109375" style="585" customWidth="1"/>
    <col min="3845" max="3845" width="16.7109375" style="585" customWidth="1"/>
    <col min="3846" max="3846" width="14.7109375" style="585" customWidth="1"/>
    <col min="3847" max="3847" width="16.7109375" style="585" customWidth="1"/>
    <col min="3848" max="3849" width="14.7109375" style="585" customWidth="1"/>
    <col min="3850" max="3851" width="9.140625" style="585"/>
    <col min="3852" max="3852" width="18.7109375" style="585" customWidth="1"/>
    <col min="3853" max="3859" width="9.140625" style="585"/>
    <col min="3860" max="3860" width="10.7109375" style="585" customWidth="1"/>
    <col min="3861" max="3861" width="9.140625" style="585"/>
    <col min="3862" max="3862" width="24.7109375" style="585" customWidth="1"/>
    <col min="3863" max="3866" width="12.7109375" style="585" customWidth="1"/>
    <col min="3867" max="3868" width="9.140625" style="585"/>
    <col min="3869" max="3869" width="40.7109375" style="585" customWidth="1"/>
    <col min="3870" max="3873" width="12.7109375" style="585" customWidth="1"/>
    <col min="3874" max="3875" width="9.140625" style="585"/>
    <col min="3876" max="3876" width="50.7109375" style="585" customWidth="1"/>
    <col min="3877" max="3880" width="12.7109375" style="585" customWidth="1"/>
    <col min="3881" max="3882" width="9.140625" style="585"/>
    <col min="3883" max="3883" width="45.7109375" style="585" customWidth="1"/>
    <col min="3884" max="3887" width="12.7109375" style="585" customWidth="1"/>
    <col min="3888" max="3889" width="9.140625" style="585"/>
    <col min="3890" max="3890" width="40.7109375" style="585" customWidth="1"/>
    <col min="3891" max="3894" width="12.7109375" style="585" customWidth="1"/>
    <col min="3895" max="3896" width="9.140625" style="585"/>
    <col min="3897" max="3897" width="45.7109375" style="585" customWidth="1"/>
    <col min="3898" max="3901" width="11.7109375" style="585" customWidth="1"/>
    <col min="3902" max="3903" width="9.140625" style="585"/>
    <col min="3904" max="3904" width="34.7109375" style="585" customWidth="1"/>
    <col min="3905" max="3908" width="11.7109375" style="585" customWidth="1"/>
    <col min="3909" max="3910" width="9.140625" style="585"/>
    <col min="3911" max="3911" width="40.7109375" style="585" customWidth="1"/>
    <col min="3912" max="3915" width="11.7109375" style="585" customWidth="1"/>
    <col min="3916" max="4098" width="9.140625" style="585"/>
    <col min="4099" max="4099" width="40.7109375" style="585" customWidth="1"/>
    <col min="4100" max="4100" width="14.7109375" style="585" customWidth="1"/>
    <col min="4101" max="4101" width="16.7109375" style="585" customWidth="1"/>
    <col min="4102" max="4102" width="14.7109375" style="585" customWidth="1"/>
    <col min="4103" max="4103" width="16.7109375" style="585" customWidth="1"/>
    <col min="4104" max="4105" width="14.7109375" style="585" customWidth="1"/>
    <col min="4106" max="4107" width="9.140625" style="585"/>
    <col min="4108" max="4108" width="18.7109375" style="585" customWidth="1"/>
    <col min="4109" max="4115" width="9.140625" style="585"/>
    <col min="4116" max="4116" width="10.7109375" style="585" customWidth="1"/>
    <col min="4117" max="4117" width="9.140625" style="585"/>
    <col min="4118" max="4118" width="24.7109375" style="585" customWidth="1"/>
    <col min="4119" max="4122" width="12.7109375" style="585" customWidth="1"/>
    <col min="4123" max="4124" width="9.140625" style="585"/>
    <col min="4125" max="4125" width="40.7109375" style="585" customWidth="1"/>
    <col min="4126" max="4129" width="12.7109375" style="585" customWidth="1"/>
    <col min="4130" max="4131" width="9.140625" style="585"/>
    <col min="4132" max="4132" width="50.7109375" style="585" customWidth="1"/>
    <col min="4133" max="4136" width="12.7109375" style="585" customWidth="1"/>
    <col min="4137" max="4138" width="9.140625" style="585"/>
    <col min="4139" max="4139" width="45.7109375" style="585" customWidth="1"/>
    <col min="4140" max="4143" width="12.7109375" style="585" customWidth="1"/>
    <col min="4144" max="4145" width="9.140625" style="585"/>
    <col min="4146" max="4146" width="40.7109375" style="585" customWidth="1"/>
    <col min="4147" max="4150" width="12.7109375" style="585" customWidth="1"/>
    <col min="4151" max="4152" width="9.140625" style="585"/>
    <col min="4153" max="4153" width="45.7109375" style="585" customWidth="1"/>
    <col min="4154" max="4157" width="11.7109375" style="585" customWidth="1"/>
    <col min="4158" max="4159" width="9.140625" style="585"/>
    <col min="4160" max="4160" width="34.7109375" style="585" customWidth="1"/>
    <col min="4161" max="4164" width="11.7109375" style="585" customWidth="1"/>
    <col min="4165" max="4166" width="9.140625" style="585"/>
    <col min="4167" max="4167" width="40.7109375" style="585" customWidth="1"/>
    <col min="4168" max="4171" width="11.7109375" style="585" customWidth="1"/>
    <col min="4172" max="4354" width="9.140625" style="585"/>
    <col min="4355" max="4355" width="40.7109375" style="585" customWidth="1"/>
    <col min="4356" max="4356" width="14.7109375" style="585" customWidth="1"/>
    <col min="4357" max="4357" width="16.7109375" style="585" customWidth="1"/>
    <col min="4358" max="4358" width="14.7109375" style="585" customWidth="1"/>
    <col min="4359" max="4359" width="16.7109375" style="585" customWidth="1"/>
    <col min="4360" max="4361" width="14.7109375" style="585" customWidth="1"/>
    <col min="4362" max="4363" width="9.140625" style="585"/>
    <col min="4364" max="4364" width="18.7109375" style="585" customWidth="1"/>
    <col min="4365" max="4371" width="9.140625" style="585"/>
    <col min="4372" max="4372" width="10.7109375" style="585" customWidth="1"/>
    <col min="4373" max="4373" width="9.140625" style="585"/>
    <col min="4374" max="4374" width="24.7109375" style="585" customWidth="1"/>
    <col min="4375" max="4378" width="12.7109375" style="585" customWidth="1"/>
    <col min="4379" max="4380" width="9.140625" style="585"/>
    <col min="4381" max="4381" width="40.7109375" style="585" customWidth="1"/>
    <col min="4382" max="4385" width="12.7109375" style="585" customWidth="1"/>
    <col min="4386" max="4387" width="9.140625" style="585"/>
    <col min="4388" max="4388" width="50.7109375" style="585" customWidth="1"/>
    <col min="4389" max="4392" width="12.7109375" style="585" customWidth="1"/>
    <col min="4393" max="4394" width="9.140625" style="585"/>
    <col min="4395" max="4395" width="45.7109375" style="585" customWidth="1"/>
    <col min="4396" max="4399" width="12.7109375" style="585" customWidth="1"/>
    <col min="4400" max="4401" width="9.140625" style="585"/>
    <col min="4402" max="4402" width="40.7109375" style="585" customWidth="1"/>
    <col min="4403" max="4406" width="12.7109375" style="585" customWidth="1"/>
    <col min="4407" max="4408" width="9.140625" style="585"/>
    <col min="4409" max="4409" width="45.7109375" style="585" customWidth="1"/>
    <col min="4410" max="4413" width="11.7109375" style="585" customWidth="1"/>
    <col min="4414" max="4415" width="9.140625" style="585"/>
    <col min="4416" max="4416" width="34.7109375" style="585" customWidth="1"/>
    <col min="4417" max="4420" width="11.7109375" style="585" customWidth="1"/>
    <col min="4421" max="4422" width="9.140625" style="585"/>
    <col min="4423" max="4423" width="40.7109375" style="585" customWidth="1"/>
    <col min="4424" max="4427" width="11.7109375" style="585" customWidth="1"/>
    <col min="4428" max="4610" width="9.140625" style="585"/>
    <col min="4611" max="4611" width="40.7109375" style="585" customWidth="1"/>
    <col min="4612" max="4612" width="14.7109375" style="585" customWidth="1"/>
    <col min="4613" max="4613" width="16.7109375" style="585" customWidth="1"/>
    <col min="4614" max="4614" width="14.7109375" style="585" customWidth="1"/>
    <col min="4615" max="4615" width="16.7109375" style="585" customWidth="1"/>
    <col min="4616" max="4617" width="14.7109375" style="585" customWidth="1"/>
    <col min="4618" max="4619" width="9.140625" style="585"/>
    <col min="4620" max="4620" width="18.7109375" style="585" customWidth="1"/>
    <col min="4621" max="4627" width="9.140625" style="585"/>
    <col min="4628" max="4628" width="10.7109375" style="585" customWidth="1"/>
    <col min="4629" max="4629" width="9.140625" style="585"/>
    <col min="4630" max="4630" width="24.7109375" style="585" customWidth="1"/>
    <col min="4631" max="4634" width="12.7109375" style="585" customWidth="1"/>
    <col min="4635" max="4636" width="9.140625" style="585"/>
    <col min="4637" max="4637" width="40.7109375" style="585" customWidth="1"/>
    <col min="4638" max="4641" width="12.7109375" style="585" customWidth="1"/>
    <col min="4642" max="4643" width="9.140625" style="585"/>
    <col min="4644" max="4644" width="50.7109375" style="585" customWidth="1"/>
    <col min="4645" max="4648" width="12.7109375" style="585" customWidth="1"/>
    <col min="4649" max="4650" width="9.140625" style="585"/>
    <col min="4651" max="4651" width="45.7109375" style="585" customWidth="1"/>
    <col min="4652" max="4655" width="12.7109375" style="585" customWidth="1"/>
    <col min="4656" max="4657" width="9.140625" style="585"/>
    <col min="4658" max="4658" width="40.7109375" style="585" customWidth="1"/>
    <col min="4659" max="4662" width="12.7109375" style="585" customWidth="1"/>
    <col min="4663" max="4664" width="9.140625" style="585"/>
    <col min="4665" max="4665" width="45.7109375" style="585" customWidth="1"/>
    <col min="4666" max="4669" width="11.7109375" style="585" customWidth="1"/>
    <col min="4670" max="4671" width="9.140625" style="585"/>
    <col min="4672" max="4672" width="34.7109375" style="585" customWidth="1"/>
    <col min="4673" max="4676" width="11.7109375" style="585" customWidth="1"/>
    <col min="4677" max="4678" width="9.140625" style="585"/>
    <col min="4679" max="4679" width="40.7109375" style="585" customWidth="1"/>
    <col min="4680" max="4683" width="11.7109375" style="585" customWidth="1"/>
    <col min="4684" max="4866" width="9.140625" style="585"/>
    <col min="4867" max="4867" width="40.7109375" style="585" customWidth="1"/>
    <col min="4868" max="4868" width="14.7109375" style="585" customWidth="1"/>
    <col min="4869" max="4869" width="16.7109375" style="585" customWidth="1"/>
    <col min="4870" max="4870" width="14.7109375" style="585" customWidth="1"/>
    <col min="4871" max="4871" width="16.7109375" style="585" customWidth="1"/>
    <col min="4872" max="4873" width="14.7109375" style="585" customWidth="1"/>
    <col min="4874" max="4875" width="9.140625" style="585"/>
    <col min="4876" max="4876" width="18.7109375" style="585" customWidth="1"/>
    <col min="4877" max="4883" width="9.140625" style="585"/>
    <col min="4884" max="4884" width="10.7109375" style="585" customWidth="1"/>
    <col min="4885" max="4885" width="9.140625" style="585"/>
    <col min="4886" max="4886" width="24.7109375" style="585" customWidth="1"/>
    <col min="4887" max="4890" width="12.7109375" style="585" customWidth="1"/>
    <col min="4891" max="4892" width="9.140625" style="585"/>
    <col min="4893" max="4893" width="40.7109375" style="585" customWidth="1"/>
    <col min="4894" max="4897" width="12.7109375" style="585" customWidth="1"/>
    <col min="4898" max="4899" width="9.140625" style="585"/>
    <col min="4900" max="4900" width="50.7109375" style="585" customWidth="1"/>
    <col min="4901" max="4904" width="12.7109375" style="585" customWidth="1"/>
    <col min="4905" max="4906" width="9.140625" style="585"/>
    <col min="4907" max="4907" width="45.7109375" style="585" customWidth="1"/>
    <col min="4908" max="4911" width="12.7109375" style="585" customWidth="1"/>
    <col min="4912" max="4913" width="9.140625" style="585"/>
    <col min="4914" max="4914" width="40.7109375" style="585" customWidth="1"/>
    <col min="4915" max="4918" width="12.7109375" style="585" customWidth="1"/>
    <col min="4919" max="4920" width="9.140625" style="585"/>
    <col min="4921" max="4921" width="45.7109375" style="585" customWidth="1"/>
    <col min="4922" max="4925" width="11.7109375" style="585" customWidth="1"/>
    <col min="4926" max="4927" width="9.140625" style="585"/>
    <col min="4928" max="4928" width="34.7109375" style="585" customWidth="1"/>
    <col min="4929" max="4932" width="11.7109375" style="585" customWidth="1"/>
    <col min="4933" max="4934" width="9.140625" style="585"/>
    <col min="4935" max="4935" width="40.7109375" style="585" customWidth="1"/>
    <col min="4936" max="4939" width="11.7109375" style="585" customWidth="1"/>
    <col min="4940" max="5122" width="9.140625" style="585"/>
    <col min="5123" max="5123" width="40.7109375" style="585" customWidth="1"/>
    <col min="5124" max="5124" width="14.7109375" style="585" customWidth="1"/>
    <col min="5125" max="5125" width="16.7109375" style="585" customWidth="1"/>
    <col min="5126" max="5126" width="14.7109375" style="585" customWidth="1"/>
    <col min="5127" max="5127" width="16.7109375" style="585" customWidth="1"/>
    <col min="5128" max="5129" width="14.7109375" style="585" customWidth="1"/>
    <col min="5130" max="5131" width="9.140625" style="585"/>
    <col min="5132" max="5132" width="18.7109375" style="585" customWidth="1"/>
    <col min="5133" max="5139" width="9.140625" style="585"/>
    <col min="5140" max="5140" width="10.7109375" style="585" customWidth="1"/>
    <col min="5141" max="5141" width="9.140625" style="585"/>
    <col min="5142" max="5142" width="24.7109375" style="585" customWidth="1"/>
    <col min="5143" max="5146" width="12.7109375" style="585" customWidth="1"/>
    <col min="5147" max="5148" width="9.140625" style="585"/>
    <col min="5149" max="5149" width="40.7109375" style="585" customWidth="1"/>
    <col min="5150" max="5153" width="12.7109375" style="585" customWidth="1"/>
    <col min="5154" max="5155" width="9.140625" style="585"/>
    <col min="5156" max="5156" width="50.7109375" style="585" customWidth="1"/>
    <col min="5157" max="5160" width="12.7109375" style="585" customWidth="1"/>
    <col min="5161" max="5162" width="9.140625" style="585"/>
    <col min="5163" max="5163" width="45.7109375" style="585" customWidth="1"/>
    <col min="5164" max="5167" width="12.7109375" style="585" customWidth="1"/>
    <col min="5168" max="5169" width="9.140625" style="585"/>
    <col min="5170" max="5170" width="40.7109375" style="585" customWidth="1"/>
    <col min="5171" max="5174" width="12.7109375" style="585" customWidth="1"/>
    <col min="5175" max="5176" width="9.140625" style="585"/>
    <col min="5177" max="5177" width="45.7109375" style="585" customWidth="1"/>
    <col min="5178" max="5181" width="11.7109375" style="585" customWidth="1"/>
    <col min="5182" max="5183" width="9.140625" style="585"/>
    <col min="5184" max="5184" width="34.7109375" style="585" customWidth="1"/>
    <col min="5185" max="5188" width="11.7109375" style="585" customWidth="1"/>
    <col min="5189" max="5190" width="9.140625" style="585"/>
    <col min="5191" max="5191" width="40.7109375" style="585" customWidth="1"/>
    <col min="5192" max="5195" width="11.7109375" style="585" customWidth="1"/>
    <col min="5196" max="5378" width="9.140625" style="585"/>
    <col min="5379" max="5379" width="40.7109375" style="585" customWidth="1"/>
    <col min="5380" max="5380" width="14.7109375" style="585" customWidth="1"/>
    <col min="5381" max="5381" width="16.7109375" style="585" customWidth="1"/>
    <col min="5382" max="5382" width="14.7109375" style="585" customWidth="1"/>
    <col min="5383" max="5383" width="16.7109375" style="585" customWidth="1"/>
    <col min="5384" max="5385" width="14.7109375" style="585" customWidth="1"/>
    <col min="5386" max="5387" width="9.140625" style="585"/>
    <col min="5388" max="5388" width="18.7109375" style="585" customWidth="1"/>
    <col min="5389" max="5395" width="9.140625" style="585"/>
    <col min="5396" max="5396" width="10.7109375" style="585" customWidth="1"/>
    <col min="5397" max="5397" width="9.140625" style="585"/>
    <col min="5398" max="5398" width="24.7109375" style="585" customWidth="1"/>
    <col min="5399" max="5402" width="12.7109375" style="585" customWidth="1"/>
    <col min="5403" max="5404" width="9.140625" style="585"/>
    <col min="5405" max="5405" width="40.7109375" style="585" customWidth="1"/>
    <col min="5406" max="5409" width="12.7109375" style="585" customWidth="1"/>
    <col min="5410" max="5411" width="9.140625" style="585"/>
    <col min="5412" max="5412" width="50.7109375" style="585" customWidth="1"/>
    <col min="5413" max="5416" width="12.7109375" style="585" customWidth="1"/>
    <col min="5417" max="5418" width="9.140625" style="585"/>
    <col min="5419" max="5419" width="45.7109375" style="585" customWidth="1"/>
    <col min="5420" max="5423" width="12.7109375" style="585" customWidth="1"/>
    <col min="5424" max="5425" width="9.140625" style="585"/>
    <col min="5426" max="5426" width="40.7109375" style="585" customWidth="1"/>
    <col min="5427" max="5430" width="12.7109375" style="585" customWidth="1"/>
    <col min="5431" max="5432" width="9.140625" style="585"/>
    <col min="5433" max="5433" width="45.7109375" style="585" customWidth="1"/>
    <col min="5434" max="5437" width="11.7109375" style="585" customWidth="1"/>
    <col min="5438" max="5439" width="9.140625" style="585"/>
    <col min="5440" max="5440" width="34.7109375" style="585" customWidth="1"/>
    <col min="5441" max="5444" width="11.7109375" style="585" customWidth="1"/>
    <col min="5445" max="5446" width="9.140625" style="585"/>
    <col min="5447" max="5447" width="40.7109375" style="585" customWidth="1"/>
    <col min="5448" max="5451" width="11.7109375" style="585" customWidth="1"/>
    <col min="5452" max="5634" width="9.140625" style="585"/>
    <col min="5635" max="5635" width="40.7109375" style="585" customWidth="1"/>
    <col min="5636" max="5636" width="14.7109375" style="585" customWidth="1"/>
    <col min="5637" max="5637" width="16.7109375" style="585" customWidth="1"/>
    <col min="5638" max="5638" width="14.7109375" style="585" customWidth="1"/>
    <col min="5639" max="5639" width="16.7109375" style="585" customWidth="1"/>
    <col min="5640" max="5641" width="14.7109375" style="585" customWidth="1"/>
    <col min="5642" max="5643" width="9.140625" style="585"/>
    <col min="5644" max="5644" width="18.7109375" style="585" customWidth="1"/>
    <col min="5645" max="5651" width="9.140625" style="585"/>
    <col min="5652" max="5652" width="10.7109375" style="585" customWidth="1"/>
    <col min="5653" max="5653" width="9.140625" style="585"/>
    <col min="5654" max="5654" width="24.7109375" style="585" customWidth="1"/>
    <col min="5655" max="5658" width="12.7109375" style="585" customWidth="1"/>
    <col min="5659" max="5660" width="9.140625" style="585"/>
    <col min="5661" max="5661" width="40.7109375" style="585" customWidth="1"/>
    <col min="5662" max="5665" width="12.7109375" style="585" customWidth="1"/>
    <col min="5666" max="5667" width="9.140625" style="585"/>
    <col min="5668" max="5668" width="50.7109375" style="585" customWidth="1"/>
    <col min="5669" max="5672" width="12.7109375" style="585" customWidth="1"/>
    <col min="5673" max="5674" width="9.140625" style="585"/>
    <col min="5675" max="5675" width="45.7109375" style="585" customWidth="1"/>
    <col min="5676" max="5679" width="12.7109375" style="585" customWidth="1"/>
    <col min="5680" max="5681" width="9.140625" style="585"/>
    <col min="5682" max="5682" width="40.7109375" style="585" customWidth="1"/>
    <col min="5683" max="5686" width="12.7109375" style="585" customWidth="1"/>
    <col min="5687" max="5688" width="9.140625" style="585"/>
    <col min="5689" max="5689" width="45.7109375" style="585" customWidth="1"/>
    <col min="5690" max="5693" width="11.7109375" style="585" customWidth="1"/>
    <col min="5694" max="5695" width="9.140625" style="585"/>
    <col min="5696" max="5696" width="34.7109375" style="585" customWidth="1"/>
    <col min="5697" max="5700" width="11.7109375" style="585" customWidth="1"/>
    <col min="5701" max="5702" width="9.140625" style="585"/>
    <col min="5703" max="5703" width="40.7109375" style="585" customWidth="1"/>
    <col min="5704" max="5707" width="11.7109375" style="585" customWidth="1"/>
    <col min="5708" max="5890" width="9.140625" style="585"/>
    <col min="5891" max="5891" width="40.7109375" style="585" customWidth="1"/>
    <col min="5892" max="5892" width="14.7109375" style="585" customWidth="1"/>
    <col min="5893" max="5893" width="16.7109375" style="585" customWidth="1"/>
    <col min="5894" max="5894" width="14.7109375" style="585" customWidth="1"/>
    <col min="5895" max="5895" width="16.7109375" style="585" customWidth="1"/>
    <col min="5896" max="5897" width="14.7109375" style="585" customWidth="1"/>
    <col min="5898" max="5899" width="9.140625" style="585"/>
    <col min="5900" max="5900" width="18.7109375" style="585" customWidth="1"/>
    <col min="5901" max="5907" width="9.140625" style="585"/>
    <col min="5908" max="5908" width="10.7109375" style="585" customWidth="1"/>
    <col min="5909" max="5909" width="9.140625" style="585"/>
    <col min="5910" max="5910" width="24.7109375" style="585" customWidth="1"/>
    <col min="5911" max="5914" width="12.7109375" style="585" customWidth="1"/>
    <col min="5915" max="5916" width="9.140625" style="585"/>
    <col min="5917" max="5917" width="40.7109375" style="585" customWidth="1"/>
    <col min="5918" max="5921" width="12.7109375" style="585" customWidth="1"/>
    <col min="5922" max="5923" width="9.140625" style="585"/>
    <col min="5924" max="5924" width="50.7109375" style="585" customWidth="1"/>
    <col min="5925" max="5928" width="12.7109375" style="585" customWidth="1"/>
    <col min="5929" max="5930" width="9.140625" style="585"/>
    <col min="5931" max="5931" width="45.7109375" style="585" customWidth="1"/>
    <col min="5932" max="5935" width="12.7109375" style="585" customWidth="1"/>
    <col min="5936" max="5937" width="9.140625" style="585"/>
    <col min="5938" max="5938" width="40.7109375" style="585" customWidth="1"/>
    <col min="5939" max="5942" width="12.7109375" style="585" customWidth="1"/>
    <col min="5943" max="5944" width="9.140625" style="585"/>
    <col min="5945" max="5945" width="45.7109375" style="585" customWidth="1"/>
    <col min="5946" max="5949" width="11.7109375" style="585" customWidth="1"/>
    <col min="5950" max="5951" width="9.140625" style="585"/>
    <col min="5952" max="5952" width="34.7109375" style="585" customWidth="1"/>
    <col min="5953" max="5956" width="11.7109375" style="585" customWidth="1"/>
    <col min="5957" max="5958" width="9.140625" style="585"/>
    <col min="5959" max="5959" width="40.7109375" style="585" customWidth="1"/>
    <col min="5960" max="5963" width="11.7109375" style="585" customWidth="1"/>
    <col min="5964" max="6146" width="9.140625" style="585"/>
    <col min="6147" max="6147" width="40.7109375" style="585" customWidth="1"/>
    <col min="6148" max="6148" width="14.7109375" style="585" customWidth="1"/>
    <col min="6149" max="6149" width="16.7109375" style="585" customWidth="1"/>
    <col min="6150" max="6150" width="14.7109375" style="585" customWidth="1"/>
    <col min="6151" max="6151" width="16.7109375" style="585" customWidth="1"/>
    <col min="6152" max="6153" width="14.7109375" style="585" customWidth="1"/>
    <col min="6154" max="6155" width="9.140625" style="585"/>
    <col min="6156" max="6156" width="18.7109375" style="585" customWidth="1"/>
    <col min="6157" max="6163" width="9.140625" style="585"/>
    <col min="6164" max="6164" width="10.7109375" style="585" customWidth="1"/>
    <col min="6165" max="6165" width="9.140625" style="585"/>
    <col min="6166" max="6166" width="24.7109375" style="585" customWidth="1"/>
    <col min="6167" max="6170" width="12.7109375" style="585" customWidth="1"/>
    <col min="6171" max="6172" width="9.140625" style="585"/>
    <col min="6173" max="6173" width="40.7109375" style="585" customWidth="1"/>
    <col min="6174" max="6177" width="12.7109375" style="585" customWidth="1"/>
    <col min="6178" max="6179" width="9.140625" style="585"/>
    <col min="6180" max="6180" width="50.7109375" style="585" customWidth="1"/>
    <col min="6181" max="6184" width="12.7109375" style="585" customWidth="1"/>
    <col min="6185" max="6186" width="9.140625" style="585"/>
    <col min="6187" max="6187" width="45.7109375" style="585" customWidth="1"/>
    <col min="6188" max="6191" width="12.7109375" style="585" customWidth="1"/>
    <col min="6192" max="6193" width="9.140625" style="585"/>
    <col min="6194" max="6194" width="40.7109375" style="585" customWidth="1"/>
    <col min="6195" max="6198" width="12.7109375" style="585" customWidth="1"/>
    <col min="6199" max="6200" width="9.140625" style="585"/>
    <col min="6201" max="6201" width="45.7109375" style="585" customWidth="1"/>
    <col min="6202" max="6205" width="11.7109375" style="585" customWidth="1"/>
    <col min="6206" max="6207" width="9.140625" style="585"/>
    <col min="6208" max="6208" width="34.7109375" style="585" customWidth="1"/>
    <col min="6209" max="6212" width="11.7109375" style="585" customWidth="1"/>
    <col min="6213" max="6214" width="9.140625" style="585"/>
    <col min="6215" max="6215" width="40.7109375" style="585" customWidth="1"/>
    <col min="6216" max="6219" width="11.7109375" style="585" customWidth="1"/>
    <col min="6220" max="6402" width="9.140625" style="585"/>
    <col min="6403" max="6403" width="40.7109375" style="585" customWidth="1"/>
    <col min="6404" max="6404" width="14.7109375" style="585" customWidth="1"/>
    <col min="6405" max="6405" width="16.7109375" style="585" customWidth="1"/>
    <col min="6406" max="6406" width="14.7109375" style="585" customWidth="1"/>
    <col min="6407" max="6407" width="16.7109375" style="585" customWidth="1"/>
    <col min="6408" max="6409" width="14.7109375" style="585" customWidth="1"/>
    <col min="6410" max="6411" width="9.140625" style="585"/>
    <col min="6412" max="6412" width="18.7109375" style="585" customWidth="1"/>
    <col min="6413" max="6419" width="9.140625" style="585"/>
    <col min="6420" max="6420" width="10.7109375" style="585" customWidth="1"/>
    <col min="6421" max="6421" width="9.140625" style="585"/>
    <col min="6422" max="6422" width="24.7109375" style="585" customWidth="1"/>
    <col min="6423" max="6426" width="12.7109375" style="585" customWidth="1"/>
    <col min="6427" max="6428" width="9.140625" style="585"/>
    <col min="6429" max="6429" width="40.7109375" style="585" customWidth="1"/>
    <col min="6430" max="6433" width="12.7109375" style="585" customWidth="1"/>
    <col min="6434" max="6435" width="9.140625" style="585"/>
    <col min="6436" max="6436" width="50.7109375" style="585" customWidth="1"/>
    <col min="6437" max="6440" width="12.7109375" style="585" customWidth="1"/>
    <col min="6441" max="6442" width="9.140625" style="585"/>
    <col min="6443" max="6443" width="45.7109375" style="585" customWidth="1"/>
    <col min="6444" max="6447" width="12.7109375" style="585" customWidth="1"/>
    <col min="6448" max="6449" width="9.140625" style="585"/>
    <col min="6450" max="6450" width="40.7109375" style="585" customWidth="1"/>
    <col min="6451" max="6454" width="12.7109375" style="585" customWidth="1"/>
    <col min="6455" max="6456" width="9.140625" style="585"/>
    <col min="6457" max="6457" width="45.7109375" style="585" customWidth="1"/>
    <col min="6458" max="6461" width="11.7109375" style="585" customWidth="1"/>
    <col min="6462" max="6463" width="9.140625" style="585"/>
    <col min="6464" max="6464" width="34.7109375" style="585" customWidth="1"/>
    <col min="6465" max="6468" width="11.7109375" style="585" customWidth="1"/>
    <col min="6469" max="6470" width="9.140625" style="585"/>
    <col min="6471" max="6471" width="40.7109375" style="585" customWidth="1"/>
    <col min="6472" max="6475" width="11.7109375" style="585" customWidth="1"/>
    <col min="6476" max="6658" width="9.140625" style="585"/>
    <col min="6659" max="6659" width="40.7109375" style="585" customWidth="1"/>
    <col min="6660" max="6660" width="14.7109375" style="585" customWidth="1"/>
    <col min="6661" max="6661" width="16.7109375" style="585" customWidth="1"/>
    <col min="6662" max="6662" width="14.7109375" style="585" customWidth="1"/>
    <col min="6663" max="6663" width="16.7109375" style="585" customWidth="1"/>
    <col min="6664" max="6665" width="14.7109375" style="585" customWidth="1"/>
    <col min="6666" max="6667" width="9.140625" style="585"/>
    <col min="6668" max="6668" width="18.7109375" style="585" customWidth="1"/>
    <col min="6669" max="6675" width="9.140625" style="585"/>
    <col min="6676" max="6676" width="10.7109375" style="585" customWidth="1"/>
    <col min="6677" max="6677" width="9.140625" style="585"/>
    <col min="6678" max="6678" width="24.7109375" style="585" customWidth="1"/>
    <col min="6679" max="6682" width="12.7109375" style="585" customWidth="1"/>
    <col min="6683" max="6684" width="9.140625" style="585"/>
    <col min="6685" max="6685" width="40.7109375" style="585" customWidth="1"/>
    <col min="6686" max="6689" width="12.7109375" style="585" customWidth="1"/>
    <col min="6690" max="6691" width="9.140625" style="585"/>
    <col min="6692" max="6692" width="50.7109375" style="585" customWidth="1"/>
    <col min="6693" max="6696" width="12.7109375" style="585" customWidth="1"/>
    <col min="6697" max="6698" width="9.140625" style="585"/>
    <col min="6699" max="6699" width="45.7109375" style="585" customWidth="1"/>
    <col min="6700" max="6703" width="12.7109375" style="585" customWidth="1"/>
    <col min="6704" max="6705" width="9.140625" style="585"/>
    <col min="6706" max="6706" width="40.7109375" style="585" customWidth="1"/>
    <col min="6707" max="6710" width="12.7109375" style="585" customWidth="1"/>
    <col min="6711" max="6712" width="9.140625" style="585"/>
    <col min="6713" max="6713" width="45.7109375" style="585" customWidth="1"/>
    <col min="6714" max="6717" width="11.7109375" style="585" customWidth="1"/>
    <col min="6718" max="6719" width="9.140625" style="585"/>
    <col min="6720" max="6720" width="34.7109375" style="585" customWidth="1"/>
    <col min="6721" max="6724" width="11.7109375" style="585" customWidth="1"/>
    <col min="6725" max="6726" width="9.140625" style="585"/>
    <col min="6727" max="6727" width="40.7109375" style="585" customWidth="1"/>
    <col min="6728" max="6731" width="11.7109375" style="585" customWidth="1"/>
    <col min="6732" max="6914" width="9.140625" style="585"/>
    <col min="6915" max="6915" width="40.7109375" style="585" customWidth="1"/>
    <col min="6916" max="6916" width="14.7109375" style="585" customWidth="1"/>
    <col min="6917" max="6917" width="16.7109375" style="585" customWidth="1"/>
    <col min="6918" max="6918" width="14.7109375" style="585" customWidth="1"/>
    <col min="6919" max="6919" width="16.7109375" style="585" customWidth="1"/>
    <col min="6920" max="6921" width="14.7109375" style="585" customWidth="1"/>
    <col min="6922" max="6923" width="9.140625" style="585"/>
    <col min="6924" max="6924" width="18.7109375" style="585" customWidth="1"/>
    <col min="6925" max="6931" width="9.140625" style="585"/>
    <col min="6932" max="6932" width="10.7109375" style="585" customWidth="1"/>
    <col min="6933" max="6933" width="9.140625" style="585"/>
    <col min="6934" max="6934" width="24.7109375" style="585" customWidth="1"/>
    <col min="6935" max="6938" width="12.7109375" style="585" customWidth="1"/>
    <col min="6939" max="6940" width="9.140625" style="585"/>
    <col min="6941" max="6941" width="40.7109375" style="585" customWidth="1"/>
    <col min="6942" max="6945" width="12.7109375" style="585" customWidth="1"/>
    <col min="6946" max="6947" width="9.140625" style="585"/>
    <col min="6948" max="6948" width="50.7109375" style="585" customWidth="1"/>
    <col min="6949" max="6952" width="12.7109375" style="585" customWidth="1"/>
    <col min="6953" max="6954" width="9.140625" style="585"/>
    <col min="6955" max="6955" width="45.7109375" style="585" customWidth="1"/>
    <col min="6956" max="6959" width="12.7109375" style="585" customWidth="1"/>
    <col min="6960" max="6961" width="9.140625" style="585"/>
    <col min="6962" max="6962" width="40.7109375" style="585" customWidth="1"/>
    <col min="6963" max="6966" width="12.7109375" style="585" customWidth="1"/>
    <col min="6967" max="6968" width="9.140625" style="585"/>
    <col min="6969" max="6969" width="45.7109375" style="585" customWidth="1"/>
    <col min="6970" max="6973" width="11.7109375" style="585" customWidth="1"/>
    <col min="6974" max="6975" width="9.140625" style="585"/>
    <col min="6976" max="6976" width="34.7109375" style="585" customWidth="1"/>
    <col min="6977" max="6980" width="11.7109375" style="585" customWidth="1"/>
    <col min="6981" max="6982" width="9.140625" style="585"/>
    <col min="6983" max="6983" width="40.7109375" style="585" customWidth="1"/>
    <col min="6984" max="6987" width="11.7109375" style="585" customWidth="1"/>
    <col min="6988" max="7170" width="9.140625" style="585"/>
    <col min="7171" max="7171" width="40.7109375" style="585" customWidth="1"/>
    <col min="7172" max="7172" width="14.7109375" style="585" customWidth="1"/>
    <col min="7173" max="7173" width="16.7109375" style="585" customWidth="1"/>
    <col min="7174" max="7174" width="14.7109375" style="585" customWidth="1"/>
    <col min="7175" max="7175" width="16.7109375" style="585" customWidth="1"/>
    <col min="7176" max="7177" width="14.7109375" style="585" customWidth="1"/>
    <col min="7178" max="7179" width="9.140625" style="585"/>
    <col min="7180" max="7180" width="18.7109375" style="585" customWidth="1"/>
    <col min="7181" max="7187" width="9.140625" style="585"/>
    <col min="7188" max="7188" width="10.7109375" style="585" customWidth="1"/>
    <col min="7189" max="7189" width="9.140625" style="585"/>
    <col min="7190" max="7190" width="24.7109375" style="585" customWidth="1"/>
    <col min="7191" max="7194" width="12.7109375" style="585" customWidth="1"/>
    <col min="7195" max="7196" width="9.140625" style="585"/>
    <col min="7197" max="7197" width="40.7109375" style="585" customWidth="1"/>
    <col min="7198" max="7201" width="12.7109375" style="585" customWidth="1"/>
    <col min="7202" max="7203" width="9.140625" style="585"/>
    <col min="7204" max="7204" width="50.7109375" style="585" customWidth="1"/>
    <col min="7205" max="7208" width="12.7109375" style="585" customWidth="1"/>
    <col min="7209" max="7210" width="9.140625" style="585"/>
    <col min="7211" max="7211" width="45.7109375" style="585" customWidth="1"/>
    <col min="7212" max="7215" width="12.7109375" style="585" customWidth="1"/>
    <col min="7216" max="7217" width="9.140625" style="585"/>
    <col min="7218" max="7218" width="40.7109375" style="585" customWidth="1"/>
    <col min="7219" max="7222" width="12.7109375" style="585" customWidth="1"/>
    <col min="7223" max="7224" width="9.140625" style="585"/>
    <col min="7225" max="7225" width="45.7109375" style="585" customWidth="1"/>
    <col min="7226" max="7229" width="11.7109375" style="585" customWidth="1"/>
    <col min="7230" max="7231" width="9.140625" style="585"/>
    <col min="7232" max="7232" width="34.7109375" style="585" customWidth="1"/>
    <col min="7233" max="7236" width="11.7109375" style="585" customWidth="1"/>
    <col min="7237" max="7238" width="9.140625" style="585"/>
    <col min="7239" max="7239" width="40.7109375" style="585" customWidth="1"/>
    <col min="7240" max="7243" width="11.7109375" style="585" customWidth="1"/>
    <col min="7244" max="7426" width="9.140625" style="585"/>
    <col min="7427" max="7427" width="40.7109375" style="585" customWidth="1"/>
    <col min="7428" max="7428" width="14.7109375" style="585" customWidth="1"/>
    <col min="7429" max="7429" width="16.7109375" style="585" customWidth="1"/>
    <col min="7430" max="7430" width="14.7109375" style="585" customWidth="1"/>
    <col min="7431" max="7431" width="16.7109375" style="585" customWidth="1"/>
    <col min="7432" max="7433" width="14.7109375" style="585" customWidth="1"/>
    <col min="7434" max="7435" width="9.140625" style="585"/>
    <col min="7436" max="7436" width="18.7109375" style="585" customWidth="1"/>
    <col min="7437" max="7443" width="9.140625" style="585"/>
    <col min="7444" max="7444" width="10.7109375" style="585" customWidth="1"/>
    <col min="7445" max="7445" width="9.140625" style="585"/>
    <col min="7446" max="7446" width="24.7109375" style="585" customWidth="1"/>
    <col min="7447" max="7450" width="12.7109375" style="585" customWidth="1"/>
    <col min="7451" max="7452" width="9.140625" style="585"/>
    <col min="7453" max="7453" width="40.7109375" style="585" customWidth="1"/>
    <col min="7454" max="7457" width="12.7109375" style="585" customWidth="1"/>
    <col min="7458" max="7459" width="9.140625" style="585"/>
    <col min="7460" max="7460" width="50.7109375" style="585" customWidth="1"/>
    <col min="7461" max="7464" width="12.7109375" style="585" customWidth="1"/>
    <col min="7465" max="7466" width="9.140625" style="585"/>
    <col min="7467" max="7467" width="45.7109375" style="585" customWidth="1"/>
    <col min="7468" max="7471" width="12.7109375" style="585" customWidth="1"/>
    <col min="7472" max="7473" width="9.140625" style="585"/>
    <col min="7474" max="7474" width="40.7109375" style="585" customWidth="1"/>
    <col min="7475" max="7478" width="12.7109375" style="585" customWidth="1"/>
    <col min="7479" max="7480" width="9.140625" style="585"/>
    <col min="7481" max="7481" width="45.7109375" style="585" customWidth="1"/>
    <col min="7482" max="7485" width="11.7109375" style="585" customWidth="1"/>
    <col min="7486" max="7487" width="9.140625" style="585"/>
    <col min="7488" max="7488" width="34.7109375" style="585" customWidth="1"/>
    <col min="7489" max="7492" width="11.7109375" style="585" customWidth="1"/>
    <col min="7493" max="7494" width="9.140625" style="585"/>
    <col min="7495" max="7495" width="40.7109375" style="585" customWidth="1"/>
    <col min="7496" max="7499" width="11.7109375" style="585" customWidth="1"/>
    <col min="7500" max="7682" width="9.140625" style="585"/>
    <col min="7683" max="7683" width="40.7109375" style="585" customWidth="1"/>
    <col min="7684" max="7684" width="14.7109375" style="585" customWidth="1"/>
    <col min="7685" max="7685" width="16.7109375" style="585" customWidth="1"/>
    <col min="7686" max="7686" width="14.7109375" style="585" customWidth="1"/>
    <col min="7687" max="7687" width="16.7109375" style="585" customWidth="1"/>
    <col min="7688" max="7689" width="14.7109375" style="585" customWidth="1"/>
    <col min="7690" max="7691" width="9.140625" style="585"/>
    <col min="7692" max="7692" width="18.7109375" style="585" customWidth="1"/>
    <col min="7693" max="7699" width="9.140625" style="585"/>
    <col min="7700" max="7700" width="10.7109375" style="585" customWidth="1"/>
    <col min="7701" max="7701" width="9.140625" style="585"/>
    <col min="7702" max="7702" width="24.7109375" style="585" customWidth="1"/>
    <col min="7703" max="7706" width="12.7109375" style="585" customWidth="1"/>
    <col min="7707" max="7708" width="9.140625" style="585"/>
    <col min="7709" max="7709" width="40.7109375" style="585" customWidth="1"/>
    <col min="7710" max="7713" width="12.7109375" style="585" customWidth="1"/>
    <col min="7714" max="7715" width="9.140625" style="585"/>
    <col min="7716" max="7716" width="50.7109375" style="585" customWidth="1"/>
    <col min="7717" max="7720" width="12.7109375" style="585" customWidth="1"/>
    <col min="7721" max="7722" width="9.140625" style="585"/>
    <col min="7723" max="7723" width="45.7109375" style="585" customWidth="1"/>
    <col min="7724" max="7727" width="12.7109375" style="585" customWidth="1"/>
    <col min="7728" max="7729" width="9.140625" style="585"/>
    <col min="7730" max="7730" width="40.7109375" style="585" customWidth="1"/>
    <col min="7731" max="7734" width="12.7109375" style="585" customWidth="1"/>
    <col min="7735" max="7736" width="9.140625" style="585"/>
    <col min="7737" max="7737" width="45.7109375" style="585" customWidth="1"/>
    <col min="7738" max="7741" width="11.7109375" style="585" customWidth="1"/>
    <col min="7742" max="7743" width="9.140625" style="585"/>
    <col min="7744" max="7744" width="34.7109375" style="585" customWidth="1"/>
    <col min="7745" max="7748" width="11.7109375" style="585" customWidth="1"/>
    <col min="7749" max="7750" width="9.140625" style="585"/>
    <col min="7751" max="7751" width="40.7109375" style="585" customWidth="1"/>
    <col min="7752" max="7755" width="11.7109375" style="585" customWidth="1"/>
    <col min="7756" max="7938" width="9.140625" style="585"/>
    <col min="7939" max="7939" width="40.7109375" style="585" customWidth="1"/>
    <col min="7940" max="7940" width="14.7109375" style="585" customWidth="1"/>
    <col min="7941" max="7941" width="16.7109375" style="585" customWidth="1"/>
    <col min="7942" max="7942" width="14.7109375" style="585" customWidth="1"/>
    <col min="7943" max="7943" width="16.7109375" style="585" customWidth="1"/>
    <col min="7944" max="7945" width="14.7109375" style="585" customWidth="1"/>
    <col min="7946" max="7947" width="9.140625" style="585"/>
    <col min="7948" max="7948" width="18.7109375" style="585" customWidth="1"/>
    <col min="7949" max="7955" width="9.140625" style="585"/>
    <col min="7956" max="7956" width="10.7109375" style="585" customWidth="1"/>
    <col min="7957" max="7957" width="9.140625" style="585"/>
    <col min="7958" max="7958" width="24.7109375" style="585" customWidth="1"/>
    <col min="7959" max="7962" width="12.7109375" style="585" customWidth="1"/>
    <col min="7963" max="7964" width="9.140625" style="585"/>
    <col min="7965" max="7965" width="40.7109375" style="585" customWidth="1"/>
    <col min="7966" max="7969" width="12.7109375" style="585" customWidth="1"/>
    <col min="7970" max="7971" width="9.140625" style="585"/>
    <col min="7972" max="7972" width="50.7109375" style="585" customWidth="1"/>
    <col min="7973" max="7976" width="12.7109375" style="585" customWidth="1"/>
    <col min="7977" max="7978" width="9.140625" style="585"/>
    <col min="7979" max="7979" width="45.7109375" style="585" customWidth="1"/>
    <col min="7980" max="7983" width="12.7109375" style="585" customWidth="1"/>
    <col min="7984" max="7985" width="9.140625" style="585"/>
    <col min="7986" max="7986" width="40.7109375" style="585" customWidth="1"/>
    <col min="7987" max="7990" width="12.7109375" style="585" customWidth="1"/>
    <col min="7991" max="7992" width="9.140625" style="585"/>
    <col min="7993" max="7993" width="45.7109375" style="585" customWidth="1"/>
    <col min="7994" max="7997" width="11.7109375" style="585" customWidth="1"/>
    <col min="7998" max="7999" width="9.140625" style="585"/>
    <col min="8000" max="8000" width="34.7109375" style="585" customWidth="1"/>
    <col min="8001" max="8004" width="11.7109375" style="585" customWidth="1"/>
    <col min="8005" max="8006" width="9.140625" style="585"/>
    <col min="8007" max="8007" width="40.7109375" style="585" customWidth="1"/>
    <col min="8008" max="8011" width="11.7109375" style="585" customWidth="1"/>
    <col min="8012" max="8194" width="9.140625" style="585"/>
    <col min="8195" max="8195" width="40.7109375" style="585" customWidth="1"/>
    <col min="8196" max="8196" width="14.7109375" style="585" customWidth="1"/>
    <col min="8197" max="8197" width="16.7109375" style="585" customWidth="1"/>
    <col min="8198" max="8198" width="14.7109375" style="585" customWidth="1"/>
    <col min="8199" max="8199" width="16.7109375" style="585" customWidth="1"/>
    <col min="8200" max="8201" width="14.7109375" style="585" customWidth="1"/>
    <col min="8202" max="8203" width="9.140625" style="585"/>
    <col min="8204" max="8204" width="18.7109375" style="585" customWidth="1"/>
    <col min="8205" max="8211" width="9.140625" style="585"/>
    <col min="8212" max="8212" width="10.7109375" style="585" customWidth="1"/>
    <col min="8213" max="8213" width="9.140625" style="585"/>
    <col min="8214" max="8214" width="24.7109375" style="585" customWidth="1"/>
    <col min="8215" max="8218" width="12.7109375" style="585" customWidth="1"/>
    <col min="8219" max="8220" width="9.140625" style="585"/>
    <col min="8221" max="8221" width="40.7109375" style="585" customWidth="1"/>
    <col min="8222" max="8225" width="12.7109375" style="585" customWidth="1"/>
    <col min="8226" max="8227" width="9.140625" style="585"/>
    <col min="8228" max="8228" width="50.7109375" style="585" customWidth="1"/>
    <col min="8229" max="8232" width="12.7109375" style="585" customWidth="1"/>
    <col min="8233" max="8234" width="9.140625" style="585"/>
    <col min="8235" max="8235" width="45.7109375" style="585" customWidth="1"/>
    <col min="8236" max="8239" width="12.7109375" style="585" customWidth="1"/>
    <col min="8240" max="8241" width="9.140625" style="585"/>
    <col min="8242" max="8242" width="40.7109375" style="585" customWidth="1"/>
    <col min="8243" max="8246" width="12.7109375" style="585" customWidth="1"/>
    <col min="8247" max="8248" width="9.140625" style="585"/>
    <col min="8249" max="8249" width="45.7109375" style="585" customWidth="1"/>
    <col min="8250" max="8253" width="11.7109375" style="585" customWidth="1"/>
    <col min="8254" max="8255" width="9.140625" style="585"/>
    <col min="8256" max="8256" width="34.7109375" style="585" customWidth="1"/>
    <col min="8257" max="8260" width="11.7109375" style="585" customWidth="1"/>
    <col min="8261" max="8262" width="9.140625" style="585"/>
    <col min="8263" max="8263" width="40.7109375" style="585" customWidth="1"/>
    <col min="8264" max="8267" width="11.7109375" style="585" customWidth="1"/>
    <col min="8268" max="8450" width="9.140625" style="585"/>
    <col min="8451" max="8451" width="40.7109375" style="585" customWidth="1"/>
    <col min="8452" max="8452" width="14.7109375" style="585" customWidth="1"/>
    <col min="8453" max="8453" width="16.7109375" style="585" customWidth="1"/>
    <col min="8454" max="8454" width="14.7109375" style="585" customWidth="1"/>
    <col min="8455" max="8455" width="16.7109375" style="585" customWidth="1"/>
    <col min="8456" max="8457" width="14.7109375" style="585" customWidth="1"/>
    <col min="8458" max="8459" width="9.140625" style="585"/>
    <col min="8460" max="8460" width="18.7109375" style="585" customWidth="1"/>
    <col min="8461" max="8467" width="9.140625" style="585"/>
    <col min="8468" max="8468" width="10.7109375" style="585" customWidth="1"/>
    <col min="8469" max="8469" width="9.140625" style="585"/>
    <col min="8470" max="8470" width="24.7109375" style="585" customWidth="1"/>
    <col min="8471" max="8474" width="12.7109375" style="585" customWidth="1"/>
    <col min="8475" max="8476" width="9.140625" style="585"/>
    <col min="8477" max="8477" width="40.7109375" style="585" customWidth="1"/>
    <col min="8478" max="8481" width="12.7109375" style="585" customWidth="1"/>
    <col min="8482" max="8483" width="9.140625" style="585"/>
    <col min="8484" max="8484" width="50.7109375" style="585" customWidth="1"/>
    <col min="8485" max="8488" width="12.7109375" style="585" customWidth="1"/>
    <col min="8489" max="8490" width="9.140625" style="585"/>
    <col min="8491" max="8491" width="45.7109375" style="585" customWidth="1"/>
    <col min="8492" max="8495" width="12.7109375" style="585" customWidth="1"/>
    <col min="8496" max="8497" width="9.140625" style="585"/>
    <col min="8498" max="8498" width="40.7109375" style="585" customWidth="1"/>
    <col min="8499" max="8502" width="12.7109375" style="585" customWidth="1"/>
    <col min="8503" max="8504" width="9.140625" style="585"/>
    <col min="8505" max="8505" width="45.7109375" style="585" customWidth="1"/>
    <col min="8506" max="8509" width="11.7109375" style="585" customWidth="1"/>
    <col min="8510" max="8511" width="9.140625" style="585"/>
    <col min="8512" max="8512" width="34.7109375" style="585" customWidth="1"/>
    <col min="8513" max="8516" width="11.7109375" style="585" customWidth="1"/>
    <col min="8517" max="8518" width="9.140625" style="585"/>
    <col min="8519" max="8519" width="40.7109375" style="585" customWidth="1"/>
    <col min="8520" max="8523" width="11.7109375" style="585" customWidth="1"/>
    <col min="8524" max="8706" width="9.140625" style="585"/>
    <col min="8707" max="8707" width="40.7109375" style="585" customWidth="1"/>
    <col min="8708" max="8708" width="14.7109375" style="585" customWidth="1"/>
    <col min="8709" max="8709" width="16.7109375" style="585" customWidth="1"/>
    <col min="8710" max="8710" width="14.7109375" style="585" customWidth="1"/>
    <col min="8711" max="8711" width="16.7109375" style="585" customWidth="1"/>
    <col min="8712" max="8713" width="14.7109375" style="585" customWidth="1"/>
    <col min="8714" max="8715" width="9.140625" style="585"/>
    <col min="8716" max="8716" width="18.7109375" style="585" customWidth="1"/>
    <col min="8717" max="8723" width="9.140625" style="585"/>
    <col min="8724" max="8724" width="10.7109375" style="585" customWidth="1"/>
    <col min="8725" max="8725" width="9.140625" style="585"/>
    <col min="8726" max="8726" width="24.7109375" style="585" customWidth="1"/>
    <col min="8727" max="8730" width="12.7109375" style="585" customWidth="1"/>
    <col min="8731" max="8732" width="9.140625" style="585"/>
    <col min="8733" max="8733" width="40.7109375" style="585" customWidth="1"/>
    <col min="8734" max="8737" width="12.7109375" style="585" customWidth="1"/>
    <col min="8738" max="8739" width="9.140625" style="585"/>
    <col min="8740" max="8740" width="50.7109375" style="585" customWidth="1"/>
    <col min="8741" max="8744" width="12.7109375" style="585" customWidth="1"/>
    <col min="8745" max="8746" width="9.140625" style="585"/>
    <col min="8747" max="8747" width="45.7109375" style="585" customWidth="1"/>
    <col min="8748" max="8751" width="12.7109375" style="585" customWidth="1"/>
    <col min="8752" max="8753" width="9.140625" style="585"/>
    <col min="8754" max="8754" width="40.7109375" style="585" customWidth="1"/>
    <col min="8755" max="8758" width="12.7109375" style="585" customWidth="1"/>
    <col min="8759" max="8760" width="9.140625" style="585"/>
    <col min="8761" max="8761" width="45.7109375" style="585" customWidth="1"/>
    <col min="8762" max="8765" width="11.7109375" style="585" customWidth="1"/>
    <col min="8766" max="8767" width="9.140625" style="585"/>
    <col min="8768" max="8768" width="34.7109375" style="585" customWidth="1"/>
    <col min="8769" max="8772" width="11.7109375" style="585" customWidth="1"/>
    <col min="8773" max="8774" width="9.140625" style="585"/>
    <col min="8775" max="8775" width="40.7109375" style="585" customWidth="1"/>
    <col min="8776" max="8779" width="11.7109375" style="585" customWidth="1"/>
    <col min="8780" max="8962" width="9.140625" style="585"/>
    <col min="8963" max="8963" width="40.7109375" style="585" customWidth="1"/>
    <col min="8964" max="8964" width="14.7109375" style="585" customWidth="1"/>
    <col min="8965" max="8965" width="16.7109375" style="585" customWidth="1"/>
    <col min="8966" max="8966" width="14.7109375" style="585" customWidth="1"/>
    <col min="8967" max="8967" width="16.7109375" style="585" customWidth="1"/>
    <col min="8968" max="8969" width="14.7109375" style="585" customWidth="1"/>
    <col min="8970" max="8971" width="9.140625" style="585"/>
    <col min="8972" max="8972" width="18.7109375" style="585" customWidth="1"/>
    <col min="8973" max="8979" width="9.140625" style="585"/>
    <col min="8980" max="8980" width="10.7109375" style="585" customWidth="1"/>
    <col min="8981" max="8981" width="9.140625" style="585"/>
    <col min="8982" max="8982" width="24.7109375" style="585" customWidth="1"/>
    <col min="8983" max="8986" width="12.7109375" style="585" customWidth="1"/>
    <col min="8987" max="8988" width="9.140625" style="585"/>
    <col min="8989" max="8989" width="40.7109375" style="585" customWidth="1"/>
    <col min="8990" max="8993" width="12.7109375" style="585" customWidth="1"/>
    <col min="8994" max="8995" width="9.140625" style="585"/>
    <col min="8996" max="8996" width="50.7109375" style="585" customWidth="1"/>
    <col min="8997" max="9000" width="12.7109375" style="585" customWidth="1"/>
    <col min="9001" max="9002" width="9.140625" style="585"/>
    <col min="9003" max="9003" width="45.7109375" style="585" customWidth="1"/>
    <col min="9004" max="9007" width="12.7109375" style="585" customWidth="1"/>
    <col min="9008" max="9009" width="9.140625" style="585"/>
    <col min="9010" max="9010" width="40.7109375" style="585" customWidth="1"/>
    <col min="9011" max="9014" width="12.7109375" style="585" customWidth="1"/>
    <col min="9015" max="9016" width="9.140625" style="585"/>
    <col min="9017" max="9017" width="45.7109375" style="585" customWidth="1"/>
    <col min="9018" max="9021" width="11.7109375" style="585" customWidth="1"/>
    <col min="9022" max="9023" width="9.140625" style="585"/>
    <col min="9024" max="9024" width="34.7109375" style="585" customWidth="1"/>
    <col min="9025" max="9028" width="11.7109375" style="585" customWidth="1"/>
    <col min="9029" max="9030" width="9.140625" style="585"/>
    <col min="9031" max="9031" width="40.7109375" style="585" customWidth="1"/>
    <col min="9032" max="9035" width="11.7109375" style="585" customWidth="1"/>
    <col min="9036" max="9218" width="9.140625" style="585"/>
    <col min="9219" max="9219" width="40.7109375" style="585" customWidth="1"/>
    <col min="9220" max="9220" width="14.7109375" style="585" customWidth="1"/>
    <col min="9221" max="9221" width="16.7109375" style="585" customWidth="1"/>
    <col min="9222" max="9222" width="14.7109375" style="585" customWidth="1"/>
    <col min="9223" max="9223" width="16.7109375" style="585" customWidth="1"/>
    <col min="9224" max="9225" width="14.7109375" style="585" customWidth="1"/>
    <col min="9226" max="9227" width="9.140625" style="585"/>
    <col min="9228" max="9228" width="18.7109375" style="585" customWidth="1"/>
    <col min="9229" max="9235" width="9.140625" style="585"/>
    <col min="9236" max="9236" width="10.7109375" style="585" customWidth="1"/>
    <col min="9237" max="9237" width="9.140625" style="585"/>
    <col min="9238" max="9238" width="24.7109375" style="585" customWidth="1"/>
    <col min="9239" max="9242" width="12.7109375" style="585" customWidth="1"/>
    <col min="9243" max="9244" width="9.140625" style="585"/>
    <col min="9245" max="9245" width="40.7109375" style="585" customWidth="1"/>
    <col min="9246" max="9249" width="12.7109375" style="585" customWidth="1"/>
    <col min="9250" max="9251" width="9.140625" style="585"/>
    <col min="9252" max="9252" width="50.7109375" style="585" customWidth="1"/>
    <col min="9253" max="9256" width="12.7109375" style="585" customWidth="1"/>
    <col min="9257" max="9258" width="9.140625" style="585"/>
    <col min="9259" max="9259" width="45.7109375" style="585" customWidth="1"/>
    <col min="9260" max="9263" width="12.7109375" style="585" customWidth="1"/>
    <col min="9264" max="9265" width="9.140625" style="585"/>
    <col min="9266" max="9266" width="40.7109375" style="585" customWidth="1"/>
    <col min="9267" max="9270" width="12.7109375" style="585" customWidth="1"/>
    <col min="9271" max="9272" width="9.140625" style="585"/>
    <col min="9273" max="9273" width="45.7109375" style="585" customWidth="1"/>
    <col min="9274" max="9277" width="11.7109375" style="585" customWidth="1"/>
    <col min="9278" max="9279" width="9.140625" style="585"/>
    <col min="9280" max="9280" width="34.7109375" style="585" customWidth="1"/>
    <col min="9281" max="9284" width="11.7109375" style="585" customWidth="1"/>
    <col min="9285" max="9286" width="9.140625" style="585"/>
    <col min="9287" max="9287" width="40.7109375" style="585" customWidth="1"/>
    <col min="9288" max="9291" width="11.7109375" style="585" customWidth="1"/>
    <col min="9292" max="9474" width="9.140625" style="585"/>
    <col min="9475" max="9475" width="40.7109375" style="585" customWidth="1"/>
    <col min="9476" max="9476" width="14.7109375" style="585" customWidth="1"/>
    <col min="9477" max="9477" width="16.7109375" style="585" customWidth="1"/>
    <col min="9478" max="9478" width="14.7109375" style="585" customWidth="1"/>
    <col min="9479" max="9479" width="16.7109375" style="585" customWidth="1"/>
    <col min="9480" max="9481" width="14.7109375" style="585" customWidth="1"/>
    <col min="9482" max="9483" width="9.140625" style="585"/>
    <col min="9484" max="9484" width="18.7109375" style="585" customWidth="1"/>
    <col min="9485" max="9491" width="9.140625" style="585"/>
    <col min="9492" max="9492" width="10.7109375" style="585" customWidth="1"/>
    <col min="9493" max="9493" width="9.140625" style="585"/>
    <col min="9494" max="9494" width="24.7109375" style="585" customWidth="1"/>
    <col min="9495" max="9498" width="12.7109375" style="585" customWidth="1"/>
    <col min="9499" max="9500" width="9.140625" style="585"/>
    <col min="9501" max="9501" width="40.7109375" style="585" customWidth="1"/>
    <col min="9502" max="9505" width="12.7109375" style="585" customWidth="1"/>
    <col min="9506" max="9507" width="9.140625" style="585"/>
    <col min="9508" max="9508" width="50.7109375" style="585" customWidth="1"/>
    <col min="9509" max="9512" width="12.7109375" style="585" customWidth="1"/>
    <col min="9513" max="9514" width="9.140625" style="585"/>
    <col min="9515" max="9515" width="45.7109375" style="585" customWidth="1"/>
    <col min="9516" max="9519" width="12.7109375" style="585" customWidth="1"/>
    <col min="9520" max="9521" width="9.140625" style="585"/>
    <col min="9522" max="9522" width="40.7109375" style="585" customWidth="1"/>
    <col min="9523" max="9526" width="12.7109375" style="585" customWidth="1"/>
    <col min="9527" max="9528" width="9.140625" style="585"/>
    <col min="9529" max="9529" width="45.7109375" style="585" customWidth="1"/>
    <col min="9530" max="9533" width="11.7109375" style="585" customWidth="1"/>
    <col min="9534" max="9535" width="9.140625" style="585"/>
    <col min="9536" max="9536" width="34.7109375" style="585" customWidth="1"/>
    <col min="9537" max="9540" width="11.7109375" style="585" customWidth="1"/>
    <col min="9541" max="9542" width="9.140625" style="585"/>
    <col min="9543" max="9543" width="40.7109375" style="585" customWidth="1"/>
    <col min="9544" max="9547" width="11.7109375" style="585" customWidth="1"/>
    <col min="9548" max="9730" width="9.140625" style="585"/>
    <col min="9731" max="9731" width="40.7109375" style="585" customWidth="1"/>
    <col min="9732" max="9732" width="14.7109375" style="585" customWidth="1"/>
    <col min="9733" max="9733" width="16.7109375" style="585" customWidth="1"/>
    <col min="9734" max="9734" width="14.7109375" style="585" customWidth="1"/>
    <col min="9735" max="9735" width="16.7109375" style="585" customWidth="1"/>
    <col min="9736" max="9737" width="14.7109375" style="585" customWidth="1"/>
    <col min="9738" max="9739" width="9.140625" style="585"/>
    <col min="9740" max="9740" width="18.7109375" style="585" customWidth="1"/>
    <col min="9741" max="9747" width="9.140625" style="585"/>
    <col min="9748" max="9748" width="10.7109375" style="585" customWidth="1"/>
    <col min="9749" max="9749" width="9.140625" style="585"/>
    <col min="9750" max="9750" width="24.7109375" style="585" customWidth="1"/>
    <col min="9751" max="9754" width="12.7109375" style="585" customWidth="1"/>
    <col min="9755" max="9756" width="9.140625" style="585"/>
    <col min="9757" max="9757" width="40.7109375" style="585" customWidth="1"/>
    <col min="9758" max="9761" width="12.7109375" style="585" customWidth="1"/>
    <col min="9762" max="9763" width="9.140625" style="585"/>
    <col min="9764" max="9764" width="50.7109375" style="585" customWidth="1"/>
    <col min="9765" max="9768" width="12.7109375" style="585" customWidth="1"/>
    <col min="9769" max="9770" width="9.140625" style="585"/>
    <col min="9771" max="9771" width="45.7109375" style="585" customWidth="1"/>
    <col min="9772" max="9775" width="12.7109375" style="585" customWidth="1"/>
    <col min="9776" max="9777" width="9.140625" style="585"/>
    <col min="9778" max="9778" width="40.7109375" style="585" customWidth="1"/>
    <col min="9779" max="9782" width="12.7109375" style="585" customWidth="1"/>
    <col min="9783" max="9784" width="9.140625" style="585"/>
    <col min="9785" max="9785" width="45.7109375" style="585" customWidth="1"/>
    <col min="9786" max="9789" width="11.7109375" style="585" customWidth="1"/>
    <col min="9790" max="9791" width="9.140625" style="585"/>
    <col min="9792" max="9792" width="34.7109375" style="585" customWidth="1"/>
    <col min="9793" max="9796" width="11.7109375" style="585" customWidth="1"/>
    <col min="9797" max="9798" width="9.140625" style="585"/>
    <col min="9799" max="9799" width="40.7109375" style="585" customWidth="1"/>
    <col min="9800" max="9803" width="11.7109375" style="585" customWidth="1"/>
    <col min="9804" max="9986" width="9.140625" style="585"/>
    <col min="9987" max="9987" width="40.7109375" style="585" customWidth="1"/>
    <col min="9988" max="9988" width="14.7109375" style="585" customWidth="1"/>
    <col min="9989" max="9989" width="16.7109375" style="585" customWidth="1"/>
    <col min="9990" max="9990" width="14.7109375" style="585" customWidth="1"/>
    <col min="9991" max="9991" width="16.7109375" style="585" customWidth="1"/>
    <col min="9992" max="9993" width="14.7109375" style="585" customWidth="1"/>
    <col min="9994" max="9995" width="9.140625" style="585"/>
    <col min="9996" max="9996" width="18.7109375" style="585" customWidth="1"/>
    <col min="9997" max="10003" width="9.140625" style="585"/>
    <col min="10004" max="10004" width="10.7109375" style="585" customWidth="1"/>
    <col min="10005" max="10005" width="9.140625" style="585"/>
    <col min="10006" max="10006" width="24.7109375" style="585" customWidth="1"/>
    <col min="10007" max="10010" width="12.7109375" style="585" customWidth="1"/>
    <col min="10011" max="10012" width="9.140625" style="585"/>
    <col min="10013" max="10013" width="40.7109375" style="585" customWidth="1"/>
    <col min="10014" max="10017" width="12.7109375" style="585" customWidth="1"/>
    <col min="10018" max="10019" width="9.140625" style="585"/>
    <col min="10020" max="10020" width="50.7109375" style="585" customWidth="1"/>
    <col min="10021" max="10024" width="12.7109375" style="585" customWidth="1"/>
    <col min="10025" max="10026" width="9.140625" style="585"/>
    <col min="10027" max="10027" width="45.7109375" style="585" customWidth="1"/>
    <col min="10028" max="10031" width="12.7109375" style="585" customWidth="1"/>
    <col min="10032" max="10033" width="9.140625" style="585"/>
    <col min="10034" max="10034" width="40.7109375" style="585" customWidth="1"/>
    <col min="10035" max="10038" width="12.7109375" style="585" customWidth="1"/>
    <col min="10039" max="10040" width="9.140625" style="585"/>
    <col min="10041" max="10041" width="45.7109375" style="585" customWidth="1"/>
    <col min="10042" max="10045" width="11.7109375" style="585" customWidth="1"/>
    <col min="10046" max="10047" width="9.140625" style="585"/>
    <col min="10048" max="10048" width="34.7109375" style="585" customWidth="1"/>
    <col min="10049" max="10052" width="11.7109375" style="585" customWidth="1"/>
    <col min="10053" max="10054" width="9.140625" style="585"/>
    <col min="10055" max="10055" width="40.7109375" style="585" customWidth="1"/>
    <col min="10056" max="10059" width="11.7109375" style="585" customWidth="1"/>
    <col min="10060" max="10242" width="9.140625" style="585"/>
    <col min="10243" max="10243" width="40.7109375" style="585" customWidth="1"/>
    <col min="10244" max="10244" width="14.7109375" style="585" customWidth="1"/>
    <col min="10245" max="10245" width="16.7109375" style="585" customWidth="1"/>
    <col min="10246" max="10246" width="14.7109375" style="585" customWidth="1"/>
    <col min="10247" max="10247" width="16.7109375" style="585" customWidth="1"/>
    <col min="10248" max="10249" width="14.7109375" style="585" customWidth="1"/>
    <col min="10250" max="10251" width="9.140625" style="585"/>
    <col min="10252" max="10252" width="18.7109375" style="585" customWidth="1"/>
    <col min="10253" max="10259" width="9.140625" style="585"/>
    <col min="10260" max="10260" width="10.7109375" style="585" customWidth="1"/>
    <col min="10261" max="10261" width="9.140625" style="585"/>
    <col min="10262" max="10262" width="24.7109375" style="585" customWidth="1"/>
    <col min="10263" max="10266" width="12.7109375" style="585" customWidth="1"/>
    <col min="10267" max="10268" width="9.140625" style="585"/>
    <col min="10269" max="10269" width="40.7109375" style="585" customWidth="1"/>
    <col min="10270" max="10273" width="12.7109375" style="585" customWidth="1"/>
    <col min="10274" max="10275" width="9.140625" style="585"/>
    <col min="10276" max="10276" width="50.7109375" style="585" customWidth="1"/>
    <col min="10277" max="10280" width="12.7109375" style="585" customWidth="1"/>
    <col min="10281" max="10282" width="9.140625" style="585"/>
    <col min="10283" max="10283" width="45.7109375" style="585" customWidth="1"/>
    <col min="10284" max="10287" width="12.7109375" style="585" customWidth="1"/>
    <col min="10288" max="10289" width="9.140625" style="585"/>
    <col min="10290" max="10290" width="40.7109375" style="585" customWidth="1"/>
    <col min="10291" max="10294" width="12.7109375" style="585" customWidth="1"/>
    <col min="10295" max="10296" width="9.140625" style="585"/>
    <col min="10297" max="10297" width="45.7109375" style="585" customWidth="1"/>
    <col min="10298" max="10301" width="11.7109375" style="585" customWidth="1"/>
    <col min="10302" max="10303" width="9.140625" style="585"/>
    <col min="10304" max="10304" width="34.7109375" style="585" customWidth="1"/>
    <col min="10305" max="10308" width="11.7109375" style="585" customWidth="1"/>
    <col min="10309" max="10310" width="9.140625" style="585"/>
    <col min="10311" max="10311" width="40.7109375" style="585" customWidth="1"/>
    <col min="10312" max="10315" width="11.7109375" style="585" customWidth="1"/>
    <col min="10316" max="10498" width="9.140625" style="585"/>
    <col min="10499" max="10499" width="40.7109375" style="585" customWidth="1"/>
    <col min="10500" max="10500" width="14.7109375" style="585" customWidth="1"/>
    <col min="10501" max="10501" width="16.7109375" style="585" customWidth="1"/>
    <col min="10502" max="10502" width="14.7109375" style="585" customWidth="1"/>
    <col min="10503" max="10503" width="16.7109375" style="585" customWidth="1"/>
    <col min="10504" max="10505" width="14.7109375" style="585" customWidth="1"/>
    <col min="10506" max="10507" width="9.140625" style="585"/>
    <col min="10508" max="10508" width="18.7109375" style="585" customWidth="1"/>
    <col min="10509" max="10515" width="9.140625" style="585"/>
    <col min="10516" max="10516" width="10.7109375" style="585" customWidth="1"/>
    <col min="10517" max="10517" width="9.140625" style="585"/>
    <col min="10518" max="10518" width="24.7109375" style="585" customWidth="1"/>
    <col min="10519" max="10522" width="12.7109375" style="585" customWidth="1"/>
    <col min="10523" max="10524" width="9.140625" style="585"/>
    <col min="10525" max="10525" width="40.7109375" style="585" customWidth="1"/>
    <col min="10526" max="10529" width="12.7109375" style="585" customWidth="1"/>
    <col min="10530" max="10531" width="9.140625" style="585"/>
    <col min="10532" max="10532" width="50.7109375" style="585" customWidth="1"/>
    <col min="10533" max="10536" width="12.7109375" style="585" customWidth="1"/>
    <col min="10537" max="10538" width="9.140625" style="585"/>
    <col min="10539" max="10539" width="45.7109375" style="585" customWidth="1"/>
    <col min="10540" max="10543" width="12.7109375" style="585" customWidth="1"/>
    <col min="10544" max="10545" width="9.140625" style="585"/>
    <col min="10546" max="10546" width="40.7109375" style="585" customWidth="1"/>
    <col min="10547" max="10550" width="12.7109375" style="585" customWidth="1"/>
    <col min="10551" max="10552" width="9.140625" style="585"/>
    <col min="10553" max="10553" width="45.7109375" style="585" customWidth="1"/>
    <col min="10554" max="10557" width="11.7109375" style="585" customWidth="1"/>
    <col min="10558" max="10559" width="9.140625" style="585"/>
    <col min="10560" max="10560" width="34.7109375" style="585" customWidth="1"/>
    <col min="10561" max="10564" width="11.7109375" style="585" customWidth="1"/>
    <col min="10565" max="10566" width="9.140625" style="585"/>
    <col min="10567" max="10567" width="40.7109375" style="585" customWidth="1"/>
    <col min="10568" max="10571" width="11.7109375" style="585" customWidth="1"/>
    <col min="10572" max="10754" width="9.140625" style="585"/>
    <col min="10755" max="10755" width="40.7109375" style="585" customWidth="1"/>
    <col min="10756" max="10756" width="14.7109375" style="585" customWidth="1"/>
    <col min="10757" max="10757" width="16.7109375" style="585" customWidth="1"/>
    <col min="10758" max="10758" width="14.7109375" style="585" customWidth="1"/>
    <col min="10759" max="10759" width="16.7109375" style="585" customWidth="1"/>
    <col min="10760" max="10761" width="14.7109375" style="585" customWidth="1"/>
    <col min="10762" max="10763" width="9.140625" style="585"/>
    <col min="10764" max="10764" width="18.7109375" style="585" customWidth="1"/>
    <col min="10765" max="10771" width="9.140625" style="585"/>
    <col min="10772" max="10772" width="10.7109375" style="585" customWidth="1"/>
    <col min="10773" max="10773" width="9.140625" style="585"/>
    <col min="10774" max="10774" width="24.7109375" style="585" customWidth="1"/>
    <col min="10775" max="10778" width="12.7109375" style="585" customWidth="1"/>
    <col min="10779" max="10780" width="9.140625" style="585"/>
    <col min="10781" max="10781" width="40.7109375" style="585" customWidth="1"/>
    <col min="10782" max="10785" width="12.7109375" style="585" customWidth="1"/>
    <col min="10786" max="10787" width="9.140625" style="585"/>
    <col min="10788" max="10788" width="50.7109375" style="585" customWidth="1"/>
    <col min="10789" max="10792" width="12.7109375" style="585" customWidth="1"/>
    <col min="10793" max="10794" width="9.140625" style="585"/>
    <col min="10795" max="10795" width="45.7109375" style="585" customWidth="1"/>
    <col min="10796" max="10799" width="12.7109375" style="585" customWidth="1"/>
    <col min="10800" max="10801" width="9.140625" style="585"/>
    <col min="10802" max="10802" width="40.7109375" style="585" customWidth="1"/>
    <col min="10803" max="10806" width="12.7109375" style="585" customWidth="1"/>
    <col min="10807" max="10808" width="9.140625" style="585"/>
    <col min="10809" max="10809" width="45.7109375" style="585" customWidth="1"/>
    <col min="10810" max="10813" width="11.7109375" style="585" customWidth="1"/>
    <col min="10814" max="10815" width="9.140625" style="585"/>
    <col min="10816" max="10816" width="34.7109375" style="585" customWidth="1"/>
    <col min="10817" max="10820" width="11.7109375" style="585" customWidth="1"/>
    <col min="10821" max="10822" width="9.140625" style="585"/>
    <col min="10823" max="10823" width="40.7109375" style="585" customWidth="1"/>
    <col min="10824" max="10827" width="11.7109375" style="585" customWidth="1"/>
    <col min="10828" max="11010" width="9.140625" style="585"/>
    <col min="11011" max="11011" width="40.7109375" style="585" customWidth="1"/>
    <col min="11012" max="11012" width="14.7109375" style="585" customWidth="1"/>
    <col min="11013" max="11013" width="16.7109375" style="585" customWidth="1"/>
    <col min="11014" max="11014" width="14.7109375" style="585" customWidth="1"/>
    <col min="11015" max="11015" width="16.7109375" style="585" customWidth="1"/>
    <col min="11016" max="11017" width="14.7109375" style="585" customWidth="1"/>
    <col min="11018" max="11019" width="9.140625" style="585"/>
    <col min="11020" max="11020" width="18.7109375" style="585" customWidth="1"/>
    <col min="11021" max="11027" width="9.140625" style="585"/>
    <col min="11028" max="11028" width="10.7109375" style="585" customWidth="1"/>
    <col min="11029" max="11029" width="9.140625" style="585"/>
    <col min="11030" max="11030" width="24.7109375" style="585" customWidth="1"/>
    <col min="11031" max="11034" width="12.7109375" style="585" customWidth="1"/>
    <col min="11035" max="11036" width="9.140625" style="585"/>
    <col min="11037" max="11037" width="40.7109375" style="585" customWidth="1"/>
    <col min="11038" max="11041" width="12.7109375" style="585" customWidth="1"/>
    <col min="11042" max="11043" width="9.140625" style="585"/>
    <col min="11044" max="11044" width="50.7109375" style="585" customWidth="1"/>
    <col min="11045" max="11048" width="12.7109375" style="585" customWidth="1"/>
    <col min="11049" max="11050" width="9.140625" style="585"/>
    <col min="11051" max="11051" width="45.7109375" style="585" customWidth="1"/>
    <col min="11052" max="11055" width="12.7109375" style="585" customWidth="1"/>
    <col min="11056" max="11057" width="9.140625" style="585"/>
    <col min="11058" max="11058" width="40.7109375" style="585" customWidth="1"/>
    <col min="11059" max="11062" width="12.7109375" style="585" customWidth="1"/>
    <col min="11063" max="11064" width="9.140625" style="585"/>
    <col min="11065" max="11065" width="45.7109375" style="585" customWidth="1"/>
    <col min="11066" max="11069" width="11.7109375" style="585" customWidth="1"/>
    <col min="11070" max="11071" width="9.140625" style="585"/>
    <col min="11072" max="11072" width="34.7109375" style="585" customWidth="1"/>
    <col min="11073" max="11076" width="11.7109375" style="585" customWidth="1"/>
    <col min="11077" max="11078" width="9.140625" style="585"/>
    <col min="11079" max="11079" width="40.7109375" style="585" customWidth="1"/>
    <col min="11080" max="11083" width="11.7109375" style="585" customWidth="1"/>
    <col min="11084" max="11266" width="9.140625" style="585"/>
    <col min="11267" max="11267" width="40.7109375" style="585" customWidth="1"/>
    <col min="11268" max="11268" width="14.7109375" style="585" customWidth="1"/>
    <col min="11269" max="11269" width="16.7109375" style="585" customWidth="1"/>
    <col min="11270" max="11270" width="14.7109375" style="585" customWidth="1"/>
    <col min="11271" max="11271" width="16.7109375" style="585" customWidth="1"/>
    <col min="11272" max="11273" width="14.7109375" style="585" customWidth="1"/>
    <col min="11274" max="11275" width="9.140625" style="585"/>
    <col min="11276" max="11276" width="18.7109375" style="585" customWidth="1"/>
    <col min="11277" max="11283" width="9.140625" style="585"/>
    <col min="11284" max="11284" width="10.7109375" style="585" customWidth="1"/>
    <col min="11285" max="11285" width="9.140625" style="585"/>
    <col min="11286" max="11286" width="24.7109375" style="585" customWidth="1"/>
    <col min="11287" max="11290" width="12.7109375" style="585" customWidth="1"/>
    <col min="11291" max="11292" width="9.140625" style="585"/>
    <col min="11293" max="11293" width="40.7109375" style="585" customWidth="1"/>
    <col min="11294" max="11297" width="12.7109375" style="585" customWidth="1"/>
    <col min="11298" max="11299" width="9.140625" style="585"/>
    <col min="11300" max="11300" width="50.7109375" style="585" customWidth="1"/>
    <col min="11301" max="11304" width="12.7109375" style="585" customWidth="1"/>
    <col min="11305" max="11306" width="9.140625" style="585"/>
    <col min="11307" max="11307" width="45.7109375" style="585" customWidth="1"/>
    <col min="11308" max="11311" width="12.7109375" style="585" customWidth="1"/>
    <col min="11312" max="11313" width="9.140625" style="585"/>
    <col min="11314" max="11314" width="40.7109375" style="585" customWidth="1"/>
    <col min="11315" max="11318" width="12.7109375" style="585" customWidth="1"/>
    <col min="11319" max="11320" width="9.140625" style="585"/>
    <col min="11321" max="11321" width="45.7109375" style="585" customWidth="1"/>
    <col min="11322" max="11325" width="11.7109375" style="585" customWidth="1"/>
    <col min="11326" max="11327" width="9.140625" style="585"/>
    <col min="11328" max="11328" width="34.7109375" style="585" customWidth="1"/>
    <col min="11329" max="11332" width="11.7109375" style="585" customWidth="1"/>
    <col min="11333" max="11334" width="9.140625" style="585"/>
    <col min="11335" max="11335" width="40.7109375" style="585" customWidth="1"/>
    <col min="11336" max="11339" width="11.7109375" style="585" customWidth="1"/>
    <col min="11340" max="11522" width="9.140625" style="585"/>
    <col min="11523" max="11523" width="40.7109375" style="585" customWidth="1"/>
    <col min="11524" max="11524" width="14.7109375" style="585" customWidth="1"/>
    <col min="11525" max="11525" width="16.7109375" style="585" customWidth="1"/>
    <col min="11526" max="11526" width="14.7109375" style="585" customWidth="1"/>
    <col min="11527" max="11527" width="16.7109375" style="585" customWidth="1"/>
    <col min="11528" max="11529" width="14.7109375" style="585" customWidth="1"/>
    <col min="11530" max="11531" width="9.140625" style="585"/>
    <col min="11532" max="11532" width="18.7109375" style="585" customWidth="1"/>
    <col min="11533" max="11539" width="9.140625" style="585"/>
    <col min="11540" max="11540" width="10.7109375" style="585" customWidth="1"/>
    <col min="11541" max="11541" width="9.140625" style="585"/>
    <col min="11542" max="11542" width="24.7109375" style="585" customWidth="1"/>
    <col min="11543" max="11546" width="12.7109375" style="585" customWidth="1"/>
    <col min="11547" max="11548" width="9.140625" style="585"/>
    <col min="11549" max="11549" width="40.7109375" style="585" customWidth="1"/>
    <col min="11550" max="11553" width="12.7109375" style="585" customWidth="1"/>
    <col min="11554" max="11555" width="9.140625" style="585"/>
    <col min="11556" max="11556" width="50.7109375" style="585" customWidth="1"/>
    <col min="11557" max="11560" width="12.7109375" style="585" customWidth="1"/>
    <col min="11561" max="11562" width="9.140625" style="585"/>
    <col min="11563" max="11563" width="45.7109375" style="585" customWidth="1"/>
    <col min="11564" max="11567" width="12.7109375" style="585" customWidth="1"/>
    <col min="11568" max="11569" width="9.140625" style="585"/>
    <col min="11570" max="11570" width="40.7109375" style="585" customWidth="1"/>
    <col min="11571" max="11574" width="12.7109375" style="585" customWidth="1"/>
    <col min="11575" max="11576" width="9.140625" style="585"/>
    <col min="11577" max="11577" width="45.7109375" style="585" customWidth="1"/>
    <col min="11578" max="11581" width="11.7109375" style="585" customWidth="1"/>
    <col min="11582" max="11583" width="9.140625" style="585"/>
    <col min="11584" max="11584" width="34.7109375" style="585" customWidth="1"/>
    <col min="11585" max="11588" width="11.7109375" style="585" customWidth="1"/>
    <col min="11589" max="11590" width="9.140625" style="585"/>
    <col min="11591" max="11591" width="40.7109375" style="585" customWidth="1"/>
    <col min="11592" max="11595" width="11.7109375" style="585" customWidth="1"/>
    <col min="11596" max="11778" width="9.140625" style="585"/>
    <col min="11779" max="11779" width="40.7109375" style="585" customWidth="1"/>
    <col min="11780" max="11780" width="14.7109375" style="585" customWidth="1"/>
    <col min="11781" max="11781" width="16.7109375" style="585" customWidth="1"/>
    <col min="11782" max="11782" width="14.7109375" style="585" customWidth="1"/>
    <col min="11783" max="11783" width="16.7109375" style="585" customWidth="1"/>
    <col min="11784" max="11785" width="14.7109375" style="585" customWidth="1"/>
    <col min="11786" max="11787" width="9.140625" style="585"/>
    <col min="11788" max="11788" width="18.7109375" style="585" customWidth="1"/>
    <col min="11789" max="11795" width="9.140625" style="585"/>
    <col min="11796" max="11796" width="10.7109375" style="585" customWidth="1"/>
    <col min="11797" max="11797" width="9.140625" style="585"/>
    <col min="11798" max="11798" width="24.7109375" style="585" customWidth="1"/>
    <col min="11799" max="11802" width="12.7109375" style="585" customWidth="1"/>
    <col min="11803" max="11804" width="9.140625" style="585"/>
    <col min="11805" max="11805" width="40.7109375" style="585" customWidth="1"/>
    <col min="11806" max="11809" width="12.7109375" style="585" customWidth="1"/>
    <col min="11810" max="11811" width="9.140625" style="585"/>
    <col min="11812" max="11812" width="50.7109375" style="585" customWidth="1"/>
    <col min="11813" max="11816" width="12.7109375" style="585" customWidth="1"/>
    <col min="11817" max="11818" width="9.140625" style="585"/>
    <col min="11819" max="11819" width="45.7109375" style="585" customWidth="1"/>
    <col min="11820" max="11823" width="12.7109375" style="585" customWidth="1"/>
    <col min="11824" max="11825" width="9.140625" style="585"/>
    <col min="11826" max="11826" width="40.7109375" style="585" customWidth="1"/>
    <col min="11827" max="11830" width="12.7109375" style="585" customWidth="1"/>
    <col min="11831" max="11832" width="9.140625" style="585"/>
    <col min="11833" max="11833" width="45.7109375" style="585" customWidth="1"/>
    <col min="11834" max="11837" width="11.7109375" style="585" customWidth="1"/>
    <col min="11838" max="11839" width="9.140625" style="585"/>
    <col min="11840" max="11840" width="34.7109375" style="585" customWidth="1"/>
    <col min="11841" max="11844" width="11.7109375" style="585" customWidth="1"/>
    <col min="11845" max="11846" width="9.140625" style="585"/>
    <col min="11847" max="11847" width="40.7109375" style="585" customWidth="1"/>
    <col min="11848" max="11851" width="11.7109375" style="585" customWidth="1"/>
    <col min="11852" max="12034" width="9.140625" style="585"/>
    <col min="12035" max="12035" width="40.7109375" style="585" customWidth="1"/>
    <col min="12036" max="12036" width="14.7109375" style="585" customWidth="1"/>
    <col min="12037" max="12037" width="16.7109375" style="585" customWidth="1"/>
    <col min="12038" max="12038" width="14.7109375" style="585" customWidth="1"/>
    <col min="12039" max="12039" width="16.7109375" style="585" customWidth="1"/>
    <col min="12040" max="12041" width="14.7109375" style="585" customWidth="1"/>
    <col min="12042" max="12043" width="9.140625" style="585"/>
    <col min="12044" max="12044" width="18.7109375" style="585" customWidth="1"/>
    <col min="12045" max="12051" width="9.140625" style="585"/>
    <col min="12052" max="12052" width="10.7109375" style="585" customWidth="1"/>
    <col min="12053" max="12053" width="9.140625" style="585"/>
    <col min="12054" max="12054" width="24.7109375" style="585" customWidth="1"/>
    <col min="12055" max="12058" width="12.7109375" style="585" customWidth="1"/>
    <col min="12059" max="12060" width="9.140625" style="585"/>
    <col min="12061" max="12061" width="40.7109375" style="585" customWidth="1"/>
    <col min="12062" max="12065" width="12.7109375" style="585" customWidth="1"/>
    <col min="12066" max="12067" width="9.140625" style="585"/>
    <col min="12068" max="12068" width="50.7109375" style="585" customWidth="1"/>
    <col min="12069" max="12072" width="12.7109375" style="585" customWidth="1"/>
    <col min="12073" max="12074" width="9.140625" style="585"/>
    <col min="12075" max="12075" width="45.7109375" style="585" customWidth="1"/>
    <col min="12076" max="12079" width="12.7109375" style="585" customWidth="1"/>
    <col min="12080" max="12081" width="9.140625" style="585"/>
    <col min="12082" max="12082" width="40.7109375" style="585" customWidth="1"/>
    <col min="12083" max="12086" width="12.7109375" style="585" customWidth="1"/>
    <col min="12087" max="12088" width="9.140625" style="585"/>
    <col min="12089" max="12089" width="45.7109375" style="585" customWidth="1"/>
    <col min="12090" max="12093" width="11.7109375" style="585" customWidth="1"/>
    <col min="12094" max="12095" width="9.140625" style="585"/>
    <col min="12096" max="12096" width="34.7109375" style="585" customWidth="1"/>
    <col min="12097" max="12100" width="11.7109375" style="585" customWidth="1"/>
    <col min="12101" max="12102" width="9.140625" style="585"/>
    <col min="12103" max="12103" width="40.7109375" style="585" customWidth="1"/>
    <col min="12104" max="12107" width="11.7109375" style="585" customWidth="1"/>
    <col min="12108" max="12290" width="9.140625" style="585"/>
    <col min="12291" max="12291" width="40.7109375" style="585" customWidth="1"/>
    <col min="12292" max="12292" width="14.7109375" style="585" customWidth="1"/>
    <col min="12293" max="12293" width="16.7109375" style="585" customWidth="1"/>
    <col min="12294" max="12294" width="14.7109375" style="585" customWidth="1"/>
    <col min="12295" max="12295" width="16.7109375" style="585" customWidth="1"/>
    <col min="12296" max="12297" width="14.7109375" style="585" customWidth="1"/>
    <col min="12298" max="12299" width="9.140625" style="585"/>
    <col min="12300" max="12300" width="18.7109375" style="585" customWidth="1"/>
    <col min="12301" max="12307" width="9.140625" style="585"/>
    <col min="12308" max="12308" width="10.7109375" style="585" customWidth="1"/>
    <col min="12309" max="12309" width="9.140625" style="585"/>
    <col min="12310" max="12310" width="24.7109375" style="585" customWidth="1"/>
    <col min="12311" max="12314" width="12.7109375" style="585" customWidth="1"/>
    <col min="12315" max="12316" width="9.140625" style="585"/>
    <col min="12317" max="12317" width="40.7109375" style="585" customWidth="1"/>
    <col min="12318" max="12321" width="12.7109375" style="585" customWidth="1"/>
    <col min="12322" max="12323" width="9.140625" style="585"/>
    <col min="12324" max="12324" width="50.7109375" style="585" customWidth="1"/>
    <col min="12325" max="12328" width="12.7109375" style="585" customWidth="1"/>
    <col min="12329" max="12330" width="9.140625" style="585"/>
    <col min="12331" max="12331" width="45.7109375" style="585" customWidth="1"/>
    <col min="12332" max="12335" width="12.7109375" style="585" customWidth="1"/>
    <col min="12336" max="12337" width="9.140625" style="585"/>
    <col min="12338" max="12338" width="40.7109375" style="585" customWidth="1"/>
    <col min="12339" max="12342" width="12.7109375" style="585" customWidth="1"/>
    <col min="12343" max="12344" width="9.140625" style="585"/>
    <col min="12345" max="12345" width="45.7109375" style="585" customWidth="1"/>
    <col min="12346" max="12349" width="11.7109375" style="585" customWidth="1"/>
    <col min="12350" max="12351" width="9.140625" style="585"/>
    <col min="12352" max="12352" width="34.7109375" style="585" customWidth="1"/>
    <col min="12353" max="12356" width="11.7109375" style="585" customWidth="1"/>
    <col min="12357" max="12358" width="9.140625" style="585"/>
    <col min="12359" max="12359" width="40.7109375" style="585" customWidth="1"/>
    <col min="12360" max="12363" width="11.7109375" style="585" customWidth="1"/>
    <col min="12364" max="12546" width="9.140625" style="585"/>
    <col min="12547" max="12547" width="40.7109375" style="585" customWidth="1"/>
    <col min="12548" max="12548" width="14.7109375" style="585" customWidth="1"/>
    <col min="12549" max="12549" width="16.7109375" style="585" customWidth="1"/>
    <col min="12550" max="12550" width="14.7109375" style="585" customWidth="1"/>
    <col min="12551" max="12551" width="16.7109375" style="585" customWidth="1"/>
    <col min="12552" max="12553" width="14.7109375" style="585" customWidth="1"/>
    <col min="12554" max="12555" width="9.140625" style="585"/>
    <col min="12556" max="12556" width="18.7109375" style="585" customWidth="1"/>
    <col min="12557" max="12563" width="9.140625" style="585"/>
    <col min="12564" max="12564" width="10.7109375" style="585" customWidth="1"/>
    <col min="12565" max="12565" width="9.140625" style="585"/>
    <col min="12566" max="12566" width="24.7109375" style="585" customWidth="1"/>
    <col min="12567" max="12570" width="12.7109375" style="585" customWidth="1"/>
    <col min="12571" max="12572" width="9.140625" style="585"/>
    <col min="12573" max="12573" width="40.7109375" style="585" customWidth="1"/>
    <col min="12574" max="12577" width="12.7109375" style="585" customWidth="1"/>
    <col min="12578" max="12579" width="9.140625" style="585"/>
    <col min="12580" max="12580" width="50.7109375" style="585" customWidth="1"/>
    <col min="12581" max="12584" width="12.7109375" style="585" customWidth="1"/>
    <col min="12585" max="12586" width="9.140625" style="585"/>
    <col min="12587" max="12587" width="45.7109375" style="585" customWidth="1"/>
    <col min="12588" max="12591" width="12.7109375" style="585" customWidth="1"/>
    <col min="12592" max="12593" width="9.140625" style="585"/>
    <col min="12594" max="12594" width="40.7109375" style="585" customWidth="1"/>
    <col min="12595" max="12598" width="12.7109375" style="585" customWidth="1"/>
    <col min="12599" max="12600" width="9.140625" style="585"/>
    <col min="12601" max="12601" width="45.7109375" style="585" customWidth="1"/>
    <col min="12602" max="12605" width="11.7109375" style="585" customWidth="1"/>
    <col min="12606" max="12607" width="9.140625" style="585"/>
    <col min="12608" max="12608" width="34.7109375" style="585" customWidth="1"/>
    <col min="12609" max="12612" width="11.7109375" style="585" customWidth="1"/>
    <col min="12613" max="12614" width="9.140625" style="585"/>
    <col min="12615" max="12615" width="40.7109375" style="585" customWidth="1"/>
    <col min="12616" max="12619" width="11.7109375" style="585" customWidth="1"/>
    <col min="12620" max="12802" width="9.140625" style="585"/>
    <col min="12803" max="12803" width="40.7109375" style="585" customWidth="1"/>
    <col min="12804" max="12804" width="14.7109375" style="585" customWidth="1"/>
    <col min="12805" max="12805" width="16.7109375" style="585" customWidth="1"/>
    <col min="12806" max="12806" width="14.7109375" style="585" customWidth="1"/>
    <col min="12807" max="12807" width="16.7109375" style="585" customWidth="1"/>
    <col min="12808" max="12809" width="14.7109375" style="585" customWidth="1"/>
    <col min="12810" max="12811" width="9.140625" style="585"/>
    <col min="12812" max="12812" width="18.7109375" style="585" customWidth="1"/>
    <col min="12813" max="12819" width="9.140625" style="585"/>
    <col min="12820" max="12820" width="10.7109375" style="585" customWidth="1"/>
    <col min="12821" max="12821" width="9.140625" style="585"/>
    <col min="12822" max="12822" width="24.7109375" style="585" customWidth="1"/>
    <col min="12823" max="12826" width="12.7109375" style="585" customWidth="1"/>
    <col min="12827" max="12828" width="9.140625" style="585"/>
    <col min="12829" max="12829" width="40.7109375" style="585" customWidth="1"/>
    <col min="12830" max="12833" width="12.7109375" style="585" customWidth="1"/>
    <col min="12834" max="12835" width="9.140625" style="585"/>
    <col min="12836" max="12836" width="50.7109375" style="585" customWidth="1"/>
    <col min="12837" max="12840" width="12.7109375" style="585" customWidth="1"/>
    <col min="12841" max="12842" width="9.140625" style="585"/>
    <col min="12843" max="12843" width="45.7109375" style="585" customWidth="1"/>
    <col min="12844" max="12847" width="12.7109375" style="585" customWidth="1"/>
    <col min="12848" max="12849" width="9.140625" style="585"/>
    <col min="12850" max="12850" width="40.7109375" style="585" customWidth="1"/>
    <col min="12851" max="12854" width="12.7109375" style="585" customWidth="1"/>
    <col min="12855" max="12856" width="9.140625" style="585"/>
    <col min="12857" max="12857" width="45.7109375" style="585" customWidth="1"/>
    <col min="12858" max="12861" width="11.7109375" style="585" customWidth="1"/>
    <col min="12862" max="12863" width="9.140625" style="585"/>
    <col min="12864" max="12864" width="34.7109375" style="585" customWidth="1"/>
    <col min="12865" max="12868" width="11.7109375" style="585" customWidth="1"/>
    <col min="12869" max="12870" width="9.140625" style="585"/>
    <col min="12871" max="12871" width="40.7109375" style="585" customWidth="1"/>
    <col min="12872" max="12875" width="11.7109375" style="585" customWidth="1"/>
    <col min="12876" max="13058" width="9.140625" style="585"/>
    <col min="13059" max="13059" width="40.7109375" style="585" customWidth="1"/>
    <col min="13060" max="13060" width="14.7109375" style="585" customWidth="1"/>
    <col min="13061" max="13061" width="16.7109375" style="585" customWidth="1"/>
    <col min="13062" max="13062" width="14.7109375" style="585" customWidth="1"/>
    <col min="13063" max="13063" width="16.7109375" style="585" customWidth="1"/>
    <col min="13064" max="13065" width="14.7109375" style="585" customWidth="1"/>
    <col min="13066" max="13067" width="9.140625" style="585"/>
    <col min="13068" max="13068" width="18.7109375" style="585" customWidth="1"/>
    <col min="13069" max="13075" width="9.140625" style="585"/>
    <col min="13076" max="13076" width="10.7109375" style="585" customWidth="1"/>
    <col min="13077" max="13077" width="9.140625" style="585"/>
    <col min="13078" max="13078" width="24.7109375" style="585" customWidth="1"/>
    <col min="13079" max="13082" width="12.7109375" style="585" customWidth="1"/>
    <col min="13083" max="13084" width="9.140625" style="585"/>
    <col min="13085" max="13085" width="40.7109375" style="585" customWidth="1"/>
    <col min="13086" max="13089" width="12.7109375" style="585" customWidth="1"/>
    <col min="13090" max="13091" width="9.140625" style="585"/>
    <col min="13092" max="13092" width="50.7109375" style="585" customWidth="1"/>
    <col min="13093" max="13096" width="12.7109375" style="585" customWidth="1"/>
    <col min="13097" max="13098" width="9.140625" style="585"/>
    <col min="13099" max="13099" width="45.7109375" style="585" customWidth="1"/>
    <col min="13100" max="13103" width="12.7109375" style="585" customWidth="1"/>
    <col min="13104" max="13105" width="9.140625" style="585"/>
    <col min="13106" max="13106" width="40.7109375" style="585" customWidth="1"/>
    <col min="13107" max="13110" width="12.7109375" style="585" customWidth="1"/>
    <col min="13111" max="13112" width="9.140625" style="585"/>
    <col min="13113" max="13113" width="45.7109375" style="585" customWidth="1"/>
    <col min="13114" max="13117" width="11.7109375" style="585" customWidth="1"/>
    <col min="13118" max="13119" width="9.140625" style="585"/>
    <col min="13120" max="13120" width="34.7109375" style="585" customWidth="1"/>
    <col min="13121" max="13124" width="11.7109375" style="585" customWidth="1"/>
    <col min="13125" max="13126" width="9.140625" style="585"/>
    <col min="13127" max="13127" width="40.7109375" style="585" customWidth="1"/>
    <col min="13128" max="13131" width="11.7109375" style="585" customWidth="1"/>
    <col min="13132" max="13314" width="9.140625" style="585"/>
    <col min="13315" max="13315" width="40.7109375" style="585" customWidth="1"/>
    <col min="13316" max="13316" width="14.7109375" style="585" customWidth="1"/>
    <col min="13317" max="13317" width="16.7109375" style="585" customWidth="1"/>
    <col min="13318" max="13318" width="14.7109375" style="585" customWidth="1"/>
    <col min="13319" max="13319" width="16.7109375" style="585" customWidth="1"/>
    <col min="13320" max="13321" width="14.7109375" style="585" customWidth="1"/>
    <col min="13322" max="13323" width="9.140625" style="585"/>
    <col min="13324" max="13324" width="18.7109375" style="585" customWidth="1"/>
    <col min="13325" max="13331" width="9.140625" style="585"/>
    <col min="13332" max="13332" width="10.7109375" style="585" customWidth="1"/>
    <col min="13333" max="13333" width="9.140625" style="585"/>
    <col min="13334" max="13334" width="24.7109375" style="585" customWidth="1"/>
    <col min="13335" max="13338" width="12.7109375" style="585" customWidth="1"/>
    <col min="13339" max="13340" width="9.140625" style="585"/>
    <col min="13341" max="13341" width="40.7109375" style="585" customWidth="1"/>
    <col min="13342" max="13345" width="12.7109375" style="585" customWidth="1"/>
    <col min="13346" max="13347" width="9.140625" style="585"/>
    <col min="13348" max="13348" width="50.7109375" style="585" customWidth="1"/>
    <col min="13349" max="13352" width="12.7109375" style="585" customWidth="1"/>
    <col min="13353" max="13354" width="9.140625" style="585"/>
    <col min="13355" max="13355" width="45.7109375" style="585" customWidth="1"/>
    <col min="13356" max="13359" width="12.7109375" style="585" customWidth="1"/>
    <col min="13360" max="13361" width="9.140625" style="585"/>
    <col min="13362" max="13362" width="40.7109375" style="585" customWidth="1"/>
    <col min="13363" max="13366" width="12.7109375" style="585" customWidth="1"/>
    <col min="13367" max="13368" width="9.140625" style="585"/>
    <col min="13369" max="13369" width="45.7109375" style="585" customWidth="1"/>
    <col min="13370" max="13373" width="11.7109375" style="585" customWidth="1"/>
    <col min="13374" max="13375" width="9.140625" style="585"/>
    <col min="13376" max="13376" width="34.7109375" style="585" customWidth="1"/>
    <col min="13377" max="13380" width="11.7109375" style="585" customWidth="1"/>
    <col min="13381" max="13382" width="9.140625" style="585"/>
    <col min="13383" max="13383" width="40.7109375" style="585" customWidth="1"/>
    <col min="13384" max="13387" width="11.7109375" style="585" customWidth="1"/>
    <col min="13388" max="13570" width="9.140625" style="585"/>
    <col min="13571" max="13571" width="40.7109375" style="585" customWidth="1"/>
    <col min="13572" max="13572" width="14.7109375" style="585" customWidth="1"/>
    <col min="13573" max="13573" width="16.7109375" style="585" customWidth="1"/>
    <col min="13574" max="13574" width="14.7109375" style="585" customWidth="1"/>
    <col min="13575" max="13575" width="16.7109375" style="585" customWidth="1"/>
    <col min="13576" max="13577" width="14.7109375" style="585" customWidth="1"/>
    <col min="13578" max="13579" width="9.140625" style="585"/>
    <col min="13580" max="13580" width="18.7109375" style="585" customWidth="1"/>
    <col min="13581" max="13587" width="9.140625" style="585"/>
    <col min="13588" max="13588" width="10.7109375" style="585" customWidth="1"/>
    <col min="13589" max="13589" width="9.140625" style="585"/>
    <col min="13590" max="13590" width="24.7109375" style="585" customWidth="1"/>
    <col min="13591" max="13594" width="12.7109375" style="585" customWidth="1"/>
    <col min="13595" max="13596" width="9.140625" style="585"/>
    <col min="13597" max="13597" width="40.7109375" style="585" customWidth="1"/>
    <col min="13598" max="13601" width="12.7109375" style="585" customWidth="1"/>
    <col min="13602" max="13603" width="9.140625" style="585"/>
    <col min="13604" max="13604" width="50.7109375" style="585" customWidth="1"/>
    <col min="13605" max="13608" width="12.7109375" style="585" customWidth="1"/>
    <col min="13609" max="13610" width="9.140625" style="585"/>
    <col min="13611" max="13611" width="45.7109375" style="585" customWidth="1"/>
    <col min="13612" max="13615" width="12.7109375" style="585" customWidth="1"/>
    <col min="13616" max="13617" width="9.140625" style="585"/>
    <col min="13618" max="13618" width="40.7109375" style="585" customWidth="1"/>
    <col min="13619" max="13622" width="12.7109375" style="585" customWidth="1"/>
    <col min="13623" max="13624" width="9.140625" style="585"/>
    <col min="13625" max="13625" width="45.7109375" style="585" customWidth="1"/>
    <col min="13626" max="13629" width="11.7109375" style="585" customWidth="1"/>
    <col min="13630" max="13631" width="9.140625" style="585"/>
    <col min="13632" max="13632" width="34.7109375" style="585" customWidth="1"/>
    <col min="13633" max="13636" width="11.7109375" style="585" customWidth="1"/>
    <col min="13637" max="13638" width="9.140625" style="585"/>
    <col min="13639" max="13639" width="40.7109375" style="585" customWidth="1"/>
    <col min="13640" max="13643" width="11.7109375" style="585" customWidth="1"/>
    <col min="13644" max="13826" width="9.140625" style="585"/>
    <col min="13827" max="13827" width="40.7109375" style="585" customWidth="1"/>
    <col min="13828" max="13828" width="14.7109375" style="585" customWidth="1"/>
    <col min="13829" max="13829" width="16.7109375" style="585" customWidth="1"/>
    <col min="13830" max="13830" width="14.7109375" style="585" customWidth="1"/>
    <col min="13831" max="13831" width="16.7109375" style="585" customWidth="1"/>
    <col min="13832" max="13833" width="14.7109375" style="585" customWidth="1"/>
    <col min="13834" max="13835" width="9.140625" style="585"/>
    <col min="13836" max="13836" width="18.7109375" style="585" customWidth="1"/>
    <col min="13837" max="13843" width="9.140625" style="585"/>
    <col min="13844" max="13844" width="10.7109375" style="585" customWidth="1"/>
    <col min="13845" max="13845" width="9.140625" style="585"/>
    <col min="13846" max="13846" width="24.7109375" style="585" customWidth="1"/>
    <col min="13847" max="13850" width="12.7109375" style="585" customWidth="1"/>
    <col min="13851" max="13852" width="9.140625" style="585"/>
    <col min="13853" max="13853" width="40.7109375" style="585" customWidth="1"/>
    <col min="13854" max="13857" width="12.7109375" style="585" customWidth="1"/>
    <col min="13858" max="13859" width="9.140625" style="585"/>
    <col min="13860" max="13860" width="50.7109375" style="585" customWidth="1"/>
    <col min="13861" max="13864" width="12.7109375" style="585" customWidth="1"/>
    <col min="13865" max="13866" width="9.140625" style="585"/>
    <col min="13867" max="13867" width="45.7109375" style="585" customWidth="1"/>
    <col min="13868" max="13871" width="12.7109375" style="585" customWidth="1"/>
    <col min="13872" max="13873" width="9.140625" style="585"/>
    <col min="13874" max="13874" width="40.7109375" style="585" customWidth="1"/>
    <col min="13875" max="13878" width="12.7109375" style="585" customWidth="1"/>
    <col min="13879" max="13880" width="9.140625" style="585"/>
    <col min="13881" max="13881" width="45.7109375" style="585" customWidth="1"/>
    <col min="13882" max="13885" width="11.7109375" style="585" customWidth="1"/>
    <col min="13886" max="13887" width="9.140625" style="585"/>
    <col min="13888" max="13888" width="34.7109375" style="585" customWidth="1"/>
    <col min="13889" max="13892" width="11.7109375" style="585" customWidth="1"/>
    <col min="13893" max="13894" width="9.140625" style="585"/>
    <col min="13895" max="13895" width="40.7109375" style="585" customWidth="1"/>
    <col min="13896" max="13899" width="11.7109375" style="585" customWidth="1"/>
    <col min="13900" max="14082" width="9.140625" style="585"/>
    <col min="14083" max="14083" width="40.7109375" style="585" customWidth="1"/>
    <col min="14084" max="14084" width="14.7109375" style="585" customWidth="1"/>
    <col min="14085" max="14085" width="16.7109375" style="585" customWidth="1"/>
    <col min="14086" max="14086" width="14.7109375" style="585" customWidth="1"/>
    <col min="14087" max="14087" width="16.7109375" style="585" customWidth="1"/>
    <col min="14088" max="14089" width="14.7109375" style="585" customWidth="1"/>
    <col min="14090" max="14091" width="9.140625" style="585"/>
    <col min="14092" max="14092" width="18.7109375" style="585" customWidth="1"/>
    <col min="14093" max="14099" width="9.140625" style="585"/>
    <col min="14100" max="14100" width="10.7109375" style="585" customWidth="1"/>
    <col min="14101" max="14101" width="9.140625" style="585"/>
    <col min="14102" max="14102" width="24.7109375" style="585" customWidth="1"/>
    <col min="14103" max="14106" width="12.7109375" style="585" customWidth="1"/>
    <col min="14107" max="14108" width="9.140625" style="585"/>
    <col min="14109" max="14109" width="40.7109375" style="585" customWidth="1"/>
    <col min="14110" max="14113" width="12.7109375" style="585" customWidth="1"/>
    <col min="14114" max="14115" width="9.140625" style="585"/>
    <col min="14116" max="14116" width="50.7109375" style="585" customWidth="1"/>
    <col min="14117" max="14120" width="12.7109375" style="585" customWidth="1"/>
    <col min="14121" max="14122" width="9.140625" style="585"/>
    <col min="14123" max="14123" width="45.7109375" style="585" customWidth="1"/>
    <col min="14124" max="14127" width="12.7109375" style="585" customWidth="1"/>
    <col min="14128" max="14129" width="9.140625" style="585"/>
    <col min="14130" max="14130" width="40.7109375" style="585" customWidth="1"/>
    <col min="14131" max="14134" width="12.7109375" style="585" customWidth="1"/>
    <col min="14135" max="14136" width="9.140625" style="585"/>
    <col min="14137" max="14137" width="45.7109375" style="585" customWidth="1"/>
    <col min="14138" max="14141" width="11.7109375" style="585" customWidth="1"/>
    <col min="14142" max="14143" width="9.140625" style="585"/>
    <col min="14144" max="14144" width="34.7109375" style="585" customWidth="1"/>
    <col min="14145" max="14148" width="11.7109375" style="585" customWidth="1"/>
    <col min="14149" max="14150" width="9.140625" style="585"/>
    <col min="14151" max="14151" width="40.7109375" style="585" customWidth="1"/>
    <col min="14152" max="14155" width="11.7109375" style="585" customWidth="1"/>
    <col min="14156" max="14338" width="9.140625" style="585"/>
    <col min="14339" max="14339" width="40.7109375" style="585" customWidth="1"/>
    <col min="14340" max="14340" width="14.7109375" style="585" customWidth="1"/>
    <col min="14341" max="14341" width="16.7109375" style="585" customWidth="1"/>
    <col min="14342" max="14342" width="14.7109375" style="585" customWidth="1"/>
    <col min="14343" max="14343" width="16.7109375" style="585" customWidth="1"/>
    <col min="14344" max="14345" width="14.7109375" style="585" customWidth="1"/>
    <col min="14346" max="14347" width="9.140625" style="585"/>
    <col min="14348" max="14348" width="18.7109375" style="585" customWidth="1"/>
    <col min="14349" max="14355" width="9.140625" style="585"/>
    <col min="14356" max="14356" width="10.7109375" style="585" customWidth="1"/>
    <col min="14357" max="14357" width="9.140625" style="585"/>
    <col min="14358" max="14358" width="24.7109375" style="585" customWidth="1"/>
    <col min="14359" max="14362" width="12.7109375" style="585" customWidth="1"/>
    <col min="14363" max="14364" width="9.140625" style="585"/>
    <col min="14365" max="14365" width="40.7109375" style="585" customWidth="1"/>
    <col min="14366" max="14369" width="12.7109375" style="585" customWidth="1"/>
    <col min="14370" max="14371" width="9.140625" style="585"/>
    <col min="14372" max="14372" width="50.7109375" style="585" customWidth="1"/>
    <col min="14373" max="14376" width="12.7109375" style="585" customWidth="1"/>
    <col min="14377" max="14378" width="9.140625" style="585"/>
    <col min="14379" max="14379" width="45.7109375" style="585" customWidth="1"/>
    <col min="14380" max="14383" width="12.7109375" style="585" customWidth="1"/>
    <col min="14384" max="14385" width="9.140625" style="585"/>
    <col min="14386" max="14386" width="40.7109375" style="585" customWidth="1"/>
    <col min="14387" max="14390" width="12.7109375" style="585" customWidth="1"/>
    <col min="14391" max="14392" width="9.140625" style="585"/>
    <col min="14393" max="14393" width="45.7109375" style="585" customWidth="1"/>
    <col min="14394" max="14397" width="11.7109375" style="585" customWidth="1"/>
    <col min="14398" max="14399" width="9.140625" style="585"/>
    <col min="14400" max="14400" width="34.7109375" style="585" customWidth="1"/>
    <col min="14401" max="14404" width="11.7109375" style="585" customWidth="1"/>
    <col min="14405" max="14406" width="9.140625" style="585"/>
    <col min="14407" max="14407" width="40.7109375" style="585" customWidth="1"/>
    <col min="14408" max="14411" width="11.7109375" style="585" customWidth="1"/>
    <col min="14412" max="14594" width="9.140625" style="585"/>
    <col min="14595" max="14595" width="40.7109375" style="585" customWidth="1"/>
    <col min="14596" max="14596" width="14.7109375" style="585" customWidth="1"/>
    <col min="14597" max="14597" width="16.7109375" style="585" customWidth="1"/>
    <col min="14598" max="14598" width="14.7109375" style="585" customWidth="1"/>
    <col min="14599" max="14599" width="16.7109375" style="585" customWidth="1"/>
    <col min="14600" max="14601" width="14.7109375" style="585" customWidth="1"/>
    <col min="14602" max="14603" width="9.140625" style="585"/>
    <col min="14604" max="14604" width="18.7109375" style="585" customWidth="1"/>
    <col min="14605" max="14611" width="9.140625" style="585"/>
    <col min="14612" max="14612" width="10.7109375" style="585" customWidth="1"/>
    <col min="14613" max="14613" width="9.140625" style="585"/>
    <col min="14614" max="14614" width="24.7109375" style="585" customWidth="1"/>
    <col min="14615" max="14618" width="12.7109375" style="585" customWidth="1"/>
    <col min="14619" max="14620" width="9.140625" style="585"/>
    <col min="14621" max="14621" width="40.7109375" style="585" customWidth="1"/>
    <col min="14622" max="14625" width="12.7109375" style="585" customWidth="1"/>
    <col min="14626" max="14627" width="9.140625" style="585"/>
    <col min="14628" max="14628" width="50.7109375" style="585" customWidth="1"/>
    <col min="14629" max="14632" width="12.7109375" style="585" customWidth="1"/>
    <col min="14633" max="14634" width="9.140625" style="585"/>
    <col min="14635" max="14635" width="45.7109375" style="585" customWidth="1"/>
    <col min="14636" max="14639" width="12.7109375" style="585" customWidth="1"/>
    <col min="14640" max="14641" width="9.140625" style="585"/>
    <col min="14642" max="14642" width="40.7109375" style="585" customWidth="1"/>
    <col min="14643" max="14646" width="12.7109375" style="585" customWidth="1"/>
    <col min="14647" max="14648" width="9.140625" style="585"/>
    <col min="14649" max="14649" width="45.7109375" style="585" customWidth="1"/>
    <col min="14650" max="14653" width="11.7109375" style="585" customWidth="1"/>
    <col min="14654" max="14655" width="9.140625" style="585"/>
    <col min="14656" max="14656" width="34.7109375" style="585" customWidth="1"/>
    <col min="14657" max="14660" width="11.7109375" style="585" customWidth="1"/>
    <col min="14661" max="14662" width="9.140625" style="585"/>
    <col min="14663" max="14663" width="40.7109375" style="585" customWidth="1"/>
    <col min="14664" max="14667" width="11.7109375" style="585" customWidth="1"/>
    <col min="14668" max="14850" width="9.140625" style="585"/>
    <col min="14851" max="14851" width="40.7109375" style="585" customWidth="1"/>
    <col min="14852" max="14852" width="14.7109375" style="585" customWidth="1"/>
    <col min="14853" max="14853" width="16.7109375" style="585" customWidth="1"/>
    <col min="14854" max="14854" width="14.7109375" style="585" customWidth="1"/>
    <col min="14855" max="14855" width="16.7109375" style="585" customWidth="1"/>
    <col min="14856" max="14857" width="14.7109375" style="585" customWidth="1"/>
    <col min="14858" max="14859" width="9.140625" style="585"/>
    <col min="14860" max="14860" width="18.7109375" style="585" customWidth="1"/>
    <col min="14861" max="14867" width="9.140625" style="585"/>
    <col min="14868" max="14868" width="10.7109375" style="585" customWidth="1"/>
    <col min="14869" max="14869" width="9.140625" style="585"/>
    <col min="14870" max="14870" width="24.7109375" style="585" customWidth="1"/>
    <col min="14871" max="14874" width="12.7109375" style="585" customWidth="1"/>
    <col min="14875" max="14876" width="9.140625" style="585"/>
    <col min="14877" max="14877" width="40.7109375" style="585" customWidth="1"/>
    <col min="14878" max="14881" width="12.7109375" style="585" customWidth="1"/>
    <col min="14882" max="14883" width="9.140625" style="585"/>
    <col min="14884" max="14884" width="50.7109375" style="585" customWidth="1"/>
    <col min="14885" max="14888" width="12.7109375" style="585" customWidth="1"/>
    <col min="14889" max="14890" width="9.140625" style="585"/>
    <col min="14891" max="14891" width="45.7109375" style="585" customWidth="1"/>
    <col min="14892" max="14895" width="12.7109375" style="585" customWidth="1"/>
    <col min="14896" max="14897" width="9.140625" style="585"/>
    <col min="14898" max="14898" width="40.7109375" style="585" customWidth="1"/>
    <col min="14899" max="14902" width="12.7109375" style="585" customWidth="1"/>
    <col min="14903" max="14904" width="9.140625" style="585"/>
    <col min="14905" max="14905" width="45.7109375" style="585" customWidth="1"/>
    <col min="14906" max="14909" width="11.7109375" style="585" customWidth="1"/>
    <col min="14910" max="14911" width="9.140625" style="585"/>
    <col min="14912" max="14912" width="34.7109375" style="585" customWidth="1"/>
    <col min="14913" max="14916" width="11.7109375" style="585" customWidth="1"/>
    <col min="14917" max="14918" width="9.140625" style="585"/>
    <col min="14919" max="14919" width="40.7109375" style="585" customWidth="1"/>
    <col min="14920" max="14923" width="11.7109375" style="585" customWidth="1"/>
    <col min="14924" max="15106" width="9.140625" style="585"/>
    <col min="15107" max="15107" width="40.7109375" style="585" customWidth="1"/>
    <col min="15108" max="15108" width="14.7109375" style="585" customWidth="1"/>
    <col min="15109" max="15109" width="16.7109375" style="585" customWidth="1"/>
    <col min="15110" max="15110" width="14.7109375" style="585" customWidth="1"/>
    <col min="15111" max="15111" width="16.7109375" style="585" customWidth="1"/>
    <col min="15112" max="15113" width="14.7109375" style="585" customWidth="1"/>
    <col min="15114" max="15115" width="9.140625" style="585"/>
    <col min="15116" max="15116" width="18.7109375" style="585" customWidth="1"/>
    <col min="15117" max="15123" width="9.140625" style="585"/>
    <col min="15124" max="15124" width="10.7109375" style="585" customWidth="1"/>
    <col min="15125" max="15125" width="9.140625" style="585"/>
    <col min="15126" max="15126" width="24.7109375" style="585" customWidth="1"/>
    <col min="15127" max="15130" width="12.7109375" style="585" customWidth="1"/>
    <col min="15131" max="15132" width="9.140625" style="585"/>
    <col min="15133" max="15133" width="40.7109375" style="585" customWidth="1"/>
    <col min="15134" max="15137" width="12.7109375" style="585" customWidth="1"/>
    <col min="15138" max="15139" width="9.140625" style="585"/>
    <col min="15140" max="15140" width="50.7109375" style="585" customWidth="1"/>
    <col min="15141" max="15144" width="12.7109375" style="585" customWidth="1"/>
    <col min="15145" max="15146" width="9.140625" style="585"/>
    <col min="15147" max="15147" width="45.7109375" style="585" customWidth="1"/>
    <col min="15148" max="15151" width="12.7109375" style="585" customWidth="1"/>
    <col min="15152" max="15153" width="9.140625" style="585"/>
    <col min="15154" max="15154" width="40.7109375" style="585" customWidth="1"/>
    <col min="15155" max="15158" width="12.7109375" style="585" customWidth="1"/>
    <col min="15159" max="15160" width="9.140625" style="585"/>
    <col min="15161" max="15161" width="45.7109375" style="585" customWidth="1"/>
    <col min="15162" max="15165" width="11.7109375" style="585" customWidth="1"/>
    <col min="15166" max="15167" width="9.140625" style="585"/>
    <col min="15168" max="15168" width="34.7109375" style="585" customWidth="1"/>
    <col min="15169" max="15172" width="11.7109375" style="585" customWidth="1"/>
    <col min="15173" max="15174" width="9.140625" style="585"/>
    <col min="15175" max="15175" width="40.7109375" style="585" customWidth="1"/>
    <col min="15176" max="15179" width="11.7109375" style="585" customWidth="1"/>
    <col min="15180" max="15362" width="9.140625" style="585"/>
    <col min="15363" max="15363" width="40.7109375" style="585" customWidth="1"/>
    <col min="15364" max="15364" width="14.7109375" style="585" customWidth="1"/>
    <col min="15365" max="15365" width="16.7109375" style="585" customWidth="1"/>
    <col min="15366" max="15366" width="14.7109375" style="585" customWidth="1"/>
    <col min="15367" max="15367" width="16.7109375" style="585" customWidth="1"/>
    <col min="15368" max="15369" width="14.7109375" style="585" customWidth="1"/>
    <col min="15370" max="15371" width="9.140625" style="585"/>
    <col min="15372" max="15372" width="18.7109375" style="585" customWidth="1"/>
    <col min="15373" max="15379" width="9.140625" style="585"/>
    <col min="15380" max="15380" width="10.7109375" style="585" customWidth="1"/>
    <col min="15381" max="15381" width="9.140625" style="585"/>
    <col min="15382" max="15382" width="24.7109375" style="585" customWidth="1"/>
    <col min="15383" max="15386" width="12.7109375" style="585" customWidth="1"/>
    <col min="15387" max="15388" width="9.140625" style="585"/>
    <col min="15389" max="15389" width="40.7109375" style="585" customWidth="1"/>
    <col min="15390" max="15393" width="12.7109375" style="585" customWidth="1"/>
    <col min="15394" max="15395" width="9.140625" style="585"/>
    <col min="15396" max="15396" width="50.7109375" style="585" customWidth="1"/>
    <col min="15397" max="15400" width="12.7109375" style="585" customWidth="1"/>
    <col min="15401" max="15402" width="9.140625" style="585"/>
    <col min="15403" max="15403" width="45.7109375" style="585" customWidth="1"/>
    <col min="15404" max="15407" width="12.7109375" style="585" customWidth="1"/>
    <col min="15408" max="15409" width="9.140625" style="585"/>
    <col min="15410" max="15410" width="40.7109375" style="585" customWidth="1"/>
    <col min="15411" max="15414" width="12.7109375" style="585" customWidth="1"/>
    <col min="15415" max="15416" width="9.140625" style="585"/>
    <col min="15417" max="15417" width="45.7109375" style="585" customWidth="1"/>
    <col min="15418" max="15421" width="11.7109375" style="585" customWidth="1"/>
    <col min="15422" max="15423" width="9.140625" style="585"/>
    <col min="15424" max="15424" width="34.7109375" style="585" customWidth="1"/>
    <col min="15425" max="15428" width="11.7109375" style="585" customWidth="1"/>
    <col min="15429" max="15430" width="9.140625" style="585"/>
    <col min="15431" max="15431" width="40.7109375" style="585" customWidth="1"/>
    <col min="15432" max="15435" width="11.7109375" style="585" customWidth="1"/>
    <col min="15436" max="15618" width="9.140625" style="585"/>
    <col min="15619" max="15619" width="40.7109375" style="585" customWidth="1"/>
    <col min="15620" max="15620" width="14.7109375" style="585" customWidth="1"/>
    <col min="15621" max="15621" width="16.7109375" style="585" customWidth="1"/>
    <col min="15622" max="15622" width="14.7109375" style="585" customWidth="1"/>
    <col min="15623" max="15623" width="16.7109375" style="585" customWidth="1"/>
    <col min="15624" max="15625" width="14.7109375" style="585" customWidth="1"/>
    <col min="15626" max="15627" width="9.140625" style="585"/>
    <col min="15628" max="15628" width="18.7109375" style="585" customWidth="1"/>
    <col min="15629" max="15635" width="9.140625" style="585"/>
    <col min="15636" max="15636" width="10.7109375" style="585" customWidth="1"/>
    <col min="15637" max="15637" width="9.140625" style="585"/>
    <col min="15638" max="15638" width="24.7109375" style="585" customWidth="1"/>
    <col min="15639" max="15642" width="12.7109375" style="585" customWidth="1"/>
    <col min="15643" max="15644" width="9.140625" style="585"/>
    <col min="15645" max="15645" width="40.7109375" style="585" customWidth="1"/>
    <col min="15646" max="15649" width="12.7109375" style="585" customWidth="1"/>
    <col min="15650" max="15651" width="9.140625" style="585"/>
    <col min="15652" max="15652" width="50.7109375" style="585" customWidth="1"/>
    <col min="15653" max="15656" width="12.7109375" style="585" customWidth="1"/>
    <col min="15657" max="15658" width="9.140625" style="585"/>
    <col min="15659" max="15659" width="45.7109375" style="585" customWidth="1"/>
    <col min="15660" max="15663" width="12.7109375" style="585" customWidth="1"/>
    <col min="15664" max="15665" width="9.140625" style="585"/>
    <col min="15666" max="15666" width="40.7109375" style="585" customWidth="1"/>
    <col min="15667" max="15670" width="12.7109375" style="585" customWidth="1"/>
    <col min="15671" max="15672" width="9.140625" style="585"/>
    <col min="15673" max="15673" width="45.7109375" style="585" customWidth="1"/>
    <col min="15674" max="15677" width="11.7109375" style="585" customWidth="1"/>
    <col min="15678" max="15679" width="9.140625" style="585"/>
    <col min="15680" max="15680" width="34.7109375" style="585" customWidth="1"/>
    <col min="15681" max="15684" width="11.7109375" style="585" customWidth="1"/>
    <col min="15685" max="15686" width="9.140625" style="585"/>
    <col min="15687" max="15687" width="40.7109375" style="585" customWidth="1"/>
    <col min="15688" max="15691" width="11.7109375" style="585" customWidth="1"/>
    <col min="15692" max="15874" width="9.140625" style="585"/>
    <col min="15875" max="15875" width="40.7109375" style="585" customWidth="1"/>
    <col min="15876" max="15876" width="14.7109375" style="585" customWidth="1"/>
    <col min="15877" max="15877" width="16.7109375" style="585" customWidth="1"/>
    <col min="15878" max="15878" width="14.7109375" style="585" customWidth="1"/>
    <col min="15879" max="15879" width="16.7109375" style="585" customWidth="1"/>
    <col min="15880" max="15881" width="14.7109375" style="585" customWidth="1"/>
    <col min="15882" max="15883" width="9.140625" style="585"/>
    <col min="15884" max="15884" width="18.7109375" style="585" customWidth="1"/>
    <col min="15885" max="15891" width="9.140625" style="585"/>
    <col min="15892" max="15892" width="10.7109375" style="585" customWidth="1"/>
    <col min="15893" max="15893" width="9.140625" style="585"/>
    <col min="15894" max="15894" width="24.7109375" style="585" customWidth="1"/>
    <col min="15895" max="15898" width="12.7109375" style="585" customWidth="1"/>
    <col min="15899" max="15900" width="9.140625" style="585"/>
    <col min="15901" max="15901" width="40.7109375" style="585" customWidth="1"/>
    <col min="15902" max="15905" width="12.7109375" style="585" customWidth="1"/>
    <col min="15906" max="15907" width="9.140625" style="585"/>
    <col min="15908" max="15908" width="50.7109375" style="585" customWidth="1"/>
    <col min="15909" max="15912" width="12.7109375" style="585" customWidth="1"/>
    <col min="15913" max="15914" width="9.140625" style="585"/>
    <col min="15915" max="15915" width="45.7109375" style="585" customWidth="1"/>
    <col min="15916" max="15919" width="12.7109375" style="585" customWidth="1"/>
    <col min="15920" max="15921" width="9.140625" style="585"/>
    <col min="15922" max="15922" width="40.7109375" style="585" customWidth="1"/>
    <col min="15923" max="15926" width="12.7109375" style="585" customWidth="1"/>
    <col min="15927" max="15928" width="9.140625" style="585"/>
    <col min="15929" max="15929" width="45.7109375" style="585" customWidth="1"/>
    <col min="15930" max="15933" width="11.7109375" style="585" customWidth="1"/>
    <col min="15934" max="15935" width="9.140625" style="585"/>
    <col min="15936" max="15936" width="34.7109375" style="585" customWidth="1"/>
    <col min="15937" max="15940" width="11.7109375" style="585" customWidth="1"/>
    <col min="15941" max="15942" width="9.140625" style="585"/>
    <col min="15943" max="15943" width="40.7109375" style="585" customWidth="1"/>
    <col min="15944" max="15947" width="11.7109375" style="585" customWidth="1"/>
    <col min="15948" max="16130" width="9.140625" style="585"/>
    <col min="16131" max="16131" width="40.7109375" style="585" customWidth="1"/>
    <col min="16132" max="16132" width="14.7109375" style="585" customWidth="1"/>
    <col min="16133" max="16133" width="16.7109375" style="585" customWidth="1"/>
    <col min="16134" max="16134" width="14.7109375" style="585" customWidth="1"/>
    <col min="16135" max="16135" width="16.7109375" style="585" customWidth="1"/>
    <col min="16136" max="16137" width="14.7109375" style="585" customWidth="1"/>
    <col min="16138" max="16139" width="9.140625" style="585"/>
    <col min="16140" max="16140" width="18.7109375" style="585" customWidth="1"/>
    <col min="16141" max="16147" width="9.140625" style="585"/>
    <col min="16148" max="16148" width="10.7109375" style="585" customWidth="1"/>
    <col min="16149" max="16149" width="9.140625" style="585"/>
    <col min="16150" max="16150" width="24.7109375" style="585" customWidth="1"/>
    <col min="16151" max="16154" width="12.7109375" style="585" customWidth="1"/>
    <col min="16155" max="16156" width="9.140625" style="585"/>
    <col min="16157" max="16157" width="40.7109375" style="585" customWidth="1"/>
    <col min="16158" max="16161" width="12.7109375" style="585" customWidth="1"/>
    <col min="16162" max="16163" width="9.140625" style="585"/>
    <col min="16164" max="16164" width="50.7109375" style="585" customWidth="1"/>
    <col min="16165" max="16168" width="12.7109375" style="585" customWidth="1"/>
    <col min="16169" max="16170" width="9.140625" style="585"/>
    <col min="16171" max="16171" width="45.7109375" style="585" customWidth="1"/>
    <col min="16172" max="16175" width="12.7109375" style="585" customWidth="1"/>
    <col min="16176" max="16177" width="9.140625" style="585"/>
    <col min="16178" max="16178" width="40.7109375" style="585" customWidth="1"/>
    <col min="16179" max="16182" width="12.7109375" style="585" customWidth="1"/>
    <col min="16183" max="16184" width="9.140625" style="585"/>
    <col min="16185" max="16185" width="45.7109375" style="585" customWidth="1"/>
    <col min="16186" max="16189" width="11.7109375" style="585" customWidth="1"/>
    <col min="16190" max="16191" width="9.140625" style="585"/>
    <col min="16192" max="16192" width="34.7109375" style="585" customWidth="1"/>
    <col min="16193" max="16196" width="11.7109375" style="585" customWidth="1"/>
    <col min="16197" max="16198" width="9.140625" style="585"/>
    <col min="16199" max="16199" width="40.7109375" style="585" customWidth="1"/>
    <col min="16200" max="16203" width="11.7109375" style="585" customWidth="1"/>
    <col min="16204" max="16384" width="9.140625" style="585"/>
  </cols>
  <sheetData>
    <row r="1" spans="1:75" ht="15">
      <c r="A1" s="382" t="s">
        <v>6571</v>
      </c>
      <c r="K1" s="382" t="s">
        <v>6572</v>
      </c>
      <c r="L1" s="1412"/>
      <c r="M1" s="1464"/>
      <c r="N1" s="1465"/>
      <c r="O1" s="1465"/>
      <c r="P1" s="1465"/>
      <c r="T1" s="382" t="s">
        <v>6573</v>
      </c>
      <c r="AC1" s="382" t="s">
        <v>6574</v>
      </c>
      <c r="AJ1" s="382" t="s">
        <v>6575</v>
      </c>
      <c r="AQ1" s="382" t="s">
        <v>6576</v>
      </c>
      <c r="AX1" s="382" t="s">
        <v>6577</v>
      </c>
      <c r="BE1" s="382" t="s">
        <v>6578</v>
      </c>
      <c r="BL1" s="382" t="s">
        <v>6579</v>
      </c>
      <c r="BS1" s="382" t="s">
        <v>6580</v>
      </c>
    </row>
    <row r="2" spans="1:75" ht="15">
      <c r="A2" s="1466" t="s">
        <v>6581</v>
      </c>
      <c r="B2" s="603" t="s">
        <v>2823</v>
      </c>
      <c r="C2" s="603" t="s">
        <v>6582</v>
      </c>
      <c r="D2" s="603" t="s">
        <v>3144</v>
      </c>
      <c r="E2" s="603" t="s">
        <v>6583</v>
      </c>
      <c r="F2" s="603" t="s">
        <v>6584</v>
      </c>
      <c r="G2" s="605" t="s">
        <v>6585</v>
      </c>
      <c r="H2" s="599"/>
      <c r="I2" s="599"/>
      <c r="K2" s="1433" t="s">
        <v>6586</v>
      </c>
      <c r="L2" s="1433"/>
      <c r="M2" s="1467"/>
      <c r="N2" s="1468"/>
      <c r="O2" s="1468"/>
      <c r="P2" s="1468"/>
      <c r="T2" s="1412" t="s">
        <v>6586</v>
      </c>
      <c r="W2" s="586"/>
      <c r="X2" s="586"/>
      <c r="Y2" s="586"/>
      <c r="AC2" s="1412" t="s">
        <v>6587</v>
      </c>
      <c r="AJ2" s="1412" t="s">
        <v>6588</v>
      </c>
      <c r="AQ2" s="1412" t="s">
        <v>6589</v>
      </c>
      <c r="AX2" s="1412" t="s">
        <v>6590</v>
      </c>
      <c r="BE2" s="1412" t="s">
        <v>6591</v>
      </c>
      <c r="BL2" s="1412" t="s">
        <v>6592</v>
      </c>
      <c r="BS2" s="1412" t="s">
        <v>6591</v>
      </c>
    </row>
    <row r="3" spans="1:75" ht="15" customHeight="1">
      <c r="A3" s="1393" t="s">
        <v>2332</v>
      </c>
      <c r="B3" s="614" t="s">
        <v>3026</v>
      </c>
      <c r="C3" s="614" t="s">
        <v>3026</v>
      </c>
      <c r="D3" s="614" t="s">
        <v>2449</v>
      </c>
      <c r="E3" s="614" t="s">
        <v>6593</v>
      </c>
      <c r="F3" s="421" t="s">
        <v>3342</v>
      </c>
      <c r="G3" s="611" t="s">
        <v>3342</v>
      </c>
      <c r="H3" s="599"/>
      <c r="I3" s="599"/>
      <c r="K3" s="891"/>
      <c r="L3" s="891"/>
      <c r="M3" s="602"/>
      <c r="N3" s="1469" t="s">
        <v>6594</v>
      </c>
      <c r="O3" s="602"/>
      <c r="P3" s="1470" t="s">
        <v>6595</v>
      </c>
      <c r="T3" s="891"/>
      <c r="U3" s="891"/>
      <c r="V3" s="891"/>
      <c r="W3" s="602"/>
      <c r="X3" s="1470" t="s">
        <v>6594</v>
      </c>
      <c r="Y3" s="602"/>
      <c r="Z3" s="1470" t="s">
        <v>6595</v>
      </c>
      <c r="AC3" s="891"/>
      <c r="AD3" s="602"/>
      <c r="AE3" s="1470" t="s">
        <v>6594</v>
      </c>
      <c r="AF3" s="602"/>
      <c r="AG3" s="1470" t="s">
        <v>6595</v>
      </c>
      <c r="AJ3" s="891"/>
      <c r="AK3" s="602"/>
      <c r="AL3" s="1470" t="s">
        <v>6594</v>
      </c>
      <c r="AM3" s="602"/>
      <c r="AN3" s="1470" t="s">
        <v>6595</v>
      </c>
      <c r="AQ3" s="891"/>
      <c r="AR3" s="602"/>
      <c r="AS3" s="1470" t="s">
        <v>6594</v>
      </c>
      <c r="AT3" s="602"/>
      <c r="AU3" s="1470" t="s">
        <v>6595</v>
      </c>
      <c r="AX3" s="891"/>
      <c r="AY3" s="602"/>
      <c r="AZ3" s="1470" t="s">
        <v>6594</v>
      </c>
      <c r="BA3" s="602"/>
      <c r="BB3" s="1470" t="s">
        <v>6595</v>
      </c>
      <c r="BE3" s="891"/>
      <c r="BF3" s="602"/>
      <c r="BG3" s="1470" t="s">
        <v>6594</v>
      </c>
      <c r="BH3" s="602"/>
      <c r="BI3" s="1470" t="s">
        <v>6595</v>
      </c>
      <c r="BL3" s="891"/>
      <c r="BM3" s="602"/>
      <c r="BN3" s="1470" t="s">
        <v>6594</v>
      </c>
      <c r="BO3" s="602"/>
      <c r="BP3" s="1470" t="s">
        <v>6595</v>
      </c>
      <c r="BS3" s="891"/>
      <c r="BT3" s="602"/>
      <c r="BU3" s="1470" t="s">
        <v>6594</v>
      </c>
      <c r="BV3" s="602"/>
      <c r="BW3" s="1470" t="s">
        <v>6595</v>
      </c>
    </row>
    <row r="4" spans="1:75" ht="15.95" customHeight="1">
      <c r="A4" s="585" t="s">
        <v>1967</v>
      </c>
      <c r="B4" s="435" t="s">
        <v>6596</v>
      </c>
      <c r="C4" s="435" t="s">
        <v>6596</v>
      </c>
      <c r="D4" s="439" t="s">
        <v>6597</v>
      </c>
      <c r="E4" s="435" t="s">
        <v>6598</v>
      </c>
      <c r="F4" s="1134" t="s">
        <v>6599</v>
      </c>
      <c r="G4" s="439" t="s">
        <v>6600</v>
      </c>
      <c r="H4" s="439"/>
      <c r="I4" s="439"/>
      <c r="K4" s="2223" t="s">
        <v>6601</v>
      </c>
      <c r="L4" s="2223"/>
      <c r="M4" s="1471" t="s">
        <v>1967</v>
      </c>
      <c r="N4" s="1472" t="s">
        <v>6602</v>
      </c>
      <c r="O4" s="1473" t="s">
        <v>473</v>
      </c>
      <c r="P4" s="1473" t="s">
        <v>6603</v>
      </c>
      <c r="T4" s="2223" t="s">
        <v>6601</v>
      </c>
      <c r="U4" s="2223"/>
      <c r="V4" s="2223"/>
      <c r="W4" s="1473" t="s">
        <v>1967</v>
      </c>
      <c r="X4" s="1473" t="s">
        <v>6602</v>
      </c>
      <c r="Y4" s="1473" t="s">
        <v>473</v>
      </c>
      <c r="Z4" s="1473" t="s">
        <v>6603</v>
      </c>
      <c r="AC4" s="1474" t="s">
        <v>6601</v>
      </c>
      <c r="AD4" s="1473" t="s">
        <v>1967</v>
      </c>
      <c r="AE4" s="1473" t="s">
        <v>6602</v>
      </c>
      <c r="AF4" s="1473" t="s">
        <v>473</v>
      </c>
      <c r="AG4" s="1473" t="s">
        <v>6603</v>
      </c>
      <c r="AJ4" s="1474" t="s">
        <v>6601</v>
      </c>
      <c r="AK4" s="1473" t="s">
        <v>1967</v>
      </c>
      <c r="AL4" s="1473" t="s">
        <v>6602</v>
      </c>
      <c r="AM4" s="1473" t="s">
        <v>473</v>
      </c>
      <c r="AN4" s="1473" t="s">
        <v>6603</v>
      </c>
      <c r="AQ4" s="1474" t="s">
        <v>6601</v>
      </c>
      <c r="AR4" s="1473" t="s">
        <v>1967</v>
      </c>
      <c r="AS4" s="1473" t="s">
        <v>6602</v>
      </c>
      <c r="AT4" s="1473" t="s">
        <v>473</v>
      </c>
      <c r="AU4" s="1473" t="s">
        <v>6603</v>
      </c>
      <c r="AX4" s="1474" t="s">
        <v>6601</v>
      </c>
      <c r="AY4" s="1473" t="s">
        <v>1967</v>
      </c>
      <c r="AZ4" s="1473" t="s">
        <v>6602</v>
      </c>
      <c r="BA4" s="1473" t="s">
        <v>473</v>
      </c>
      <c r="BB4" s="1473" t="s">
        <v>6603</v>
      </c>
      <c r="BE4" s="1474" t="s">
        <v>6601</v>
      </c>
      <c r="BF4" s="1473" t="s">
        <v>1967</v>
      </c>
      <c r="BG4" s="1473" t="s">
        <v>6602</v>
      </c>
      <c r="BH4" s="1473" t="s">
        <v>473</v>
      </c>
      <c r="BI4" s="1473" t="s">
        <v>6603</v>
      </c>
      <c r="BL4" s="1474" t="s">
        <v>6601</v>
      </c>
      <c r="BM4" s="1473" t="s">
        <v>1967</v>
      </c>
      <c r="BN4" s="1473" t="s">
        <v>6602</v>
      </c>
      <c r="BO4" s="1473" t="s">
        <v>473</v>
      </c>
      <c r="BP4" s="1473" t="s">
        <v>6603</v>
      </c>
      <c r="BS4" s="1474" t="s">
        <v>6601</v>
      </c>
      <c r="BT4" s="1473" t="s">
        <v>1967</v>
      </c>
      <c r="BU4" s="1473" t="s">
        <v>6602</v>
      </c>
      <c r="BV4" s="1473" t="s">
        <v>473</v>
      </c>
      <c r="BW4" s="1473" t="s">
        <v>6603</v>
      </c>
    </row>
    <row r="5" spans="1:75" ht="14.25">
      <c r="A5" s="585" t="s">
        <v>3051</v>
      </c>
      <c r="B5" s="385" t="s">
        <v>6604</v>
      </c>
      <c r="C5" s="385" t="s">
        <v>6604</v>
      </c>
      <c r="D5" s="752" t="s">
        <v>6605</v>
      </c>
      <c r="E5" s="439" t="s">
        <v>6606</v>
      </c>
      <c r="F5" s="439" t="s">
        <v>6607</v>
      </c>
      <c r="G5" s="439" t="s">
        <v>6608</v>
      </c>
      <c r="H5" s="439"/>
      <c r="I5" s="439"/>
      <c r="K5" s="1412" t="s">
        <v>6609</v>
      </c>
      <c r="L5" s="1412"/>
      <c r="M5" s="1475">
        <f>SUM(M6:M23)</f>
        <v>153836</v>
      </c>
      <c r="N5" s="1476">
        <f>SUM(N6:N23)</f>
        <v>49710</v>
      </c>
      <c r="O5" s="1476">
        <f>SUM(O6:O23)</f>
        <v>47329</v>
      </c>
      <c r="P5" s="1476">
        <f>SUM(P6:P23)</f>
        <v>87146</v>
      </c>
      <c r="T5" s="1412"/>
      <c r="U5" s="1412"/>
      <c r="V5" s="1412" t="s">
        <v>6609</v>
      </c>
      <c r="W5" s="1464">
        <v>153836</v>
      </c>
      <c r="X5" s="1476">
        <v>49710</v>
      </c>
      <c r="Y5" s="1476">
        <v>47329</v>
      </c>
      <c r="Z5" s="1476">
        <v>87146</v>
      </c>
      <c r="AC5" s="612" t="s">
        <v>129</v>
      </c>
      <c r="AD5" s="1464">
        <v>38830</v>
      </c>
      <c r="AE5" s="1475">
        <v>12979</v>
      </c>
      <c r="AF5" s="1475">
        <v>12979</v>
      </c>
      <c r="AG5" s="1475">
        <v>16965</v>
      </c>
      <c r="AJ5" s="612" t="s">
        <v>129</v>
      </c>
      <c r="AK5" s="1464">
        <v>91188</v>
      </c>
      <c r="AL5" s="1475">
        <v>29449</v>
      </c>
      <c r="AM5" s="1475">
        <v>29449</v>
      </c>
      <c r="AN5" s="1475">
        <v>62221</v>
      </c>
      <c r="AQ5" s="612" t="s">
        <v>129</v>
      </c>
      <c r="AR5" s="1338">
        <f>SUM(AR6+AR12)</f>
        <v>112962</v>
      </c>
      <c r="AS5" s="1475">
        <f>SUM(AS6+AS12)</f>
        <v>33838</v>
      </c>
      <c r="AT5" s="1475">
        <f>SUM(AT6+AT12)</f>
        <v>36191</v>
      </c>
      <c r="AU5" s="1477">
        <f>SUM(AU6+AU12)</f>
        <v>70750</v>
      </c>
      <c r="AX5" s="612" t="s">
        <v>129</v>
      </c>
      <c r="AY5" s="1338">
        <v>110609</v>
      </c>
      <c r="AZ5" s="1475">
        <v>32727</v>
      </c>
      <c r="BA5" s="1475">
        <v>35396</v>
      </c>
      <c r="BB5" s="1475">
        <v>69821</v>
      </c>
      <c r="BE5" s="612" t="s">
        <v>129</v>
      </c>
      <c r="BF5" s="1338">
        <v>51555</v>
      </c>
      <c r="BG5" s="1475">
        <v>11807</v>
      </c>
      <c r="BH5" s="1475">
        <v>18290</v>
      </c>
      <c r="BI5" s="1338">
        <v>57257</v>
      </c>
      <c r="BL5" s="612" t="s">
        <v>129</v>
      </c>
      <c r="BM5" s="1338">
        <v>43381</v>
      </c>
      <c r="BN5" s="1475">
        <v>9834</v>
      </c>
      <c r="BO5" s="1475">
        <v>14282</v>
      </c>
      <c r="BP5" s="1338">
        <f>SUM(BP6:BP7)</f>
        <v>39642</v>
      </c>
      <c r="BS5" s="612" t="s">
        <v>129</v>
      </c>
      <c r="BT5" s="1338">
        <f>SUM(BT6:BT15)</f>
        <v>50069</v>
      </c>
      <c r="BU5" s="1475">
        <f>SUM(BU6:BU15)</f>
        <v>11807</v>
      </c>
      <c r="BV5" s="1475">
        <f>SUM(BV6:BV15)</f>
        <v>18290</v>
      </c>
      <c r="BW5" s="1338">
        <f>SUM(BW6:BW15)</f>
        <v>57257</v>
      </c>
    </row>
    <row r="6" spans="1:75" ht="14.25">
      <c r="A6" s="585" t="s">
        <v>6610</v>
      </c>
      <c r="B6" s="385" t="s">
        <v>6611</v>
      </c>
      <c r="C6" s="385" t="s">
        <v>6611</v>
      </c>
      <c r="D6" s="439" t="s">
        <v>6612</v>
      </c>
      <c r="E6" s="439" t="s">
        <v>6613</v>
      </c>
      <c r="F6" s="439" t="s">
        <v>6614</v>
      </c>
      <c r="G6" s="439" t="s">
        <v>6615</v>
      </c>
      <c r="H6" s="439"/>
      <c r="I6" s="439"/>
      <c r="K6" s="1412"/>
      <c r="L6" s="1412" t="s">
        <v>2832</v>
      </c>
      <c r="M6" s="1475">
        <v>10626</v>
      </c>
      <c r="N6" s="1476">
        <v>4569</v>
      </c>
      <c r="O6" s="1476">
        <v>3218</v>
      </c>
      <c r="P6" s="1476">
        <v>4468</v>
      </c>
      <c r="T6" s="1412" t="s">
        <v>6616</v>
      </c>
      <c r="U6" s="1412"/>
      <c r="V6" s="1412"/>
      <c r="W6" s="1464">
        <v>149444</v>
      </c>
      <c r="X6" s="1476">
        <v>48736</v>
      </c>
      <c r="Y6" s="1476">
        <v>46022</v>
      </c>
      <c r="Z6" s="1476">
        <v>84891</v>
      </c>
      <c r="AC6" s="585" t="s">
        <v>6617</v>
      </c>
      <c r="AD6" s="1464">
        <v>1455</v>
      </c>
      <c r="AE6" s="1475">
        <v>576</v>
      </c>
      <c r="AF6" s="1475">
        <v>576</v>
      </c>
      <c r="AG6" s="1475">
        <v>1246</v>
      </c>
      <c r="AJ6" s="382" t="s">
        <v>6618</v>
      </c>
      <c r="AK6" s="1464">
        <v>4100</v>
      </c>
      <c r="AL6" s="1475">
        <v>1681</v>
      </c>
      <c r="AM6" s="1475">
        <v>1681</v>
      </c>
      <c r="AN6" s="1478">
        <v>6795</v>
      </c>
      <c r="AQ6" s="382" t="s">
        <v>1711</v>
      </c>
      <c r="AR6" s="1479">
        <v>55860</v>
      </c>
      <c r="AS6" s="1475">
        <v>16753</v>
      </c>
      <c r="AT6" s="1475">
        <v>19069</v>
      </c>
      <c r="AU6" s="1475">
        <v>33182</v>
      </c>
      <c r="AX6" s="382" t="s">
        <v>6619</v>
      </c>
      <c r="AY6" s="1338">
        <v>67339</v>
      </c>
      <c r="AZ6" s="1475">
        <v>18357</v>
      </c>
      <c r="BA6" s="1475">
        <v>21843</v>
      </c>
      <c r="BB6" s="1475">
        <v>39677</v>
      </c>
      <c r="BE6" s="382" t="s">
        <v>6620</v>
      </c>
      <c r="BF6" s="1338">
        <v>43381</v>
      </c>
      <c r="BG6" s="1475">
        <v>9834</v>
      </c>
      <c r="BH6" s="1475">
        <v>14282</v>
      </c>
      <c r="BI6" s="1338">
        <v>39642</v>
      </c>
      <c r="BL6" s="382" t="s">
        <v>6621</v>
      </c>
      <c r="BM6" s="1338">
        <v>22545</v>
      </c>
      <c r="BN6" s="1475">
        <v>6993</v>
      </c>
      <c r="BO6" s="1475">
        <v>4137</v>
      </c>
      <c r="BP6" s="1338">
        <v>18968</v>
      </c>
      <c r="BS6" s="382" t="s">
        <v>6622</v>
      </c>
      <c r="BT6" s="1338">
        <v>556</v>
      </c>
      <c r="BU6" s="1475">
        <v>206</v>
      </c>
      <c r="BV6" s="1475">
        <v>618</v>
      </c>
      <c r="BW6" s="1338">
        <v>403</v>
      </c>
    </row>
    <row r="7" spans="1:75" ht="14.25">
      <c r="A7" s="585" t="s">
        <v>484</v>
      </c>
      <c r="B7" s="435" t="s">
        <v>6623</v>
      </c>
      <c r="C7" s="456" t="s">
        <v>6624</v>
      </c>
      <c r="D7" s="439" t="s">
        <v>6625</v>
      </c>
      <c r="E7" s="439" t="s">
        <v>6626</v>
      </c>
      <c r="F7" s="439" t="s">
        <v>6627</v>
      </c>
      <c r="G7" s="439" t="s">
        <v>6628</v>
      </c>
      <c r="H7" s="439"/>
      <c r="I7" s="439"/>
      <c r="K7" s="1412"/>
      <c r="L7" s="1412" t="s">
        <v>1674</v>
      </c>
      <c r="M7" s="1475">
        <v>11439</v>
      </c>
      <c r="N7" s="1476">
        <v>4990</v>
      </c>
      <c r="O7" s="1476">
        <v>3698</v>
      </c>
      <c r="P7" s="1476">
        <v>4600</v>
      </c>
      <c r="T7" s="1412"/>
      <c r="U7" s="1412" t="s">
        <v>6629</v>
      </c>
      <c r="V7" s="1412"/>
      <c r="W7" s="1464">
        <v>43381</v>
      </c>
      <c r="X7" s="1476">
        <v>9834</v>
      </c>
      <c r="Y7" s="1476">
        <v>14282</v>
      </c>
      <c r="Z7" s="1476">
        <v>39642</v>
      </c>
      <c r="AC7" s="585" t="s">
        <v>6630</v>
      </c>
      <c r="AD7" s="1464">
        <v>2062</v>
      </c>
      <c r="AE7" s="1475">
        <v>785</v>
      </c>
      <c r="AF7" s="1478">
        <v>785</v>
      </c>
      <c r="AG7" s="1478">
        <v>960</v>
      </c>
      <c r="AJ7" s="382" t="s">
        <v>6631</v>
      </c>
      <c r="AK7" s="1464">
        <v>8673</v>
      </c>
      <c r="AL7" s="1475">
        <v>2554</v>
      </c>
      <c r="AM7" s="1475">
        <v>2554</v>
      </c>
      <c r="AN7" s="1478">
        <v>6723</v>
      </c>
      <c r="AQ7" s="1278" t="s">
        <v>3171</v>
      </c>
      <c r="AR7" s="1479">
        <v>23578</v>
      </c>
      <c r="AS7" s="1475">
        <v>6690</v>
      </c>
      <c r="AT7" s="1475">
        <v>8110</v>
      </c>
      <c r="AU7" s="1475">
        <v>14160</v>
      </c>
      <c r="AX7" s="1278" t="s">
        <v>6632</v>
      </c>
      <c r="AY7" s="1338">
        <v>64648</v>
      </c>
      <c r="AZ7" s="1475">
        <v>18174</v>
      </c>
      <c r="BA7" s="1475">
        <v>21827</v>
      </c>
      <c r="BB7" s="1475">
        <v>39416</v>
      </c>
      <c r="BE7" s="1276" t="s">
        <v>6633</v>
      </c>
      <c r="BF7" s="1338">
        <v>8174</v>
      </c>
      <c r="BG7" s="1475">
        <v>1973</v>
      </c>
      <c r="BH7" s="1475">
        <v>4008</v>
      </c>
      <c r="BI7" s="1338">
        <v>17615</v>
      </c>
      <c r="BL7" s="1480" t="s">
        <v>6634</v>
      </c>
      <c r="BM7" s="1481">
        <v>20836</v>
      </c>
      <c r="BN7" s="1482">
        <v>2841</v>
      </c>
      <c r="BO7" s="1482">
        <v>10145</v>
      </c>
      <c r="BP7" s="1481">
        <v>20674</v>
      </c>
      <c r="BS7" s="382" t="s">
        <v>6635</v>
      </c>
      <c r="BT7" s="1338">
        <v>4748</v>
      </c>
      <c r="BU7" s="1478">
        <v>1786</v>
      </c>
      <c r="BV7" s="1478">
        <v>1941</v>
      </c>
      <c r="BW7" s="1338">
        <v>2972</v>
      </c>
    </row>
    <row r="8" spans="1:75" ht="14.25">
      <c r="A8" s="585" t="s">
        <v>5251</v>
      </c>
      <c r="B8" s="435" t="s">
        <v>6636</v>
      </c>
      <c r="C8" s="456" t="s">
        <v>6637</v>
      </c>
      <c r="D8" s="439" t="s">
        <v>6638</v>
      </c>
      <c r="E8" s="439" t="s">
        <v>6639</v>
      </c>
      <c r="F8" s="439" t="s">
        <v>6640</v>
      </c>
      <c r="G8" s="439" t="s">
        <v>6641</v>
      </c>
      <c r="H8" s="439"/>
      <c r="I8" s="439"/>
      <c r="K8" s="1412"/>
      <c r="L8" s="1412" t="s">
        <v>3370</v>
      </c>
      <c r="M8" s="1475">
        <v>12232</v>
      </c>
      <c r="N8" s="1476">
        <v>5350</v>
      </c>
      <c r="O8" s="1476">
        <v>4222</v>
      </c>
      <c r="P8" s="1476">
        <v>5097</v>
      </c>
      <c r="T8" s="1412"/>
      <c r="U8" s="1412" t="s">
        <v>6642</v>
      </c>
      <c r="V8" s="1412"/>
      <c r="W8" s="1464">
        <v>23402</v>
      </c>
      <c r="X8" s="1476">
        <v>6087</v>
      </c>
      <c r="Y8" s="1476">
        <v>5945</v>
      </c>
      <c r="Z8" s="1476">
        <v>11018</v>
      </c>
      <c r="AC8" s="585" t="s">
        <v>6643</v>
      </c>
      <c r="AD8" s="1464">
        <v>18069</v>
      </c>
      <c r="AE8" s="1475">
        <v>6503</v>
      </c>
      <c r="AF8" s="1475">
        <v>6503</v>
      </c>
      <c r="AG8" s="1475">
        <v>7847</v>
      </c>
      <c r="AJ8" s="382" t="s">
        <v>6644</v>
      </c>
      <c r="AK8" s="1464">
        <v>34372</v>
      </c>
      <c r="AL8" s="1475">
        <v>11851</v>
      </c>
      <c r="AM8" s="1475">
        <v>11851</v>
      </c>
      <c r="AN8" s="1478">
        <v>24140</v>
      </c>
      <c r="AQ8" s="1278" t="s">
        <v>6645</v>
      </c>
      <c r="AR8" s="1479">
        <v>27598</v>
      </c>
      <c r="AS8" s="1475">
        <v>8974</v>
      </c>
      <c r="AT8" s="1475">
        <v>9285</v>
      </c>
      <c r="AU8" s="1475">
        <v>13506</v>
      </c>
      <c r="AX8" s="1483" t="s">
        <v>6646</v>
      </c>
      <c r="AY8" s="1338">
        <v>58078</v>
      </c>
      <c r="AZ8" s="1475">
        <v>15780</v>
      </c>
      <c r="BA8" s="1475">
        <v>18759</v>
      </c>
      <c r="BB8" s="1475">
        <v>35610</v>
      </c>
      <c r="BE8" s="1484" t="s">
        <v>6647</v>
      </c>
      <c r="BF8" s="1481">
        <v>202</v>
      </c>
      <c r="BG8" s="1482">
        <v>305</v>
      </c>
      <c r="BH8" s="1482">
        <v>157</v>
      </c>
      <c r="BI8" s="1481">
        <v>3916</v>
      </c>
      <c r="BL8" s="382" t="s">
        <v>6648</v>
      </c>
      <c r="BS8" s="1276" t="s">
        <v>6649</v>
      </c>
      <c r="BT8" s="1338">
        <v>6220</v>
      </c>
      <c r="BU8" s="1478">
        <v>2318</v>
      </c>
      <c r="BV8" s="1478">
        <v>2354</v>
      </c>
      <c r="BW8" s="1338">
        <v>5260</v>
      </c>
    </row>
    <row r="9" spans="1:75" ht="14.25">
      <c r="A9" s="585" t="s">
        <v>6650</v>
      </c>
      <c r="B9" s="435" t="s">
        <v>6651</v>
      </c>
      <c r="C9" s="456" t="s">
        <v>6652</v>
      </c>
      <c r="D9" s="439" t="s">
        <v>6653</v>
      </c>
      <c r="E9" s="599" t="s">
        <v>6654</v>
      </c>
      <c r="F9" s="439" t="s">
        <v>6655</v>
      </c>
      <c r="G9" s="439" t="s">
        <v>6656</v>
      </c>
      <c r="H9" s="439"/>
      <c r="I9" s="439"/>
      <c r="K9" s="1412"/>
      <c r="L9" s="1412" t="s">
        <v>6657</v>
      </c>
      <c r="M9" s="1475">
        <v>11782</v>
      </c>
      <c r="N9" s="1476">
        <v>5023</v>
      </c>
      <c r="O9" s="1476">
        <v>3834</v>
      </c>
      <c r="P9" s="1476">
        <v>4872</v>
      </c>
      <c r="T9" s="1412"/>
      <c r="U9" s="1412" t="s">
        <v>6658</v>
      </c>
      <c r="V9" s="1412"/>
      <c r="W9" s="1464">
        <v>3709</v>
      </c>
      <c r="X9" s="1476">
        <v>348</v>
      </c>
      <c r="Y9" s="1476">
        <v>2315</v>
      </c>
      <c r="Z9" s="1476">
        <v>2452</v>
      </c>
      <c r="AC9" s="585" t="s">
        <v>6659</v>
      </c>
      <c r="AD9" s="1464">
        <v>9235</v>
      </c>
      <c r="AE9" s="1475">
        <v>3336</v>
      </c>
      <c r="AF9" s="1475">
        <v>3336</v>
      </c>
      <c r="AG9" s="1475">
        <v>3871</v>
      </c>
      <c r="AJ9" s="382" t="s">
        <v>6660</v>
      </c>
      <c r="AK9" s="1464">
        <v>15134</v>
      </c>
      <c r="AL9" s="1475">
        <v>4630</v>
      </c>
      <c r="AM9" s="1475">
        <v>4630</v>
      </c>
      <c r="AN9" s="1478">
        <v>7754</v>
      </c>
      <c r="AQ9" s="1278" t="s">
        <v>3167</v>
      </c>
      <c r="AR9" s="1479">
        <v>534</v>
      </c>
      <c r="AS9" s="1475">
        <v>190</v>
      </c>
      <c r="AT9" s="1475">
        <v>540</v>
      </c>
      <c r="AU9" s="1475">
        <v>604</v>
      </c>
      <c r="AX9" s="1483" t="s">
        <v>6661</v>
      </c>
      <c r="AY9" s="1338">
        <v>6570</v>
      </c>
      <c r="AZ9" s="1475">
        <v>2394</v>
      </c>
      <c r="BA9" s="1475">
        <v>3068</v>
      </c>
      <c r="BB9" s="1475">
        <v>3806</v>
      </c>
      <c r="BE9" s="382" t="s">
        <v>6648</v>
      </c>
      <c r="BL9" s="585" t="s">
        <v>6662</v>
      </c>
      <c r="BS9" s="1276" t="s">
        <v>6663</v>
      </c>
      <c r="BT9" s="1338">
        <v>12793</v>
      </c>
      <c r="BU9" s="1478">
        <v>3419</v>
      </c>
      <c r="BV9" s="1478">
        <v>7280</v>
      </c>
      <c r="BW9" s="1338">
        <v>9587</v>
      </c>
    </row>
    <row r="10" spans="1:75" ht="14.25">
      <c r="A10" s="586" t="s">
        <v>4448</v>
      </c>
      <c r="B10" s="824" t="s">
        <v>6664</v>
      </c>
      <c r="C10" s="824" t="s">
        <v>6664</v>
      </c>
      <c r="D10" s="477" t="s">
        <v>6665</v>
      </c>
      <c r="E10" s="477" t="s">
        <v>6666</v>
      </c>
      <c r="F10" s="477" t="s">
        <v>6667</v>
      </c>
      <c r="G10" s="477" t="s">
        <v>6668</v>
      </c>
      <c r="H10" s="439"/>
      <c r="I10" s="439"/>
      <c r="K10" s="1412"/>
      <c r="L10" s="1412" t="s">
        <v>6669</v>
      </c>
      <c r="M10" s="1475">
        <v>11889</v>
      </c>
      <c r="N10" s="1476">
        <v>3209</v>
      </c>
      <c r="O10" s="1476">
        <v>2908</v>
      </c>
      <c r="P10" s="1476">
        <v>4153</v>
      </c>
      <c r="T10" s="1412"/>
      <c r="U10" s="1412" t="s">
        <v>6670</v>
      </c>
      <c r="V10" s="1412"/>
      <c r="W10" s="1464">
        <v>51414</v>
      </c>
      <c r="X10" s="1476">
        <v>17226</v>
      </c>
      <c r="Y10" s="1476">
        <v>14771</v>
      </c>
      <c r="Z10" s="1476">
        <v>21972</v>
      </c>
      <c r="AC10" s="586" t="s">
        <v>6671</v>
      </c>
      <c r="AD10" s="1467">
        <v>8009</v>
      </c>
      <c r="AE10" s="1482">
        <v>1779</v>
      </c>
      <c r="AF10" s="1482">
        <v>1779</v>
      </c>
      <c r="AG10" s="1482">
        <v>3041</v>
      </c>
      <c r="AJ10" s="382" t="s">
        <v>6672</v>
      </c>
      <c r="AK10" s="1464">
        <v>5820</v>
      </c>
      <c r="AL10" s="1475">
        <v>2539</v>
      </c>
      <c r="AM10" s="1475">
        <v>2539</v>
      </c>
      <c r="AN10" s="1478">
        <v>2964</v>
      </c>
      <c r="AQ10" s="1278" t="s">
        <v>3162</v>
      </c>
      <c r="AR10" s="1479">
        <v>1220</v>
      </c>
      <c r="AS10" s="1475">
        <v>532</v>
      </c>
      <c r="AT10" s="1475">
        <v>402</v>
      </c>
      <c r="AU10" s="1475">
        <v>1129</v>
      </c>
      <c r="AX10" s="1278" t="s">
        <v>6673</v>
      </c>
      <c r="AY10" s="1338">
        <v>2691</v>
      </c>
      <c r="AZ10" s="1475">
        <v>183</v>
      </c>
      <c r="BA10" s="1475">
        <v>16</v>
      </c>
      <c r="BB10" s="1475">
        <v>261</v>
      </c>
      <c r="BE10" s="585" t="s">
        <v>6662</v>
      </c>
      <c r="BS10" s="1276" t="s">
        <v>6674</v>
      </c>
      <c r="BT10" s="1338">
        <v>8856</v>
      </c>
      <c r="BU10" s="1475">
        <v>2240</v>
      </c>
      <c r="BV10" s="1478">
        <v>4807</v>
      </c>
      <c r="BW10" s="1338">
        <v>11261</v>
      </c>
    </row>
    <row r="11" spans="1:75">
      <c r="A11" s="585" t="s">
        <v>6675</v>
      </c>
      <c r="K11" s="1412"/>
      <c r="L11" s="1412" t="s">
        <v>3374</v>
      </c>
      <c r="M11" s="1475">
        <v>11463</v>
      </c>
      <c r="N11" s="1485">
        <v>3179</v>
      </c>
      <c r="O11" s="1485">
        <v>3116</v>
      </c>
      <c r="P11" s="1485">
        <v>4570</v>
      </c>
      <c r="T11" s="1412"/>
      <c r="U11" s="1412"/>
      <c r="V11" s="1412" t="s">
        <v>6676</v>
      </c>
      <c r="W11" s="1464">
        <v>31514</v>
      </c>
      <c r="X11" s="1476">
        <v>10908</v>
      </c>
      <c r="Y11" s="1476">
        <v>10512</v>
      </c>
      <c r="Z11" s="1476">
        <v>13851</v>
      </c>
      <c r="AC11" s="585" t="s">
        <v>6648</v>
      </c>
      <c r="AJ11" s="382" t="s">
        <v>6677</v>
      </c>
      <c r="AK11" s="1464">
        <v>17551</v>
      </c>
      <c r="AL11" s="1475">
        <v>4878</v>
      </c>
      <c r="AM11" s="1475">
        <v>4878</v>
      </c>
      <c r="AN11" s="1478">
        <v>8506</v>
      </c>
      <c r="AQ11" s="1278" t="s">
        <v>6253</v>
      </c>
      <c r="AR11" s="1479">
        <v>2930</v>
      </c>
      <c r="AS11" s="1475">
        <v>367</v>
      </c>
      <c r="AT11" s="1475">
        <v>732</v>
      </c>
      <c r="AU11" s="1475">
        <v>3783</v>
      </c>
      <c r="AX11" s="1276" t="s">
        <v>6678</v>
      </c>
      <c r="AY11" s="1338">
        <v>43270</v>
      </c>
      <c r="AZ11" s="1475">
        <v>14370</v>
      </c>
      <c r="BA11" s="1475">
        <v>13553</v>
      </c>
      <c r="BB11" s="1475">
        <v>30144</v>
      </c>
      <c r="BS11" s="1276" t="s">
        <v>6679</v>
      </c>
      <c r="BT11" s="1338">
        <v>12980</v>
      </c>
      <c r="BU11" s="1475">
        <v>959</v>
      </c>
      <c r="BV11" s="1475">
        <v>983</v>
      </c>
      <c r="BW11" s="1338">
        <v>12408</v>
      </c>
    </row>
    <row r="12" spans="1:75">
      <c r="A12" s="585" t="s">
        <v>6680</v>
      </c>
      <c r="K12" s="1412"/>
      <c r="L12" s="1412" t="s">
        <v>6681</v>
      </c>
      <c r="M12" s="1475">
        <v>10028</v>
      </c>
      <c r="N12" s="1485">
        <v>3008</v>
      </c>
      <c r="O12" s="1485">
        <v>3022</v>
      </c>
      <c r="P12" s="1485">
        <v>4689</v>
      </c>
      <c r="T12" s="1412"/>
      <c r="U12" s="1412"/>
      <c r="V12" s="1412" t="s">
        <v>6682</v>
      </c>
      <c r="W12" s="1464">
        <v>11303</v>
      </c>
      <c r="X12" s="1485">
        <v>3509</v>
      </c>
      <c r="Y12" s="1485">
        <v>2685</v>
      </c>
      <c r="Z12" s="1485">
        <v>3932</v>
      </c>
      <c r="AC12" s="585" t="s">
        <v>6662</v>
      </c>
      <c r="AJ12" s="381" t="s">
        <v>6683</v>
      </c>
      <c r="AK12" s="1467">
        <v>5538</v>
      </c>
      <c r="AL12" s="1482">
        <v>1316</v>
      </c>
      <c r="AM12" s="1482">
        <v>1316</v>
      </c>
      <c r="AN12" s="1486">
        <v>5339</v>
      </c>
      <c r="AQ12" s="1276" t="s">
        <v>1712</v>
      </c>
      <c r="AR12" s="1479">
        <v>57102</v>
      </c>
      <c r="AS12" s="1475">
        <v>17085</v>
      </c>
      <c r="AT12" s="1475">
        <v>17122</v>
      </c>
      <c r="AU12" s="1475">
        <v>37568</v>
      </c>
      <c r="AX12" s="415" t="s">
        <v>6648</v>
      </c>
      <c r="AY12" s="891"/>
      <c r="AZ12" s="891"/>
      <c r="BA12" s="891"/>
      <c r="BB12" s="891"/>
      <c r="BS12" s="1276" t="s">
        <v>6684</v>
      </c>
      <c r="BT12" s="1338">
        <v>3039</v>
      </c>
      <c r="BU12" s="1475">
        <v>613</v>
      </c>
      <c r="BV12" s="1475">
        <v>195</v>
      </c>
      <c r="BW12" s="1338">
        <v>11078</v>
      </c>
    </row>
    <row r="13" spans="1:75">
      <c r="A13" s="585" t="s">
        <v>6685</v>
      </c>
      <c r="C13" s="1062"/>
      <c r="K13" s="1412"/>
      <c r="L13" s="1412" t="s">
        <v>6686</v>
      </c>
      <c r="M13" s="1475">
        <v>9456</v>
      </c>
      <c r="N13" s="1485">
        <v>2968</v>
      </c>
      <c r="O13" s="1485">
        <v>3103</v>
      </c>
      <c r="P13" s="1485">
        <v>5062</v>
      </c>
      <c r="T13" s="1412"/>
      <c r="U13" s="1412" t="s">
        <v>6687</v>
      </c>
      <c r="V13" s="1412"/>
      <c r="W13" s="1464">
        <v>24424</v>
      </c>
      <c r="X13" s="1476">
        <v>13854</v>
      </c>
      <c r="Y13" s="1485">
        <v>6912</v>
      </c>
      <c r="Z13" s="1476">
        <v>8177</v>
      </c>
      <c r="AJ13" s="382" t="s">
        <v>6648</v>
      </c>
      <c r="AQ13" s="1278" t="s">
        <v>3171</v>
      </c>
      <c r="AR13" s="1479">
        <v>20507</v>
      </c>
      <c r="AS13" s="1475">
        <v>6005</v>
      </c>
      <c r="AT13" s="1475">
        <v>7198</v>
      </c>
      <c r="AU13" s="1475">
        <v>15719</v>
      </c>
      <c r="AX13" s="585" t="s">
        <v>6662</v>
      </c>
      <c r="BS13" s="1276" t="s">
        <v>6688</v>
      </c>
      <c r="BT13" s="1338">
        <v>580</v>
      </c>
      <c r="BU13" s="1475">
        <v>138</v>
      </c>
      <c r="BV13" s="1475">
        <v>89</v>
      </c>
      <c r="BW13" s="1338">
        <v>2759</v>
      </c>
    </row>
    <row r="14" spans="1:75" ht="15">
      <c r="A14" s="1487" t="s">
        <v>6689</v>
      </c>
      <c r="B14" s="1487" t="s">
        <v>6690</v>
      </c>
      <c r="C14" s="1487" t="s">
        <v>6691</v>
      </c>
      <c r="D14" s="1487" t="s">
        <v>6692</v>
      </c>
      <c r="E14" s="1487" t="s">
        <v>6693</v>
      </c>
      <c r="F14" s="1487" t="s">
        <v>6694</v>
      </c>
      <c r="K14" s="1412"/>
      <c r="L14" s="1412" t="s">
        <v>6695</v>
      </c>
      <c r="M14" s="1475">
        <v>9200</v>
      </c>
      <c r="N14" s="1485">
        <v>3241</v>
      </c>
      <c r="O14" s="1485">
        <v>3493</v>
      </c>
      <c r="P14" s="1485">
        <v>5147</v>
      </c>
      <c r="T14" s="1412"/>
      <c r="U14" s="1412"/>
      <c r="V14" s="1412" t="s">
        <v>6676</v>
      </c>
      <c r="W14" s="1464">
        <v>9384</v>
      </c>
      <c r="X14" s="1476">
        <v>7020</v>
      </c>
      <c r="Y14" s="1476">
        <v>2924</v>
      </c>
      <c r="Z14" s="1476">
        <v>3019</v>
      </c>
      <c r="AJ14" s="585" t="s">
        <v>6662</v>
      </c>
      <c r="AQ14" s="1278" t="s">
        <v>6645</v>
      </c>
      <c r="AR14" s="1479">
        <v>27518</v>
      </c>
      <c r="AS14" s="1475">
        <v>8831</v>
      </c>
      <c r="AT14" s="1475">
        <v>7554</v>
      </c>
      <c r="AU14" s="1475">
        <v>12684</v>
      </c>
      <c r="BL14" s="382"/>
      <c r="BS14" s="1276" t="s">
        <v>6696</v>
      </c>
      <c r="BT14" s="1338">
        <v>150</v>
      </c>
      <c r="BU14" s="1475">
        <v>62</v>
      </c>
      <c r="BV14" s="1475">
        <v>11</v>
      </c>
      <c r="BW14" s="1338">
        <v>573</v>
      </c>
    </row>
    <row r="15" spans="1:75" ht="17.25">
      <c r="A15" s="1488" t="s">
        <v>6697</v>
      </c>
      <c r="B15" s="1489" t="s">
        <v>6698</v>
      </c>
      <c r="C15" s="1489" t="s">
        <v>6699</v>
      </c>
      <c r="D15" s="1489" t="s">
        <v>6700</v>
      </c>
      <c r="E15" s="1489" t="s">
        <v>6701</v>
      </c>
      <c r="F15" s="1489"/>
      <c r="K15" s="1412"/>
      <c r="L15" s="1412" t="s">
        <v>6702</v>
      </c>
      <c r="M15" s="1475">
        <v>10145</v>
      </c>
      <c r="N15" s="1485">
        <v>3208</v>
      </c>
      <c r="O15" s="1485">
        <v>3944</v>
      </c>
      <c r="P15" s="1485">
        <v>5703</v>
      </c>
      <c r="T15" s="1412"/>
      <c r="U15" s="1412"/>
      <c r="V15" s="1412" t="s">
        <v>6703</v>
      </c>
      <c r="W15" s="1464">
        <v>3476</v>
      </c>
      <c r="X15" s="1485">
        <v>725</v>
      </c>
      <c r="Y15" s="1485">
        <v>551</v>
      </c>
      <c r="Z15" s="1485">
        <v>1572</v>
      </c>
      <c r="AC15" s="382"/>
      <c r="AQ15" s="1278" t="s">
        <v>3167</v>
      </c>
      <c r="AR15" s="1479">
        <v>662</v>
      </c>
      <c r="AS15" s="1475">
        <v>249</v>
      </c>
      <c r="AT15" s="1475">
        <v>373</v>
      </c>
      <c r="AU15" s="1475">
        <v>675</v>
      </c>
      <c r="BE15" s="382"/>
      <c r="BL15" s="1412"/>
      <c r="BS15" s="1480" t="s">
        <v>6704</v>
      </c>
      <c r="BT15" s="1481">
        <v>147</v>
      </c>
      <c r="BU15" s="1482">
        <v>66</v>
      </c>
      <c r="BV15" s="1482">
        <v>12</v>
      </c>
      <c r="BW15" s="1481">
        <v>956</v>
      </c>
    </row>
    <row r="16" spans="1:75" ht="15">
      <c r="A16" s="1489"/>
      <c r="B16" s="1487"/>
      <c r="C16" s="1487"/>
      <c r="D16" s="1487"/>
      <c r="E16" s="1487"/>
      <c r="K16" s="1412"/>
      <c r="L16" s="1412" t="s">
        <v>6705</v>
      </c>
      <c r="M16" s="1475">
        <v>10237</v>
      </c>
      <c r="N16" s="1485">
        <v>3164</v>
      </c>
      <c r="O16" s="1485">
        <v>4116</v>
      </c>
      <c r="P16" s="1485">
        <v>6651</v>
      </c>
      <c r="T16" s="1412"/>
      <c r="U16" s="1412" t="s">
        <v>6706</v>
      </c>
      <c r="V16" s="1412"/>
      <c r="W16" s="1464">
        <v>3114</v>
      </c>
      <c r="X16" s="1476">
        <v>1387</v>
      </c>
      <c r="Y16" s="1476">
        <v>1797</v>
      </c>
      <c r="Z16" s="1476">
        <v>1630</v>
      </c>
      <c r="AC16" s="1412"/>
      <c r="AQ16" s="1278" t="s">
        <v>3162</v>
      </c>
      <c r="AR16" s="1479">
        <v>4791</v>
      </c>
      <c r="AS16" s="1475">
        <v>1521</v>
      </c>
      <c r="AT16" s="1475">
        <v>1169</v>
      </c>
      <c r="AU16" s="1475">
        <v>3547</v>
      </c>
      <c r="BE16" s="1412"/>
      <c r="BN16" s="1490"/>
      <c r="BP16" s="1490"/>
      <c r="BS16" s="382" t="s">
        <v>6648</v>
      </c>
    </row>
    <row r="17" spans="1:75" ht="15">
      <c r="A17" s="1489"/>
      <c r="B17" s="1487"/>
      <c r="C17" s="1487"/>
      <c r="D17" s="1487"/>
      <c r="E17" s="1487"/>
      <c r="K17" s="1412"/>
      <c r="L17" s="1412" t="s">
        <v>6707</v>
      </c>
      <c r="M17" s="1475">
        <v>9865</v>
      </c>
      <c r="N17" s="1476">
        <v>2650</v>
      </c>
      <c r="O17" s="1476">
        <v>3374</v>
      </c>
      <c r="P17" s="1476">
        <v>6996</v>
      </c>
      <c r="T17" s="1412"/>
      <c r="U17" s="1412"/>
      <c r="V17" s="1412" t="s">
        <v>6676</v>
      </c>
      <c r="W17" s="1464">
        <v>460</v>
      </c>
      <c r="X17" s="1485">
        <v>280</v>
      </c>
      <c r="Y17" s="1485">
        <v>148</v>
      </c>
      <c r="Z17" s="1485">
        <v>148</v>
      </c>
      <c r="AE17" s="1490"/>
      <c r="AG17" s="1490"/>
      <c r="AJ17" s="382"/>
      <c r="AQ17" s="1484" t="s">
        <v>6253</v>
      </c>
      <c r="AR17" s="1491">
        <v>3624</v>
      </c>
      <c r="AS17" s="1482">
        <v>479</v>
      </c>
      <c r="AT17" s="1482">
        <v>828</v>
      </c>
      <c r="AU17" s="1482">
        <v>4943</v>
      </c>
      <c r="AX17" s="382"/>
      <c r="BG17" s="1490"/>
      <c r="BI17" s="1490"/>
      <c r="BL17" s="1492"/>
      <c r="BM17" s="1490"/>
      <c r="BN17" s="1490"/>
      <c r="BO17" s="1490"/>
      <c r="BP17" s="1490"/>
      <c r="BS17" s="585" t="s">
        <v>6662</v>
      </c>
    </row>
    <row r="18" spans="1:75" ht="15">
      <c r="K18" s="1412"/>
      <c r="L18" s="1412" t="s">
        <v>6708</v>
      </c>
      <c r="M18" s="1475">
        <v>8284</v>
      </c>
      <c r="N18" s="1476">
        <v>2004</v>
      </c>
      <c r="O18" s="1476">
        <v>2489</v>
      </c>
      <c r="P18" s="1476">
        <v>6597</v>
      </c>
      <c r="T18" s="1412"/>
      <c r="U18" s="1412"/>
      <c r="V18" s="1412" t="s">
        <v>6703</v>
      </c>
      <c r="W18" s="1464">
        <v>211</v>
      </c>
      <c r="X18" s="1485">
        <v>53</v>
      </c>
      <c r="Y18" s="1485">
        <v>77</v>
      </c>
      <c r="Z18" s="1485">
        <v>189</v>
      </c>
      <c r="AC18" s="1492"/>
      <c r="AD18" s="1490"/>
      <c r="AE18" s="1490"/>
      <c r="AF18" s="1490"/>
      <c r="AG18" s="1490"/>
      <c r="AJ18" s="1412"/>
      <c r="AQ18" s="382" t="s">
        <v>6648</v>
      </c>
      <c r="AX18" s="1412"/>
      <c r="BE18" s="1492"/>
      <c r="BF18" s="1490"/>
      <c r="BG18" s="1490"/>
      <c r="BH18" s="1490"/>
      <c r="BI18" s="1490"/>
      <c r="BL18" s="612"/>
      <c r="BM18" s="1338"/>
      <c r="BN18" s="1475"/>
      <c r="BO18" s="1475"/>
      <c r="BP18" s="1475"/>
    </row>
    <row r="19" spans="1:75" ht="15">
      <c r="K19" s="1412"/>
      <c r="L19" s="1412" t="s">
        <v>6710</v>
      </c>
      <c r="M19" s="1475">
        <v>6686</v>
      </c>
      <c r="N19" s="1485">
        <v>1345</v>
      </c>
      <c r="O19" s="1485">
        <v>1434</v>
      </c>
      <c r="P19" s="1485">
        <v>5753</v>
      </c>
      <c r="T19" s="1412" t="s">
        <v>6711</v>
      </c>
      <c r="U19" s="1412"/>
      <c r="V19" s="1412"/>
      <c r="W19" s="1464">
        <v>4392</v>
      </c>
      <c r="X19" s="1476">
        <v>974</v>
      </c>
      <c r="Y19" s="1476">
        <v>1307</v>
      </c>
      <c r="Z19" s="1476">
        <v>2255</v>
      </c>
      <c r="AC19" s="612"/>
      <c r="AD19" s="1464"/>
      <c r="AE19" s="1475"/>
      <c r="AF19" s="1475"/>
      <c r="AG19" s="1475"/>
      <c r="AL19" s="1490"/>
      <c r="AN19" s="1490"/>
      <c r="AQ19" s="585" t="s">
        <v>6662</v>
      </c>
      <c r="AZ19" s="1490"/>
      <c r="BB19" s="1490"/>
      <c r="BE19" s="612"/>
      <c r="BF19" s="1338"/>
      <c r="BG19" s="1475"/>
      <c r="BH19" s="1475"/>
      <c r="BI19" s="1475"/>
      <c r="BL19" s="382"/>
      <c r="BM19" s="1338"/>
      <c r="BN19" s="1475"/>
      <c r="BO19" s="1475"/>
      <c r="BP19" s="1475"/>
    </row>
    <row r="20" spans="1:75" ht="15">
      <c r="A20" s="382" t="s">
        <v>6709</v>
      </c>
      <c r="K20" s="1412"/>
      <c r="L20" s="1412" t="s">
        <v>6715</v>
      </c>
      <c r="M20" s="1475">
        <v>4885</v>
      </c>
      <c r="N20" s="1485">
        <v>893</v>
      </c>
      <c r="O20" s="1485">
        <v>767</v>
      </c>
      <c r="P20" s="1485">
        <v>5252</v>
      </c>
      <c r="T20" s="1412"/>
      <c r="U20" s="1412" t="s">
        <v>6716</v>
      </c>
      <c r="V20" s="1412"/>
      <c r="W20" s="1464">
        <v>823</v>
      </c>
      <c r="X20" s="1476">
        <v>248</v>
      </c>
      <c r="Y20" s="1476">
        <v>185</v>
      </c>
      <c r="Z20" s="1476">
        <v>311</v>
      </c>
      <c r="AD20" s="1464"/>
      <c r="AE20" s="1475"/>
      <c r="AF20" s="1478"/>
      <c r="AG20" s="1478"/>
      <c r="AJ20" s="1492"/>
      <c r="AK20" s="1490"/>
      <c r="AL20" s="1490"/>
      <c r="AM20" s="1490"/>
      <c r="AN20" s="1490"/>
      <c r="AX20" s="1492"/>
      <c r="AY20" s="1490"/>
      <c r="AZ20" s="1490"/>
      <c r="BA20" s="1490"/>
      <c r="BB20" s="1490"/>
      <c r="BE20" s="382"/>
      <c r="BF20" s="1338"/>
      <c r="BG20" s="1475"/>
      <c r="BH20" s="1475"/>
      <c r="BI20" s="1475"/>
      <c r="BL20" s="1276"/>
      <c r="BM20" s="1338"/>
      <c r="BN20" s="1475"/>
      <c r="BO20" s="1475"/>
      <c r="BP20" s="1475"/>
      <c r="BS20" s="382"/>
    </row>
    <row r="21" spans="1:75">
      <c r="A21" s="1466" t="s">
        <v>6581</v>
      </c>
      <c r="B21" s="603" t="s">
        <v>6712</v>
      </c>
      <c r="C21" s="603" t="s">
        <v>6713</v>
      </c>
      <c r="D21" s="603" t="s">
        <v>6460</v>
      </c>
      <c r="E21" s="603" t="s">
        <v>6449</v>
      </c>
      <c r="F21" s="605" t="s">
        <v>6714</v>
      </c>
      <c r="K21" s="1412"/>
      <c r="L21" s="1412" t="s">
        <v>6720</v>
      </c>
      <c r="M21" s="1475">
        <v>2637</v>
      </c>
      <c r="N21" s="1485">
        <v>486</v>
      </c>
      <c r="O21" s="1485">
        <v>299</v>
      </c>
      <c r="P21" s="1485">
        <v>3893</v>
      </c>
      <c r="T21" s="1412"/>
      <c r="U21" s="1412"/>
      <c r="V21" s="1412" t="s">
        <v>1711</v>
      </c>
      <c r="W21" s="1464">
        <v>724</v>
      </c>
      <c r="X21" s="1485">
        <v>227</v>
      </c>
      <c r="Y21" s="1485">
        <v>173</v>
      </c>
      <c r="Z21" s="1485">
        <v>248</v>
      </c>
      <c r="AD21" s="1464"/>
      <c r="AE21" s="1475"/>
      <c r="AF21" s="1478"/>
      <c r="AG21" s="1478"/>
      <c r="AJ21" s="612"/>
      <c r="AK21" s="1464"/>
      <c r="AL21" s="1475"/>
      <c r="AM21" s="1475"/>
      <c r="AN21" s="1475"/>
      <c r="AX21" s="612"/>
      <c r="AY21" s="1338"/>
      <c r="AZ21" s="1475"/>
      <c r="BA21" s="1475"/>
      <c r="BB21" s="1475"/>
      <c r="BE21" s="1276"/>
      <c r="BF21" s="1338"/>
      <c r="BG21" s="1475"/>
      <c r="BH21" s="1475"/>
      <c r="BI21" s="1475"/>
      <c r="BL21" s="382"/>
      <c r="BS21" s="1412"/>
    </row>
    <row r="22" spans="1:75" ht="15" customHeight="1">
      <c r="A22" s="1393" t="s">
        <v>2332</v>
      </c>
      <c r="B22" s="614" t="s">
        <v>6717</v>
      </c>
      <c r="C22" s="614" t="s">
        <v>6718</v>
      </c>
      <c r="D22" s="614" t="s">
        <v>6717</v>
      </c>
      <c r="E22" s="614" t="s">
        <v>6717</v>
      </c>
      <c r="F22" s="611" t="s">
        <v>6719</v>
      </c>
      <c r="K22" s="1412"/>
      <c r="L22" s="1412" t="s">
        <v>6726</v>
      </c>
      <c r="M22" s="1475">
        <v>1765</v>
      </c>
      <c r="N22" s="1485">
        <v>278</v>
      </c>
      <c r="O22" s="1485">
        <v>180</v>
      </c>
      <c r="P22" s="1485">
        <v>2115</v>
      </c>
      <c r="T22" s="1412"/>
      <c r="U22" s="1412"/>
      <c r="V22" s="1412" t="s">
        <v>1712</v>
      </c>
      <c r="W22" s="1464">
        <v>99</v>
      </c>
      <c r="X22" s="1485">
        <v>21</v>
      </c>
      <c r="Y22" s="1485">
        <v>12</v>
      </c>
      <c r="Z22" s="1485">
        <v>63</v>
      </c>
      <c r="AD22" s="1464"/>
      <c r="AE22" s="1475"/>
      <c r="AF22" s="1475"/>
      <c r="AG22" s="1475"/>
      <c r="AJ22" s="382"/>
      <c r="AK22" s="1464"/>
      <c r="AL22" s="1475"/>
      <c r="AM22" s="1475"/>
      <c r="AN22" s="1478"/>
      <c r="AX22" s="382"/>
      <c r="AY22" s="1338"/>
      <c r="AZ22" s="1475"/>
      <c r="BA22" s="1475"/>
      <c r="BB22" s="1475"/>
      <c r="BE22" s="1278"/>
      <c r="BF22" s="1338"/>
      <c r="BG22" s="1475"/>
      <c r="BH22" s="1475"/>
      <c r="BI22" s="1475"/>
      <c r="BU22" s="1490"/>
      <c r="BW22" s="1490"/>
    </row>
    <row r="23" spans="1:75" ht="17.25">
      <c r="A23" s="585" t="s">
        <v>1967</v>
      </c>
      <c r="B23" s="644" t="s">
        <v>6721</v>
      </c>
      <c r="C23" s="439" t="s">
        <v>6722</v>
      </c>
      <c r="D23" s="439" t="s">
        <v>6723</v>
      </c>
      <c r="E23" s="439" t="s">
        <v>6724</v>
      </c>
      <c r="F23" s="439" t="s">
        <v>6725</v>
      </c>
      <c r="K23" s="1412"/>
      <c r="L23" s="1412" t="s">
        <v>6731</v>
      </c>
      <c r="M23" s="1475">
        <v>1217</v>
      </c>
      <c r="N23" s="1476">
        <v>145</v>
      </c>
      <c r="O23" s="1476">
        <v>112</v>
      </c>
      <c r="P23" s="1485">
        <v>1528</v>
      </c>
      <c r="T23" s="1412"/>
      <c r="U23" s="1412" t="s">
        <v>6732</v>
      </c>
      <c r="V23" s="1412"/>
      <c r="W23" s="1464">
        <v>3569</v>
      </c>
      <c r="X23" s="1476">
        <v>726</v>
      </c>
      <c r="Y23" s="1476">
        <v>1122</v>
      </c>
      <c r="Z23" s="1476">
        <v>1944</v>
      </c>
      <c r="AD23" s="1464"/>
      <c r="AE23" s="1475"/>
      <c r="AF23" s="1475"/>
      <c r="AG23" s="1475"/>
      <c r="AJ23" s="382"/>
      <c r="AK23" s="1464"/>
      <c r="AL23" s="1475"/>
      <c r="AM23" s="1475"/>
      <c r="AN23" s="1478"/>
      <c r="AQ23" s="382"/>
      <c r="AX23" s="1278"/>
      <c r="AY23" s="1338"/>
      <c r="AZ23" s="1475"/>
      <c r="BA23" s="1475"/>
      <c r="BB23" s="1475"/>
      <c r="BE23" s="382"/>
      <c r="BS23" s="1492"/>
      <c r="BT23" s="1490"/>
      <c r="BU23" s="1490"/>
      <c r="BV23" s="1490"/>
      <c r="BW23" s="1490"/>
    </row>
    <row r="24" spans="1:75" ht="14.25">
      <c r="A24" s="585" t="s">
        <v>3051</v>
      </c>
      <c r="B24" s="439" t="s">
        <v>6727</v>
      </c>
      <c r="C24" s="475" t="s">
        <v>2835</v>
      </c>
      <c r="D24" s="439" t="s">
        <v>6728</v>
      </c>
      <c r="E24" s="439" t="s">
        <v>6729</v>
      </c>
      <c r="F24" s="439" t="s">
        <v>6730</v>
      </c>
      <c r="K24" s="1412" t="s">
        <v>6738</v>
      </c>
      <c r="L24" s="1412"/>
      <c r="M24" s="1475">
        <f>SUM(M25:M42)</f>
        <v>78271</v>
      </c>
      <c r="N24" s="1476">
        <f>SUM(N25:N42)</f>
        <v>25254</v>
      </c>
      <c r="O24" s="1476">
        <f>SUM(O25:O42)</f>
        <v>24892</v>
      </c>
      <c r="P24" s="1476">
        <f>SUM(P25:P42)</f>
        <v>42343</v>
      </c>
      <c r="T24" s="1412"/>
      <c r="U24" s="1412"/>
      <c r="V24" s="1493" t="s">
        <v>1711</v>
      </c>
      <c r="W24" s="1464">
        <v>2813</v>
      </c>
      <c r="X24" s="1485">
        <v>702</v>
      </c>
      <c r="Y24" s="1485">
        <v>937</v>
      </c>
      <c r="Z24" s="1485">
        <v>1575</v>
      </c>
      <c r="AD24" s="1464"/>
      <c r="AE24" s="1475"/>
      <c r="AF24" s="1475"/>
      <c r="AG24" s="1475"/>
      <c r="AJ24" s="382"/>
      <c r="AK24" s="1464"/>
      <c r="AL24" s="1475"/>
      <c r="AM24" s="1475"/>
      <c r="AN24" s="1478"/>
      <c r="AQ24" s="1412"/>
      <c r="AX24" s="1483"/>
      <c r="AY24" s="1338"/>
      <c r="AZ24" s="1475"/>
      <c r="BA24" s="1475"/>
      <c r="BB24" s="1475"/>
      <c r="BS24" s="612"/>
      <c r="BT24" s="1338"/>
      <c r="BU24" s="1475"/>
      <c r="BV24" s="1475"/>
      <c r="BW24" s="1475"/>
    </row>
    <row r="25" spans="1:75" ht="15">
      <c r="A25" s="585" t="s">
        <v>6610</v>
      </c>
      <c r="B25" s="439" t="s">
        <v>6733</v>
      </c>
      <c r="C25" s="439" t="s">
        <v>6734</v>
      </c>
      <c r="D25" s="439" t="s">
        <v>6735</v>
      </c>
      <c r="E25" s="439" t="s">
        <v>6736</v>
      </c>
      <c r="F25" s="439" t="s">
        <v>6737</v>
      </c>
      <c r="K25" s="1412"/>
      <c r="L25" s="1412" t="s">
        <v>2832</v>
      </c>
      <c r="M25" s="1475">
        <v>5575</v>
      </c>
      <c r="N25" s="1485">
        <v>2272</v>
      </c>
      <c r="O25" s="1485">
        <v>1704</v>
      </c>
      <c r="P25" s="1485">
        <v>2353</v>
      </c>
      <c r="T25" s="1433"/>
      <c r="U25" s="1433"/>
      <c r="V25" s="1494" t="s">
        <v>1712</v>
      </c>
      <c r="W25" s="1467">
        <v>756</v>
      </c>
      <c r="X25" s="1495">
        <v>24</v>
      </c>
      <c r="Y25" s="1495">
        <v>185</v>
      </c>
      <c r="Z25" s="1495">
        <v>369</v>
      </c>
      <c r="AJ25" s="382"/>
      <c r="AK25" s="1464"/>
      <c r="AL25" s="1475"/>
      <c r="AM25" s="1475"/>
      <c r="AN25" s="1478"/>
      <c r="AS25" s="1490"/>
      <c r="AU25" s="1490"/>
      <c r="AX25" s="1496"/>
      <c r="AY25" s="1338"/>
      <c r="AZ25" s="1475"/>
      <c r="BA25" s="1475"/>
      <c r="BB25" s="1497"/>
      <c r="BS25" s="382"/>
      <c r="BT25" s="1338"/>
      <c r="BU25" s="1478"/>
      <c r="BV25" s="1478"/>
      <c r="BW25" s="1478"/>
    </row>
    <row r="26" spans="1:75" ht="15">
      <c r="A26" s="585" t="s">
        <v>484</v>
      </c>
      <c r="B26" s="439" t="s">
        <v>6739</v>
      </c>
      <c r="C26" s="439" t="s">
        <v>6740</v>
      </c>
      <c r="D26" s="439" t="s">
        <v>6741</v>
      </c>
      <c r="E26" s="439" t="s">
        <v>6742</v>
      </c>
      <c r="F26" s="439" t="s">
        <v>6743</v>
      </c>
      <c r="K26" s="1412"/>
      <c r="L26" s="1412" t="s">
        <v>1674</v>
      </c>
      <c r="M26" s="1475">
        <v>5897</v>
      </c>
      <c r="N26" s="1485">
        <v>2554</v>
      </c>
      <c r="O26" s="1485">
        <v>1923</v>
      </c>
      <c r="P26" s="1485">
        <v>2429</v>
      </c>
      <c r="T26" s="585" t="s">
        <v>6648</v>
      </c>
      <c r="U26" s="1412"/>
      <c r="V26" s="1493"/>
      <c r="W26" s="1464"/>
      <c r="X26" s="1485"/>
      <c r="Y26" s="1485"/>
      <c r="Z26" s="1485"/>
      <c r="AJ26" s="382"/>
      <c r="AK26" s="1464"/>
      <c r="AL26" s="1475"/>
      <c r="AM26" s="1475"/>
      <c r="AN26" s="1478"/>
      <c r="AQ26" s="1492"/>
      <c r="AR26" s="1490"/>
      <c r="AS26" s="1490"/>
      <c r="AT26" s="1490"/>
      <c r="AU26" s="1490"/>
      <c r="AX26" s="1483"/>
      <c r="AY26" s="1338"/>
      <c r="AZ26" s="1475"/>
      <c r="BA26" s="1475"/>
      <c r="BB26" s="1475"/>
      <c r="BS26" s="1276"/>
      <c r="BT26" s="1338"/>
      <c r="BU26" s="1478"/>
      <c r="BV26" s="1478"/>
      <c r="BW26" s="1478"/>
    </row>
    <row r="27" spans="1:75" ht="14.25">
      <c r="A27" s="585" t="s">
        <v>5251</v>
      </c>
      <c r="B27" s="439" t="s">
        <v>6744</v>
      </c>
      <c r="C27" s="439" t="s">
        <v>6745</v>
      </c>
      <c r="D27" s="439" t="s">
        <v>6746</v>
      </c>
      <c r="E27" s="439" t="s">
        <v>6747</v>
      </c>
      <c r="F27" s="439" t="s">
        <v>6748</v>
      </c>
      <c r="K27" s="1412"/>
      <c r="L27" s="1412" t="s">
        <v>3370</v>
      </c>
      <c r="M27" s="1475">
        <v>6249</v>
      </c>
      <c r="N27" s="1485">
        <v>2751</v>
      </c>
      <c r="O27" s="1485">
        <v>2196</v>
      </c>
      <c r="P27" s="1485">
        <v>2566</v>
      </c>
      <c r="T27" s="585" t="s">
        <v>6662</v>
      </c>
      <c r="AJ27" s="382"/>
      <c r="AK27" s="1464"/>
      <c r="AL27" s="1475"/>
      <c r="AM27" s="1475"/>
      <c r="AN27" s="1478"/>
      <c r="AQ27" s="612"/>
      <c r="AR27" s="1338"/>
      <c r="AS27" s="1475"/>
      <c r="AT27" s="1475"/>
      <c r="AU27" s="1477"/>
      <c r="AX27" s="1278"/>
      <c r="AY27" s="1338"/>
      <c r="AZ27" s="1475"/>
      <c r="BA27" s="1475"/>
      <c r="BB27" s="1475"/>
      <c r="BS27" s="1276"/>
      <c r="BT27" s="1338"/>
      <c r="BU27" s="1478"/>
      <c r="BV27" s="1478"/>
      <c r="BW27" s="1478"/>
    </row>
    <row r="28" spans="1:75" ht="14.25">
      <c r="A28" s="585" t="s">
        <v>6650</v>
      </c>
      <c r="B28" s="439" t="s">
        <v>6749</v>
      </c>
      <c r="C28" s="439" t="s">
        <v>6750</v>
      </c>
      <c r="D28" s="439" t="s">
        <v>6751</v>
      </c>
      <c r="E28" s="439" t="s">
        <v>6752</v>
      </c>
      <c r="F28" s="439" t="s">
        <v>6753</v>
      </c>
      <c r="K28" s="1412"/>
      <c r="L28" s="1412" t="s">
        <v>6657</v>
      </c>
      <c r="M28" s="1475">
        <v>6092</v>
      </c>
      <c r="N28" s="1485">
        <v>2642</v>
      </c>
      <c r="O28" s="1485">
        <v>1989</v>
      </c>
      <c r="P28" s="1485">
        <v>2467</v>
      </c>
      <c r="AJ28" s="382"/>
      <c r="AK28" s="1464"/>
      <c r="AL28" s="1475"/>
      <c r="AM28" s="1475"/>
      <c r="AN28" s="1478"/>
      <c r="AQ28" s="382"/>
      <c r="AR28" s="1479"/>
      <c r="AS28" s="1475"/>
      <c r="AT28" s="1475"/>
      <c r="AU28" s="1475"/>
      <c r="AX28" s="1276"/>
      <c r="AY28" s="1338"/>
      <c r="AZ28" s="1475"/>
      <c r="BA28" s="1475"/>
      <c r="BB28" s="1475"/>
      <c r="BS28" s="1276"/>
      <c r="BT28" s="1338"/>
      <c r="BU28" s="1475"/>
      <c r="BV28" s="1478"/>
      <c r="BW28" s="1478"/>
    </row>
    <row r="29" spans="1:75" ht="15">
      <c r="A29" s="586" t="s">
        <v>4448</v>
      </c>
      <c r="B29" s="477" t="s">
        <v>6754</v>
      </c>
      <c r="C29" s="477" t="s">
        <v>6755</v>
      </c>
      <c r="D29" s="477" t="s">
        <v>6756</v>
      </c>
      <c r="E29" s="477" t="s">
        <v>6757</v>
      </c>
      <c r="F29" s="477" t="s">
        <v>6758</v>
      </c>
      <c r="K29" s="1412"/>
      <c r="L29" s="1412" t="s">
        <v>6669</v>
      </c>
      <c r="M29" s="1475">
        <v>6324</v>
      </c>
      <c r="N29" s="1485">
        <v>1617</v>
      </c>
      <c r="O29" s="1485">
        <v>1537</v>
      </c>
      <c r="P29" s="1485">
        <v>2054</v>
      </c>
      <c r="AJ29" s="382"/>
      <c r="AQ29" s="1278"/>
      <c r="AR29" s="1479"/>
      <c r="AS29" s="1475"/>
      <c r="AT29" s="1475"/>
      <c r="AU29" s="1475"/>
      <c r="AX29" s="1278"/>
      <c r="AY29" s="1338"/>
      <c r="AZ29" s="1475"/>
      <c r="BA29" s="1475"/>
      <c r="BB29" s="1497"/>
      <c r="BS29" s="1276"/>
      <c r="BT29" s="1338"/>
      <c r="BU29" s="1475"/>
      <c r="BV29" s="1475"/>
      <c r="BW29" s="1478"/>
    </row>
    <row r="30" spans="1:75">
      <c r="A30" s="585" t="s">
        <v>6759</v>
      </c>
      <c r="K30" s="1412"/>
      <c r="L30" s="1412" t="s">
        <v>3374</v>
      </c>
      <c r="M30" s="1475">
        <v>6052</v>
      </c>
      <c r="N30" s="1485">
        <v>1565</v>
      </c>
      <c r="O30" s="1485">
        <v>1612</v>
      </c>
      <c r="P30" s="1485">
        <v>2170</v>
      </c>
      <c r="AQ30" s="1278"/>
      <c r="AR30" s="1479"/>
      <c r="AS30" s="1475"/>
      <c r="AT30" s="1475"/>
      <c r="AU30" s="1475"/>
      <c r="AX30" s="382"/>
      <c r="BS30" s="1276"/>
      <c r="BT30" s="1338"/>
      <c r="BU30" s="1475"/>
      <c r="BV30" s="1475"/>
      <c r="BW30" s="1475"/>
    </row>
    <row r="31" spans="1:75">
      <c r="A31" s="585" t="s">
        <v>6760</v>
      </c>
      <c r="K31" s="1412"/>
      <c r="L31" s="1412" t="s">
        <v>6681</v>
      </c>
      <c r="M31" s="1475">
        <v>5247</v>
      </c>
      <c r="N31" s="1485">
        <v>1519</v>
      </c>
      <c r="O31" s="1485">
        <v>1635</v>
      </c>
      <c r="P31" s="1485">
        <v>2247</v>
      </c>
      <c r="AQ31" s="1278"/>
      <c r="AR31" s="1479"/>
      <c r="AS31" s="1475"/>
      <c r="AT31" s="1475"/>
      <c r="AU31" s="1475"/>
      <c r="BS31" s="1276"/>
      <c r="BT31" s="1338"/>
      <c r="BU31" s="1475"/>
      <c r="BV31" s="1475"/>
      <c r="BW31" s="1475"/>
    </row>
    <row r="32" spans="1:75">
      <c r="A32" s="382" t="s">
        <v>6761</v>
      </c>
      <c r="K32" s="1412"/>
      <c r="L32" s="1412" t="s">
        <v>6686</v>
      </c>
      <c r="M32" s="1475">
        <v>4793</v>
      </c>
      <c r="N32" s="1485">
        <v>1527</v>
      </c>
      <c r="O32" s="1485">
        <v>1616</v>
      </c>
      <c r="P32" s="1485">
        <v>2470</v>
      </c>
      <c r="T32" s="1412"/>
      <c r="AQ32" s="1278"/>
      <c r="AR32" s="1479"/>
      <c r="AS32" s="1475"/>
      <c r="AT32" s="1475"/>
      <c r="AU32" s="1475"/>
      <c r="BS32" s="1276"/>
      <c r="BT32" s="1338"/>
      <c r="BU32" s="1475"/>
      <c r="BV32" s="1475"/>
      <c r="BW32" s="1475"/>
    </row>
    <row r="33" spans="1:75" ht="15">
      <c r="A33" s="382" t="s">
        <v>6762</v>
      </c>
      <c r="K33" s="1412"/>
      <c r="L33" s="1412" t="s">
        <v>6695</v>
      </c>
      <c r="M33" s="1475">
        <v>4664</v>
      </c>
      <c r="N33" s="1485">
        <v>1659</v>
      </c>
      <c r="O33" s="1485">
        <v>1850</v>
      </c>
      <c r="P33" s="1485">
        <v>2515</v>
      </c>
      <c r="X33" s="1490"/>
      <c r="Z33" s="1490"/>
      <c r="AQ33" s="1278"/>
      <c r="AR33" s="1479"/>
      <c r="AS33" s="1475"/>
      <c r="AT33" s="1475"/>
      <c r="AU33" s="1475"/>
      <c r="BS33" s="1276"/>
      <c r="BT33" s="1338"/>
      <c r="BU33" s="1475"/>
      <c r="BV33" s="1475"/>
      <c r="BW33" s="1475"/>
    </row>
    <row r="34" spans="1:75" ht="15">
      <c r="A34" s="382" t="s">
        <v>6763</v>
      </c>
      <c r="D34" s="1062"/>
      <c r="E34" s="1062"/>
      <c r="K34" s="1412"/>
      <c r="L34" s="1412" t="s">
        <v>6702</v>
      </c>
      <c r="M34" s="1475">
        <v>5031</v>
      </c>
      <c r="N34" s="1485">
        <v>1649</v>
      </c>
      <c r="O34" s="1485">
        <v>2074</v>
      </c>
      <c r="P34" s="1485">
        <v>2810</v>
      </c>
      <c r="T34" s="2224"/>
      <c r="U34" s="2224"/>
      <c r="V34" s="2224"/>
      <c r="W34" s="1490"/>
      <c r="X34" s="1490"/>
      <c r="Y34" s="1490"/>
      <c r="Z34" s="1490"/>
      <c r="AQ34" s="1276"/>
      <c r="AR34" s="1479"/>
      <c r="AS34" s="1475"/>
      <c r="AT34" s="1475"/>
      <c r="AU34" s="1475"/>
      <c r="BS34" s="382"/>
    </row>
    <row r="35" spans="1:75" ht="15">
      <c r="A35" s="1487" t="s">
        <v>6689</v>
      </c>
      <c r="B35" s="1487" t="s">
        <v>6690</v>
      </c>
      <c r="C35" s="1487" t="s">
        <v>6691</v>
      </c>
      <c r="D35" s="1487" t="s">
        <v>6692</v>
      </c>
      <c r="E35" s="1487" t="s">
        <v>6693</v>
      </c>
      <c r="F35" s="1487" t="s">
        <v>6694</v>
      </c>
      <c r="K35" s="1412"/>
      <c r="L35" s="1412" t="s">
        <v>6705</v>
      </c>
      <c r="M35" s="1475">
        <v>5198</v>
      </c>
      <c r="N35" s="1485">
        <v>1666</v>
      </c>
      <c r="O35" s="1485">
        <v>2135</v>
      </c>
      <c r="P35" s="1485">
        <v>3275</v>
      </c>
      <c r="T35" s="1412"/>
      <c r="U35" s="1412"/>
      <c r="V35" s="1412"/>
      <c r="W35" s="1464"/>
      <c r="X35" s="1476"/>
      <c r="Y35" s="1476"/>
      <c r="Z35" s="1476"/>
      <c r="AQ35" s="1278"/>
      <c r="AR35" s="1479"/>
      <c r="AS35" s="1475"/>
      <c r="AT35" s="1475"/>
      <c r="AU35" s="1475"/>
    </row>
    <row r="36" spans="1:75" ht="17.25">
      <c r="A36" s="1488" t="s">
        <v>6697</v>
      </c>
      <c r="B36" s="1489" t="s">
        <v>6698</v>
      </c>
      <c r="C36" s="1489" t="s">
        <v>6699</v>
      </c>
      <c r="D36" s="1489" t="s">
        <v>6700</v>
      </c>
      <c r="E36" s="1489" t="s">
        <v>6701</v>
      </c>
      <c r="F36" s="1489" t="s">
        <v>6764</v>
      </c>
      <c r="K36" s="1412"/>
      <c r="L36" s="1412" t="s">
        <v>6707</v>
      </c>
      <c r="M36" s="1475">
        <v>5040</v>
      </c>
      <c r="N36" s="1485">
        <v>1328</v>
      </c>
      <c r="O36" s="1485">
        <v>1849</v>
      </c>
      <c r="P36" s="1485">
        <v>3360</v>
      </c>
      <c r="T36" s="1412"/>
      <c r="U36" s="1412"/>
      <c r="V36" s="1412"/>
      <c r="W36" s="1464"/>
      <c r="X36" s="1476"/>
      <c r="Y36" s="1476"/>
      <c r="Z36" s="1476"/>
      <c r="AQ36" s="1278"/>
      <c r="AR36" s="1479"/>
      <c r="AS36" s="1475"/>
      <c r="AT36" s="1475"/>
      <c r="AU36" s="1475"/>
    </row>
    <row r="37" spans="1:75" ht="17.25">
      <c r="A37" s="1488" t="s">
        <v>6765</v>
      </c>
      <c r="B37" s="1487"/>
      <c r="C37" s="1487"/>
      <c r="D37" s="1487"/>
      <c r="E37" s="1487"/>
      <c r="K37" s="1412"/>
      <c r="L37" s="1412" t="s">
        <v>6708</v>
      </c>
      <c r="M37" s="1475">
        <v>4140</v>
      </c>
      <c r="N37" s="1485">
        <v>1009</v>
      </c>
      <c r="O37" s="1485">
        <v>1335</v>
      </c>
      <c r="P37" s="1485">
        <v>3206</v>
      </c>
      <c r="T37" s="1412"/>
      <c r="U37" s="1412"/>
      <c r="V37" s="1412"/>
      <c r="W37" s="1464"/>
      <c r="X37" s="1476"/>
      <c r="Y37" s="1476"/>
      <c r="Z37" s="1476"/>
      <c r="AQ37" s="1278"/>
      <c r="AR37" s="1479"/>
      <c r="AS37" s="1475"/>
      <c r="AT37" s="1475"/>
      <c r="AU37" s="1475"/>
    </row>
    <row r="38" spans="1:75" ht="14.25">
      <c r="A38" s="1487"/>
      <c r="K38" s="1412"/>
      <c r="L38" s="1412" t="s">
        <v>6710</v>
      </c>
      <c r="M38" s="1475">
        <v>3190</v>
      </c>
      <c r="N38" s="1485">
        <v>673</v>
      </c>
      <c r="O38" s="1485">
        <v>746</v>
      </c>
      <c r="P38" s="1485">
        <v>2651</v>
      </c>
      <c r="T38" s="1412"/>
      <c r="U38" s="1412"/>
      <c r="V38" s="1412"/>
      <c r="W38" s="1464"/>
      <c r="X38" s="1476"/>
      <c r="Y38" s="1476"/>
      <c r="Z38" s="1476"/>
      <c r="AQ38" s="1278"/>
      <c r="AR38" s="1479"/>
      <c r="AS38" s="1475"/>
      <c r="AT38" s="1475"/>
      <c r="AU38" s="1475"/>
    </row>
    <row r="39" spans="1:75" ht="14.25">
      <c r="A39" s="1487"/>
      <c r="K39" s="1412"/>
      <c r="L39" s="1412" t="s">
        <v>6715</v>
      </c>
      <c r="M39" s="1475">
        <v>2371</v>
      </c>
      <c r="N39" s="1485">
        <v>423</v>
      </c>
      <c r="O39" s="1485">
        <v>418</v>
      </c>
      <c r="P39" s="1485">
        <v>2491</v>
      </c>
      <c r="T39" s="1412"/>
      <c r="U39" s="1412"/>
      <c r="V39" s="1412"/>
      <c r="W39" s="1464"/>
      <c r="X39" s="1476"/>
      <c r="Y39" s="1476"/>
      <c r="Z39" s="1476"/>
      <c r="AQ39" s="1278"/>
      <c r="AR39" s="1479"/>
      <c r="AS39" s="1475"/>
      <c r="AT39" s="1475"/>
      <c r="AU39" s="1475"/>
    </row>
    <row r="40" spans="1:75" ht="15" customHeight="1">
      <c r="A40" s="1487"/>
      <c r="K40" s="1412"/>
      <c r="L40" s="1412" t="s">
        <v>6720</v>
      </c>
      <c r="M40" s="1475">
        <v>1139</v>
      </c>
      <c r="N40" s="1485">
        <v>235</v>
      </c>
      <c r="O40" s="1485">
        <v>148</v>
      </c>
      <c r="P40" s="1485">
        <v>1828</v>
      </c>
      <c r="T40" s="1412"/>
      <c r="U40" s="1412"/>
      <c r="V40" s="1412"/>
      <c r="W40" s="1464"/>
      <c r="X40" s="1476"/>
      <c r="Y40" s="1476"/>
      <c r="Z40" s="1476"/>
      <c r="AQ40" s="382"/>
    </row>
    <row r="41" spans="1:75" ht="13.5" customHeight="1">
      <c r="K41" s="1412"/>
      <c r="L41" s="1412" t="s">
        <v>6726</v>
      </c>
      <c r="M41" s="1475">
        <v>802</v>
      </c>
      <c r="N41" s="1485">
        <v>115</v>
      </c>
      <c r="O41" s="1485">
        <v>85</v>
      </c>
      <c r="P41" s="1485">
        <v>897</v>
      </c>
      <c r="T41" s="1412"/>
      <c r="U41" s="1412"/>
      <c r="V41" s="1412"/>
      <c r="W41" s="1464"/>
      <c r="X41" s="1485"/>
      <c r="Y41" s="1485"/>
      <c r="Z41" s="1485"/>
    </row>
    <row r="42" spans="1:75">
      <c r="A42" s="382" t="s">
        <v>6766</v>
      </c>
      <c r="K42" s="1412"/>
      <c r="L42" s="1412" t="s">
        <v>6731</v>
      </c>
      <c r="M42" s="1475">
        <v>467</v>
      </c>
      <c r="N42" s="1485">
        <v>50</v>
      </c>
      <c r="O42" s="1485">
        <v>40</v>
      </c>
      <c r="P42" s="1485">
        <v>554</v>
      </c>
      <c r="T42" s="1412"/>
      <c r="U42" s="1412"/>
      <c r="V42" s="1412"/>
      <c r="W42" s="1464"/>
      <c r="X42" s="1476"/>
      <c r="Y42" s="1485"/>
      <c r="Z42" s="1476"/>
    </row>
    <row r="43" spans="1:75">
      <c r="A43" s="891" t="s">
        <v>6581</v>
      </c>
      <c r="B43" s="603" t="s">
        <v>6767</v>
      </c>
      <c r="C43" s="603" t="s">
        <v>6632</v>
      </c>
      <c r="D43" s="603"/>
      <c r="E43" s="1498"/>
      <c r="F43" s="605" t="s">
        <v>4588</v>
      </c>
      <c r="K43" s="1412" t="s">
        <v>6778</v>
      </c>
      <c r="L43" s="1412"/>
      <c r="M43" s="584">
        <f>SUM(M44:M61)</f>
        <v>75565</v>
      </c>
      <c r="N43" s="1476">
        <f>SUM(N44:N61)</f>
        <v>24456</v>
      </c>
      <c r="O43" s="1476">
        <f>SUM(O44:O61)</f>
        <v>22437</v>
      </c>
      <c r="P43" s="1476">
        <f>SUM(P44:P61)</f>
        <v>44803</v>
      </c>
      <c r="T43" s="1412"/>
      <c r="U43" s="1412"/>
      <c r="V43" s="1412"/>
      <c r="W43" s="1464"/>
      <c r="X43" s="1476"/>
      <c r="Y43" s="1476"/>
      <c r="Z43" s="1476"/>
    </row>
    <row r="44" spans="1:75">
      <c r="A44" s="586" t="s">
        <v>2332</v>
      </c>
      <c r="B44" s="614" t="s">
        <v>1020</v>
      </c>
      <c r="C44" s="614" t="s">
        <v>3284</v>
      </c>
      <c r="D44" s="614" t="s">
        <v>6646</v>
      </c>
      <c r="E44" s="614" t="s">
        <v>6661</v>
      </c>
      <c r="F44" s="1029" t="s">
        <v>3525</v>
      </c>
      <c r="K44" s="1412"/>
      <c r="L44" s="1412" t="s">
        <v>2832</v>
      </c>
      <c r="M44" s="1475">
        <v>5051</v>
      </c>
      <c r="N44" s="1485">
        <v>2297</v>
      </c>
      <c r="O44" s="1485">
        <v>1514</v>
      </c>
      <c r="P44" s="1485">
        <v>2115</v>
      </c>
      <c r="T44" s="1412"/>
      <c r="U44" s="1412"/>
      <c r="V44" s="1412"/>
      <c r="W44" s="1464"/>
      <c r="X44" s="1485"/>
      <c r="Y44" s="1485"/>
      <c r="Z44" s="1485"/>
    </row>
    <row r="45" spans="1:75" ht="14.25">
      <c r="A45" s="585" t="s">
        <v>1967</v>
      </c>
      <c r="B45" s="439" t="s">
        <v>6768</v>
      </c>
      <c r="C45" s="439" t="s">
        <v>6769</v>
      </c>
      <c r="D45" s="439" t="s">
        <v>6770</v>
      </c>
      <c r="E45" s="439" t="s">
        <v>6771</v>
      </c>
      <c r="F45" s="439" t="s">
        <v>6772</v>
      </c>
      <c r="G45" s="439"/>
      <c r="H45" s="439"/>
      <c r="I45" s="439"/>
      <c r="K45" s="1412"/>
      <c r="L45" s="1412" t="s">
        <v>1674</v>
      </c>
      <c r="M45" s="1475">
        <v>5542</v>
      </c>
      <c r="N45" s="1485">
        <v>2436</v>
      </c>
      <c r="O45" s="1485">
        <v>1775</v>
      </c>
      <c r="P45" s="1485">
        <v>2171</v>
      </c>
      <c r="T45" s="1412"/>
      <c r="U45" s="1412"/>
      <c r="V45" s="1412"/>
      <c r="W45" s="1464"/>
      <c r="X45" s="1476"/>
      <c r="Y45" s="1476"/>
      <c r="Z45" s="1476"/>
    </row>
    <row r="46" spans="1:75" ht="14.25">
      <c r="A46" s="585" t="s">
        <v>3051</v>
      </c>
      <c r="B46" s="439" t="s">
        <v>6773</v>
      </c>
      <c r="C46" s="439" t="s">
        <v>6774</v>
      </c>
      <c r="D46" s="439" t="s">
        <v>6775</v>
      </c>
      <c r="E46" s="439" t="s">
        <v>6776</v>
      </c>
      <c r="F46" s="439" t="s">
        <v>6777</v>
      </c>
      <c r="K46" s="1412"/>
      <c r="L46" s="1412" t="s">
        <v>3370</v>
      </c>
      <c r="M46" s="1475">
        <v>5983</v>
      </c>
      <c r="N46" s="1485">
        <v>2599</v>
      </c>
      <c r="O46" s="1485">
        <v>2026</v>
      </c>
      <c r="P46" s="1485">
        <v>2531</v>
      </c>
      <c r="T46" s="1412"/>
      <c r="U46" s="1412"/>
      <c r="V46" s="1412"/>
      <c r="W46" s="1464"/>
      <c r="X46" s="1485"/>
      <c r="Y46" s="1485"/>
      <c r="Z46" s="1485"/>
    </row>
    <row r="47" spans="1:75" ht="14.25">
      <c r="A47" s="585" t="s">
        <v>6610</v>
      </c>
      <c r="B47" s="439" t="s">
        <v>6779</v>
      </c>
      <c r="C47" s="439" t="s">
        <v>6780</v>
      </c>
      <c r="D47" s="439" t="s">
        <v>6781</v>
      </c>
      <c r="E47" s="439" t="s">
        <v>6782</v>
      </c>
      <c r="F47" s="439" t="s">
        <v>6783</v>
      </c>
      <c r="K47" s="1412"/>
      <c r="L47" s="1412" t="s">
        <v>6657</v>
      </c>
      <c r="M47" s="1475">
        <v>5690</v>
      </c>
      <c r="N47" s="1485">
        <v>2381</v>
      </c>
      <c r="O47" s="1485">
        <v>1845</v>
      </c>
      <c r="P47" s="1485">
        <v>2405</v>
      </c>
      <c r="T47" s="1412"/>
      <c r="U47" s="1412"/>
      <c r="V47" s="1412"/>
      <c r="W47" s="1464"/>
      <c r="X47" s="1485"/>
      <c r="Y47" s="1485"/>
      <c r="Z47" s="1485"/>
    </row>
    <row r="48" spans="1:75" ht="14.25">
      <c r="A48" s="585" t="s">
        <v>484</v>
      </c>
      <c r="B48" s="439" t="s">
        <v>6784</v>
      </c>
      <c r="C48" s="439" t="s">
        <v>6785</v>
      </c>
      <c r="D48" s="439" t="s">
        <v>6786</v>
      </c>
      <c r="E48" s="439" t="s">
        <v>6787</v>
      </c>
      <c r="F48" s="439" t="s">
        <v>6788</v>
      </c>
      <c r="K48" s="1412"/>
      <c r="L48" s="1412" t="s">
        <v>6669</v>
      </c>
      <c r="M48" s="1475">
        <v>5565</v>
      </c>
      <c r="N48" s="1485">
        <v>1592</v>
      </c>
      <c r="O48" s="1485">
        <v>1371</v>
      </c>
      <c r="P48" s="1485">
        <v>2099</v>
      </c>
      <c r="T48" s="1412"/>
      <c r="U48" s="1412"/>
      <c r="V48" s="1412"/>
      <c r="W48" s="1464"/>
      <c r="X48" s="1476"/>
      <c r="Y48" s="1476"/>
      <c r="Z48" s="1485"/>
    </row>
    <row r="49" spans="1:26" ht="14.25">
      <c r="A49" s="585" t="s">
        <v>5251</v>
      </c>
      <c r="B49" s="439" t="s">
        <v>6789</v>
      </c>
      <c r="C49" s="439" t="s">
        <v>6790</v>
      </c>
      <c r="D49" s="439" t="s">
        <v>6791</v>
      </c>
      <c r="E49" s="439" t="s">
        <v>6792</v>
      </c>
      <c r="F49" s="439" t="s">
        <v>6793</v>
      </c>
      <c r="K49" s="1412"/>
      <c r="L49" s="1412" t="s">
        <v>3374</v>
      </c>
      <c r="M49" s="1475">
        <v>5411</v>
      </c>
      <c r="N49" s="1485">
        <v>1614</v>
      </c>
      <c r="O49" s="1485">
        <v>1504</v>
      </c>
      <c r="P49" s="1485">
        <v>2400</v>
      </c>
      <c r="T49" s="1412"/>
      <c r="U49" s="1412"/>
      <c r="V49" s="1412"/>
      <c r="W49" s="1464"/>
      <c r="X49" s="1476"/>
      <c r="Y49" s="1476"/>
      <c r="Z49" s="1476"/>
    </row>
    <row r="50" spans="1:26" ht="14.25">
      <c r="A50" s="585" t="s">
        <v>6650</v>
      </c>
      <c r="B50" s="439" t="s">
        <v>6794</v>
      </c>
      <c r="C50" s="439" t="s">
        <v>6795</v>
      </c>
      <c r="D50" s="439" t="s">
        <v>6796</v>
      </c>
      <c r="E50" s="439" t="s">
        <v>6797</v>
      </c>
      <c r="F50" s="439" t="s">
        <v>6798</v>
      </c>
      <c r="K50" s="1412"/>
      <c r="L50" s="1412" t="s">
        <v>6681</v>
      </c>
      <c r="M50" s="1475">
        <v>4781</v>
      </c>
      <c r="N50" s="1485">
        <v>1489</v>
      </c>
      <c r="O50" s="1485">
        <v>1387</v>
      </c>
      <c r="P50" s="1485">
        <v>2442</v>
      </c>
      <c r="T50" s="1412"/>
      <c r="U50" s="1412"/>
      <c r="V50" s="1412"/>
      <c r="W50" s="1464"/>
      <c r="X50" s="1476"/>
      <c r="Y50" s="1476"/>
      <c r="Z50" s="1476"/>
    </row>
    <row r="51" spans="1:26" ht="14.25">
      <c r="A51" s="586" t="s">
        <v>4448</v>
      </c>
      <c r="B51" s="477" t="s">
        <v>6799</v>
      </c>
      <c r="C51" s="477" t="s">
        <v>6800</v>
      </c>
      <c r="D51" s="477" t="s">
        <v>6801</v>
      </c>
      <c r="E51" s="477" t="s">
        <v>6802</v>
      </c>
      <c r="F51" s="477" t="s">
        <v>6803</v>
      </c>
      <c r="K51" s="1412"/>
      <c r="L51" s="1412" t="s">
        <v>6686</v>
      </c>
      <c r="M51" s="1475">
        <v>4663</v>
      </c>
      <c r="N51" s="1485">
        <v>1441</v>
      </c>
      <c r="O51" s="1485">
        <v>1487</v>
      </c>
      <c r="P51" s="1485">
        <v>2592</v>
      </c>
      <c r="T51" s="1412"/>
      <c r="U51" s="1412"/>
      <c r="V51" s="1412"/>
      <c r="W51" s="1464"/>
      <c r="X51" s="1485"/>
      <c r="Y51" s="1485"/>
      <c r="Z51" s="1485"/>
    </row>
    <row r="52" spans="1:26">
      <c r="A52" s="585" t="s">
        <v>6804</v>
      </c>
      <c r="K52" s="1412"/>
      <c r="L52" s="1412" t="s">
        <v>6695</v>
      </c>
      <c r="M52" s="1475">
        <v>4536</v>
      </c>
      <c r="N52" s="1485">
        <v>1582</v>
      </c>
      <c r="O52" s="1485">
        <v>1643</v>
      </c>
      <c r="P52" s="1485">
        <v>2632</v>
      </c>
      <c r="T52" s="1412"/>
      <c r="U52" s="1412"/>
      <c r="V52" s="1412"/>
      <c r="W52" s="1464"/>
      <c r="X52" s="1485"/>
      <c r="Y52" s="1485"/>
      <c r="Z52" s="1485"/>
    </row>
    <row r="53" spans="1:26">
      <c r="A53" s="585" t="s">
        <v>6805</v>
      </c>
      <c r="K53" s="1412"/>
      <c r="L53" s="1412" t="s">
        <v>6702</v>
      </c>
      <c r="M53" s="1475">
        <v>5114</v>
      </c>
      <c r="N53" s="1485">
        <v>1559</v>
      </c>
      <c r="O53" s="1485">
        <v>1870</v>
      </c>
      <c r="P53" s="1485">
        <v>2893</v>
      </c>
      <c r="T53" s="1412"/>
      <c r="U53" s="1412"/>
      <c r="V53" s="1412"/>
      <c r="W53" s="1464"/>
      <c r="X53" s="1476"/>
      <c r="Y53" s="1476"/>
      <c r="Z53" s="1476"/>
    </row>
    <row r="54" spans="1:26" ht="15">
      <c r="A54" s="1487" t="s">
        <v>6689</v>
      </c>
      <c r="B54" s="1487" t="s">
        <v>6690</v>
      </c>
      <c r="C54" s="1487" t="s">
        <v>6691</v>
      </c>
      <c r="D54" s="1487" t="s">
        <v>6692</v>
      </c>
      <c r="E54" s="1487" t="s">
        <v>6693</v>
      </c>
      <c r="F54" s="1487" t="s">
        <v>6694</v>
      </c>
      <c r="K54" s="1412"/>
      <c r="L54" s="1412" t="s">
        <v>6705</v>
      </c>
      <c r="M54" s="1475">
        <v>5039</v>
      </c>
      <c r="N54" s="1485">
        <v>1498</v>
      </c>
      <c r="O54" s="1485">
        <v>1981</v>
      </c>
      <c r="P54" s="1485">
        <v>3376</v>
      </c>
      <c r="T54" s="1412"/>
      <c r="U54" s="1412"/>
      <c r="V54" s="1493"/>
      <c r="W54" s="1464"/>
      <c r="X54" s="1485"/>
      <c r="Y54" s="1485"/>
      <c r="Z54" s="1485"/>
    </row>
    <row r="55" spans="1:26" ht="17.25">
      <c r="A55" s="1488" t="s">
        <v>6697</v>
      </c>
      <c r="B55" s="1489" t="s">
        <v>6698</v>
      </c>
      <c r="C55" s="1489" t="s">
        <v>6699</v>
      </c>
      <c r="D55" s="1489" t="s">
        <v>6700</v>
      </c>
      <c r="E55" s="1489" t="s">
        <v>6701</v>
      </c>
      <c r="F55" s="1489" t="s">
        <v>6764</v>
      </c>
      <c r="K55" s="1412"/>
      <c r="L55" s="1412" t="s">
        <v>6707</v>
      </c>
      <c r="M55" s="1475">
        <v>4825</v>
      </c>
      <c r="N55" s="1485">
        <v>1322</v>
      </c>
      <c r="O55" s="1485">
        <v>1525</v>
      </c>
      <c r="P55" s="1485">
        <v>3636</v>
      </c>
      <c r="T55" s="1412"/>
      <c r="U55" s="1412"/>
      <c r="V55" s="1493"/>
      <c r="W55" s="1464"/>
      <c r="X55" s="1485"/>
      <c r="Y55" s="1485"/>
      <c r="Z55" s="1485"/>
    </row>
    <row r="56" spans="1:26" ht="17.25">
      <c r="A56" s="1488" t="s">
        <v>6806</v>
      </c>
      <c r="B56" s="1487"/>
      <c r="C56" s="1487"/>
      <c r="D56" s="1487"/>
      <c r="E56" s="1487"/>
      <c r="K56" s="1412"/>
      <c r="L56" s="1412" t="s">
        <v>6708</v>
      </c>
      <c r="M56" s="1475">
        <v>4144</v>
      </c>
      <c r="N56" s="1485">
        <v>995</v>
      </c>
      <c r="O56" s="1485">
        <v>1154</v>
      </c>
      <c r="P56" s="1485">
        <v>3391</v>
      </c>
      <c r="U56" s="1412"/>
      <c r="V56" s="1493"/>
      <c r="W56" s="1464"/>
      <c r="X56" s="1485"/>
      <c r="Y56" s="1485"/>
      <c r="Z56" s="1485"/>
    </row>
    <row r="57" spans="1:26" ht="14.25">
      <c r="A57" s="1487"/>
      <c r="B57" s="1487"/>
      <c r="C57" s="1487"/>
      <c r="D57" s="1487"/>
      <c r="K57" s="1412"/>
      <c r="L57" s="1412" t="s">
        <v>6710</v>
      </c>
      <c r="M57" s="1475">
        <v>3496</v>
      </c>
      <c r="N57" s="1485">
        <v>672</v>
      </c>
      <c r="O57" s="1485">
        <v>688</v>
      </c>
      <c r="P57" s="1485">
        <v>3102</v>
      </c>
    </row>
    <row r="58" spans="1:26">
      <c r="K58" s="1412"/>
      <c r="L58" s="1412" t="s">
        <v>6715</v>
      </c>
      <c r="M58" s="1475">
        <v>2514</v>
      </c>
      <c r="N58" s="1485">
        <v>470</v>
      </c>
      <c r="O58" s="1485">
        <v>349</v>
      </c>
      <c r="P58" s="1485">
        <v>2761</v>
      </c>
    </row>
    <row r="59" spans="1:26" ht="14.25">
      <c r="A59" s="1855"/>
      <c r="K59" s="1412"/>
      <c r="L59" s="1412" t="s">
        <v>6720</v>
      </c>
      <c r="M59" s="1475">
        <v>1498</v>
      </c>
      <c r="N59" s="1485">
        <v>251</v>
      </c>
      <c r="O59" s="1485">
        <v>151</v>
      </c>
      <c r="P59" s="1485">
        <v>2065</v>
      </c>
    </row>
    <row r="60" spans="1:26">
      <c r="K60" s="1412"/>
      <c r="L60" s="1412" t="s">
        <v>6726</v>
      </c>
      <c r="M60" s="1475">
        <v>963</v>
      </c>
      <c r="N60" s="1485">
        <v>163</v>
      </c>
      <c r="O60" s="1485">
        <v>95</v>
      </c>
      <c r="P60" s="1485">
        <v>1218</v>
      </c>
    </row>
    <row r="61" spans="1:26">
      <c r="K61" s="1433"/>
      <c r="L61" s="1433" t="s">
        <v>6731</v>
      </c>
      <c r="M61" s="1482">
        <v>750</v>
      </c>
      <c r="N61" s="1495">
        <v>95</v>
      </c>
      <c r="O61" s="1495">
        <v>72</v>
      </c>
      <c r="P61" s="1495">
        <v>974</v>
      </c>
    </row>
    <row r="62" spans="1:26">
      <c r="K62" s="585" t="s">
        <v>6648</v>
      </c>
    </row>
    <row r="63" spans="1:26">
      <c r="K63" s="585" t="s">
        <v>6662</v>
      </c>
    </row>
  </sheetData>
  <mergeCells count="3">
    <mergeCell ref="K4:L4"/>
    <mergeCell ref="T4:V4"/>
    <mergeCell ref="T34:V34"/>
  </mergeCells>
  <printOptions horizontalCentered="1"/>
  <pageMargins left="0.75" right="0.75" top="0.75" bottom="1.25" header="0.5" footer="0.5"/>
  <pageSetup scale="67" orientation="portrait" r:id="rId1"/>
  <headerFooter alignWithMargins="0">
    <oddFooter>&amp;L&amp;11Prepared by:
Guam State Data Center
Bureau of Statistics and Plans&amp;R&amp;11April 2011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F68C-04F6-4B04-AE9D-2CCA829F6DBF}">
  <sheetPr>
    <tabColor rgb="FFFFFF00"/>
  </sheetPr>
  <dimension ref="A1:DO93"/>
  <sheetViews>
    <sheetView showGridLines="0" topLeftCell="CP1" zoomScale="90" zoomScaleNormal="90" workbookViewId="0">
      <selection activeCell="DF19" sqref="DF19"/>
    </sheetView>
  </sheetViews>
  <sheetFormatPr defaultRowHeight="15"/>
  <cols>
    <col min="1" max="1" width="32" customWidth="1"/>
    <col min="12" max="12" width="28.140625" customWidth="1"/>
    <col min="13" max="13" width="11.42578125" customWidth="1"/>
    <col min="14" max="14" width="10.28515625" customWidth="1"/>
    <col min="15" max="15" width="11.7109375" customWidth="1"/>
    <col min="16" max="16" width="11.140625" customWidth="1"/>
    <col min="17" max="17" width="12" customWidth="1"/>
    <col min="18" max="19" width="10.140625" customWidth="1"/>
    <col min="20" max="20" width="10.42578125" customWidth="1"/>
    <col min="29" max="29" width="46.140625" customWidth="1"/>
    <col min="30" max="30" width="0.28515625" customWidth="1"/>
    <col min="37" max="37" width="23.5703125" customWidth="1"/>
    <col min="38" max="38" width="7.85546875" customWidth="1"/>
    <col min="41" max="41" width="9.140625" customWidth="1"/>
    <col min="42" max="45" width="4.7109375" customWidth="1"/>
    <col min="46" max="46" width="35.7109375" customWidth="1"/>
    <col min="47" max="48" width="8.7109375" customWidth="1"/>
    <col min="49" max="50" width="4.7109375" customWidth="1"/>
    <col min="52" max="52" width="34.7109375" customWidth="1"/>
    <col min="60" max="60" width="24.7109375" customWidth="1"/>
    <col min="62" max="62" width="11.28515625" customWidth="1"/>
    <col min="63" max="63" width="2.85546875" customWidth="1"/>
    <col min="66" max="66" width="12" customWidth="1"/>
    <col min="69" max="69" width="6.5703125" customWidth="1"/>
    <col min="71" max="71" width="40.42578125" customWidth="1"/>
    <col min="79" max="79" width="26.7109375" customWidth="1"/>
    <col min="85" max="85" width="10.7109375" customWidth="1"/>
    <col min="90" max="90" width="6.28515625" customWidth="1"/>
    <col min="91" max="91" width="7.42578125" customWidth="1"/>
    <col min="92" max="92" width="23.5703125" customWidth="1"/>
    <col min="101" max="102" width="10.42578125" customWidth="1"/>
    <col min="104" max="104" width="47.5703125" customWidth="1"/>
    <col min="110" max="111" width="9.42578125" customWidth="1"/>
    <col min="113" max="113" width="28.42578125" customWidth="1"/>
    <col min="119" max="119" width="3.5703125" customWidth="1"/>
    <col min="121" max="121" width="5.42578125" customWidth="1"/>
  </cols>
  <sheetData>
    <row r="1" spans="1:119">
      <c r="A1" s="1" t="s">
        <v>2407</v>
      </c>
      <c r="B1" s="3"/>
      <c r="C1" s="3"/>
      <c r="D1" s="3"/>
      <c r="E1" s="3"/>
      <c r="F1" s="3"/>
      <c r="G1" s="3"/>
      <c r="H1" s="3"/>
      <c r="I1" s="3"/>
      <c r="J1" s="3"/>
      <c r="L1" s="1" t="s">
        <v>2492</v>
      </c>
      <c r="M1" s="2"/>
      <c r="N1" s="2"/>
      <c r="O1" s="2"/>
      <c r="P1" s="2"/>
      <c r="Q1" s="2"/>
      <c r="R1" s="2"/>
      <c r="S1" s="2"/>
      <c r="T1" s="2"/>
      <c r="U1" s="2"/>
      <c r="V1" s="2"/>
      <c r="W1" s="2"/>
      <c r="X1" s="2"/>
      <c r="Y1" s="2"/>
      <c r="Z1" s="2"/>
      <c r="AC1" s="1" t="s">
        <v>2756</v>
      </c>
      <c r="AD1" s="2"/>
      <c r="AE1" s="2"/>
      <c r="AF1" s="2"/>
      <c r="AG1" s="2"/>
      <c r="AH1" s="2"/>
      <c r="AK1" s="373" t="s">
        <v>2757</v>
      </c>
      <c r="AL1" s="10"/>
      <c r="AM1" s="10"/>
      <c r="AN1" s="10"/>
      <c r="AO1" s="10"/>
      <c r="AT1" s="1" t="s">
        <v>2762</v>
      </c>
      <c r="AU1" s="2"/>
      <c r="AV1" s="2"/>
      <c r="AZ1" s="1" t="s">
        <v>2763</v>
      </c>
      <c r="BA1" s="2"/>
      <c r="BB1" s="2"/>
      <c r="BC1" s="2"/>
      <c r="BD1" s="2"/>
      <c r="BE1" s="2"/>
      <c r="BH1" s="1" t="s">
        <v>2662</v>
      </c>
      <c r="BI1" s="1"/>
      <c r="BJ1" s="1"/>
      <c r="BK1" s="1"/>
      <c r="BL1" s="1"/>
      <c r="BM1" s="1"/>
      <c r="BN1" s="1"/>
      <c r="BO1" s="1"/>
      <c r="BP1" s="1"/>
      <c r="BS1" s="1" t="s">
        <v>2765</v>
      </c>
      <c r="BT1" s="2"/>
      <c r="BU1" s="2"/>
      <c r="BV1" s="2"/>
      <c r="BW1" s="2"/>
      <c r="BX1" s="2"/>
      <c r="CA1" s="373" t="s">
        <v>2766</v>
      </c>
      <c r="CB1" s="23"/>
      <c r="CC1" s="23"/>
      <c r="CD1" s="23"/>
      <c r="CE1" s="23"/>
      <c r="CF1" s="23"/>
      <c r="CG1" s="374"/>
      <c r="CN1" s="376" t="s">
        <v>2733</v>
      </c>
      <c r="CO1" s="2"/>
      <c r="CP1" s="2"/>
      <c r="CQ1" s="2"/>
      <c r="CR1" s="2"/>
      <c r="CS1" s="2"/>
      <c r="CT1" s="2"/>
      <c r="CU1" s="2"/>
      <c r="CV1" s="2"/>
      <c r="CW1" s="2"/>
      <c r="CZ1" s="1" t="s">
        <v>2747</v>
      </c>
      <c r="DA1" s="2"/>
      <c r="DB1" s="2"/>
      <c r="DC1" s="2"/>
      <c r="DD1" s="2"/>
      <c r="DE1" s="2"/>
      <c r="DF1" s="2"/>
    </row>
    <row r="2" spans="1:119" ht="12.75" customHeight="1">
      <c r="A2" s="288" t="s">
        <v>1810</v>
      </c>
      <c r="B2" s="15">
        <v>2024</v>
      </c>
      <c r="C2" s="17">
        <v>2023</v>
      </c>
      <c r="D2" s="17">
        <v>2022</v>
      </c>
      <c r="E2" s="17">
        <v>2021</v>
      </c>
      <c r="F2" s="17">
        <v>2020</v>
      </c>
      <c r="G2" s="17">
        <v>2019</v>
      </c>
      <c r="H2" s="17">
        <v>2018</v>
      </c>
      <c r="I2" s="28">
        <v>2017</v>
      </c>
      <c r="J2" s="22"/>
      <c r="L2" s="2113" t="s">
        <v>2462</v>
      </c>
      <c r="M2" s="2227" t="s">
        <v>129</v>
      </c>
      <c r="N2" s="2047" t="s">
        <v>2449</v>
      </c>
      <c r="O2" s="2047"/>
      <c r="P2" s="2047"/>
      <c r="Q2" s="2047"/>
      <c r="R2" s="2047"/>
      <c r="S2" s="2047"/>
      <c r="T2" s="2047"/>
      <c r="U2" s="2047"/>
      <c r="V2" s="2047"/>
      <c r="W2" s="2047"/>
      <c r="X2" s="2047"/>
      <c r="Y2" s="2047"/>
      <c r="Z2" s="2042"/>
      <c r="AA2" s="2"/>
      <c r="AC2" s="288" t="s">
        <v>2495</v>
      </c>
      <c r="AD2" s="278">
        <v>2024</v>
      </c>
      <c r="AE2" s="278">
        <v>2023</v>
      </c>
      <c r="AF2" s="17">
        <v>2022</v>
      </c>
      <c r="AG2" s="278" t="s">
        <v>2496</v>
      </c>
      <c r="AH2" s="28">
        <v>2020</v>
      </c>
      <c r="AI2" s="2"/>
      <c r="AK2" s="108"/>
      <c r="AL2" s="2042">
        <v>2023</v>
      </c>
      <c r="AM2" s="2043"/>
      <c r="AT2" s="8"/>
      <c r="AU2" s="2033">
        <v>2022</v>
      </c>
      <c r="AV2" s="2034"/>
      <c r="AZ2" s="110"/>
      <c r="BA2" s="2042">
        <v>2020</v>
      </c>
      <c r="BB2" s="2044"/>
      <c r="BC2" s="2042" t="s">
        <v>2431</v>
      </c>
      <c r="BD2" s="2044"/>
      <c r="BE2" s="27" t="s">
        <v>2432</v>
      </c>
      <c r="BH2" s="288" t="s">
        <v>2642</v>
      </c>
      <c r="BI2" s="17" t="s">
        <v>1665</v>
      </c>
      <c r="BJ2" s="278" t="s">
        <v>1666</v>
      </c>
      <c r="BK2" s="278"/>
      <c r="BL2" s="2231" t="s">
        <v>2593</v>
      </c>
      <c r="BM2" s="2232"/>
      <c r="BN2" s="2233"/>
      <c r="BO2" s="278" t="s">
        <v>1665</v>
      </c>
      <c r="BP2" s="28" t="s">
        <v>1666</v>
      </c>
      <c r="BQ2" s="2"/>
      <c r="BS2" s="32" t="s">
        <v>2462</v>
      </c>
      <c r="BT2" s="17">
        <v>2023</v>
      </c>
      <c r="BU2" s="17">
        <v>2022</v>
      </c>
      <c r="BV2" s="17">
        <v>2021</v>
      </c>
      <c r="BW2" s="17">
        <v>2020</v>
      </c>
      <c r="BX2" s="28" t="s">
        <v>2431</v>
      </c>
      <c r="BY2" s="2"/>
      <c r="CA2" s="32" t="s">
        <v>1810</v>
      </c>
      <c r="CB2" s="15">
        <v>2024</v>
      </c>
      <c r="CC2" s="17">
        <v>2023</v>
      </c>
      <c r="CD2" s="17">
        <v>2022</v>
      </c>
      <c r="CE2" s="17">
        <v>2021</v>
      </c>
      <c r="CF2" s="28">
        <v>2020</v>
      </c>
      <c r="CG2" s="91"/>
      <c r="CH2" s="91"/>
      <c r="CN2" s="108"/>
      <c r="CO2" s="2039" t="s">
        <v>502</v>
      </c>
      <c r="CP2" s="2046"/>
      <c r="CQ2" s="2040"/>
      <c r="CR2" s="2042" t="s">
        <v>2138</v>
      </c>
      <c r="CS2" s="2043"/>
      <c r="CT2" s="2044"/>
      <c r="CU2" s="2042" t="s">
        <v>2165</v>
      </c>
      <c r="CV2" s="2043"/>
      <c r="CW2" s="2043"/>
      <c r="CX2" s="2"/>
      <c r="CZ2" s="32" t="s">
        <v>1810</v>
      </c>
      <c r="DA2" s="15">
        <v>2024</v>
      </c>
      <c r="DB2" s="17">
        <v>2023</v>
      </c>
      <c r="DC2" s="17">
        <v>2022</v>
      </c>
      <c r="DD2" s="17">
        <v>2021</v>
      </c>
      <c r="DE2" s="17">
        <v>2020</v>
      </c>
      <c r="DF2" s="28">
        <v>2019</v>
      </c>
      <c r="DG2" s="2"/>
      <c r="DI2" s="373" t="s">
        <v>2755</v>
      </c>
      <c r="DJ2" s="10"/>
      <c r="DK2" s="10"/>
      <c r="DL2" s="10"/>
      <c r="DM2" s="10"/>
      <c r="DN2" s="10"/>
      <c r="DO2" s="372"/>
    </row>
    <row r="3" spans="1:119" ht="12.75" customHeight="1">
      <c r="A3" s="3" t="s">
        <v>2408</v>
      </c>
      <c r="B3" s="53">
        <v>7767</v>
      </c>
      <c r="C3" s="53">
        <v>8534</v>
      </c>
      <c r="D3" s="47">
        <v>8606</v>
      </c>
      <c r="E3" s="47">
        <v>8763</v>
      </c>
      <c r="F3" s="47">
        <v>7814</v>
      </c>
      <c r="G3" s="47">
        <v>11888</v>
      </c>
      <c r="H3" s="47">
        <v>11021</v>
      </c>
      <c r="I3" s="47">
        <v>14412</v>
      </c>
      <c r="J3" s="47"/>
      <c r="L3" s="2226"/>
      <c r="M3" s="2228"/>
      <c r="N3" s="368" t="s">
        <v>2450</v>
      </c>
      <c r="O3" s="367" t="s">
        <v>2451</v>
      </c>
      <c r="P3" s="22" t="s">
        <v>2452</v>
      </c>
      <c r="Q3" s="367" t="s">
        <v>2453</v>
      </c>
      <c r="R3" s="22" t="s">
        <v>2454</v>
      </c>
      <c r="S3" s="367" t="s">
        <v>2455</v>
      </c>
      <c r="T3" s="22" t="s">
        <v>2456</v>
      </c>
      <c r="U3" s="367" t="s">
        <v>2457</v>
      </c>
      <c r="V3" s="22" t="s">
        <v>2458</v>
      </c>
      <c r="W3" s="367" t="s">
        <v>2459</v>
      </c>
      <c r="X3" s="22" t="s">
        <v>2460</v>
      </c>
      <c r="Y3" s="96" t="s">
        <v>2461</v>
      </c>
      <c r="Z3" s="3"/>
      <c r="AA3" s="2"/>
      <c r="AC3" s="3" t="s">
        <v>2313</v>
      </c>
      <c r="AD3" s="3"/>
      <c r="AE3" s="53">
        <v>7784</v>
      </c>
      <c r="AF3" s="53">
        <v>8989</v>
      </c>
      <c r="AG3" s="53">
        <v>9847</v>
      </c>
      <c r="AH3" s="53">
        <v>6927</v>
      </c>
      <c r="AI3" s="22"/>
      <c r="AK3" s="23" t="s">
        <v>2449</v>
      </c>
      <c r="AL3" s="17" t="s">
        <v>1665</v>
      </c>
      <c r="AM3" s="29" t="s">
        <v>1666</v>
      </c>
      <c r="AT3" s="10" t="s">
        <v>2462</v>
      </c>
      <c r="AU3" s="9" t="s">
        <v>1665</v>
      </c>
      <c r="AV3" s="33" t="s">
        <v>1666</v>
      </c>
      <c r="AZ3" s="111" t="s">
        <v>2462</v>
      </c>
      <c r="BA3" s="29" t="s">
        <v>1665</v>
      </c>
      <c r="BB3" s="28" t="s">
        <v>1666</v>
      </c>
      <c r="BC3" s="17" t="s">
        <v>1665</v>
      </c>
      <c r="BD3" s="28" t="s">
        <v>1666</v>
      </c>
      <c r="BE3" s="28" t="s">
        <v>1665</v>
      </c>
      <c r="BH3" s="3" t="s">
        <v>129</v>
      </c>
      <c r="BI3" s="5">
        <v>551</v>
      </c>
      <c r="BJ3" s="5">
        <v>100</v>
      </c>
      <c r="BK3" s="5"/>
      <c r="BL3" s="2"/>
      <c r="BM3" s="2"/>
      <c r="BN3" s="2"/>
      <c r="BO3" s="22">
        <v>551</v>
      </c>
      <c r="BP3" s="5">
        <v>100</v>
      </c>
      <c r="BQ3" s="2"/>
      <c r="BS3" s="3" t="s">
        <v>2313</v>
      </c>
      <c r="BT3" s="53">
        <v>1241</v>
      </c>
      <c r="BU3" s="53">
        <v>1026</v>
      </c>
      <c r="BV3" s="22">
        <v>436</v>
      </c>
      <c r="BW3" s="22">
        <v>803</v>
      </c>
      <c r="BX3" s="22">
        <v>855</v>
      </c>
      <c r="BY3" s="22"/>
      <c r="CA3" s="22" t="s">
        <v>2684</v>
      </c>
      <c r="CB3" s="22">
        <v>205</v>
      </c>
      <c r="CC3" s="22">
        <v>203</v>
      </c>
      <c r="CD3" s="22">
        <v>194</v>
      </c>
      <c r="CE3" s="22">
        <v>99</v>
      </c>
      <c r="CF3" s="22">
        <v>140</v>
      </c>
      <c r="CH3" s="91"/>
      <c r="CN3" s="23" t="s">
        <v>2691</v>
      </c>
      <c r="CO3" s="31" t="s">
        <v>129</v>
      </c>
      <c r="CP3" s="15" t="s">
        <v>1711</v>
      </c>
      <c r="CQ3" s="15" t="s">
        <v>1712</v>
      </c>
      <c r="CR3" s="17" t="s">
        <v>129</v>
      </c>
      <c r="CS3" s="17" t="s">
        <v>1711</v>
      </c>
      <c r="CT3" s="17" t="s">
        <v>1712</v>
      </c>
      <c r="CU3" s="17" t="s">
        <v>129</v>
      </c>
      <c r="CV3" s="17" t="s">
        <v>1711</v>
      </c>
      <c r="CW3" s="28" t="s">
        <v>1712</v>
      </c>
      <c r="CX3" s="21"/>
      <c r="CZ3" s="22" t="s">
        <v>2734</v>
      </c>
      <c r="DA3" s="22">
        <v>405</v>
      </c>
      <c r="DB3" s="22">
        <v>361</v>
      </c>
      <c r="DC3" s="22">
        <v>321</v>
      </c>
      <c r="DD3" s="22">
        <v>277</v>
      </c>
      <c r="DE3" s="22">
        <v>305</v>
      </c>
      <c r="DF3" s="22">
        <v>346</v>
      </c>
      <c r="DG3" s="22"/>
      <c r="DI3" s="32" t="s">
        <v>1810</v>
      </c>
      <c r="DJ3" s="15">
        <v>2024</v>
      </c>
      <c r="DK3" s="17">
        <v>2023</v>
      </c>
      <c r="DL3" s="17">
        <v>2022</v>
      </c>
      <c r="DM3" s="17">
        <v>2021</v>
      </c>
      <c r="DN3" s="28">
        <v>2020</v>
      </c>
      <c r="DO3" s="91"/>
    </row>
    <row r="4" spans="1:119" ht="12.95" customHeight="1">
      <c r="A4" s="3" t="s">
        <v>2409</v>
      </c>
      <c r="B4" s="22">
        <v>179</v>
      </c>
      <c r="C4" s="22">
        <v>163</v>
      </c>
      <c r="D4" s="5">
        <v>176</v>
      </c>
      <c r="E4" s="5">
        <v>210</v>
      </c>
      <c r="F4" s="5">
        <v>238</v>
      </c>
      <c r="G4" s="5">
        <v>216</v>
      </c>
      <c r="H4" s="5">
        <v>218</v>
      </c>
      <c r="I4" s="5">
        <v>203</v>
      </c>
      <c r="J4" s="5"/>
      <c r="L4" s="2114"/>
      <c r="M4" s="2229"/>
      <c r="N4" s="106" t="s">
        <v>2463</v>
      </c>
      <c r="O4" s="97" t="s">
        <v>2464</v>
      </c>
      <c r="P4" s="29" t="s">
        <v>2464</v>
      </c>
      <c r="Q4" s="97" t="s">
        <v>2464</v>
      </c>
      <c r="R4" s="29" t="s">
        <v>2464</v>
      </c>
      <c r="S4" s="97" t="s">
        <v>2464</v>
      </c>
      <c r="T4" s="29" t="s">
        <v>2464</v>
      </c>
      <c r="U4" s="97" t="s">
        <v>2464</v>
      </c>
      <c r="V4" s="29" t="s">
        <v>2464</v>
      </c>
      <c r="W4" s="97" t="s">
        <v>2464</v>
      </c>
      <c r="X4" s="29" t="s">
        <v>2464</v>
      </c>
      <c r="Y4" s="97" t="s">
        <v>2465</v>
      </c>
      <c r="Z4" s="29" t="s">
        <v>2466</v>
      </c>
      <c r="AA4" s="2"/>
      <c r="AC4" s="2" t="s">
        <v>2497</v>
      </c>
      <c r="AD4" s="2"/>
      <c r="AE4" s="47">
        <v>3869</v>
      </c>
      <c r="AF4" s="47">
        <v>4434</v>
      </c>
      <c r="AG4" s="47">
        <v>5051</v>
      </c>
      <c r="AH4" s="47">
        <v>4209</v>
      </c>
      <c r="AI4" s="53"/>
      <c r="AK4" s="3" t="s">
        <v>129</v>
      </c>
      <c r="AL4" s="22">
        <v>655</v>
      </c>
      <c r="AM4" s="87">
        <v>100</v>
      </c>
      <c r="AT4" s="3" t="s">
        <v>129</v>
      </c>
      <c r="AU4" s="35">
        <v>289</v>
      </c>
      <c r="AV4" s="88">
        <v>100</v>
      </c>
      <c r="AZ4" s="3" t="s">
        <v>129</v>
      </c>
      <c r="BA4" s="21">
        <v>620</v>
      </c>
      <c r="BB4" s="22">
        <v>100</v>
      </c>
      <c r="BC4" s="21">
        <v>722</v>
      </c>
      <c r="BD4" s="22">
        <v>100</v>
      </c>
      <c r="BE4" s="21">
        <v>536</v>
      </c>
      <c r="BH4" s="2" t="s">
        <v>2643</v>
      </c>
      <c r="BI4" s="5">
        <v>105</v>
      </c>
      <c r="BJ4" s="5">
        <v>19.100000000000001</v>
      </c>
      <c r="BK4" s="5"/>
      <c r="BL4" s="1" t="s">
        <v>2555</v>
      </c>
      <c r="BM4" s="3"/>
      <c r="BN4" s="3"/>
      <c r="BO4" s="5">
        <v>290</v>
      </c>
      <c r="BP4" s="5">
        <v>52.6</v>
      </c>
      <c r="BQ4" s="2"/>
      <c r="BS4" s="2" t="s">
        <v>2497</v>
      </c>
      <c r="BT4" s="5">
        <v>500</v>
      </c>
      <c r="BU4" s="5">
        <v>425</v>
      </c>
      <c r="BV4" s="5">
        <v>184</v>
      </c>
      <c r="BW4" s="5">
        <v>420</v>
      </c>
      <c r="BX4" s="5">
        <v>190</v>
      </c>
      <c r="BY4" s="22"/>
      <c r="CA4" s="2" t="s">
        <v>2685</v>
      </c>
      <c r="CB4" s="5">
        <v>70</v>
      </c>
      <c r="CC4" s="5">
        <v>86</v>
      </c>
      <c r="CD4" s="5">
        <v>79</v>
      </c>
      <c r="CE4" s="5">
        <v>48</v>
      </c>
      <c r="CF4" s="5">
        <v>54</v>
      </c>
      <c r="CN4" s="20" t="s">
        <v>2718</v>
      </c>
      <c r="CO4" s="22">
        <v>45</v>
      </c>
      <c r="CP4" s="22">
        <v>40</v>
      </c>
      <c r="CQ4" s="22">
        <v>5</v>
      </c>
      <c r="CR4" s="22">
        <v>44</v>
      </c>
      <c r="CS4" s="22">
        <v>44</v>
      </c>
      <c r="CT4" s="22">
        <v>0</v>
      </c>
      <c r="CU4" s="22">
        <v>53</v>
      </c>
      <c r="CV4" s="22">
        <v>52</v>
      </c>
      <c r="CW4" s="22">
        <v>1</v>
      </c>
      <c r="CX4" s="22"/>
      <c r="CZ4" s="3" t="s">
        <v>2735</v>
      </c>
      <c r="DA4" s="22">
        <v>371</v>
      </c>
      <c r="DB4" s="22">
        <v>337</v>
      </c>
      <c r="DC4" s="22">
        <v>294</v>
      </c>
      <c r="DD4" s="22">
        <v>264</v>
      </c>
      <c r="DE4" s="22">
        <v>282</v>
      </c>
      <c r="DF4" s="22">
        <v>301</v>
      </c>
      <c r="DG4" s="22"/>
      <c r="DI4" s="3" t="s">
        <v>2750</v>
      </c>
      <c r="DJ4" s="53">
        <v>17033</v>
      </c>
      <c r="DK4" s="53">
        <v>17703</v>
      </c>
      <c r="DL4" s="53">
        <v>17375</v>
      </c>
      <c r="DM4" s="53">
        <v>16488</v>
      </c>
      <c r="DN4" s="53">
        <v>15732</v>
      </c>
      <c r="DO4" s="91"/>
    </row>
    <row r="5" spans="1:119" ht="12.95" customHeight="1">
      <c r="A5" s="3" t="s">
        <v>2410</v>
      </c>
      <c r="B5" s="22">
        <v>888</v>
      </c>
      <c r="C5" s="22">
        <v>847</v>
      </c>
      <c r="D5" s="5">
        <v>754</v>
      </c>
      <c r="E5" s="5">
        <v>674</v>
      </c>
      <c r="F5" s="5">
        <v>623</v>
      </c>
      <c r="G5" s="5">
        <v>720</v>
      </c>
      <c r="H5" s="5">
        <v>772</v>
      </c>
      <c r="I5" s="5">
        <v>745</v>
      </c>
      <c r="J5" s="5"/>
      <c r="L5" s="3" t="s">
        <v>2313</v>
      </c>
      <c r="M5" s="53">
        <v>2881</v>
      </c>
      <c r="N5" s="22">
        <v>83</v>
      </c>
      <c r="O5" s="22">
        <v>250</v>
      </c>
      <c r="P5" s="22">
        <v>541</v>
      </c>
      <c r="Q5" s="22">
        <v>527</v>
      </c>
      <c r="R5" s="22">
        <v>452</v>
      </c>
      <c r="S5" s="22">
        <v>364</v>
      </c>
      <c r="T5" s="22">
        <v>257</v>
      </c>
      <c r="U5" s="22">
        <v>165</v>
      </c>
      <c r="V5" s="22">
        <v>106</v>
      </c>
      <c r="W5" s="22">
        <v>77</v>
      </c>
      <c r="X5" s="22">
        <v>23</v>
      </c>
      <c r="Y5" s="22">
        <v>24</v>
      </c>
      <c r="Z5" s="22">
        <v>12</v>
      </c>
      <c r="AA5" s="2"/>
      <c r="AC5" s="2" t="s">
        <v>2498</v>
      </c>
      <c r="AD5" s="2"/>
      <c r="AE5" s="47">
        <v>1432</v>
      </c>
      <c r="AF5" s="47">
        <v>1688</v>
      </c>
      <c r="AG5" s="47">
        <v>1795</v>
      </c>
      <c r="AH5" s="47">
        <v>1464</v>
      </c>
      <c r="AI5" s="47"/>
      <c r="AK5" s="3" t="s">
        <v>1708</v>
      </c>
      <c r="AL5" s="369">
        <v>16</v>
      </c>
      <c r="AM5" s="5">
        <v>2.4</v>
      </c>
      <c r="AT5" s="2" t="s">
        <v>2598</v>
      </c>
      <c r="AU5" s="371">
        <v>47</v>
      </c>
      <c r="AV5" s="5">
        <v>16.3</v>
      </c>
      <c r="AZ5" s="2" t="s">
        <v>2433</v>
      </c>
      <c r="BA5" s="371">
        <v>0</v>
      </c>
      <c r="BB5" s="5">
        <v>0</v>
      </c>
      <c r="BC5" s="35">
        <v>0</v>
      </c>
      <c r="BD5" s="5">
        <v>0</v>
      </c>
      <c r="BE5" s="35">
        <v>0</v>
      </c>
      <c r="BH5" s="2" t="s">
        <v>1705</v>
      </c>
      <c r="BI5" s="5">
        <v>181</v>
      </c>
      <c r="BJ5" s="5">
        <v>32.799999999999997</v>
      </c>
      <c r="BK5" s="5"/>
      <c r="BL5" s="2" t="s">
        <v>2644</v>
      </c>
      <c r="BM5" s="2"/>
      <c r="BN5" s="2"/>
      <c r="BO5" s="5">
        <v>185</v>
      </c>
      <c r="BP5" s="5">
        <v>33.6</v>
      </c>
      <c r="BQ5" s="2"/>
      <c r="BS5" s="2" t="s">
        <v>2498</v>
      </c>
      <c r="BT5" s="5">
        <v>156</v>
      </c>
      <c r="BU5" s="5">
        <v>90</v>
      </c>
      <c r="BV5" s="5">
        <v>89</v>
      </c>
      <c r="BW5" s="5">
        <v>128</v>
      </c>
      <c r="BX5" s="5">
        <v>31</v>
      </c>
      <c r="BY5" s="5"/>
      <c r="CA5" s="2" t="s">
        <v>2686</v>
      </c>
      <c r="CB5" s="5">
        <v>135</v>
      </c>
      <c r="CC5" s="5">
        <v>117</v>
      </c>
      <c r="CD5" s="5">
        <v>115</v>
      </c>
      <c r="CE5" s="5">
        <v>51</v>
      </c>
      <c r="CF5" s="5">
        <v>86</v>
      </c>
      <c r="CN5" s="2" t="s">
        <v>2719</v>
      </c>
      <c r="CO5" s="5">
        <v>5</v>
      </c>
      <c r="CP5" s="5">
        <v>3</v>
      </c>
      <c r="CQ5" s="5">
        <v>2</v>
      </c>
      <c r="CR5" s="22">
        <v>2</v>
      </c>
      <c r="CS5" s="22">
        <v>2</v>
      </c>
      <c r="CT5" s="22">
        <v>0</v>
      </c>
      <c r="CU5" s="22">
        <v>3</v>
      </c>
      <c r="CV5" s="22">
        <v>3</v>
      </c>
      <c r="CW5" s="22">
        <v>0</v>
      </c>
      <c r="CX5" s="22"/>
      <c r="CZ5" s="3" t="s">
        <v>2736</v>
      </c>
      <c r="DA5" s="22">
        <v>0</v>
      </c>
      <c r="DB5" s="22">
        <v>0</v>
      </c>
      <c r="DC5" s="22">
        <v>5</v>
      </c>
      <c r="DD5" s="22">
        <v>7</v>
      </c>
      <c r="DE5" s="22">
        <v>10</v>
      </c>
      <c r="DF5" s="22">
        <v>17</v>
      </c>
      <c r="DG5" s="22"/>
      <c r="DI5" s="3" t="s">
        <v>2751</v>
      </c>
      <c r="DJ5" s="53">
        <v>2237</v>
      </c>
      <c r="DK5" s="53">
        <v>2364</v>
      </c>
      <c r="DL5" s="53">
        <v>1388</v>
      </c>
      <c r="DM5" s="53">
        <v>1707</v>
      </c>
      <c r="DN5" s="53">
        <v>1880</v>
      </c>
      <c r="DO5" s="91"/>
    </row>
    <row r="6" spans="1:119" ht="12.95" customHeight="1">
      <c r="A6" s="3" t="s">
        <v>2411</v>
      </c>
      <c r="B6" s="22">
        <v>427</v>
      </c>
      <c r="C6" s="22">
        <v>444</v>
      </c>
      <c r="D6" s="5">
        <v>469</v>
      </c>
      <c r="E6" s="5">
        <v>511</v>
      </c>
      <c r="F6" s="5">
        <v>514</v>
      </c>
      <c r="G6" s="5">
        <v>588</v>
      </c>
      <c r="H6" s="5">
        <v>643</v>
      </c>
      <c r="I6" s="5">
        <v>752</v>
      </c>
      <c r="J6" s="5"/>
      <c r="L6" s="2" t="s">
        <v>2467</v>
      </c>
      <c r="M6" s="5">
        <v>632</v>
      </c>
      <c r="N6" s="5">
        <v>13</v>
      </c>
      <c r="O6" s="5">
        <v>63</v>
      </c>
      <c r="P6" s="5">
        <v>133</v>
      </c>
      <c r="Q6" s="5">
        <v>120</v>
      </c>
      <c r="R6" s="5">
        <v>109</v>
      </c>
      <c r="S6" s="5">
        <v>80</v>
      </c>
      <c r="T6" s="5">
        <v>52</v>
      </c>
      <c r="U6" s="5">
        <v>22</v>
      </c>
      <c r="V6" s="5">
        <v>15</v>
      </c>
      <c r="W6" s="5">
        <v>16</v>
      </c>
      <c r="X6" s="5">
        <v>2</v>
      </c>
      <c r="Y6" s="5">
        <v>2</v>
      </c>
      <c r="Z6" s="5">
        <v>5</v>
      </c>
      <c r="AA6" s="2"/>
      <c r="AC6" s="2" t="s">
        <v>2499</v>
      </c>
      <c r="AD6" s="2"/>
      <c r="AE6" s="5">
        <v>8</v>
      </c>
      <c r="AF6" s="5">
        <v>7</v>
      </c>
      <c r="AG6" s="5">
        <v>8</v>
      </c>
      <c r="AH6" s="5">
        <v>7</v>
      </c>
      <c r="AI6" s="47"/>
      <c r="AK6" s="3" t="s">
        <v>2554</v>
      </c>
      <c r="AL6" s="369">
        <v>6</v>
      </c>
      <c r="AM6" s="5">
        <v>0.9</v>
      </c>
      <c r="AT6" s="2" t="s">
        <v>2599</v>
      </c>
      <c r="AU6" s="35">
        <v>4</v>
      </c>
      <c r="AV6" s="5">
        <v>1.4</v>
      </c>
      <c r="AZ6" s="2" t="s">
        <v>2445</v>
      </c>
      <c r="BA6" s="35">
        <v>36</v>
      </c>
      <c r="BB6" s="5">
        <v>5.8</v>
      </c>
      <c r="BC6" s="35">
        <v>42</v>
      </c>
      <c r="BD6" s="5">
        <v>5.8</v>
      </c>
      <c r="BE6" s="35">
        <v>40</v>
      </c>
      <c r="BH6" s="2" t="s">
        <v>2645</v>
      </c>
      <c r="BI6" s="5">
        <v>1</v>
      </c>
      <c r="BJ6" s="5">
        <v>0.2</v>
      </c>
      <c r="BK6" s="5"/>
      <c r="BL6" s="1" t="s">
        <v>2594</v>
      </c>
      <c r="BM6" s="2"/>
      <c r="BN6" s="2"/>
      <c r="BO6" s="5">
        <v>7</v>
      </c>
      <c r="BP6" s="5">
        <v>1.3</v>
      </c>
      <c r="BQ6" s="2"/>
      <c r="BS6" s="2" t="s">
        <v>2664</v>
      </c>
      <c r="BT6" s="5">
        <v>0</v>
      </c>
      <c r="BU6" s="5">
        <v>0</v>
      </c>
      <c r="BV6" s="5">
        <v>0</v>
      </c>
      <c r="BW6" s="5">
        <v>1</v>
      </c>
      <c r="BX6" s="5">
        <v>0</v>
      </c>
      <c r="BY6" s="5"/>
      <c r="CA6" s="10" t="s">
        <v>2687</v>
      </c>
      <c r="CB6" s="11">
        <v>65.900000000000006</v>
      </c>
      <c r="CC6" s="11">
        <v>57.6</v>
      </c>
      <c r="CD6" s="11">
        <v>59.2</v>
      </c>
      <c r="CE6" s="11">
        <v>52.1</v>
      </c>
      <c r="CF6" s="11">
        <v>61.4</v>
      </c>
      <c r="CN6" s="2" t="s">
        <v>2720</v>
      </c>
      <c r="CO6" s="5">
        <v>17</v>
      </c>
      <c r="CP6" s="5">
        <v>15</v>
      </c>
      <c r="CQ6" s="5">
        <v>2</v>
      </c>
      <c r="CR6" s="22">
        <v>6</v>
      </c>
      <c r="CS6" s="22">
        <v>6</v>
      </c>
      <c r="CT6" s="22">
        <v>0</v>
      </c>
      <c r="CU6" s="22">
        <v>20</v>
      </c>
      <c r="CV6" s="22">
        <v>19</v>
      </c>
      <c r="CW6" s="22">
        <v>1</v>
      </c>
      <c r="CX6" s="22"/>
      <c r="CZ6" s="3" t="s">
        <v>2737</v>
      </c>
      <c r="DA6" s="22">
        <v>23</v>
      </c>
      <c r="DB6" s="22">
        <v>4</v>
      </c>
      <c r="DC6" s="22">
        <v>3</v>
      </c>
      <c r="DD6" s="22">
        <v>2</v>
      </c>
      <c r="DE6" s="22">
        <v>5</v>
      </c>
      <c r="DF6" s="22">
        <v>20</v>
      </c>
      <c r="DG6" s="22"/>
      <c r="DI6" s="3" t="s">
        <v>2752</v>
      </c>
      <c r="DJ6" s="53">
        <v>14675</v>
      </c>
      <c r="DK6" s="53">
        <v>15213</v>
      </c>
      <c r="DL6" s="53">
        <v>15783</v>
      </c>
      <c r="DM6" s="53">
        <v>14630</v>
      </c>
      <c r="DN6" s="53">
        <v>13671</v>
      </c>
      <c r="DO6" s="91"/>
    </row>
    <row r="7" spans="1:119" ht="12.95" customHeight="1">
      <c r="A7" s="3" t="s">
        <v>2412</v>
      </c>
      <c r="B7" s="22">
        <v>86</v>
      </c>
      <c r="C7" s="22">
        <v>182</v>
      </c>
      <c r="D7" s="5">
        <v>173</v>
      </c>
      <c r="E7" s="5">
        <v>88</v>
      </c>
      <c r="F7" s="5">
        <v>126</v>
      </c>
      <c r="G7" s="5">
        <v>202</v>
      </c>
      <c r="H7" s="5">
        <v>196</v>
      </c>
      <c r="I7" s="5">
        <v>286</v>
      </c>
      <c r="J7" s="5"/>
      <c r="L7" s="2" t="s">
        <v>2433</v>
      </c>
      <c r="M7" s="5">
        <v>3</v>
      </c>
      <c r="N7" s="5">
        <v>0</v>
      </c>
      <c r="O7" s="5">
        <v>0</v>
      </c>
      <c r="P7" s="5">
        <v>2</v>
      </c>
      <c r="Q7" s="5">
        <v>0</v>
      </c>
      <c r="R7" s="5">
        <v>1</v>
      </c>
      <c r="S7" s="5">
        <v>0</v>
      </c>
      <c r="T7" s="5">
        <v>0</v>
      </c>
      <c r="U7" s="5">
        <v>0</v>
      </c>
      <c r="V7" s="5">
        <v>0</v>
      </c>
      <c r="W7" s="5">
        <v>0</v>
      </c>
      <c r="X7" s="5">
        <v>0</v>
      </c>
      <c r="Y7" s="5">
        <v>0</v>
      </c>
      <c r="Z7" s="5">
        <v>0</v>
      </c>
      <c r="AA7" s="2"/>
      <c r="AC7" s="2" t="s">
        <v>2500</v>
      </c>
      <c r="AD7" s="2"/>
      <c r="AE7" s="5">
        <v>2</v>
      </c>
      <c r="AF7" s="5">
        <v>3</v>
      </c>
      <c r="AG7" s="5">
        <v>0</v>
      </c>
      <c r="AH7" s="5">
        <v>0</v>
      </c>
      <c r="AI7" s="5"/>
      <c r="AK7" s="3" t="s">
        <v>1693</v>
      </c>
      <c r="AL7" s="369">
        <v>51</v>
      </c>
      <c r="AM7" s="5">
        <v>7.8</v>
      </c>
      <c r="AT7" s="2" t="s">
        <v>2600</v>
      </c>
      <c r="AU7" s="35">
        <v>98</v>
      </c>
      <c r="AV7" s="5">
        <v>33.9</v>
      </c>
      <c r="AZ7" s="2" t="s">
        <v>2436</v>
      </c>
      <c r="BA7" s="35">
        <v>79</v>
      </c>
      <c r="BB7" s="5">
        <v>12.7</v>
      </c>
      <c r="BC7" s="35">
        <v>67</v>
      </c>
      <c r="BD7" s="5">
        <v>9.3000000000000007</v>
      </c>
      <c r="BE7" s="35">
        <v>51</v>
      </c>
      <c r="BH7" s="2" t="s">
        <v>2646</v>
      </c>
      <c r="BI7" s="5">
        <v>3</v>
      </c>
      <c r="BJ7" s="5">
        <v>0.5</v>
      </c>
      <c r="BK7" s="5"/>
      <c r="BL7" s="2" t="s">
        <v>1693</v>
      </c>
      <c r="BM7" s="2"/>
      <c r="BN7" s="2"/>
      <c r="BO7" s="5">
        <v>47</v>
      </c>
      <c r="BP7" s="5">
        <v>8.5</v>
      </c>
      <c r="BQ7" s="2"/>
      <c r="BS7" s="2" t="s">
        <v>2500</v>
      </c>
      <c r="BT7" s="5">
        <v>0</v>
      </c>
      <c r="BU7" s="5">
        <v>0</v>
      </c>
      <c r="BV7" s="5">
        <v>0</v>
      </c>
      <c r="BW7" s="5">
        <v>0</v>
      </c>
      <c r="BX7" s="5">
        <v>0</v>
      </c>
      <c r="BY7" s="5"/>
      <c r="CA7" s="13" t="s">
        <v>2688</v>
      </c>
      <c r="CB7" s="14"/>
      <c r="CC7" s="14"/>
      <c r="CD7" s="14"/>
      <c r="CE7" s="14"/>
      <c r="CF7" s="2"/>
      <c r="CN7" s="2" t="s">
        <v>2721</v>
      </c>
      <c r="CO7" s="5">
        <v>16</v>
      </c>
      <c r="CP7" s="5">
        <v>16</v>
      </c>
      <c r="CQ7" s="5">
        <v>0</v>
      </c>
      <c r="CR7" s="22">
        <v>14</v>
      </c>
      <c r="CS7" s="22">
        <v>14</v>
      </c>
      <c r="CT7" s="22">
        <v>0</v>
      </c>
      <c r="CU7" s="22">
        <v>15</v>
      </c>
      <c r="CV7" s="22">
        <v>15</v>
      </c>
      <c r="CW7" s="22">
        <v>0</v>
      </c>
      <c r="CX7" s="22"/>
      <c r="CZ7" s="3" t="s">
        <v>2738</v>
      </c>
      <c r="DA7" s="22">
        <v>0</v>
      </c>
      <c r="DB7" s="22">
        <v>11</v>
      </c>
      <c r="DC7" s="22">
        <v>14</v>
      </c>
      <c r="DD7" s="22">
        <v>0</v>
      </c>
      <c r="DE7" s="22">
        <v>0</v>
      </c>
      <c r="DF7" s="22">
        <v>0</v>
      </c>
      <c r="DG7" s="22"/>
      <c r="DI7" s="23" t="s">
        <v>2753</v>
      </c>
      <c r="DJ7" s="29">
        <v>121</v>
      </c>
      <c r="DK7" s="29">
        <v>126</v>
      </c>
      <c r="DL7" s="29">
        <v>204</v>
      </c>
      <c r="DM7" s="29">
        <v>151</v>
      </c>
      <c r="DN7" s="29">
        <v>181</v>
      </c>
      <c r="DO7" s="91"/>
    </row>
    <row r="8" spans="1:119" ht="12.95" customHeight="1">
      <c r="A8" s="3" t="s">
        <v>2413</v>
      </c>
      <c r="B8" s="22">
        <v>331</v>
      </c>
      <c r="C8" s="22">
        <v>310</v>
      </c>
      <c r="D8" s="5">
        <v>328</v>
      </c>
      <c r="E8" s="5">
        <v>305</v>
      </c>
      <c r="F8" s="5">
        <v>259</v>
      </c>
      <c r="G8" s="5">
        <v>355</v>
      </c>
      <c r="H8" s="5">
        <v>436</v>
      </c>
      <c r="I8" s="5">
        <v>395</v>
      </c>
      <c r="J8" s="5"/>
      <c r="L8" s="2" t="s">
        <v>2445</v>
      </c>
      <c r="M8" s="5">
        <v>44</v>
      </c>
      <c r="N8" s="5">
        <v>1</v>
      </c>
      <c r="O8" s="5">
        <v>9</v>
      </c>
      <c r="P8" s="5">
        <v>8</v>
      </c>
      <c r="Q8" s="5">
        <v>7</v>
      </c>
      <c r="R8" s="5">
        <v>5</v>
      </c>
      <c r="S8" s="5">
        <v>5</v>
      </c>
      <c r="T8" s="5">
        <v>2</v>
      </c>
      <c r="U8" s="5">
        <v>2</v>
      </c>
      <c r="V8" s="5">
        <v>1</v>
      </c>
      <c r="W8" s="5">
        <v>3</v>
      </c>
      <c r="X8" s="5">
        <v>0</v>
      </c>
      <c r="Y8" s="5">
        <v>1</v>
      </c>
      <c r="Z8" s="5">
        <v>0</v>
      </c>
      <c r="AA8" s="2"/>
      <c r="AC8" s="2" t="s">
        <v>2501</v>
      </c>
      <c r="AD8" s="2"/>
      <c r="AE8" s="5">
        <v>40</v>
      </c>
      <c r="AF8" s="5">
        <v>44</v>
      </c>
      <c r="AG8" s="5">
        <v>34</v>
      </c>
      <c r="AH8" s="5">
        <v>24</v>
      </c>
      <c r="AI8" s="5"/>
      <c r="AK8" s="3" t="s">
        <v>2555</v>
      </c>
      <c r="AL8" s="369">
        <v>574</v>
      </c>
      <c r="AM8" s="5">
        <v>87.6</v>
      </c>
      <c r="AT8" s="2" t="s">
        <v>2601</v>
      </c>
      <c r="AU8" s="35">
        <v>24</v>
      </c>
      <c r="AV8" s="5">
        <v>8.3000000000000007</v>
      </c>
      <c r="AZ8" s="2" t="s">
        <v>2438</v>
      </c>
      <c r="BA8" s="35">
        <v>2</v>
      </c>
      <c r="BB8" s="5">
        <v>0.3</v>
      </c>
      <c r="BC8" s="35">
        <v>2</v>
      </c>
      <c r="BD8" s="5">
        <v>0.3</v>
      </c>
      <c r="BE8" s="35">
        <v>3</v>
      </c>
      <c r="BH8" s="2" t="s">
        <v>2647</v>
      </c>
      <c r="BI8" s="5">
        <v>9</v>
      </c>
      <c r="BJ8" s="5">
        <v>1.6</v>
      </c>
      <c r="BK8" s="5"/>
      <c r="BL8" s="1" t="s">
        <v>2648</v>
      </c>
      <c r="BM8" s="2"/>
      <c r="BN8" s="2"/>
      <c r="BO8" s="5">
        <v>17</v>
      </c>
      <c r="BP8" s="5">
        <v>3.1</v>
      </c>
      <c r="BQ8" s="2"/>
      <c r="BS8" s="2" t="s">
        <v>2501</v>
      </c>
      <c r="BT8" s="5">
        <v>0</v>
      </c>
      <c r="BU8" s="5">
        <v>0</v>
      </c>
      <c r="BV8" s="5">
        <v>0</v>
      </c>
      <c r="BW8" s="5">
        <v>0</v>
      </c>
      <c r="BX8" s="5">
        <v>1</v>
      </c>
      <c r="BY8" s="5"/>
      <c r="CA8" s="13"/>
      <c r="CB8" s="14"/>
      <c r="CC8" s="14"/>
      <c r="CD8" s="14"/>
      <c r="CE8" s="14"/>
      <c r="CF8" s="2"/>
      <c r="CN8" s="2" t="s">
        <v>2722</v>
      </c>
      <c r="CO8" s="5">
        <v>6</v>
      </c>
      <c r="CP8" s="5">
        <v>5</v>
      </c>
      <c r="CQ8" s="5">
        <v>1</v>
      </c>
      <c r="CR8" s="22">
        <v>19</v>
      </c>
      <c r="CS8" s="22">
        <v>19</v>
      </c>
      <c r="CT8" s="22">
        <v>0</v>
      </c>
      <c r="CU8" s="22">
        <v>15</v>
      </c>
      <c r="CV8" s="22">
        <v>15</v>
      </c>
      <c r="CW8" s="22">
        <v>0</v>
      </c>
      <c r="CX8" s="22"/>
      <c r="CZ8" s="23" t="s">
        <v>2739</v>
      </c>
      <c r="DA8" s="29">
        <v>11</v>
      </c>
      <c r="DB8" s="29">
        <v>9</v>
      </c>
      <c r="DC8" s="29">
        <v>5</v>
      </c>
      <c r="DD8" s="29">
        <v>4</v>
      </c>
      <c r="DE8" s="29">
        <v>8</v>
      </c>
      <c r="DF8" s="29">
        <v>8</v>
      </c>
      <c r="DG8" s="22"/>
      <c r="DI8" s="13" t="s">
        <v>2754</v>
      </c>
      <c r="DJ8" s="14"/>
      <c r="DK8" s="14"/>
      <c r="DL8" s="14"/>
      <c r="DM8" s="2"/>
      <c r="DN8" s="2"/>
    </row>
    <row r="9" spans="1:119" ht="12.95" customHeight="1">
      <c r="A9" s="245" t="s">
        <v>2414</v>
      </c>
      <c r="B9" s="22" t="s">
        <v>1640</v>
      </c>
      <c r="C9" s="22" t="s">
        <v>1640</v>
      </c>
      <c r="D9" s="5" t="s">
        <v>1640</v>
      </c>
      <c r="E9" s="5" t="s">
        <v>1640</v>
      </c>
      <c r="F9" s="5" t="s">
        <v>1640</v>
      </c>
      <c r="G9" s="5" t="s">
        <v>1640</v>
      </c>
      <c r="H9" s="5" t="s">
        <v>1640</v>
      </c>
      <c r="I9" s="5" t="s">
        <v>1640</v>
      </c>
      <c r="J9" s="5"/>
      <c r="L9" s="2" t="s">
        <v>2435</v>
      </c>
      <c r="M9" s="5">
        <v>37</v>
      </c>
      <c r="N9" s="5">
        <v>0</v>
      </c>
      <c r="O9" s="5">
        <v>3</v>
      </c>
      <c r="P9" s="5">
        <v>14</v>
      </c>
      <c r="Q9" s="5">
        <v>8</v>
      </c>
      <c r="R9" s="5">
        <v>3</v>
      </c>
      <c r="S9" s="5">
        <v>7</v>
      </c>
      <c r="T9" s="5">
        <v>1</v>
      </c>
      <c r="U9" s="5">
        <v>0</v>
      </c>
      <c r="V9" s="5">
        <v>0</v>
      </c>
      <c r="W9" s="5">
        <v>0</v>
      </c>
      <c r="X9" s="5">
        <v>1</v>
      </c>
      <c r="Y9" s="5">
        <v>0</v>
      </c>
      <c r="Z9" s="5">
        <v>0</v>
      </c>
      <c r="AA9" s="2"/>
      <c r="AC9" s="2" t="s">
        <v>2445</v>
      </c>
      <c r="AD9" s="2"/>
      <c r="AE9" s="5">
        <v>32</v>
      </c>
      <c r="AF9" s="5">
        <v>61</v>
      </c>
      <c r="AG9" s="5">
        <v>56</v>
      </c>
      <c r="AH9" s="5">
        <v>69</v>
      </c>
      <c r="AI9" s="5"/>
      <c r="AK9" s="3" t="s">
        <v>2556</v>
      </c>
      <c r="AL9" s="369">
        <v>0</v>
      </c>
      <c r="AM9" s="5">
        <v>0</v>
      </c>
      <c r="AT9" s="2" t="s">
        <v>2602</v>
      </c>
      <c r="AU9" s="35">
        <v>13</v>
      </c>
      <c r="AV9" s="5">
        <v>4.5</v>
      </c>
      <c r="AY9" s="3"/>
      <c r="AZ9" s="2" t="s">
        <v>2635</v>
      </c>
      <c r="BA9" s="35">
        <v>0</v>
      </c>
      <c r="BB9" s="5">
        <v>0</v>
      </c>
      <c r="BC9" s="35">
        <v>2</v>
      </c>
      <c r="BD9" s="5">
        <v>0.3</v>
      </c>
      <c r="BE9" s="35">
        <v>0</v>
      </c>
      <c r="BH9" s="2" t="s">
        <v>2649</v>
      </c>
      <c r="BI9" s="5">
        <v>24</v>
      </c>
      <c r="BJ9" s="5">
        <v>4.4000000000000004</v>
      </c>
      <c r="BK9" s="5"/>
      <c r="BL9" s="1" t="s">
        <v>2650</v>
      </c>
      <c r="BM9" s="2"/>
      <c r="BN9" s="2"/>
      <c r="BO9" s="5">
        <v>5</v>
      </c>
      <c r="BP9" s="5">
        <v>0.9</v>
      </c>
      <c r="BQ9" s="2"/>
      <c r="BS9" s="2" t="s">
        <v>2445</v>
      </c>
      <c r="BT9" s="5">
        <v>7</v>
      </c>
      <c r="BU9" s="5">
        <v>4</v>
      </c>
      <c r="BV9" s="5">
        <v>2</v>
      </c>
      <c r="BW9" s="5">
        <v>21</v>
      </c>
      <c r="BX9" s="5">
        <v>16</v>
      </c>
      <c r="BY9" s="5"/>
      <c r="CA9" s="2"/>
      <c r="CB9" s="2"/>
      <c r="CC9" s="2"/>
      <c r="CD9" s="2"/>
      <c r="CE9" s="2"/>
      <c r="CF9" s="2"/>
      <c r="CN9" s="2" t="s">
        <v>2546</v>
      </c>
      <c r="CO9" s="5">
        <v>1</v>
      </c>
      <c r="CP9" s="5">
        <v>1</v>
      </c>
      <c r="CQ9" s="5">
        <v>0</v>
      </c>
      <c r="CR9" s="22">
        <v>3</v>
      </c>
      <c r="CS9" s="22">
        <v>3</v>
      </c>
      <c r="CT9" s="22">
        <v>0</v>
      </c>
      <c r="CU9" s="22">
        <v>0</v>
      </c>
      <c r="CV9" s="22">
        <v>0</v>
      </c>
      <c r="CW9" s="22">
        <v>0</v>
      </c>
      <c r="CX9" s="22"/>
      <c r="CZ9" s="13" t="s">
        <v>2740</v>
      </c>
      <c r="DA9" s="14"/>
      <c r="DB9" s="2041"/>
      <c r="DC9" s="2041"/>
      <c r="DD9" s="14"/>
      <c r="DE9" s="14"/>
      <c r="DF9" s="14"/>
      <c r="DG9" s="22"/>
    </row>
    <row r="10" spans="1:119" ht="12.95" customHeight="1">
      <c r="A10" s="3" t="s">
        <v>2415</v>
      </c>
      <c r="B10" s="22">
        <v>214</v>
      </c>
      <c r="C10" s="22">
        <v>228</v>
      </c>
      <c r="D10" s="5">
        <v>239</v>
      </c>
      <c r="E10" s="5">
        <v>240</v>
      </c>
      <c r="F10" s="5">
        <v>168</v>
      </c>
      <c r="G10" s="5">
        <v>202</v>
      </c>
      <c r="H10" s="5">
        <v>223</v>
      </c>
      <c r="I10" s="5">
        <v>204</v>
      </c>
      <c r="J10" s="5"/>
      <c r="L10" s="2" t="s">
        <v>2436</v>
      </c>
      <c r="M10" s="5">
        <v>192</v>
      </c>
      <c r="N10" s="5">
        <v>3</v>
      </c>
      <c r="O10" s="5">
        <v>10</v>
      </c>
      <c r="P10" s="5">
        <v>30</v>
      </c>
      <c r="Q10" s="5">
        <v>38</v>
      </c>
      <c r="R10" s="5">
        <v>44</v>
      </c>
      <c r="S10" s="5">
        <v>27</v>
      </c>
      <c r="T10" s="5">
        <v>18</v>
      </c>
      <c r="U10" s="5">
        <v>7</v>
      </c>
      <c r="V10" s="5">
        <v>5</v>
      </c>
      <c r="W10" s="5">
        <v>6</v>
      </c>
      <c r="X10" s="5">
        <v>1</v>
      </c>
      <c r="Y10" s="5">
        <v>1</v>
      </c>
      <c r="Z10" s="5">
        <v>2</v>
      </c>
      <c r="AA10" s="2"/>
      <c r="AC10" s="2" t="s">
        <v>2502</v>
      </c>
      <c r="AD10" s="2"/>
      <c r="AE10" s="5">
        <v>10</v>
      </c>
      <c r="AF10" s="5">
        <v>15</v>
      </c>
      <c r="AG10" s="5">
        <v>15</v>
      </c>
      <c r="AH10" s="5">
        <v>0</v>
      </c>
      <c r="AI10" s="5"/>
      <c r="AK10" s="3" t="s">
        <v>2557</v>
      </c>
      <c r="AL10" s="369">
        <v>8</v>
      </c>
      <c r="AM10" s="5">
        <v>1.2</v>
      </c>
      <c r="AT10" s="2" t="s">
        <v>2603</v>
      </c>
      <c r="AU10" s="35">
        <v>3</v>
      </c>
      <c r="AV10" s="88">
        <v>1</v>
      </c>
      <c r="AZ10" s="2" t="s">
        <v>2636</v>
      </c>
      <c r="BA10" s="35">
        <v>466</v>
      </c>
      <c r="BB10" s="5">
        <v>75.2</v>
      </c>
      <c r="BC10" s="35">
        <v>550</v>
      </c>
      <c r="BD10" s="5">
        <v>76.2</v>
      </c>
      <c r="BE10" s="35">
        <v>417</v>
      </c>
      <c r="BH10" s="2" t="s">
        <v>2651</v>
      </c>
      <c r="BI10" s="5">
        <v>10</v>
      </c>
      <c r="BJ10" s="5">
        <v>1.8</v>
      </c>
      <c r="BK10" s="5"/>
      <c r="BQ10" s="2"/>
      <c r="BS10" s="2" t="s">
        <v>2502</v>
      </c>
      <c r="BT10" s="5">
        <v>0</v>
      </c>
      <c r="BU10" s="5">
        <v>0</v>
      </c>
      <c r="BV10" s="5">
        <v>4</v>
      </c>
      <c r="BW10" s="5">
        <v>0</v>
      </c>
      <c r="BX10" s="5">
        <v>0</v>
      </c>
      <c r="BY10" s="5"/>
      <c r="CA10" s="3"/>
      <c r="CB10" s="3"/>
      <c r="CC10" s="3"/>
      <c r="CD10" s="3"/>
      <c r="CE10" s="3"/>
      <c r="CF10" s="3"/>
      <c r="CG10" s="91"/>
      <c r="CH10" s="91"/>
      <c r="CN10" s="2"/>
      <c r="CO10" s="2"/>
      <c r="CP10" s="2"/>
      <c r="CQ10" s="2"/>
      <c r="CR10" s="3"/>
      <c r="CS10" s="3"/>
      <c r="CT10" s="3"/>
      <c r="CU10" s="3"/>
      <c r="CV10" s="3"/>
      <c r="CW10" s="3"/>
      <c r="CX10" s="22"/>
      <c r="CZ10" s="13" t="s">
        <v>2741</v>
      </c>
      <c r="DA10" s="14"/>
      <c r="DB10" s="14"/>
      <c r="DC10" s="14"/>
      <c r="DD10" s="14"/>
      <c r="DE10" s="14"/>
      <c r="DF10" s="14"/>
      <c r="DG10" s="14"/>
      <c r="DH10" s="25"/>
    </row>
    <row r="11" spans="1:119" ht="12.95" customHeight="1">
      <c r="A11" s="3" t="s">
        <v>2416</v>
      </c>
      <c r="B11" s="22">
        <v>696</v>
      </c>
      <c r="C11" s="22">
        <v>751</v>
      </c>
      <c r="D11" s="5">
        <v>723</v>
      </c>
      <c r="E11" s="5">
        <v>929</v>
      </c>
      <c r="F11" s="47">
        <v>1087</v>
      </c>
      <c r="G11" s="47">
        <v>1481</v>
      </c>
      <c r="H11" s="47">
        <v>1226</v>
      </c>
      <c r="I11" s="47">
        <v>1340</v>
      </c>
      <c r="J11" s="47"/>
      <c r="L11" s="2" t="s">
        <v>2438</v>
      </c>
      <c r="M11" s="5">
        <v>102</v>
      </c>
      <c r="N11" s="5">
        <v>0</v>
      </c>
      <c r="O11" s="5">
        <v>16</v>
      </c>
      <c r="P11" s="5">
        <v>31</v>
      </c>
      <c r="Q11" s="5">
        <v>14</v>
      </c>
      <c r="R11" s="5">
        <v>18</v>
      </c>
      <c r="S11" s="5">
        <v>9</v>
      </c>
      <c r="T11" s="5">
        <v>7</v>
      </c>
      <c r="U11" s="5">
        <v>3</v>
      </c>
      <c r="V11" s="5">
        <v>1</v>
      </c>
      <c r="W11" s="5">
        <v>3</v>
      </c>
      <c r="X11" s="5">
        <v>0</v>
      </c>
      <c r="Y11" s="5">
        <v>0</v>
      </c>
      <c r="Z11" s="5">
        <v>0</v>
      </c>
      <c r="AA11" s="2"/>
      <c r="AC11" s="2" t="s">
        <v>2503</v>
      </c>
      <c r="AD11" s="2"/>
      <c r="AE11" s="5">
        <v>1</v>
      </c>
      <c r="AF11" s="5">
        <v>0</v>
      </c>
      <c r="AG11" s="5">
        <v>0</v>
      </c>
      <c r="AH11" s="5">
        <v>0</v>
      </c>
      <c r="AI11" s="5"/>
      <c r="AK11" s="60" t="s">
        <v>2558</v>
      </c>
      <c r="AL11" s="61"/>
      <c r="AM11" s="61"/>
      <c r="AN11" s="61"/>
      <c r="AO11" s="61"/>
      <c r="AP11" s="377"/>
      <c r="AQ11" s="25"/>
      <c r="AR11" s="25"/>
      <c r="AS11" s="25"/>
      <c r="AT11" s="2" t="s">
        <v>2604</v>
      </c>
      <c r="AU11" s="35">
        <v>9</v>
      </c>
      <c r="AV11" s="5">
        <v>3.1</v>
      </c>
      <c r="AW11" s="25"/>
      <c r="AX11" s="25"/>
      <c r="AY11" s="25"/>
      <c r="AZ11" s="2" t="s">
        <v>2474</v>
      </c>
      <c r="BA11" s="35">
        <v>0</v>
      </c>
      <c r="BB11" s="5">
        <v>0</v>
      </c>
      <c r="BC11" s="35">
        <v>0</v>
      </c>
      <c r="BD11" s="5">
        <v>0</v>
      </c>
      <c r="BE11" s="35">
        <v>0</v>
      </c>
      <c r="BH11" s="2" t="s">
        <v>2652</v>
      </c>
      <c r="BI11" s="5">
        <v>0</v>
      </c>
      <c r="BJ11" s="5">
        <v>0</v>
      </c>
      <c r="BK11" s="5"/>
      <c r="BL11" s="2"/>
      <c r="BM11" s="2"/>
      <c r="BN11" s="2"/>
      <c r="BO11" s="2"/>
      <c r="BP11" s="2"/>
      <c r="BQ11" s="2"/>
      <c r="BS11" s="2" t="s">
        <v>2503</v>
      </c>
      <c r="BT11" s="5">
        <v>0</v>
      </c>
      <c r="BU11" s="5">
        <v>0</v>
      </c>
      <c r="BV11" s="5">
        <v>0</v>
      </c>
      <c r="BW11" s="5">
        <v>0</v>
      </c>
      <c r="BX11" s="5">
        <v>0</v>
      </c>
      <c r="BY11" s="5"/>
      <c r="CA11" s="373" t="s">
        <v>2767</v>
      </c>
      <c r="CB11" s="23"/>
      <c r="CC11" s="23"/>
      <c r="CD11" s="23"/>
      <c r="CE11" s="23"/>
      <c r="CF11" s="23"/>
      <c r="CG11" s="374"/>
      <c r="CH11" s="91"/>
      <c r="CN11" s="6" t="s">
        <v>1709</v>
      </c>
      <c r="CO11" s="5">
        <v>21</v>
      </c>
      <c r="CP11" s="5">
        <v>19</v>
      </c>
      <c r="CQ11" s="5">
        <v>2</v>
      </c>
      <c r="CR11" s="22">
        <v>37</v>
      </c>
      <c r="CS11" s="22">
        <v>34</v>
      </c>
      <c r="CT11" s="22">
        <v>3</v>
      </c>
      <c r="CU11" s="22">
        <v>42</v>
      </c>
      <c r="CV11" s="22">
        <v>36</v>
      </c>
      <c r="CW11" s="22">
        <v>6</v>
      </c>
      <c r="CX11" s="3"/>
      <c r="CZ11" s="14" t="s">
        <v>2742</v>
      </c>
      <c r="DA11" s="14"/>
      <c r="DB11" s="14"/>
      <c r="DC11" s="14"/>
      <c r="DD11" s="14"/>
      <c r="DE11" s="14"/>
      <c r="DF11" s="14"/>
      <c r="DG11" s="14"/>
      <c r="DH11" s="25"/>
    </row>
    <row r="12" spans="1:119" ht="12.95" customHeight="1">
      <c r="A12" s="3" t="s">
        <v>2417</v>
      </c>
      <c r="B12" s="22">
        <v>14</v>
      </c>
      <c r="C12" s="22">
        <v>24</v>
      </c>
      <c r="D12" s="5">
        <v>21</v>
      </c>
      <c r="E12" s="5">
        <v>30</v>
      </c>
      <c r="F12" s="5">
        <v>23</v>
      </c>
      <c r="G12" s="5">
        <v>47</v>
      </c>
      <c r="H12" s="5">
        <v>36</v>
      </c>
      <c r="I12" s="5">
        <v>42</v>
      </c>
      <c r="J12" s="5"/>
      <c r="L12" s="2" t="s">
        <v>2447</v>
      </c>
      <c r="M12" s="5">
        <v>211</v>
      </c>
      <c r="N12" s="5">
        <v>9</v>
      </c>
      <c r="O12" s="5">
        <v>16</v>
      </c>
      <c r="P12" s="5">
        <v>35</v>
      </c>
      <c r="Q12" s="5">
        <v>51</v>
      </c>
      <c r="R12" s="5">
        <v>31</v>
      </c>
      <c r="S12" s="5">
        <v>25</v>
      </c>
      <c r="T12" s="5">
        <v>19</v>
      </c>
      <c r="U12" s="5">
        <v>10</v>
      </c>
      <c r="V12" s="5">
        <v>8</v>
      </c>
      <c r="W12" s="5">
        <v>4</v>
      </c>
      <c r="X12" s="5">
        <v>0</v>
      </c>
      <c r="Y12" s="5">
        <v>0</v>
      </c>
      <c r="Z12" s="5">
        <v>3</v>
      </c>
      <c r="AA12" s="2"/>
      <c r="AC12" s="2" t="s">
        <v>2504</v>
      </c>
      <c r="AD12" s="2"/>
      <c r="AE12" s="5">
        <v>47</v>
      </c>
      <c r="AF12" s="5">
        <v>83</v>
      </c>
      <c r="AG12" s="5">
        <v>55</v>
      </c>
      <c r="AH12" s="5">
        <v>26</v>
      </c>
      <c r="AI12" s="5"/>
      <c r="AT12" s="2" t="s">
        <v>2605</v>
      </c>
      <c r="AU12" s="2"/>
      <c r="AV12" s="2"/>
      <c r="AZ12" s="2" t="s">
        <v>2637</v>
      </c>
      <c r="BA12" s="35">
        <v>0</v>
      </c>
      <c r="BB12" s="5">
        <v>0</v>
      </c>
      <c r="BC12" s="35">
        <v>0</v>
      </c>
      <c r="BD12" s="5">
        <v>0</v>
      </c>
      <c r="BE12" s="35">
        <v>0</v>
      </c>
      <c r="BH12" s="2" t="s">
        <v>2653</v>
      </c>
      <c r="BI12" s="5">
        <v>140</v>
      </c>
      <c r="BJ12" s="5">
        <v>25.4</v>
      </c>
      <c r="BK12" s="5"/>
      <c r="BL12" s="2"/>
      <c r="BM12" s="2"/>
      <c r="BN12" s="2"/>
      <c r="BO12" s="2"/>
      <c r="BP12" s="2"/>
      <c r="BQ12" s="2"/>
      <c r="BS12" s="2" t="s">
        <v>2504</v>
      </c>
      <c r="BT12" s="5">
        <v>6</v>
      </c>
      <c r="BU12" s="5">
        <v>3</v>
      </c>
      <c r="BV12" s="5">
        <v>8</v>
      </c>
      <c r="BW12" s="5">
        <v>9</v>
      </c>
      <c r="BX12" s="5">
        <v>0</v>
      </c>
      <c r="BY12" s="5"/>
      <c r="CA12" s="32" t="s">
        <v>1810</v>
      </c>
      <c r="CB12" s="17">
        <v>2019</v>
      </c>
      <c r="CC12" s="17" t="s">
        <v>2432</v>
      </c>
      <c r="CD12" s="17" t="s">
        <v>2689</v>
      </c>
      <c r="CE12" s="17">
        <v>2016</v>
      </c>
      <c r="CF12" s="28">
        <v>2015</v>
      </c>
      <c r="CG12" s="91"/>
      <c r="CH12" s="91"/>
      <c r="CN12" s="2" t="s">
        <v>2723</v>
      </c>
      <c r="CO12" s="5">
        <v>1</v>
      </c>
      <c r="CP12" s="5">
        <v>1</v>
      </c>
      <c r="CQ12" s="5">
        <v>0</v>
      </c>
      <c r="CR12" s="22">
        <v>5</v>
      </c>
      <c r="CS12" s="22">
        <v>5</v>
      </c>
      <c r="CT12" s="22">
        <v>0</v>
      </c>
      <c r="CU12" s="22">
        <v>1</v>
      </c>
      <c r="CV12" s="22">
        <v>0</v>
      </c>
      <c r="CW12" s="22">
        <v>1</v>
      </c>
      <c r="CX12" s="22"/>
      <c r="CZ12" s="13" t="s">
        <v>2743</v>
      </c>
      <c r="DA12" s="14"/>
      <c r="DB12" s="14"/>
      <c r="DC12" s="14"/>
      <c r="DD12" s="14"/>
      <c r="DE12" s="14"/>
      <c r="DF12" s="14"/>
      <c r="DG12" s="14"/>
      <c r="DH12" s="25"/>
    </row>
    <row r="13" spans="1:119" ht="12.95" customHeight="1">
      <c r="A13" s="3" t="s">
        <v>2418</v>
      </c>
      <c r="B13" s="22">
        <v>449</v>
      </c>
      <c r="C13" s="22">
        <v>437</v>
      </c>
      <c r="D13" s="5">
        <v>459</v>
      </c>
      <c r="E13" s="5">
        <v>534</v>
      </c>
      <c r="F13" s="5">
        <v>458</v>
      </c>
      <c r="G13" s="5">
        <v>720</v>
      </c>
      <c r="H13" s="5">
        <v>691</v>
      </c>
      <c r="I13" s="5">
        <v>683</v>
      </c>
      <c r="J13" s="5"/>
      <c r="L13" s="2" t="s">
        <v>2440</v>
      </c>
      <c r="M13" s="5">
        <v>41</v>
      </c>
      <c r="N13" s="5">
        <v>0</v>
      </c>
      <c r="O13" s="5">
        <v>9</v>
      </c>
      <c r="P13" s="5">
        <v>13</v>
      </c>
      <c r="Q13" s="5">
        <v>1</v>
      </c>
      <c r="R13" s="5">
        <v>7</v>
      </c>
      <c r="S13" s="5">
        <v>6</v>
      </c>
      <c r="T13" s="5">
        <v>5</v>
      </c>
      <c r="U13" s="5">
        <v>0</v>
      </c>
      <c r="V13" s="5">
        <v>0</v>
      </c>
      <c r="W13" s="5">
        <v>0</v>
      </c>
      <c r="X13" s="5">
        <v>0</v>
      </c>
      <c r="Y13" s="5">
        <v>0</v>
      </c>
      <c r="Z13" s="5">
        <v>0</v>
      </c>
      <c r="AA13" s="2"/>
      <c r="AC13" s="2" t="s">
        <v>2436</v>
      </c>
      <c r="AD13" s="2"/>
      <c r="AE13" s="5">
        <v>258</v>
      </c>
      <c r="AF13" s="5">
        <v>292</v>
      </c>
      <c r="AG13" s="5">
        <v>317</v>
      </c>
      <c r="AH13" s="5">
        <v>214</v>
      </c>
      <c r="AI13" s="5"/>
      <c r="AT13" s="2" t="s">
        <v>2606</v>
      </c>
      <c r="AU13" s="35">
        <v>10</v>
      </c>
      <c r="AV13" s="5">
        <v>3.5</v>
      </c>
      <c r="AZ13" s="2" t="s">
        <v>2477</v>
      </c>
      <c r="BA13" s="35">
        <v>0</v>
      </c>
      <c r="BB13" s="5">
        <v>0</v>
      </c>
      <c r="BC13" s="35">
        <v>0</v>
      </c>
      <c r="BD13" s="5">
        <v>0</v>
      </c>
      <c r="BE13" s="35">
        <v>0</v>
      </c>
      <c r="BH13" s="2" t="s">
        <v>2654</v>
      </c>
      <c r="BI13" s="5">
        <v>2</v>
      </c>
      <c r="BJ13" s="5">
        <v>0.4</v>
      </c>
      <c r="BK13" s="5"/>
      <c r="BL13" s="2"/>
      <c r="BM13" s="2"/>
      <c r="BN13" s="2"/>
      <c r="BO13" s="2"/>
      <c r="BP13" s="2"/>
      <c r="BQ13" s="2"/>
      <c r="BS13" s="2" t="s">
        <v>2436</v>
      </c>
      <c r="BT13" s="5">
        <v>21</v>
      </c>
      <c r="BU13" s="5">
        <v>16</v>
      </c>
      <c r="BV13" s="5">
        <v>11</v>
      </c>
      <c r="BW13" s="5">
        <v>12</v>
      </c>
      <c r="BX13" s="5">
        <v>9</v>
      </c>
      <c r="BY13" s="5"/>
      <c r="CA13" s="375" t="s">
        <v>2684</v>
      </c>
      <c r="CB13" s="375">
        <v>328</v>
      </c>
      <c r="CC13" s="375">
        <v>361</v>
      </c>
      <c r="CD13" s="375">
        <v>361</v>
      </c>
      <c r="CE13" s="375">
        <v>475</v>
      </c>
      <c r="CF13" s="375">
        <v>396</v>
      </c>
      <c r="CG13" s="91"/>
      <c r="CH13" s="91"/>
      <c r="CN13" s="2" t="s">
        <v>2724</v>
      </c>
      <c r="CO13" s="5">
        <v>2</v>
      </c>
      <c r="CP13" s="5">
        <v>2</v>
      </c>
      <c r="CQ13" s="5">
        <v>0</v>
      </c>
      <c r="CR13" s="22">
        <v>3</v>
      </c>
      <c r="CS13" s="22">
        <v>3</v>
      </c>
      <c r="CT13" s="22">
        <v>0</v>
      </c>
      <c r="CU13" s="22">
        <v>5</v>
      </c>
      <c r="CV13" s="22">
        <v>3</v>
      </c>
      <c r="CW13" s="22">
        <v>2</v>
      </c>
      <c r="CX13" s="22"/>
      <c r="CZ13" s="13" t="s">
        <v>2744</v>
      </c>
      <c r="DA13" s="14"/>
      <c r="DB13" s="14"/>
      <c r="DC13" s="14"/>
      <c r="DD13" s="14"/>
      <c r="DE13" s="14"/>
      <c r="DF13" s="14"/>
      <c r="DG13" s="14"/>
      <c r="DH13" s="25"/>
    </row>
    <row r="14" spans="1:119" ht="12.95" customHeight="1">
      <c r="A14" s="3" t="s">
        <v>2419</v>
      </c>
      <c r="B14" s="22">
        <v>1</v>
      </c>
      <c r="C14" s="22">
        <v>4</v>
      </c>
      <c r="D14" s="5">
        <v>3</v>
      </c>
      <c r="E14" s="5">
        <v>4</v>
      </c>
      <c r="F14" s="5">
        <v>0</v>
      </c>
      <c r="G14" s="5">
        <v>5</v>
      </c>
      <c r="H14" s="5">
        <v>6</v>
      </c>
      <c r="I14" s="5">
        <v>4</v>
      </c>
      <c r="J14" s="5"/>
      <c r="L14" s="2" t="s">
        <v>2441</v>
      </c>
      <c r="M14" s="5">
        <v>2</v>
      </c>
      <c r="N14" s="5">
        <v>0</v>
      </c>
      <c r="O14" s="5">
        <v>0</v>
      </c>
      <c r="P14" s="5">
        <v>0</v>
      </c>
      <c r="Q14" s="5">
        <v>1</v>
      </c>
      <c r="R14" s="5">
        <v>0</v>
      </c>
      <c r="S14" s="5">
        <v>1</v>
      </c>
      <c r="T14" s="5">
        <v>0</v>
      </c>
      <c r="U14" s="5">
        <v>0</v>
      </c>
      <c r="V14" s="5">
        <v>0</v>
      </c>
      <c r="W14" s="5">
        <v>0</v>
      </c>
      <c r="X14" s="5">
        <v>0</v>
      </c>
      <c r="Y14" s="5">
        <v>0</v>
      </c>
      <c r="Z14" s="5">
        <v>0</v>
      </c>
      <c r="AA14" s="2"/>
      <c r="AC14" s="2" t="s">
        <v>2505</v>
      </c>
      <c r="AD14" s="2"/>
      <c r="AE14" s="5">
        <v>723</v>
      </c>
      <c r="AF14" s="5">
        <v>789</v>
      </c>
      <c r="AG14" s="5">
        <v>762</v>
      </c>
      <c r="AH14" s="5">
        <v>707</v>
      </c>
      <c r="AI14" s="5"/>
      <c r="AT14" s="2" t="s">
        <v>2484</v>
      </c>
      <c r="AU14" s="35">
        <v>4</v>
      </c>
      <c r="AV14" s="5">
        <v>1.4</v>
      </c>
      <c r="AZ14" s="2" t="s">
        <v>2638</v>
      </c>
      <c r="BA14" s="35">
        <v>34</v>
      </c>
      <c r="BB14" s="5">
        <v>5.5</v>
      </c>
      <c r="BC14" s="35">
        <v>53</v>
      </c>
      <c r="BD14" s="5">
        <v>7.3</v>
      </c>
      <c r="BE14" s="35">
        <v>23</v>
      </c>
      <c r="BH14" s="2" t="s">
        <v>2655</v>
      </c>
      <c r="BI14" s="5">
        <v>7</v>
      </c>
      <c r="BJ14" s="5">
        <v>1.3</v>
      </c>
      <c r="BK14" s="5"/>
      <c r="BL14" s="2"/>
      <c r="BM14" s="2"/>
      <c r="BN14" s="2"/>
      <c r="BO14" s="2"/>
      <c r="BP14" s="2"/>
      <c r="BQ14" s="2"/>
      <c r="BS14" s="2" t="s">
        <v>2505</v>
      </c>
      <c r="BT14" s="5">
        <v>90</v>
      </c>
      <c r="BU14" s="5">
        <v>62</v>
      </c>
      <c r="BV14" s="5">
        <v>32</v>
      </c>
      <c r="BW14" s="5">
        <v>55</v>
      </c>
      <c r="BX14" s="5">
        <v>1</v>
      </c>
      <c r="BY14" s="5"/>
      <c r="CA14" s="3" t="s">
        <v>2685</v>
      </c>
      <c r="CB14" s="22">
        <v>108</v>
      </c>
      <c r="CC14" s="22">
        <v>133</v>
      </c>
      <c r="CD14" s="22">
        <v>128</v>
      </c>
      <c r="CE14" s="22">
        <v>187</v>
      </c>
      <c r="CF14" s="22">
        <v>153</v>
      </c>
      <c r="CG14" s="91"/>
      <c r="CH14" s="91"/>
      <c r="CN14" s="2" t="s">
        <v>2631</v>
      </c>
      <c r="CO14" s="5">
        <v>1</v>
      </c>
      <c r="CP14" s="5">
        <v>1</v>
      </c>
      <c r="CQ14" s="5">
        <v>0</v>
      </c>
      <c r="CR14" s="22">
        <v>5</v>
      </c>
      <c r="CS14" s="22">
        <v>5</v>
      </c>
      <c r="CT14" s="22">
        <v>0</v>
      </c>
      <c r="CU14" s="22">
        <v>6</v>
      </c>
      <c r="CV14" s="22">
        <v>6</v>
      </c>
      <c r="CW14" s="22">
        <v>0</v>
      </c>
      <c r="CX14" s="22"/>
      <c r="CZ14" s="13" t="s">
        <v>2745</v>
      </c>
      <c r="DA14" s="14"/>
      <c r="DB14" s="14"/>
      <c r="DC14" s="14"/>
      <c r="DD14" s="14"/>
      <c r="DE14" s="14"/>
      <c r="DF14" s="14"/>
      <c r="DG14" s="14"/>
      <c r="DH14" s="25"/>
    </row>
    <row r="15" spans="1:119" ht="12.95" customHeight="1">
      <c r="A15" s="3" t="s">
        <v>2420</v>
      </c>
      <c r="B15" s="22">
        <v>90</v>
      </c>
      <c r="C15" s="22">
        <v>144</v>
      </c>
      <c r="D15" s="5">
        <v>112</v>
      </c>
      <c r="E15" s="5">
        <v>138</v>
      </c>
      <c r="F15" s="5">
        <v>88</v>
      </c>
      <c r="G15" s="5">
        <v>273</v>
      </c>
      <c r="H15" s="5">
        <v>274</v>
      </c>
      <c r="I15" s="5">
        <v>321</v>
      </c>
      <c r="J15" s="5"/>
      <c r="L15" s="2"/>
      <c r="M15" s="2"/>
      <c r="N15" s="2"/>
      <c r="O15" s="2"/>
      <c r="P15" s="2"/>
      <c r="Q15" s="2"/>
      <c r="R15" s="2"/>
      <c r="S15" s="2"/>
      <c r="T15" s="2"/>
      <c r="U15" s="2"/>
      <c r="V15" s="2"/>
      <c r="W15" s="2"/>
      <c r="X15" s="2"/>
      <c r="Y15" s="2"/>
      <c r="Z15" s="2"/>
      <c r="AA15" s="2"/>
      <c r="AC15" s="2" t="s">
        <v>2506</v>
      </c>
      <c r="AD15" s="2"/>
      <c r="AE15" s="5">
        <v>300</v>
      </c>
      <c r="AF15" s="5">
        <v>384</v>
      </c>
      <c r="AG15" s="5">
        <v>536</v>
      </c>
      <c r="AH15" s="5">
        <v>388</v>
      </c>
      <c r="AI15" s="5"/>
      <c r="AK15" s="1" t="s">
        <v>2758</v>
      </c>
      <c r="AL15" s="2"/>
      <c r="AM15" s="2"/>
      <c r="AN15" s="2"/>
      <c r="AO15" s="2"/>
      <c r="AP15" s="2"/>
      <c r="AQ15" s="2"/>
      <c r="AR15" s="2"/>
      <c r="AS15" s="2"/>
      <c r="AT15" s="2" t="s">
        <v>2607</v>
      </c>
      <c r="AU15" s="35">
        <v>2</v>
      </c>
      <c r="AV15" s="5">
        <v>0.7</v>
      </c>
      <c r="AW15" s="2"/>
      <c r="AX15" s="2"/>
      <c r="AZ15" s="2" t="s">
        <v>2483</v>
      </c>
      <c r="BA15" s="35">
        <v>0</v>
      </c>
      <c r="BB15" s="5">
        <v>0</v>
      </c>
      <c r="BC15" s="35">
        <v>0</v>
      </c>
      <c r="BD15" s="5">
        <v>0</v>
      </c>
      <c r="BE15" s="35">
        <v>0</v>
      </c>
      <c r="BH15" s="2" t="s">
        <v>2656</v>
      </c>
      <c r="BI15" s="5">
        <v>0</v>
      </c>
      <c r="BJ15" s="5">
        <v>0</v>
      </c>
      <c r="BK15" s="5"/>
      <c r="BL15" s="2"/>
      <c r="BM15" s="2"/>
      <c r="BN15" s="2"/>
      <c r="BO15" s="2"/>
      <c r="BP15" s="2"/>
      <c r="BQ15" s="2"/>
      <c r="BS15" s="2" t="s">
        <v>2506</v>
      </c>
      <c r="BT15" s="5">
        <v>22</v>
      </c>
      <c r="BU15" s="5">
        <v>4</v>
      </c>
      <c r="BV15" s="5">
        <v>28</v>
      </c>
      <c r="BW15" s="5">
        <v>23</v>
      </c>
      <c r="BX15" s="5">
        <v>2</v>
      </c>
      <c r="BY15" s="5"/>
      <c r="CA15" s="3" t="s">
        <v>2686</v>
      </c>
      <c r="CB15" s="22">
        <v>220</v>
      </c>
      <c r="CC15" s="22">
        <v>228</v>
      </c>
      <c r="CD15" s="22">
        <v>233</v>
      </c>
      <c r="CE15" s="22">
        <v>288</v>
      </c>
      <c r="CF15" s="22">
        <v>243</v>
      </c>
      <c r="CG15" s="91"/>
      <c r="CH15" s="91"/>
      <c r="CN15" s="2" t="s">
        <v>2725</v>
      </c>
      <c r="CO15" s="5">
        <v>0</v>
      </c>
      <c r="CP15" s="5">
        <v>0</v>
      </c>
      <c r="CQ15" s="5">
        <v>0</v>
      </c>
      <c r="CR15" s="22">
        <v>0</v>
      </c>
      <c r="CS15" s="22">
        <v>0</v>
      </c>
      <c r="CT15" s="22">
        <v>0</v>
      </c>
      <c r="CU15" s="22">
        <v>1</v>
      </c>
      <c r="CV15" s="22">
        <v>1</v>
      </c>
      <c r="CW15" s="22">
        <v>0</v>
      </c>
      <c r="CX15" s="22"/>
      <c r="CZ15" s="13" t="s">
        <v>2746</v>
      </c>
      <c r="DA15" s="14"/>
      <c r="DB15" s="14"/>
      <c r="DC15" s="14"/>
      <c r="DD15" s="14"/>
      <c r="DE15" s="14"/>
      <c r="DF15" s="14"/>
      <c r="DG15" s="14"/>
      <c r="DH15" s="25"/>
    </row>
    <row r="16" spans="1:119" ht="12.75" customHeight="1">
      <c r="A16" s="3" t="s">
        <v>2421</v>
      </c>
      <c r="B16" s="22">
        <v>2</v>
      </c>
      <c r="C16" s="22">
        <v>2</v>
      </c>
      <c r="D16" s="5">
        <v>1</v>
      </c>
      <c r="E16" s="5">
        <v>2</v>
      </c>
      <c r="F16" s="5">
        <v>0</v>
      </c>
      <c r="G16" s="5">
        <v>1</v>
      </c>
      <c r="H16" s="5">
        <v>0</v>
      </c>
      <c r="I16" s="5">
        <v>1</v>
      </c>
      <c r="J16" s="5"/>
      <c r="L16" s="2" t="s">
        <v>2468</v>
      </c>
      <c r="M16" s="47">
        <v>2249</v>
      </c>
      <c r="N16" s="5">
        <v>70</v>
      </c>
      <c r="O16" s="5">
        <v>187</v>
      </c>
      <c r="P16" s="5">
        <v>408</v>
      </c>
      <c r="Q16" s="5">
        <v>407</v>
      </c>
      <c r="R16" s="5">
        <v>343</v>
      </c>
      <c r="S16" s="5">
        <v>284</v>
      </c>
      <c r="T16" s="5">
        <v>205</v>
      </c>
      <c r="U16" s="5">
        <v>143</v>
      </c>
      <c r="V16" s="5">
        <v>91</v>
      </c>
      <c r="W16" s="5">
        <v>61</v>
      </c>
      <c r="X16" s="5">
        <v>21</v>
      </c>
      <c r="Y16" s="5">
        <v>22</v>
      </c>
      <c r="Z16" s="5">
        <v>7</v>
      </c>
      <c r="AA16" s="2"/>
      <c r="AC16" s="2" t="s">
        <v>2507</v>
      </c>
      <c r="AD16" s="2"/>
      <c r="AE16" s="5">
        <v>4</v>
      </c>
      <c r="AF16" s="5">
        <v>7</v>
      </c>
      <c r="AG16" s="5">
        <v>7</v>
      </c>
      <c r="AH16" s="5">
        <v>24</v>
      </c>
      <c r="AI16" s="5"/>
      <c r="AK16" s="8"/>
      <c r="AL16" s="2033">
        <v>2023</v>
      </c>
      <c r="AM16" s="2034"/>
      <c r="AN16" s="2033">
        <v>2022</v>
      </c>
      <c r="AO16" s="2034"/>
      <c r="AT16" s="2" t="s">
        <v>2608</v>
      </c>
      <c r="AU16" s="35">
        <v>3</v>
      </c>
      <c r="AV16" s="88">
        <v>1</v>
      </c>
      <c r="AZ16" s="2" t="s">
        <v>2484</v>
      </c>
      <c r="BA16" s="35">
        <v>3</v>
      </c>
      <c r="BB16" s="5">
        <v>0.5</v>
      </c>
      <c r="BC16" s="35">
        <v>6</v>
      </c>
      <c r="BD16" s="5">
        <v>0.8</v>
      </c>
      <c r="BE16" s="35">
        <v>2</v>
      </c>
      <c r="BH16" s="2" t="s">
        <v>1696</v>
      </c>
      <c r="BI16" s="5">
        <v>38</v>
      </c>
      <c r="BJ16" s="5">
        <v>6.9</v>
      </c>
      <c r="BK16" s="5"/>
      <c r="BL16" s="2"/>
      <c r="BM16" s="2"/>
      <c r="BN16" s="2"/>
      <c r="BO16" s="2"/>
      <c r="BP16" s="2"/>
      <c r="BQ16" s="2"/>
      <c r="BS16" s="2" t="s">
        <v>2507</v>
      </c>
      <c r="BT16" s="5">
        <v>9</v>
      </c>
      <c r="BU16" s="5">
        <v>1</v>
      </c>
      <c r="BV16" s="5">
        <v>3</v>
      </c>
      <c r="BW16" s="5">
        <v>5</v>
      </c>
      <c r="BX16" s="5">
        <v>2</v>
      </c>
      <c r="BY16" s="5"/>
      <c r="CA16" s="23" t="s">
        <v>2687</v>
      </c>
      <c r="CB16" s="29">
        <v>67.099999999999994</v>
      </c>
      <c r="CC16" s="29" t="s">
        <v>2690</v>
      </c>
      <c r="CD16" s="29">
        <v>64.5</v>
      </c>
      <c r="CE16" s="29">
        <v>61</v>
      </c>
      <c r="CF16" s="29">
        <v>61</v>
      </c>
      <c r="CG16" s="91"/>
      <c r="CH16" s="91"/>
      <c r="CN16" s="2" t="s">
        <v>2726</v>
      </c>
      <c r="CO16" s="5">
        <v>1</v>
      </c>
      <c r="CP16" s="5">
        <v>1</v>
      </c>
      <c r="CQ16" s="5">
        <v>0</v>
      </c>
      <c r="CR16" s="22">
        <v>1</v>
      </c>
      <c r="CS16" s="22">
        <v>1</v>
      </c>
      <c r="CT16" s="22">
        <v>0</v>
      </c>
      <c r="CU16" s="22">
        <v>1</v>
      </c>
      <c r="CV16" s="22">
        <v>0</v>
      </c>
      <c r="CW16" s="22">
        <v>1</v>
      </c>
      <c r="CX16" s="22"/>
      <c r="CZ16" s="13"/>
      <c r="DA16" s="14"/>
      <c r="DB16" s="14"/>
      <c r="DC16" s="14"/>
      <c r="DD16" s="14"/>
      <c r="DE16" s="14"/>
      <c r="DF16" s="14"/>
      <c r="DG16" s="14"/>
      <c r="DH16" s="25"/>
    </row>
    <row r="17" spans="1:112" ht="12.95" customHeight="1">
      <c r="A17" s="3" t="s">
        <v>2422</v>
      </c>
      <c r="B17" s="22">
        <v>76</v>
      </c>
      <c r="C17" s="22">
        <v>119</v>
      </c>
      <c r="D17" s="5">
        <v>109</v>
      </c>
      <c r="E17" s="5">
        <v>138</v>
      </c>
      <c r="F17" s="5">
        <v>126</v>
      </c>
      <c r="G17" s="5">
        <v>141</v>
      </c>
      <c r="H17" s="5">
        <v>124</v>
      </c>
      <c r="I17" s="5">
        <v>135</v>
      </c>
      <c r="J17" s="5"/>
      <c r="L17" s="2" t="s">
        <v>2469</v>
      </c>
      <c r="M17" s="5">
        <v>817</v>
      </c>
      <c r="N17" s="5">
        <v>7</v>
      </c>
      <c r="O17" s="5">
        <v>68</v>
      </c>
      <c r="P17" s="5">
        <v>159</v>
      </c>
      <c r="Q17" s="5">
        <v>148</v>
      </c>
      <c r="R17" s="5">
        <v>124</v>
      </c>
      <c r="S17" s="5">
        <v>115</v>
      </c>
      <c r="T17" s="5">
        <v>70</v>
      </c>
      <c r="U17" s="5">
        <v>52</v>
      </c>
      <c r="V17" s="5">
        <v>31</v>
      </c>
      <c r="W17" s="5">
        <v>23</v>
      </c>
      <c r="X17" s="5">
        <v>7</v>
      </c>
      <c r="Y17" s="5">
        <v>9</v>
      </c>
      <c r="Z17" s="5">
        <v>4</v>
      </c>
      <c r="AA17" s="2"/>
      <c r="AC17" s="2" t="s">
        <v>2508</v>
      </c>
      <c r="AD17" s="2"/>
      <c r="AE17" s="5">
        <v>4</v>
      </c>
      <c r="AF17" s="5">
        <v>2</v>
      </c>
      <c r="AG17" s="5">
        <v>4</v>
      </c>
      <c r="AH17" s="5">
        <v>5</v>
      </c>
      <c r="AI17" s="5"/>
      <c r="AK17" s="10" t="s">
        <v>2449</v>
      </c>
      <c r="AL17" s="39" t="s">
        <v>1665</v>
      </c>
      <c r="AM17" s="11" t="s">
        <v>1666</v>
      </c>
      <c r="AN17" s="39" t="s">
        <v>1665</v>
      </c>
      <c r="AO17" s="11" t="s">
        <v>1666</v>
      </c>
      <c r="AT17" s="2" t="s">
        <v>2609</v>
      </c>
      <c r="AU17" s="35">
        <v>1</v>
      </c>
      <c r="AV17" s="5">
        <v>0.3</v>
      </c>
      <c r="AZ17" s="10" t="s">
        <v>2551</v>
      </c>
      <c r="BA17" s="58">
        <v>0</v>
      </c>
      <c r="BB17" s="11">
        <v>0</v>
      </c>
      <c r="BC17" s="58">
        <v>0</v>
      </c>
      <c r="BD17" s="11">
        <v>0</v>
      </c>
      <c r="BE17" s="58">
        <v>0</v>
      </c>
      <c r="BH17" s="2" t="s">
        <v>1698</v>
      </c>
      <c r="BI17" s="5">
        <v>4</v>
      </c>
      <c r="BJ17" s="5">
        <v>0.7</v>
      </c>
      <c r="BK17" s="5"/>
      <c r="BL17" s="2"/>
      <c r="BM17" s="2"/>
      <c r="BN17" s="2"/>
      <c r="BO17" s="2"/>
      <c r="BP17" s="2"/>
      <c r="BQ17" s="2"/>
      <c r="BS17" s="2" t="s">
        <v>2508</v>
      </c>
      <c r="BT17" s="5">
        <v>1</v>
      </c>
      <c r="BU17" s="5">
        <v>0</v>
      </c>
      <c r="BV17" s="5">
        <v>1</v>
      </c>
      <c r="BW17" s="5">
        <v>2</v>
      </c>
      <c r="BX17" s="5">
        <v>0</v>
      </c>
      <c r="BY17" s="5"/>
      <c r="CA17" s="13" t="s">
        <v>2688</v>
      </c>
      <c r="CB17" s="14"/>
      <c r="CC17" s="14"/>
      <c r="CD17" s="14"/>
      <c r="CE17" s="14"/>
      <c r="CF17" s="2"/>
      <c r="CN17" s="2" t="s">
        <v>2727</v>
      </c>
      <c r="CO17" s="5">
        <v>6</v>
      </c>
      <c r="CP17" s="5">
        <v>4</v>
      </c>
      <c r="CQ17" s="5">
        <v>2</v>
      </c>
      <c r="CR17" s="22">
        <v>0</v>
      </c>
      <c r="CS17" s="22">
        <v>0</v>
      </c>
      <c r="CT17" s="22">
        <v>0</v>
      </c>
      <c r="CU17" s="22">
        <v>6</v>
      </c>
      <c r="CV17" s="22">
        <v>6</v>
      </c>
      <c r="CW17" s="22">
        <v>0</v>
      </c>
      <c r="CX17" s="22"/>
      <c r="CZ17" s="13"/>
      <c r="DA17" s="14"/>
      <c r="DB17" s="14"/>
      <c r="DC17" s="14"/>
      <c r="DD17" s="14"/>
      <c r="DE17" s="14"/>
      <c r="DF17" s="14"/>
      <c r="DG17" s="2"/>
    </row>
    <row r="18" spans="1:112" ht="12.95" customHeight="1">
      <c r="A18" s="3" t="s">
        <v>2423</v>
      </c>
      <c r="B18" s="22">
        <v>741</v>
      </c>
      <c r="C18" s="22">
        <v>711</v>
      </c>
      <c r="D18" s="5">
        <v>709</v>
      </c>
      <c r="E18" s="5">
        <v>765</v>
      </c>
      <c r="F18" s="5">
        <v>576</v>
      </c>
      <c r="G18" s="47">
        <v>1610</v>
      </c>
      <c r="H18" s="47">
        <v>1608</v>
      </c>
      <c r="I18" s="47">
        <v>1707</v>
      </c>
      <c r="J18" s="47"/>
      <c r="L18" s="2" t="s">
        <v>2470</v>
      </c>
      <c r="M18" s="5">
        <v>15</v>
      </c>
      <c r="N18" s="5">
        <v>0</v>
      </c>
      <c r="O18" s="5">
        <v>1</v>
      </c>
      <c r="P18" s="5">
        <v>3</v>
      </c>
      <c r="Q18" s="5">
        <v>1</v>
      </c>
      <c r="R18" s="5">
        <v>1</v>
      </c>
      <c r="S18" s="5">
        <v>8</v>
      </c>
      <c r="T18" s="5">
        <v>0</v>
      </c>
      <c r="U18" s="5">
        <v>0</v>
      </c>
      <c r="V18" s="5">
        <v>0</v>
      </c>
      <c r="W18" s="5">
        <v>0</v>
      </c>
      <c r="X18" s="5">
        <v>0</v>
      </c>
      <c r="Y18" s="5">
        <v>1</v>
      </c>
      <c r="Z18" s="5">
        <v>0</v>
      </c>
      <c r="AA18" s="2"/>
      <c r="AC18" s="2" t="s">
        <v>2509</v>
      </c>
      <c r="AD18" s="2"/>
      <c r="AE18" s="5">
        <v>0</v>
      </c>
      <c r="AF18" s="5">
        <v>0</v>
      </c>
      <c r="AG18" s="5">
        <v>0</v>
      </c>
      <c r="AH18" s="5">
        <v>0</v>
      </c>
      <c r="AI18" s="5"/>
      <c r="AK18" s="3" t="s">
        <v>129</v>
      </c>
      <c r="AL18" s="5">
        <v>655</v>
      </c>
      <c r="AM18" s="5">
        <v>100</v>
      </c>
      <c r="AN18" s="5">
        <v>719</v>
      </c>
      <c r="AO18" s="88">
        <v>100</v>
      </c>
      <c r="AT18" s="2" t="s">
        <v>2610</v>
      </c>
      <c r="AU18" s="35">
        <v>1</v>
      </c>
      <c r="AV18" s="5">
        <v>0.3</v>
      </c>
      <c r="AZ18" s="13" t="s">
        <v>2491</v>
      </c>
      <c r="BA18" s="14"/>
      <c r="BB18" s="14"/>
      <c r="BC18" s="2"/>
      <c r="BD18" s="2"/>
      <c r="BE18" s="2"/>
      <c r="BH18" s="2" t="s">
        <v>1693</v>
      </c>
      <c r="BI18" s="5">
        <v>5</v>
      </c>
      <c r="BJ18" s="5">
        <v>0.9</v>
      </c>
      <c r="BK18" s="5"/>
      <c r="BL18" s="2"/>
      <c r="BM18" s="2"/>
      <c r="BN18" s="2"/>
      <c r="BO18" s="2"/>
      <c r="BP18" s="2"/>
      <c r="BQ18" s="2"/>
      <c r="BS18" s="2" t="s">
        <v>2665</v>
      </c>
      <c r="BT18" s="5">
        <v>0</v>
      </c>
      <c r="BU18" s="5">
        <v>0</v>
      </c>
      <c r="BV18" s="5">
        <v>0</v>
      </c>
      <c r="BW18" s="5">
        <v>0</v>
      </c>
      <c r="BX18" s="5">
        <v>0</v>
      </c>
      <c r="BY18" s="5"/>
      <c r="CN18" s="2" t="s">
        <v>2728</v>
      </c>
      <c r="CO18" s="5">
        <v>4</v>
      </c>
      <c r="CP18" s="5">
        <v>4</v>
      </c>
      <c r="CQ18" s="5">
        <v>0</v>
      </c>
      <c r="CR18" s="22">
        <v>13</v>
      </c>
      <c r="CS18" s="22">
        <v>11</v>
      </c>
      <c r="CT18" s="22">
        <v>2</v>
      </c>
      <c r="CU18" s="22">
        <v>11</v>
      </c>
      <c r="CV18" s="22">
        <v>10</v>
      </c>
      <c r="CW18" s="22">
        <v>1</v>
      </c>
      <c r="CX18" s="22"/>
      <c r="CZ18" s="2"/>
      <c r="DA18" s="2"/>
      <c r="DB18" s="2"/>
      <c r="DC18" s="2"/>
      <c r="DD18" s="2"/>
      <c r="DE18" s="2"/>
      <c r="DF18" s="2"/>
      <c r="DG18" s="2"/>
    </row>
    <row r="19" spans="1:112" ht="12.95" customHeight="1">
      <c r="A19" s="3" t="s">
        <v>2424</v>
      </c>
      <c r="B19" s="22">
        <v>117</v>
      </c>
      <c r="C19" s="22">
        <v>95</v>
      </c>
      <c r="D19" s="5">
        <v>116</v>
      </c>
      <c r="E19" s="5">
        <v>187</v>
      </c>
      <c r="F19" s="5">
        <v>159</v>
      </c>
      <c r="G19" s="5">
        <v>160</v>
      </c>
      <c r="H19" s="5">
        <v>88</v>
      </c>
      <c r="I19" s="5">
        <v>51</v>
      </c>
      <c r="J19" s="5"/>
      <c r="L19" s="2" t="s">
        <v>2471</v>
      </c>
      <c r="M19" s="5">
        <v>37</v>
      </c>
      <c r="N19" s="5">
        <v>0</v>
      </c>
      <c r="O19" s="5">
        <v>1</v>
      </c>
      <c r="P19" s="5">
        <v>11</v>
      </c>
      <c r="Q19" s="5">
        <v>0</v>
      </c>
      <c r="R19" s="5">
        <v>7</v>
      </c>
      <c r="S19" s="5">
        <v>8</v>
      </c>
      <c r="T19" s="5">
        <v>4</v>
      </c>
      <c r="U19" s="5">
        <v>3</v>
      </c>
      <c r="V19" s="5">
        <v>3</v>
      </c>
      <c r="W19" s="5">
        <v>0</v>
      </c>
      <c r="X19" s="5">
        <v>0</v>
      </c>
      <c r="Y19" s="5">
        <v>0</v>
      </c>
      <c r="Z19" s="5">
        <v>0</v>
      </c>
      <c r="AA19" s="2"/>
      <c r="AC19" s="2" t="s">
        <v>2510</v>
      </c>
      <c r="AD19" s="2"/>
      <c r="AE19" s="5">
        <v>3</v>
      </c>
      <c r="AF19" s="5">
        <v>1</v>
      </c>
      <c r="AG19" s="5">
        <v>1</v>
      </c>
      <c r="AH19" s="5">
        <v>0</v>
      </c>
      <c r="AI19" s="5"/>
      <c r="AK19" s="3" t="s">
        <v>2559</v>
      </c>
      <c r="AL19" s="5">
        <v>2</v>
      </c>
      <c r="AM19" s="5">
        <v>0.3</v>
      </c>
      <c r="AN19" s="5">
        <v>2</v>
      </c>
      <c r="AO19" s="5">
        <v>0.3</v>
      </c>
      <c r="AT19" s="2" t="s">
        <v>2611</v>
      </c>
      <c r="AU19" s="35">
        <v>7</v>
      </c>
      <c r="AV19" s="5">
        <v>2.4</v>
      </c>
      <c r="BH19" s="2" t="s">
        <v>2657</v>
      </c>
      <c r="BI19" s="5">
        <v>0</v>
      </c>
      <c r="BJ19" s="5">
        <v>0</v>
      </c>
      <c r="BK19" s="5"/>
      <c r="BL19" s="2"/>
      <c r="BM19" s="2"/>
      <c r="BN19" s="2"/>
      <c r="BO19" s="2"/>
      <c r="BP19" s="2"/>
      <c r="BQ19" s="2"/>
      <c r="BS19" s="2" t="s">
        <v>2666</v>
      </c>
      <c r="BT19" s="5">
        <v>0</v>
      </c>
      <c r="BU19" s="5">
        <v>0</v>
      </c>
      <c r="BV19" s="5">
        <v>0</v>
      </c>
      <c r="BW19" s="5">
        <v>0</v>
      </c>
      <c r="BX19" s="5">
        <v>0</v>
      </c>
      <c r="BY19" s="5"/>
      <c r="CN19" s="2" t="s">
        <v>2729</v>
      </c>
      <c r="CO19" s="5">
        <v>3</v>
      </c>
      <c r="CP19" s="5">
        <v>3</v>
      </c>
      <c r="CQ19" s="5">
        <v>0</v>
      </c>
      <c r="CR19" s="22">
        <v>4</v>
      </c>
      <c r="CS19" s="22">
        <v>4</v>
      </c>
      <c r="CT19" s="22">
        <v>0</v>
      </c>
      <c r="CU19" s="22">
        <v>6</v>
      </c>
      <c r="CV19" s="22">
        <v>6</v>
      </c>
      <c r="CW19" s="22">
        <v>0</v>
      </c>
      <c r="CX19" s="22"/>
      <c r="CZ19" s="2"/>
      <c r="DA19" s="2"/>
      <c r="DB19" s="2"/>
      <c r="DC19" s="2"/>
      <c r="DD19" s="2"/>
      <c r="DE19" s="2"/>
      <c r="DF19" s="2"/>
      <c r="DG19" s="2"/>
    </row>
    <row r="20" spans="1:112" ht="12.95" customHeight="1">
      <c r="A20" s="3" t="s">
        <v>2425</v>
      </c>
      <c r="B20" s="47">
        <v>3456</v>
      </c>
      <c r="C20" s="47">
        <v>4073</v>
      </c>
      <c r="D20" s="47">
        <v>4214</v>
      </c>
      <c r="E20" s="47">
        <v>4008</v>
      </c>
      <c r="F20" s="47">
        <v>3369</v>
      </c>
      <c r="G20" s="47">
        <v>5167</v>
      </c>
      <c r="H20" s="47">
        <v>4480</v>
      </c>
      <c r="I20" s="47">
        <v>7543</v>
      </c>
      <c r="J20" s="47"/>
      <c r="L20" s="2" t="s">
        <v>2472</v>
      </c>
      <c r="M20" s="5">
        <v>0</v>
      </c>
      <c r="N20" s="5">
        <v>0</v>
      </c>
      <c r="O20" s="5">
        <v>0</v>
      </c>
      <c r="P20" s="5">
        <v>0</v>
      </c>
      <c r="Q20" s="5">
        <v>0</v>
      </c>
      <c r="R20" s="5">
        <v>0</v>
      </c>
      <c r="S20" s="5">
        <v>0</v>
      </c>
      <c r="T20" s="5">
        <v>0</v>
      </c>
      <c r="U20" s="5">
        <v>0</v>
      </c>
      <c r="V20" s="5">
        <v>0</v>
      </c>
      <c r="W20" s="5">
        <v>0</v>
      </c>
      <c r="X20" s="5">
        <v>0</v>
      </c>
      <c r="Y20" s="5">
        <v>0</v>
      </c>
      <c r="Z20" s="5">
        <v>0</v>
      </c>
      <c r="AA20" s="2"/>
      <c r="AC20" s="2"/>
      <c r="AD20" s="2"/>
      <c r="AE20" s="2"/>
      <c r="AF20" s="2"/>
      <c r="AG20" s="2"/>
      <c r="AH20" s="2"/>
      <c r="AI20" s="5"/>
      <c r="AK20" s="3" t="s">
        <v>2560</v>
      </c>
      <c r="AL20" s="5">
        <v>42</v>
      </c>
      <c r="AM20" s="5">
        <v>6.4</v>
      </c>
      <c r="AN20" s="22">
        <v>26</v>
      </c>
      <c r="AO20" s="5">
        <v>3.6</v>
      </c>
      <c r="AT20" s="2" t="s">
        <v>2612</v>
      </c>
      <c r="AU20" s="35">
        <v>9</v>
      </c>
      <c r="AV20" s="5">
        <v>3.1</v>
      </c>
      <c r="BH20" s="2" t="s">
        <v>2648</v>
      </c>
      <c r="BI20" s="5">
        <v>9</v>
      </c>
      <c r="BJ20" s="5">
        <v>1.6</v>
      </c>
      <c r="BK20" s="5"/>
      <c r="BL20" s="2"/>
      <c r="BM20" s="2"/>
      <c r="BN20" s="2"/>
      <c r="BO20" s="2"/>
      <c r="BP20" s="2"/>
      <c r="BQ20" s="2"/>
      <c r="BS20" s="2"/>
      <c r="BT20" s="2"/>
      <c r="BU20" s="2"/>
      <c r="BV20" s="2"/>
      <c r="BW20" s="2"/>
      <c r="BX20" s="2"/>
      <c r="BY20" s="5"/>
      <c r="CN20" s="2" t="s">
        <v>2604</v>
      </c>
      <c r="CO20" s="5">
        <v>3</v>
      </c>
      <c r="CP20" s="5">
        <v>3</v>
      </c>
      <c r="CQ20" s="5">
        <v>0</v>
      </c>
      <c r="CR20" s="22">
        <v>5</v>
      </c>
      <c r="CS20" s="22">
        <v>5</v>
      </c>
      <c r="CT20" s="22">
        <v>0</v>
      </c>
      <c r="CU20" s="22">
        <v>6</v>
      </c>
      <c r="CV20" s="22">
        <v>6</v>
      </c>
      <c r="CW20" s="22">
        <v>0</v>
      </c>
      <c r="CX20" s="22"/>
      <c r="CZ20" s="1" t="s">
        <v>2748</v>
      </c>
      <c r="DA20" s="2"/>
      <c r="DB20" s="2"/>
      <c r="DC20" s="2"/>
      <c r="DD20" s="2"/>
      <c r="DE20" s="2"/>
      <c r="DF20" s="2"/>
      <c r="DG20" s="22"/>
    </row>
    <row r="21" spans="1:112" ht="12.95" customHeight="1">
      <c r="A21" s="60" t="s">
        <v>2426</v>
      </c>
      <c r="B21" s="308"/>
      <c r="C21" s="308"/>
      <c r="D21" s="308"/>
      <c r="E21" s="308"/>
      <c r="F21" s="308"/>
      <c r="G21" s="308"/>
      <c r="H21" s="61"/>
      <c r="I21" s="61"/>
      <c r="J21" s="14"/>
      <c r="K21" s="25"/>
      <c r="L21" s="2" t="s">
        <v>2473</v>
      </c>
      <c r="M21" s="5">
        <v>16</v>
      </c>
      <c r="N21" s="5">
        <v>0</v>
      </c>
      <c r="O21" s="5">
        <v>2</v>
      </c>
      <c r="P21" s="5">
        <v>4</v>
      </c>
      <c r="Q21" s="5">
        <v>2</v>
      </c>
      <c r="R21" s="5">
        <v>3</v>
      </c>
      <c r="S21" s="5">
        <v>1</v>
      </c>
      <c r="T21" s="5">
        <v>2</v>
      </c>
      <c r="U21" s="5">
        <v>2</v>
      </c>
      <c r="V21" s="5">
        <v>0</v>
      </c>
      <c r="W21" s="5">
        <v>0</v>
      </c>
      <c r="X21" s="5">
        <v>0</v>
      </c>
      <c r="Y21" s="5">
        <v>0</v>
      </c>
      <c r="Z21" s="5">
        <v>0</v>
      </c>
      <c r="AA21" s="2"/>
      <c r="AC21" s="2" t="s">
        <v>2511</v>
      </c>
      <c r="AD21" s="2"/>
      <c r="AE21" s="47">
        <v>1700</v>
      </c>
      <c r="AF21" s="47">
        <v>1953</v>
      </c>
      <c r="AG21" s="47">
        <v>2316</v>
      </c>
      <c r="AH21" s="47">
        <v>2049</v>
      </c>
      <c r="AI21" s="2"/>
      <c r="AK21" s="3" t="s">
        <v>2561</v>
      </c>
      <c r="AL21" s="5">
        <v>66</v>
      </c>
      <c r="AM21" s="5">
        <v>10.1</v>
      </c>
      <c r="AN21" s="22">
        <v>60</v>
      </c>
      <c r="AO21" s="5">
        <v>8.3000000000000007</v>
      </c>
      <c r="AT21" s="2" t="s">
        <v>2613</v>
      </c>
      <c r="AU21" s="35">
        <v>7</v>
      </c>
      <c r="AV21" s="5">
        <v>2.4</v>
      </c>
      <c r="BH21" s="2" t="s">
        <v>2658</v>
      </c>
      <c r="BI21" s="5">
        <v>0</v>
      </c>
      <c r="BJ21" s="5">
        <v>0</v>
      </c>
      <c r="BK21" s="5"/>
      <c r="BL21" s="2036"/>
      <c r="BM21" s="2036"/>
      <c r="BN21" s="2036"/>
      <c r="BO21" s="2036"/>
      <c r="BP21" s="2"/>
      <c r="BQ21" s="2"/>
      <c r="BS21" s="2" t="s">
        <v>2511</v>
      </c>
      <c r="BT21" s="5">
        <v>270</v>
      </c>
      <c r="BU21" s="5">
        <v>294</v>
      </c>
      <c r="BV21" s="5">
        <v>63</v>
      </c>
      <c r="BW21" s="5">
        <v>204</v>
      </c>
      <c r="BX21" s="5">
        <v>53</v>
      </c>
      <c r="BY21" s="2"/>
      <c r="CA21" s="1" t="s">
        <v>2768</v>
      </c>
      <c r="CB21" s="2"/>
      <c r="CC21" s="2"/>
      <c r="CD21" s="2"/>
      <c r="CE21" s="2"/>
      <c r="CF21" s="2"/>
      <c r="CG21" s="2"/>
      <c r="CH21" s="2"/>
      <c r="CI21" s="2"/>
      <c r="CJ21" s="2"/>
      <c r="CN21" s="2" t="s">
        <v>2730</v>
      </c>
      <c r="CO21" s="5">
        <v>0</v>
      </c>
      <c r="CP21" s="5">
        <v>0</v>
      </c>
      <c r="CQ21" s="5">
        <v>0</v>
      </c>
      <c r="CR21" s="22">
        <v>0</v>
      </c>
      <c r="CS21" s="22">
        <v>0</v>
      </c>
      <c r="CT21" s="22">
        <v>0</v>
      </c>
      <c r="CU21" s="22">
        <v>2</v>
      </c>
      <c r="CV21" s="22">
        <v>2</v>
      </c>
      <c r="CW21" s="22">
        <v>0</v>
      </c>
      <c r="CX21" s="22"/>
      <c r="CZ21" s="32" t="s">
        <v>1810</v>
      </c>
      <c r="DA21" s="15">
        <v>2024</v>
      </c>
      <c r="DB21" s="17">
        <v>2023</v>
      </c>
      <c r="DC21" s="17">
        <v>2022</v>
      </c>
      <c r="DD21" s="17">
        <v>2021</v>
      </c>
      <c r="DE21" s="17">
        <v>2020</v>
      </c>
      <c r="DF21" s="28">
        <v>2019</v>
      </c>
      <c r="DG21" s="22"/>
    </row>
    <row r="22" spans="1:112" ht="12.95" customHeight="1">
      <c r="A22" s="30" t="s">
        <v>2427</v>
      </c>
      <c r="B22" s="14"/>
      <c r="C22" s="14"/>
      <c r="D22" s="14"/>
      <c r="E22" s="14"/>
      <c r="F22" s="14"/>
      <c r="G22" s="14"/>
      <c r="H22" s="14"/>
      <c r="I22" s="14"/>
      <c r="J22" s="14"/>
      <c r="K22" s="25"/>
      <c r="L22" s="2" t="s">
        <v>2474</v>
      </c>
      <c r="M22" s="5">
        <v>92</v>
      </c>
      <c r="N22" s="5">
        <v>5</v>
      </c>
      <c r="O22" s="5">
        <v>17</v>
      </c>
      <c r="P22" s="5">
        <v>20</v>
      </c>
      <c r="Q22" s="5">
        <v>21</v>
      </c>
      <c r="R22" s="5">
        <v>12</v>
      </c>
      <c r="S22" s="5">
        <v>9</v>
      </c>
      <c r="T22" s="5">
        <v>6</v>
      </c>
      <c r="U22" s="5">
        <v>2</v>
      </c>
      <c r="V22" s="5">
        <v>0</v>
      </c>
      <c r="W22" s="5">
        <v>0</v>
      </c>
      <c r="X22" s="5">
        <v>0</v>
      </c>
      <c r="Y22" s="5">
        <v>0</v>
      </c>
      <c r="Z22" s="5">
        <v>0</v>
      </c>
      <c r="AA22" s="2"/>
      <c r="AC22" s="2" t="s">
        <v>2435</v>
      </c>
      <c r="AD22" s="2"/>
      <c r="AE22" s="5">
        <v>89</v>
      </c>
      <c r="AF22" s="5">
        <v>108</v>
      </c>
      <c r="AG22" s="5">
        <v>38</v>
      </c>
      <c r="AH22" s="5">
        <v>43</v>
      </c>
      <c r="AI22" s="47"/>
      <c r="AK22" s="3" t="s">
        <v>2562</v>
      </c>
      <c r="AL22" s="5">
        <v>55</v>
      </c>
      <c r="AM22" s="5">
        <v>8.4</v>
      </c>
      <c r="AN22" s="22">
        <v>57</v>
      </c>
      <c r="AO22" s="5">
        <v>7.9</v>
      </c>
      <c r="AT22" s="2" t="s">
        <v>2614</v>
      </c>
      <c r="AU22" s="35">
        <v>6</v>
      </c>
      <c r="AV22" s="5">
        <v>2.1</v>
      </c>
      <c r="AZ22" s="1" t="s">
        <v>2764</v>
      </c>
      <c r="BA22" s="2"/>
      <c r="BB22" s="2"/>
      <c r="BC22" s="2"/>
      <c r="BD22" s="2"/>
      <c r="BE22" s="2"/>
      <c r="BH22" s="2" t="s">
        <v>2659</v>
      </c>
      <c r="BI22" s="5">
        <v>1</v>
      </c>
      <c r="BJ22" s="5">
        <v>0.2</v>
      </c>
      <c r="BK22" s="5"/>
      <c r="BL22" s="2"/>
      <c r="BM22" s="2"/>
      <c r="BN22" s="2"/>
      <c r="BO22" s="2"/>
      <c r="BP22" s="2"/>
      <c r="BQ22" s="2"/>
      <c r="BS22" s="2" t="s">
        <v>2435</v>
      </c>
      <c r="BT22" s="5">
        <v>4</v>
      </c>
      <c r="BU22" s="5">
        <v>3</v>
      </c>
      <c r="BV22" s="5">
        <v>0</v>
      </c>
      <c r="BW22" s="5">
        <v>9</v>
      </c>
      <c r="BX22" s="5">
        <v>4</v>
      </c>
      <c r="BY22" s="5"/>
      <c r="CA22" s="108"/>
      <c r="CB22" s="2039" t="s">
        <v>502</v>
      </c>
      <c r="CC22" s="2046"/>
      <c r="CD22" s="2040"/>
      <c r="CE22" s="2042" t="s">
        <v>2138</v>
      </c>
      <c r="CF22" s="2043"/>
      <c r="CG22" s="2044"/>
      <c r="CH22" s="2042" t="s">
        <v>2165</v>
      </c>
      <c r="CI22" s="2043"/>
      <c r="CJ22" s="2043"/>
      <c r="CN22" s="2" t="s">
        <v>2731</v>
      </c>
      <c r="CO22" s="5">
        <v>0</v>
      </c>
      <c r="CP22" s="5">
        <v>0</v>
      </c>
      <c r="CQ22" s="5">
        <v>0</v>
      </c>
      <c r="CR22" s="22">
        <v>1</v>
      </c>
      <c r="CS22" s="22">
        <v>0</v>
      </c>
      <c r="CT22" s="22">
        <v>1</v>
      </c>
      <c r="CU22" s="22">
        <v>3</v>
      </c>
      <c r="CV22" s="22">
        <v>2</v>
      </c>
      <c r="CW22" s="22">
        <v>1</v>
      </c>
      <c r="CX22" s="22"/>
      <c r="CZ22" s="22" t="s">
        <v>2734</v>
      </c>
      <c r="DA22" s="22">
        <v>510</v>
      </c>
      <c r="DB22" s="22">
        <v>475</v>
      </c>
      <c r="DC22" s="22">
        <v>0</v>
      </c>
      <c r="DD22" s="22">
        <v>261</v>
      </c>
      <c r="DE22" s="22">
        <v>235</v>
      </c>
      <c r="DF22" s="22">
        <v>324</v>
      </c>
      <c r="DG22" s="22"/>
    </row>
    <row r="23" spans="1:112" ht="12.95" customHeight="1">
      <c r="A23" s="13" t="s">
        <v>2428</v>
      </c>
      <c r="B23" s="14"/>
      <c r="C23" s="14"/>
      <c r="D23" s="14"/>
      <c r="E23" s="14"/>
      <c r="F23" s="14"/>
      <c r="G23" s="14"/>
      <c r="H23" s="14"/>
      <c r="I23" s="14"/>
      <c r="J23" s="14"/>
      <c r="K23" s="25"/>
      <c r="L23" s="2" t="s">
        <v>2475</v>
      </c>
      <c r="M23" s="5">
        <v>14</v>
      </c>
      <c r="N23" s="5">
        <v>0</v>
      </c>
      <c r="O23" s="5">
        <v>0</v>
      </c>
      <c r="P23" s="5">
        <v>2</v>
      </c>
      <c r="Q23" s="5">
        <v>2</v>
      </c>
      <c r="R23" s="5">
        <v>4</v>
      </c>
      <c r="S23" s="5">
        <v>1</v>
      </c>
      <c r="T23" s="5">
        <v>2</v>
      </c>
      <c r="U23" s="5">
        <v>1</v>
      </c>
      <c r="V23" s="5">
        <v>2</v>
      </c>
      <c r="W23" s="5">
        <v>0</v>
      </c>
      <c r="X23" s="5">
        <v>0</v>
      </c>
      <c r="Y23" s="5">
        <v>0</v>
      </c>
      <c r="Z23" s="5">
        <v>0</v>
      </c>
      <c r="AA23" s="2"/>
      <c r="AC23" s="2" t="s">
        <v>2441</v>
      </c>
      <c r="AD23" s="2"/>
      <c r="AE23" s="5">
        <v>18</v>
      </c>
      <c r="AF23" s="5">
        <v>5</v>
      </c>
      <c r="AG23" s="5">
        <v>10</v>
      </c>
      <c r="AH23" s="5">
        <v>7</v>
      </c>
      <c r="AI23" s="5"/>
      <c r="AK23" s="3" t="s">
        <v>2563</v>
      </c>
      <c r="AL23" s="5">
        <v>100</v>
      </c>
      <c r="AM23" s="5">
        <v>15.3</v>
      </c>
      <c r="AN23" s="22">
        <v>91</v>
      </c>
      <c r="AO23" s="5">
        <v>12.7</v>
      </c>
      <c r="AT23" s="2" t="s">
        <v>2615</v>
      </c>
      <c r="AU23" s="35">
        <v>9</v>
      </c>
      <c r="AV23" s="5">
        <v>3.1</v>
      </c>
      <c r="AZ23" s="108"/>
      <c r="BA23" s="2056">
        <v>2017</v>
      </c>
      <c r="BB23" s="2225"/>
      <c r="BC23" s="2056">
        <v>2016</v>
      </c>
      <c r="BD23" s="2225"/>
      <c r="BE23" s="189">
        <v>2015</v>
      </c>
      <c r="BH23" s="2" t="s">
        <v>2660</v>
      </c>
      <c r="BI23" s="5">
        <v>0</v>
      </c>
      <c r="BJ23" s="5">
        <v>0</v>
      </c>
      <c r="BK23" s="5"/>
      <c r="BL23" s="3"/>
      <c r="BM23" s="3"/>
      <c r="BN23" s="3"/>
      <c r="BO23" s="3"/>
      <c r="BP23" s="2"/>
      <c r="BQ23" s="2"/>
      <c r="BS23" s="2" t="s">
        <v>2441</v>
      </c>
      <c r="BT23" s="5">
        <v>3</v>
      </c>
      <c r="BU23" s="5">
        <v>1</v>
      </c>
      <c r="BV23" s="5">
        <v>0</v>
      </c>
      <c r="BW23" s="5">
        <v>1</v>
      </c>
      <c r="BX23" s="5">
        <v>0</v>
      </c>
      <c r="BY23" s="5"/>
      <c r="CA23" s="23" t="s">
        <v>2691</v>
      </c>
      <c r="CB23" s="15" t="s">
        <v>129</v>
      </c>
      <c r="CC23" s="15" t="s">
        <v>1711</v>
      </c>
      <c r="CD23" s="15" t="s">
        <v>1712</v>
      </c>
      <c r="CE23" s="17" t="s">
        <v>129</v>
      </c>
      <c r="CF23" s="17" t="s">
        <v>1711</v>
      </c>
      <c r="CG23" s="17" t="s">
        <v>1712</v>
      </c>
      <c r="CH23" s="17" t="s">
        <v>129</v>
      </c>
      <c r="CI23" s="17" t="s">
        <v>1711</v>
      </c>
      <c r="CJ23" s="28" t="s">
        <v>1712</v>
      </c>
      <c r="CN23" s="10" t="s">
        <v>2732</v>
      </c>
      <c r="CO23" s="11">
        <v>0</v>
      </c>
      <c r="CP23" s="11">
        <v>0</v>
      </c>
      <c r="CQ23" s="11">
        <v>0</v>
      </c>
      <c r="CR23" s="29">
        <v>0</v>
      </c>
      <c r="CS23" s="29">
        <v>0</v>
      </c>
      <c r="CT23" s="29">
        <v>0</v>
      </c>
      <c r="CU23" s="29">
        <v>0</v>
      </c>
      <c r="CV23" s="29">
        <v>0</v>
      </c>
      <c r="CW23" s="29">
        <v>0</v>
      </c>
      <c r="CX23" s="22"/>
      <c r="CZ23" s="3" t="s">
        <v>2735</v>
      </c>
      <c r="DA23" s="22">
        <v>279</v>
      </c>
      <c r="DB23" s="22">
        <v>263</v>
      </c>
      <c r="DC23" s="22">
        <v>204</v>
      </c>
      <c r="DD23" s="22">
        <v>192</v>
      </c>
      <c r="DE23" s="22">
        <v>142</v>
      </c>
      <c r="DF23" s="22">
        <v>157</v>
      </c>
      <c r="DG23" s="22"/>
    </row>
    <row r="24" spans="1:112" ht="12.95" customHeight="1">
      <c r="A24" s="13" t="s">
        <v>2429</v>
      </c>
      <c r="B24" s="14"/>
      <c r="C24" s="14"/>
      <c r="D24" s="14"/>
      <c r="E24" s="14"/>
      <c r="F24" s="14"/>
      <c r="G24" s="14"/>
      <c r="H24" s="14"/>
      <c r="I24" s="14"/>
      <c r="J24" s="14"/>
      <c r="K24" s="25"/>
      <c r="L24" s="2" t="s">
        <v>2476</v>
      </c>
      <c r="M24" s="5">
        <v>1</v>
      </c>
      <c r="N24" s="5">
        <v>0</v>
      </c>
      <c r="O24" s="5">
        <v>0</v>
      </c>
      <c r="P24" s="5">
        <v>1</v>
      </c>
      <c r="Q24" s="5">
        <v>0</v>
      </c>
      <c r="R24" s="5">
        <v>0</v>
      </c>
      <c r="S24" s="5">
        <v>0</v>
      </c>
      <c r="T24" s="5">
        <v>0</v>
      </c>
      <c r="U24" s="5">
        <v>0</v>
      </c>
      <c r="V24" s="5">
        <v>0</v>
      </c>
      <c r="W24" s="5">
        <v>0</v>
      </c>
      <c r="X24" s="5">
        <v>0</v>
      </c>
      <c r="Y24" s="5">
        <v>0</v>
      </c>
      <c r="Z24" s="5">
        <v>0</v>
      </c>
      <c r="AA24" s="2"/>
      <c r="AC24" s="2" t="s">
        <v>2512</v>
      </c>
      <c r="AD24" s="2"/>
      <c r="AE24" s="5">
        <v>1</v>
      </c>
      <c r="AF24" s="5">
        <v>3</v>
      </c>
      <c r="AG24" s="5">
        <v>2</v>
      </c>
      <c r="AH24" s="5">
        <v>3</v>
      </c>
      <c r="AI24" s="5"/>
      <c r="AK24" s="3" t="s">
        <v>2564</v>
      </c>
      <c r="AL24" s="5">
        <v>97</v>
      </c>
      <c r="AM24" s="5">
        <v>14.8</v>
      </c>
      <c r="AN24" s="22">
        <v>118</v>
      </c>
      <c r="AO24" s="5">
        <v>16.399999999999999</v>
      </c>
      <c r="AT24" s="2" t="s">
        <v>2616</v>
      </c>
      <c r="AU24" s="35">
        <v>1</v>
      </c>
      <c r="AV24" s="5">
        <v>0.3</v>
      </c>
      <c r="AZ24" s="23" t="s">
        <v>2449</v>
      </c>
      <c r="BA24" s="17" t="s">
        <v>1665</v>
      </c>
      <c r="BB24" s="17" t="s">
        <v>1666</v>
      </c>
      <c r="BC24" s="17" t="s">
        <v>1665</v>
      </c>
      <c r="BD24" s="17" t="s">
        <v>1666</v>
      </c>
      <c r="BE24" s="17" t="s">
        <v>1665</v>
      </c>
      <c r="BH24" s="2" t="s">
        <v>2661</v>
      </c>
      <c r="BI24" s="5">
        <v>7</v>
      </c>
      <c r="BJ24" s="5">
        <v>1.3</v>
      </c>
      <c r="BK24" s="5"/>
      <c r="BL24" s="2"/>
      <c r="BM24" s="2"/>
      <c r="BN24" s="2"/>
      <c r="BO24" s="2"/>
      <c r="BP24" s="3"/>
      <c r="BQ24" s="3"/>
      <c r="BS24" s="2" t="s">
        <v>2512</v>
      </c>
      <c r="BT24" s="5">
        <v>0</v>
      </c>
      <c r="BU24" s="5">
        <v>0</v>
      </c>
      <c r="BV24" s="5">
        <v>0</v>
      </c>
      <c r="BW24" s="5">
        <v>0</v>
      </c>
      <c r="BX24" s="5">
        <v>0</v>
      </c>
      <c r="BY24" s="5"/>
      <c r="CA24" s="20" t="s">
        <v>2692</v>
      </c>
      <c r="CB24" s="22">
        <v>213</v>
      </c>
      <c r="CC24" s="22">
        <v>181</v>
      </c>
      <c r="CD24" s="22">
        <v>32</v>
      </c>
      <c r="CE24" s="22">
        <v>196</v>
      </c>
      <c r="CF24" s="22">
        <v>165</v>
      </c>
      <c r="CG24" s="22">
        <v>31</v>
      </c>
      <c r="CH24" s="22">
        <v>175</v>
      </c>
      <c r="CI24" s="22">
        <v>155</v>
      </c>
      <c r="CJ24" s="22">
        <v>20</v>
      </c>
      <c r="CN24" s="13" t="s">
        <v>2688</v>
      </c>
      <c r="CO24" s="14"/>
      <c r="CP24" s="14"/>
      <c r="CQ24" s="14"/>
      <c r="CR24" s="14"/>
      <c r="CS24" s="14"/>
      <c r="CT24" s="2"/>
      <c r="CU24" s="2"/>
      <c r="CV24" s="2"/>
      <c r="CW24" s="2"/>
      <c r="CX24" s="22"/>
      <c r="CZ24" s="3" t="s">
        <v>2736</v>
      </c>
      <c r="DA24" s="22">
        <v>0</v>
      </c>
      <c r="DB24" s="22">
        <v>0</v>
      </c>
      <c r="DC24" s="22">
        <v>0</v>
      </c>
      <c r="DD24" s="22">
        <v>0</v>
      </c>
      <c r="DE24" s="22">
        <v>0</v>
      </c>
      <c r="DF24" s="22">
        <v>0</v>
      </c>
      <c r="DG24" s="22"/>
    </row>
    <row r="25" spans="1:112" ht="12.95" customHeight="1">
      <c r="A25" s="25"/>
      <c r="B25" s="25"/>
      <c r="C25" s="25"/>
      <c r="D25" s="25"/>
      <c r="E25" s="25"/>
      <c r="F25" s="25"/>
      <c r="G25" s="25"/>
      <c r="H25" s="25"/>
      <c r="I25" s="25"/>
      <c r="J25" s="25"/>
      <c r="K25" s="25"/>
      <c r="L25" s="2" t="s">
        <v>2477</v>
      </c>
      <c r="M25" s="5">
        <v>24</v>
      </c>
      <c r="N25" s="5">
        <v>2</v>
      </c>
      <c r="O25" s="5">
        <v>0</v>
      </c>
      <c r="P25" s="5">
        <v>3</v>
      </c>
      <c r="Q25" s="5">
        <v>2</v>
      </c>
      <c r="R25" s="5">
        <v>5</v>
      </c>
      <c r="S25" s="5">
        <v>1</v>
      </c>
      <c r="T25" s="5">
        <v>3</v>
      </c>
      <c r="U25" s="5">
        <v>2</v>
      </c>
      <c r="V25" s="5">
        <v>2</v>
      </c>
      <c r="W25" s="5">
        <v>2</v>
      </c>
      <c r="X25" s="5">
        <v>0</v>
      </c>
      <c r="Y25" s="5">
        <v>2</v>
      </c>
      <c r="Z25" s="5">
        <v>0</v>
      </c>
      <c r="AA25" s="2"/>
      <c r="AC25" s="2" t="s">
        <v>2513</v>
      </c>
      <c r="AD25" s="2"/>
      <c r="AE25" s="5">
        <v>243</v>
      </c>
      <c r="AF25" s="5">
        <v>253</v>
      </c>
      <c r="AG25" s="5">
        <v>256</v>
      </c>
      <c r="AH25" s="5">
        <v>286</v>
      </c>
      <c r="AI25" s="5"/>
      <c r="AK25" s="3" t="s">
        <v>2565</v>
      </c>
      <c r="AL25" s="5">
        <v>98</v>
      </c>
      <c r="AM25" s="88">
        <v>15</v>
      </c>
      <c r="AN25" s="22">
        <v>122</v>
      </c>
      <c r="AO25" s="88">
        <v>17</v>
      </c>
      <c r="AT25" s="2" t="s">
        <v>2433</v>
      </c>
      <c r="AU25" s="35">
        <v>1</v>
      </c>
      <c r="AV25" s="5">
        <v>0.3</v>
      </c>
      <c r="AZ25" s="3" t="s">
        <v>129</v>
      </c>
      <c r="BA25" s="22">
        <v>622</v>
      </c>
      <c r="BB25" s="22">
        <v>100</v>
      </c>
      <c r="BC25" s="22">
        <v>535</v>
      </c>
      <c r="BD25" s="22">
        <v>100</v>
      </c>
      <c r="BE25" s="22">
        <v>296</v>
      </c>
      <c r="BH25" s="2" t="s">
        <v>2597</v>
      </c>
      <c r="BI25" s="5">
        <v>0</v>
      </c>
      <c r="BJ25" s="5">
        <v>0</v>
      </c>
      <c r="BK25" s="5"/>
      <c r="BL25" s="2"/>
      <c r="BM25" s="2"/>
      <c r="BN25" s="2"/>
      <c r="BO25" s="2"/>
      <c r="BP25" s="2"/>
      <c r="BQ25" s="2"/>
      <c r="BS25" s="2" t="s">
        <v>2667</v>
      </c>
      <c r="BT25" s="5">
        <v>81</v>
      </c>
      <c r="BU25" s="5">
        <v>113</v>
      </c>
      <c r="BV25" s="5">
        <v>13</v>
      </c>
      <c r="BW25" s="5">
        <v>42</v>
      </c>
      <c r="BX25" s="5">
        <v>24</v>
      </c>
      <c r="BY25" s="5"/>
      <c r="CA25" s="2" t="s">
        <v>2693</v>
      </c>
      <c r="CB25" s="5">
        <v>115</v>
      </c>
      <c r="CC25" s="5">
        <v>103</v>
      </c>
      <c r="CD25" s="5">
        <v>12</v>
      </c>
      <c r="CE25" s="22">
        <v>81</v>
      </c>
      <c r="CF25" s="22">
        <v>73</v>
      </c>
      <c r="CG25" s="22">
        <v>8</v>
      </c>
      <c r="CH25" s="22">
        <v>76</v>
      </c>
      <c r="CI25" s="22">
        <v>67</v>
      </c>
      <c r="CJ25" s="22">
        <v>9</v>
      </c>
      <c r="CX25" s="2"/>
      <c r="CZ25" s="3" t="s">
        <v>2737</v>
      </c>
      <c r="DA25" s="22">
        <v>178</v>
      </c>
      <c r="DB25" s="22">
        <v>170</v>
      </c>
      <c r="DC25" s="22">
        <v>77</v>
      </c>
      <c r="DD25" s="22">
        <v>61</v>
      </c>
      <c r="DE25" s="22">
        <v>84</v>
      </c>
      <c r="DF25" s="22">
        <v>114</v>
      </c>
      <c r="DG25" s="22"/>
    </row>
    <row r="26" spans="1:112" ht="12.95" customHeight="1">
      <c r="L26" s="2" t="s">
        <v>2478</v>
      </c>
      <c r="M26" s="5">
        <v>261</v>
      </c>
      <c r="N26" s="5">
        <v>11</v>
      </c>
      <c r="O26" s="5">
        <v>11</v>
      </c>
      <c r="P26" s="5">
        <v>25</v>
      </c>
      <c r="Q26" s="5">
        <v>41</v>
      </c>
      <c r="R26" s="5">
        <v>43</v>
      </c>
      <c r="S26" s="5">
        <v>37</v>
      </c>
      <c r="T26" s="5">
        <v>46</v>
      </c>
      <c r="U26" s="5">
        <v>22</v>
      </c>
      <c r="V26" s="5">
        <v>13</v>
      </c>
      <c r="W26" s="5">
        <v>8</v>
      </c>
      <c r="X26" s="5">
        <v>2</v>
      </c>
      <c r="Y26" s="5">
        <v>2</v>
      </c>
      <c r="Z26" s="5">
        <v>0</v>
      </c>
      <c r="AA26" s="2"/>
      <c r="AC26" s="2" t="s">
        <v>2514</v>
      </c>
      <c r="AD26" s="2"/>
      <c r="AE26" s="5">
        <v>0</v>
      </c>
      <c r="AF26" s="5">
        <v>4</v>
      </c>
      <c r="AG26" s="5">
        <v>2</v>
      </c>
      <c r="AH26" s="5">
        <v>4</v>
      </c>
      <c r="AI26" s="5"/>
      <c r="AK26" s="3" t="s">
        <v>2566</v>
      </c>
      <c r="AL26" s="5">
        <v>90</v>
      </c>
      <c r="AM26" s="5">
        <v>13.7</v>
      </c>
      <c r="AN26" s="22">
        <v>87</v>
      </c>
      <c r="AO26" s="5">
        <v>12.1</v>
      </c>
      <c r="AT26" s="2" t="s">
        <v>2617</v>
      </c>
      <c r="AU26" s="35">
        <v>1</v>
      </c>
      <c r="AV26" s="5">
        <v>0.3</v>
      </c>
      <c r="AZ26" s="2" t="s">
        <v>2639</v>
      </c>
      <c r="BA26" s="5">
        <v>0</v>
      </c>
      <c r="BB26" s="5">
        <v>0</v>
      </c>
      <c r="BC26" s="5">
        <v>1</v>
      </c>
      <c r="BD26" s="5">
        <v>0.2</v>
      </c>
      <c r="BE26" s="5">
        <v>17</v>
      </c>
      <c r="BH26" s="10" t="s">
        <v>2574</v>
      </c>
      <c r="BI26" s="11">
        <v>5</v>
      </c>
      <c r="BJ26" s="11">
        <v>0.9</v>
      </c>
      <c r="BK26" s="11"/>
      <c r="BL26" s="10"/>
      <c r="BM26" s="10"/>
      <c r="BN26" s="10"/>
      <c r="BO26" s="10"/>
      <c r="BP26" s="10"/>
      <c r="BQ26" s="2"/>
      <c r="BS26" s="2" t="s">
        <v>2514</v>
      </c>
      <c r="BT26" s="5">
        <v>0</v>
      </c>
      <c r="BU26" s="5">
        <v>0</v>
      </c>
      <c r="BV26" s="5">
        <v>1</v>
      </c>
      <c r="BW26" s="5">
        <v>0</v>
      </c>
      <c r="BX26" s="5">
        <v>0</v>
      </c>
      <c r="BY26" s="5"/>
      <c r="CA26" s="2" t="s">
        <v>2603</v>
      </c>
      <c r="CB26" s="5">
        <v>37</v>
      </c>
      <c r="CC26" s="5">
        <v>26</v>
      </c>
      <c r="CD26" s="5">
        <v>11</v>
      </c>
      <c r="CE26" s="22">
        <v>51</v>
      </c>
      <c r="CF26" s="22">
        <v>35</v>
      </c>
      <c r="CG26" s="22">
        <v>16</v>
      </c>
      <c r="CH26" s="22">
        <v>60</v>
      </c>
      <c r="CI26" s="22">
        <v>51</v>
      </c>
      <c r="CJ26" s="22">
        <v>9</v>
      </c>
      <c r="CZ26" s="3" t="s">
        <v>2738</v>
      </c>
      <c r="DA26" s="22">
        <v>0</v>
      </c>
      <c r="DB26" s="22">
        <v>0</v>
      </c>
      <c r="DC26" s="22">
        <v>0</v>
      </c>
      <c r="DD26" s="22">
        <v>0</v>
      </c>
      <c r="DE26" s="22">
        <v>0</v>
      </c>
      <c r="DF26" s="22">
        <v>0</v>
      </c>
      <c r="DG26" s="22"/>
    </row>
    <row r="27" spans="1:112" ht="12.95" customHeight="1">
      <c r="L27" s="2" t="s">
        <v>2479</v>
      </c>
      <c r="M27" s="5">
        <v>0</v>
      </c>
      <c r="N27" s="5">
        <v>0</v>
      </c>
      <c r="O27" s="5">
        <v>0</v>
      </c>
      <c r="P27" s="5">
        <v>0</v>
      </c>
      <c r="Q27" s="5">
        <v>0</v>
      </c>
      <c r="R27" s="5">
        <v>0</v>
      </c>
      <c r="S27" s="5">
        <v>0</v>
      </c>
      <c r="T27" s="5">
        <v>0</v>
      </c>
      <c r="U27" s="5">
        <v>0</v>
      </c>
      <c r="V27" s="5">
        <v>0</v>
      </c>
      <c r="W27" s="5">
        <v>0</v>
      </c>
      <c r="X27" s="5">
        <v>0</v>
      </c>
      <c r="Y27" s="5">
        <v>0</v>
      </c>
      <c r="Z27" s="5">
        <v>0</v>
      </c>
      <c r="AA27" s="2"/>
      <c r="AC27" s="2" t="s">
        <v>2515</v>
      </c>
      <c r="AD27" s="2"/>
      <c r="AE27" s="5">
        <v>3</v>
      </c>
      <c r="AF27" s="5">
        <v>6</v>
      </c>
      <c r="AG27" s="5">
        <v>2</v>
      </c>
      <c r="AH27" s="5">
        <v>3</v>
      </c>
      <c r="AI27" s="5"/>
      <c r="AK27" s="3" t="s">
        <v>2567</v>
      </c>
      <c r="AL27" s="5">
        <v>41</v>
      </c>
      <c r="AM27" s="5">
        <v>6.3</v>
      </c>
      <c r="AN27" s="22">
        <v>78</v>
      </c>
      <c r="AO27" s="5">
        <v>10.8</v>
      </c>
      <c r="AT27" s="2" t="s">
        <v>2618</v>
      </c>
      <c r="AU27" s="35">
        <v>5</v>
      </c>
      <c r="AV27" s="5">
        <v>1.7</v>
      </c>
      <c r="AZ27" s="2" t="s">
        <v>2640</v>
      </c>
      <c r="BA27" s="5">
        <v>38</v>
      </c>
      <c r="BB27" s="5">
        <v>6.1</v>
      </c>
      <c r="BC27" s="5">
        <v>23</v>
      </c>
      <c r="BD27" s="5">
        <v>4.2</v>
      </c>
      <c r="BE27" s="5">
        <v>14</v>
      </c>
      <c r="BH27" s="13" t="s">
        <v>2437</v>
      </c>
      <c r="BI27" s="14"/>
      <c r="BJ27" s="14"/>
      <c r="BK27" s="14"/>
      <c r="BL27" s="14"/>
      <c r="BQ27" s="2"/>
      <c r="BS27" s="2" t="s">
        <v>2515</v>
      </c>
      <c r="BT27" s="5">
        <v>0</v>
      </c>
      <c r="BU27" s="5">
        <v>0</v>
      </c>
      <c r="BV27" s="5">
        <v>0</v>
      </c>
      <c r="BW27" s="5">
        <v>0</v>
      </c>
      <c r="BX27" s="5">
        <v>0</v>
      </c>
      <c r="BY27" s="5"/>
      <c r="CA27" s="2" t="s">
        <v>2694</v>
      </c>
      <c r="CB27" s="5">
        <v>17</v>
      </c>
      <c r="CC27" s="5">
        <v>17</v>
      </c>
      <c r="CD27" s="5">
        <v>0</v>
      </c>
      <c r="CE27" s="22">
        <v>8</v>
      </c>
      <c r="CF27" s="22">
        <v>8</v>
      </c>
      <c r="CG27" s="22">
        <v>0</v>
      </c>
      <c r="CH27" s="22">
        <v>10</v>
      </c>
      <c r="CI27" s="22">
        <v>9</v>
      </c>
      <c r="CJ27" s="22">
        <v>1</v>
      </c>
      <c r="CZ27" s="23" t="s">
        <v>2739</v>
      </c>
      <c r="DA27" s="29">
        <v>53</v>
      </c>
      <c r="DB27" s="29">
        <v>42</v>
      </c>
      <c r="DC27" s="29">
        <v>43</v>
      </c>
      <c r="DD27" s="29">
        <v>8</v>
      </c>
      <c r="DE27" s="29">
        <v>9</v>
      </c>
      <c r="DF27" s="29">
        <v>21</v>
      </c>
      <c r="DG27" s="14"/>
      <c r="DH27" s="25"/>
    </row>
    <row r="28" spans="1:112" ht="12.95" customHeight="1">
      <c r="L28" s="2" t="s">
        <v>2480</v>
      </c>
      <c r="M28" s="5">
        <v>20</v>
      </c>
      <c r="N28" s="5">
        <v>2</v>
      </c>
      <c r="O28" s="5">
        <v>0</v>
      </c>
      <c r="P28" s="5">
        <v>2</v>
      </c>
      <c r="Q28" s="5">
        <v>2</v>
      </c>
      <c r="R28" s="5">
        <v>5</v>
      </c>
      <c r="S28" s="5">
        <v>3</v>
      </c>
      <c r="T28" s="5">
        <v>3</v>
      </c>
      <c r="U28" s="5">
        <v>1</v>
      </c>
      <c r="V28" s="5">
        <v>1</v>
      </c>
      <c r="W28" s="5">
        <v>0</v>
      </c>
      <c r="X28" s="5">
        <v>0</v>
      </c>
      <c r="Y28" s="5">
        <v>0</v>
      </c>
      <c r="Z28" s="5">
        <v>1</v>
      </c>
      <c r="AA28" s="2"/>
      <c r="AC28" s="2" t="s">
        <v>2516</v>
      </c>
      <c r="AD28" s="2"/>
      <c r="AE28" s="5">
        <v>62</v>
      </c>
      <c r="AF28" s="5">
        <v>85</v>
      </c>
      <c r="AG28" s="5">
        <v>80</v>
      </c>
      <c r="AH28" s="5">
        <v>70</v>
      </c>
      <c r="AI28" s="5"/>
      <c r="AK28" s="3" t="s">
        <v>2568</v>
      </c>
      <c r="AL28" s="5">
        <v>44</v>
      </c>
      <c r="AM28" s="5">
        <v>6.7</v>
      </c>
      <c r="AN28" s="22">
        <v>43</v>
      </c>
      <c r="AO28" s="88">
        <v>6</v>
      </c>
      <c r="AT28" s="2" t="s">
        <v>2619</v>
      </c>
      <c r="AU28" s="35">
        <v>2</v>
      </c>
      <c r="AV28" s="5">
        <v>0.7</v>
      </c>
      <c r="AZ28" s="2" t="s">
        <v>2576</v>
      </c>
      <c r="BA28" s="5">
        <v>101</v>
      </c>
      <c r="BB28" s="5">
        <v>16.2</v>
      </c>
      <c r="BC28" s="5">
        <v>80</v>
      </c>
      <c r="BD28" s="5">
        <v>14.9</v>
      </c>
      <c r="BE28" s="5">
        <v>26</v>
      </c>
      <c r="BM28" s="2"/>
      <c r="BN28" s="2"/>
      <c r="BO28" s="2"/>
      <c r="BP28" s="2"/>
      <c r="BQ28" s="2"/>
      <c r="BS28" s="2" t="s">
        <v>2516</v>
      </c>
      <c r="BT28" s="5">
        <v>23</v>
      </c>
      <c r="BU28" s="5">
        <v>0</v>
      </c>
      <c r="BV28" s="5">
        <v>7</v>
      </c>
      <c r="BW28" s="5">
        <v>12</v>
      </c>
      <c r="BX28" s="5">
        <v>0</v>
      </c>
      <c r="BY28" s="5"/>
      <c r="CA28" s="2" t="s">
        <v>2695</v>
      </c>
      <c r="CB28" s="5">
        <v>1</v>
      </c>
      <c r="CC28" s="5">
        <v>1</v>
      </c>
      <c r="CD28" s="5">
        <v>0</v>
      </c>
      <c r="CE28" s="22">
        <v>2</v>
      </c>
      <c r="CF28" s="22">
        <v>1</v>
      </c>
      <c r="CG28" s="22">
        <v>1</v>
      </c>
      <c r="CH28" s="22">
        <v>1</v>
      </c>
      <c r="CI28" s="22">
        <v>1</v>
      </c>
      <c r="CJ28" s="22">
        <v>0</v>
      </c>
      <c r="CZ28" s="13" t="s">
        <v>2740</v>
      </c>
      <c r="DA28" s="14"/>
      <c r="DB28" s="2041"/>
      <c r="DC28" s="2041"/>
      <c r="DD28" s="14"/>
      <c r="DE28" s="14"/>
      <c r="DF28" s="14"/>
      <c r="DG28" s="14"/>
      <c r="DH28" s="25"/>
    </row>
    <row r="29" spans="1:112" ht="12.95" customHeight="1">
      <c r="A29" s="1" t="s">
        <v>2442</v>
      </c>
      <c r="B29" s="2"/>
      <c r="C29" s="2"/>
      <c r="D29" s="2"/>
      <c r="E29" s="2"/>
      <c r="F29" s="2"/>
      <c r="G29" s="2"/>
      <c r="H29" s="2"/>
      <c r="I29" s="3"/>
      <c r="J29" s="3"/>
      <c r="L29" s="2" t="s">
        <v>2481</v>
      </c>
      <c r="M29" s="5">
        <v>258</v>
      </c>
      <c r="N29" s="5">
        <v>0</v>
      </c>
      <c r="O29" s="5">
        <v>10</v>
      </c>
      <c r="P29" s="5">
        <v>41</v>
      </c>
      <c r="Q29" s="5">
        <v>59</v>
      </c>
      <c r="R29" s="5">
        <v>40</v>
      </c>
      <c r="S29" s="5">
        <v>35</v>
      </c>
      <c r="T29" s="5">
        <v>25</v>
      </c>
      <c r="U29" s="5">
        <v>16</v>
      </c>
      <c r="V29" s="5">
        <v>12</v>
      </c>
      <c r="W29" s="5">
        <v>11</v>
      </c>
      <c r="X29" s="5">
        <v>4</v>
      </c>
      <c r="Y29" s="5">
        <v>5</v>
      </c>
      <c r="Z29" s="5">
        <v>0</v>
      </c>
      <c r="AA29" s="2"/>
      <c r="AC29" s="2" t="s">
        <v>2517</v>
      </c>
      <c r="AD29" s="2"/>
      <c r="AE29" s="5">
        <v>40</v>
      </c>
      <c r="AF29" s="5">
        <v>73</v>
      </c>
      <c r="AG29" s="5">
        <v>92</v>
      </c>
      <c r="AH29" s="5">
        <v>53</v>
      </c>
      <c r="AI29" s="5"/>
      <c r="AK29" s="3" t="s">
        <v>2569</v>
      </c>
      <c r="AL29" s="5">
        <v>14</v>
      </c>
      <c r="AM29" s="5">
        <v>2.1</v>
      </c>
      <c r="AN29" s="22">
        <v>23</v>
      </c>
      <c r="AO29" s="5">
        <v>3.2</v>
      </c>
      <c r="AT29" s="2" t="s">
        <v>2620</v>
      </c>
      <c r="AU29" s="35">
        <v>1</v>
      </c>
      <c r="AV29" s="5">
        <v>0.3</v>
      </c>
      <c r="AZ29" s="2" t="s">
        <v>2577</v>
      </c>
      <c r="BA29" s="5">
        <v>109</v>
      </c>
      <c r="BB29" s="5">
        <v>17.5</v>
      </c>
      <c r="BC29" s="5">
        <v>103</v>
      </c>
      <c r="BD29" s="5">
        <v>19.2</v>
      </c>
      <c r="BE29" s="5">
        <v>54</v>
      </c>
      <c r="BH29" s="2"/>
      <c r="BI29" s="2"/>
      <c r="BJ29" s="2"/>
      <c r="BK29" s="2"/>
      <c r="BL29" s="2"/>
      <c r="BM29" s="2"/>
      <c r="BN29" s="2"/>
      <c r="BO29" s="2"/>
      <c r="BP29" s="2"/>
      <c r="BQ29" s="2"/>
      <c r="BS29" s="2" t="s">
        <v>2668</v>
      </c>
      <c r="BT29" s="5">
        <v>4</v>
      </c>
      <c r="BU29" s="5">
        <v>2</v>
      </c>
      <c r="BV29" s="5">
        <v>0</v>
      </c>
      <c r="BW29" s="5">
        <v>3</v>
      </c>
      <c r="BX29" s="5">
        <v>2</v>
      </c>
      <c r="BY29" s="5"/>
      <c r="CA29" s="2" t="s">
        <v>2696</v>
      </c>
      <c r="CB29" s="5">
        <v>13</v>
      </c>
      <c r="CC29" s="5">
        <v>13</v>
      </c>
      <c r="CD29" s="5">
        <v>0</v>
      </c>
      <c r="CE29" s="22">
        <v>19</v>
      </c>
      <c r="CF29" s="22">
        <v>18</v>
      </c>
      <c r="CG29" s="22">
        <v>1</v>
      </c>
      <c r="CH29" s="22">
        <v>7</v>
      </c>
      <c r="CI29" s="22">
        <v>6</v>
      </c>
      <c r="CJ29" s="22">
        <v>1</v>
      </c>
      <c r="CZ29" s="13" t="s">
        <v>2741</v>
      </c>
      <c r="DA29" s="14"/>
      <c r="DB29" s="14"/>
      <c r="DC29" s="14"/>
      <c r="DD29" s="14"/>
      <c r="DE29" s="14"/>
      <c r="DF29" s="14"/>
      <c r="DG29" s="14"/>
      <c r="DH29" s="25"/>
    </row>
    <row r="30" spans="1:112" ht="12.95" customHeight="1">
      <c r="A30" s="32" t="s">
        <v>2430</v>
      </c>
      <c r="B30" s="17">
        <v>2023</v>
      </c>
      <c r="C30" s="17">
        <v>2022</v>
      </c>
      <c r="D30" s="17">
        <v>2021</v>
      </c>
      <c r="E30" s="17">
        <v>2020</v>
      </c>
      <c r="F30" s="17" t="s">
        <v>2431</v>
      </c>
      <c r="G30" s="17" t="s">
        <v>2432</v>
      </c>
      <c r="H30" s="28">
        <v>2017</v>
      </c>
      <c r="L30" s="2" t="s">
        <v>2482</v>
      </c>
      <c r="M30" s="5">
        <v>78</v>
      </c>
      <c r="N30" s="5">
        <v>0</v>
      </c>
      <c r="O30" s="5">
        <v>41</v>
      </c>
      <c r="P30" s="5">
        <v>24</v>
      </c>
      <c r="Q30" s="5">
        <v>4</v>
      </c>
      <c r="R30" s="5">
        <v>5</v>
      </c>
      <c r="S30" s="5">
        <v>2</v>
      </c>
      <c r="T30" s="5">
        <v>0</v>
      </c>
      <c r="U30" s="5">
        <v>0</v>
      </c>
      <c r="V30" s="5">
        <v>2</v>
      </c>
      <c r="W30" s="5">
        <v>0</v>
      </c>
      <c r="X30" s="5">
        <v>0</v>
      </c>
      <c r="Y30" s="5">
        <v>0</v>
      </c>
      <c r="Z30" s="5">
        <v>0</v>
      </c>
      <c r="AA30" s="2"/>
      <c r="AC30" s="2" t="s">
        <v>2518</v>
      </c>
      <c r="AD30" s="2"/>
      <c r="AE30" s="5">
        <v>0</v>
      </c>
      <c r="AF30" s="5">
        <v>2</v>
      </c>
      <c r="AG30" s="5">
        <v>0</v>
      </c>
      <c r="AH30" s="5">
        <v>1</v>
      </c>
      <c r="AI30" s="5"/>
      <c r="AK30" s="3" t="s">
        <v>2570</v>
      </c>
      <c r="AL30" s="88">
        <v>3</v>
      </c>
      <c r="AM30" s="5">
        <v>0.5</v>
      </c>
      <c r="AN30" s="22">
        <v>7</v>
      </c>
      <c r="AO30" s="88">
        <v>1</v>
      </c>
      <c r="AT30" s="2" t="s">
        <v>2621</v>
      </c>
      <c r="AU30" s="35">
        <v>1</v>
      </c>
      <c r="AV30" s="5">
        <v>0.3</v>
      </c>
      <c r="AZ30" s="2" t="s">
        <v>2578</v>
      </c>
      <c r="BA30" s="5">
        <v>109</v>
      </c>
      <c r="BB30" s="5">
        <v>17.5</v>
      </c>
      <c r="BC30" s="5">
        <v>106</v>
      </c>
      <c r="BD30" s="5">
        <v>19.8</v>
      </c>
      <c r="BE30" s="5">
        <v>55</v>
      </c>
      <c r="BH30" s="2"/>
      <c r="BI30" s="2"/>
      <c r="BJ30" s="2"/>
      <c r="BK30" s="2"/>
      <c r="BL30" s="2"/>
      <c r="BM30" s="2"/>
      <c r="BN30" s="2"/>
      <c r="BO30" s="2"/>
      <c r="BP30" s="2"/>
      <c r="BQ30" s="2"/>
      <c r="BS30" s="2" t="s">
        <v>2518</v>
      </c>
      <c r="BT30" s="5">
        <v>0</v>
      </c>
      <c r="BU30" s="5">
        <v>0</v>
      </c>
      <c r="BV30" s="5">
        <v>0</v>
      </c>
      <c r="BW30" s="5">
        <v>0</v>
      </c>
      <c r="BX30" s="5">
        <v>0</v>
      </c>
      <c r="BY30" s="5"/>
      <c r="CA30" s="2" t="s">
        <v>2697</v>
      </c>
      <c r="CB30" s="5">
        <v>5</v>
      </c>
      <c r="CC30" s="5">
        <v>3</v>
      </c>
      <c r="CD30" s="5">
        <v>2</v>
      </c>
      <c r="CE30" s="22">
        <v>8</v>
      </c>
      <c r="CF30" s="22">
        <v>8</v>
      </c>
      <c r="CG30" s="22">
        <v>0</v>
      </c>
      <c r="CH30" s="22">
        <v>6</v>
      </c>
      <c r="CI30" s="22">
        <v>6</v>
      </c>
      <c r="CJ30" s="22">
        <v>0</v>
      </c>
      <c r="CZ30" s="14" t="s">
        <v>2742</v>
      </c>
      <c r="DA30" s="14"/>
      <c r="DB30" s="14"/>
      <c r="DC30" s="14"/>
      <c r="DD30" s="14"/>
      <c r="DE30" s="14"/>
      <c r="DF30" s="14"/>
      <c r="DG30" s="14"/>
      <c r="DH30" s="25"/>
    </row>
    <row r="31" spans="1:112" ht="12.95" customHeight="1">
      <c r="A31" s="2" t="s">
        <v>129</v>
      </c>
      <c r="B31" s="5">
        <v>738</v>
      </c>
      <c r="C31" s="5">
        <v>802</v>
      </c>
      <c r="D31" s="5">
        <v>665</v>
      </c>
      <c r="E31" s="5">
        <v>703</v>
      </c>
      <c r="F31" s="5">
        <v>823</v>
      </c>
      <c r="G31" s="5">
        <v>712</v>
      </c>
      <c r="H31" s="5">
        <v>369</v>
      </c>
      <c r="L31" s="2" t="s">
        <v>2483</v>
      </c>
      <c r="M31" s="5">
        <v>118</v>
      </c>
      <c r="N31" s="5">
        <v>1</v>
      </c>
      <c r="O31" s="5">
        <v>3</v>
      </c>
      <c r="P31" s="5">
        <v>33</v>
      </c>
      <c r="Q31" s="5">
        <v>32</v>
      </c>
      <c r="R31" s="5">
        <v>14</v>
      </c>
      <c r="S31" s="5">
        <v>12</v>
      </c>
      <c r="T31" s="5">
        <v>10</v>
      </c>
      <c r="U31" s="5">
        <v>4</v>
      </c>
      <c r="V31" s="5">
        <v>6</v>
      </c>
      <c r="W31" s="5">
        <v>1</v>
      </c>
      <c r="X31" s="5">
        <v>1</v>
      </c>
      <c r="Y31" s="5">
        <v>0</v>
      </c>
      <c r="Z31" s="5">
        <v>1</v>
      </c>
      <c r="AA31" s="2"/>
      <c r="AC31" s="2" t="s">
        <v>2519</v>
      </c>
      <c r="AD31" s="2"/>
      <c r="AE31" s="5">
        <v>123</v>
      </c>
      <c r="AF31" s="5">
        <v>115</v>
      </c>
      <c r="AG31" s="5">
        <v>121</v>
      </c>
      <c r="AH31" s="5">
        <v>57</v>
      </c>
      <c r="AI31" s="5"/>
      <c r="AK31" s="3" t="s">
        <v>2571</v>
      </c>
      <c r="AL31" s="88">
        <v>3</v>
      </c>
      <c r="AM31" s="5">
        <v>0.5</v>
      </c>
      <c r="AN31" s="22">
        <v>3</v>
      </c>
      <c r="AO31" s="5">
        <v>0.4</v>
      </c>
      <c r="AT31" s="2" t="s">
        <v>2622</v>
      </c>
      <c r="AU31" s="35">
        <v>1</v>
      </c>
      <c r="AV31" s="5">
        <v>0.3</v>
      </c>
      <c r="AZ31" s="2" t="s">
        <v>2579</v>
      </c>
      <c r="BA31" s="5">
        <v>99</v>
      </c>
      <c r="BB31" s="5">
        <v>15.9</v>
      </c>
      <c r="BC31" s="5">
        <v>72</v>
      </c>
      <c r="BD31" s="5">
        <v>13.4</v>
      </c>
      <c r="BE31" s="5">
        <v>39</v>
      </c>
      <c r="BH31" s="1" t="s">
        <v>2663</v>
      </c>
      <c r="BI31" s="2"/>
      <c r="BJ31" s="2"/>
      <c r="BK31" s="2"/>
      <c r="BL31" s="2"/>
      <c r="BM31" s="2"/>
      <c r="BN31" s="2"/>
      <c r="BO31" s="2"/>
      <c r="BP31" s="2"/>
      <c r="BQ31" s="2"/>
      <c r="BS31" s="2" t="s">
        <v>2519</v>
      </c>
      <c r="BT31" s="5">
        <v>4</v>
      </c>
      <c r="BU31" s="5">
        <v>8</v>
      </c>
      <c r="BV31" s="5">
        <v>2</v>
      </c>
      <c r="BW31" s="5">
        <v>23</v>
      </c>
      <c r="BX31" s="5">
        <v>0</v>
      </c>
      <c r="BY31" s="5"/>
      <c r="CA31" s="2" t="s">
        <v>2698</v>
      </c>
      <c r="CB31" s="5">
        <v>12</v>
      </c>
      <c r="CC31" s="5">
        <v>9</v>
      </c>
      <c r="CD31" s="5">
        <v>3</v>
      </c>
      <c r="CE31" s="22">
        <v>17</v>
      </c>
      <c r="CF31" s="22">
        <v>15</v>
      </c>
      <c r="CG31" s="22">
        <v>2</v>
      </c>
      <c r="CH31" s="22">
        <v>9</v>
      </c>
      <c r="CI31" s="22">
        <v>9</v>
      </c>
      <c r="CJ31" s="22">
        <v>0</v>
      </c>
      <c r="CZ31" s="13" t="s">
        <v>2743</v>
      </c>
      <c r="DA31" s="14"/>
      <c r="DB31" s="14"/>
      <c r="DC31" s="14"/>
      <c r="DD31" s="14"/>
      <c r="DE31" s="14"/>
      <c r="DF31" s="14"/>
      <c r="DG31" s="14"/>
      <c r="DH31" s="25"/>
    </row>
    <row r="32" spans="1:112" ht="12.95" customHeight="1">
      <c r="A32" s="3" t="s">
        <v>2433</v>
      </c>
      <c r="B32" s="5">
        <v>7</v>
      </c>
      <c r="C32" s="5">
        <v>13</v>
      </c>
      <c r="D32" s="5">
        <v>9</v>
      </c>
      <c r="E32" s="5">
        <v>7</v>
      </c>
      <c r="F32" s="5">
        <v>7</v>
      </c>
      <c r="G32" s="5">
        <v>5</v>
      </c>
      <c r="H32" s="5">
        <v>4</v>
      </c>
      <c r="L32" s="2" t="s">
        <v>2484</v>
      </c>
      <c r="M32" s="5">
        <v>86</v>
      </c>
      <c r="N32" s="5">
        <v>7</v>
      </c>
      <c r="O32" s="5">
        <v>15</v>
      </c>
      <c r="P32" s="5">
        <v>16</v>
      </c>
      <c r="Q32" s="5">
        <v>15</v>
      </c>
      <c r="R32" s="5">
        <v>15</v>
      </c>
      <c r="S32" s="5">
        <v>9</v>
      </c>
      <c r="T32" s="5">
        <v>3</v>
      </c>
      <c r="U32" s="5">
        <v>3</v>
      </c>
      <c r="V32" s="5">
        <v>1</v>
      </c>
      <c r="W32" s="5">
        <v>0</v>
      </c>
      <c r="X32" s="5">
        <v>1</v>
      </c>
      <c r="Y32" s="5">
        <v>0</v>
      </c>
      <c r="Z32" s="5">
        <v>1</v>
      </c>
      <c r="AA32" s="2"/>
      <c r="AC32" s="2" t="s">
        <v>2520</v>
      </c>
      <c r="AD32" s="2"/>
      <c r="AE32" s="5">
        <v>19</v>
      </c>
      <c r="AF32" s="5">
        <v>14</v>
      </c>
      <c r="AG32" s="5">
        <v>10</v>
      </c>
      <c r="AH32" s="5">
        <v>21</v>
      </c>
      <c r="AI32" s="5"/>
      <c r="AK32" s="3" t="s">
        <v>2572</v>
      </c>
      <c r="AL32" s="88">
        <v>0</v>
      </c>
      <c r="AM32" s="88">
        <v>0</v>
      </c>
      <c r="AN32" s="22">
        <v>1</v>
      </c>
      <c r="AO32" s="5">
        <v>0.1</v>
      </c>
      <c r="AT32" s="2" t="s">
        <v>2623</v>
      </c>
      <c r="AU32" s="35">
        <v>1</v>
      </c>
      <c r="AV32" s="5">
        <v>0.3</v>
      </c>
      <c r="AZ32" s="2" t="s">
        <v>2580</v>
      </c>
      <c r="BA32" s="5">
        <v>68</v>
      </c>
      <c r="BB32" s="88">
        <v>11</v>
      </c>
      <c r="BC32" s="5">
        <v>55</v>
      </c>
      <c r="BD32" s="5">
        <v>10.199999999999999</v>
      </c>
      <c r="BE32" s="5">
        <v>38</v>
      </c>
      <c r="BH32" s="288" t="s">
        <v>2642</v>
      </c>
      <c r="BI32" s="17" t="s">
        <v>1665</v>
      </c>
      <c r="BJ32" s="278" t="s">
        <v>1666</v>
      </c>
      <c r="BK32" s="278"/>
      <c r="BL32" s="2231" t="s">
        <v>2593</v>
      </c>
      <c r="BM32" s="2232"/>
      <c r="BN32" s="2233"/>
      <c r="BO32" s="278" t="s">
        <v>1665</v>
      </c>
      <c r="BP32" s="28" t="s">
        <v>1666</v>
      </c>
      <c r="BQ32" s="2"/>
      <c r="BS32" s="2" t="s">
        <v>2669</v>
      </c>
      <c r="BT32" s="5">
        <v>10</v>
      </c>
      <c r="BU32" s="5">
        <v>0</v>
      </c>
      <c r="BV32" s="5">
        <v>0</v>
      </c>
      <c r="BW32" s="5">
        <v>4</v>
      </c>
      <c r="BX32" s="5">
        <v>0</v>
      </c>
      <c r="BY32" s="5"/>
      <c r="CA32" s="2" t="s">
        <v>2699</v>
      </c>
      <c r="CB32" s="5">
        <v>7</v>
      </c>
      <c r="CC32" s="5">
        <v>6</v>
      </c>
      <c r="CD32" s="5">
        <v>1</v>
      </c>
      <c r="CE32" s="22">
        <v>5</v>
      </c>
      <c r="CF32" s="22">
        <v>3</v>
      </c>
      <c r="CG32" s="22">
        <v>2</v>
      </c>
      <c r="CH32" s="22">
        <v>0</v>
      </c>
      <c r="CI32" s="22">
        <v>0</v>
      </c>
      <c r="CJ32" s="22">
        <v>0</v>
      </c>
      <c r="CZ32" s="13" t="s">
        <v>2744</v>
      </c>
      <c r="DA32" s="14"/>
      <c r="DB32" s="14"/>
      <c r="DC32" s="14"/>
      <c r="DD32" s="14"/>
      <c r="DE32" s="14"/>
      <c r="DF32" s="14"/>
      <c r="DG32" s="14"/>
      <c r="DH32" s="25"/>
    </row>
    <row r="33" spans="1:112" ht="12.95" customHeight="1">
      <c r="A33" s="3" t="s">
        <v>2434</v>
      </c>
      <c r="B33" s="5">
        <v>268</v>
      </c>
      <c r="C33" s="5">
        <v>268</v>
      </c>
      <c r="D33" s="5">
        <v>180</v>
      </c>
      <c r="E33" s="5">
        <v>219</v>
      </c>
      <c r="F33" s="5">
        <v>150</v>
      </c>
      <c r="G33" s="5">
        <v>153</v>
      </c>
      <c r="H33" s="5">
        <v>32</v>
      </c>
      <c r="L33" s="2" t="s">
        <v>2485</v>
      </c>
      <c r="M33" s="5">
        <v>0</v>
      </c>
      <c r="N33" s="5">
        <v>0</v>
      </c>
      <c r="O33" s="5">
        <v>0</v>
      </c>
      <c r="P33" s="5">
        <v>0</v>
      </c>
      <c r="Q33" s="5">
        <v>0</v>
      </c>
      <c r="R33" s="5">
        <v>0</v>
      </c>
      <c r="S33" s="5">
        <v>0</v>
      </c>
      <c r="T33" s="5">
        <v>0</v>
      </c>
      <c r="U33" s="5">
        <v>0</v>
      </c>
      <c r="V33" s="5">
        <v>0</v>
      </c>
      <c r="W33" s="5">
        <v>0</v>
      </c>
      <c r="X33" s="5">
        <v>0</v>
      </c>
      <c r="Y33" s="5">
        <v>0</v>
      </c>
      <c r="Z33" s="5">
        <v>0</v>
      </c>
      <c r="AA33" s="2"/>
      <c r="AC33" s="2" t="s">
        <v>2521</v>
      </c>
      <c r="AD33" s="2"/>
      <c r="AE33" s="5">
        <v>519</v>
      </c>
      <c r="AF33" s="5">
        <v>516</v>
      </c>
      <c r="AG33" s="5">
        <v>423</v>
      </c>
      <c r="AH33" s="5">
        <v>424</v>
      </c>
      <c r="AI33" s="5"/>
      <c r="AK33" s="3" t="s">
        <v>2573</v>
      </c>
      <c r="AL33" s="2">
        <v>0</v>
      </c>
      <c r="AM33" s="88">
        <v>0</v>
      </c>
      <c r="AN33" s="5">
        <v>0</v>
      </c>
      <c r="AO33" s="87">
        <v>0</v>
      </c>
      <c r="AT33" s="2" t="s">
        <v>2624</v>
      </c>
      <c r="AU33" s="35">
        <v>1</v>
      </c>
      <c r="AV33" s="5">
        <v>0.3</v>
      </c>
      <c r="AZ33" s="2" t="s">
        <v>2581</v>
      </c>
      <c r="BA33" s="5">
        <v>44</v>
      </c>
      <c r="BB33" s="5">
        <v>7.1</v>
      </c>
      <c r="BC33" s="5">
        <v>39</v>
      </c>
      <c r="BD33" s="5">
        <v>7.3</v>
      </c>
      <c r="BE33" s="5">
        <v>30</v>
      </c>
      <c r="BH33" s="3" t="s">
        <v>129</v>
      </c>
      <c r="BI33" s="22">
        <v>675</v>
      </c>
      <c r="BJ33" s="22">
        <v>100</v>
      </c>
      <c r="BK33" s="22"/>
      <c r="BL33" s="3"/>
      <c r="BM33" s="3"/>
      <c r="BN33" s="3"/>
      <c r="BO33" s="22">
        <v>675</v>
      </c>
      <c r="BP33" s="22">
        <v>100</v>
      </c>
      <c r="BQ33" s="2"/>
      <c r="BS33" s="2" t="s">
        <v>2521</v>
      </c>
      <c r="BT33" s="5">
        <v>39</v>
      </c>
      <c r="BU33" s="5">
        <v>77</v>
      </c>
      <c r="BV33" s="5">
        <v>6</v>
      </c>
      <c r="BW33" s="5">
        <v>44</v>
      </c>
      <c r="BX33" s="5">
        <v>13</v>
      </c>
      <c r="BY33" s="5"/>
      <c r="CA33" s="2" t="s">
        <v>2700</v>
      </c>
      <c r="CB33" s="5">
        <v>6</v>
      </c>
      <c r="CC33" s="5">
        <v>3</v>
      </c>
      <c r="CD33" s="5">
        <v>3</v>
      </c>
      <c r="CE33" s="22">
        <v>5</v>
      </c>
      <c r="CF33" s="22">
        <v>4</v>
      </c>
      <c r="CG33" s="22">
        <v>1</v>
      </c>
      <c r="CH33" s="22">
        <v>6</v>
      </c>
      <c r="CI33" s="22">
        <v>6</v>
      </c>
      <c r="CJ33" s="22">
        <v>0</v>
      </c>
      <c r="CZ33" s="13" t="s">
        <v>2745</v>
      </c>
      <c r="DA33" s="14"/>
      <c r="DB33" s="14"/>
      <c r="DC33" s="14"/>
      <c r="DD33" s="14"/>
      <c r="DE33" s="14"/>
      <c r="DF33" s="14"/>
      <c r="DG33" s="14"/>
      <c r="DH33" s="25"/>
    </row>
    <row r="34" spans="1:112" ht="12.95" customHeight="1">
      <c r="A34" s="3" t="s">
        <v>2435</v>
      </c>
      <c r="B34" s="5">
        <v>109</v>
      </c>
      <c r="C34" s="5">
        <v>131</v>
      </c>
      <c r="D34" s="5">
        <v>57</v>
      </c>
      <c r="E34" s="5">
        <v>99</v>
      </c>
      <c r="F34" s="5">
        <v>139</v>
      </c>
      <c r="G34" s="5">
        <v>112</v>
      </c>
      <c r="H34" s="5">
        <v>104</v>
      </c>
      <c r="L34" s="2" t="s">
        <v>2486</v>
      </c>
      <c r="M34" s="5">
        <v>6</v>
      </c>
      <c r="N34" s="5">
        <v>6</v>
      </c>
      <c r="O34" s="5">
        <v>0</v>
      </c>
      <c r="P34" s="5">
        <v>0</v>
      </c>
      <c r="Q34" s="5">
        <v>0</v>
      </c>
      <c r="R34" s="5">
        <v>0</v>
      </c>
      <c r="S34" s="5">
        <v>0</v>
      </c>
      <c r="T34" s="5">
        <v>0</v>
      </c>
      <c r="U34" s="5">
        <v>0</v>
      </c>
      <c r="V34" s="5">
        <v>0</v>
      </c>
      <c r="W34" s="5">
        <v>0</v>
      </c>
      <c r="X34" s="5">
        <v>0</v>
      </c>
      <c r="Y34" s="5">
        <v>0</v>
      </c>
      <c r="Z34" s="5">
        <v>0</v>
      </c>
      <c r="AA34" s="2"/>
      <c r="AC34" s="2" t="s">
        <v>2440</v>
      </c>
      <c r="AD34" s="2"/>
      <c r="AE34" s="5">
        <v>223</v>
      </c>
      <c r="AF34" s="5">
        <v>246</v>
      </c>
      <c r="AG34" s="5">
        <v>250</v>
      </c>
      <c r="AH34" s="5">
        <v>170</v>
      </c>
      <c r="AI34" s="5"/>
      <c r="AK34" s="23" t="s">
        <v>2574</v>
      </c>
      <c r="AL34" s="10">
        <v>0</v>
      </c>
      <c r="AM34" s="89">
        <v>0</v>
      </c>
      <c r="AN34" s="11">
        <v>0</v>
      </c>
      <c r="AO34" s="200">
        <v>1</v>
      </c>
      <c r="AT34" s="2" t="s">
        <v>2625</v>
      </c>
      <c r="AU34" s="35">
        <v>1</v>
      </c>
      <c r="AV34" s="5">
        <v>0.3</v>
      </c>
      <c r="AZ34" s="2" t="s">
        <v>2582</v>
      </c>
      <c r="BA34" s="5">
        <v>21</v>
      </c>
      <c r="BB34" s="5">
        <v>3.4</v>
      </c>
      <c r="BC34" s="5">
        <v>25</v>
      </c>
      <c r="BD34" s="5">
        <v>4.5999999999999996</v>
      </c>
      <c r="BE34" s="5">
        <v>10</v>
      </c>
      <c r="BH34" s="2" t="s">
        <v>2643</v>
      </c>
      <c r="BI34" s="5">
        <v>161</v>
      </c>
      <c r="BJ34" s="5">
        <v>23.9</v>
      </c>
      <c r="BK34" s="5"/>
      <c r="BL34" s="1" t="s">
        <v>2555</v>
      </c>
      <c r="BM34" s="3"/>
      <c r="BN34" s="3"/>
      <c r="BO34" s="22">
        <v>351</v>
      </c>
      <c r="BP34" s="5">
        <v>52</v>
      </c>
      <c r="BQ34" s="2"/>
      <c r="BS34" s="2" t="s">
        <v>2440</v>
      </c>
      <c r="BT34" s="5">
        <v>28</v>
      </c>
      <c r="BU34" s="5">
        <v>21</v>
      </c>
      <c r="BV34" s="5">
        <v>6</v>
      </c>
      <c r="BW34" s="5">
        <v>6</v>
      </c>
      <c r="BX34" s="5">
        <v>7</v>
      </c>
      <c r="BY34" s="5"/>
      <c r="CA34" s="2" t="s">
        <v>2701</v>
      </c>
      <c r="CB34" s="5">
        <v>0</v>
      </c>
      <c r="CC34" s="5">
        <v>0</v>
      </c>
      <c r="CD34" s="5">
        <v>0</v>
      </c>
      <c r="CE34" s="22">
        <v>0</v>
      </c>
      <c r="CF34" s="22">
        <v>0</v>
      </c>
      <c r="CG34" s="22">
        <v>0</v>
      </c>
      <c r="CH34" s="22">
        <v>0</v>
      </c>
      <c r="CI34" s="22">
        <v>0</v>
      </c>
      <c r="CJ34" s="22">
        <v>0</v>
      </c>
      <c r="CZ34" s="13" t="s">
        <v>2746</v>
      </c>
      <c r="DA34" s="14"/>
      <c r="DB34" s="14"/>
      <c r="DC34" s="14"/>
      <c r="DD34" s="14"/>
      <c r="DE34" s="14"/>
      <c r="DF34" s="14"/>
      <c r="DG34" s="2"/>
    </row>
    <row r="35" spans="1:112" ht="12.95" customHeight="1">
      <c r="A35" s="3" t="s">
        <v>2436</v>
      </c>
      <c r="B35" s="5">
        <v>354</v>
      </c>
      <c r="C35" s="5">
        <v>390</v>
      </c>
      <c r="D35" s="5">
        <v>419</v>
      </c>
      <c r="E35" s="5">
        <v>378</v>
      </c>
      <c r="F35" s="5">
        <v>527</v>
      </c>
      <c r="G35" s="5">
        <v>442</v>
      </c>
      <c r="H35" s="5">
        <v>229</v>
      </c>
      <c r="L35" s="2" t="s">
        <v>2487</v>
      </c>
      <c r="M35" s="5">
        <v>0</v>
      </c>
      <c r="N35" s="5">
        <v>0</v>
      </c>
      <c r="O35" s="5">
        <v>0</v>
      </c>
      <c r="P35" s="5">
        <v>0</v>
      </c>
      <c r="Q35" s="5">
        <v>0</v>
      </c>
      <c r="R35" s="5">
        <v>0</v>
      </c>
      <c r="S35" s="5">
        <v>0</v>
      </c>
      <c r="T35" s="5">
        <v>0</v>
      </c>
      <c r="U35" s="5">
        <v>0</v>
      </c>
      <c r="V35" s="5">
        <v>0</v>
      </c>
      <c r="W35" s="5">
        <v>0</v>
      </c>
      <c r="X35" s="5">
        <v>0</v>
      </c>
      <c r="Y35" s="5">
        <v>0</v>
      </c>
      <c r="Z35" s="5">
        <v>0</v>
      </c>
      <c r="AA35" s="2"/>
      <c r="AC35" s="2" t="s">
        <v>2522</v>
      </c>
      <c r="AD35" s="2"/>
      <c r="AE35" s="5">
        <v>179</v>
      </c>
      <c r="AF35" s="5">
        <v>299</v>
      </c>
      <c r="AG35" s="5">
        <v>335</v>
      </c>
      <c r="AH35" s="5">
        <v>339</v>
      </c>
      <c r="AI35" s="5"/>
      <c r="AK35" s="13" t="s">
        <v>2491</v>
      </c>
      <c r="AL35" s="14"/>
      <c r="AM35" s="14"/>
      <c r="AT35" s="2" t="s">
        <v>2626</v>
      </c>
      <c r="AU35" s="35">
        <v>1</v>
      </c>
      <c r="AV35" s="5">
        <v>0.3</v>
      </c>
      <c r="AZ35" s="2" t="s">
        <v>2583</v>
      </c>
      <c r="BA35" s="5">
        <v>21</v>
      </c>
      <c r="BB35" s="5">
        <v>3.4</v>
      </c>
      <c r="BC35" s="5">
        <v>15</v>
      </c>
      <c r="BD35" s="88">
        <v>3</v>
      </c>
      <c r="BE35" s="5">
        <v>8</v>
      </c>
      <c r="BH35" s="2" t="s">
        <v>1705</v>
      </c>
      <c r="BI35" s="5">
        <v>185</v>
      </c>
      <c r="BJ35" s="5">
        <v>27.4</v>
      </c>
      <c r="BK35" s="5"/>
      <c r="BL35" s="2" t="s">
        <v>2644</v>
      </c>
      <c r="BM35" s="2"/>
      <c r="BN35" s="2"/>
      <c r="BO35" s="5">
        <v>218</v>
      </c>
      <c r="BP35" s="5">
        <v>32.299999999999997</v>
      </c>
      <c r="BQ35" s="2"/>
      <c r="BS35" s="2" t="s">
        <v>2670</v>
      </c>
      <c r="BT35" s="5">
        <v>2</v>
      </c>
      <c r="BU35" s="5">
        <v>1</v>
      </c>
      <c r="BV35" s="5">
        <v>0</v>
      </c>
      <c r="BW35" s="5">
        <v>1</v>
      </c>
      <c r="BX35" s="5">
        <v>0</v>
      </c>
      <c r="BY35" s="5"/>
      <c r="CA35" s="2"/>
      <c r="CB35" s="2"/>
      <c r="CC35" s="2"/>
      <c r="CD35" s="2"/>
      <c r="CE35" s="2"/>
      <c r="CF35" s="2"/>
      <c r="CG35" s="2"/>
      <c r="CH35" s="2"/>
      <c r="CI35" s="2"/>
      <c r="CJ35" s="2"/>
      <c r="CZ35" s="13"/>
      <c r="DA35" s="14"/>
      <c r="DB35" s="14"/>
      <c r="DC35" s="14"/>
      <c r="DD35" s="14"/>
      <c r="DE35" s="14"/>
      <c r="DF35" s="14"/>
      <c r="DG35" s="2"/>
    </row>
    <row r="36" spans="1:112" ht="12.95" customHeight="1">
      <c r="A36" s="60" t="s">
        <v>2437</v>
      </c>
      <c r="B36" s="61"/>
      <c r="C36" s="61"/>
      <c r="D36" s="61"/>
      <c r="E36" s="8"/>
      <c r="F36" s="8"/>
      <c r="G36" s="8"/>
      <c r="H36" s="8"/>
      <c r="L36" s="2" t="s">
        <v>2488</v>
      </c>
      <c r="M36" s="5">
        <v>2</v>
      </c>
      <c r="N36" s="5">
        <v>0</v>
      </c>
      <c r="O36" s="5">
        <v>0</v>
      </c>
      <c r="P36" s="5">
        <v>0</v>
      </c>
      <c r="Q36" s="5">
        <v>0</v>
      </c>
      <c r="R36" s="5">
        <v>0</v>
      </c>
      <c r="S36" s="5">
        <v>2</v>
      </c>
      <c r="T36" s="5">
        <v>0</v>
      </c>
      <c r="U36" s="5">
        <v>0</v>
      </c>
      <c r="V36" s="5">
        <v>0</v>
      </c>
      <c r="W36" s="5">
        <v>0</v>
      </c>
      <c r="X36" s="5">
        <v>0</v>
      </c>
      <c r="Y36" s="5">
        <v>0</v>
      </c>
      <c r="Z36" s="5">
        <v>0</v>
      </c>
      <c r="AA36" s="2"/>
      <c r="AC36" s="2" t="s">
        <v>2523</v>
      </c>
      <c r="AD36" s="2"/>
      <c r="AE36" s="5">
        <v>87</v>
      </c>
      <c r="AF36" s="5">
        <v>125</v>
      </c>
      <c r="AG36" s="5">
        <v>111</v>
      </c>
      <c r="AH36" s="5">
        <v>101</v>
      </c>
      <c r="AI36" s="5"/>
      <c r="AK36" s="1"/>
      <c r="AL36" s="2"/>
      <c r="AM36" s="2"/>
      <c r="AN36" s="2"/>
      <c r="AO36" s="2"/>
      <c r="AP36" s="14"/>
      <c r="AQ36" s="14"/>
      <c r="AR36" s="14"/>
      <c r="AS36" s="14"/>
      <c r="AT36" s="2" t="s">
        <v>2627</v>
      </c>
      <c r="AU36" s="2"/>
      <c r="AV36" s="2"/>
      <c r="AW36" s="14"/>
      <c r="AX36" s="14"/>
      <c r="AZ36" s="2" t="s">
        <v>2641</v>
      </c>
      <c r="BA36" s="5">
        <v>10</v>
      </c>
      <c r="BB36" s="5">
        <v>1.6</v>
      </c>
      <c r="BC36" s="5">
        <v>15</v>
      </c>
      <c r="BD36" s="88">
        <v>3</v>
      </c>
      <c r="BE36" s="5">
        <v>3</v>
      </c>
      <c r="BH36" s="2" t="s">
        <v>2645</v>
      </c>
      <c r="BI36" s="5">
        <v>1</v>
      </c>
      <c r="BJ36" s="5">
        <v>0.1</v>
      </c>
      <c r="BK36" s="5"/>
      <c r="BL36" s="1" t="s">
        <v>2594</v>
      </c>
      <c r="BM36" s="2"/>
      <c r="BN36" s="2"/>
      <c r="BO36" s="5">
        <v>11</v>
      </c>
      <c r="BP36" s="5">
        <v>1.6</v>
      </c>
      <c r="BQ36" s="2"/>
      <c r="BS36" s="2" t="s">
        <v>2671</v>
      </c>
      <c r="BT36" s="5">
        <v>0</v>
      </c>
      <c r="BU36" s="5">
        <v>0</v>
      </c>
      <c r="BV36" s="5">
        <v>0</v>
      </c>
      <c r="BW36" s="5">
        <v>0</v>
      </c>
      <c r="BX36" s="5">
        <v>0</v>
      </c>
      <c r="BY36" s="5"/>
      <c r="CA36" s="6" t="s">
        <v>2702</v>
      </c>
      <c r="CB36" s="5">
        <v>116</v>
      </c>
      <c r="CC36" s="5">
        <v>102</v>
      </c>
      <c r="CD36" s="5">
        <v>14</v>
      </c>
      <c r="CE36" s="22">
        <v>144</v>
      </c>
      <c r="CF36" s="22">
        <v>134</v>
      </c>
      <c r="CG36" s="22">
        <v>10</v>
      </c>
      <c r="CH36" s="22">
        <v>154</v>
      </c>
      <c r="CI36" s="22">
        <v>143</v>
      </c>
      <c r="CJ36" s="22">
        <v>11</v>
      </c>
      <c r="CZ36" s="13"/>
      <c r="DA36" s="14"/>
      <c r="DB36" s="14"/>
      <c r="DC36" s="14"/>
      <c r="DD36" s="14"/>
      <c r="DE36" s="14"/>
      <c r="DF36" s="14"/>
      <c r="DG36" s="2"/>
    </row>
    <row r="37" spans="1:112" ht="12.95" customHeight="1">
      <c r="A37" s="2"/>
      <c r="B37" s="2"/>
      <c r="C37" s="2"/>
      <c r="D37" s="2"/>
      <c r="E37" s="2"/>
      <c r="F37" s="2"/>
      <c r="G37" s="2"/>
      <c r="H37" s="2"/>
      <c r="L37" s="2" t="s">
        <v>2489</v>
      </c>
      <c r="M37" s="5">
        <v>0</v>
      </c>
      <c r="N37" s="5">
        <v>0</v>
      </c>
      <c r="O37" s="5">
        <v>0</v>
      </c>
      <c r="P37" s="5">
        <v>0</v>
      </c>
      <c r="Q37" s="5">
        <v>0</v>
      </c>
      <c r="R37" s="5">
        <v>0</v>
      </c>
      <c r="S37" s="5">
        <v>0</v>
      </c>
      <c r="T37" s="5">
        <v>0</v>
      </c>
      <c r="U37" s="5">
        <v>0</v>
      </c>
      <c r="V37" s="5">
        <v>0</v>
      </c>
      <c r="W37" s="5">
        <v>0</v>
      </c>
      <c r="X37" s="5">
        <v>0</v>
      </c>
      <c r="Y37" s="5">
        <v>0</v>
      </c>
      <c r="Z37" s="5">
        <v>0</v>
      </c>
      <c r="AA37" s="2"/>
      <c r="AC37" s="2" t="s">
        <v>2524</v>
      </c>
      <c r="AD37" s="2"/>
      <c r="AE37" s="5">
        <v>63</v>
      </c>
      <c r="AF37" s="5">
        <v>71</v>
      </c>
      <c r="AG37" s="5">
        <v>34</v>
      </c>
      <c r="AH37" s="5">
        <v>39</v>
      </c>
      <c r="AI37" s="5"/>
      <c r="AK37" s="1"/>
      <c r="AL37" s="2"/>
      <c r="AM37" s="2"/>
      <c r="AN37" s="2"/>
      <c r="AO37" s="2"/>
      <c r="AP37" s="2"/>
      <c r="AQ37" s="2"/>
      <c r="AR37" s="2"/>
      <c r="AS37" s="2"/>
      <c r="AT37" s="2" t="s">
        <v>2628</v>
      </c>
      <c r="AU37" s="35">
        <v>3</v>
      </c>
      <c r="AV37" s="88">
        <v>1</v>
      </c>
      <c r="AW37" s="2"/>
      <c r="AX37" s="2"/>
      <c r="AZ37" s="10" t="s">
        <v>2597</v>
      </c>
      <c r="BA37" s="11">
        <v>2</v>
      </c>
      <c r="BB37" s="11">
        <v>0.3</v>
      </c>
      <c r="BC37" s="11">
        <v>1</v>
      </c>
      <c r="BD37" s="11">
        <v>0.2</v>
      </c>
      <c r="BE37" s="11">
        <v>2</v>
      </c>
      <c r="BH37" s="2" t="s">
        <v>2646</v>
      </c>
      <c r="BI37" s="5">
        <v>4</v>
      </c>
      <c r="BJ37" s="5">
        <v>0.6</v>
      </c>
      <c r="BK37" s="5"/>
      <c r="BL37" s="2" t="s">
        <v>1693</v>
      </c>
      <c r="BM37" s="2"/>
      <c r="BN37" s="2"/>
      <c r="BO37" s="5">
        <v>67</v>
      </c>
      <c r="BP37" s="5">
        <v>9.9</v>
      </c>
      <c r="BQ37" s="2"/>
      <c r="BS37" s="2" t="s">
        <v>2523</v>
      </c>
      <c r="BT37" s="5">
        <v>2</v>
      </c>
      <c r="BU37" s="5">
        <v>4</v>
      </c>
      <c r="BV37" s="5">
        <v>4</v>
      </c>
      <c r="BW37" s="5">
        <v>0</v>
      </c>
      <c r="BX37" s="5">
        <v>0</v>
      </c>
      <c r="BY37" s="5"/>
      <c r="CA37" s="2" t="s">
        <v>2703</v>
      </c>
      <c r="CB37" s="5">
        <v>7</v>
      </c>
      <c r="CC37" s="5">
        <v>7</v>
      </c>
      <c r="CD37" s="5">
        <v>0</v>
      </c>
      <c r="CE37" s="22">
        <v>7</v>
      </c>
      <c r="CF37" s="22">
        <v>7</v>
      </c>
      <c r="CG37" s="22">
        <v>0</v>
      </c>
      <c r="CH37" s="22">
        <v>12</v>
      </c>
      <c r="CI37" s="22">
        <v>12</v>
      </c>
      <c r="CJ37" s="22">
        <v>0</v>
      </c>
      <c r="CZ37" s="2"/>
      <c r="DA37" s="2"/>
      <c r="DB37" s="2"/>
      <c r="DC37" s="2"/>
      <c r="DD37" s="2"/>
      <c r="DE37" s="2"/>
      <c r="DF37" s="2"/>
      <c r="DG37" s="22"/>
    </row>
    <row r="38" spans="1:112" ht="12.95" customHeight="1">
      <c r="A38" s="3"/>
      <c r="B38" s="2"/>
      <c r="C38" s="2"/>
      <c r="D38" s="2"/>
      <c r="E38" s="2"/>
      <c r="F38" s="2"/>
      <c r="G38" s="2"/>
      <c r="H38" s="2"/>
      <c r="L38" s="10" t="s">
        <v>2490</v>
      </c>
      <c r="M38" s="11">
        <v>404</v>
      </c>
      <c r="N38" s="11">
        <v>29</v>
      </c>
      <c r="O38" s="11">
        <v>18</v>
      </c>
      <c r="P38" s="11">
        <v>64</v>
      </c>
      <c r="Q38" s="11">
        <v>78</v>
      </c>
      <c r="R38" s="11">
        <v>65</v>
      </c>
      <c r="S38" s="11">
        <v>41</v>
      </c>
      <c r="T38" s="11">
        <v>31</v>
      </c>
      <c r="U38" s="11">
        <v>35</v>
      </c>
      <c r="V38" s="11">
        <v>18</v>
      </c>
      <c r="W38" s="11">
        <v>16</v>
      </c>
      <c r="X38" s="11">
        <v>6</v>
      </c>
      <c r="Y38" s="11">
        <v>3</v>
      </c>
      <c r="Z38" s="11">
        <v>0</v>
      </c>
      <c r="AA38" s="2"/>
      <c r="AC38" s="2" t="s">
        <v>2525</v>
      </c>
      <c r="AD38" s="2"/>
      <c r="AE38" s="5">
        <v>10</v>
      </c>
      <c r="AF38" s="5">
        <v>4</v>
      </c>
      <c r="AG38" s="5">
        <v>14</v>
      </c>
      <c r="AH38" s="5">
        <v>12</v>
      </c>
      <c r="AI38" s="5"/>
      <c r="AK38" s="1" t="s">
        <v>2759</v>
      </c>
      <c r="AL38" s="2"/>
      <c r="AM38" s="2"/>
      <c r="AN38" s="2"/>
      <c r="AO38" s="10"/>
      <c r="AP38" s="10"/>
      <c r="AQ38" s="2"/>
      <c r="AR38" s="2"/>
      <c r="AS38" s="2"/>
      <c r="AT38" s="2" t="s">
        <v>2629</v>
      </c>
      <c r="AU38" s="35">
        <v>1</v>
      </c>
      <c r="AV38" s="5">
        <v>0.3</v>
      </c>
      <c r="AW38" s="2"/>
      <c r="AX38" s="2"/>
      <c r="AZ38" s="13" t="s">
        <v>2491</v>
      </c>
      <c r="BA38" s="14"/>
      <c r="BB38" s="14"/>
      <c r="BC38" s="2"/>
      <c r="BD38" s="2"/>
      <c r="BE38" s="2"/>
      <c r="BH38" s="2" t="s">
        <v>2647</v>
      </c>
      <c r="BI38" s="5">
        <v>14</v>
      </c>
      <c r="BJ38" s="5">
        <v>2.1</v>
      </c>
      <c r="BK38" s="5"/>
      <c r="BL38" s="1" t="s">
        <v>2648</v>
      </c>
      <c r="BM38" s="2"/>
      <c r="BN38" s="2"/>
      <c r="BO38" s="5">
        <v>22</v>
      </c>
      <c r="BP38" s="5">
        <v>3.3</v>
      </c>
      <c r="BQ38" s="2"/>
      <c r="BS38" s="2" t="s">
        <v>2672</v>
      </c>
      <c r="BT38" s="5">
        <v>0</v>
      </c>
      <c r="BU38" s="5">
        <v>0</v>
      </c>
      <c r="BV38" s="5">
        <v>0</v>
      </c>
      <c r="BW38" s="5">
        <v>1</v>
      </c>
      <c r="BX38" s="5">
        <v>0</v>
      </c>
      <c r="BY38" s="5"/>
      <c r="CA38" s="2" t="s">
        <v>2445</v>
      </c>
      <c r="CB38" s="5">
        <v>0</v>
      </c>
      <c r="CC38" s="5">
        <v>0</v>
      </c>
      <c r="CD38" s="5">
        <v>0</v>
      </c>
      <c r="CE38" s="22">
        <v>0</v>
      </c>
      <c r="CF38" s="22">
        <v>0</v>
      </c>
      <c r="CG38" s="22">
        <v>0</v>
      </c>
      <c r="CH38" s="22">
        <v>0</v>
      </c>
      <c r="CI38" s="22">
        <v>0</v>
      </c>
      <c r="CJ38" s="22">
        <v>0</v>
      </c>
      <c r="CZ38" s="2"/>
      <c r="DA38" s="2"/>
      <c r="DB38" s="2"/>
      <c r="DC38" s="2"/>
      <c r="DD38" s="2"/>
      <c r="DE38" s="2"/>
      <c r="DF38" s="2"/>
      <c r="DG38" s="22"/>
    </row>
    <row r="39" spans="1:112" ht="12.95" customHeight="1">
      <c r="A39" s="2"/>
      <c r="B39" s="2"/>
      <c r="C39" s="2"/>
      <c r="D39" s="2"/>
      <c r="E39" s="2"/>
      <c r="F39" s="2"/>
      <c r="G39" s="2"/>
      <c r="H39" s="2"/>
      <c r="L39" s="13" t="s">
        <v>2491</v>
      </c>
      <c r="M39" s="30"/>
      <c r="N39" s="30"/>
      <c r="O39" s="30"/>
      <c r="P39" s="3"/>
      <c r="Q39" s="3"/>
      <c r="R39" s="3"/>
      <c r="S39" s="3"/>
      <c r="T39" s="3"/>
      <c r="U39" s="3"/>
      <c r="V39" s="3"/>
      <c r="W39" s="3"/>
      <c r="X39" s="3"/>
      <c r="Y39" s="3"/>
      <c r="Z39" s="3"/>
      <c r="AA39" s="2"/>
      <c r="AC39" s="2" t="s">
        <v>2526</v>
      </c>
      <c r="AD39" s="2"/>
      <c r="AE39" s="5">
        <v>0</v>
      </c>
      <c r="AF39" s="5">
        <v>0</v>
      </c>
      <c r="AG39" s="5">
        <v>0</v>
      </c>
      <c r="AH39" s="5">
        <v>0</v>
      </c>
      <c r="AI39" s="5"/>
      <c r="AK39" s="378" t="s">
        <v>2449</v>
      </c>
      <c r="AL39" s="107"/>
      <c r="AM39" s="17">
        <v>2023</v>
      </c>
      <c r="AN39" s="28">
        <v>2022</v>
      </c>
      <c r="AO39" s="2"/>
      <c r="AP39" s="2"/>
      <c r="AQ39" s="2"/>
      <c r="AR39" s="2"/>
      <c r="AS39" s="2"/>
      <c r="AT39" s="2" t="s">
        <v>2630</v>
      </c>
      <c r="AU39" s="35">
        <v>1</v>
      </c>
      <c r="AV39" s="5">
        <v>0.3</v>
      </c>
      <c r="AW39" s="2"/>
      <c r="AX39" s="2"/>
      <c r="BH39" s="2" t="s">
        <v>2649</v>
      </c>
      <c r="BI39" s="5">
        <v>20</v>
      </c>
      <c r="BJ39" s="88">
        <v>3</v>
      </c>
      <c r="BK39" s="5"/>
      <c r="BL39" s="1" t="s">
        <v>2650</v>
      </c>
      <c r="BM39" s="2"/>
      <c r="BN39" s="2"/>
      <c r="BO39" s="5">
        <v>6</v>
      </c>
      <c r="BP39" s="5">
        <v>0.9</v>
      </c>
      <c r="BQ39" s="2"/>
      <c r="BS39" s="2" t="s">
        <v>2525</v>
      </c>
      <c r="BT39" s="5">
        <v>0</v>
      </c>
      <c r="BU39" s="5">
        <v>0</v>
      </c>
      <c r="BV39" s="5">
        <v>0</v>
      </c>
      <c r="BW39" s="5">
        <v>0</v>
      </c>
      <c r="BX39" s="5">
        <v>0</v>
      </c>
      <c r="BY39" s="5"/>
      <c r="CA39" s="2" t="s">
        <v>2704</v>
      </c>
      <c r="CB39" s="5">
        <v>19</v>
      </c>
      <c r="CC39" s="5">
        <v>17</v>
      </c>
      <c r="CD39" s="5">
        <v>2</v>
      </c>
      <c r="CE39" s="22">
        <v>20</v>
      </c>
      <c r="CF39" s="22">
        <v>19</v>
      </c>
      <c r="CG39" s="22">
        <v>1</v>
      </c>
      <c r="CH39" s="22">
        <v>8</v>
      </c>
      <c r="CI39" s="22">
        <v>6</v>
      </c>
      <c r="CJ39" s="22">
        <v>2</v>
      </c>
      <c r="CZ39" s="1" t="s">
        <v>2749</v>
      </c>
      <c r="DA39" s="2"/>
      <c r="DB39" s="2"/>
      <c r="DC39" s="2"/>
      <c r="DD39" s="2"/>
      <c r="DE39" s="2"/>
      <c r="DF39" s="2"/>
      <c r="DG39" s="22"/>
    </row>
    <row r="40" spans="1:112" ht="12.95" customHeight="1">
      <c r="A40" s="1" t="s">
        <v>2443</v>
      </c>
      <c r="B40" s="3"/>
      <c r="C40" s="3"/>
      <c r="D40" s="3"/>
      <c r="E40" s="3"/>
      <c r="F40" s="3"/>
      <c r="G40" s="3"/>
      <c r="H40" s="3"/>
      <c r="L40" s="13"/>
      <c r="M40" s="30"/>
      <c r="N40" s="30"/>
      <c r="O40" s="30"/>
      <c r="P40" s="3"/>
      <c r="Q40" s="3"/>
      <c r="R40" s="3"/>
      <c r="S40" s="3"/>
      <c r="T40" s="3"/>
      <c r="U40" s="3"/>
      <c r="V40" s="3"/>
      <c r="W40" s="3"/>
      <c r="X40" s="3"/>
      <c r="Y40" s="3"/>
      <c r="Z40" s="3"/>
      <c r="AA40" s="2"/>
      <c r="AC40" s="2" t="s">
        <v>2527</v>
      </c>
      <c r="AD40" s="2"/>
      <c r="AE40" s="5">
        <v>0</v>
      </c>
      <c r="AF40" s="5">
        <v>0</v>
      </c>
      <c r="AG40" s="5">
        <v>0</v>
      </c>
      <c r="AH40" s="5">
        <v>0</v>
      </c>
      <c r="AI40" s="5"/>
      <c r="AK40" s="108" t="s">
        <v>129</v>
      </c>
      <c r="AL40" s="8"/>
      <c r="AM40" s="125">
        <v>386</v>
      </c>
      <c r="AN40" s="125">
        <v>387</v>
      </c>
      <c r="AO40" s="2"/>
      <c r="AP40" s="2"/>
      <c r="AQ40" s="2"/>
      <c r="AR40" s="2"/>
      <c r="AS40" s="2"/>
      <c r="AT40" s="2" t="s">
        <v>2435</v>
      </c>
      <c r="AU40" s="35">
        <v>4</v>
      </c>
      <c r="AV40" s="5">
        <v>1.4</v>
      </c>
      <c r="AW40" s="2"/>
      <c r="AX40" s="2"/>
      <c r="BH40" s="2" t="s">
        <v>2651</v>
      </c>
      <c r="BI40" s="5">
        <v>13</v>
      </c>
      <c r="BJ40" s="5">
        <v>1.9</v>
      </c>
      <c r="BK40" s="5"/>
      <c r="BL40" s="2"/>
      <c r="BM40" s="2"/>
      <c r="BN40" s="2"/>
      <c r="BO40" s="2"/>
      <c r="BP40" s="2"/>
      <c r="BQ40" s="2"/>
      <c r="BS40" s="2" t="s">
        <v>2526</v>
      </c>
      <c r="BT40" s="5">
        <v>0</v>
      </c>
      <c r="BU40" s="5">
        <v>0</v>
      </c>
      <c r="BV40" s="5">
        <v>0</v>
      </c>
      <c r="BW40" s="5">
        <v>0</v>
      </c>
      <c r="BX40" s="5">
        <v>0</v>
      </c>
      <c r="BY40" s="5"/>
      <c r="CA40" s="2" t="s">
        <v>2705</v>
      </c>
      <c r="CB40" s="5">
        <v>1</v>
      </c>
      <c r="CC40" s="5">
        <v>1</v>
      </c>
      <c r="CD40" s="5">
        <v>0</v>
      </c>
      <c r="CE40" s="22">
        <v>10</v>
      </c>
      <c r="CF40" s="22">
        <v>10</v>
      </c>
      <c r="CG40" s="22">
        <v>0</v>
      </c>
      <c r="CH40" s="22">
        <v>3</v>
      </c>
      <c r="CI40" s="22">
        <v>3</v>
      </c>
      <c r="CJ40" s="22">
        <v>0</v>
      </c>
      <c r="CZ40" s="32" t="s">
        <v>1810</v>
      </c>
      <c r="DA40" s="15">
        <v>2024</v>
      </c>
      <c r="DB40" s="17">
        <v>2023</v>
      </c>
      <c r="DC40" s="17">
        <v>2022</v>
      </c>
      <c r="DD40" s="17">
        <v>2021</v>
      </c>
      <c r="DE40" s="17">
        <v>2020</v>
      </c>
      <c r="DF40" s="28">
        <v>2019</v>
      </c>
      <c r="DG40" s="22"/>
    </row>
    <row r="41" spans="1:112" ht="12.95" customHeight="1">
      <c r="A41" s="32" t="s">
        <v>2430</v>
      </c>
      <c r="B41" s="17">
        <v>2023</v>
      </c>
      <c r="C41" s="17">
        <v>2022</v>
      </c>
      <c r="D41" s="17">
        <v>2021</v>
      </c>
      <c r="E41" s="17">
        <v>2020</v>
      </c>
      <c r="F41" s="17" t="s">
        <v>2431</v>
      </c>
      <c r="G41" s="17" t="s">
        <v>2432</v>
      </c>
      <c r="H41" s="28">
        <v>2017</v>
      </c>
      <c r="L41" s="2"/>
      <c r="M41" s="2"/>
      <c r="N41" s="2"/>
      <c r="O41" s="2"/>
      <c r="P41" s="2"/>
      <c r="Q41" s="2"/>
      <c r="R41" s="2"/>
      <c r="S41" s="2"/>
      <c r="T41" s="2"/>
      <c r="U41" s="2"/>
      <c r="V41" s="2"/>
      <c r="W41" s="2"/>
      <c r="X41" s="2"/>
      <c r="Y41" s="2"/>
      <c r="Z41" s="2"/>
      <c r="AA41" s="2"/>
      <c r="AC41" s="2" t="s">
        <v>2528</v>
      </c>
      <c r="AD41" s="2"/>
      <c r="AE41" s="5">
        <v>20</v>
      </c>
      <c r="AF41" s="5">
        <v>22</v>
      </c>
      <c r="AG41" s="5">
        <v>5</v>
      </c>
      <c r="AH41" s="5">
        <v>0</v>
      </c>
      <c r="AI41" s="5"/>
      <c r="AK41" s="3" t="s">
        <v>2575</v>
      </c>
      <c r="AL41" s="2"/>
      <c r="AM41" s="5">
        <v>10</v>
      </c>
      <c r="AN41" s="5">
        <v>1</v>
      </c>
      <c r="AO41" s="2"/>
      <c r="AP41" s="2"/>
      <c r="AQ41" s="2"/>
      <c r="AR41" s="2"/>
      <c r="AS41" s="2"/>
      <c r="AT41" s="2" t="s">
        <v>2631</v>
      </c>
      <c r="AU41" s="35">
        <v>2</v>
      </c>
      <c r="AV41" s="5">
        <v>0.7</v>
      </c>
      <c r="AW41" s="2"/>
      <c r="AX41" s="2"/>
      <c r="BH41" s="2" t="s">
        <v>2652</v>
      </c>
      <c r="BI41" s="5">
        <v>1</v>
      </c>
      <c r="BJ41" s="5">
        <v>0.1</v>
      </c>
      <c r="BK41" s="5"/>
      <c r="BL41" s="2"/>
      <c r="BM41" s="2"/>
      <c r="BN41" s="2"/>
      <c r="BO41" s="2"/>
      <c r="BP41" s="2"/>
      <c r="BQ41" s="2"/>
      <c r="BS41" s="2" t="s">
        <v>2527</v>
      </c>
      <c r="BT41" s="5">
        <v>0</v>
      </c>
      <c r="BU41" s="5">
        <v>0</v>
      </c>
      <c r="BV41" s="5">
        <v>0</v>
      </c>
      <c r="BW41" s="5">
        <v>0</v>
      </c>
      <c r="BX41" s="5">
        <v>0</v>
      </c>
      <c r="BY41" s="5"/>
      <c r="CA41" s="2" t="s">
        <v>2600</v>
      </c>
      <c r="CB41" s="5">
        <v>0</v>
      </c>
      <c r="CC41" s="5">
        <v>0</v>
      </c>
      <c r="CD41" s="5">
        <v>0</v>
      </c>
      <c r="CE41" s="22">
        <v>0</v>
      </c>
      <c r="CF41" s="22">
        <v>0</v>
      </c>
      <c r="CG41" s="22">
        <v>0</v>
      </c>
      <c r="CH41" s="22">
        <v>0</v>
      </c>
      <c r="CI41" s="22">
        <v>0</v>
      </c>
      <c r="CJ41" s="22">
        <v>0</v>
      </c>
      <c r="CZ41" s="22" t="s">
        <v>2734</v>
      </c>
      <c r="DA41" s="22">
        <v>25</v>
      </c>
      <c r="DB41" s="22">
        <v>26</v>
      </c>
      <c r="DC41" s="22">
        <v>39</v>
      </c>
      <c r="DD41" s="22">
        <v>34</v>
      </c>
      <c r="DE41" s="22">
        <v>56</v>
      </c>
      <c r="DF41" s="22">
        <v>39</v>
      </c>
      <c r="DG41" s="22"/>
    </row>
    <row r="42" spans="1:112" ht="12.95" customHeight="1">
      <c r="A42" s="3" t="s">
        <v>129</v>
      </c>
      <c r="B42" s="53">
        <v>4540</v>
      </c>
      <c r="C42" s="53">
        <v>4412</v>
      </c>
      <c r="D42" s="53">
        <v>3670</v>
      </c>
      <c r="E42" s="53">
        <v>2861</v>
      </c>
      <c r="F42" s="53">
        <v>4546</v>
      </c>
      <c r="G42" s="53">
        <v>3764</v>
      </c>
      <c r="H42" s="53">
        <v>3656</v>
      </c>
      <c r="L42" s="2"/>
      <c r="M42" s="2"/>
      <c r="N42" s="2"/>
      <c r="O42" s="2"/>
      <c r="P42" s="2"/>
      <c r="Q42" s="2"/>
      <c r="R42" s="2"/>
      <c r="S42" s="2"/>
      <c r="T42" s="2"/>
      <c r="U42" s="2"/>
      <c r="V42" s="2"/>
      <c r="W42" s="2"/>
      <c r="X42" s="2"/>
      <c r="Y42" s="2"/>
      <c r="Z42" s="2"/>
      <c r="AA42" s="2"/>
      <c r="AC42" s="2" t="s">
        <v>2529</v>
      </c>
      <c r="AD42" s="2"/>
      <c r="AE42" s="5">
        <v>0</v>
      </c>
      <c r="AF42" s="5">
        <v>0</v>
      </c>
      <c r="AG42" s="5">
        <v>0</v>
      </c>
      <c r="AH42" s="5">
        <v>0</v>
      </c>
      <c r="AI42" s="5"/>
      <c r="AK42" s="3" t="s">
        <v>2576</v>
      </c>
      <c r="AL42" s="2"/>
      <c r="AM42" s="5">
        <v>61</v>
      </c>
      <c r="AN42" s="5">
        <v>68</v>
      </c>
      <c r="AO42" s="2"/>
      <c r="AP42" s="2"/>
      <c r="AQ42" s="2"/>
      <c r="AR42" s="2"/>
      <c r="AS42" s="2"/>
      <c r="AT42" s="2" t="s">
        <v>2632</v>
      </c>
      <c r="AU42" s="35">
        <v>1</v>
      </c>
      <c r="AV42" s="5">
        <v>0.3</v>
      </c>
      <c r="AW42" s="2"/>
      <c r="AX42" s="2"/>
      <c r="BF42" s="2"/>
      <c r="BH42" s="2" t="s">
        <v>2653</v>
      </c>
      <c r="BI42" s="5">
        <v>168</v>
      </c>
      <c r="BJ42" s="5">
        <v>24.9</v>
      </c>
      <c r="BK42" s="5"/>
      <c r="BL42" s="2"/>
      <c r="BM42" s="2"/>
      <c r="BN42" s="2"/>
      <c r="BO42" s="2"/>
      <c r="BP42" s="2"/>
      <c r="BQ42" s="2"/>
      <c r="BS42" s="2" t="s">
        <v>2673</v>
      </c>
      <c r="BT42" s="5">
        <v>0</v>
      </c>
      <c r="BU42" s="5">
        <v>0</v>
      </c>
      <c r="BV42" s="5">
        <v>0</v>
      </c>
      <c r="BW42" s="5">
        <v>0</v>
      </c>
      <c r="BX42" s="5">
        <v>0</v>
      </c>
      <c r="BY42" s="5"/>
      <c r="CA42" s="2" t="s">
        <v>2706</v>
      </c>
      <c r="CB42" s="5">
        <v>15</v>
      </c>
      <c r="CC42" s="5">
        <v>14</v>
      </c>
      <c r="CD42" s="5">
        <v>1</v>
      </c>
      <c r="CE42" s="22">
        <v>13</v>
      </c>
      <c r="CF42" s="22">
        <v>11</v>
      </c>
      <c r="CG42" s="22">
        <v>2</v>
      </c>
      <c r="CH42" s="22">
        <v>12</v>
      </c>
      <c r="CI42" s="22">
        <v>11</v>
      </c>
      <c r="CJ42" s="22">
        <v>1</v>
      </c>
      <c r="CZ42" s="3" t="s">
        <v>2735</v>
      </c>
      <c r="DA42" s="22">
        <v>0</v>
      </c>
      <c r="DB42" s="22">
        <v>1</v>
      </c>
      <c r="DC42" s="22">
        <v>2</v>
      </c>
      <c r="DD42" s="22">
        <v>1</v>
      </c>
      <c r="DE42" s="22">
        <v>1</v>
      </c>
      <c r="DF42" s="22">
        <v>3</v>
      </c>
      <c r="DG42" s="22"/>
    </row>
    <row r="43" spans="1:112" ht="12.95" customHeight="1">
      <c r="A43" s="3" t="s">
        <v>2438</v>
      </c>
      <c r="B43" s="53">
        <v>1609</v>
      </c>
      <c r="C43" s="53">
        <v>1433</v>
      </c>
      <c r="D43" s="53">
        <v>1272</v>
      </c>
      <c r="E43" s="53">
        <v>1324</v>
      </c>
      <c r="F43" s="53">
        <v>2269</v>
      </c>
      <c r="G43" s="53">
        <v>1608</v>
      </c>
      <c r="H43" s="53">
        <v>1689</v>
      </c>
      <c r="L43" s="1" t="s">
        <v>2494</v>
      </c>
      <c r="M43" s="2"/>
      <c r="N43" s="2"/>
      <c r="O43" s="2"/>
      <c r="P43" s="2"/>
      <c r="Q43" s="2"/>
      <c r="R43" s="2"/>
      <c r="S43" s="2"/>
      <c r="T43" s="2"/>
      <c r="U43" s="2"/>
      <c r="V43" s="2"/>
      <c r="W43" s="2"/>
      <c r="X43" s="2"/>
      <c r="Y43" s="2"/>
      <c r="Z43" s="2"/>
      <c r="AA43" s="2"/>
      <c r="AC43" s="2" t="s">
        <v>2472</v>
      </c>
      <c r="AD43" s="2"/>
      <c r="AE43" s="5">
        <v>0</v>
      </c>
      <c r="AF43" s="5">
        <v>0</v>
      </c>
      <c r="AG43" s="5">
        <v>0</v>
      </c>
      <c r="AH43" s="5">
        <v>0</v>
      </c>
      <c r="AI43" s="5"/>
      <c r="AK43" s="3" t="s">
        <v>2577</v>
      </c>
      <c r="AL43" s="2"/>
      <c r="AM43" s="5">
        <v>74</v>
      </c>
      <c r="AN43" s="5">
        <v>94</v>
      </c>
      <c r="AO43" s="2"/>
      <c r="AP43" s="2"/>
      <c r="AQ43" s="2"/>
      <c r="AR43" s="2"/>
      <c r="AS43" s="2"/>
      <c r="AT43" s="10" t="s">
        <v>2633</v>
      </c>
      <c r="AU43" s="58">
        <v>3</v>
      </c>
      <c r="AV43" s="89">
        <v>1</v>
      </c>
      <c r="AW43" s="2"/>
      <c r="AX43" s="2"/>
      <c r="BF43" s="21"/>
      <c r="BH43" s="2" t="s">
        <v>2654</v>
      </c>
      <c r="BI43" s="5">
        <v>2</v>
      </c>
      <c r="BJ43" s="5">
        <v>0.3</v>
      </c>
      <c r="BK43" s="5"/>
      <c r="BL43" s="2"/>
      <c r="BM43" s="2"/>
      <c r="BN43" s="2"/>
      <c r="BO43" s="2"/>
      <c r="BP43" s="2"/>
      <c r="BQ43" s="2"/>
      <c r="BS43" s="2" t="s">
        <v>2674</v>
      </c>
      <c r="BT43" s="5">
        <v>0</v>
      </c>
      <c r="BU43" s="5">
        <v>0</v>
      </c>
      <c r="BV43" s="5">
        <v>0</v>
      </c>
      <c r="BW43" s="5">
        <v>0</v>
      </c>
      <c r="BX43" s="5">
        <v>0</v>
      </c>
      <c r="BY43" s="5"/>
      <c r="CA43" s="2" t="s">
        <v>2612</v>
      </c>
      <c r="CB43" s="5">
        <v>1</v>
      </c>
      <c r="CC43" s="5">
        <v>0</v>
      </c>
      <c r="CD43" s="5">
        <v>1</v>
      </c>
      <c r="CE43" s="22">
        <v>1</v>
      </c>
      <c r="CF43" s="22">
        <v>1</v>
      </c>
      <c r="CG43" s="22">
        <v>0</v>
      </c>
      <c r="CH43" s="22">
        <v>1</v>
      </c>
      <c r="CI43" s="22">
        <v>1</v>
      </c>
      <c r="CJ43" s="22">
        <v>0</v>
      </c>
      <c r="CZ43" s="3" t="s">
        <v>2736</v>
      </c>
      <c r="DA43" s="22">
        <v>0</v>
      </c>
      <c r="DB43" s="22">
        <v>0</v>
      </c>
      <c r="DC43" s="22">
        <v>0</v>
      </c>
      <c r="DD43" s="22">
        <v>0</v>
      </c>
      <c r="DE43" s="22">
        <v>0</v>
      </c>
      <c r="DF43" s="22">
        <v>0</v>
      </c>
      <c r="DG43" s="22"/>
    </row>
    <row r="44" spans="1:112" ht="12.95" customHeight="1">
      <c r="A44" s="3" t="s">
        <v>2439</v>
      </c>
      <c r="B44" s="53">
        <v>2520</v>
      </c>
      <c r="C44" s="53">
        <v>2590</v>
      </c>
      <c r="D44" s="53">
        <v>2048</v>
      </c>
      <c r="E44" s="53">
        <v>1162</v>
      </c>
      <c r="F44" s="53">
        <v>1779</v>
      </c>
      <c r="G44" s="53">
        <v>1719</v>
      </c>
      <c r="H44" s="53">
        <v>1638</v>
      </c>
      <c r="L44" s="8"/>
      <c r="M44" s="188"/>
      <c r="N44" s="2033" t="s">
        <v>2449</v>
      </c>
      <c r="O44" s="2034"/>
      <c r="P44" s="2034"/>
      <c r="Q44" s="2034"/>
      <c r="R44" s="2034"/>
      <c r="S44" s="2034"/>
      <c r="T44" s="2034"/>
      <c r="U44" s="2034"/>
      <c r="V44" s="2034"/>
      <c r="W44" s="2034"/>
      <c r="X44" s="2034"/>
      <c r="Y44" s="2034"/>
      <c r="Z44" s="2034"/>
      <c r="AA44" s="2"/>
      <c r="AC44" s="2" t="s">
        <v>2473</v>
      </c>
      <c r="AD44" s="2"/>
      <c r="AE44" s="5">
        <v>1</v>
      </c>
      <c r="AF44" s="5">
        <v>0</v>
      </c>
      <c r="AG44" s="5">
        <v>0</v>
      </c>
      <c r="AH44" s="5">
        <v>0</v>
      </c>
      <c r="AI44" s="5"/>
      <c r="AK44" s="3" t="s">
        <v>2578</v>
      </c>
      <c r="AL44" s="2"/>
      <c r="AM44" s="5">
        <v>63</v>
      </c>
      <c r="AN44" s="5">
        <v>56</v>
      </c>
      <c r="AO44" s="2"/>
      <c r="AP44" s="2"/>
      <c r="AQ44" s="2"/>
      <c r="AR44" s="2"/>
      <c r="AS44" s="2"/>
      <c r="AT44" s="13" t="s">
        <v>2491</v>
      </c>
      <c r="AU44" s="14"/>
      <c r="AV44" s="14"/>
      <c r="AW44" s="2"/>
      <c r="AX44" s="2"/>
      <c r="BF44" s="22"/>
      <c r="BH44" s="2" t="s">
        <v>2655</v>
      </c>
      <c r="BI44" s="5">
        <v>9</v>
      </c>
      <c r="BJ44" s="5">
        <v>1.3</v>
      </c>
      <c r="BK44" s="5"/>
      <c r="BL44" s="2"/>
      <c r="BM44" s="2"/>
      <c r="BN44" s="2"/>
      <c r="BO44" s="2"/>
      <c r="BP44" s="2"/>
      <c r="BQ44" s="2"/>
      <c r="BS44" s="2" t="s">
        <v>2472</v>
      </c>
      <c r="BT44" s="5">
        <v>0</v>
      </c>
      <c r="BU44" s="5">
        <v>0</v>
      </c>
      <c r="BV44" s="5">
        <v>0</v>
      </c>
      <c r="BW44" s="5">
        <v>0</v>
      </c>
      <c r="BX44" s="5">
        <v>0</v>
      </c>
      <c r="BY44" s="5"/>
      <c r="CA44" s="2" t="s">
        <v>2484</v>
      </c>
      <c r="CB44" s="5">
        <v>3</v>
      </c>
      <c r="CC44" s="5">
        <v>3</v>
      </c>
      <c r="CD44" s="5">
        <v>0</v>
      </c>
      <c r="CE44" s="22">
        <v>7</v>
      </c>
      <c r="CF44" s="22">
        <v>7</v>
      </c>
      <c r="CG44" s="22">
        <v>0</v>
      </c>
      <c r="CH44" s="22">
        <v>6</v>
      </c>
      <c r="CI44" s="22">
        <v>6</v>
      </c>
      <c r="CJ44" s="22">
        <v>0</v>
      </c>
      <c r="CZ44" s="3" t="s">
        <v>2737</v>
      </c>
      <c r="DA44" s="22">
        <v>23</v>
      </c>
      <c r="DB44" s="22">
        <v>21</v>
      </c>
      <c r="DC44" s="22">
        <v>34</v>
      </c>
      <c r="DD44" s="22">
        <v>27</v>
      </c>
      <c r="DE44" s="22">
        <v>49</v>
      </c>
      <c r="DF44" s="22">
        <v>32</v>
      </c>
      <c r="DG44" s="14"/>
      <c r="DH44" s="25"/>
    </row>
    <row r="45" spans="1:112" ht="12.95" customHeight="1">
      <c r="A45" s="3" t="s">
        <v>2440</v>
      </c>
      <c r="B45" s="22">
        <v>384</v>
      </c>
      <c r="C45" s="22">
        <v>377</v>
      </c>
      <c r="D45" s="22">
        <v>330</v>
      </c>
      <c r="E45" s="22">
        <v>364</v>
      </c>
      <c r="F45" s="22">
        <v>485</v>
      </c>
      <c r="G45" s="22">
        <v>417</v>
      </c>
      <c r="H45" s="22">
        <v>320</v>
      </c>
      <c r="L45" s="3"/>
      <c r="M45" s="232"/>
      <c r="N45" s="22" t="s">
        <v>2450</v>
      </c>
      <c r="O45" s="96" t="s">
        <v>2451</v>
      </c>
      <c r="P45" s="22" t="s">
        <v>2452</v>
      </c>
      <c r="Q45" s="96" t="s">
        <v>2453</v>
      </c>
      <c r="R45" s="22" t="s">
        <v>2454</v>
      </c>
      <c r="S45" s="96" t="s">
        <v>2455</v>
      </c>
      <c r="T45" s="22" t="s">
        <v>2456</v>
      </c>
      <c r="U45" s="96" t="s">
        <v>2457</v>
      </c>
      <c r="V45" s="22" t="s">
        <v>2458</v>
      </c>
      <c r="W45" s="96" t="s">
        <v>2459</v>
      </c>
      <c r="X45" s="22" t="s">
        <v>2460</v>
      </c>
      <c r="Y45" s="96" t="s">
        <v>2461</v>
      </c>
      <c r="Z45" s="3"/>
      <c r="AA45" s="2"/>
      <c r="AC45" s="2" t="s">
        <v>2530</v>
      </c>
      <c r="AD45" s="2"/>
      <c r="AE45" s="5">
        <v>0</v>
      </c>
      <c r="AF45" s="5">
        <v>0</v>
      </c>
      <c r="AG45" s="5">
        <v>530</v>
      </c>
      <c r="AH45" s="5">
        <v>416</v>
      </c>
      <c r="AI45" s="5"/>
      <c r="AK45" s="3" t="s">
        <v>2579</v>
      </c>
      <c r="AL45" s="2"/>
      <c r="AM45" s="5">
        <v>40</v>
      </c>
      <c r="AN45" s="5">
        <v>51</v>
      </c>
      <c r="AO45" s="2"/>
      <c r="AP45" s="2"/>
      <c r="AQ45" s="2"/>
      <c r="AR45" s="2"/>
      <c r="AS45" s="2"/>
      <c r="AT45" s="14" t="s">
        <v>2634</v>
      </c>
      <c r="AU45" s="14"/>
      <c r="AV45" s="14"/>
      <c r="AW45" s="2"/>
      <c r="AX45" s="2"/>
      <c r="BF45" s="22"/>
      <c r="BH45" s="2" t="s">
        <v>2656</v>
      </c>
      <c r="BI45" s="5">
        <v>2</v>
      </c>
      <c r="BJ45" s="5">
        <v>0.3</v>
      </c>
      <c r="BK45" s="5"/>
      <c r="BL45" s="2"/>
      <c r="BM45" s="2"/>
      <c r="BN45" s="2"/>
      <c r="BO45" s="2"/>
      <c r="BP45" s="2"/>
      <c r="BQ45" s="2"/>
      <c r="BS45" s="2" t="s">
        <v>2675</v>
      </c>
      <c r="BT45" s="5">
        <v>0</v>
      </c>
      <c r="BU45" s="5">
        <v>0</v>
      </c>
      <c r="BV45" s="5">
        <v>0</v>
      </c>
      <c r="BW45" s="5">
        <v>0</v>
      </c>
      <c r="BX45" s="5">
        <v>0</v>
      </c>
      <c r="BY45" s="5"/>
      <c r="CA45" s="2" t="s">
        <v>2433</v>
      </c>
      <c r="CB45" s="5">
        <v>0</v>
      </c>
      <c r="CC45" s="5">
        <v>0</v>
      </c>
      <c r="CD45" s="5">
        <v>0</v>
      </c>
      <c r="CE45" s="22">
        <v>0</v>
      </c>
      <c r="CF45" s="22">
        <v>0</v>
      </c>
      <c r="CG45" s="22">
        <v>0</v>
      </c>
      <c r="CH45" s="22">
        <v>1</v>
      </c>
      <c r="CI45" s="22">
        <v>1</v>
      </c>
      <c r="CJ45" s="22">
        <v>0</v>
      </c>
      <c r="CZ45" s="3" t="s">
        <v>2738</v>
      </c>
      <c r="DA45" s="22">
        <v>0</v>
      </c>
      <c r="DB45" s="22">
        <v>0</v>
      </c>
      <c r="DC45" s="22">
        <v>0</v>
      </c>
      <c r="DD45" s="22">
        <v>0</v>
      </c>
      <c r="DE45" s="22">
        <v>0</v>
      </c>
      <c r="DF45" s="22">
        <v>0</v>
      </c>
      <c r="DG45" s="14"/>
      <c r="DH45" s="25"/>
    </row>
    <row r="46" spans="1:112" ht="12.95" customHeight="1">
      <c r="A46" s="23" t="s">
        <v>2441</v>
      </c>
      <c r="B46" s="29">
        <v>27</v>
      </c>
      <c r="C46" s="29">
        <v>12</v>
      </c>
      <c r="D46" s="29">
        <v>20</v>
      </c>
      <c r="E46" s="29">
        <v>11</v>
      </c>
      <c r="F46" s="29">
        <v>13</v>
      </c>
      <c r="G46" s="29">
        <v>20</v>
      </c>
      <c r="H46" s="29">
        <v>9</v>
      </c>
      <c r="L46" s="10" t="s">
        <v>2462</v>
      </c>
      <c r="M46" s="36" t="s">
        <v>129</v>
      </c>
      <c r="N46" s="29" t="s">
        <v>2463</v>
      </c>
      <c r="O46" s="97" t="s">
        <v>2464</v>
      </c>
      <c r="P46" s="29" t="s">
        <v>2464</v>
      </c>
      <c r="Q46" s="97" t="s">
        <v>2464</v>
      </c>
      <c r="R46" s="29" t="s">
        <v>2464</v>
      </c>
      <c r="S46" s="97" t="s">
        <v>2464</v>
      </c>
      <c r="T46" s="29" t="s">
        <v>2464</v>
      </c>
      <c r="U46" s="97" t="s">
        <v>2464</v>
      </c>
      <c r="V46" s="29" t="s">
        <v>2464</v>
      </c>
      <c r="W46" s="97" t="s">
        <v>2464</v>
      </c>
      <c r="X46" s="29" t="s">
        <v>2464</v>
      </c>
      <c r="Y46" s="97" t="s">
        <v>2465</v>
      </c>
      <c r="Z46" s="29" t="s">
        <v>2466</v>
      </c>
      <c r="AA46" s="2"/>
      <c r="AC46" s="2" t="s">
        <v>2531</v>
      </c>
      <c r="AD46" s="2"/>
      <c r="AE46" s="5">
        <v>0</v>
      </c>
      <c r="AF46" s="5">
        <v>2</v>
      </c>
      <c r="AG46" s="5">
        <v>1</v>
      </c>
      <c r="AH46" s="5">
        <v>0</v>
      </c>
      <c r="AI46" s="5"/>
      <c r="AK46" s="3" t="s">
        <v>2580</v>
      </c>
      <c r="AL46" s="2"/>
      <c r="AM46" s="5">
        <v>36</v>
      </c>
      <c r="AN46" s="5">
        <v>36</v>
      </c>
      <c r="AO46" s="2"/>
      <c r="AP46" s="2"/>
      <c r="AQ46" s="2"/>
      <c r="AR46" s="2"/>
      <c r="AS46" s="2"/>
      <c r="AT46" s="2"/>
      <c r="AU46" s="2"/>
      <c r="AV46" s="2"/>
      <c r="AW46" s="2"/>
      <c r="AX46" s="2"/>
      <c r="BF46" s="5"/>
      <c r="BH46" s="2" t="s">
        <v>1696</v>
      </c>
      <c r="BI46" s="5">
        <v>55</v>
      </c>
      <c r="BJ46" s="5">
        <v>8.1</v>
      </c>
      <c r="BK46" s="5"/>
      <c r="BL46" s="2"/>
      <c r="BM46" s="2"/>
      <c r="BN46" s="2"/>
      <c r="BO46" s="2"/>
      <c r="BP46" s="2"/>
      <c r="BQ46" s="2"/>
      <c r="BS46" s="2" t="s">
        <v>2530</v>
      </c>
      <c r="BT46" s="5">
        <v>70</v>
      </c>
      <c r="BU46" s="5">
        <v>64</v>
      </c>
      <c r="BV46" s="5">
        <v>24</v>
      </c>
      <c r="BW46" s="5">
        <v>58</v>
      </c>
      <c r="BX46" s="5">
        <v>3</v>
      </c>
      <c r="BY46" s="5"/>
      <c r="CA46" s="2" t="s">
        <v>2617</v>
      </c>
      <c r="CB46" s="5">
        <v>0</v>
      </c>
      <c r="CC46" s="5">
        <v>0</v>
      </c>
      <c r="CD46" s="5">
        <v>0</v>
      </c>
      <c r="CE46" s="22">
        <v>0</v>
      </c>
      <c r="CF46" s="22">
        <v>0</v>
      </c>
      <c r="CG46" s="22">
        <v>0</v>
      </c>
      <c r="CH46" s="22">
        <v>0</v>
      </c>
      <c r="CI46" s="22">
        <v>0</v>
      </c>
      <c r="CJ46" s="22">
        <v>0</v>
      </c>
      <c r="CZ46" s="23" t="s">
        <v>2739</v>
      </c>
      <c r="DA46" s="29">
        <v>2</v>
      </c>
      <c r="DB46" s="29">
        <v>4</v>
      </c>
      <c r="DC46" s="29">
        <v>3</v>
      </c>
      <c r="DD46" s="29">
        <v>6</v>
      </c>
      <c r="DE46" s="29">
        <v>6</v>
      </c>
      <c r="DF46" s="29">
        <v>4</v>
      </c>
      <c r="DG46" s="14"/>
      <c r="DH46" s="25"/>
    </row>
    <row r="47" spans="1:112" ht="12.95" customHeight="1">
      <c r="A47" s="13" t="s">
        <v>2437</v>
      </c>
      <c r="B47" s="30"/>
      <c r="C47" s="30"/>
      <c r="D47" s="30"/>
      <c r="E47" s="3"/>
      <c r="F47" s="3"/>
      <c r="G47" s="3"/>
      <c r="H47" s="3"/>
      <c r="L47" s="3" t="s">
        <v>2313</v>
      </c>
      <c r="M47" s="53">
        <v>2969</v>
      </c>
      <c r="N47" s="22">
        <v>410</v>
      </c>
      <c r="O47" s="22">
        <v>244</v>
      </c>
      <c r="P47" s="22">
        <v>471</v>
      </c>
      <c r="Q47" s="22">
        <v>456</v>
      </c>
      <c r="R47" s="22">
        <v>399</v>
      </c>
      <c r="S47" s="22">
        <v>323</v>
      </c>
      <c r="T47" s="22">
        <v>242</v>
      </c>
      <c r="U47" s="22">
        <v>174</v>
      </c>
      <c r="V47" s="22">
        <v>100</v>
      </c>
      <c r="W47" s="22">
        <v>71</v>
      </c>
      <c r="X47" s="22">
        <v>29</v>
      </c>
      <c r="Y47" s="22">
        <v>28</v>
      </c>
      <c r="Z47" s="22">
        <v>22</v>
      </c>
      <c r="AA47" s="2"/>
      <c r="AC47" s="2"/>
      <c r="AD47" s="2"/>
      <c r="AE47" s="2"/>
      <c r="AF47" s="2"/>
      <c r="AG47" s="2"/>
      <c r="AH47" s="2"/>
      <c r="AI47" s="5"/>
      <c r="AK47" s="3" t="s">
        <v>2581</v>
      </c>
      <c r="AL47" s="2"/>
      <c r="AM47" s="5">
        <v>38</v>
      </c>
      <c r="AN47" s="5">
        <v>19</v>
      </c>
      <c r="AO47" s="2"/>
      <c r="AP47" s="2"/>
      <c r="AQ47" s="2"/>
      <c r="AR47" s="2"/>
      <c r="AS47" s="2"/>
      <c r="AT47" s="2"/>
      <c r="AU47" s="2"/>
      <c r="AV47" s="2"/>
      <c r="AW47" s="2"/>
      <c r="AX47" s="2"/>
      <c r="BF47" s="5"/>
      <c r="BH47" s="2" t="s">
        <v>1698</v>
      </c>
      <c r="BI47" s="5">
        <v>9</v>
      </c>
      <c r="BJ47" s="5">
        <v>1.3</v>
      </c>
      <c r="BK47" s="5"/>
      <c r="BL47" s="2"/>
      <c r="BM47" s="2"/>
      <c r="BN47" s="2"/>
      <c r="BO47" s="2"/>
      <c r="BP47" s="2"/>
      <c r="BQ47" s="2"/>
      <c r="BS47" s="2" t="s">
        <v>2531</v>
      </c>
      <c r="BT47" s="5">
        <v>0</v>
      </c>
      <c r="BU47" s="5">
        <v>0</v>
      </c>
      <c r="BV47" s="5">
        <v>0</v>
      </c>
      <c r="BW47" s="5">
        <v>0</v>
      </c>
      <c r="BX47" s="5">
        <v>0</v>
      </c>
      <c r="BY47" s="5"/>
      <c r="CA47" s="2" t="s">
        <v>2707</v>
      </c>
      <c r="CB47" s="5">
        <v>0</v>
      </c>
      <c r="CC47" s="5">
        <v>0</v>
      </c>
      <c r="CD47" s="5">
        <v>0</v>
      </c>
      <c r="CE47" s="22">
        <v>0</v>
      </c>
      <c r="CF47" s="22">
        <v>0</v>
      </c>
      <c r="CG47" s="22">
        <v>0</v>
      </c>
      <c r="CH47" s="22">
        <v>0</v>
      </c>
      <c r="CI47" s="22">
        <v>0</v>
      </c>
      <c r="CJ47" s="22">
        <v>0</v>
      </c>
      <c r="CZ47" s="13" t="s">
        <v>2740</v>
      </c>
      <c r="DA47" s="14"/>
      <c r="DB47" s="2041"/>
      <c r="DC47" s="2041"/>
      <c r="DD47" s="14"/>
      <c r="DE47" s="14"/>
      <c r="DF47" s="14"/>
      <c r="DG47" s="14"/>
      <c r="DH47" s="25"/>
    </row>
    <row r="48" spans="1:112" ht="12.95" customHeight="1">
      <c r="L48" s="2" t="s">
        <v>2467</v>
      </c>
      <c r="M48" s="5">
        <v>736</v>
      </c>
      <c r="N48" s="5">
        <v>165</v>
      </c>
      <c r="O48" s="5">
        <v>76</v>
      </c>
      <c r="P48" s="5">
        <v>106</v>
      </c>
      <c r="Q48" s="5">
        <v>111</v>
      </c>
      <c r="R48" s="5">
        <v>73</v>
      </c>
      <c r="S48" s="5">
        <v>65</v>
      </c>
      <c r="T48" s="5">
        <v>56</v>
      </c>
      <c r="U48" s="5">
        <v>37</v>
      </c>
      <c r="V48" s="5">
        <v>20</v>
      </c>
      <c r="W48" s="5">
        <v>12</v>
      </c>
      <c r="X48" s="5">
        <v>6</v>
      </c>
      <c r="Y48" s="5">
        <v>5</v>
      </c>
      <c r="Z48" s="5">
        <v>4</v>
      </c>
      <c r="AA48" s="2"/>
      <c r="AC48" s="2" t="s">
        <v>2532</v>
      </c>
      <c r="AD48" s="2"/>
      <c r="AE48" s="5">
        <v>737</v>
      </c>
      <c r="AF48" s="5">
        <v>793</v>
      </c>
      <c r="AG48" s="5">
        <v>940</v>
      </c>
      <c r="AH48" s="5">
        <v>696</v>
      </c>
      <c r="AI48" s="2"/>
      <c r="AK48" s="3" t="s">
        <v>2582</v>
      </c>
      <c r="AL48" s="2"/>
      <c r="AM48" s="5">
        <v>25</v>
      </c>
      <c r="AN48" s="5">
        <v>33</v>
      </c>
      <c r="AO48" s="2"/>
      <c r="AP48" s="2"/>
      <c r="AQ48" s="2"/>
      <c r="AR48" s="2"/>
      <c r="AS48" s="2"/>
      <c r="AT48" s="2"/>
      <c r="AU48" s="2"/>
      <c r="AV48" s="2"/>
      <c r="AW48" s="2"/>
      <c r="AX48" s="2"/>
      <c r="BF48" s="5"/>
      <c r="BH48" s="2" t="s">
        <v>1693</v>
      </c>
      <c r="BI48" s="5">
        <v>2</v>
      </c>
      <c r="BJ48" s="5">
        <v>0.3</v>
      </c>
      <c r="BK48" s="5"/>
      <c r="BL48" s="2"/>
      <c r="BM48" s="2"/>
      <c r="BN48" s="2"/>
      <c r="BO48" s="2"/>
      <c r="BP48" s="2"/>
      <c r="BQ48" s="2"/>
      <c r="BS48" s="2"/>
      <c r="BT48" s="2"/>
      <c r="BU48" s="2"/>
      <c r="BV48" s="2"/>
      <c r="BW48" s="2"/>
      <c r="BX48" s="2"/>
      <c r="BY48" s="5"/>
      <c r="CA48" s="2" t="s">
        <v>2708</v>
      </c>
      <c r="CB48" s="5">
        <v>0</v>
      </c>
      <c r="CC48" s="5">
        <v>0</v>
      </c>
      <c r="CD48" s="5">
        <v>0</v>
      </c>
      <c r="CE48" s="22">
        <v>0</v>
      </c>
      <c r="CF48" s="22">
        <v>0</v>
      </c>
      <c r="CG48" s="22">
        <v>0</v>
      </c>
      <c r="CH48" s="22">
        <v>0</v>
      </c>
      <c r="CI48" s="22">
        <v>0</v>
      </c>
      <c r="CJ48" s="22">
        <v>0</v>
      </c>
      <c r="CZ48" s="13" t="s">
        <v>2741</v>
      </c>
      <c r="DA48" s="14"/>
      <c r="DB48" s="14"/>
      <c r="DC48" s="14"/>
      <c r="DD48" s="14"/>
      <c r="DE48" s="14"/>
      <c r="DF48" s="14"/>
      <c r="DG48" s="14"/>
      <c r="DH48" s="25"/>
    </row>
    <row r="49" spans="1:112" ht="12.95" customHeight="1">
      <c r="L49" s="2" t="s">
        <v>2433</v>
      </c>
      <c r="M49" s="5">
        <v>0</v>
      </c>
      <c r="N49" s="5">
        <v>0</v>
      </c>
      <c r="O49" s="5">
        <v>0</v>
      </c>
      <c r="P49" s="5">
        <v>0</v>
      </c>
      <c r="Q49" s="5">
        <v>0</v>
      </c>
      <c r="R49" s="5">
        <v>0</v>
      </c>
      <c r="S49" s="5">
        <v>0</v>
      </c>
      <c r="T49" s="5">
        <v>0</v>
      </c>
      <c r="U49" s="5">
        <v>0</v>
      </c>
      <c r="V49" s="5">
        <v>0</v>
      </c>
      <c r="W49" s="5">
        <v>0</v>
      </c>
      <c r="X49" s="5">
        <v>0</v>
      </c>
      <c r="Y49" s="5">
        <v>0</v>
      </c>
      <c r="Z49" s="5">
        <v>0</v>
      </c>
      <c r="AA49" s="2"/>
      <c r="AC49" s="2" t="s">
        <v>2533</v>
      </c>
      <c r="AD49" s="2"/>
      <c r="AE49" s="5">
        <v>575</v>
      </c>
      <c r="AF49" s="5">
        <v>656</v>
      </c>
      <c r="AG49" s="5">
        <v>788</v>
      </c>
      <c r="AH49" s="5">
        <v>590</v>
      </c>
      <c r="AI49" s="5"/>
      <c r="AK49" s="3" t="s">
        <v>2583</v>
      </c>
      <c r="AL49" s="2"/>
      <c r="AM49" s="5">
        <v>13</v>
      </c>
      <c r="AN49" s="5">
        <v>17</v>
      </c>
      <c r="AO49" s="2"/>
      <c r="AP49" s="2"/>
      <c r="AQ49" s="2"/>
      <c r="AR49" s="2"/>
      <c r="AS49" s="2"/>
      <c r="AT49" s="2"/>
      <c r="AU49" s="2"/>
      <c r="AV49" s="2"/>
      <c r="AW49" s="2"/>
      <c r="AX49" s="2"/>
      <c r="BF49" s="5"/>
      <c r="BH49" s="2" t="s">
        <v>2657</v>
      </c>
      <c r="BI49" s="5">
        <v>1</v>
      </c>
      <c r="BJ49" s="5">
        <v>0.1</v>
      </c>
      <c r="BK49" s="5"/>
      <c r="BL49" s="2"/>
      <c r="BM49" s="2"/>
      <c r="BN49" s="2"/>
      <c r="BO49" s="2"/>
      <c r="BP49" s="2"/>
      <c r="BQ49" s="2"/>
      <c r="BS49" s="2" t="s">
        <v>2532</v>
      </c>
      <c r="BT49" s="5">
        <v>74</v>
      </c>
      <c r="BU49" s="5">
        <v>41</v>
      </c>
      <c r="BV49" s="5">
        <v>32</v>
      </c>
      <c r="BW49" s="5">
        <v>88</v>
      </c>
      <c r="BX49" s="5">
        <v>106</v>
      </c>
      <c r="BY49" s="2"/>
      <c r="CA49" s="2" t="s">
        <v>2709</v>
      </c>
      <c r="CB49" s="5">
        <v>0</v>
      </c>
      <c r="CC49" s="5">
        <v>0</v>
      </c>
      <c r="CD49" s="5">
        <v>0</v>
      </c>
      <c r="CE49" s="22">
        <v>1</v>
      </c>
      <c r="CF49" s="22">
        <v>1</v>
      </c>
      <c r="CG49" s="22">
        <v>0</v>
      </c>
      <c r="CH49" s="22">
        <v>1</v>
      </c>
      <c r="CI49" s="22">
        <v>1</v>
      </c>
      <c r="CJ49" s="22">
        <v>0</v>
      </c>
      <c r="CZ49" s="14" t="s">
        <v>2742</v>
      </c>
      <c r="DA49" s="14"/>
      <c r="DB49" s="14"/>
      <c r="DC49" s="14"/>
      <c r="DD49" s="14"/>
      <c r="DE49" s="14"/>
      <c r="DF49" s="14"/>
      <c r="DG49" s="14"/>
      <c r="DH49" s="25"/>
    </row>
    <row r="50" spans="1:112" ht="12.95" customHeight="1">
      <c r="L50" s="2" t="s">
        <v>2445</v>
      </c>
      <c r="M50" s="5">
        <v>25</v>
      </c>
      <c r="N50" s="5">
        <v>2</v>
      </c>
      <c r="O50" s="5">
        <v>1</v>
      </c>
      <c r="P50" s="5">
        <v>2</v>
      </c>
      <c r="Q50" s="5">
        <v>3</v>
      </c>
      <c r="R50" s="5">
        <v>2</v>
      </c>
      <c r="S50" s="5">
        <v>6</v>
      </c>
      <c r="T50" s="5">
        <v>5</v>
      </c>
      <c r="U50" s="5">
        <v>2</v>
      </c>
      <c r="V50" s="5">
        <v>0</v>
      </c>
      <c r="W50" s="5">
        <v>0</v>
      </c>
      <c r="X50" s="5">
        <v>1</v>
      </c>
      <c r="Y50" s="5">
        <v>0</v>
      </c>
      <c r="Z50" s="5">
        <v>1</v>
      </c>
      <c r="AA50" s="2"/>
      <c r="AC50" s="2" t="s">
        <v>2534</v>
      </c>
      <c r="AD50" s="2"/>
      <c r="AE50" s="5">
        <v>0</v>
      </c>
      <c r="AF50" s="5">
        <v>0</v>
      </c>
      <c r="AG50" s="5">
        <v>0</v>
      </c>
      <c r="AH50" s="5">
        <v>0</v>
      </c>
      <c r="AI50" s="5"/>
      <c r="AK50" s="3" t="s">
        <v>2584</v>
      </c>
      <c r="AL50" s="2"/>
      <c r="AM50" s="5">
        <v>9</v>
      </c>
      <c r="AN50" s="5">
        <v>6</v>
      </c>
      <c r="AO50" s="2"/>
      <c r="AP50" s="2"/>
      <c r="AQ50" s="2"/>
      <c r="AR50" s="2"/>
      <c r="AS50" s="2"/>
      <c r="AT50" s="2"/>
      <c r="AU50" s="2"/>
      <c r="AV50" s="2"/>
      <c r="AW50" s="2"/>
      <c r="AX50" s="2"/>
      <c r="BF50" s="5"/>
      <c r="BH50" s="2" t="s">
        <v>2648</v>
      </c>
      <c r="BI50" s="5">
        <v>12</v>
      </c>
      <c r="BJ50" s="5">
        <v>1.8</v>
      </c>
      <c r="BK50" s="5"/>
      <c r="BL50" s="2036"/>
      <c r="BM50" s="2036"/>
      <c r="BN50" s="2"/>
      <c r="BO50" s="2"/>
      <c r="BP50" s="2"/>
      <c r="BQ50" s="2"/>
      <c r="BS50" s="2" t="s">
        <v>2676</v>
      </c>
      <c r="BT50" s="5">
        <v>70</v>
      </c>
      <c r="BU50" s="5">
        <v>35</v>
      </c>
      <c r="BV50" s="5">
        <v>30</v>
      </c>
      <c r="BW50" s="5">
        <v>75</v>
      </c>
      <c r="BX50" s="5">
        <v>91</v>
      </c>
      <c r="BY50" s="5"/>
      <c r="CA50" s="2" t="s">
        <v>2598</v>
      </c>
      <c r="CB50" s="5">
        <v>17</v>
      </c>
      <c r="CC50" s="5">
        <v>16</v>
      </c>
      <c r="CD50" s="5">
        <v>1</v>
      </c>
      <c r="CE50" s="22">
        <v>19</v>
      </c>
      <c r="CF50" s="22">
        <v>17</v>
      </c>
      <c r="CG50" s="22">
        <v>2</v>
      </c>
      <c r="CH50" s="22">
        <v>19</v>
      </c>
      <c r="CI50" s="22">
        <v>16</v>
      </c>
      <c r="CJ50" s="22">
        <v>3</v>
      </c>
      <c r="CZ50" s="13" t="s">
        <v>2743</v>
      </c>
      <c r="DA50" s="14"/>
      <c r="DB50" s="14"/>
      <c r="DC50" s="14"/>
      <c r="DD50" s="14"/>
      <c r="DE50" s="14"/>
      <c r="DF50" s="14"/>
      <c r="DG50" s="14"/>
      <c r="DH50" s="25"/>
    </row>
    <row r="51" spans="1:112" ht="12.95" customHeight="1">
      <c r="A51" s="13" t="s">
        <v>2448</v>
      </c>
      <c r="B51" s="3"/>
      <c r="C51" s="3"/>
      <c r="D51" s="3"/>
      <c r="E51" s="3"/>
      <c r="F51" s="3"/>
      <c r="L51" s="2" t="s">
        <v>2435</v>
      </c>
      <c r="M51" s="5">
        <v>82</v>
      </c>
      <c r="N51" s="5">
        <v>19</v>
      </c>
      <c r="O51" s="5">
        <v>6</v>
      </c>
      <c r="P51" s="5">
        <v>11</v>
      </c>
      <c r="Q51" s="5">
        <v>9</v>
      </c>
      <c r="R51" s="5">
        <v>15</v>
      </c>
      <c r="S51" s="5">
        <v>7</v>
      </c>
      <c r="T51" s="5">
        <v>10</v>
      </c>
      <c r="U51" s="5">
        <v>4</v>
      </c>
      <c r="V51" s="5">
        <v>0</v>
      </c>
      <c r="W51" s="5">
        <v>1</v>
      </c>
      <c r="X51" s="5">
        <v>0</v>
      </c>
      <c r="Y51" s="5">
        <v>0</v>
      </c>
      <c r="Z51" s="5">
        <v>0</v>
      </c>
      <c r="AA51" s="2"/>
      <c r="AC51" s="2" t="s">
        <v>2535</v>
      </c>
      <c r="AD51" s="2"/>
      <c r="AE51" s="5">
        <v>19</v>
      </c>
      <c r="AF51" s="5">
        <v>22</v>
      </c>
      <c r="AG51" s="5">
        <v>7</v>
      </c>
      <c r="AH51" s="5">
        <v>6</v>
      </c>
      <c r="AI51" s="5"/>
      <c r="AK51" s="3" t="s">
        <v>2585</v>
      </c>
      <c r="AL51" s="2"/>
      <c r="AM51" s="5">
        <v>8</v>
      </c>
      <c r="AN51" s="5">
        <v>4</v>
      </c>
      <c r="AO51" s="2"/>
      <c r="AP51" s="2"/>
      <c r="AQ51" s="2"/>
      <c r="AR51" s="2"/>
      <c r="AS51" s="2"/>
      <c r="AT51" s="2"/>
      <c r="AU51" s="2"/>
      <c r="AV51" s="2"/>
      <c r="AW51" s="2"/>
      <c r="AX51" s="2"/>
      <c r="BF51" s="5"/>
      <c r="BH51" s="2" t="s">
        <v>2658</v>
      </c>
      <c r="BI51" s="5">
        <v>1</v>
      </c>
      <c r="BJ51" s="5">
        <v>0.1</v>
      </c>
      <c r="BK51" s="5"/>
      <c r="BL51" s="2"/>
      <c r="BM51" s="2"/>
      <c r="BN51" s="2"/>
      <c r="BO51" s="2"/>
      <c r="BP51" s="2"/>
      <c r="BQ51" s="2"/>
      <c r="BS51" s="2" t="s">
        <v>2677</v>
      </c>
      <c r="BT51" s="5">
        <v>0</v>
      </c>
      <c r="BU51" s="5">
        <v>0</v>
      </c>
      <c r="BV51" s="5">
        <v>0</v>
      </c>
      <c r="BW51" s="5">
        <v>0</v>
      </c>
      <c r="BX51" s="5">
        <v>0</v>
      </c>
      <c r="BY51" s="5"/>
      <c r="CA51" s="2" t="s">
        <v>2436</v>
      </c>
      <c r="CB51" s="5">
        <v>6</v>
      </c>
      <c r="CC51" s="5">
        <v>2</v>
      </c>
      <c r="CD51" s="5">
        <v>4</v>
      </c>
      <c r="CE51" s="22">
        <v>11</v>
      </c>
      <c r="CF51" s="22">
        <v>10</v>
      </c>
      <c r="CG51" s="22">
        <v>1</v>
      </c>
      <c r="CH51" s="22">
        <v>9</v>
      </c>
      <c r="CI51" s="22">
        <v>9</v>
      </c>
      <c r="CJ51" s="22">
        <v>0</v>
      </c>
      <c r="CZ51" s="13" t="s">
        <v>2744</v>
      </c>
      <c r="DA51" s="14"/>
      <c r="DB51" s="14"/>
      <c r="DC51" s="14"/>
      <c r="DD51" s="14"/>
      <c r="DE51" s="14"/>
      <c r="DF51" s="14"/>
      <c r="DG51" s="2"/>
    </row>
    <row r="52" spans="1:112" ht="12.95" customHeight="1">
      <c r="A52" s="345" t="s">
        <v>2430</v>
      </c>
      <c r="B52" s="365">
        <v>2023</v>
      </c>
      <c r="C52" s="365">
        <v>2022</v>
      </c>
      <c r="D52" s="365">
        <v>2021</v>
      </c>
      <c r="E52" s="366">
        <v>2020</v>
      </c>
      <c r="L52" s="2" t="s">
        <v>2436</v>
      </c>
      <c r="M52" s="5">
        <v>164</v>
      </c>
      <c r="N52" s="5">
        <v>5</v>
      </c>
      <c r="O52" s="5">
        <v>13</v>
      </c>
      <c r="P52" s="5">
        <v>29</v>
      </c>
      <c r="Q52" s="5">
        <v>40</v>
      </c>
      <c r="R52" s="5">
        <v>23</v>
      </c>
      <c r="S52" s="5">
        <v>15</v>
      </c>
      <c r="T52" s="5">
        <v>16</v>
      </c>
      <c r="U52" s="5">
        <v>10</v>
      </c>
      <c r="V52" s="5">
        <v>2</v>
      </c>
      <c r="W52" s="5">
        <v>5</v>
      </c>
      <c r="X52" s="5">
        <v>4</v>
      </c>
      <c r="Y52" s="5">
        <v>2</v>
      </c>
      <c r="Z52" s="5">
        <v>0</v>
      </c>
      <c r="AA52" s="2"/>
      <c r="AC52" s="2" t="s">
        <v>2536</v>
      </c>
      <c r="AD52" s="2"/>
      <c r="AE52" s="5">
        <v>0</v>
      </c>
      <c r="AF52" s="5">
        <v>1</v>
      </c>
      <c r="AG52" s="5">
        <v>0</v>
      </c>
      <c r="AH52" s="5">
        <v>0</v>
      </c>
      <c r="AI52" s="5"/>
      <c r="AK52" s="3" t="s">
        <v>2586</v>
      </c>
      <c r="AL52" s="2"/>
      <c r="AM52" s="5">
        <v>4</v>
      </c>
      <c r="AN52" s="5">
        <v>0</v>
      </c>
      <c r="AO52" s="2"/>
      <c r="AP52" s="2"/>
      <c r="AQ52" s="2"/>
      <c r="AR52" s="2"/>
      <c r="AS52" s="2"/>
      <c r="AT52" s="2"/>
      <c r="AU52" s="2"/>
      <c r="AV52" s="2"/>
      <c r="AW52" s="2"/>
      <c r="AX52" s="2"/>
      <c r="BF52" s="5"/>
      <c r="BH52" s="2" t="s">
        <v>2659</v>
      </c>
      <c r="BI52" s="5">
        <v>1</v>
      </c>
      <c r="BJ52" s="5">
        <v>0.1</v>
      </c>
      <c r="BK52" s="5"/>
      <c r="BL52" s="3"/>
      <c r="BM52" s="3"/>
      <c r="BN52" s="2"/>
      <c r="BO52" s="2"/>
      <c r="BP52" s="2"/>
      <c r="BQ52" s="2"/>
      <c r="BS52" s="2" t="s">
        <v>2678</v>
      </c>
      <c r="BT52" s="5">
        <v>2</v>
      </c>
      <c r="BU52" s="5">
        <v>0</v>
      </c>
      <c r="BV52" s="5">
        <v>0</v>
      </c>
      <c r="BW52" s="5">
        <v>11</v>
      </c>
      <c r="BX52" s="5">
        <v>7</v>
      </c>
      <c r="BY52" s="5"/>
      <c r="CA52" s="2" t="s">
        <v>2710</v>
      </c>
      <c r="CB52" s="5">
        <v>1</v>
      </c>
      <c r="CC52" s="5">
        <v>1</v>
      </c>
      <c r="CD52" s="5">
        <v>0</v>
      </c>
      <c r="CE52" s="22">
        <v>8</v>
      </c>
      <c r="CF52" s="22">
        <v>7</v>
      </c>
      <c r="CG52" s="22">
        <v>1</v>
      </c>
      <c r="CH52" s="22">
        <v>10</v>
      </c>
      <c r="CI52" s="22">
        <v>10</v>
      </c>
      <c r="CJ52" s="22">
        <v>0</v>
      </c>
      <c r="CZ52" s="13" t="s">
        <v>2745</v>
      </c>
      <c r="DA52" s="14"/>
      <c r="DB52" s="14"/>
      <c r="DC52" s="14"/>
      <c r="DD52" s="14"/>
      <c r="DE52" s="14"/>
      <c r="DF52" s="14"/>
    </row>
    <row r="53" spans="1:112" ht="12.95" customHeight="1">
      <c r="A53" s="30" t="s">
        <v>2313</v>
      </c>
      <c r="B53" s="363">
        <v>5278</v>
      </c>
      <c r="C53" s="363">
        <v>5214</v>
      </c>
      <c r="D53" s="363">
        <v>4335</v>
      </c>
      <c r="E53" s="363">
        <v>3564</v>
      </c>
      <c r="L53" s="2" t="s">
        <v>2438</v>
      </c>
      <c r="M53" s="5">
        <v>102</v>
      </c>
      <c r="N53" s="5">
        <v>21</v>
      </c>
      <c r="O53" s="5">
        <v>18</v>
      </c>
      <c r="P53" s="5">
        <v>20</v>
      </c>
      <c r="Q53" s="5">
        <v>19</v>
      </c>
      <c r="R53" s="5">
        <v>8</v>
      </c>
      <c r="S53" s="5">
        <v>5</v>
      </c>
      <c r="T53" s="5">
        <v>7</v>
      </c>
      <c r="U53" s="5">
        <v>3</v>
      </c>
      <c r="V53" s="5">
        <v>1</v>
      </c>
      <c r="W53" s="5">
        <v>0</v>
      </c>
      <c r="X53" s="5">
        <v>0</v>
      </c>
      <c r="Y53" s="5">
        <v>0</v>
      </c>
      <c r="Z53" s="5">
        <v>0</v>
      </c>
      <c r="AA53" s="2"/>
      <c r="AC53" s="2" t="s">
        <v>2537</v>
      </c>
      <c r="AD53" s="2"/>
      <c r="AE53" s="5">
        <v>0</v>
      </c>
      <c r="AF53" s="5">
        <v>0</v>
      </c>
      <c r="AG53" s="5">
        <v>0</v>
      </c>
      <c r="AH53" s="5">
        <v>0</v>
      </c>
      <c r="AI53" s="5"/>
      <c r="AK53" s="3" t="s">
        <v>2587</v>
      </c>
      <c r="AL53" s="2"/>
      <c r="AM53" s="5">
        <v>2</v>
      </c>
      <c r="AN53" s="5">
        <v>1</v>
      </c>
      <c r="AO53" s="2"/>
      <c r="AP53" s="2"/>
      <c r="AQ53" s="2"/>
      <c r="AR53" s="2"/>
      <c r="AS53" s="2"/>
      <c r="AT53" s="2"/>
      <c r="AU53" s="2"/>
      <c r="AV53" s="2"/>
      <c r="AW53" s="2"/>
      <c r="AX53" s="2"/>
      <c r="BF53" s="5"/>
      <c r="BH53" s="2" t="s">
        <v>2660</v>
      </c>
      <c r="BI53" s="5">
        <v>1</v>
      </c>
      <c r="BJ53" s="5">
        <v>0.1</v>
      </c>
      <c r="BK53" s="5"/>
      <c r="BL53" s="2"/>
      <c r="BM53" s="2"/>
      <c r="BN53" s="2"/>
      <c r="BO53" s="2"/>
      <c r="BP53" s="2"/>
      <c r="BQ53" s="2"/>
      <c r="BS53" s="2" t="s">
        <v>2536</v>
      </c>
      <c r="BT53" s="5">
        <v>0</v>
      </c>
      <c r="BU53" s="5">
        <v>0</v>
      </c>
      <c r="BV53" s="5">
        <v>0</v>
      </c>
      <c r="BW53" s="5">
        <v>0</v>
      </c>
      <c r="BX53" s="5">
        <v>0</v>
      </c>
      <c r="BY53" s="5"/>
      <c r="CA53" s="2" t="s">
        <v>2711</v>
      </c>
      <c r="CB53" s="5">
        <v>0</v>
      </c>
      <c r="CC53" s="5">
        <v>0</v>
      </c>
      <c r="CD53" s="5">
        <v>0</v>
      </c>
      <c r="CE53" s="22">
        <v>4</v>
      </c>
      <c r="CF53" s="22">
        <v>4</v>
      </c>
      <c r="CG53" s="22">
        <v>0</v>
      </c>
      <c r="CH53" s="22">
        <v>6</v>
      </c>
      <c r="CI53" s="22">
        <v>5</v>
      </c>
      <c r="CJ53" s="22">
        <v>1</v>
      </c>
      <c r="CZ53" s="13" t="s">
        <v>2746</v>
      </c>
      <c r="DA53" s="14"/>
      <c r="DB53" s="14"/>
      <c r="DC53" s="14"/>
      <c r="DD53" s="14"/>
      <c r="DE53" s="14"/>
      <c r="DF53" s="14"/>
    </row>
    <row r="54" spans="1:112" ht="12.95" customHeight="1">
      <c r="A54" s="30" t="s">
        <v>2444</v>
      </c>
      <c r="B54" s="62">
        <v>738</v>
      </c>
      <c r="C54" s="62">
        <v>802</v>
      </c>
      <c r="D54" s="62">
        <v>665</v>
      </c>
      <c r="E54" s="62">
        <v>703</v>
      </c>
      <c r="L54" s="2" t="s">
        <v>2447</v>
      </c>
      <c r="M54" s="5">
        <v>305</v>
      </c>
      <c r="N54" s="5">
        <v>92</v>
      </c>
      <c r="O54" s="5">
        <v>32</v>
      </c>
      <c r="P54" s="5">
        <v>38</v>
      </c>
      <c r="Q54" s="5">
        <v>33</v>
      </c>
      <c r="R54" s="5">
        <v>24</v>
      </c>
      <c r="S54" s="5">
        <v>30</v>
      </c>
      <c r="T54" s="5">
        <v>15</v>
      </c>
      <c r="U54" s="5">
        <v>16</v>
      </c>
      <c r="V54" s="5">
        <v>12</v>
      </c>
      <c r="W54" s="5">
        <v>6</v>
      </c>
      <c r="X54" s="5">
        <v>1</v>
      </c>
      <c r="Y54" s="5">
        <v>3</v>
      </c>
      <c r="Z54" s="5">
        <v>3</v>
      </c>
      <c r="AA54" s="2"/>
      <c r="AC54" s="2" t="s">
        <v>2538</v>
      </c>
      <c r="AD54" s="2"/>
      <c r="AE54" s="5">
        <v>0</v>
      </c>
      <c r="AF54" s="5">
        <v>0</v>
      </c>
      <c r="AG54" s="5">
        <v>0</v>
      </c>
      <c r="AH54" s="5">
        <v>0</v>
      </c>
      <c r="AI54" s="5"/>
      <c r="AK54" s="23" t="s">
        <v>2588</v>
      </c>
      <c r="AL54" s="10"/>
      <c r="AM54" s="11">
        <v>3</v>
      </c>
      <c r="AN54" s="11">
        <v>1</v>
      </c>
      <c r="AO54" s="10"/>
      <c r="AP54" s="10"/>
      <c r="AQ54" s="2"/>
      <c r="AR54" s="2"/>
      <c r="AS54" s="2"/>
      <c r="AT54" s="2"/>
      <c r="AU54" s="2"/>
      <c r="AV54" s="2"/>
      <c r="AW54" s="2"/>
      <c r="AX54" s="2"/>
      <c r="BF54" s="5"/>
      <c r="BH54" s="2" t="s">
        <v>2661</v>
      </c>
      <c r="BI54" s="5">
        <v>7</v>
      </c>
      <c r="BJ54" s="88">
        <v>1</v>
      </c>
      <c r="BK54" s="5"/>
      <c r="BL54" s="2"/>
      <c r="BM54" s="2"/>
      <c r="BN54" s="2"/>
      <c r="BO54" s="2"/>
      <c r="BP54" s="2"/>
      <c r="BQ54" s="2"/>
      <c r="BS54" s="2" t="s">
        <v>2537</v>
      </c>
      <c r="BT54" s="5">
        <v>0</v>
      </c>
      <c r="BU54" s="5">
        <v>0</v>
      </c>
      <c r="BV54" s="5">
        <v>0</v>
      </c>
      <c r="BW54" s="5">
        <v>0</v>
      </c>
      <c r="BX54" s="5">
        <v>0</v>
      </c>
      <c r="BY54" s="5"/>
      <c r="CA54" s="2" t="s">
        <v>2712</v>
      </c>
      <c r="CB54" s="5">
        <v>7</v>
      </c>
      <c r="CC54" s="5">
        <v>5</v>
      </c>
      <c r="CD54" s="5">
        <v>2</v>
      </c>
      <c r="CE54" s="22">
        <v>3</v>
      </c>
      <c r="CF54" s="22">
        <v>2</v>
      </c>
      <c r="CG54" s="22">
        <v>1</v>
      </c>
      <c r="CH54" s="22">
        <v>9</v>
      </c>
      <c r="CI54" s="22">
        <v>8</v>
      </c>
      <c r="CJ54" s="22">
        <v>1</v>
      </c>
      <c r="CZ54" s="2"/>
      <c r="DA54" s="2"/>
      <c r="DB54" s="2"/>
      <c r="DC54" s="2"/>
      <c r="DD54" s="2"/>
      <c r="DE54" s="2"/>
      <c r="DF54" s="2"/>
    </row>
    <row r="55" spans="1:112" ht="12.95" customHeight="1">
      <c r="A55" s="30" t="s">
        <v>2433</v>
      </c>
      <c r="B55" s="62">
        <v>7</v>
      </c>
      <c r="C55" s="62">
        <v>13</v>
      </c>
      <c r="D55" s="62">
        <v>9</v>
      </c>
      <c r="E55" s="62">
        <v>7</v>
      </c>
      <c r="L55" s="2" t="s">
        <v>2440</v>
      </c>
      <c r="M55" s="5">
        <v>57</v>
      </c>
      <c r="N55" s="5">
        <v>26</v>
      </c>
      <c r="O55" s="5">
        <v>6</v>
      </c>
      <c r="P55" s="5">
        <v>6</v>
      </c>
      <c r="Q55" s="5">
        <v>7</v>
      </c>
      <c r="R55" s="5">
        <v>1</v>
      </c>
      <c r="S55" s="5">
        <v>1</v>
      </c>
      <c r="T55" s="5">
        <v>3</v>
      </c>
      <c r="U55" s="5">
        <v>2</v>
      </c>
      <c r="V55" s="5">
        <v>5</v>
      </c>
      <c r="W55" s="5">
        <v>0</v>
      </c>
      <c r="X55" s="5">
        <v>0</v>
      </c>
      <c r="Y55" s="5">
        <v>0</v>
      </c>
      <c r="Z55" s="5">
        <v>0</v>
      </c>
      <c r="AA55" s="2"/>
      <c r="AC55" s="2" t="s">
        <v>2539</v>
      </c>
      <c r="AD55" s="2"/>
      <c r="AE55" s="5">
        <v>0</v>
      </c>
      <c r="AF55" s="5">
        <v>0</v>
      </c>
      <c r="AG55" s="5">
        <v>0</v>
      </c>
      <c r="AH55" s="5">
        <v>0</v>
      </c>
      <c r="AI55" s="5"/>
      <c r="AK55" s="13" t="s">
        <v>2558</v>
      </c>
      <c r="AL55" s="14"/>
      <c r="AM55" s="14"/>
      <c r="AN55" s="14"/>
      <c r="AO55" s="14"/>
      <c r="AP55" s="14"/>
      <c r="AQ55" s="14"/>
      <c r="AR55" s="14"/>
      <c r="AS55" s="14"/>
      <c r="AT55" s="14"/>
      <c r="AU55" s="14"/>
      <c r="AV55" s="14"/>
      <c r="AW55" s="14"/>
      <c r="AX55" s="14"/>
      <c r="AY55" s="25"/>
      <c r="BF55" s="5"/>
      <c r="BH55" s="2" t="s">
        <v>2597</v>
      </c>
      <c r="BI55" s="5">
        <v>1</v>
      </c>
      <c r="BJ55" s="5">
        <v>0.1</v>
      </c>
      <c r="BK55" s="5"/>
      <c r="BL55" s="2"/>
      <c r="BM55" s="2"/>
      <c r="BN55" s="2"/>
      <c r="BO55" s="2"/>
      <c r="BP55" s="2"/>
      <c r="BQ55" s="2"/>
      <c r="BS55" s="2" t="s">
        <v>2538</v>
      </c>
      <c r="BT55" s="5">
        <v>0</v>
      </c>
      <c r="BU55" s="5">
        <v>0</v>
      </c>
      <c r="BV55" s="5">
        <v>0</v>
      </c>
      <c r="BW55" s="5">
        <v>0</v>
      </c>
      <c r="BX55" s="5">
        <v>0</v>
      </c>
      <c r="BY55" s="5"/>
      <c r="CA55" s="2" t="s">
        <v>2713</v>
      </c>
      <c r="CB55" s="5">
        <v>0</v>
      </c>
      <c r="CC55" s="5">
        <v>0</v>
      </c>
      <c r="CD55" s="5">
        <v>0</v>
      </c>
      <c r="CE55" s="22">
        <v>2</v>
      </c>
      <c r="CF55" s="22">
        <v>2</v>
      </c>
      <c r="CG55" s="22">
        <v>0</v>
      </c>
      <c r="CH55" s="22">
        <v>0</v>
      </c>
      <c r="CI55" s="22">
        <v>0</v>
      </c>
      <c r="CJ55" s="22">
        <v>0</v>
      </c>
    </row>
    <row r="56" spans="1:112" ht="12.95" customHeight="1">
      <c r="A56" s="30" t="s">
        <v>2445</v>
      </c>
      <c r="B56" s="62">
        <v>268</v>
      </c>
      <c r="C56" s="62">
        <v>268</v>
      </c>
      <c r="D56" s="62">
        <v>180</v>
      </c>
      <c r="E56" s="62">
        <v>219</v>
      </c>
      <c r="L56" s="2" t="s">
        <v>2441</v>
      </c>
      <c r="M56" s="5">
        <v>1</v>
      </c>
      <c r="N56" s="5">
        <v>0</v>
      </c>
      <c r="O56" s="5">
        <v>0</v>
      </c>
      <c r="P56" s="5">
        <v>0</v>
      </c>
      <c r="Q56" s="5">
        <v>0</v>
      </c>
      <c r="R56" s="5">
        <v>0</v>
      </c>
      <c r="S56" s="5">
        <v>1</v>
      </c>
      <c r="T56" s="5">
        <v>0</v>
      </c>
      <c r="U56" s="5">
        <v>0</v>
      </c>
      <c r="V56" s="5">
        <v>0</v>
      </c>
      <c r="W56" s="5">
        <v>0</v>
      </c>
      <c r="X56" s="5">
        <v>0</v>
      </c>
      <c r="Y56" s="5">
        <v>0</v>
      </c>
      <c r="Z56" s="5">
        <v>0</v>
      </c>
      <c r="AA56" s="2"/>
      <c r="AC56" s="2" t="s">
        <v>2476</v>
      </c>
      <c r="AD56" s="2"/>
      <c r="AE56" s="5">
        <v>0</v>
      </c>
      <c r="AF56" s="5">
        <v>1</v>
      </c>
      <c r="AG56" s="5">
        <v>2</v>
      </c>
      <c r="AH56" s="5">
        <v>0</v>
      </c>
      <c r="AI56" s="5"/>
      <c r="BF56" s="5"/>
      <c r="BH56" s="10" t="s">
        <v>2574</v>
      </c>
      <c r="BI56" s="11">
        <v>5</v>
      </c>
      <c r="BJ56" s="11">
        <v>0.7</v>
      </c>
      <c r="BK56" s="11"/>
      <c r="BL56" s="10"/>
      <c r="BM56" s="10"/>
      <c r="BN56" s="10"/>
      <c r="BO56" s="10"/>
      <c r="BP56" s="10"/>
      <c r="BQ56" s="2"/>
      <c r="BS56" s="2" t="s">
        <v>2539</v>
      </c>
      <c r="BT56" s="5">
        <v>0</v>
      </c>
      <c r="BU56" s="5">
        <v>0</v>
      </c>
      <c r="BV56" s="5">
        <v>0</v>
      </c>
      <c r="BW56" s="5">
        <v>0</v>
      </c>
      <c r="BX56" s="5">
        <v>0</v>
      </c>
      <c r="BY56" s="5"/>
      <c r="CA56" s="2" t="s">
        <v>2435</v>
      </c>
      <c r="CB56" s="5">
        <v>3</v>
      </c>
      <c r="CC56" s="5">
        <v>3</v>
      </c>
      <c r="CD56" s="5">
        <v>0</v>
      </c>
      <c r="CE56" s="22">
        <v>2</v>
      </c>
      <c r="CF56" s="22">
        <v>2</v>
      </c>
      <c r="CG56" s="22">
        <v>0</v>
      </c>
      <c r="CH56" s="22">
        <v>7</v>
      </c>
      <c r="CI56" s="22">
        <v>7</v>
      </c>
      <c r="CJ56" s="22">
        <v>0</v>
      </c>
    </row>
    <row r="57" spans="1:112" ht="12.95" customHeight="1">
      <c r="A57" s="30" t="s">
        <v>2435</v>
      </c>
      <c r="B57" s="62">
        <v>109</v>
      </c>
      <c r="C57" s="62">
        <v>131</v>
      </c>
      <c r="D57" s="62">
        <v>57</v>
      </c>
      <c r="E57" s="62">
        <v>99</v>
      </c>
      <c r="L57" s="2"/>
      <c r="M57" s="2"/>
      <c r="N57" s="2"/>
      <c r="O57" s="2"/>
      <c r="P57" s="2"/>
      <c r="Q57" s="2"/>
      <c r="R57" s="2"/>
      <c r="S57" s="2"/>
      <c r="T57" s="2"/>
      <c r="U57" s="2"/>
      <c r="V57" s="2"/>
      <c r="W57" s="2"/>
      <c r="X57" s="2"/>
      <c r="Y57" s="2"/>
      <c r="Z57" s="2"/>
      <c r="AA57" s="2"/>
      <c r="AC57" s="2" t="s">
        <v>2540</v>
      </c>
      <c r="AD57" s="2"/>
      <c r="AE57" s="5">
        <v>0</v>
      </c>
      <c r="AF57" s="5">
        <v>0</v>
      </c>
      <c r="AG57" s="5">
        <v>0</v>
      </c>
      <c r="AH57" s="5">
        <v>1</v>
      </c>
      <c r="AI57" s="5"/>
      <c r="BF57" s="5"/>
      <c r="BH57" s="13" t="s">
        <v>2437</v>
      </c>
      <c r="BI57" s="14"/>
      <c r="BJ57" s="14"/>
      <c r="BK57" s="14"/>
      <c r="BL57" s="14"/>
      <c r="BM57" s="2"/>
      <c r="BN57" s="2"/>
      <c r="BO57" s="2"/>
      <c r="BP57" s="2"/>
      <c r="BQ57" s="2"/>
      <c r="BS57" s="2" t="s">
        <v>2476</v>
      </c>
      <c r="BT57" s="5">
        <v>0</v>
      </c>
      <c r="BU57" s="5">
        <v>0</v>
      </c>
      <c r="BV57" s="5">
        <v>0</v>
      </c>
      <c r="BW57" s="5">
        <v>0</v>
      </c>
      <c r="BX57" s="5">
        <v>4</v>
      </c>
      <c r="BY57" s="5"/>
      <c r="CA57" s="2" t="s">
        <v>2714</v>
      </c>
      <c r="CB57" s="5">
        <v>1</v>
      </c>
      <c r="CC57" s="5">
        <v>1</v>
      </c>
      <c r="CD57" s="5">
        <v>0</v>
      </c>
      <c r="CE57" s="22">
        <v>1</v>
      </c>
      <c r="CF57" s="22">
        <v>1</v>
      </c>
      <c r="CG57" s="22">
        <v>0</v>
      </c>
      <c r="CH57" s="22">
        <v>0</v>
      </c>
      <c r="CI57" s="22">
        <v>0</v>
      </c>
      <c r="CJ57" s="22">
        <v>0</v>
      </c>
    </row>
    <row r="58" spans="1:112" ht="12.95" customHeight="1">
      <c r="A58" s="30" t="s">
        <v>2436</v>
      </c>
      <c r="B58" s="62">
        <v>354</v>
      </c>
      <c r="C58" s="62">
        <v>390</v>
      </c>
      <c r="D58" s="62">
        <v>419</v>
      </c>
      <c r="E58" s="62">
        <v>378</v>
      </c>
      <c r="L58" s="2" t="s">
        <v>2468</v>
      </c>
      <c r="M58" s="47">
        <v>2233</v>
      </c>
      <c r="N58" s="5">
        <v>245</v>
      </c>
      <c r="O58" s="5">
        <v>168</v>
      </c>
      <c r="P58" s="5">
        <v>365</v>
      </c>
      <c r="Q58" s="5">
        <v>345</v>
      </c>
      <c r="R58" s="5">
        <v>326</v>
      </c>
      <c r="S58" s="5">
        <v>258</v>
      </c>
      <c r="T58" s="5">
        <v>186</v>
      </c>
      <c r="U58" s="5">
        <v>137</v>
      </c>
      <c r="V58" s="5">
        <v>80</v>
      </c>
      <c r="W58" s="5">
        <v>59</v>
      </c>
      <c r="X58" s="5">
        <v>23</v>
      </c>
      <c r="Y58" s="5">
        <v>23</v>
      </c>
      <c r="Z58" s="5">
        <v>18</v>
      </c>
      <c r="AA58" s="2"/>
      <c r="AC58" s="2" t="s">
        <v>2541</v>
      </c>
      <c r="AD58" s="2"/>
      <c r="AE58" s="5">
        <v>0</v>
      </c>
      <c r="AF58" s="5">
        <v>0</v>
      </c>
      <c r="AG58" s="5">
        <v>0</v>
      </c>
      <c r="AH58" s="5">
        <v>0</v>
      </c>
      <c r="AI58" s="5"/>
      <c r="AY58" s="25"/>
      <c r="BF58" s="2"/>
      <c r="BS58" s="2" t="s">
        <v>2540</v>
      </c>
      <c r="BT58" s="5">
        <v>0</v>
      </c>
      <c r="BU58" s="5">
        <v>0</v>
      </c>
      <c r="BV58" s="5">
        <v>0</v>
      </c>
      <c r="BW58" s="5">
        <v>0</v>
      </c>
      <c r="BX58" s="5">
        <v>0</v>
      </c>
      <c r="BY58" s="5"/>
      <c r="CA58" s="2" t="s">
        <v>2438</v>
      </c>
      <c r="CB58" s="5">
        <v>13</v>
      </c>
      <c r="CC58" s="5">
        <v>11</v>
      </c>
      <c r="CD58" s="5">
        <v>2</v>
      </c>
      <c r="CE58" s="22">
        <v>6</v>
      </c>
      <c r="CF58" s="22">
        <v>5</v>
      </c>
      <c r="CG58" s="22">
        <v>1</v>
      </c>
      <c r="CH58" s="22">
        <v>13</v>
      </c>
      <c r="CI58" s="22">
        <v>13</v>
      </c>
      <c r="CJ58" s="22">
        <v>0</v>
      </c>
    </row>
    <row r="59" spans="1:112" ht="12.95" customHeight="1">
      <c r="A59" s="30" t="s">
        <v>2446</v>
      </c>
      <c r="B59" s="363">
        <v>4540</v>
      </c>
      <c r="C59" s="363">
        <v>4412</v>
      </c>
      <c r="D59" s="363">
        <v>3670</v>
      </c>
      <c r="E59" s="363">
        <v>2861</v>
      </c>
      <c r="L59" s="2" t="s">
        <v>2469</v>
      </c>
      <c r="M59" s="5">
        <v>737</v>
      </c>
      <c r="N59" s="5">
        <v>47</v>
      </c>
      <c r="O59" s="5">
        <v>56</v>
      </c>
      <c r="P59" s="5">
        <v>113</v>
      </c>
      <c r="Q59" s="5">
        <v>117</v>
      </c>
      <c r="R59" s="5">
        <v>119</v>
      </c>
      <c r="S59" s="5">
        <v>102</v>
      </c>
      <c r="T59" s="5">
        <v>48</v>
      </c>
      <c r="U59" s="5">
        <v>57</v>
      </c>
      <c r="V59" s="5">
        <v>33</v>
      </c>
      <c r="W59" s="5">
        <v>19</v>
      </c>
      <c r="X59" s="5">
        <v>7</v>
      </c>
      <c r="Y59" s="5">
        <v>13</v>
      </c>
      <c r="Z59" s="5">
        <v>6</v>
      </c>
      <c r="AA59" s="2"/>
      <c r="AC59" s="2" t="s">
        <v>2542</v>
      </c>
      <c r="AD59" s="2"/>
      <c r="AE59" s="5">
        <v>137</v>
      </c>
      <c r="AF59" s="5">
        <v>109</v>
      </c>
      <c r="AG59" s="5">
        <v>137</v>
      </c>
      <c r="AH59" s="5">
        <v>92</v>
      </c>
      <c r="AI59" s="5"/>
      <c r="AK59" s="1" t="s">
        <v>2760</v>
      </c>
      <c r="AL59" s="2"/>
      <c r="AM59" s="2"/>
      <c r="AN59" s="2"/>
      <c r="AO59" s="2"/>
      <c r="BS59" s="2" t="s">
        <v>2541</v>
      </c>
      <c r="BT59" s="5">
        <v>0</v>
      </c>
      <c r="BU59" s="5">
        <v>0</v>
      </c>
      <c r="BV59" s="5">
        <v>0</v>
      </c>
      <c r="BW59" s="5">
        <v>0</v>
      </c>
      <c r="BX59" s="5">
        <v>0</v>
      </c>
      <c r="BY59" s="5"/>
      <c r="CA59" s="2" t="s">
        <v>2615</v>
      </c>
      <c r="CB59" s="5">
        <v>0</v>
      </c>
      <c r="CC59" s="5">
        <v>0</v>
      </c>
      <c r="CD59" s="5">
        <v>0</v>
      </c>
      <c r="CE59" s="22">
        <v>2</v>
      </c>
      <c r="CF59" s="22">
        <v>2</v>
      </c>
      <c r="CG59" s="22">
        <v>0</v>
      </c>
      <c r="CH59" s="22">
        <v>2</v>
      </c>
      <c r="CI59" s="22">
        <v>2</v>
      </c>
      <c r="CJ59" s="22">
        <v>0</v>
      </c>
    </row>
    <row r="60" spans="1:112" ht="12.95" customHeight="1">
      <c r="A60" s="30" t="s">
        <v>2438</v>
      </c>
      <c r="B60" s="363">
        <v>1609</v>
      </c>
      <c r="C60" s="363">
        <v>1433</v>
      </c>
      <c r="D60" s="363">
        <v>1272</v>
      </c>
      <c r="E60" s="363">
        <v>1324</v>
      </c>
      <c r="L60" s="2" t="s">
        <v>2470</v>
      </c>
      <c r="M60" s="5">
        <v>14</v>
      </c>
      <c r="N60" s="5">
        <v>0</v>
      </c>
      <c r="O60" s="5">
        <v>0</v>
      </c>
      <c r="P60" s="5">
        <v>5</v>
      </c>
      <c r="Q60" s="5">
        <v>2</v>
      </c>
      <c r="R60" s="5">
        <v>3</v>
      </c>
      <c r="S60" s="5">
        <v>0</v>
      </c>
      <c r="T60" s="5">
        <v>2</v>
      </c>
      <c r="U60" s="5">
        <v>1</v>
      </c>
      <c r="V60" s="5">
        <v>1</v>
      </c>
      <c r="W60" s="5">
        <v>0</v>
      </c>
      <c r="X60" s="5">
        <v>0</v>
      </c>
      <c r="Y60" s="5">
        <v>0</v>
      </c>
      <c r="Z60" s="5">
        <v>0</v>
      </c>
      <c r="AA60" s="2"/>
      <c r="AC60" s="2" t="s">
        <v>2543</v>
      </c>
      <c r="AD60" s="2"/>
      <c r="AE60" s="5">
        <v>6</v>
      </c>
      <c r="AF60" s="5">
        <v>4</v>
      </c>
      <c r="AG60" s="5">
        <v>6</v>
      </c>
      <c r="AH60" s="5">
        <v>7</v>
      </c>
      <c r="AI60" s="5"/>
      <c r="AK60" s="370" t="s">
        <v>2449</v>
      </c>
      <c r="AL60" s="33">
        <v>2021</v>
      </c>
      <c r="AM60" s="2"/>
      <c r="AN60" s="2"/>
      <c r="AO60" s="2"/>
      <c r="BS60" s="2" t="s">
        <v>2679</v>
      </c>
      <c r="BT60" s="5">
        <v>2</v>
      </c>
      <c r="BU60" s="5">
        <v>6</v>
      </c>
      <c r="BV60" s="5">
        <v>2</v>
      </c>
      <c r="BW60" s="5">
        <v>0</v>
      </c>
      <c r="BX60" s="5">
        <v>4</v>
      </c>
      <c r="BY60" s="5"/>
      <c r="CA60" s="2" t="s">
        <v>2601</v>
      </c>
      <c r="CB60" s="5">
        <v>15</v>
      </c>
      <c r="CC60" s="5">
        <v>14</v>
      </c>
      <c r="CD60" s="5">
        <v>1</v>
      </c>
      <c r="CE60" s="22">
        <v>19</v>
      </c>
      <c r="CF60" s="22">
        <v>18</v>
      </c>
      <c r="CG60" s="22">
        <v>1</v>
      </c>
      <c r="CH60" s="22">
        <v>18</v>
      </c>
      <c r="CI60" s="22">
        <v>17</v>
      </c>
      <c r="CJ60" s="22">
        <v>1</v>
      </c>
    </row>
    <row r="61" spans="1:112" ht="12.95" customHeight="1">
      <c r="A61" s="30" t="s">
        <v>2447</v>
      </c>
      <c r="B61" s="363">
        <v>2520</v>
      </c>
      <c r="C61" s="363">
        <v>2590</v>
      </c>
      <c r="D61" s="363">
        <v>2048</v>
      </c>
      <c r="E61" s="363">
        <v>1162</v>
      </c>
      <c r="L61" s="2" t="s">
        <v>2471</v>
      </c>
      <c r="M61" s="5">
        <v>104</v>
      </c>
      <c r="N61" s="5">
        <v>3</v>
      </c>
      <c r="O61" s="5">
        <v>4</v>
      </c>
      <c r="P61" s="5">
        <v>19</v>
      </c>
      <c r="Q61" s="5">
        <v>23</v>
      </c>
      <c r="R61" s="5">
        <v>14</v>
      </c>
      <c r="S61" s="5">
        <v>10</v>
      </c>
      <c r="T61" s="5">
        <v>7</v>
      </c>
      <c r="U61" s="5">
        <v>14</v>
      </c>
      <c r="V61" s="5">
        <v>8</v>
      </c>
      <c r="W61" s="5">
        <v>1</v>
      </c>
      <c r="X61" s="5">
        <v>0</v>
      </c>
      <c r="Y61" s="5">
        <v>1</v>
      </c>
      <c r="Z61" s="5">
        <v>0</v>
      </c>
      <c r="AA61" s="2"/>
      <c r="AC61" s="2"/>
      <c r="AD61" s="2"/>
      <c r="AE61" s="2"/>
      <c r="AF61" s="2"/>
      <c r="AG61" s="2"/>
      <c r="AH61" s="2"/>
      <c r="AI61" s="5"/>
      <c r="AK61" s="3" t="s">
        <v>129</v>
      </c>
      <c r="AL61" s="5">
        <v>358</v>
      </c>
      <c r="AM61" s="2"/>
      <c r="AN61" s="2"/>
      <c r="AO61" s="2"/>
      <c r="BS61" s="2" t="s">
        <v>2543</v>
      </c>
      <c r="BT61" s="5">
        <v>0</v>
      </c>
      <c r="BU61" s="5">
        <v>0</v>
      </c>
      <c r="BV61" s="5">
        <v>0</v>
      </c>
      <c r="BW61" s="5">
        <v>2</v>
      </c>
      <c r="BX61" s="5">
        <v>0</v>
      </c>
      <c r="BY61" s="5"/>
      <c r="CA61" s="2" t="s">
        <v>2611</v>
      </c>
      <c r="CB61" s="5">
        <v>2</v>
      </c>
      <c r="CC61" s="5">
        <v>2</v>
      </c>
      <c r="CD61" s="5">
        <v>0</v>
      </c>
      <c r="CE61" s="22">
        <v>2</v>
      </c>
      <c r="CF61" s="22">
        <v>2</v>
      </c>
      <c r="CG61" s="22">
        <v>0</v>
      </c>
      <c r="CH61" s="22">
        <v>11</v>
      </c>
      <c r="CI61" s="22">
        <v>10</v>
      </c>
      <c r="CJ61" s="22">
        <v>1</v>
      </c>
    </row>
    <row r="62" spans="1:112" ht="12.95" customHeight="1">
      <c r="A62" s="30" t="s">
        <v>2440</v>
      </c>
      <c r="B62" s="62">
        <v>384</v>
      </c>
      <c r="C62" s="62">
        <v>377</v>
      </c>
      <c r="D62" s="62">
        <v>330</v>
      </c>
      <c r="E62" s="62">
        <v>364</v>
      </c>
      <c r="L62" s="2" t="s">
        <v>2472</v>
      </c>
      <c r="M62" s="5">
        <v>0</v>
      </c>
      <c r="N62" s="5">
        <v>0</v>
      </c>
      <c r="O62" s="5">
        <v>0</v>
      </c>
      <c r="P62" s="5">
        <v>0</v>
      </c>
      <c r="Q62" s="5">
        <v>0</v>
      </c>
      <c r="R62" s="5">
        <v>0</v>
      </c>
      <c r="S62" s="5">
        <v>0</v>
      </c>
      <c r="T62" s="5">
        <v>0</v>
      </c>
      <c r="U62" s="5">
        <v>0</v>
      </c>
      <c r="V62" s="5">
        <v>0</v>
      </c>
      <c r="W62" s="5">
        <v>0</v>
      </c>
      <c r="X62" s="5">
        <v>0</v>
      </c>
      <c r="Y62" s="5">
        <v>0</v>
      </c>
      <c r="Z62" s="5">
        <v>0</v>
      </c>
      <c r="AA62" s="2"/>
      <c r="AC62" s="2" t="s">
        <v>2544</v>
      </c>
      <c r="AD62" s="2"/>
      <c r="AE62" s="47">
        <v>3915</v>
      </c>
      <c r="AF62" s="47">
        <v>4555</v>
      </c>
      <c r="AG62" s="47">
        <v>4796</v>
      </c>
      <c r="AH62" s="47">
        <v>2718</v>
      </c>
      <c r="AI62" s="2"/>
      <c r="AK62" s="3" t="s">
        <v>2589</v>
      </c>
      <c r="AL62" s="5">
        <v>14</v>
      </c>
      <c r="AM62" s="2"/>
      <c r="AN62" s="2"/>
      <c r="AO62" s="2"/>
      <c r="BS62" s="2"/>
      <c r="BT62" s="2"/>
      <c r="BU62" s="2"/>
      <c r="BV62" s="2"/>
      <c r="BW62" s="2"/>
      <c r="BX62" s="2"/>
      <c r="BY62" s="5"/>
      <c r="CA62" s="2" t="s">
        <v>2715</v>
      </c>
      <c r="CB62" s="5">
        <v>0</v>
      </c>
      <c r="CC62" s="5">
        <v>0</v>
      </c>
      <c r="CD62" s="5">
        <v>0</v>
      </c>
      <c r="CE62" s="22">
        <v>1</v>
      </c>
      <c r="CF62" s="22">
        <v>1</v>
      </c>
      <c r="CG62" s="22">
        <v>0</v>
      </c>
      <c r="CH62" s="22">
        <v>5</v>
      </c>
      <c r="CI62" s="22">
        <v>5</v>
      </c>
      <c r="CJ62" s="22">
        <v>0</v>
      </c>
    </row>
    <row r="63" spans="1:112" ht="12.95" customHeight="1">
      <c r="A63" s="299" t="s">
        <v>2441</v>
      </c>
      <c r="B63" s="364">
        <v>27</v>
      </c>
      <c r="C63" s="364">
        <v>12</v>
      </c>
      <c r="D63" s="364">
        <v>20</v>
      </c>
      <c r="E63" s="364">
        <v>11</v>
      </c>
      <c r="L63" s="2" t="s">
        <v>2473</v>
      </c>
      <c r="M63" s="5">
        <v>14</v>
      </c>
      <c r="N63" s="5">
        <v>1</v>
      </c>
      <c r="O63" s="5">
        <v>1</v>
      </c>
      <c r="P63" s="5">
        <v>2</v>
      </c>
      <c r="Q63" s="5">
        <v>1</v>
      </c>
      <c r="R63" s="5">
        <v>3</v>
      </c>
      <c r="S63" s="5">
        <v>2</v>
      </c>
      <c r="T63" s="5">
        <v>2</v>
      </c>
      <c r="U63" s="5">
        <v>0</v>
      </c>
      <c r="V63" s="5">
        <v>0</v>
      </c>
      <c r="W63" s="5">
        <v>1</v>
      </c>
      <c r="X63" s="5">
        <v>0</v>
      </c>
      <c r="Y63" s="5">
        <v>0</v>
      </c>
      <c r="Z63" s="5">
        <v>1</v>
      </c>
      <c r="AA63" s="2"/>
      <c r="AC63" s="2" t="s">
        <v>2545</v>
      </c>
      <c r="AD63" s="2"/>
      <c r="AE63" s="5">
        <v>0</v>
      </c>
      <c r="AF63" s="5">
        <v>0</v>
      </c>
      <c r="AG63" s="5">
        <v>9</v>
      </c>
      <c r="AH63" s="5">
        <v>9</v>
      </c>
      <c r="AI63" s="47"/>
      <c r="AK63" s="3" t="s">
        <v>2561</v>
      </c>
      <c r="AL63" s="5">
        <v>85</v>
      </c>
      <c r="AM63" s="2"/>
      <c r="AN63" s="2"/>
      <c r="AO63" s="2"/>
      <c r="AP63" s="2"/>
      <c r="AQ63" s="2"/>
      <c r="AR63" s="2"/>
      <c r="AS63" s="2"/>
      <c r="AT63" s="2"/>
      <c r="AU63" s="2"/>
      <c r="AV63" s="2"/>
      <c r="AW63" s="2"/>
      <c r="AX63" s="2"/>
      <c r="BS63" s="2" t="s">
        <v>2680</v>
      </c>
      <c r="BT63" s="5">
        <v>741</v>
      </c>
      <c r="BU63" s="5">
        <v>601</v>
      </c>
      <c r="BV63" s="5">
        <v>252</v>
      </c>
      <c r="BW63" s="5">
        <v>383</v>
      </c>
      <c r="BX63" s="5">
        <v>665</v>
      </c>
      <c r="BY63" s="2"/>
      <c r="CA63" s="2" t="s">
        <v>2716</v>
      </c>
      <c r="CB63" s="5">
        <v>0</v>
      </c>
      <c r="CC63" s="5">
        <v>0</v>
      </c>
      <c r="CD63" s="5">
        <v>0</v>
      </c>
      <c r="CE63" s="22">
        <v>1</v>
      </c>
      <c r="CF63" s="22">
        <v>1</v>
      </c>
      <c r="CG63" s="22">
        <v>0</v>
      </c>
      <c r="CH63" s="22">
        <v>0</v>
      </c>
      <c r="CI63" s="22">
        <v>0</v>
      </c>
      <c r="CJ63" s="22">
        <v>0</v>
      </c>
    </row>
    <row r="64" spans="1:112" ht="12.95" customHeight="1">
      <c r="A64" s="13" t="s">
        <v>2437</v>
      </c>
      <c r="B64" s="3"/>
      <c r="C64" s="3"/>
      <c r="D64" s="3"/>
      <c r="E64" s="3"/>
      <c r="F64" s="3"/>
      <c r="L64" s="2" t="s">
        <v>2474</v>
      </c>
      <c r="M64" s="5">
        <v>125</v>
      </c>
      <c r="N64" s="5">
        <v>12</v>
      </c>
      <c r="O64" s="5">
        <v>20</v>
      </c>
      <c r="P64" s="5">
        <v>30</v>
      </c>
      <c r="Q64" s="5">
        <v>20</v>
      </c>
      <c r="R64" s="5">
        <v>18</v>
      </c>
      <c r="S64" s="5">
        <v>9</v>
      </c>
      <c r="T64" s="5">
        <v>6</v>
      </c>
      <c r="U64" s="5">
        <v>5</v>
      </c>
      <c r="V64" s="5">
        <v>2</v>
      </c>
      <c r="W64" s="5">
        <v>1</v>
      </c>
      <c r="X64" s="5">
        <v>0</v>
      </c>
      <c r="Y64" s="5">
        <v>0</v>
      </c>
      <c r="Z64" s="5">
        <v>2</v>
      </c>
      <c r="AA64" s="2"/>
      <c r="AC64" s="2" t="s">
        <v>2484</v>
      </c>
      <c r="AD64" s="2"/>
      <c r="AE64" s="5">
        <v>367</v>
      </c>
      <c r="AF64" s="5">
        <v>404</v>
      </c>
      <c r="AG64" s="5">
        <v>319</v>
      </c>
      <c r="AH64" s="5">
        <v>346</v>
      </c>
      <c r="AI64" s="5"/>
      <c r="AK64" s="3" t="s">
        <v>2562</v>
      </c>
      <c r="AL64" s="5">
        <v>71</v>
      </c>
      <c r="AM64" s="2"/>
      <c r="AN64" s="2"/>
      <c r="AO64" s="2"/>
      <c r="AP64" s="2"/>
      <c r="AQ64" s="2"/>
      <c r="AR64" s="2"/>
      <c r="AS64" s="2"/>
      <c r="AT64" s="2"/>
      <c r="AU64" s="2"/>
      <c r="AV64" s="2"/>
      <c r="AW64" s="2"/>
      <c r="AX64" s="2"/>
      <c r="BS64" s="2" t="s">
        <v>2545</v>
      </c>
      <c r="BT64" s="5">
        <v>0</v>
      </c>
      <c r="BU64" s="5">
        <v>0</v>
      </c>
      <c r="BV64" s="5">
        <v>0</v>
      </c>
      <c r="BW64" s="5">
        <v>0</v>
      </c>
      <c r="BX64" s="5">
        <v>0</v>
      </c>
      <c r="BY64" s="5"/>
      <c r="CA64" s="2" t="s">
        <v>2717</v>
      </c>
      <c r="CB64" s="5">
        <v>5</v>
      </c>
      <c r="CC64" s="5">
        <v>5</v>
      </c>
      <c r="CD64" s="5">
        <v>0</v>
      </c>
      <c r="CE64" s="22">
        <v>4</v>
      </c>
      <c r="CF64" s="22">
        <v>4</v>
      </c>
      <c r="CG64" s="22">
        <v>0</v>
      </c>
      <c r="CH64" s="22">
        <v>1</v>
      </c>
      <c r="CI64" s="22">
        <v>1</v>
      </c>
      <c r="CJ64" s="22">
        <v>0</v>
      </c>
    </row>
    <row r="65" spans="12:88" ht="12.95" customHeight="1">
      <c r="L65" s="2" t="s">
        <v>2475</v>
      </c>
      <c r="M65" s="5">
        <v>8</v>
      </c>
      <c r="N65" s="5">
        <v>0</v>
      </c>
      <c r="O65" s="5">
        <v>1</v>
      </c>
      <c r="P65" s="5">
        <v>1</v>
      </c>
      <c r="Q65" s="5">
        <v>2</v>
      </c>
      <c r="R65" s="5">
        <v>2</v>
      </c>
      <c r="S65" s="5">
        <v>0</v>
      </c>
      <c r="T65" s="5">
        <v>1</v>
      </c>
      <c r="U65" s="5">
        <v>1</v>
      </c>
      <c r="V65" s="5">
        <v>0</v>
      </c>
      <c r="W65" s="5">
        <v>0</v>
      </c>
      <c r="X65" s="5">
        <v>0</v>
      </c>
      <c r="Y65" s="5">
        <v>0</v>
      </c>
      <c r="Z65" s="5">
        <v>0</v>
      </c>
      <c r="AA65" s="2"/>
      <c r="AC65" s="2" t="s">
        <v>2546</v>
      </c>
      <c r="AD65" s="2"/>
      <c r="AE65" s="5">
        <v>358</v>
      </c>
      <c r="AF65" s="5">
        <v>375</v>
      </c>
      <c r="AG65" s="5">
        <v>461</v>
      </c>
      <c r="AH65" s="5">
        <v>293</v>
      </c>
      <c r="AI65" s="5"/>
      <c r="AK65" s="3" t="s">
        <v>2563</v>
      </c>
      <c r="AL65" s="5">
        <v>66</v>
      </c>
      <c r="AM65" s="2"/>
      <c r="AN65" s="2"/>
      <c r="AO65" s="2"/>
      <c r="AP65" s="2"/>
      <c r="AQ65" s="2"/>
      <c r="AR65" s="2"/>
      <c r="AS65" s="2"/>
      <c r="AT65" s="2"/>
      <c r="AU65" s="2"/>
      <c r="AV65" s="2"/>
      <c r="AW65" s="2"/>
      <c r="AX65" s="2"/>
      <c r="BS65" s="2" t="s">
        <v>2681</v>
      </c>
      <c r="BT65" s="5">
        <v>81</v>
      </c>
      <c r="BU65" s="5">
        <v>87</v>
      </c>
      <c r="BV65" s="5">
        <v>22</v>
      </c>
      <c r="BW65" s="5">
        <v>42</v>
      </c>
      <c r="BX65" s="5">
        <v>40</v>
      </c>
      <c r="BY65" s="5"/>
      <c r="CA65" s="10" t="s">
        <v>2441</v>
      </c>
      <c r="CB65" s="11">
        <v>0</v>
      </c>
      <c r="CC65" s="11">
        <v>0</v>
      </c>
      <c r="CD65" s="11">
        <v>0</v>
      </c>
      <c r="CE65" s="29">
        <v>0</v>
      </c>
      <c r="CF65" s="29">
        <v>0</v>
      </c>
      <c r="CG65" s="29">
        <v>0</v>
      </c>
      <c r="CH65" s="29">
        <v>1</v>
      </c>
      <c r="CI65" s="29">
        <v>1</v>
      </c>
      <c r="CJ65" s="29">
        <v>0</v>
      </c>
    </row>
    <row r="66" spans="12:88" ht="12.95" customHeight="1">
      <c r="L66" s="2" t="s">
        <v>2476</v>
      </c>
      <c r="M66" s="5">
        <v>0</v>
      </c>
      <c r="N66" s="5">
        <v>0</v>
      </c>
      <c r="O66" s="5">
        <v>0</v>
      </c>
      <c r="P66" s="5">
        <v>0</v>
      </c>
      <c r="Q66" s="5">
        <v>0</v>
      </c>
      <c r="R66" s="5">
        <v>0</v>
      </c>
      <c r="S66" s="5">
        <v>0</v>
      </c>
      <c r="T66" s="5">
        <v>0</v>
      </c>
      <c r="U66" s="5">
        <v>0</v>
      </c>
      <c r="V66" s="5">
        <v>0</v>
      </c>
      <c r="W66" s="5">
        <v>0</v>
      </c>
      <c r="X66" s="5">
        <v>0</v>
      </c>
      <c r="Y66" s="5">
        <v>0</v>
      </c>
      <c r="Z66" s="5">
        <v>0</v>
      </c>
      <c r="AA66" s="2"/>
      <c r="AC66" s="2" t="s">
        <v>2483</v>
      </c>
      <c r="AD66" s="2"/>
      <c r="AE66" s="5" t="s">
        <v>1640</v>
      </c>
      <c r="AF66" s="5" t="s">
        <v>1640</v>
      </c>
      <c r="AG66" s="5">
        <v>161</v>
      </c>
      <c r="AH66" s="5">
        <v>187</v>
      </c>
      <c r="AI66" s="5"/>
      <c r="AK66" s="3" t="s">
        <v>2564</v>
      </c>
      <c r="AL66" s="5">
        <v>36</v>
      </c>
      <c r="AM66" s="2"/>
      <c r="AN66" s="2"/>
      <c r="AO66" s="2"/>
      <c r="AP66" s="2"/>
      <c r="AQ66" s="2"/>
      <c r="AR66" s="2"/>
      <c r="AS66" s="2"/>
      <c r="AT66" s="2"/>
      <c r="AU66" s="2"/>
      <c r="AV66" s="2"/>
      <c r="AW66" s="2"/>
      <c r="AX66" s="2"/>
      <c r="BS66" s="2" t="s">
        <v>2484</v>
      </c>
      <c r="BT66" s="5">
        <v>69</v>
      </c>
      <c r="BU66" s="5">
        <v>39</v>
      </c>
      <c r="BV66" s="5">
        <v>29</v>
      </c>
      <c r="BW66" s="5">
        <v>39</v>
      </c>
      <c r="BX66" s="5">
        <v>28</v>
      </c>
      <c r="BY66" s="5"/>
      <c r="CA66" s="13" t="s">
        <v>2688</v>
      </c>
      <c r="CB66" s="14"/>
      <c r="CC66" s="14"/>
      <c r="CD66" s="14"/>
      <c r="CE66" s="14"/>
      <c r="CF66" s="2"/>
      <c r="CG66" s="2"/>
      <c r="CH66" s="2"/>
      <c r="CI66" s="2"/>
      <c r="CJ66" s="2"/>
    </row>
    <row r="67" spans="12:88" ht="12.95" customHeight="1">
      <c r="L67" s="2" t="s">
        <v>2477</v>
      </c>
      <c r="M67" s="5">
        <v>32</v>
      </c>
      <c r="N67" s="5">
        <v>2</v>
      </c>
      <c r="O67" s="5">
        <v>2</v>
      </c>
      <c r="P67" s="5">
        <v>3</v>
      </c>
      <c r="Q67" s="5">
        <v>4</v>
      </c>
      <c r="R67" s="5">
        <v>4</v>
      </c>
      <c r="S67" s="5">
        <v>5</v>
      </c>
      <c r="T67" s="5">
        <v>2</v>
      </c>
      <c r="U67" s="5">
        <v>4</v>
      </c>
      <c r="V67" s="5">
        <v>1</v>
      </c>
      <c r="W67" s="5">
        <v>1</v>
      </c>
      <c r="X67" s="5">
        <v>2</v>
      </c>
      <c r="Y67" s="5">
        <v>1</v>
      </c>
      <c r="Z67" s="5">
        <v>1</v>
      </c>
      <c r="AA67" s="2"/>
      <c r="AC67" s="2" t="s">
        <v>2547</v>
      </c>
      <c r="AD67" s="2"/>
      <c r="AE67" s="5">
        <v>68</v>
      </c>
      <c r="AF67" s="5">
        <v>70</v>
      </c>
      <c r="AG67" s="5">
        <v>57</v>
      </c>
      <c r="AH67" s="5">
        <v>47</v>
      </c>
      <c r="AI67" s="5"/>
      <c r="AK67" s="3" t="s">
        <v>2565</v>
      </c>
      <c r="AL67" s="5">
        <v>23</v>
      </c>
      <c r="AM67" s="2"/>
      <c r="AN67" s="2"/>
      <c r="AO67" s="2"/>
      <c r="AP67" s="2"/>
      <c r="AQ67" s="2"/>
      <c r="AR67" s="2"/>
      <c r="AS67" s="2"/>
      <c r="AT67" s="2"/>
      <c r="AU67" s="2"/>
      <c r="AV67" s="2"/>
      <c r="AW67" s="2"/>
      <c r="AX67" s="2"/>
      <c r="BS67" s="2" t="s">
        <v>2546</v>
      </c>
      <c r="BT67" s="5">
        <v>5</v>
      </c>
      <c r="BU67" s="5">
        <v>0</v>
      </c>
      <c r="BV67" s="5">
        <v>1</v>
      </c>
      <c r="BW67" s="5">
        <v>1</v>
      </c>
      <c r="BX67" s="5">
        <v>3</v>
      </c>
      <c r="BY67" s="5"/>
    </row>
    <row r="68" spans="12:88" ht="12.95" customHeight="1">
      <c r="L68" s="2" t="s">
        <v>2478</v>
      </c>
      <c r="M68" s="5">
        <v>306</v>
      </c>
      <c r="N68" s="5">
        <v>63</v>
      </c>
      <c r="O68" s="5">
        <v>18</v>
      </c>
      <c r="P68" s="5">
        <v>35</v>
      </c>
      <c r="Q68" s="5">
        <v>48</v>
      </c>
      <c r="R68" s="5">
        <v>35</v>
      </c>
      <c r="S68" s="5">
        <v>28</v>
      </c>
      <c r="T68" s="5">
        <v>32</v>
      </c>
      <c r="U68" s="5">
        <v>19</v>
      </c>
      <c r="V68" s="5">
        <v>9</v>
      </c>
      <c r="W68" s="5">
        <v>10</v>
      </c>
      <c r="X68" s="5">
        <v>4</v>
      </c>
      <c r="Y68" s="5">
        <v>1</v>
      </c>
      <c r="Z68" s="5">
        <v>4</v>
      </c>
      <c r="AA68" s="2"/>
      <c r="AC68" s="2" t="s">
        <v>2548</v>
      </c>
      <c r="AD68" s="2"/>
      <c r="AE68" s="5">
        <v>63</v>
      </c>
      <c r="AF68" s="5">
        <v>85</v>
      </c>
      <c r="AG68" s="5">
        <v>51</v>
      </c>
      <c r="AH68" s="5">
        <v>81</v>
      </c>
      <c r="AI68" s="5"/>
      <c r="AK68" s="3" t="s">
        <v>2566</v>
      </c>
      <c r="AL68" s="5">
        <v>26</v>
      </c>
      <c r="AM68" s="2"/>
      <c r="AN68" s="2"/>
      <c r="AO68" s="2"/>
      <c r="AP68" s="2"/>
      <c r="AQ68" s="2"/>
      <c r="AR68" s="2"/>
      <c r="AS68" s="2"/>
      <c r="AT68" s="2"/>
      <c r="AU68" s="2"/>
      <c r="AV68" s="2"/>
      <c r="AW68" s="2"/>
      <c r="AX68" s="2"/>
      <c r="BS68" s="2" t="s">
        <v>2483</v>
      </c>
      <c r="BT68" s="5">
        <v>50</v>
      </c>
      <c r="BU68" s="5">
        <v>27</v>
      </c>
      <c r="BV68" s="5">
        <v>22</v>
      </c>
      <c r="BW68" s="5">
        <v>28</v>
      </c>
      <c r="BX68" s="5">
        <v>84</v>
      </c>
      <c r="BY68" s="5"/>
    </row>
    <row r="69" spans="12:88" ht="12.95" customHeight="1">
      <c r="L69" s="2" t="s">
        <v>2479</v>
      </c>
      <c r="M69" s="5">
        <v>0</v>
      </c>
      <c r="N69" s="5">
        <v>0</v>
      </c>
      <c r="O69" s="5">
        <v>0</v>
      </c>
      <c r="P69" s="5">
        <v>0</v>
      </c>
      <c r="Q69" s="5">
        <v>0</v>
      </c>
      <c r="R69" s="5">
        <v>0</v>
      </c>
      <c r="S69" s="5">
        <v>0</v>
      </c>
      <c r="T69" s="5">
        <v>0</v>
      </c>
      <c r="U69" s="5">
        <v>0</v>
      </c>
      <c r="V69" s="5">
        <v>0</v>
      </c>
      <c r="W69" s="5">
        <v>0</v>
      </c>
      <c r="X69" s="5">
        <v>0</v>
      </c>
      <c r="Y69" s="5">
        <v>0</v>
      </c>
      <c r="Z69" s="5">
        <v>0</v>
      </c>
      <c r="AA69" s="2"/>
      <c r="AC69" s="2" t="s">
        <v>2549</v>
      </c>
      <c r="AD69" s="2"/>
      <c r="AE69" s="5">
        <v>11</v>
      </c>
      <c r="AF69" s="5">
        <v>11</v>
      </c>
      <c r="AG69" s="5">
        <v>5</v>
      </c>
      <c r="AH69" s="5">
        <v>10</v>
      </c>
      <c r="AI69" s="5"/>
      <c r="AK69" s="3" t="s">
        <v>2567</v>
      </c>
      <c r="AL69" s="5">
        <v>16</v>
      </c>
      <c r="AM69" s="2"/>
      <c r="AN69" s="2"/>
      <c r="AO69" s="2"/>
      <c r="AP69" s="2"/>
      <c r="AQ69" s="2"/>
      <c r="AR69" s="2"/>
      <c r="AS69" s="2"/>
      <c r="AT69" s="2"/>
      <c r="AU69" s="2"/>
      <c r="AV69" s="2"/>
      <c r="AW69" s="2"/>
      <c r="AX69" s="2"/>
      <c r="BS69" s="2" t="s">
        <v>2682</v>
      </c>
      <c r="BT69" s="5">
        <v>0</v>
      </c>
      <c r="BU69" s="5">
        <v>1</v>
      </c>
      <c r="BV69" s="5">
        <v>0</v>
      </c>
      <c r="BW69" s="5">
        <v>16</v>
      </c>
      <c r="BX69" s="5">
        <v>5</v>
      </c>
      <c r="BY69" s="5"/>
    </row>
    <row r="70" spans="12:88" ht="12.95" customHeight="1">
      <c r="L70" s="2" t="s">
        <v>2480</v>
      </c>
      <c r="M70" s="5">
        <v>42</v>
      </c>
      <c r="N70" s="5">
        <v>0</v>
      </c>
      <c r="O70" s="5">
        <v>7</v>
      </c>
      <c r="P70" s="5">
        <v>7</v>
      </c>
      <c r="Q70" s="5">
        <v>7</v>
      </c>
      <c r="R70" s="5">
        <v>9</v>
      </c>
      <c r="S70" s="5">
        <v>6</v>
      </c>
      <c r="T70" s="5">
        <v>1</v>
      </c>
      <c r="U70" s="5">
        <v>1</v>
      </c>
      <c r="V70" s="5">
        <v>0</v>
      </c>
      <c r="W70" s="5">
        <v>2</v>
      </c>
      <c r="X70" s="5">
        <v>1</v>
      </c>
      <c r="Y70" s="5">
        <v>1</v>
      </c>
      <c r="Z70" s="5">
        <v>0</v>
      </c>
      <c r="AA70" s="2"/>
      <c r="AC70" s="2" t="s">
        <v>2550</v>
      </c>
      <c r="AD70" s="2"/>
      <c r="AE70" s="5">
        <v>200</v>
      </c>
      <c r="AF70" s="5">
        <v>259</v>
      </c>
      <c r="AG70" s="5">
        <v>2</v>
      </c>
      <c r="AH70" s="5">
        <v>0</v>
      </c>
      <c r="AI70" s="5"/>
      <c r="AK70" s="3" t="s">
        <v>2568</v>
      </c>
      <c r="AL70" s="5">
        <v>13</v>
      </c>
      <c r="AM70" s="2"/>
      <c r="AN70" s="2"/>
      <c r="AO70" s="2"/>
      <c r="AP70" s="2"/>
      <c r="AQ70" s="2"/>
      <c r="AR70" s="2"/>
      <c r="AS70" s="2"/>
      <c r="AT70" s="2"/>
      <c r="AU70" s="2"/>
      <c r="AV70" s="2"/>
      <c r="AW70" s="2"/>
      <c r="AX70" s="2"/>
      <c r="BS70" s="2" t="s">
        <v>2683</v>
      </c>
      <c r="BT70" s="5">
        <v>148</v>
      </c>
      <c r="BU70" s="5">
        <v>70</v>
      </c>
      <c r="BV70" s="5">
        <v>43</v>
      </c>
      <c r="BW70" s="5">
        <v>79</v>
      </c>
      <c r="BX70" s="5">
        <v>0</v>
      </c>
      <c r="BY70" s="5"/>
    </row>
    <row r="71" spans="12:88" ht="12.95" customHeight="1">
      <c r="L71" s="2" t="s">
        <v>2481</v>
      </c>
      <c r="M71" s="5">
        <v>286</v>
      </c>
      <c r="N71" s="5">
        <v>1</v>
      </c>
      <c r="O71" s="5">
        <v>11</v>
      </c>
      <c r="P71" s="5">
        <v>57</v>
      </c>
      <c r="Q71" s="5">
        <v>51</v>
      </c>
      <c r="R71" s="5">
        <v>47</v>
      </c>
      <c r="S71" s="5">
        <v>30</v>
      </c>
      <c r="T71" s="5">
        <v>40</v>
      </c>
      <c r="U71" s="5">
        <v>10</v>
      </c>
      <c r="V71" s="5">
        <v>14</v>
      </c>
      <c r="W71" s="5">
        <v>15</v>
      </c>
      <c r="X71" s="5">
        <v>8</v>
      </c>
      <c r="Y71" s="5">
        <v>2</v>
      </c>
      <c r="Z71" s="5">
        <v>0</v>
      </c>
      <c r="AA71" s="2"/>
      <c r="AC71" s="10" t="s">
        <v>2551</v>
      </c>
      <c r="AD71" s="10"/>
      <c r="AE71" s="51">
        <v>2848</v>
      </c>
      <c r="AF71" s="51">
        <v>3351</v>
      </c>
      <c r="AG71" s="51">
        <v>3731</v>
      </c>
      <c r="AH71" s="51">
        <v>1745</v>
      </c>
      <c r="AI71" s="5"/>
      <c r="AK71" s="3" t="s">
        <v>2569</v>
      </c>
      <c r="AL71" s="5">
        <v>3</v>
      </c>
      <c r="AM71" s="2"/>
      <c r="AN71" s="2"/>
      <c r="AO71" s="2"/>
      <c r="AP71" s="2"/>
      <c r="AQ71" s="2"/>
      <c r="AR71" s="2"/>
      <c r="AS71" s="2"/>
      <c r="AT71" s="2"/>
      <c r="AU71" s="2"/>
      <c r="AV71" s="2"/>
      <c r="AW71" s="2"/>
      <c r="AX71" s="2"/>
      <c r="BS71" s="2" t="s">
        <v>2549</v>
      </c>
      <c r="BT71" s="5">
        <v>1</v>
      </c>
      <c r="BU71" s="5">
        <v>2</v>
      </c>
      <c r="BV71" s="5">
        <v>0</v>
      </c>
      <c r="BW71" s="5">
        <v>0</v>
      </c>
      <c r="BX71" s="5">
        <v>0</v>
      </c>
      <c r="BY71" s="5"/>
    </row>
    <row r="72" spans="12:88" ht="12.95" customHeight="1">
      <c r="L72" s="2" t="s">
        <v>2482</v>
      </c>
      <c r="M72" s="5">
        <v>133</v>
      </c>
      <c r="N72" s="5">
        <v>46</v>
      </c>
      <c r="O72" s="5">
        <v>28</v>
      </c>
      <c r="P72" s="5">
        <v>18</v>
      </c>
      <c r="Q72" s="5">
        <v>12</v>
      </c>
      <c r="R72" s="5">
        <v>10</v>
      </c>
      <c r="S72" s="5">
        <v>6</v>
      </c>
      <c r="T72" s="5">
        <v>7</v>
      </c>
      <c r="U72" s="5">
        <v>2</v>
      </c>
      <c r="V72" s="5">
        <v>1</v>
      </c>
      <c r="W72" s="5">
        <v>2</v>
      </c>
      <c r="X72" s="5">
        <v>0</v>
      </c>
      <c r="Y72" s="5">
        <v>0</v>
      </c>
      <c r="Z72" s="5">
        <v>1</v>
      </c>
      <c r="AA72" s="2"/>
      <c r="AC72" s="2112" t="s">
        <v>2437</v>
      </c>
      <c r="AD72" s="2112"/>
      <c r="AE72" s="2112"/>
      <c r="AF72" s="2112"/>
      <c r="AG72" s="2112"/>
      <c r="AH72" s="2112"/>
      <c r="AI72" s="47"/>
      <c r="AK72" s="3" t="s">
        <v>2570</v>
      </c>
      <c r="AL72" s="5">
        <v>4</v>
      </c>
      <c r="AM72" s="2"/>
      <c r="AN72" s="2"/>
      <c r="AO72" s="2"/>
      <c r="AP72" s="2"/>
      <c r="AQ72" s="2"/>
      <c r="AR72" s="2"/>
      <c r="AS72" s="2"/>
      <c r="AT72" s="2"/>
      <c r="AU72" s="2"/>
      <c r="AV72" s="2"/>
      <c r="AW72" s="2"/>
      <c r="AX72" s="2"/>
      <c r="BS72" s="2" t="s">
        <v>2486</v>
      </c>
      <c r="BT72" s="5">
        <v>194</v>
      </c>
      <c r="BU72" s="5">
        <v>189</v>
      </c>
      <c r="BV72" s="5">
        <v>0</v>
      </c>
      <c r="BW72" s="5">
        <v>0</v>
      </c>
      <c r="BX72" s="5">
        <v>0</v>
      </c>
      <c r="BY72" s="5"/>
    </row>
    <row r="73" spans="12:88" ht="12.95" customHeight="1">
      <c r="L73" s="2" t="s">
        <v>2483</v>
      </c>
      <c r="M73" s="5">
        <v>133</v>
      </c>
      <c r="N73" s="5">
        <v>1</v>
      </c>
      <c r="O73" s="5">
        <v>4</v>
      </c>
      <c r="P73" s="5">
        <v>37</v>
      </c>
      <c r="Q73" s="5">
        <v>22</v>
      </c>
      <c r="R73" s="5">
        <v>27</v>
      </c>
      <c r="S73" s="5">
        <v>19</v>
      </c>
      <c r="T73" s="5">
        <v>13</v>
      </c>
      <c r="U73" s="5">
        <v>7</v>
      </c>
      <c r="V73" s="5">
        <v>1</v>
      </c>
      <c r="W73" s="5">
        <v>0</v>
      </c>
      <c r="X73" s="5">
        <v>0</v>
      </c>
      <c r="Y73" s="5">
        <v>1</v>
      </c>
      <c r="Z73" s="5">
        <v>1</v>
      </c>
      <c r="AA73" s="2"/>
      <c r="AC73" s="13" t="s">
        <v>2552</v>
      </c>
      <c r="AD73" s="30"/>
      <c r="AE73" s="30"/>
      <c r="AF73" s="30"/>
      <c r="AG73" s="30"/>
      <c r="AH73" s="30"/>
      <c r="AI73" s="1851"/>
      <c r="AK73" s="3" t="s">
        <v>2590</v>
      </c>
      <c r="AL73" s="5">
        <v>0</v>
      </c>
      <c r="AM73" s="2"/>
      <c r="AN73" s="2"/>
      <c r="AO73" s="2"/>
      <c r="AP73" s="2"/>
      <c r="AQ73" s="2"/>
      <c r="AR73" s="2"/>
      <c r="AS73" s="2"/>
      <c r="AT73" s="2"/>
      <c r="AU73" s="2"/>
      <c r="AV73" s="2"/>
      <c r="AW73" s="2"/>
      <c r="AX73" s="2"/>
      <c r="BS73" s="3" t="s">
        <v>2550</v>
      </c>
      <c r="BT73" s="22">
        <v>1</v>
      </c>
      <c r="BU73" s="22">
        <v>0</v>
      </c>
      <c r="BV73" s="22">
        <v>0</v>
      </c>
      <c r="BW73" s="22">
        <v>151</v>
      </c>
      <c r="BX73" s="22">
        <v>8</v>
      </c>
      <c r="BY73" s="5"/>
    </row>
    <row r="74" spans="12:88" ht="12" customHeight="1">
      <c r="L74" s="2" t="s">
        <v>2484</v>
      </c>
      <c r="M74" s="5">
        <v>14</v>
      </c>
      <c r="N74" s="5">
        <v>1</v>
      </c>
      <c r="O74" s="5">
        <v>0</v>
      </c>
      <c r="P74" s="5">
        <v>3</v>
      </c>
      <c r="Q74" s="5">
        <v>3</v>
      </c>
      <c r="R74" s="5">
        <v>2</v>
      </c>
      <c r="S74" s="5">
        <v>1</v>
      </c>
      <c r="T74" s="5">
        <v>1</v>
      </c>
      <c r="U74" s="5">
        <v>1</v>
      </c>
      <c r="V74" s="5">
        <v>2</v>
      </c>
      <c r="W74" s="5">
        <v>0</v>
      </c>
      <c r="X74" s="5">
        <v>0</v>
      </c>
      <c r="Y74" s="5">
        <v>0</v>
      </c>
      <c r="Z74" s="5">
        <v>0</v>
      </c>
      <c r="AA74" s="2"/>
      <c r="AC74" s="30" t="s">
        <v>2553</v>
      </c>
      <c r="AD74" s="30"/>
      <c r="AE74" s="30"/>
      <c r="AF74" s="30"/>
      <c r="AG74" s="30"/>
      <c r="AH74" s="30"/>
      <c r="AI74" s="30"/>
      <c r="AK74" s="3" t="s">
        <v>2572</v>
      </c>
      <c r="AL74" s="5">
        <v>1</v>
      </c>
      <c r="AM74" s="2"/>
      <c r="AN74" s="2"/>
      <c r="AO74" s="2"/>
      <c r="AP74" s="2"/>
      <c r="AQ74" s="2"/>
      <c r="AR74" s="2"/>
      <c r="AS74" s="2"/>
      <c r="AT74" s="2"/>
      <c r="AU74" s="2"/>
      <c r="AV74" s="2"/>
      <c r="AW74" s="2"/>
      <c r="AX74" s="2"/>
      <c r="BS74" s="23" t="s">
        <v>2551</v>
      </c>
      <c r="BT74" s="29">
        <v>192</v>
      </c>
      <c r="BU74" s="29">
        <v>186</v>
      </c>
      <c r="BV74" s="29">
        <v>135</v>
      </c>
      <c r="BW74" s="29">
        <v>27</v>
      </c>
      <c r="BX74" s="29">
        <v>497</v>
      </c>
      <c r="BY74" s="5"/>
    </row>
    <row r="75" spans="12:88" ht="12" customHeight="1">
      <c r="L75" s="2" t="s">
        <v>2485</v>
      </c>
      <c r="M75" s="5">
        <v>1</v>
      </c>
      <c r="N75" s="5">
        <v>0</v>
      </c>
      <c r="O75" s="5">
        <v>0</v>
      </c>
      <c r="P75" s="5">
        <v>0</v>
      </c>
      <c r="Q75" s="5">
        <v>0</v>
      </c>
      <c r="R75" s="5">
        <v>0</v>
      </c>
      <c r="S75" s="5">
        <v>0</v>
      </c>
      <c r="T75" s="5">
        <v>0</v>
      </c>
      <c r="U75" s="5">
        <v>1</v>
      </c>
      <c r="V75" s="5">
        <v>0</v>
      </c>
      <c r="W75" s="5">
        <v>0</v>
      </c>
      <c r="X75" s="5">
        <v>0</v>
      </c>
      <c r="Y75" s="5">
        <v>0</v>
      </c>
      <c r="Z75" s="5">
        <v>0</v>
      </c>
      <c r="AA75" s="2"/>
      <c r="AI75" s="30"/>
      <c r="AK75" s="3" t="s">
        <v>2591</v>
      </c>
      <c r="AL75" s="5">
        <v>0</v>
      </c>
      <c r="AM75" s="2"/>
      <c r="AN75" s="2"/>
      <c r="AO75" s="2"/>
      <c r="AP75" s="2"/>
      <c r="AQ75" s="2"/>
      <c r="AR75" s="2"/>
      <c r="AS75" s="2"/>
      <c r="AT75" s="2"/>
      <c r="AU75" s="2"/>
      <c r="AV75" s="2"/>
      <c r="AW75" s="2"/>
      <c r="AX75" s="2"/>
      <c r="BS75" s="2230" t="s">
        <v>2491</v>
      </c>
      <c r="BT75" s="2230"/>
      <c r="BU75" s="2"/>
      <c r="BV75" s="2"/>
      <c r="BW75" s="2"/>
      <c r="BX75" s="2"/>
      <c r="BY75" s="5"/>
    </row>
    <row r="76" spans="12:88" ht="12" customHeight="1">
      <c r="L76" s="2" t="s">
        <v>2486</v>
      </c>
      <c r="M76" s="5">
        <v>25</v>
      </c>
      <c r="N76" s="5">
        <v>25</v>
      </c>
      <c r="O76" s="5">
        <v>0</v>
      </c>
      <c r="P76" s="5">
        <v>0</v>
      </c>
      <c r="Q76" s="5">
        <v>0</v>
      </c>
      <c r="R76" s="5">
        <v>0</v>
      </c>
      <c r="S76" s="5">
        <v>0</v>
      </c>
      <c r="T76" s="5">
        <v>0</v>
      </c>
      <c r="U76" s="5">
        <v>0</v>
      </c>
      <c r="V76" s="5">
        <v>0</v>
      </c>
      <c r="W76" s="5">
        <v>0</v>
      </c>
      <c r="X76" s="5">
        <v>0</v>
      </c>
      <c r="Y76" s="5">
        <v>0</v>
      </c>
      <c r="Z76" s="5">
        <v>0</v>
      </c>
      <c r="AA76" s="2"/>
      <c r="AK76" s="3" t="s">
        <v>2574</v>
      </c>
      <c r="AL76" s="5">
        <v>0</v>
      </c>
      <c r="AM76" s="2"/>
      <c r="AN76" s="2"/>
      <c r="AO76" s="2"/>
      <c r="AP76" s="2"/>
      <c r="AQ76" s="2"/>
      <c r="AR76" s="2"/>
      <c r="AS76" s="2"/>
      <c r="AT76" s="2"/>
      <c r="AU76" s="2"/>
      <c r="AV76" s="2"/>
      <c r="AW76" s="2"/>
      <c r="AX76" s="2"/>
      <c r="BY76" s="2"/>
    </row>
    <row r="77" spans="12:88" ht="12" customHeight="1">
      <c r="L77" s="2" t="s">
        <v>2487</v>
      </c>
      <c r="M77" s="5">
        <v>0</v>
      </c>
      <c r="N77" s="5">
        <v>0</v>
      </c>
      <c r="O77" s="5">
        <v>0</v>
      </c>
      <c r="P77" s="5">
        <v>0</v>
      </c>
      <c r="Q77" s="5">
        <v>0</v>
      </c>
      <c r="R77" s="5">
        <v>0</v>
      </c>
      <c r="S77" s="5">
        <v>0</v>
      </c>
      <c r="T77" s="5">
        <v>0</v>
      </c>
      <c r="U77" s="5">
        <v>0</v>
      </c>
      <c r="V77" s="5">
        <v>0</v>
      </c>
      <c r="W77" s="5">
        <v>0</v>
      </c>
      <c r="X77" s="5">
        <v>0</v>
      </c>
      <c r="Y77" s="5">
        <v>0</v>
      </c>
      <c r="Z77" s="5">
        <v>0</v>
      </c>
      <c r="AA77" s="2"/>
      <c r="AK77" s="60" t="s">
        <v>2558</v>
      </c>
      <c r="AL77" s="61"/>
      <c r="AM77" s="61"/>
      <c r="AN77" s="61"/>
      <c r="AO77" s="61"/>
      <c r="AP77" s="61"/>
      <c r="AQ77" s="14"/>
      <c r="AR77" s="14"/>
      <c r="AS77" s="14"/>
      <c r="AT77" s="14"/>
      <c r="AU77" s="14"/>
      <c r="AV77" s="14"/>
      <c r="AW77" s="14"/>
      <c r="AX77" s="14"/>
      <c r="AY77" s="25"/>
    </row>
    <row r="78" spans="12:88" ht="12" customHeight="1">
      <c r="L78" s="2" t="s">
        <v>2488</v>
      </c>
      <c r="M78" s="5">
        <v>8</v>
      </c>
      <c r="N78" s="5">
        <v>8</v>
      </c>
      <c r="O78" s="5">
        <v>0</v>
      </c>
      <c r="P78" s="5">
        <v>0</v>
      </c>
      <c r="Q78" s="5">
        <v>0</v>
      </c>
      <c r="R78" s="5">
        <v>0</v>
      </c>
      <c r="S78" s="5">
        <v>0</v>
      </c>
      <c r="T78" s="5">
        <v>0</v>
      </c>
      <c r="U78" s="5">
        <v>0</v>
      </c>
      <c r="V78" s="5">
        <v>0</v>
      </c>
      <c r="W78" s="5">
        <v>0</v>
      </c>
      <c r="X78" s="5">
        <v>0</v>
      </c>
      <c r="Y78" s="5">
        <v>0</v>
      </c>
      <c r="Z78" s="5">
        <v>0</v>
      </c>
      <c r="AA78" s="2"/>
      <c r="AK78" s="13" t="s">
        <v>2592</v>
      </c>
      <c r="AL78" s="14"/>
      <c r="AM78" s="14"/>
      <c r="AN78" s="14"/>
      <c r="AO78" s="14"/>
      <c r="AP78" s="14"/>
      <c r="AQ78" s="14"/>
      <c r="AR78" s="14"/>
      <c r="AS78" s="14"/>
      <c r="AT78" s="14"/>
      <c r="AU78" s="14"/>
      <c r="AV78" s="14"/>
      <c r="AW78" s="14"/>
      <c r="AX78" s="14"/>
      <c r="AY78" s="25"/>
    </row>
    <row r="79" spans="12:88" ht="12.95" customHeight="1">
      <c r="L79" s="2" t="s">
        <v>2489</v>
      </c>
      <c r="M79" s="5">
        <v>0</v>
      </c>
      <c r="N79" s="5">
        <v>0</v>
      </c>
      <c r="O79" s="5">
        <v>0</v>
      </c>
      <c r="P79" s="5">
        <v>0</v>
      </c>
      <c r="Q79" s="5">
        <v>0</v>
      </c>
      <c r="R79" s="5">
        <v>0</v>
      </c>
      <c r="S79" s="5">
        <v>0</v>
      </c>
      <c r="T79" s="5">
        <v>0</v>
      </c>
      <c r="U79" s="5">
        <v>0</v>
      </c>
      <c r="V79" s="5">
        <v>0</v>
      </c>
      <c r="W79" s="5">
        <v>0</v>
      </c>
      <c r="X79" s="5">
        <v>0</v>
      </c>
      <c r="Y79" s="5">
        <v>0</v>
      </c>
      <c r="Z79" s="5">
        <v>0</v>
      </c>
      <c r="AA79" s="2"/>
      <c r="AP79" s="2"/>
      <c r="AQ79" s="2"/>
      <c r="AR79" s="2"/>
      <c r="AS79" s="2"/>
      <c r="AT79" s="2"/>
      <c r="AU79" s="2"/>
      <c r="AV79" s="2"/>
      <c r="AW79" s="2"/>
      <c r="AX79" s="2"/>
    </row>
    <row r="80" spans="12:88" ht="12.95" customHeight="1">
      <c r="L80" s="10" t="s">
        <v>2490</v>
      </c>
      <c r="M80" s="11">
        <v>251</v>
      </c>
      <c r="N80" s="11">
        <v>35</v>
      </c>
      <c r="O80" s="11">
        <v>16</v>
      </c>
      <c r="P80" s="11">
        <v>35</v>
      </c>
      <c r="Q80" s="11">
        <v>33</v>
      </c>
      <c r="R80" s="11">
        <v>33</v>
      </c>
      <c r="S80" s="11">
        <v>40</v>
      </c>
      <c r="T80" s="11">
        <v>24</v>
      </c>
      <c r="U80" s="11">
        <v>14</v>
      </c>
      <c r="V80" s="11">
        <v>8</v>
      </c>
      <c r="W80" s="11">
        <v>7</v>
      </c>
      <c r="X80" s="11">
        <v>1</v>
      </c>
      <c r="Y80" s="11">
        <v>3</v>
      </c>
      <c r="Z80" s="11">
        <v>2</v>
      </c>
      <c r="AA80" s="2"/>
    </row>
    <row r="81" spans="12:41">
      <c r="L81" s="13" t="s">
        <v>2491</v>
      </c>
      <c r="M81" s="30"/>
      <c r="N81" s="30"/>
      <c r="O81" s="30"/>
      <c r="P81" s="3"/>
      <c r="Q81" s="3"/>
      <c r="R81" s="3"/>
      <c r="S81" s="3"/>
      <c r="T81" s="3"/>
      <c r="U81" s="3"/>
      <c r="V81" s="3"/>
      <c r="W81" s="3"/>
      <c r="X81" s="3"/>
      <c r="Y81" s="3"/>
      <c r="Z81" s="3"/>
      <c r="AA81" s="2"/>
      <c r="AK81" s="1" t="s">
        <v>2761</v>
      </c>
      <c r="AL81" s="2"/>
      <c r="AM81" s="2"/>
      <c r="AN81" s="2"/>
      <c r="AO81" s="2"/>
    </row>
    <row r="82" spans="12:41">
      <c r="AK82" s="288" t="s">
        <v>2593</v>
      </c>
      <c r="AL82" s="32"/>
      <c r="AM82" s="17">
        <v>2023</v>
      </c>
      <c r="AN82" s="17">
        <v>2022</v>
      </c>
      <c r="AO82" s="28">
        <v>2021</v>
      </c>
    </row>
    <row r="83" spans="12:41">
      <c r="AK83" s="3" t="s">
        <v>129</v>
      </c>
      <c r="AL83" s="3"/>
      <c r="AM83" s="22">
        <v>386</v>
      </c>
      <c r="AN83" s="22">
        <v>387</v>
      </c>
      <c r="AO83" s="22">
        <v>358</v>
      </c>
    </row>
    <row r="84" spans="12:41">
      <c r="AK84" s="2" t="s">
        <v>1708</v>
      </c>
      <c r="AL84" s="2"/>
      <c r="AM84" s="5">
        <v>40</v>
      </c>
      <c r="AN84" s="5">
        <v>42</v>
      </c>
      <c r="AO84" s="5">
        <v>26</v>
      </c>
    </row>
    <row r="85" spans="12:41">
      <c r="AK85" s="2" t="s">
        <v>2594</v>
      </c>
      <c r="AL85" s="2"/>
      <c r="AM85" s="5">
        <v>8</v>
      </c>
      <c r="AN85" s="5">
        <v>5</v>
      </c>
      <c r="AO85" s="5">
        <v>14</v>
      </c>
    </row>
    <row r="86" spans="12:41">
      <c r="AK86" s="2" t="s">
        <v>1693</v>
      </c>
      <c r="AL86" s="2"/>
      <c r="AM86" s="5">
        <v>75</v>
      </c>
      <c r="AN86" s="5">
        <v>47</v>
      </c>
      <c r="AO86" s="5" t="s">
        <v>1627</v>
      </c>
    </row>
    <row r="87" spans="12:41">
      <c r="AK87" s="2" t="s">
        <v>2595</v>
      </c>
      <c r="AL87" s="2"/>
      <c r="AM87" s="5" t="s">
        <v>1627</v>
      </c>
      <c r="AN87" s="5">
        <v>280</v>
      </c>
      <c r="AO87" s="5">
        <v>316</v>
      </c>
    </row>
    <row r="88" spans="12:41" ht="26.25">
      <c r="AK88" s="2" t="s">
        <v>2555</v>
      </c>
      <c r="AL88" s="2"/>
      <c r="AM88" s="5">
        <v>258</v>
      </c>
      <c r="AN88" s="5" t="s">
        <v>1627</v>
      </c>
      <c r="AO88" s="5" t="s">
        <v>1627</v>
      </c>
    </row>
    <row r="89" spans="12:41" ht="26.25">
      <c r="AK89" s="2" t="s">
        <v>2596</v>
      </c>
      <c r="AL89" s="2"/>
      <c r="AM89" s="5" t="s">
        <v>1627</v>
      </c>
      <c r="AN89" s="5">
        <v>5</v>
      </c>
      <c r="AO89" s="5" t="s">
        <v>1627</v>
      </c>
    </row>
    <row r="90" spans="12:41">
      <c r="AK90" s="2" t="s">
        <v>2574</v>
      </c>
      <c r="AL90" s="2"/>
      <c r="AM90" s="5" t="s">
        <v>1627</v>
      </c>
      <c r="AN90" s="5" t="s">
        <v>1627</v>
      </c>
      <c r="AO90" s="5" t="s">
        <v>1627</v>
      </c>
    </row>
    <row r="91" spans="12:41">
      <c r="AK91" s="2" t="s">
        <v>2597</v>
      </c>
      <c r="AL91" s="2"/>
      <c r="AM91" s="5">
        <v>5</v>
      </c>
      <c r="AN91" s="5">
        <v>8</v>
      </c>
      <c r="AO91" s="5">
        <v>2</v>
      </c>
    </row>
    <row r="92" spans="12:41">
      <c r="AK92" s="10" t="s">
        <v>1709</v>
      </c>
      <c r="AL92" s="10"/>
      <c r="AM92" s="11" t="s">
        <v>1627</v>
      </c>
      <c r="AN92" s="11" t="s">
        <v>1627</v>
      </c>
      <c r="AO92" s="11" t="s">
        <v>1627</v>
      </c>
    </row>
    <row r="93" spans="12:41">
      <c r="AK93" s="1" t="s">
        <v>2491</v>
      </c>
      <c r="AL93" s="2"/>
      <c r="AM93" s="2"/>
      <c r="AN93" s="2"/>
      <c r="AO93" s="2"/>
    </row>
  </sheetData>
  <mergeCells count="28">
    <mergeCell ref="CO2:CQ2"/>
    <mergeCell ref="CR2:CT2"/>
    <mergeCell ref="CU2:CW2"/>
    <mergeCell ref="BL32:BN32"/>
    <mergeCell ref="DB9:DC9"/>
    <mergeCell ref="DB28:DC28"/>
    <mergeCell ref="DB47:DC47"/>
    <mergeCell ref="AC72:AH72"/>
    <mergeCell ref="AL16:AM16"/>
    <mergeCell ref="AN16:AO16"/>
    <mergeCell ref="CE22:CG22"/>
    <mergeCell ref="CH22:CJ22"/>
    <mergeCell ref="BL50:BM50"/>
    <mergeCell ref="BA23:BB23"/>
    <mergeCell ref="BS75:BT75"/>
    <mergeCell ref="CB22:CD22"/>
    <mergeCell ref="BL2:BN2"/>
    <mergeCell ref="BL21:BM21"/>
    <mergeCell ref="BN21:BO21"/>
    <mergeCell ref="N44:Z44"/>
    <mergeCell ref="BC23:BD23"/>
    <mergeCell ref="AL2:AM2"/>
    <mergeCell ref="N2:Z2"/>
    <mergeCell ref="L2:L4"/>
    <mergeCell ref="M2:M4"/>
    <mergeCell ref="AU2:AV2"/>
    <mergeCell ref="BA2:BB2"/>
    <mergeCell ref="BC2:B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9EDD-0A12-4A4B-966E-6C7E8BE83C9A}">
  <sheetPr>
    <tabColor rgb="FFFFFF00"/>
  </sheetPr>
  <dimension ref="A1:AH129"/>
  <sheetViews>
    <sheetView showGridLines="0" topLeftCell="L1" zoomScale="90" zoomScaleNormal="90" workbookViewId="0">
      <selection activeCell="D61" sqref="D61"/>
    </sheetView>
  </sheetViews>
  <sheetFormatPr defaultRowHeight="12.75" customHeight="1"/>
  <cols>
    <col min="1" max="1" width="11.5703125" style="585" customWidth="1"/>
    <col min="2" max="2" width="12.7109375" style="585" customWidth="1"/>
    <col min="3" max="3" width="15.7109375" style="585" customWidth="1"/>
    <col min="4" max="4" width="14.7109375" style="585" customWidth="1"/>
    <col min="5" max="7" width="12.7109375" style="585" customWidth="1"/>
    <col min="8" max="8" width="14.7109375" style="585" customWidth="1"/>
    <col min="9" max="9" width="9.140625" style="585"/>
    <col min="10" max="10" width="9.140625" style="585" customWidth="1"/>
    <col min="11" max="11" width="34.7109375" style="585" customWidth="1"/>
    <col min="12" max="20" width="12.7109375" style="585" customWidth="1"/>
    <col min="21" max="21" width="34.7109375" style="585" customWidth="1"/>
    <col min="22" max="28" width="12.7109375" style="585" customWidth="1"/>
    <col min="29" max="34" width="9.7109375" style="585" customWidth="1"/>
    <col min="35" max="256" width="9.140625" style="585"/>
    <col min="257" max="257" width="14.7109375" style="585" customWidth="1"/>
    <col min="258" max="258" width="12.7109375" style="585" customWidth="1"/>
    <col min="259" max="259" width="15.7109375" style="585" customWidth="1"/>
    <col min="260" max="260" width="14.7109375" style="585" customWidth="1"/>
    <col min="261" max="263" width="12.7109375" style="585" customWidth="1"/>
    <col min="264" max="264" width="14.7109375" style="585" customWidth="1"/>
    <col min="265" max="266" width="9.140625" style="585"/>
    <col min="267" max="267" width="34.7109375" style="585" customWidth="1"/>
    <col min="268" max="276" width="12.7109375" style="585" customWidth="1"/>
    <col min="277" max="277" width="34.7109375" style="585" customWidth="1"/>
    <col min="278" max="284" width="12.7109375" style="585" customWidth="1"/>
    <col min="285" max="290" width="9.7109375" style="585" customWidth="1"/>
    <col min="291" max="512" width="9.140625" style="585"/>
    <col min="513" max="513" width="14.7109375" style="585" customWidth="1"/>
    <col min="514" max="514" width="12.7109375" style="585" customWidth="1"/>
    <col min="515" max="515" width="15.7109375" style="585" customWidth="1"/>
    <col min="516" max="516" width="14.7109375" style="585" customWidth="1"/>
    <col min="517" max="519" width="12.7109375" style="585" customWidth="1"/>
    <col min="520" max="520" width="14.7109375" style="585" customWidth="1"/>
    <col min="521" max="522" width="9.140625" style="585"/>
    <col min="523" max="523" width="34.7109375" style="585" customWidth="1"/>
    <col min="524" max="532" width="12.7109375" style="585" customWidth="1"/>
    <col min="533" max="533" width="34.7109375" style="585" customWidth="1"/>
    <col min="534" max="540" width="12.7109375" style="585" customWidth="1"/>
    <col min="541" max="546" width="9.7109375" style="585" customWidth="1"/>
    <col min="547" max="768" width="9.140625" style="585"/>
    <col min="769" max="769" width="14.7109375" style="585" customWidth="1"/>
    <col min="770" max="770" width="12.7109375" style="585" customWidth="1"/>
    <col min="771" max="771" width="15.7109375" style="585" customWidth="1"/>
    <col min="772" max="772" width="14.7109375" style="585" customWidth="1"/>
    <col min="773" max="775" width="12.7109375" style="585" customWidth="1"/>
    <col min="776" max="776" width="14.7109375" style="585" customWidth="1"/>
    <col min="777" max="778" width="9.140625" style="585"/>
    <col min="779" max="779" width="34.7109375" style="585" customWidth="1"/>
    <col min="780" max="788" width="12.7109375" style="585" customWidth="1"/>
    <col min="789" max="789" width="34.7109375" style="585" customWidth="1"/>
    <col min="790" max="796" width="12.7109375" style="585" customWidth="1"/>
    <col min="797" max="802" width="9.7109375" style="585" customWidth="1"/>
    <col min="803" max="1024" width="9.140625" style="585"/>
    <col min="1025" max="1025" width="14.7109375" style="585" customWidth="1"/>
    <col min="1026" max="1026" width="12.7109375" style="585" customWidth="1"/>
    <col min="1027" max="1027" width="15.7109375" style="585" customWidth="1"/>
    <col min="1028" max="1028" width="14.7109375" style="585" customWidth="1"/>
    <col min="1029" max="1031" width="12.7109375" style="585" customWidth="1"/>
    <col min="1032" max="1032" width="14.7109375" style="585" customWidth="1"/>
    <col min="1033" max="1034" width="9.140625" style="585"/>
    <col min="1035" max="1035" width="34.7109375" style="585" customWidth="1"/>
    <col min="1036" max="1044" width="12.7109375" style="585" customWidth="1"/>
    <col min="1045" max="1045" width="34.7109375" style="585" customWidth="1"/>
    <col min="1046" max="1052" width="12.7109375" style="585" customWidth="1"/>
    <col min="1053" max="1058" width="9.7109375" style="585" customWidth="1"/>
    <col min="1059" max="1280" width="9.140625" style="585"/>
    <col min="1281" max="1281" width="14.7109375" style="585" customWidth="1"/>
    <col min="1282" max="1282" width="12.7109375" style="585" customWidth="1"/>
    <col min="1283" max="1283" width="15.7109375" style="585" customWidth="1"/>
    <col min="1284" max="1284" width="14.7109375" style="585" customWidth="1"/>
    <col min="1285" max="1287" width="12.7109375" style="585" customWidth="1"/>
    <col min="1288" max="1288" width="14.7109375" style="585" customWidth="1"/>
    <col min="1289" max="1290" width="9.140625" style="585"/>
    <col min="1291" max="1291" width="34.7109375" style="585" customWidth="1"/>
    <col min="1292" max="1300" width="12.7109375" style="585" customWidth="1"/>
    <col min="1301" max="1301" width="34.7109375" style="585" customWidth="1"/>
    <col min="1302" max="1308" width="12.7109375" style="585" customWidth="1"/>
    <col min="1309" max="1314" width="9.7109375" style="585" customWidth="1"/>
    <col min="1315" max="1536" width="9.140625" style="585"/>
    <col min="1537" max="1537" width="14.7109375" style="585" customWidth="1"/>
    <col min="1538" max="1538" width="12.7109375" style="585" customWidth="1"/>
    <col min="1539" max="1539" width="15.7109375" style="585" customWidth="1"/>
    <col min="1540" max="1540" width="14.7109375" style="585" customWidth="1"/>
    <col min="1541" max="1543" width="12.7109375" style="585" customWidth="1"/>
    <col min="1544" max="1544" width="14.7109375" style="585" customWidth="1"/>
    <col min="1545" max="1546" width="9.140625" style="585"/>
    <col min="1547" max="1547" width="34.7109375" style="585" customWidth="1"/>
    <col min="1548" max="1556" width="12.7109375" style="585" customWidth="1"/>
    <col min="1557" max="1557" width="34.7109375" style="585" customWidth="1"/>
    <col min="1558" max="1564" width="12.7109375" style="585" customWidth="1"/>
    <col min="1565" max="1570" width="9.7109375" style="585" customWidth="1"/>
    <col min="1571" max="1792" width="9.140625" style="585"/>
    <col min="1793" max="1793" width="14.7109375" style="585" customWidth="1"/>
    <col min="1794" max="1794" width="12.7109375" style="585" customWidth="1"/>
    <col min="1795" max="1795" width="15.7109375" style="585" customWidth="1"/>
    <col min="1796" max="1796" width="14.7109375" style="585" customWidth="1"/>
    <col min="1797" max="1799" width="12.7109375" style="585" customWidth="1"/>
    <col min="1800" max="1800" width="14.7109375" style="585" customWidth="1"/>
    <col min="1801" max="1802" width="9.140625" style="585"/>
    <col min="1803" max="1803" width="34.7109375" style="585" customWidth="1"/>
    <col min="1804" max="1812" width="12.7109375" style="585" customWidth="1"/>
    <col min="1813" max="1813" width="34.7109375" style="585" customWidth="1"/>
    <col min="1814" max="1820" width="12.7109375" style="585" customWidth="1"/>
    <col min="1821" max="1826" width="9.7109375" style="585" customWidth="1"/>
    <col min="1827" max="2048" width="9.140625" style="585"/>
    <col min="2049" max="2049" width="14.7109375" style="585" customWidth="1"/>
    <col min="2050" max="2050" width="12.7109375" style="585" customWidth="1"/>
    <col min="2051" max="2051" width="15.7109375" style="585" customWidth="1"/>
    <col min="2052" max="2052" width="14.7109375" style="585" customWidth="1"/>
    <col min="2053" max="2055" width="12.7109375" style="585" customWidth="1"/>
    <col min="2056" max="2056" width="14.7109375" style="585" customWidth="1"/>
    <col min="2057" max="2058" width="9.140625" style="585"/>
    <col min="2059" max="2059" width="34.7109375" style="585" customWidth="1"/>
    <col min="2060" max="2068" width="12.7109375" style="585" customWidth="1"/>
    <col min="2069" max="2069" width="34.7109375" style="585" customWidth="1"/>
    <col min="2070" max="2076" width="12.7109375" style="585" customWidth="1"/>
    <col min="2077" max="2082" width="9.7109375" style="585" customWidth="1"/>
    <col min="2083" max="2304" width="9.140625" style="585"/>
    <col min="2305" max="2305" width="14.7109375" style="585" customWidth="1"/>
    <col min="2306" max="2306" width="12.7109375" style="585" customWidth="1"/>
    <col min="2307" max="2307" width="15.7109375" style="585" customWidth="1"/>
    <col min="2308" max="2308" width="14.7109375" style="585" customWidth="1"/>
    <col min="2309" max="2311" width="12.7109375" style="585" customWidth="1"/>
    <col min="2312" max="2312" width="14.7109375" style="585" customWidth="1"/>
    <col min="2313" max="2314" width="9.140625" style="585"/>
    <col min="2315" max="2315" width="34.7109375" style="585" customWidth="1"/>
    <col min="2316" max="2324" width="12.7109375" style="585" customWidth="1"/>
    <col min="2325" max="2325" width="34.7109375" style="585" customWidth="1"/>
    <col min="2326" max="2332" width="12.7109375" style="585" customWidth="1"/>
    <col min="2333" max="2338" width="9.7109375" style="585" customWidth="1"/>
    <col min="2339" max="2560" width="9.140625" style="585"/>
    <col min="2561" max="2561" width="14.7109375" style="585" customWidth="1"/>
    <col min="2562" max="2562" width="12.7109375" style="585" customWidth="1"/>
    <col min="2563" max="2563" width="15.7109375" style="585" customWidth="1"/>
    <col min="2564" max="2564" width="14.7109375" style="585" customWidth="1"/>
    <col min="2565" max="2567" width="12.7109375" style="585" customWidth="1"/>
    <col min="2568" max="2568" width="14.7109375" style="585" customWidth="1"/>
    <col min="2569" max="2570" width="9.140625" style="585"/>
    <col min="2571" max="2571" width="34.7109375" style="585" customWidth="1"/>
    <col min="2572" max="2580" width="12.7109375" style="585" customWidth="1"/>
    <col min="2581" max="2581" width="34.7109375" style="585" customWidth="1"/>
    <col min="2582" max="2588" width="12.7109375" style="585" customWidth="1"/>
    <col min="2589" max="2594" width="9.7109375" style="585" customWidth="1"/>
    <col min="2595" max="2816" width="9.140625" style="585"/>
    <col min="2817" max="2817" width="14.7109375" style="585" customWidth="1"/>
    <col min="2818" max="2818" width="12.7109375" style="585" customWidth="1"/>
    <col min="2819" max="2819" width="15.7109375" style="585" customWidth="1"/>
    <col min="2820" max="2820" width="14.7109375" style="585" customWidth="1"/>
    <col min="2821" max="2823" width="12.7109375" style="585" customWidth="1"/>
    <col min="2824" max="2824" width="14.7109375" style="585" customWidth="1"/>
    <col min="2825" max="2826" width="9.140625" style="585"/>
    <col min="2827" max="2827" width="34.7109375" style="585" customWidth="1"/>
    <col min="2828" max="2836" width="12.7109375" style="585" customWidth="1"/>
    <col min="2837" max="2837" width="34.7109375" style="585" customWidth="1"/>
    <col min="2838" max="2844" width="12.7109375" style="585" customWidth="1"/>
    <col min="2845" max="2850" width="9.7109375" style="585" customWidth="1"/>
    <col min="2851" max="3072" width="9.140625" style="585"/>
    <col min="3073" max="3073" width="14.7109375" style="585" customWidth="1"/>
    <col min="3074" max="3074" width="12.7109375" style="585" customWidth="1"/>
    <col min="3075" max="3075" width="15.7109375" style="585" customWidth="1"/>
    <col min="3076" max="3076" width="14.7109375" style="585" customWidth="1"/>
    <col min="3077" max="3079" width="12.7109375" style="585" customWidth="1"/>
    <col min="3080" max="3080" width="14.7109375" style="585" customWidth="1"/>
    <col min="3081" max="3082" width="9.140625" style="585"/>
    <col min="3083" max="3083" width="34.7109375" style="585" customWidth="1"/>
    <col min="3084" max="3092" width="12.7109375" style="585" customWidth="1"/>
    <col min="3093" max="3093" width="34.7109375" style="585" customWidth="1"/>
    <col min="3094" max="3100" width="12.7109375" style="585" customWidth="1"/>
    <col min="3101" max="3106" width="9.7109375" style="585" customWidth="1"/>
    <col min="3107" max="3328" width="9.140625" style="585"/>
    <col min="3329" max="3329" width="14.7109375" style="585" customWidth="1"/>
    <col min="3330" max="3330" width="12.7109375" style="585" customWidth="1"/>
    <col min="3331" max="3331" width="15.7109375" style="585" customWidth="1"/>
    <col min="3332" max="3332" width="14.7109375" style="585" customWidth="1"/>
    <col min="3333" max="3335" width="12.7109375" style="585" customWidth="1"/>
    <col min="3336" max="3336" width="14.7109375" style="585" customWidth="1"/>
    <col min="3337" max="3338" width="9.140625" style="585"/>
    <col min="3339" max="3339" width="34.7109375" style="585" customWidth="1"/>
    <col min="3340" max="3348" width="12.7109375" style="585" customWidth="1"/>
    <col min="3349" max="3349" width="34.7109375" style="585" customWidth="1"/>
    <col min="3350" max="3356" width="12.7109375" style="585" customWidth="1"/>
    <col min="3357" max="3362" width="9.7109375" style="585" customWidth="1"/>
    <col min="3363" max="3584" width="9.140625" style="585"/>
    <col min="3585" max="3585" width="14.7109375" style="585" customWidth="1"/>
    <col min="3586" max="3586" width="12.7109375" style="585" customWidth="1"/>
    <col min="3587" max="3587" width="15.7109375" style="585" customWidth="1"/>
    <col min="3588" max="3588" width="14.7109375" style="585" customWidth="1"/>
    <col min="3589" max="3591" width="12.7109375" style="585" customWidth="1"/>
    <col min="3592" max="3592" width="14.7109375" style="585" customWidth="1"/>
    <col min="3593" max="3594" width="9.140625" style="585"/>
    <col min="3595" max="3595" width="34.7109375" style="585" customWidth="1"/>
    <col min="3596" max="3604" width="12.7109375" style="585" customWidth="1"/>
    <col min="3605" max="3605" width="34.7109375" style="585" customWidth="1"/>
    <col min="3606" max="3612" width="12.7109375" style="585" customWidth="1"/>
    <col min="3613" max="3618" width="9.7109375" style="585" customWidth="1"/>
    <col min="3619" max="3840" width="9.140625" style="585"/>
    <col min="3841" max="3841" width="14.7109375" style="585" customWidth="1"/>
    <col min="3842" max="3842" width="12.7109375" style="585" customWidth="1"/>
    <col min="3843" max="3843" width="15.7109375" style="585" customWidth="1"/>
    <col min="3844" max="3844" width="14.7109375" style="585" customWidth="1"/>
    <col min="3845" max="3847" width="12.7109375" style="585" customWidth="1"/>
    <col min="3848" max="3848" width="14.7109375" style="585" customWidth="1"/>
    <col min="3849" max="3850" width="9.140625" style="585"/>
    <col min="3851" max="3851" width="34.7109375" style="585" customWidth="1"/>
    <col min="3852" max="3860" width="12.7109375" style="585" customWidth="1"/>
    <col min="3861" max="3861" width="34.7109375" style="585" customWidth="1"/>
    <col min="3862" max="3868" width="12.7109375" style="585" customWidth="1"/>
    <col min="3869" max="3874" width="9.7109375" style="585" customWidth="1"/>
    <col min="3875" max="4096" width="9.140625" style="585"/>
    <col min="4097" max="4097" width="14.7109375" style="585" customWidth="1"/>
    <col min="4098" max="4098" width="12.7109375" style="585" customWidth="1"/>
    <col min="4099" max="4099" width="15.7109375" style="585" customWidth="1"/>
    <col min="4100" max="4100" width="14.7109375" style="585" customWidth="1"/>
    <col min="4101" max="4103" width="12.7109375" style="585" customWidth="1"/>
    <col min="4104" max="4104" width="14.7109375" style="585" customWidth="1"/>
    <col min="4105" max="4106" width="9.140625" style="585"/>
    <col min="4107" max="4107" width="34.7109375" style="585" customWidth="1"/>
    <col min="4108" max="4116" width="12.7109375" style="585" customWidth="1"/>
    <col min="4117" max="4117" width="34.7109375" style="585" customWidth="1"/>
    <col min="4118" max="4124" width="12.7109375" style="585" customWidth="1"/>
    <col min="4125" max="4130" width="9.7109375" style="585" customWidth="1"/>
    <col min="4131" max="4352" width="9.140625" style="585"/>
    <col min="4353" max="4353" width="14.7109375" style="585" customWidth="1"/>
    <col min="4354" max="4354" width="12.7109375" style="585" customWidth="1"/>
    <col min="4355" max="4355" width="15.7109375" style="585" customWidth="1"/>
    <col min="4356" max="4356" width="14.7109375" style="585" customWidth="1"/>
    <col min="4357" max="4359" width="12.7109375" style="585" customWidth="1"/>
    <col min="4360" max="4360" width="14.7109375" style="585" customWidth="1"/>
    <col min="4361" max="4362" width="9.140625" style="585"/>
    <col min="4363" max="4363" width="34.7109375" style="585" customWidth="1"/>
    <col min="4364" max="4372" width="12.7109375" style="585" customWidth="1"/>
    <col min="4373" max="4373" width="34.7109375" style="585" customWidth="1"/>
    <col min="4374" max="4380" width="12.7109375" style="585" customWidth="1"/>
    <col min="4381" max="4386" width="9.7109375" style="585" customWidth="1"/>
    <col min="4387" max="4608" width="9.140625" style="585"/>
    <col min="4609" max="4609" width="14.7109375" style="585" customWidth="1"/>
    <col min="4610" max="4610" width="12.7109375" style="585" customWidth="1"/>
    <col min="4611" max="4611" width="15.7109375" style="585" customWidth="1"/>
    <col min="4612" max="4612" width="14.7109375" style="585" customWidth="1"/>
    <col min="4613" max="4615" width="12.7109375" style="585" customWidth="1"/>
    <col min="4616" max="4616" width="14.7109375" style="585" customWidth="1"/>
    <col min="4617" max="4618" width="9.140625" style="585"/>
    <col min="4619" max="4619" width="34.7109375" style="585" customWidth="1"/>
    <col min="4620" max="4628" width="12.7109375" style="585" customWidth="1"/>
    <col min="4629" max="4629" width="34.7109375" style="585" customWidth="1"/>
    <col min="4630" max="4636" width="12.7109375" style="585" customWidth="1"/>
    <col min="4637" max="4642" width="9.7109375" style="585" customWidth="1"/>
    <col min="4643" max="4864" width="9.140625" style="585"/>
    <col min="4865" max="4865" width="14.7109375" style="585" customWidth="1"/>
    <col min="4866" max="4866" width="12.7109375" style="585" customWidth="1"/>
    <col min="4867" max="4867" width="15.7109375" style="585" customWidth="1"/>
    <col min="4868" max="4868" width="14.7109375" style="585" customWidth="1"/>
    <col min="4869" max="4871" width="12.7109375" style="585" customWidth="1"/>
    <col min="4872" max="4872" width="14.7109375" style="585" customWidth="1"/>
    <col min="4873" max="4874" width="9.140625" style="585"/>
    <col min="4875" max="4875" width="34.7109375" style="585" customWidth="1"/>
    <col min="4876" max="4884" width="12.7109375" style="585" customWidth="1"/>
    <col min="4885" max="4885" width="34.7109375" style="585" customWidth="1"/>
    <col min="4886" max="4892" width="12.7109375" style="585" customWidth="1"/>
    <col min="4893" max="4898" width="9.7109375" style="585" customWidth="1"/>
    <col min="4899" max="5120" width="9.140625" style="585"/>
    <col min="5121" max="5121" width="14.7109375" style="585" customWidth="1"/>
    <col min="5122" max="5122" width="12.7109375" style="585" customWidth="1"/>
    <col min="5123" max="5123" width="15.7109375" style="585" customWidth="1"/>
    <col min="5124" max="5124" width="14.7109375" style="585" customWidth="1"/>
    <col min="5125" max="5127" width="12.7109375" style="585" customWidth="1"/>
    <col min="5128" max="5128" width="14.7109375" style="585" customWidth="1"/>
    <col min="5129" max="5130" width="9.140625" style="585"/>
    <col min="5131" max="5131" width="34.7109375" style="585" customWidth="1"/>
    <col min="5132" max="5140" width="12.7109375" style="585" customWidth="1"/>
    <col min="5141" max="5141" width="34.7109375" style="585" customWidth="1"/>
    <col min="5142" max="5148" width="12.7109375" style="585" customWidth="1"/>
    <col min="5149" max="5154" width="9.7109375" style="585" customWidth="1"/>
    <col min="5155" max="5376" width="9.140625" style="585"/>
    <col min="5377" max="5377" width="14.7109375" style="585" customWidth="1"/>
    <col min="5378" max="5378" width="12.7109375" style="585" customWidth="1"/>
    <col min="5379" max="5379" width="15.7109375" style="585" customWidth="1"/>
    <col min="5380" max="5380" width="14.7109375" style="585" customWidth="1"/>
    <col min="5381" max="5383" width="12.7109375" style="585" customWidth="1"/>
    <col min="5384" max="5384" width="14.7109375" style="585" customWidth="1"/>
    <col min="5385" max="5386" width="9.140625" style="585"/>
    <col min="5387" max="5387" width="34.7109375" style="585" customWidth="1"/>
    <col min="5388" max="5396" width="12.7109375" style="585" customWidth="1"/>
    <col min="5397" max="5397" width="34.7109375" style="585" customWidth="1"/>
    <col min="5398" max="5404" width="12.7109375" style="585" customWidth="1"/>
    <col min="5405" max="5410" width="9.7109375" style="585" customWidth="1"/>
    <col min="5411" max="5632" width="9.140625" style="585"/>
    <col min="5633" max="5633" width="14.7109375" style="585" customWidth="1"/>
    <col min="5634" max="5634" width="12.7109375" style="585" customWidth="1"/>
    <col min="5635" max="5635" width="15.7109375" style="585" customWidth="1"/>
    <col min="5636" max="5636" width="14.7109375" style="585" customWidth="1"/>
    <col min="5637" max="5639" width="12.7109375" style="585" customWidth="1"/>
    <col min="5640" max="5640" width="14.7109375" style="585" customWidth="1"/>
    <col min="5641" max="5642" width="9.140625" style="585"/>
    <col min="5643" max="5643" width="34.7109375" style="585" customWidth="1"/>
    <col min="5644" max="5652" width="12.7109375" style="585" customWidth="1"/>
    <col min="5653" max="5653" width="34.7109375" style="585" customWidth="1"/>
    <col min="5654" max="5660" width="12.7109375" style="585" customWidth="1"/>
    <col min="5661" max="5666" width="9.7109375" style="585" customWidth="1"/>
    <col min="5667" max="5888" width="9.140625" style="585"/>
    <col min="5889" max="5889" width="14.7109375" style="585" customWidth="1"/>
    <col min="5890" max="5890" width="12.7109375" style="585" customWidth="1"/>
    <col min="5891" max="5891" width="15.7109375" style="585" customWidth="1"/>
    <col min="5892" max="5892" width="14.7109375" style="585" customWidth="1"/>
    <col min="5893" max="5895" width="12.7109375" style="585" customWidth="1"/>
    <col min="5896" max="5896" width="14.7109375" style="585" customWidth="1"/>
    <col min="5897" max="5898" width="9.140625" style="585"/>
    <col min="5899" max="5899" width="34.7109375" style="585" customWidth="1"/>
    <col min="5900" max="5908" width="12.7109375" style="585" customWidth="1"/>
    <col min="5909" max="5909" width="34.7109375" style="585" customWidth="1"/>
    <col min="5910" max="5916" width="12.7109375" style="585" customWidth="1"/>
    <col min="5917" max="5922" width="9.7109375" style="585" customWidth="1"/>
    <col min="5923" max="6144" width="9.140625" style="585"/>
    <col min="6145" max="6145" width="14.7109375" style="585" customWidth="1"/>
    <col min="6146" max="6146" width="12.7109375" style="585" customWidth="1"/>
    <col min="6147" max="6147" width="15.7109375" style="585" customWidth="1"/>
    <col min="6148" max="6148" width="14.7109375" style="585" customWidth="1"/>
    <col min="6149" max="6151" width="12.7109375" style="585" customWidth="1"/>
    <col min="6152" max="6152" width="14.7109375" style="585" customWidth="1"/>
    <col min="6153" max="6154" width="9.140625" style="585"/>
    <col min="6155" max="6155" width="34.7109375" style="585" customWidth="1"/>
    <col min="6156" max="6164" width="12.7109375" style="585" customWidth="1"/>
    <col min="6165" max="6165" width="34.7109375" style="585" customWidth="1"/>
    <col min="6166" max="6172" width="12.7109375" style="585" customWidth="1"/>
    <col min="6173" max="6178" width="9.7109375" style="585" customWidth="1"/>
    <col min="6179" max="6400" width="9.140625" style="585"/>
    <col min="6401" max="6401" width="14.7109375" style="585" customWidth="1"/>
    <col min="6402" max="6402" width="12.7109375" style="585" customWidth="1"/>
    <col min="6403" max="6403" width="15.7109375" style="585" customWidth="1"/>
    <col min="6404" max="6404" width="14.7109375" style="585" customWidth="1"/>
    <col min="6405" max="6407" width="12.7109375" style="585" customWidth="1"/>
    <col min="6408" max="6408" width="14.7109375" style="585" customWidth="1"/>
    <col min="6409" max="6410" width="9.140625" style="585"/>
    <col min="6411" max="6411" width="34.7109375" style="585" customWidth="1"/>
    <col min="6412" max="6420" width="12.7109375" style="585" customWidth="1"/>
    <col min="6421" max="6421" width="34.7109375" style="585" customWidth="1"/>
    <col min="6422" max="6428" width="12.7109375" style="585" customWidth="1"/>
    <col min="6429" max="6434" width="9.7109375" style="585" customWidth="1"/>
    <col min="6435" max="6656" width="9.140625" style="585"/>
    <col min="6657" max="6657" width="14.7109375" style="585" customWidth="1"/>
    <col min="6658" max="6658" width="12.7109375" style="585" customWidth="1"/>
    <col min="6659" max="6659" width="15.7109375" style="585" customWidth="1"/>
    <col min="6660" max="6660" width="14.7109375" style="585" customWidth="1"/>
    <col min="6661" max="6663" width="12.7109375" style="585" customWidth="1"/>
    <col min="6664" max="6664" width="14.7109375" style="585" customWidth="1"/>
    <col min="6665" max="6666" width="9.140625" style="585"/>
    <col min="6667" max="6667" width="34.7109375" style="585" customWidth="1"/>
    <col min="6668" max="6676" width="12.7109375" style="585" customWidth="1"/>
    <col min="6677" max="6677" width="34.7109375" style="585" customWidth="1"/>
    <col min="6678" max="6684" width="12.7109375" style="585" customWidth="1"/>
    <col min="6685" max="6690" width="9.7109375" style="585" customWidth="1"/>
    <col min="6691" max="6912" width="9.140625" style="585"/>
    <col min="6913" max="6913" width="14.7109375" style="585" customWidth="1"/>
    <col min="6914" max="6914" width="12.7109375" style="585" customWidth="1"/>
    <col min="6915" max="6915" width="15.7109375" style="585" customWidth="1"/>
    <col min="6916" max="6916" width="14.7109375" style="585" customWidth="1"/>
    <col min="6917" max="6919" width="12.7109375" style="585" customWidth="1"/>
    <col min="6920" max="6920" width="14.7109375" style="585" customWidth="1"/>
    <col min="6921" max="6922" width="9.140625" style="585"/>
    <col min="6923" max="6923" width="34.7109375" style="585" customWidth="1"/>
    <col min="6924" max="6932" width="12.7109375" style="585" customWidth="1"/>
    <col min="6933" max="6933" width="34.7109375" style="585" customWidth="1"/>
    <col min="6934" max="6940" width="12.7109375" style="585" customWidth="1"/>
    <col min="6941" max="6946" width="9.7109375" style="585" customWidth="1"/>
    <col min="6947" max="7168" width="9.140625" style="585"/>
    <col min="7169" max="7169" width="14.7109375" style="585" customWidth="1"/>
    <col min="7170" max="7170" width="12.7109375" style="585" customWidth="1"/>
    <col min="7171" max="7171" width="15.7109375" style="585" customWidth="1"/>
    <col min="7172" max="7172" width="14.7109375" style="585" customWidth="1"/>
    <col min="7173" max="7175" width="12.7109375" style="585" customWidth="1"/>
    <col min="7176" max="7176" width="14.7109375" style="585" customWidth="1"/>
    <col min="7177" max="7178" width="9.140625" style="585"/>
    <col min="7179" max="7179" width="34.7109375" style="585" customWidth="1"/>
    <col min="7180" max="7188" width="12.7109375" style="585" customWidth="1"/>
    <col min="7189" max="7189" width="34.7109375" style="585" customWidth="1"/>
    <col min="7190" max="7196" width="12.7109375" style="585" customWidth="1"/>
    <col min="7197" max="7202" width="9.7109375" style="585" customWidth="1"/>
    <col min="7203" max="7424" width="9.140625" style="585"/>
    <col min="7425" max="7425" width="14.7109375" style="585" customWidth="1"/>
    <col min="7426" max="7426" width="12.7109375" style="585" customWidth="1"/>
    <col min="7427" max="7427" width="15.7109375" style="585" customWidth="1"/>
    <col min="7428" max="7428" width="14.7109375" style="585" customWidth="1"/>
    <col min="7429" max="7431" width="12.7109375" style="585" customWidth="1"/>
    <col min="7432" max="7432" width="14.7109375" style="585" customWidth="1"/>
    <col min="7433" max="7434" width="9.140625" style="585"/>
    <col min="7435" max="7435" width="34.7109375" style="585" customWidth="1"/>
    <col min="7436" max="7444" width="12.7109375" style="585" customWidth="1"/>
    <col min="7445" max="7445" width="34.7109375" style="585" customWidth="1"/>
    <col min="7446" max="7452" width="12.7109375" style="585" customWidth="1"/>
    <col min="7453" max="7458" width="9.7109375" style="585" customWidth="1"/>
    <col min="7459" max="7680" width="9.140625" style="585"/>
    <col min="7681" max="7681" width="14.7109375" style="585" customWidth="1"/>
    <col min="7682" max="7682" width="12.7109375" style="585" customWidth="1"/>
    <col min="7683" max="7683" width="15.7109375" style="585" customWidth="1"/>
    <col min="7684" max="7684" width="14.7109375" style="585" customWidth="1"/>
    <col min="7685" max="7687" width="12.7109375" style="585" customWidth="1"/>
    <col min="7688" max="7688" width="14.7109375" style="585" customWidth="1"/>
    <col min="7689" max="7690" width="9.140625" style="585"/>
    <col min="7691" max="7691" width="34.7109375" style="585" customWidth="1"/>
    <col min="7692" max="7700" width="12.7109375" style="585" customWidth="1"/>
    <col min="7701" max="7701" width="34.7109375" style="585" customWidth="1"/>
    <col min="7702" max="7708" width="12.7109375" style="585" customWidth="1"/>
    <col min="7709" max="7714" width="9.7109375" style="585" customWidth="1"/>
    <col min="7715" max="7936" width="9.140625" style="585"/>
    <col min="7937" max="7937" width="14.7109375" style="585" customWidth="1"/>
    <col min="7938" max="7938" width="12.7109375" style="585" customWidth="1"/>
    <col min="7939" max="7939" width="15.7109375" style="585" customWidth="1"/>
    <col min="7940" max="7940" width="14.7109375" style="585" customWidth="1"/>
    <col min="7941" max="7943" width="12.7109375" style="585" customWidth="1"/>
    <col min="7944" max="7944" width="14.7109375" style="585" customWidth="1"/>
    <col min="7945" max="7946" width="9.140625" style="585"/>
    <col min="7947" max="7947" width="34.7109375" style="585" customWidth="1"/>
    <col min="7948" max="7956" width="12.7109375" style="585" customWidth="1"/>
    <col min="7957" max="7957" width="34.7109375" style="585" customWidth="1"/>
    <col min="7958" max="7964" width="12.7109375" style="585" customWidth="1"/>
    <col min="7965" max="7970" width="9.7109375" style="585" customWidth="1"/>
    <col min="7971" max="8192" width="9.140625" style="585"/>
    <col min="8193" max="8193" width="14.7109375" style="585" customWidth="1"/>
    <col min="8194" max="8194" width="12.7109375" style="585" customWidth="1"/>
    <col min="8195" max="8195" width="15.7109375" style="585" customWidth="1"/>
    <col min="8196" max="8196" width="14.7109375" style="585" customWidth="1"/>
    <col min="8197" max="8199" width="12.7109375" style="585" customWidth="1"/>
    <col min="8200" max="8200" width="14.7109375" style="585" customWidth="1"/>
    <col min="8201" max="8202" width="9.140625" style="585"/>
    <col min="8203" max="8203" width="34.7109375" style="585" customWidth="1"/>
    <col min="8204" max="8212" width="12.7109375" style="585" customWidth="1"/>
    <col min="8213" max="8213" width="34.7109375" style="585" customWidth="1"/>
    <col min="8214" max="8220" width="12.7109375" style="585" customWidth="1"/>
    <col min="8221" max="8226" width="9.7109375" style="585" customWidth="1"/>
    <col min="8227" max="8448" width="9.140625" style="585"/>
    <col min="8449" max="8449" width="14.7109375" style="585" customWidth="1"/>
    <col min="8450" max="8450" width="12.7109375" style="585" customWidth="1"/>
    <col min="8451" max="8451" width="15.7109375" style="585" customWidth="1"/>
    <col min="8452" max="8452" width="14.7109375" style="585" customWidth="1"/>
    <col min="8453" max="8455" width="12.7109375" style="585" customWidth="1"/>
    <col min="8456" max="8456" width="14.7109375" style="585" customWidth="1"/>
    <col min="8457" max="8458" width="9.140625" style="585"/>
    <col min="8459" max="8459" width="34.7109375" style="585" customWidth="1"/>
    <col min="8460" max="8468" width="12.7109375" style="585" customWidth="1"/>
    <col min="8469" max="8469" width="34.7109375" style="585" customWidth="1"/>
    <col min="8470" max="8476" width="12.7109375" style="585" customWidth="1"/>
    <col min="8477" max="8482" width="9.7109375" style="585" customWidth="1"/>
    <col min="8483" max="8704" width="9.140625" style="585"/>
    <col min="8705" max="8705" width="14.7109375" style="585" customWidth="1"/>
    <col min="8706" max="8706" width="12.7109375" style="585" customWidth="1"/>
    <col min="8707" max="8707" width="15.7109375" style="585" customWidth="1"/>
    <col min="8708" max="8708" width="14.7109375" style="585" customWidth="1"/>
    <col min="8709" max="8711" width="12.7109375" style="585" customWidth="1"/>
    <col min="8712" max="8712" width="14.7109375" style="585" customWidth="1"/>
    <col min="8713" max="8714" width="9.140625" style="585"/>
    <col min="8715" max="8715" width="34.7109375" style="585" customWidth="1"/>
    <col min="8716" max="8724" width="12.7109375" style="585" customWidth="1"/>
    <col min="8725" max="8725" width="34.7109375" style="585" customWidth="1"/>
    <col min="8726" max="8732" width="12.7109375" style="585" customWidth="1"/>
    <col min="8733" max="8738" width="9.7109375" style="585" customWidth="1"/>
    <col min="8739" max="8960" width="9.140625" style="585"/>
    <col min="8961" max="8961" width="14.7109375" style="585" customWidth="1"/>
    <col min="8962" max="8962" width="12.7109375" style="585" customWidth="1"/>
    <col min="8963" max="8963" width="15.7109375" style="585" customWidth="1"/>
    <col min="8964" max="8964" width="14.7109375" style="585" customWidth="1"/>
    <col min="8965" max="8967" width="12.7109375" style="585" customWidth="1"/>
    <col min="8968" max="8968" width="14.7109375" style="585" customWidth="1"/>
    <col min="8969" max="8970" width="9.140625" style="585"/>
    <col min="8971" max="8971" width="34.7109375" style="585" customWidth="1"/>
    <col min="8972" max="8980" width="12.7109375" style="585" customWidth="1"/>
    <col min="8981" max="8981" width="34.7109375" style="585" customWidth="1"/>
    <col min="8982" max="8988" width="12.7109375" style="585" customWidth="1"/>
    <col min="8989" max="8994" width="9.7109375" style="585" customWidth="1"/>
    <col min="8995" max="9216" width="9.140625" style="585"/>
    <col min="9217" max="9217" width="14.7109375" style="585" customWidth="1"/>
    <col min="9218" max="9218" width="12.7109375" style="585" customWidth="1"/>
    <col min="9219" max="9219" width="15.7109375" style="585" customWidth="1"/>
    <col min="9220" max="9220" width="14.7109375" style="585" customWidth="1"/>
    <col min="9221" max="9223" width="12.7109375" style="585" customWidth="1"/>
    <col min="9224" max="9224" width="14.7109375" style="585" customWidth="1"/>
    <col min="9225" max="9226" width="9.140625" style="585"/>
    <col min="9227" max="9227" width="34.7109375" style="585" customWidth="1"/>
    <col min="9228" max="9236" width="12.7109375" style="585" customWidth="1"/>
    <col min="9237" max="9237" width="34.7109375" style="585" customWidth="1"/>
    <col min="9238" max="9244" width="12.7109375" style="585" customWidth="1"/>
    <col min="9245" max="9250" width="9.7109375" style="585" customWidth="1"/>
    <col min="9251" max="9472" width="9.140625" style="585"/>
    <col min="9473" max="9473" width="14.7109375" style="585" customWidth="1"/>
    <col min="9474" max="9474" width="12.7109375" style="585" customWidth="1"/>
    <col min="9475" max="9475" width="15.7109375" style="585" customWidth="1"/>
    <col min="9476" max="9476" width="14.7109375" style="585" customWidth="1"/>
    <col min="9477" max="9479" width="12.7109375" style="585" customWidth="1"/>
    <col min="9480" max="9480" width="14.7109375" style="585" customWidth="1"/>
    <col min="9481" max="9482" width="9.140625" style="585"/>
    <col min="9483" max="9483" width="34.7109375" style="585" customWidth="1"/>
    <col min="9484" max="9492" width="12.7109375" style="585" customWidth="1"/>
    <col min="9493" max="9493" width="34.7109375" style="585" customWidth="1"/>
    <col min="9494" max="9500" width="12.7109375" style="585" customWidth="1"/>
    <col min="9501" max="9506" width="9.7109375" style="585" customWidth="1"/>
    <col min="9507" max="9728" width="9.140625" style="585"/>
    <col min="9729" max="9729" width="14.7109375" style="585" customWidth="1"/>
    <col min="9730" max="9730" width="12.7109375" style="585" customWidth="1"/>
    <col min="9731" max="9731" width="15.7109375" style="585" customWidth="1"/>
    <col min="9732" max="9732" width="14.7109375" style="585" customWidth="1"/>
    <col min="9733" max="9735" width="12.7109375" style="585" customWidth="1"/>
    <col min="9736" max="9736" width="14.7109375" style="585" customWidth="1"/>
    <col min="9737" max="9738" width="9.140625" style="585"/>
    <col min="9739" max="9739" width="34.7109375" style="585" customWidth="1"/>
    <col min="9740" max="9748" width="12.7109375" style="585" customWidth="1"/>
    <col min="9749" max="9749" width="34.7109375" style="585" customWidth="1"/>
    <col min="9750" max="9756" width="12.7109375" style="585" customWidth="1"/>
    <col min="9757" max="9762" width="9.7109375" style="585" customWidth="1"/>
    <col min="9763" max="9984" width="9.140625" style="585"/>
    <col min="9985" max="9985" width="14.7109375" style="585" customWidth="1"/>
    <col min="9986" max="9986" width="12.7109375" style="585" customWidth="1"/>
    <col min="9987" max="9987" width="15.7109375" style="585" customWidth="1"/>
    <col min="9988" max="9988" width="14.7109375" style="585" customWidth="1"/>
    <col min="9989" max="9991" width="12.7109375" style="585" customWidth="1"/>
    <col min="9992" max="9992" width="14.7109375" style="585" customWidth="1"/>
    <col min="9993" max="9994" width="9.140625" style="585"/>
    <col min="9995" max="9995" width="34.7109375" style="585" customWidth="1"/>
    <col min="9996" max="10004" width="12.7109375" style="585" customWidth="1"/>
    <col min="10005" max="10005" width="34.7109375" style="585" customWidth="1"/>
    <col min="10006" max="10012" width="12.7109375" style="585" customWidth="1"/>
    <col min="10013" max="10018" width="9.7109375" style="585" customWidth="1"/>
    <col min="10019" max="10240" width="9.140625" style="585"/>
    <col min="10241" max="10241" width="14.7109375" style="585" customWidth="1"/>
    <col min="10242" max="10242" width="12.7109375" style="585" customWidth="1"/>
    <col min="10243" max="10243" width="15.7109375" style="585" customWidth="1"/>
    <col min="10244" max="10244" width="14.7109375" style="585" customWidth="1"/>
    <col min="10245" max="10247" width="12.7109375" style="585" customWidth="1"/>
    <col min="10248" max="10248" width="14.7109375" style="585" customWidth="1"/>
    <col min="10249" max="10250" width="9.140625" style="585"/>
    <col min="10251" max="10251" width="34.7109375" style="585" customWidth="1"/>
    <col min="10252" max="10260" width="12.7109375" style="585" customWidth="1"/>
    <col min="10261" max="10261" width="34.7109375" style="585" customWidth="1"/>
    <col min="10262" max="10268" width="12.7109375" style="585" customWidth="1"/>
    <col min="10269" max="10274" width="9.7109375" style="585" customWidth="1"/>
    <col min="10275" max="10496" width="9.140625" style="585"/>
    <col min="10497" max="10497" width="14.7109375" style="585" customWidth="1"/>
    <col min="10498" max="10498" width="12.7109375" style="585" customWidth="1"/>
    <col min="10499" max="10499" width="15.7109375" style="585" customWidth="1"/>
    <col min="10500" max="10500" width="14.7109375" style="585" customWidth="1"/>
    <col min="10501" max="10503" width="12.7109375" style="585" customWidth="1"/>
    <col min="10504" max="10504" width="14.7109375" style="585" customWidth="1"/>
    <col min="10505" max="10506" width="9.140625" style="585"/>
    <col min="10507" max="10507" width="34.7109375" style="585" customWidth="1"/>
    <col min="10508" max="10516" width="12.7109375" style="585" customWidth="1"/>
    <col min="10517" max="10517" width="34.7109375" style="585" customWidth="1"/>
    <col min="10518" max="10524" width="12.7109375" style="585" customWidth="1"/>
    <col min="10525" max="10530" width="9.7109375" style="585" customWidth="1"/>
    <col min="10531" max="10752" width="9.140625" style="585"/>
    <col min="10753" max="10753" width="14.7109375" style="585" customWidth="1"/>
    <col min="10754" max="10754" width="12.7109375" style="585" customWidth="1"/>
    <col min="10755" max="10755" width="15.7109375" style="585" customWidth="1"/>
    <col min="10756" max="10756" width="14.7109375" style="585" customWidth="1"/>
    <col min="10757" max="10759" width="12.7109375" style="585" customWidth="1"/>
    <col min="10760" max="10760" width="14.7109375" style="585" customWidth="1"/>
    <col min="10761" max="10762" width="9.140625" style="585"/>
    <col min="10763" max="10763" width="34.7109375" style="585" customWidth="1"/>
    <col min="10764" max="10772" width="12.7109375" style="585" customWidth="1"/>
    <col min="10773" max="10773" width="34.7109375" style="585" customWidth="1"/>
    <col min="10774" max="10780" width="12.7109375" style="585" customWidth="1"/>
    <col min="10781" max="10786" width="9.7109375" style="585" customWidth="1"/>
    <col min="10787" max="11008" width="9.140625" style="585"/>
    <col min="11009" max="11009" width="14.7109375" style="585" customWidth="1"/>
    <col min="11010" max="11010" width="12.7109375" style="585" customWidth="1"/>
    <col min="11011" max="11011" width="15.7109375" style="585" customWidth="1"/>
    <col min="11012" max="11012" width="14.7109375" style="585" customWidth="1"/>
    <col min="11013" max="11015" width="12.7109375" style="585" customWidth="1"/>
    <col min="11016" max="11016" width="14.7109375" style="585" customWidth="1"/>
    <col min="11017" max="11018" width="9.140625" style="585"/>
    <col min="11019" max="11019" width="34.7109375" style="585" customWidth="1"/>
    <col min="11020" max="11028" width="12.7109375" style="585" customWidth="1"/>
    <col min="11029" max="11029" width="34.7109375" style="585" customWidth="1"/>
    <col min="11030" max="11036" width="12.7109375" style="585" customWidth="1"/>
    <col min="11037" max="11042" width="9.7109375" style="585" customWidth="1"/>
    <col min="11043" max="11264" width="9.140625" style="585"/>
    <col min="11265" max="11265" width="14.7109375" style="585" customWidth="1"/>
    <col min="11266" max="11266" width="12.7109375" style="585" customWidth="1"/>
    <col min="11267" max="11267" width="15.7109375" style="585" customWidth="1"/>
    <col min="11268" max="11268" width="14.7109375" style="585" customWidth="1"/>
    <col min="11269" max="11271" width="12.7109375" style="585" customWidth="1"/>
    <col min="11272" max="11272" width="14.7109375" style="585" customWidth="1"/>
    <col min="11273" max="11274" width="9.140625" style="585"/>
    <col min="11275" max="11275" width="34.7109375" style="585" customWidth="1"/>
    <col min="11276" max="11284" width="12.7109375" style="585" customWidth="1"/>
    <col min="11285" max="11285" width="34.7109375" style="585" customWidth="1"/>
    <col min="11286" max="11292" width="12.7109375" style="585" customWidth="1"/>
    <col min="11293" max="11298" width="9.7109375" style="585" customWidth="1"/>
    <col min="11299" max="11520" width="9.140625" style="585"/>
    <col min="11521" max="11521" width="14.7109375" style="585" customWidth="1"/>
    <col min="11522" max="11522" width="12.7109375" style="585" customWidth="1"/>
    <col min="11523" max="11523" width="15.7109375" style="585" customWidth="1"/>
    <col min="11524" max="11524" width="14.7109375" style="585" customWidth="1"/>
    <col min="11525" max="11527" width="12.7109375" style="585" customWidth="1"/>
    <col min="11528" max="11528" width="14.7109375" style="585" customWidth="1"/>
    <col min="11529" max="11530" width="9.140625" style="585"/>
    <col min="11531" max="11531" width="34.7109375" style="585" customWidth="1"/>
    <col min="11532" max="11540" width="12.7109375" style="585" customWidth="1"/>
    <col min="11541" max="11541" width="34.7109375" style="585" customWidth="1"/>
    <col min="11542" max="11548" width="12.7109375" style="585" customWidth="1"/>
    <col min="11549" max="11554" width="9.7109375" style="585" customWidth="1"/>
    <col min="11555" max="11776" width="9.140625" style="585"/>
    <col min="11777" max="11777" width="14.7109375" style="585" customWidth="1"/>
    <col min="11778" max="11778" width="12.7109375" style="585" customWidth="1"/>
    <col min="11779" max="11779" width="15.7109375" style="585" customWidth="1"/>
    <col min="11780" max="11780" width="14.7109375" style="585" customWidth="1"/>
    <col min="11781" max="11783" width="12.7109375" style="585" customWidth="1"/>
    <col min="11784" max="11784" width="14.7109375" style="585" customWidth="1"/>
    <col min="11785" max="11786" width="9.140625" style="585"/>
    <col min="11787" max="11787" width="34.7109375" style="585" customWidth="1"/>
    <col min="11788" max="11796" width="12.7109375" style="585" customWidth="1"/>
    <col min="11797" max="11797" width="34.7109375" style="585" customWidth="1"/>
    <col min="11798" max="11804" width="12.7109375" style="585" customWidth="1"/>
    <col min="11805" max="11810" width="9.7109375" style="585" customWidth="1"/>
    <col min="11811" max="12032" width="9.140625" style="585"/>
    <col min="12033" max="12033" width="14.7109375" style="585" customWidth="1"/>
    <col min="12034" max="12034" width="12.7109375" style="585" customWidth="1"/>
    <col min="12035" max="12035" width="15.7109375" style="585" customWidth="1"/>
    <col min="12036" max="12036" width="14.7109375" style="585" customWidth="1"/>
    <col min="12037" max="12039" width="12.7109375" style="585" customWidth="1"/>
    <col min="12040" max="12040" width="14.7109375" style="585" customWidth="1"/>
    <col min="12041" max="12042" width="9.140625" style="585"/>
    <col min="12043" max="12043" width="34.7109375" style="585" customWidth="1"/>
    <col min="12044" max="12052" width="12.7109375" style="585" customWidth="1"/>
    <col min="12053" max="12053" width="34.7109375" style="585" customWidth="1"/>
    <col min="12054" max="12060" width="12.7109375" style="585" customWidth="1"/>
    <col min="12061" max="12066" width="9.7109375" style="585" customWidth="1"/>
    <col min="12067" max="12288" width="9.140625" style="585"/>
    <col min="12289" max="12289" width="14.7109375" style="585" customWidth="1"/>
    <col min="12290" max="12290" width="12.7109375" style="585" customWidth="1"/>
    <col min="12291" max="12291" width="15.7109375" style="585" customWidth="1"/>
    <col min="12292" max="12292" width="14.7109375" style="585" customWidth="1"/>
    <col min="12293" max="12295" width="12.7109375" style="585" customWidth="1"/>
    <col min="12296" max="12296" width="14.7109375" style="585" customWidth="1"/>
    <col min="12297" max="12298" width="9.140625" style="585"/>
    <col min="12299" max="12299" width="34.7109375" style="585" customWidth="1"/>
    <col min="12300" max="12308" width="12.7109375" style="585" customWidth="1"/>
    <col min="12309" max="12309" width="34.7109375" style="585" customWidth="1"/>
    <col min="12310" max="12316" width="12.7109375" style="585" customWidth="1"/>
    <col min="12317" max="12322" width="9.7109375" style="585" customWidth="1"/>
    <col min="12323" max="12544" width="9.140625" style="585"/>
    <col min="12545" max="12545" width="14.7109375" style="585" customWidth="1"/>
    <col min="12546" max="12546" width="12.7109375" style="585" customWidth="1"/>
    <col min="12547" max="12547" width="15.7109375" style="585" customWidth="1"/>
    <col min="12548" max="12548" width="14.7109375" style="585" customWidth="1"/>
    <col min="12549" max="12551" width="12.7109375" style="585" customWidth="1"/>
    <col min="12552" max="12552" width="14.7109375" style="585" customWidth="1"/>
    <col min="12553" max="12554" width="9.140625" style="585"/>
    <col min="12555" max="12555" width="34.7109375" style="585" customWidth="1"/>
    <col min="12556" max="12564" width="12.7109375" style="585" customWidth="1"/>
    <col min="12565" max="12565" width="34.7109375" style="585" customWidth="1"/>
    <col min="12566" max="12572" width="12.7109375" style="585" customWidth="1"/>
    <col min="12573" max="12578" width="9.7109375" style="585" customWidth="1"/>
    <col min="12579" max="12800" width="9.140625" style="585"/>
    <col min="12801" max="12801" width="14.7109375" style="585" customWidth="1"/>
    <col min="12802" max="12802" width="12.7109375" style="585" customWidth="1"/>
    <col min="12803" max="12803" width="15.7109375" style="585" customWidth="1"/>
    <col min="12804" max="12804" width="14.7109375" style="585" customWidth="1"/>
    <col min="12805" max="12807" width="12.7109375" style="585" customWidth="1"/>
    <col min="12808" max="12808" width="14.7109375" style="585" customWidth="1"/>
    <col min="12809" max="12810" width="9.140625" style="585"/>
    <col min="12811" max="12811" width="34.7109375" style="585" customWidth="1"/>
    <col min="12812" max="12820" width="12.7109375" style="585" customWidth="1"/>
    <col min="12821" max="12821" width="34.7109375" style="585" customWidth="1"/>
    <col min="12822" max="12828" width="12.7109375" style="585" customWidth="1"/>
    <col min="12829" max="12834" width="9.7109375" style="585" customWidth="1"/>
    <col min="12835" max="13056" width="9.140625" style="585"/>
    <col min="13057" max="13057" width="14.7109375" style="585" customWidth="1"/>
    <col min="13058" max="13058" width="12.7109375" style="585" customWidth="1"/>
    <col min="13059" max="13059" width="15.7109375" style="585" customWidth="1"/>
    <col min="13060" max="13060" width="14.7109375" style="585" customWidth="1"/>
    <col min="13061" max="13063" width="12.7109375" style="585" customWidth="1"/>
    <col min="13064" max="13064" width="14.7109375" style="585" customWidth="1"/>
    <col min="13065" max="13066" width="9.140625" style="585"/>
    <col min="13067" max="13067" width="34.7109375" style="585" customWidth="1"/>
    <col min="13068" max="13076" width="12.7109375" style="585" customWidth="1"/>
    <col min="13077" max="13077" width="34.7109375" style="585" customWidth="1"/>
    <col min="13078" max="13084" width="12.7109375" style="585" customWidth="1"/>
    <col min="13085" max="13090" width="9.7109375" style="585" customWidth="1"/>
    <col min="13091" max="13312" width="9.140625" style="585"/>
    <col min="13313" max="13313" width="14.7109375" style="585" customWidth="1"/>
    <col min="13314" max="13314" width="12.7109375" style="585" customWidth="1"/>
    <col min="13315" max="13315" width="15.7109375" style="585" customWidth="1"/>
    <col min="13316" max="13316" width="14.7109375" style="585" customWidth="1"/>
    <col min="13317" max="13319" width="12.7109375" style="585" customWidth="1"/>
    <col min="13320" max="13320" width="14.7109375" style="585" customWidth="1"/>
    <col min="13321" max="13322" width="9.140625" style="585"/>
    <col min="13323" max="13323" width="34.7109375" style="585" customWidth="1"/>
    <col min="13324" max="13332" width="12.7109375" style="585" customWidth="1"/>
    <col min="13333" max="13333" width="34.7109375" style="585" customWidth="1"/>
    <col min="13334" max="13340" width="12.7109375" style="585" customWidth="1"/>
    <col min="13341" max="13346" width="9.7109375" style="585" customWidth="1"/>
    <col min="13347" max="13568" width="9.140625" style="585"/>
    <col min="13569" max="13569" width="14.7109375" style="585" customWidth="1"/>
    <col min="13570" max="13570" width="12.7109375" style="585" customWidth="1"/>
    <col min="13571" max="13571" width="15.7109375" style="585" customWidth="1"/>
    <col min="13572" max="13572" width="14.7109375" style="585" customWidth="1"/>
    <col min="13573" max="13575" width="12.7109375" style="585" customWidth="1"/>
    <col min="13576" max="13576" width="14.7109375" style="585" customWidth="1"/>
    <col min="13577" max="13578" width="9.140625" style="585"/>
    <col min="13579" max="13579" width="34.7109375" style="585" customWidth="1"/>
    <col min="13580" max="13588" width="12.7109375" style="585" customWidth="1"/>
    <col min="13589" max="13589" width="34.7109375" style="585" customWidth="1"/>
    <col min="13590" max="13596" width="12.7109375" style="585" customWidth="1"/>
    <col min="13597" max="13602" width="9.7109375" style="585" customWidth="1"/>
    <col min="13603" max="13824" width="9.140625" style="585"/>
    <col min="13825" max="13825" width="14.7109375" style="585" customWidth="1"/>
    <col min="13826" max="13826" width="12.7109375" style="585" customWidth="1"/>
    <col min="13827" max="13827" width="15.7109375" style="585" customWidth="1"/>
    <col min="13828" max="13828" width="14.7109375" style="585" customWidth="1"/>
    <col min="13829" max="13831" width="12.7109375" style="585" customWidth="1"/>
    <col min="13832" max="13832" width="14.7109375" style="585" customWidth="1"/>
    <col min="13833" max="13834" width="9.140625" style="585"/>
    <col min="13835" max="13835" width="34.7109375" style="585" customWidth="1"/>
    <col min="13836" max="13844" width="12.7109375" style="585" customWidth="1"/>
    <col min="13845" max="13845" width="34.7109375" style="585" customWidth="1"/>
    <col min="13846" max="13852" width="12.7109375" style="585" customWidth="1"/>
    <col min="13853" max="13858" width="9.7109375" style="585" customWidth="1"/>
    <col min="13859" max="14080" width="9.140625" style="585"/>
    <col min="14081" max="14081" width="14.7109375" style="585" customWidth="1"/>
    <col min="14082" max="14082" width="12.7109375" style="585" customWidth="1"/>
    <col min="14083" max="14083" width="15.7109375" style="585" customWidth="1"/>
    <col min="14084" max="14084" width="14.7109375" style="585" customWidth="1"/>
    <col min="14085" max="14087" width="12.7109375" style="585" customWidth="1"/>
    <col min="14088" max="14088" width="14.7109375" style="585" customWidth="1"/>
    <col min="14089" max="14090" width="9.140625" style="585"/>
    <col min="14091" max="14091" width="34.7109375" style="585" customWidth="1"/>
    <col min="14092" max="14100" width="12.7109375" style="585" customWidth="1"/>
    <col min="14101" max="14101" width="34.7109375" style="585" customWidth="1"/>
    <col min="14102" max="14108" width="12.7109375" style="585" customWidth="1"/>
    <col min="14109" max="14114" width="9.7109375" style="585" customWidth="1"/>
    <col min="14115" max="14336" width="9.140625" style="585"/>
    <col min="14337" max="14337" width="14.7109375" style="585" customWidth="1"/>
    <col min="14338" max="14338" width="12.7109375" style="585" customWidth="1"/>
    <col min="14339" max="14339" width="15.7109375" style="585" customWidth="1"/>
    <col min="14340" max="14340" width="14.7109375" style="585" customWidth="1"/>
    <col min="14341" max="14343" width="12.7109375" style="585" customWidth="1"/>
    <col min="14344" max="14344" width="14.7109375" style="585" customWidth="1"/>
    <col min="14345" max="14346" width="9.140625" style="585"/>
    <col min="14347" max="14347" width="34.7109375" style="585" customWidth="1"/>
    <col min="14348" max="14356" width="12.7109375" style="585" customWidth="1"/>
    <col min="14357" max="14357" width="34.7109375" style="585" customWidth="1"/>
    <col min="14358" max="14364" width="12.7109375" style="585" customWidth="1"/>
    <col min="14365" max="14370" width="9.7109375" style="585" customWidth="1"/>
    <col min="14371" max="14592" width="9.140625" style="585"/>
    <col min="14593" max="14593" width="14.7109375" style="585" customWidth="1"/>
    <col min="14594" max="14594" width="12.7109375" style="585" customWidth="1"/>
    <col min="14595" max="14595" width="15.7109375" style="585" customWidth="1"/>
    <col min="14596" max="14596" width="14.7109375" style="585" customWidth="1"/>
    <col min="14597" max="14599" width="12.7109375" style="585" customWidth="1"/>
    <col min="14600" max="14600" width="14.7109375" style="585" customWidth="1"/>
    <col min="14601" max="14602" width="9.140625" style="585"/>
    <col min="14603" max="14603" width="34.7109375" style="585" customWidth="1"/>
    <col min="14604" max="14612" width="12.7109375" style="585" customWidth="1"/>
    <col min="14613" max="14613" width="34.7109375" style="585" customWidth="1"/>
    <col min="14614" max="14620" width="12.7109375" style="585" customWidth="1"/>
    <col min="14621" max="14626" width="9.7109375" style="585" customWidth="1"/>
    <col min="14627" max="14848" width="9.140625" style="585"/>
    <col min="14849" max="14849" width="14.7109375" style="585" customWidth="1"/>
    <col min="14850" max="14850" width="12.7109375" style="585" customWidth="1"/>
    <col min="14851" max="14851" width="15.7109375" style="585" customWidth="1"/>
    <col min="14852" max="14852" width="14.7109375" style="585" customWidth="1"/>
    <col min="14853" max="14855" width="12.7109375" style="585" customWidth="1"/>
    <col min="14856" max="14856" width="14.7109375" style="585" customWidth="1"/>
    <col min="14857" max="14858" width="9.140625" style="585"/>
    <col min="14859" max="14859" width="34.7109375" style="585" customWidth="1"/>
    <col min="14860" max="14868" width="12.7109375" style="585" customWidth="1"/>
    <col min="14869" max="14869" width="34.7109375" style="585" customWidth="1"/>
    <col min="14870" max="14876" width="12.7109375" style="585" customWidth="1"/>
    <col min="14877" max="14882" width="9.7109375" style="585" customWidth="1"/>
    <col min="14883" max="15104" width="9.140625" style="585"/>
    <col min="15105" max="15105" width="14.7109375" style="585" customWidth="1"/>
    <col min="15106" max="15106" width="12.7109375" style="585" customWidth="1"/>
    <col min="15107" max="15107" width="15.7109375" style="585" customWidth="1"/>
    <col min="15108" max="15108" width="14.7109375" style="585" customWidth="1"/>
    <col min="15109" max="15111" width="12.7109375" style="585" customWidth="1"/>
    <col min="15112" max="15112" width="14.7109375" style="585" customWidth="1"/>
    <col min="15113" max="15114" width="9.140625" style="585"/>
    <col min="15115" max="15115" width="34.7109375" style="585" customWidth="1"/>
    <col min="15116" max="15124" width="12.7109375" style="585" customWidth="1"/>
    <col min="15125" max="15125" width="34.7109375" style="585" customWidth="1"/>
    <col min="15126" max="15132" width="12.7109375" style="585" customWidth="1"/>
    <col min="15133" max="15138" width="9.7109375" style="585" customWidth="1"/>
    <col min="15139" max="15360" width="9.140625" style="585"/>
    <col min="15361" max="15361" width="14.7109375" style="585" customWidth="1"/>
    <col min="15362" max="15362" width="12.7109375" style="585" customWidth="1"/>
    <col min="15363" max="15363" width="15.7109375" style="585" customWidth="1"/>
    <col min="15364" max="15364" width="14.7109375" style="585" customWidth="1"/>
    <col min="15365" max="15367" width="12.7109375" style="585" customWidth="1"/>
    <col min="15368" max="15368" width="14.7109375" style="585" customWidth="1"/>
    <col min="15369" max="15370" width="9.140625" style="585"/>
    <col min="15371" max="15371" width="34.7109375" style="585" customWidth="1"/>
    <col min="15372" max="15380" width="12.7109375" style="585" customWidth="1"/>
    <col min="15381" max="15381" width="34.7109375" style="585" customWidth="1"/>
    <col min="15382" max="15388" width="12.7109375" style="585" customWidth="1"/>
    <col min="15389" max="15394" width="9.7109375" style="585" customWidth="1"/>
    <col min="15395" max="15616" width="9.140625" style="585"/>
    <col min="15617" max="15617" width="14.7109375" style="585" customWidth="1"/>
    <col min="15618" max="15618" width="12.7109375" style="585" customWidth="1"/>
    <col min="15619" max="15619" width="15.7109375" style="585" customWidth="1"/>
    <col min="15620" max="15620" width="14.7109375" style="585" customWidth="1"/>
    <col min="15621" max="15623" width="12.7109375" style="585" customWidth="1"/>
    <col min="15624" max="15624" width="14.7109375" style="585" customWidth="1"/>
    <col min="15625" max="15626" width="9.140625" style="585"/>
    <col min="15627" max="15627" width="34.7109375" style="585" customWidth="1"/>
    <col min="15628" max="15636" width="12.7109375" style="585" customWidth="1"/>
    <col min="15637" max="15637" width="34.7109375" style="585" customWidth="1"/>
    <col min="15638" max="15644" width="12.7109375" style="585" customWidth="1"/>
    <col min="15645" max="15650" width="9.7109375" style="585" customWidth="1"/>
    <col min="15651" max="15872" width="9.140625" style="585"/>
    <col min="15873" max="15873" width="14.7109375" style="585" customWidth="1"/>
    <col min="15874" max="15874" width="12.7109375" style="585" customWidth="1"/>
    <col min="15875" max="15875" width="15.7109375" style="585" customWidth="1"/>
    <col min="15876" max="15876" width="14.7109375" style="585" customWidth="1"/>
    <col min="15877" max="15879" width="12.7109375" style="585" customWidth="1"/>
    <col min="15880" max="15880" width="14.7109375" style="585" customWidth="1"/>
    <col min="15881" max="15882" width="9.140625" style="585"/>
    <col min="15883" max="15883" width="34.7109375" style="585" customWidth="1"/>
    <col min="15884" max="15892" width="12.7109375" style="585" customWidth="1"/>
    <col min="15893" max="15893" width="34.7109375" style="585" customWidth="1"/>
    <col min="15894" max="15900" width="12.7109375" style="585" customWidth="1"/>
    <col min="15901" max="15906" width="9.7109375" style="585" customWidth="1"/>
    <col min="15907" max="16128" width="9.140625" style="585"/>
    <col min="16129" max="16129" width="14.7109375" style="585" customWidth="1"/>
    <col min="16130" max="16130" width="12.7109375" style="585" customWidth="1"/>
    <col min="16131" max="16131" width="15.7109375" style="585" customWidth="1"/>
    <col min="16132" max="16132" width="14.7109375" style="585" customWidth="1"/>
    <col min="16133" max="16135" width="12.7109375" style="585" customWidth="1"/>
    <col min="16136" max="16136" width="14.7109375" style="585" customWidth="1"/>
    <col min="16137" max="16138" width="9.140625" style="585"/>
    <col min="16139" max="16139" width="34.7109375" style="585" customWidth="1"/>
    <col min="16140" max="16148" width="12.7109375" style="585" customWidth="1"/>
    <col min="16149" max="16149" width="34.7109375" style="585" customWidth="1"/>
    <col min="16150" max="16156" width="12.7109375" style="585" customWidth="1"/>
    <col min="16157" max="16162" width="9.7109375" style="585" customWidth="1"/>
    <col min="16163" max="16384" width="9.140625" style="585"/>
  </cols>
  <sheetData>
    <row r="1" spans="1:34" ht="12.75" customHeight="1">
      <c r="A1" s="423" t="s">
        <v>6807</v>
      </c>
      <c r="B1" s="423"/>
      <c r="C1" s="381"/>
      <c r="D1" s="381"/>
      <c r="E1" s="381"/>
      <c r="F1" s="381"/>
      <c r="G1" s="381"/>
      <c r="H1" s="381"/>
      <c r="I1" s="547"/>
      <c r="J1" s="549"/>
      <c r="K1" s="382" t="s">
        <v>6808</v>
      </c>
      <c r="L1" s="382"/>
      <c r="M1" s="382"/>
      <c r="N1" s="382"/>
      <c r="O1" s="382"/>
      <c r="P1" s="382"/>
      <c r="Q1" s="382"/>
      <c r="R1" s="382"/>
      <c r="S1" s="382"/>
      <c r="T1" s="382"/>
      <c r="U1" s="423" t="s">
        <v>6809</v>
      </c>
      <c r="V1" s="391"/>
      <c r="W1" s="391"/>
      <c r="X1" s="391"/>
      <c r="Y1" s="391"/>
      <c r="Z1" s="391"/>
      <c r="AA1" s="391"/>
      <c r="AB1" s="382"/>
      <c r="AC1" s="382"/>
      <c r="AD1" s="382"/>
      <c r="AE1" s="382"/>
      <c r="AF1" s="382"/>
      <c r="AG1" s="382"/>
      <c r="AH1" s="382"/>
    </row>
    <row r="2" spans="1:34" ht="12.75" customHeight="1">
      <c r="A2" s="391"/>
      <c r="B2" s="1499"/>
      <c r="C2" s="405" t="s">
        <v>6810</v>
      </c>
      <c r="D2" s="2078" t="s">
        <v>6811</v>
      </c>
      <c r="E2" s="2079"/>
      <c r="F2" s="2079"/>
      <c r="G2" s="2080"/>
      <c r="H2" s="405" t="s">
        <v>6812</v>
      </c>
      <c r="I2" s="547"/>
      <c r="J2" s="861"/>
      <c r="K2" s="1466"/>
      <c r="L2" s="2101">
        <v>2024</v>
      </c>
      <c r="M2" s="2102"/>
      <c r="N2" s="2102"/>
      <c r="O2" s="2103"/>
      <c r="P2" s="2101">
        <v>2023</v>
      </c>
      <c r="Q2" s="2102"/>
      <c r="R2" s="2102"/>
      <c r="S2" s="2102"/>
      <c r="T2" s="382"/>
      <c r="V2" s="2101">
        <v>2022</v>
      </c>
      <c r="W2" s="2102"/>
      <c r="X2" s="2102"/>
      <c r="Y2" s="2102"/>
      <c r="Z2" s="2101">
        <v>2021</v>
      </c>
      <c r="AA2" s="2102"/>
      <c r="AB2" s="2102"/>
      <c r="AC2" s="2102"/>
      <c r="AD2" s="398"/>
      <c r="AE2" s="398"/>
      <c r="AF2" s="398"/>
      <c r="AG2" s="398"/>
    </row>
    <row r="3" spans="1:34" ht="12.75" customHeight="1">
      <c r="A3" s="391"/>
      <c r="B3" s="852"/>
      <c r="C3" s="465" t="s">
        <v>4376</v>
      </c>
      <c r="D3" s="401"/>
      <c r="E3" s="401"/>
      <c r="F3" s="2079" t="s">
        <v>6661</v>
      </c>
      <c r="G3" s="2079"/>
      <c r="H3" s="465" t="s">
        <v>6813</v>
      </c>
      <c r="I3" s="547"/>
      <c r="J3" s="861"/>
      <c r="K3" s="381" t="s">
        <v>6814</v>
      </c>
      <c r="L3" s="442" t="s">
        <v>6815</v>
      </c>
      <c r="M3" s="441" t="s">
        <v>6816</v>
      </c>
      <c r="N3" s="442" t="s">
        <v>6817</v>
      </c>
      <c r="O3" s="442" t="s">
        <v>6818</v>
      </c>
      <c r="P3" s="442" t="s">
        <v>6815</v>
      </c>
      <c r="Q3" s="441" t="s">
        <v>6816</v>
      </c>
      <c r="R3" s="442" t="s">
        <v>6817</v>
      </c>
      <c r="S3" s="442" t="s">
        <v>6818</v>
      </c>
      <c r="T3" s="1500"/>
      <c r="U3" s="381" t="s">
        <v>6814</v>
      </c>
      <c r="V3" s="442" t="s">
        <v>6815</v>
      </c>
      <c r="W3" s="441" t="s">
        <v>6816</v>
      </c>
      <c r="X3" s="442" t="s">
        <v>6817</v>
      </c>
      <c r="Y3" s="442" t="s">
        <v>6818</v>
      </c>
      <c r="Z3" s="442" t="s">
        <v>6815</v>
      </c>
      <c r="AA3" s="441" t="s">
        <v>6816</v>
      </c>
      <c r="AB3" s="442" t="s">
        <v>6817</v>
      </c>
      <c r="AC3" s="442" t="s">
        <v>6818</v>
      </c>
      <c r="AD3" s="414"/>
      <c r="AE3" s="414"/>
      <c r="AF3" s="414"/>
      <c r="AG3" s="414"/>
    </row>
    <row r="4" spans="1:34" ht="12.75" customHeight="1">
      <c r="A4" s="423" t="s">
        <v>121</v>
      </c>
      <c r="B4" s="441" t="s">
        <v>6403</v>
      </c>
      <c r="C4" s="442" t="s">
        <v>6819</v>
      </c>
      <c r="D4" s="441" t="s">
        <v>129</v>
      </c>
      <c r="E4" s="441" t="s">
        <v>6646</v>
      </c>
      <c r="F4" s="477" t="s">
        <v>1665</v>
      </c>
      <c r="G4" s="642" t="s">
        <v>1666</v>
      </c>
      <c r="H4" s="442" t="s">
        <v>3284</v>
      </c>
      <c r="I4" s="547"/>
      <c r="J4" s="861"/>
      <c r="K4" s="382" t="s">
        <v>6820</v>
      </c>
      <c r="L4" s="382"/>
      <c r="M4" s="382"/>
      <c r="N4" s="382"/>
      <c r="O4" s="382"/>
      <c r="P4" s="382"/>
      <c r="Q4" s="382"/>
      <c r="R4" s="382"/>
      <c r="S4" s="382"/>
      <c r="T4" s="382"/>
      <c r="U4" s="382" t="s">
        <v>6820</v>
      </c>
      <c r="V4" s="382"/>
      <c r="W4" s="382"/>
      <c r="X4" s="382"/>
      <c r="Y4" s="382"/>
      <c r="Z4" s="382"/>
      <c r="AA4" s="382"/>
      <c r="AB4" s="382"/>
      <c r="AC4" s="382"/>
      <c r="AD4" s="414"/>
      <c r="AE4" s="414"/>
      <c r="AF4" s="2158"/>
      <c r="AG4" s="2158"/>
    </row>
    <row r="5" spans="1:34" ht="12.75" customHeight="1">
      <c r="A5" s="391">
        <v>2024</v>
      </c>
      <c r="B5" s="439" t="s">
        <v>6815</v>
      </c>
      <c r="C5" s="435">
        <v>122820</v>
      </c>
      <c r="D5" s="435">
        <v>68930</v>
      </c>
      <c r="E5" s="435">
        <v>66210</v>
      </c>
      <c r="F5" s="435">
        <v>2720</v>
      </c>
      <c r="G5" s="752">
        <v>4</v>
      </c>
      <c r="H5" s="435">
        <v>53890</v>
      </c>
      <c r="I5" s="547"/>
      <c r="J5" s="549"/>
      <c r="K5" s="382" t="s">
        <v>6821</v>
      </c>
      <c r="L5" s="525">
        <v>122820</v>
      </c>
      <c r="M5" s="525">
        <v>122900</v>
      </c>
      <c r="N5" s="525">
        <v>123120</v>
      </c>
      <c r="O5" s="525">
        <v>123160</v>
      </c>
      <c r="P5" s="525">
        <v>123160</v>
      </c>
      <c r="Q5" s="525">
        <v>122960</v>
      </c>
      <c r="R5" s="525">
        <v>122680</v>
      </c>
      <c r="S5" s="525">
        <v>122820</v>
      </c>
      <c r="T5" s="463"/>
      <c r="U5" s="382" t="s">
        <v>6821</v>
      </c>
      <c r="V5" s="525">
        <v>124200</v>
      </c>
      <c r="W5" s="525">
        <v>123980</v>
      </c>
      <c r="X5" s="525">
        <v>123640</v>
      </c>
      <c r="Y5" s="525">
        <v>123110</v>
      </c>
      <c r="Z5" s="525">
        <v>123830</v>
      </c>
      <c r="AA5" s="525">
        <v>123900</v>
      </c>
      <c r="AB5" s="525">
        <v>124110</v>
      </c>
      <c r="AC5" s="525">
        <v>124120</v>
      </c>
      <c r="AD5" s="414"/>
      <c r="AE5" s="414"/>
      <c r="AF5" s="2158"/>
      <c r="AG5" s="2158"/>
    </row>
    <row r="6" spans="1:34" ht="12.75" customHeight="1">
      <c r="A6" s="391"/>
      <c r="B6" s="439" t="s">
        <v>1949</v>
      </c>
      <c r="C6" s="435">
        <v>122900</v>
      </c>
      <c r="D6" s="435">
        <v>68520</v>
      </c>
      <c r="E6" s="435">
        <v>65810</v>
      </c>
      <c r="F6" s="435">
        <v>2710</v>
      </c>
      <c r="G6" s="752">
        <v>4</v>
      </c>
      <c r="H6" s="435">
        <v>54380</v>
      </c>
      <c r="I6" s="547"/>
      <c r="J6" s="562"/>
      <c r="K6" s="382" t="s">
        <v>6822</v>
      </c>
      <c r="L6" s="525">
        <v>68930</v>
      </c>
      <c r="M6" s="525">
        <v>68520</v>
      </c>
      <c r="N6" s="525">
        <v>67500</v>
      </c>
      <c r="O6" s="525">
        <v>69070</v>
      </c>
      <c r="P6" s="525">
        <v>74210</v>
      </c>
      <c r="Q6" s="525">
        <v>70420</v>
      </c>
      <c r="R6" s="525">
        <v>71990</v>
      </c>
      <c r="S6" s="525">
        <v>69120</v>
      </c>
      <c r="T6" s="463"/>
      <c r="U6" s="382" t="s">
        <v>6822</v>
      </c>
      <c r="V6" s="525">
        <v>72720</v>
      </c>
      <c r="W6" s="525">
        <v>69780</v>
      </c>
      <c r="X6" s="525">
        <v>71680</v>
      </c>
      <c r="Y6" s="525">
        <v>73370</v>
      </c>
      <c r="Z6" s="525">
        <v>76690</v>
      </c>
      <c r="AA6" s="525">
        <v>71250</v>
      </c>
      <c r="AB6" s="525">
        <v>69920</v>
      </c>
      <c r="AC6" s="525">
        <v>72170</v>
      </c>
      <c r="AD6" s="439"/>
      <c r="AE6" s="439"/>
      <c r="AF6" s="439"/>
      <c r="AG6" s="439"/>
    </row>
    <row r="7" spans="1:34" ht="12.75" customHeight="1">
      <c r="A7" s="391"/>
      <c r="B7" s="439" t="s">
        <v>6817</v>
      </c>
      <c r="C7" s="435">
        <v>123120</v>
      </c>
      <c r="D7" s="435">
        <v>67500</v>
      </c>
      <c r="E7" s="435">
        <v>65210</v>
      </c>
      <c r="F7" s="435">
        <v>2290</v>
      </c>
      <c r="G7" s="439">
        <v>3.4</v>
      </c>
      <c r="H7" s="435">
        <v>55620</v>
      </c>
      <c r="I7" s="547"/>
      <c r="J7" s="562"/>
      <c r="K7" s="382" t="s">
        <v>6823</v>
      </c>
      <c r="L7" s="525">
        <v>66210</v>
      </c>
      <c r="M7" s="525">
        <v>65810</v>
      </c>
      <c r="N7" s="525">
        <v>65210</v>
      </c>
      <c r="O7" s="525">
        <v>66430</v>
      </c>
      <c r="P7" s="525">
        <v>71050</v>
      </c>
      <c r="Q7" s="525">
        <v>67630</v>
      </c>
      <c r="R7" s="525">
        <v>69010</v>
      </c>
      <c r="S7" s="525">
        <v>66200</v>
      </c>
      <c r="T7" s="463"/>
      <c r="U7" s="382" t="s">
        <v>6823</v>
      </c>
      <c r="V7" s="525">
        <v>69050</v>
      </c>
      <c r="W7" s="525">
        <v>66400</v>
      </c>
      <c r="X7" s="525">
        <v>68550</v>
      </c>
      <c r="Y7" s="525">
        <v>70460</v>
      </c>
      <c r="Z7" s="525">
        <v>64030</v>
      </c>
      <c r="AA7" s="525">
        <v>63070</v>
      </c>
      <c r="AB7" s="525">
        <v>64260</v>
      </c>
      <c r="AC7" s="525">
        <v>66980</v>
      </c>
      <c r="AD7" s="463"/>
      <c r="AE7" s="857"/>
      <c r="AF7" s="463"/>
      <c r="AG7" s="857"/>
    </row>
    <row r="8" spans="1:34" ht="12.75" customHeight="1">
      <c r="A8" s="391"/>
      <c r="B8" s="439" t="s">
        <v>6818</v>
      </c>
      <c r="C8" s="435">
        <v>123160</v>
      </c>
      <c r="D8" s="435">
        <v>69070</v>
      </c>
      <c r="E8" s="435">
        <v>66430</v>
      </c>
      <c r="F8" s="435">
        <v>2650</v>
      </c>
      <c r="G8" s="439">
        <v>3.9</v>
      </c>
      <c r="H8" s="435">
        <v>54090</v>
      </c>
      <c r="I8" s="547"/>
      <c r="J8" s="562"/>
      <c r="K8" s="382" t="s">
        <v>6824</v>
      </c>
      <c r="L8" s="525">
        <v>29630</v>
      </c>
      <c r="M8" s="525">
        <v>30330</v>
      </c>
      <c r="N8" s="525">
        <v>31170</v>
      </c>
      <c r="O8" s="525">
        <v>32290</v>
      </c>
      <c r="P8" s="525">
        <v>31970</v>
      </c>
      <c r="Q8" s="525">
        <v>28510</v>
      </c>
      <c r="R8" s="525">
        <v>32230</v>
      </c>
      <c r="S8" s="525">
        <v>29630</v>
      </c>
      <c r="T8" s="463"/>
      <c r="U8" s="382" t="s">
        <v>6824</v>
      </c>
      <c r="V8" s="525">
        <v>33500</v>
      </c>
      <c r="W8" s="525">
        <v>31150</v>
      </c>
      <c r="X8" s="525">
        <v>31610</v>
      </c>
      <c r="Y8" s="525">
        <v>30670</v>
      </c>
      <c r="Z8" s="525">
        <v>27640</v>
      </c>
      <c r="AA8" s="525">
        <v>27030</v>
      </c>
      <c r="AB8" s="525">
        <v>31820</v>
      </c>
      <c r="AC8" s="525">
        <v>32300</v>
      </c>
      <c r="AD8" s="463"/>
      <c r="AE8" s="857"/>
      <c r="AF8" s="463"/>
      <c r="AG8" s="857"/>
    </row>
    <row r="9" spans="1:34" ht="12.75" customHeight="1">
      <c r="I9" s="547"/>
      <c r="J9" s="562"/>
      <c r="K9" s="382" t="s">
        <v>6825</v>
      </c>
      <c r="L9" s="525">
        <v>34130</v>
      </c>
      <c r="M9" s="525">
        <v>33670</v>
      </c>
      <c r="N9" s="525">
        <v>32460</v>
      </c>
      <c r="O9" s="525">
        <v>32280</v>
      </c>
      <c r="P9" s="525">
        <v>36710</v>
      </c>
      <c r="Q9" s="525">
        <v>35210</v>
      </c>
      <c r="R9" s="525">
        <v>34930</v>
      </c>
      <c r="S9" s="525">
        <v>34130</v>
      </c>
      <c r="T9" s="463"/>
      <c r="U9" s="382" t="s">
        <v>6825</v>
      </c>
      <c r="V9" s="525">
        <v>35140</v>
      </c>
      <c r="W9" s="525">
        <v>34690</v>
      </c>
      <c r="X9" s="525">
        <v>35370</v>
      </c>
      <c r="Y9" s="525">
        <v>38130</v>
      </c>
      <c r="Z9" s="525">
        <v>36390</v>
      </c>
      <c r="AA9" s="525">
        <v>35000</v>
      </c>
      <c r="AB9" s="525">
        <v>32130</v>
      </c>
      <c r="AC9" s="525">
        <v>33660</v>
      </c>
      <c r="AD9" s="463"/>
      <c r="AE9" s="857"/>
      <c r="AF9" s="463"/>
      <c r="AG9" s="857"/>
    </row>
    <row r="10" spans="1:34" ht="12.75" customHeight="1">
      <c r="A10" s="391">
        <v>2023</v>
      </c>
      <c r="B10" s="439" t="s">
        <v>6815</v>
      </c>
      <c r="C10" s="435">
        <v>123160</v>
      </c>
      <c r="D10" s="435">
        <v>74210</v>
      </c>
      <c r="E10" s="435">
        <v>71050</v>
      </c>
      <c r="F10" s="435">
        <v>3160</v>
      </c>
      <c r="G10" s="752">
        <v>4.3</v>
      </c>
      <c r="H10" s="435">
        <v>48950</v>
      </c>
      <c r="I10" s="547"/>
      <c r="J10" s="549"/>
      <c r="K10" s="382" t="s">
        <v>6826</v>
      </c>
      <c r="L10" s="525">
        <v>2450</v>
      </c>
      <c r="M10" s="525">
        <v>1810</v>
      </c>
      <c r="N10" s="525">
        <v>1580</v>
      </c>
      <c r="O10" s="525">
        <v>1850</v>
      </c>
      <c r="P10" s="525">
        <v>2370</v>
      </c>
      <c r="Q10" s="525">
        <v>3910</v>
      </c>
      <c r="R10" s="525">
        <v>1850</v>
      </c>
      <c r="S10" s="525">
        <v>2440</v>
      </c>
      <c r="T10" s="463"/>
      <c r="U10" s="382" t="s">
        <v>6826</v>
      </c>
      <c r="V10" s="525">
        <v>410</v>
      </c>
      <c r="W10" s="525">
        <v>560</v>
      </c>
      <c r="X10" s="525">
        <v>1570</v>
      </c>
      <c r="Y10" s="525">
        <v>1660</v>
      </c>
      <c r="Z10" s="525">
        <v>1060</v>
      </c>
      <c r="AA10" s="525">
        <v>1040</v>
      </c>
      <c r="AB10" s="525">
        <v>310</v>
      </c>
      <c r="AC10" s="525">
        <v>1020</v>
      </c>
      <c r="AD10" s="463"/>
      <c r="AE10" s="857"/>
      <c r="AF10" s="463"/>
      <c r="AG10" s="857"/>
    </row>
    <row r="11" spans="1:34" ht="12.75" customHeight="1">
      <c r="A11" s="391"/>
      <c r="B11" s="439" t="s">
        <v>1949</v>
      </c>
      <c r="C11" s="435">
        <v>122960</v>
      </c>
      <c r="D11" s="435">
        <v>70740</v>
      </c>
      <c r="E11" s="435">
        <v>67630</v>
      </c>
      <c r="F11" s="435">
        <v>2790</v>
      </c>
      <c r="G11" s="752">
        <v>4</v>
      </c>
      <c r="H11" s="435">
        <v>52540</v>
      </c>
      <c r="I11" s="547"/>
      <c r="J11" s="562"/>
      <c r="K11" s="382" t="s">
        <v>6827</v>
      </c>
      <c r="L11" s="525">
        <v>26540</v>
      </c>
      <c r="M11" s="525">
        <v>26610</v>
      </c>
      <c r="N11" s="525">
        <v>26500</v>
      </c>
      <c r="O11" s="525">
        <v>27070</v>
      </c>
      <c r="P11" s="525">
        <v>31380</v>
      </c>
      <c r="Q11" s="525">
        <v>26280</v>
      </c>
      <c r="R11" s="525">
        <v>25990</v>
      </c>
      <c r="S11" s="525">
        <v>26540</v>
      </c>
      <c r="T11" s="463"/>
      <c r="U11" s="382" t="s">
        <v>6827</v>
      </c>
      <c r="V11" s="525">
        <v>28600</v>
      </c>
      <c r="W11" s="525">
        <v>25260</v>
      </c>
      <c r="X11" s="525">
        <v>27540</v>
      </c>
      <c r="Y11" s="525">
        <v>25290</v>
      </c>
      <c r="Z11" s="525">
        <v>25680</v>
      </c>
      <c r="AA11" s="525">
        <v>23220</v>
      </c>
      <c r="AB11" s="525">
        <v>25830</v>
      </c>
      <c r="AC11" s="525">
        <v>24820</v>
      </c>
      <c r="AD11" s="463"/>
      <c r="AE11" s="857"/>
      <c r="AF11" s="463"/>
      <c r="AG11" s="857"/>
    </row>
    <row r="12" spans="1:34" ht="12.75" customHeight="1">
      <c r="B12" s="439" t="s">
        <v>6817</v>
      </c>
      <c r="C12" s="435">
        <v>122680</v>
      </c>
      <c r="D12" s="435">
        <v>71990</v>
      </c>
      <c r="E12" s="435">
        <v>69010</v>
      </c>
      <c r="F12" s="435">
        <v>2980</v>
      </c>
      <c r="G12" s="439">
        <v>4.0999999999999996</v>
      </c>
      <c r="H12" s="435">
        <v>50690</v>
      </c>
      <c r="I12" s="547"/>
      <c r="J12" s="562"/>
      <c r="K12" s="382" t="s">
        <v>6828</v>
      </c>
      <c r="L12" s="525">
        <v>56610</v>
      </c>
      <c r="M12" s="525">
        <v>56980</v>
      </c>
      <c r="N12" s="525">
        <v>56800</v>
      </c>
      <c r="O12" s="525">
        <v>59190</v>
      </c>
      <c r="P12" s="525">
        <v>63940</v>
      </c>
      <c r="Q12" s="525">
        <v>53660</v>
      </c>
      <c r="R12" s="525">
        <v>60490</v>
      </c>
      <c r="S12" s="525">
        <v>56610</v>
      </c>
      <c r="T12" s="463"/>
      <c r="U12" s="382" t="s">
        <v>6828</v>
      </c>
      <c r="V12" s="525">
        <v>60880</v>
      </c>
      <c r="W12" s="525">
        <v>56990</v>
      </c>
      <c r="X12" s="525">
        <v>61040</v>
      </c>
      <c r="Y12" s="525">
        <v>65070</v>
      </c>
      <c r="Z12" s="525">
        <v>55230</v>
      </c>
      <c r="AA12" s="525">
        <v>52330</v>
      </c>
      <c r="AB12" s="525">
        <v>52920</v>
      </c>
      <c r="AC12" s="525">
        <v>60180</v>
      </c>
      <c r="AD12" s="463"/>
      <c r="AE12" s="857"/>
      <c r="AF12" s="463"/>
      <c r="AG12" s="857"/>
    </row>
    <row r="13" spans="1:34" ht="12.75" customHeight="1">
      <c r="B13" s="439" t="s">
        <v>6818</v>
      </c>
      <c r="C13" s="435">
        <v>122820</v>
      </c>
      <c r="D13" s="435">
        <v>69120</v>
      </c>
      <c r="E13" s="435">
        <v>66200</v>
      </c>
      <c r="F13" s="435">
        <v>2920</v>
      </c>
      <c r="G13" s="752">
        <v>4.2</v>
      </c>
      <c r="H13" s="435">
        <v>53700</v>
      </c>
      <c r="I13" s="547"/>
      <c r="J13" s="562"/>
      <c r="K13" s="382" t="s">
        <v>6829</v>
      </c>
      <c r="L13" s="525">
        <v>9600</v>
      </c>
      <c r="M13" s="525">
        <v>8830</v>
      </c>
      <c r="N13" s="525">
        <v>8410</v>
      </c>
      <c r="O13" s="525">
        <v>7250</v>
      </c>
      <c r="P13" s="525">
        <v>7110</v>
      </c>
      <c r="Q13" s="525">
        <v>13970</v>
      </c>
      <c r="R13" s="525">
        <v>8520</v>
      </c>
      <c r="S13" s="525">
        <v>9590</v>
      </c>
      <c r="T13" s="463"/>
      <c r="U13" s="382" t="s">
        <v>6829</v>
      </c>
      <c r="V13" s="525">
        <v>8170</v>
      </c>
      <c r="W13" s="525">
        <v>9410</v>
      </c>
      <c r="X13" s="525">
        <v>7510</v>
      </c>
      <c r="Y13" s="525">
        <v>5390</v>
      </c>
      <c r="Z13" s="525">
        <v>8800</v>
      </c>
      <c r="AA13" s="525">
        <v>10740</v>
      </c>
      <c r="AB13" s="525">
        <v>11340</v>
      </c>
      <c r="AC13" s="525">
        <v>6800</v>
      </c>
      <c r="AD13" s="463"/>
      <c r="AE13" s="857"/>
      <c r="AF13" s="463"/>
      <c r="AG13" s="857"/>
    </row>
    <row r="14" spans="1:34" ht="12.75" customHeight="1">
      <c r="A14" s="391"/>
      <c r="B14" s="439"/>
      <c r="C14" s="435"/>
      <c r="D14" s="435"/>
      <c r="E14" s="435"/>
      <c r="F14" s="435"/>
      <c r="G14" s="439"/>
      <c r="H14" s="435"/>
      <c r="I14" s="547"/>
      <c r="J14" s="562"/>
      <c r="K14" s="382" t="s">
        <v>6830</v>
      </c>
      <c r="L14" s="525">
        <v>58130</v>
      </c>
      <c r="M14" s="525">
        <v>57450</v>
      </c>
      <c r="N14" s="525">
        <v>57560</v>
      </c>
      <c r="O14" s="525">
        <v>58000</v>
      </c>
      <c r="P14" s="525">
        <v>61580</v>
      </c>
      <c r="Q14" s="525">
        <v>59240</v>
      </c>
      <c r="R14" s="525">
        <v>63900</v>
      </c>
      <c r="S14" s="525">
        <v>58130</v>
      </c>
      <c r="T14" s="463"/>
      <c r="U14" s="382" t="s">
        <v>6830</v>
      </c>
      <c r="V14" s="525">
        <v>59560</v>
      </c>
      <c r="W14" s="525">
        <v>54140</v>
      </c>
      <c r="X14" s="525">
        <v>59850</v>
      </c>
      <c r="Y14" s="525">
        <v>56780</v>
      </c>
      <c r="Z14" s="525">
        <v>52070</v>
      </c>
      <c r="AA14" s="525">
        <v>52330</v>
      </c>
      <c r="AB14" s="525">
        <v>57010</v>
      </c>
      <c r="AC14" s="525">
        <v>51340</v>
      </c>
      <c r="AD14" s="463"/>
      <c r="AE14" s="857"/>
      <c r="AF14" s="463"/>
      <c r="AG14" s="857"/>
    </row>
    <row r="15" spans="1:34" ht="12.75" customHeight="1">
      <c r="A15" s="391">
        <v>2022</v>
      </c>
      <c r="B15" s="439" t="s">
        <v>6815</v>
      </c>
      <c r="C15" s="435">
        <v>124200</v>
      </c>
      <c r="D15" s="435">
        <v>72720</v>
      </c>
      <c r="E15" s="435">
        <v>69050</v>
      </c>
      <c r="F15" s="435">
        <v>3670</v>
      </c>
      <c r="G15" s="439">
        <v>5.0999999999999996</v>
      </c>
      <c r="H15" s="435">
        <v>51480</v>
      </c>
      <c r="I15" s="547"/>
      <c r="J15" s="549"/>
      <c r="K15" s="382" t="s">
        <v>6831</v>
      </c>
      <c r="L15" s="525">
        <v>8080</v>
      </c>
      <c r="M15" s="525">
        <v>8360</v>
      </c>
      <c r="N15" s="525">
        <v>7650</v>
      </c>
      <c r="O15" s="525">
        <v>8420</v>
      </c>
      <c r="P15" s="525">
        <v>9470</v>
      </c>
      <c r="Q15" s="525">
        <v>8380</v>
      </c>
      <c r="R15" s="525">
        <v>5110</v>
      </c>
      <c r="S15" s="525">
        <v>8070</v>
      </c>
      <c r="T15" s="463"/>
      <c r="U15" s="382" t="s">
        <v>6831</v>
      </c>
      <c r="V15" s="525">
        <v>9400</v>
      </c>
      <c r="W15" s="525">
        <v>10560</v>
      </c>
      <c r="X15" s="525">
        <v>8700</v>
      </c>
      <c r="Y15" s="525">
        <v>13680</v>
      </c>
      <c r="Z15" s="525">
        <v>11960</v>
      </c>
      <c r="AA15" s="525">
        <v>10740</v>
      </c>
      <c r="AB15" s="525">
        <v>7250</v>
      </c>
      <c r="AC15" s="525">
        <v>15640</v>
      </c>
      <c r="AD15" s="463"/>
      <c r="AE15" s="857"/>
      <c r="AF15" s="463"/>
      <c r="AG15" s="857"/>
    </row>
    <row r="16" spans="1:34" ht="12.75" customHeight="1">
      <c r="A16" s="391"/>
      <c r="B16" s="439" t="s">
        <v>1949</v>
      </c>
      <c r="C16" s="435">
        <v>123980</v>
      </c>
      <c r="D16" s="435">
        <v>69780</v>
      </c>
      <c r="E16" s="435">
        <v>66400</v>
      </c>
      <c r="F16" s="435">
        <v>3380</v>
      </c>
      <c r="G16" s="439">
        <v>4.8</v>
      </c>
      <c r="H16" s="435">
        <v>54200</v>
      </c>
      <c r="I16" s="547"/>
      <c r="J16" s="562"/>
      <c r="K16" s="382" t="s">
        <v>6832</v>
      </c>
      <c r="L16" s="525">
        <v>5080</v>
      </c>
      <c r="M16" s="525">
        <v>5040</v>
      </c>
      <c r="N16" s="525">
        <v>5040</v>
      </c>
      <c r="O16" s="525">
        <v>4620</v>
      </c>
      <c r="P16" s="525">
        <v>7110</v>
      </c>
      <c r="Q16" s="525">
        <v>5590</v>
      </c>
      <c r="R16" s="525">
        <v>5960</v>
      </c>
      <c r="S16" s="525">
        <v>5080</v>
      </c>
      <c r="T16" s="463"/>
      <c r="U16" s="382" t="s">
        <v>6832</v>
      </c>
      <c r="V16" s="525">
        <v>6130</v>
      </c>
      <c r="W16" s="525">
        <v>5450</v>
      </c>
      <c r="X16" s="525">
        <v>6260</v>
      </c>
      <c r="Y16" s="525">
        <v>4560</v>
      </c>
      <c r="Z16" s="525">
        <v>4930</v>
      </c>
      <c r="AA16" s="525">
        <v>4510</v>
      </c>
      <c r="AB16" s="525">
        <v>5670</v>
      </c>
      <c r="AC16" s="525">
        <v>4420</v>
      </c>
      <c r="AD16" s="463"/>
      <c r="AE16" s="857"/>
      <c r="AF16" s="463"/>
      <c r="AG16" s="857"/>
    </row>
    <row r="17" spans="1:33" ht="12.75" customHeight="1">
      <c r="B17" s="439" t="s">
        <v>6817</v>
      </c>
      <c r="C17" s="435">
        <v>123640</v>
      </c>
      <c r="D17" s="435">
        <v>71680</v>
      </c>
      <c r="E17" s="435">
        <v>68550</v>
      </c>
      <c r="F17" s="435">
        <v>3130</v>
      </c>
      <c r="G17" s="439">
        <v>4.4000000000000004</v>
      </c>
      <c r="H17" s="435">
        <v>51960</v>
      </c>
      <c r="I17" s="547"/>
      <c r="J17" s="562"/>
      <c r="K17" s="382" t="s">
        <v>6833</v>
      </c>
      <c r="L17" s="525">
        <v>2720</v>
      </c>
      <c r="M17" s="525">
        <v>2710</v>
      </c>
      <c r="N17" s="525">
        <v>2290</v>
      </c>
      <c r="O17" s="525">
        <v>2650</v>
      </c>
      <c r="P17" s="525">
        <v>3160</v>
      </c>
      <c r="Q17" s="525">
        <v>2790</v>
      </c>
      <c r="R17" s="525">
        <v>2980</v>
      </c>
      <c r="S17" s="525">
        <v>2920</v>
      </c>
      <c r="T17" s="463"/>
      <c r="U17" s="382" t="s">
        <v>6833</v>
      </c>
      <c r="V17" s="525">
        <v>3670</v>
      </c>
      <c r="W17" s="525">
        <v>3380</v>
      </c>
      <c r="X17" s="525">
        <v>3130</v>
      </c>
      <c r="Y17" s="525">
        <v>2900</v>
      </c>
      <c r="Z17" s="525">
        <v>12660</v>
      </c>
      <c r="AA17" s="525">
        <v>8150</v>
      </c>
      <c r="AB17" s="525">
        <v>5660</v>
      </c>
      <c r="AC17" s="525">
        <v>5190</v>
      </c>
      <c r="AD17" s="463"/>
      <c r="AE17" s="857"/>
      <c r="AF17" s="463"/>
      <c r="AG17" s="857"/>
    </row>
    <row r="18" spans="1:33" ht="12.75" customHeight="1">
      <c r="A18" s="391"/>
      <c r="B18" s="439" t="s">
        <v>6818</v>
      </c>
      <c r="C18" s="435">
        <v>123110</v>
      </c>
      <c r="D18" s="435">
        <v>73370</v>
      </c>
      <c r="E18" s="435">
        <v>70460</v>
      </c>
      <c r="F18" s="435">
        <v>2900</v>
      </c>
      <c r="G18" s="752">
        <v>4</v>
      </c>
      <c r="H18" s="435">
        <v>49740</v>
      </c>
      <c r="I18" s="547"/>
      <c r="J18" s="562"/>
      <c r="K18" s="382" t="s">
        <v>6834</v>
      </c>
      <c r="L18" s="525">
        <v>53890</v>
      </c>
      <c r="M18" s="525">
        <v>54380</v>
      </c>
      <c r="N18" s="525">
        <v>55620</v>
      </c>
      <c r="O18" s="525">
        <v>54090</v>
      </c>
      <c r="P18" s="525">
        <v>48950</v>
      </c>
      <c r="Q18" s="525">
        <v>52540</v>
      </c>
      <c r="R18" s="525">
        <v>50690</v>
      </c>
      <c r="S18" s="525">
        <v>53700</v>
      </c>
      <c r="T18" s="463"/>
      <c r="U18" s="382" t="s">
        <v>6834</v>
      </c>
      <c r="V18" s="525">
        <v>51480</v>
      </c>
      <c r="W18" s="525">
        <v>54200</v>
      </c>
      <c r="X18" s="525">
        <v>51960</v>
      </c>
      <c r="Y18" s="525">
        <v>49740</v>
      </c>
      <c r="Z18" s="525">
        <v>47140</v>
      </c>
      <c r="AA18" s="525">
        <v>52650</v>
      </c>
      <c r="AB18" s="525">
        <v>54190</v>
      </c>
      <c r="AC18" s="525">
        <v>51950</v>
      </c>
      <c r="AD18" s="463"/>
      <c r="AE18" s="857"/>
      <c r="AF18" s="463"/>
      <c r="AG18" s="857"/>
    </row>
    <row r="19" spans="1:33" ht="12.75" customHeight="1">
      <c r="A19" s="391"/>
      <c r="B19" s="439"/>
      <c r="C19" s="435"/>
      <c r="D19" s="435"/>
      <c r="E19" s="435"/>
      <c r="F19" s="435"/>
      <c r="G19" s="439"/>
      <c r="H19" s="435"/>
      <c r="I19" s="547"/>
      <c r="J19" s="562"/>
      <c r="K19" s="382"/>
      <c r="T19" s="382"/>
      <c r="U19" s="382"/>
      <c r="AD19" s="463"/>
      <c r="AE19" s="857"/>
      <c r="AF19" s="463"/>
      <c r="AG19" s="857"/>
    </row>
    <row r="20" spans="1:33" ht="12.75" customHeight="1">
      <c r="A20" s="391">
        <v>2021</v>
      </c>
      <c r="B20" s="439" t="s">
        <v>6815</v>
      </c>
      <c r="C20" s="435">
        <v>123830</v>
      </c>
      <c r="D20" s="435">
        <v>76690</v>
      </c>
      <c r="E20" s="435">
        <v>64030</v>
      </c>
      <c r="F20" s="435">
        <v>12660</v>
      </c>
      <c r="G20" s="439">
        <v>16.5</v>
      </c>
      <c r="H20" s="435">
        <v>47140</v>
      </c>
      <c r="I20" s="547"/>
      <c r="J20" s="549"/>
      <c r="K20" s="382" t="s">
        <v>6835</v>
      </c>
      <c r="T20" s="382"/>
      <c r="U20" s="382" t="s">
        <v>6835</v>
      </c>
      <c r="AD20" s="463"/>
      <c r="AE20" s="857"/>
      <c r="AF20" s="463"/>
      <c r="AG20" s="857"/>
    </row>
    <row r="21" spans="1:33" ht="12.75" customHeight="1">
      <c r="A21" s="391"/>
      <c r="B21" s="439" t="s">
        <v>1949</v>
      </c>
      <c r="C21" s="435">
        <v>123900</v>
      </c>
      <c r="D21" s="435">
        <v>71250</v>
      </c>
      <c r="E21" s="435">
        <v>63070</v>
      </c>
      <c r="F21" s="435">
        <v>8150</v>
      </c>
      <c r="G21" s="439">
        <v>11.4</v>
      </c>
      <c r="H21" s="435">
        <v>52650</v>
      </c>
      <c r="I21" s="547"/>
      <c r="J21" s="562"/>
      <c r="K21" s="382" t="s">
        <v>6836</v>
      </c>
      <c r="L21" s="855">
        <v>4</v>
      </c>
      <c r="M21" s="855">
        <v>4</v>
      </c>
      <c r="N21" s="855">
        <v>3.4</v>
      </c>
      <c r="O21" s="855">
        <v>3.9</v>
      </c>
      <c r="P21" s="855">
        <v>4.3</v>
      </c>
      <c r="Q21" s="855">
        <v>4</v>
      </c>
      <c r="R21" s="855">
        <v>4.0999999999999996</v>
      </c>
      <c r="S21" s="855">
        <v>4.2</v>
      </c>
      <c r="T21" s="799"/>
      <c r="U21" s="382" t="s">
        <v>6836</v>
      </c>
      <c r="V21" s="855">
        <v>5.0999999999999996</v>
      </c>
      <c r="W21" s="855">
        <v>4.8</v>
      </c>
      <c r="X21" s="855">
        <v>4.4000000000000004</v>
      </c>
      <c r="Y21" s="855">
        <v>4</v>
      </c>
      <c r="Z21" s="855">
        <v>16.5</v>
      </c>
      <c r="AA21" s="855">
        <v>11.4</v>
      </c>
      <c r="AB21" s="855">
        <v>8.1</v>
      </c>
      <c r="AC21" s="855">
        <v>7.2</v>
      </c>
      <c r="AD21" s="463"/>
      <c r="AE21" s="857"/>
      <c r="AF21" s="463"/>
      <c r="AG21" s="857"/>
    </row>
    <row r="22" spans="1:33" ht="12.75" customHeight="1">
      <c r="B22" s="439" t="s">
        <v>6817</v>
      </c>
      <c r="C22" s="435">
        <v>124110</v>
      </c>
      <c r="D22" s="435">
        <v>69920</v>
      </c>
      <c r="E22" s="435">
        <v>64260</v>
      </c>
      <c r="F22" s="435">
        <v>5660</v>
      </c>
      <c r="G22" s="439">
        <v>8.1</v>
      </c>
      <c r="H22" s="435">
        <v>54190</v>
      </c>
      <c r="I22" s="547"/>
      <c r="J22" s="562"/>
      <c r="K22" s="382" t="s">
        <v>6824</v>
      </c>
      <c r="L22" s="855">
        <v>3.2</v>
      </c>
      <c r="M22" s="855">
        <v>2.2999999999999998</v>
      </c>
      <c r="N22" s="855">
        <v>2.7</v>
      </c>
      <c r="O22" s="855">
        <v>4.0999999999999996</v>
      </c>
      <c r="P22" s="855">
        <v>3.6</v>
      </c>
      <c r="Q22" s="855">
        <v>5.6</v>
      </c>
      <c r="R22" s="855">
        <v>3.5</v>
      </c>
      <c r="S22" s="855">
        <v>4.2</v>
      </c>
      <c r="T22" s="799"/>
      <c r="U22" s="382" t="s">
        <v>6824</v>
      </c>
      <c r="V22" s="855">
        <v>4.7</v>
      </c>
      <c r="W22" s="855">
        <v>3</v>
      </c>
      <c r="X22" s="855">
        <v>2.9</v>
      </c>
      <c r="Y22" s="855">
        <v>3.9</v>
      </c>
      <c r="Z22" s="855">
        <v>15.7</v>
      </c>
      <c r="AA22" s="855">
        <v>7.9</v>
      </c>
      <c r="AB22" s="855">
        <v>6.8</v>
      </c>
      <c r="AC22" s="855">
        <v>1.2</v>
      </c>
      <c r="AD22" s="463"/>
      <c r="AE22" s="857"/>
      <c r="AF22" s="463"/>
      <c r="AG22" s="857"/>
    </row>
    <row r="23" spans="1:33" ht="12.75" customHeight="1">
      <c r="A23" s="391"/>
      <c r="B23" s="439" t="s">
        <v>6818</v>
      </c>
      <c r="C23" s="435">
        <v>124120</v>
      </c>
      <c r="D23" s="435">
        <v>72170</v>
      </c>
      <c r="E23" s="435">
        <v>66980</v>
      </c>
      <c r="F23" s="435">
        <v>5190</v>
      </c>
      <c r="G23" s="439">
        <v>7.2</v>
      </c>
      <c r="H23" s="435">
        <v>51950</v>
      </c>
      <c r="I23" s="547"/>
      <c r="J23" s="562"/>
      <c r="K23" s="382" t="s">
        <v>6825</v>
      </c>
      <c r="L23" s="855">
        <v>4.5</v>
      </c>
      <c r="M23" s="855">
        <v>5.0999999999999996</v>
      </c>
      <c r="N23" s="855">
        <v>5.0999999999999996</v>
      </c>
      <c r="O23" s="855">
        <v>2.9</v>
      </c>
      <c r="P23" s="855">
        <v>3.1</v>
      </c>
      <c r="Q23" s="855">
        <v>1.6</v>
      </c>
      <c r="R23" s="855">
        <v>4.7</v>
      </c>
      <c r="S23" s="855">
        <v>4.5</v>
      </c>
      <c r="T23" s="799"/>
      <c r="U23" s="382" t="s">
        <v>6825</v>
      </c>
      <c r="V23" s="855">
        <v>5.5</v>
      </c>
      <c r="W23" s="855">
        <v>4.5999999999999996</v>
      </c>
      <c r="X23" s="855">
        <v>3.4</v>
      </c>
      <c r="Y23" s="855">
        <v>1.1000000000000001</v>
      </c>
      <c r="Z23" s="855">
        <v>20.100000000000001</v>
      </c>
      <c r="AA23" s="855">
        <v>13.5</v>
      </c>
      <c r="AB23" s="855">
        <v>4.2</v>
      </c>
      <c r="AC23" s="855">
        <v>8.8000000000000007</v>
      </c>
      <c r="AD23" s="463"/>
      <c r="AE23" s="857"/>
      <c r="AF23" s="463"/>
      <c r="AG23" s="857"/>
    </row>
    <row r="24" spans="1:33" ht="12.75" customHeight="1">
      <c r="A24" s="391"/>
      <c r="B24" s="439"/>
      <c r="C24" s="435"/>
      <c r="D24" s="435"/>
      <c r="E24" s="435"/>
      <c r="F24" s="435"/>
      <c r="G24" s="439"/>
      <c r="H24" s="435"/>
      <c r="I24" s="547"/>
      <c r="J24" s="562"/>
      <c r="K24" s="382" t="s">
        <v>6826</v>
      </c>
      <c r="L24" s="1003">
        <v>12.5</v>
      </c>
      <c r="M24" s="855">
        <v>33.299999999999997</v>
      </c>
      <c r="N24" s="1003">
        <v>33.299999999999997</v>
      </c>
      <c r="O24" s="1003">
        <v>22.2</v>
      </c>
      <c r="P24" s="862" t="s">
        <v>1098</v>
      </c>
      <c r="Q24" s="855">
        <v>12.5</v>
      </c>
      <c r="R24" s="862" t="s">
        <v>1098</v>
      </c>
      <c r="S24" s="855">
        <v>12.5</v>
      </c>
      <c r="T24" s="799"/>
      <c r="U24" s="382" t="s">
        <v>6826</v>
      </c>
      <c r="V24" s="862" t="s">
        <v>1098</v>
      </c>
      <c r="W24" s="855">
        <v>23</v>
      </c>
      <c r="X24" s="855">
        <v>37.5</v>
      </c>
      <c r="Y24" s="855">
        <v>42.9</v>
      </c>
      <c r="Z24" s="855">
        <v>25</v>
      </c>
      <c r="AA24" s="855">
        <v>27.7</v>
      </c>
      <c r="AB24" s="855">
        <v>80</v>
      </c>
      <c r="AC24" s="855">
        <v>66.7</v>
      </c>
      <c r="AD24" s="463"/>
      <c r="AE24" s="857"/>
      <c r="AF24" s="463"/>
      <c r="AG24" s="857"/>
    </row>
    <row r="25" spans="1:33" ht="12.75" customHeight="1">
      <c r="A25" s="391">
        <v>2020</v>
      </c>
      <c r="B25" s="439" t="s">
        <v>1949</v>
      </c>
      <c r="C25" s="435">
        <v>123560</v>
      </c>
      <c r="D25" s="435">
        <v>74640</v>
      </c>
      <c r="E25" s="435">
        <v>61750</v>
      </c>
      <c r="F25" s="435">
        <v>12890</v>
      </c>
      <c r="G25" s="439">
        <v>17.3</v>
      </c>
      <c r="H25" s="435">
        <v>48920</v>
      </c>
      <c r="I25" s="547"/>
      <c r="J25" s="549"/>
      <c r="K25" s="382" t="s">
        <v>6827</v>
      </c>
      <c r="L25" s="855">
        <v>2.9</v>
      </c>
      <c r="M25" s="855">
        <v>2.2999999999999998</v>
      </c>
      <c r="N25" s="1003">
        <v>2.2999999999999998</v>
      </c>
      <c r="O25" s="855">
        <v>1.1000000000000001</v>
      </c>
      <c r="P25" s="855">
        <v>1.9</v>
      </c>
      <c r="Q25" s="855">
        <v>4.0999999999999996</v>
      </c>
      <c r="R25" s="862" t="s">
        <v>1098</v>
      </c>
      <c r="S25" s="855">
        <v>2.8</v>
      </c>
      <c r="T25" s="799"/>
      <c r="U25" s="382" t="s">
        <v>6827</v>
      </c>
      <c r="V25" s="855">
        <v>1.4</v>
      </c>
      <c r="W25" s="855">
        <v>2.8</v>
      </c>
      <c r="X25" s="855">
        <v>5.4</v>
      </c>
      <c r="Y25" s="855">
        <v>3.2</v>
      </c>
      <c r="Z25" s="855">
        <v>11</v>
      </c>
      <c r="AA25" s="855">
        <v>7.7</v>
      </c>
      <c r="AB25" s="855">
        <v>1.7</v>
      </c>
      <c r="AC25" s="855">
        <v>6.1</v>
      </c>
      <c r="AD25" s="463"/>
      <c r="AE25" s="857"/>
      <c r="AF25" s="463"/>
      <c r="AG25" s="857"/>
    </row>
    <row r="26" spans="1:33" ht="12.75" customHeight="1">
      <c r="A26" s="391"/>
      <c r="B26" s="439" t="s">
        <v>6817</v>
      </c>
      <c r="C26" s="435">
        <v>123600</v>
      </c>
      <c r="D26" s="435">
        <v>70620</v>
      </c>
      <c r="E26" s="435">
        <v>57970</v>
      </c>
      <c r="F26" s="435">
        <v>12650</v>
      </c>
      <c r="G26" s="439">
        <v>17.899999999999999</v>
      </c>
      <c r="H26" s="435">
        <v>52980</v>
      </c>
      <c r="I26" s="547"/>
      <c r="J26" s="562"/>
      <c r="K26" s="382" t="s">
        <v>6828</v>
      </c>
      <c r="L26" s="855">
        <v>4.2</v>
      </c>
      <c r="M26" s="855">
        <v>3.5</v>
      </c>
      <c r="N26" s="855">
        <v>3.4</v>
      </c>
      <c r="O26" s="855">
        <v>3.7</v>
      </c>
      <c r="P26" s="855">
        <v>3.6</v>
      </c>
      <c r="Q26" s="855">
        <v>5</v>
      </c>
      <c r="R26" s="855">
        <v>2.7</v>
      </c>
      <c r="S26" s="855">
        <v>4.2</v>
      </c>
      <c r="T26" s="799"/>
      <c r="U26" s="382" t="s">
        <v>6828</v>
      </c>
      <c r="V26" s="855">
        <v>4.5</v>
      </c>
      <c r="W26" s="855">
        <v>4.8</v>
      </c>
      <c r="X26" s="855">
        <v>3.9</v>
      </c>
      <c r="Y26" s="855">
        <v>4.3</v>
      </c>
      <c r="Z26" s="855">
        <v>17.399999999999999</v>
      </c>
      <c r="AA26" s="855">
        <v>12.4</v>
      </c>
      <c r="AB26" s="855">
        <v>8.1</v>
      </c>
      <c r="AC26" s="855">
        <v>6.2</v>
      </c>
      <c r="AD26" s="463"/>
      <c r="AE26" s="857"/>
      <c r="AF26" s="463"/>
      <c r="AG26" s="857"/>
    </row>
    <row r="27" spans="1:33" ht="12.75" customHeight="1">
      <c r="B27" s="439" t="s">
        <v>6818</v>
      </c>
      <c r="C27" s="435">
        <v>123750</v>
      </c>
      <c r="D27" s="435">
        <v>71360</v>
      </c>
      <c r="E27" s="435">
        <v>57510</v>
      </c>
      <c r="F27" s="435">
        <v>13850</v>
      </c>
      <c r="G27" s="439">
        <v>19.399999999999999</v>
      </c>
      <c r="H27" s="435">
        <v>52390</v>
      </c>
      <c r="I27" s="547"/>
      <c r="J27" s="562"/>
      <c r="K27" s="382" t="s">
        <v>6829</v>
      </c>
      <c r="L27" s="862" t="s">
        <v>1098</v>
      </c>
      <c r="M27" s="1003">
        <v>11.1</v>
      </c>
      <c r="N27" s="1003">
        <v>11.1</v>
      </c>
      <c r="O27" s="862">
        <v>2.8</v>
      </c>
      <c r="P27" s="862" t="s">
        <v>1098</v>
      </c>
      <c r="Q27" s="862" t="s">
        <v>1098</v>
      </c>
      <c r="R27" s="862" t="s">
        <v>1098</v>
      </c>
      <c r="S27" s="862" t="s">
        <v>1098</v>
      </c>
      <c r="T27" s="799"/>
      <c r="U27" s="382" t="s">
        <v>6829</v>
      </c>
      <c r="V27" s="855">
        <v>9.1</v>
      </c>
      <c r="W27" s="855">
        <v>5.0999999999999996</v>
      </c>
      <c r="X27" s="855">
        <v>7.7</v>
      </c>
      <c r="Y27" s="862" t="s">
        <v>1098</v>
      </c>
      <c r="Z27" s="855">
        <v>10.7</v>
      </c>
      <c r="AA27" s="855">
        <v>6.8</v>
      </c>
      <c r="AB27" s="855">
        <v>7.7</v>
      </c>
      <c r="AC27" s="855">
        <v>15.2</v>
      </c>
      <c r="AD27" s="463"/>
      <c r="AE27" s="857"/>
      <c r="AF27" s="463"/>
      <c r="AG27" s="857"/>
    </row>
    <row r="28" spans="1:33" ht="12.75" customHeight="1">
      <c r="A28" s="391"/>
      <c r="B28" s="439"/>
      <c r="C28" s="439"/>
      <c r="D28" s="439"/>
      <c r="E28" s="439"/>
      <c r="F28" s="439"/>
      <c r="G28" s="439"/>
      <c r="H28" s="439"/>
      <c r="I28" s="547"/>
      <c r="J28" s="562"/>
      <c r="K28" s="382" t="s">
        <v>6837</v>
      </c>
      <c r="L28" s="855">
        <v>4.3</v>
      </c>
      <c r="M28" s="855">
        <v>4.3</v>
      </c>
      <c r="N28" s="855">
        <v>3.7</v>
      </c>
      <c r="O28" s="855">
        <v>4.3</v>
      </c>
      <c r="P28" s="855">
        <v>2.8</v>
      </c>
      <c r="Q28" s="855">
        <v>4.5</v>
      </c>
      <c r="R28" s="855">
        <v>4.5</v>
      </c>
      <c r="S28" s="855">
        <v>4.3</v>
      </c>
      <c r="T28" s="799"/>
      <c r="U28" s="382" t="s">
        <v>6837</v>
      </c>
      <c r="V28" s="855">
        <v>5.2</v>
      </c>
      <c r="W28" s="855">
        <v>4.9000000000000004</v>
      </c>
      <c r="X28" s="855">
        <v>4.2</v>
      </c>
      <c r="Y28" s="855">
        <v>3.5</v>
      </c>
      <c r="Z28" s="855">
        <v>17.8</v>
      </c>
      <c r="AA28" s="855">
        <v>11.2</v>
      </c>
      <c r="AB28" s="855">
        <v>8.1999999999999993</v>
      </c>
      <c r="AC28" s="855">
        <v>8.6</v>
      </c>
      <c r="AD28" s="463"/>
      <c r="AE28" s="857"/>
      <c r="AF28" s="463"/>
      <c r="AG28" s="857"/>
    </row>
    <row r="29" spans="1:33" ht="12.75" customHeight="1">
      <c r="A29" s="391">
        <v>2019</v>
      </c>
      <c r="B29" s="439" t="s">
        <v>6815</v>
      </c>
      <c r="C29" s="435">
        <v>123060</v>
      </c>
      <c r="D29" s="435">
        <v>73360</v>
      </c>
      <c r="E29" s="435">
        <v>70240</v>
      </c>
      <c r="F29" s="435">
        <v>3120</v>
      </c>
      <c r="G29" s="439">
        <v>4.3</v>
      </c>
      <c r="H29" s="435">
        <v>49700</v>
      </c>
      <c r="I29" s="547"/>
      <c r="J29" s="562"/>
      <c r="K29" s="382" t="s">
        <v>6831</v>
      </c>
      <c r="L29" s="855">
        <v>5.9</v>
      </c>
      <c r="M29" s="1003">
        <v>5.9</v>
      </c>
      <c r="N29" s="1003">
        <v>5.9</v>
      </c>
      <c r="O29" s="855">
        <v>2</v>
      </c>
      <c r="P29" s="855">
        <v>5.9</v>
      </c>
      <c r="Q29" s="862" t="s">
        <v>1098</v>
      </c>
      <c r="R29" s="862" t="s">
        <v>1098</v>
      </c>
      <c r="S29" s="855">
        <v>5.9</v>
      </c>
      <c r="T29" s="799"/>
      <c r="U29" s="382" t="s">
        <v>6831</v>
      </c>
      <c r="V29" s="855">
        <v>4.2</v>
      </c>
      <c r="W29" s="855">
        <v>4.0999999999999996</v>
      </c>
      <c r="X29" s="855">
        <v>6.3</v>
      </c>
      <c r="Y29" s="855">
        <v>5.7</v>
      </c>
      <c r="Z29" s="855">
        <v>10.5</v>
      </c>
      <c r="AA29" s="855">
        <v>12.6</v>
      </c>
      <c r="AB29" s="855">
        <v>6.1</v>
      </c>
      <c r="AC29" s="855">
        <v>2.5</v>
      </c>
      <c r="AD29" s="463"/>
      <c r="AE29" s="857"/>
      <c r="AF29" s="463"/>
      <c r="AG29" s="857"/>
    </row>
    <row r="30" spans="1:33" ht="12.75" customHeight="1">
      <c r="A30" s="391"/>
      <c r="B30" s="439" t="s">
        <v>1949</v>
      </c>
      <c r="C30" s="435">
        <v>123160</v>
      </c>
      <c r="D30" s="435">
        <v>69790</v>
      </c>
      <c r="E30" s="435">
        <v>66940</v>
      </c>
      <c r="F30" s="435">
        <v>2680</v>
      </c>
      <c r="G30" s="439">
        <v>4.5999999999999996</v>
      </c>
      <c r="H30" s="435">
        <v>53370</v>
      </c>
      <c r="I30" s="547"/>
      <c r="J30" s="549"/>
      <c r="K30" s="382"/>
      <c r="L30" s="752"/>
      <c r="M30" s="752"/>
      <c r="N30" s="752"/>
      <c r="O30" s="752"/>
      <c r="P30" s="752"/>
      <c r="Q30" s="752"/>
      <c r="R30" s="752"/>
      <c r="S30" s="752"/>
      <c r="T30" s="799"/>
      <c r="U30" s="382"/>
      <c r="V30" s="752"/>
      <c r="W30" s="752"/>
      <c r="X30" s="752"/>
      <c r="Y30" s="752"/>
      <c r="Z30" s="752"/>
      <c r="AA30" s="752"/>
      <c r="AB30" s="752"/>
      <c r="AC30" s="752"/>
      <c r="AD30" s="463"/>
      <c r="AE30" s="857"/>
      <c r="AF30" s="463"/>
      <c r="AG30" s="857"/>
    </row>
    <row r="31" spans="1:33" ht="12.75" customHeight="1">
      <c r="A31" s="391"/>
      <c r="B31" s="439" t="s">
        <v>6817</v>
      </c>
      <c r="C31" s="435">
        <v>123300</v>
      </c>
      <c r="D31" s="435">
        <v>70590</v>
      </c>
      <c r="E31" s="435">
        <v>38370</v>
      </c>
      <c r="F31" s="435">
        <v>2580</v>
      </c>
      <c r="G31" s="439">
        <v>3.6</v>
      </c>
      <c r="H31" s="435">
        <v>52710</v>
      </c>
      <c r="I31" s="547"/>
      <c r="J31" s="562"/>
      <c r="K31" s="382" t="s">
        <v>6838</v>
      </c>
      <c r="L31" s="525">
        <v>52610</v>
      </c>
      <c r="M31" s="525">
        <v>53490</v>
      </c>
      <c r="N31" s="525">
        <v>55200</v>
      </c>
      <c r="O31" s="525">
        <v>53600</v>
      </c>
      <c r="P31" s="525">
        <v>48360</v>
      </c>
      <c r="Q31" s="525">
        <v>50390</v>
      </c>
      <c r="R31" s="525">
        <v>49420</v>
      </c>
      <c r="S31" s="525">
        <v>52420</v>
      </c>
      <c r="T31" s="382"/>
      <c r="U31" s="382" t="s">
        <v>6838</v>
      </c>
      <c r="V31" s="525">
        <v>49030</v>
      </c>
      <c r="W31" s="525">
        <v>50670</v>
      </c>
      <c r="X31" s="525">
        <v>50390</v>
      </c>
      <c r="Y31" s="525">
        <v>49330</v>
      </c>
      <c r="Z31" s="525">
        <v>42920</v>
      </c>
      <c r="AA31" s="525">
        <v>48440</v>
      </c>
      <c r="AB31" s="525">
        <v>50410</v>
      </c>
      <c r="AC31" s="525">
        <v>48550</v>
      </c>
      <c r="AD31" s="463"/>
      <c r="AE31" s="857"/>
      <c r="AF31" s="463"/>
      <c r="AG31" s="857"/>
    </row>
    <row r="32" spans="1:33" ht="12.75" customHeight="1">
      <c r="B32" s="439" t="s">
        <v>6818</v>
      </c>
      <c r="C32" s="435">
        <v>123380</v>
      </c>
      <c r="D32" s="435">
        <v>76110</v>
      </c>
      <c r="E32" s="435">
        <v>71440</v>
      </c>
      <c r="F32" s="435">
        <v>4670</v>
      </c>
      <c r="G32" s="439">
        <v>6.1</v>
      </c>
      <c r="H32" s="435">
        <v>47270</v>
      </c>
      <c r="I32" s="547"/>
      <c r="J32" s="562"/>
      <c r="K32" s="382" t="s">
        <v>6839</v>
      </c>
      <c r="L32" s="525"/>
      <c r="M32" s="525"/>
      <c r="N32" s="525"/>
      <c r="O32" s="525"/>
      <c r="P32" s="525"/>
      <c r="Q32" s="525"/>
      <c r="R32" s="525"/>
      <c r="S32" s="525"/>
      <c r="T32" s="463"/>
      <c r="U32" s="382" t="s">
        <v>6839</v>
      </c>
      <c r="V32" s="525"/>
      <c r="W32" s="525"/>
      <c r="X32" s="525"/>
      <c r="Y32" s="525"/>
      <c r="Z32" s="525"/>
      <c r="AA32" s="525"/>
      <c r="AB32" s="525"/>
      <c r="AC32" s="525"/>
      <c r="AD32" s="463"/>
      <c r="AE32" s="857"/>
      <c r="AF32" s="463"/>
      <c r="AG32" s="857"/>
    </row>
    <row r="33" spans="1:33" ht="12.75" customHeight="1">
      <c r="A33" s="391"/>
      <c r="B33" s="439"/>
      <c r="C33" s="439"/>
      <c r="D33" s="439"/>
      <c r="E33" s="439"/>
      <c r="F33" s="439"/>
      <c r="G33" s="439"/>
      <c r="H33" s="439"/>
      <c r="I33" s="547"/>
      <c r="J33" s="562"/>
      <c r="K33" s="1501" t="s">
        <v>6840</v>
      </c>
      <c r="L33" s="525">
        <v>1280</v>
      </c>
      <c r="M33" s="525">
        <v>890</v>
      </c>
      <c r="N33" s="525">
        <v>420</v>
      </c>
      <c r="O33" s="525">
        <v>490</v>
      </c>
      <c r="P33" s="525">
        <v>590</v>
      </c>
      <c r="Q33" s="525">
        <v>2150</v>
      </c>
      <c r="R33" s="525">
        <v>1280</v>
      </c>
      <c r="S33" s="525">
        <v>1280</v>
      </c>
      <c r="T33" s="917"/>
      <c r="U33" s="1501" t="s">
        <v>6840</v>
      </c>
      <c r="V33" s="525">
        <v>2450</v>
      </c>
      <c r="W33" s="525">
        <v>3530</v>
      </c>
      <c r="X33" s="525">
        <v>1570</v>
      </c>
      <c r="Y33" s="525">
        <v>415</v>
      </c>
      <c r="Z33" s="525">
        <v>4220</v>
      </c>
      <c r="AA33" s="525">
        <v>4210</v>
      </c>
      <c r="AB33" s="525">
        <v>3780</v>
      </c>
      <c r="AC33" s="525">
        <v>3400</v>
      </c>
      <c r="AD33" s="382"/>
      <c r="AE33" s="382"/>
      <c r="AF33" s="382"/>
      <c r="AG33" s="382"/>
    </row>
    <row r="34" spans="1:33" ht="12.75" customHeight="1">
      <c r="A34" s="391">
        <v>2018</v>
      </c>
      <c r="B34" s="439" t="s">
        <v>6815</v>
      </c>
      <c r="C34" s="435">
        <v>122720</v>
      </c>
      <c r="D34" s="435">
        <v>71060</v>
      </c>
      <c r="E34" s="435">
        <v>67960</v>
      </c>
      <c r="F34" s="435">
        <v>3100</v>
      </c>
      <c r="G34" s="439">
        <v>4.4000000000000004</v>
      </c>
      <c r="H34" s="435">
        <v>51660</v>
      </c>
      <c r="I34" s="547"/>
      <c r="J34" s="549"/>
      <c r="K34" s="382" t="s">
        <v>6841</v>
      </c>
      <c r="T34" s="1502"/>
      <c r="U34" s="382" t="s">
        <v>6841</v>
      </c>
      <c r="AD34" s="1503"/>
      <c r="AE34" s="1503"/>
      <c r="AF34" s="1503"/>
      <c r="AG34" s="1503"/>
    </row>
    <row r="35" spans="1:33" ht="12.75" customHeight="1">
      <c r="A35" s="391"/>
      <c r="B35" s="439" t="s">
        <v>1949</v>
      </c>
      <c r="C35" s="435">
        <v>122890</v>
      </c>
      <c r="D35" s="435">
        <v>73510</v>
      </c>
      <c r="E35" s="435">
        <v>70980</v>
      </c>
      <c r="F35" s="435">
        <v>2530</v>
      </c>
      <c r="G35" s="439">
        <v>3.8</v>
      </c>
      <c r="H35" s="435">
        <v>49380</v>
      </c>
      <c r="I35" s="547"/>
      <c r="J35" s="562"/>
      <c r="K35" s="382" t="s">
        <v>6842</v>
      </c>
      <c r="L35" s="585">
        <v>550</v>
      </c>
      <c r="M35" s="862">
        <v>570</v>
      </c>
      <c r="N35" s="862">
        <v>570</v>
      </c>
      <c r="O35" s="585">
        <v>150</v>
      </c>
      <c r="P35" s="585">
        <v>590</v>
      </c>
      <c r="Q35" s="862">
        <v>510</v>
      </c>
      <c r="R35" s="862" t="s">
        <v>1098</v>
      </c>
      <c r="S35" s="862">
        <v>550</v>
      </c>
      <c r="T35" s="917"/>
      <c r="U35" s="382" t="s">
        <v>6842</v>
      </c>
      <c r="V35" s="585">
        <v>410</v>
      </c>
      <c r="W35" s="862">
        <v>520</v>
      </c>
      <c r="X35" s="862" t="s">
        <v>1098</v>
      </c>
      <c r="Y35" s="862" t="s">
        <v>1098</v>
      </c>
      <c r="Z35" s="585">
        <v>350</v>
      </c>
      <c r="AA35" s="862" t="s">
        <v>1098</v>
      </c>
      <c r="AB35" s="881">
        <v>950</v>
      </c>
      <c r="AC35" s="881">
        <v>680</v>
      </c>
    </row>
    <row r="36" spans="1:33" ht="12.75" customHeight="1">
      <c r="A36" s="391"/>
      <c r="B36" s="439" t="s">
        <v>6817</v>
      </c>
      <c r="C36" s="435">
        <v>122950</v>
      </c>
      <c r="D36" s="435">
        <v>71490</v>
      </c>
      <c r="E36" s="435">
        <v>69300</v>
      </c>
      <c r="F36" s="435">
        <v>2580</v>
      </c>
      <c r="G36" s="439">
        <v>3.6</v>
      </c>
      <c r="H36" s="435">
        <v>51460</v>
      </c>
      <c r="I36" s="547"/>
      <c r="J36" s="562"/>
      <c r="K36" s="382" t="s">
        <v>6843</v>
      </c>
      <c r="L36" s="862">
        <v>550</v>
      </c>
      <c r="M36" s="862">
        <v>570</v>
      </c>
      <c r="N36" s="862">
        <v>570</v>
      </c>
      <c r="O36" s="862">
        <v>150</v>
      </c>
      <c r="P36" s="862">
        <v>590</v>
      </c>
      <c r="Q36" s="862">
        <v>510</v>
      </c>
      <c r="R36" s="862" t="s">
        <v>1098</v>
      </c>
      <c r="S36" s="862">
        <v>550</v>
      </c>
      <c r="T36" s="463"/>
      <c r="U36" s="382" t="s">
        <v>6843</v>
      </c>
      <c r="V36" s="862">
        <v>820</v>
      </c>
      <c r="W36" s="862">
        <v>820</v>
      </c>
      <c r="X36" s="862" t="s">
        <v>1098</v>
      </c>
      <c r="Y36" s="862" t="s">
        <v>1098</v>
      </c>
      <c r="Z36" s="862">
        <v>350</v>
      </c>
      <c r="AA36" s="862" t="s">
        <v>1098</v>
      </c>
      <c r="AB36" s="525">
        <v>950</v>
      </c>
      <c r="AC36" s="525">
        <v>680</v>
      </c>
    </row>
    <row r="37" spans="1:33" ht="12.75" customHeight="1">
      <c r="A37" s="391"/>
      <c r="B37" s="439"/>
      <c r="C37" s="439"/>
      <c r="D37" s="439"/>
      <c r="E37" s="439"/>
      <c r="F37" s="439"/>
      <c r="G37" s="439"/>
      <c r="H37" s="439"/>
      <c r="I37" s="547"/>
      <c r="J37" s="562"/>
      <c r="K37" s="382" t="s">
        <v>6844</v>
      </c>
      <c r="L37" s="862">
        <v>420</v>
      </c>
      <c r="M37" s="862">
        <v>420</v>
      </c>
      <c r="N37" s="862" t="s">
        <v>1098</v>
      </c>
      <c r="O37" s="862" t="s">
        <v>1098</v>
      </c>
      <c r="P37" s="862" t="s">
        <v>1098</v>
      </c>
      <c r="Q37" s="862" t="s">
        <v>1098</v>
      </c>
      <c r="R37" s="525">
        <v>420</v>
      </c>
      <c r="S37" s="862">
        <v>420</v>
      </c>
      <c r="T37" s="463"/>
      <c r="U37" s="382" t="s">
        <v>6844</v>
      </c>
      <c r="V37" s="862">
        <v>820</v>
      </c>
      <c r="W37" s="525">
        <v>790</v>
      </c>
      <c r="X37" s="525">
        <v>310</v>
      </c>
      <c r="Y37" s="862" t="s">
        <v>1098</v>
      </c>
      <c r="Z37" s="862">
        <v>700</v>
      </c>
      <c r="AA37" s="525">
        <v>1400</v>
      </c>
      <c r="AB37" s="525">
        <v>630</v>
      </c>
      <c r="AC37" s="862" t="s">
        <v>1098</v>
      </c>
    </row>
    <row r="38" spans="1:33" ht="12.75" customHeight="1">
      <c r="A38" s="391">
        <v>2017</v>
      </c>
      <c r="B38" s="439" t="s">
        <v>6815</v>
      </c>
      <c r="C38" s="435">
        <v>122380</v>
      </c>
      <c r="D38" s="435">
        <v>72510</v>
      </c>
      <c r="E38" s="435">
        <v>69360</v>
      </c>
      <c r="F38" s="435">
        <v>3150</v>
      </c>
      <c r="G38" s="439">
        <v>4.3</v>
      </c>
      <c r="H38" s="435">
        <v>49870</v>
      </c>
      <c r="I38" s="547"/>
      <c r="J38" s="549"/>
      <c r="K38" s="382" t="s">
        <v>6845</v>
      </c>
      <c r="L38" s="862">
        <v>600</v>
      </c>
      <c r="M38" s="525">
        <v>570</v>
      </c>
      <c r="N38" s="862">
        <v>570</v>
      </c>
      <c r="O38" s="862">
        <v>150</v>
      </c>
      <c r="P38" s="862">
        <v>590</v>
      </c>
      <c r="Q38" s="525">
        <v>630</v>
      </c>
      <c r="R38" s="862" t="s">
        <v>1098</v>
      </c>
      <c r="S38" s="862">
        <v>590</v>
      </c>
      <c r="T38" s="463"/>
      <c r="U38" s="382" t="s">
        <v>6845</v>
      </c>
      <c r="V38" s="862" t="s">
        <v>1098</v>
      </c>
      <c r="W38" s="525">
        <v>980</v>
      </c>
      <c r="X38" s="525">
        <v>310</v>
      </c>
      <c r="Y38" s="862" t="s">
        <v>1098</v>
      </c>
      <c r="Z38" s="525">
        <v>1410</v>
      </c>
      <c r="AA38" s="525">
        <v>700</v>
      </c>
      <c r="AB38" s="525">
        <v>1260</v>
      </c>
      <c r="AC38" s="525">
        <v>2380</v>
      </c>
    </row>
    <row r="39" spans="1:33" ht="12.75" customHeight="1">
      <c r="A39" s="391"/>
      <c r="B39" s="439" t="s">
        <v>1949</v>
      </c>
      <c r="C39" s="435">
        <v>122440</v>
      </c>
      <c r="D39" s="435">
        <v>73900</v>
      </c>
      <c r="E39" s="435">
        <v>70570</v>
      </c>
      <c r="F39" s="435">
        <v>3330</v>
      </c>
      <c r="G39" s="439">
        <v>4.5</v>
      </c>
      <c r="H39" s="435">
        <v>48540</v>
      </c>
      <c r="I39" s="547"/>
      <c r="J39" s="562"/>
      <c r="K39" s="382" t="s">
        <v>6846</v>
      </c>
      <c r="L39" s="862" t="s">
        <v>1098</v>
      </c>
      <c r="M39" s="862" t="s">
        <v>1098</v>
      </c>
      <c r="N39" s="862" t="s">
        <v>1098</v>
      </c>
      <c r="O39" s="862" t="s">
        <v>1098</v>
      </c>
      <c r="P39" s="862" t="s">
        <v>1098</v>
      </c>
      <c r="Q39" s="862" t="s">
        <v>1098</v>
      </c>
      <c r="R39" s="862" t="s">
        <v>1098</v>
      </c>
      <c r="S39" s="862" t="s">
        <v>1098</v>
      </c>
      <c r="T39" s="463"/>
      <c r="U39" s="382" t="s">
        <v>6846</v>
      </c>
      <c r="V39" s="862" t="s">
        <v>1098</v>
      </c>
      <c r="W39" s="525">
        <v>140</v>
      </c>
      <c r="X39" s="862" t="s">
        <v>1098</v>
      </c>
      <c r="Y39" s="525">
        <v>415</v>
      </c>
      <c r="Z39" s="525">
        <v>1060</v>
      </c>
      <c r="AA39" s="525">
        <v>350</v>
      </c>
      <c r="AB39" s="862" t="s">
        <v>1098</v>
      </c>
      <c r="AC39" s="525">
        <v>340</v>
      </c>
    </row>
    <row r="40" spans="1:33" ht="12.75" customHeight="1">
      <c r="A40" s="391"/>
      <c r="B40" s="439" t="s">
        <v>6817</v>
      </c>
      <c r="C40" s="435">
        <v>122540</v>
      </c>
      <c r="D40" s="435">
        <v>71600</v>
      </c>
      <c r="E40" s="435">
        <v>67470</v>
      </c>
      <c r="F40" s="435">
        <v>4130</v>
      </c>
      <c r="G40" s="439">
        <v>5.8</v>
      </c>
      <c r="H40" s="435">
        <v>50940</v>
      </c>
      <c r="I40" s="547"/>
      <c r="J40" s="562"/>
      <c r="K40" s="381" t="s">
        <v>6847</v>
      </c>
      <c r="L40" s="866">
        <v>700</v>
      </c>
      <c r="M40" s="866">
        <v>700</v>
      </c>
      <c r="N40" s="633">
        <v>550</v>
      </c>
      <c r="O40" s="866" t="s">
        <v>1098</v>
      </c>
      <c r="P40" s="866" t="s">
        <v>1098</v>
      </c>
      <c r="Q40" s="866" t="s">
        <v>1098</v>
      </c>
      <c r="R40" s="633">
        <v>850</v>
      </c>
      <c r="S40" s="866">
        <v>850</v>
      </c>
      <c r="T40" s="463"/>
      <c r="U40" s="381" t="s">
        <v>6847</v>
      </c>
      <c r="V40" s="633">
        <v>820</v>
      </c>
      <c r="W40" s="633">
        <v>1910</v>
      </c>
      <c r="X40" s="633">
        <v>940</v>
      </c>
      <c r="Y40" s="866" t="s">
        <v>1098</v>
      </c>
      <c r="Z40" s="633">
        <v>2460</v>
      </c>
      <c r="AA40" s="633">
        <v>2460</v>
      </c>
      <c r="AB40" s="633">
        <v>2200</v>
      </c>
      <c r="AC40" s="633">
        <v>1360</v>
      </c>
    </row>
    <row r="41" spans="1:33" ht="12.75" customHeight="1">
      <c r="A41" s="391"/>
      <c r="B41" s="439"/>
      <c r="C41" s="439"/>
      <c r="D41" s="439"/>
      <c r="E41" s="439"/>
      <c r="F41" s="439"/>
      <c r="G41" s="439"/>
      <c r="H41" s="439"/>
      <c r="I41" s="547"/>
      <c r="J41" s="562"/>
      <c r="K41" s="709" t="s">
        <v>6848</v>
      </c>
      <c r="L41" s="398"/>
      <c r="M41" s="398"/>
      <c r="N41" s="398"/>
      <c r="O41" s="398"/>
      <c r="P41" s="398"/>
      <c r="Q41" s="398"/>
      <c r="R41" s="398"/>
      <c r="S41" s="398"/>
      <c r="T41" s="463"/>
      <c r="U41" s="709" t="s">
        <v>6848</v>
      </c>
      <c r="V41" s="895"/>
      <c r="W41" s="895"/>
      <c r="X41" s="895"/>
      <c r="Y41" s="895"/>
      <c r="Z41" s="398"/>
      <c r="AA41" s="398"/>
    </row>
    <row r="42" spans="1:33" ht="12.75" customHeight="1">
      <c r="A42" s="391">
        <v>2016</v>
      </c>
      <c r="B42" s="439" t="s">
        <v>6815</v>
      </c>
      <c r="C42" s="1504">
        <v>121770</v>
      </c>
      <c r="D42" s="1504">
        <v>69400</v>
      </c>
      <c r="E42" s="1504">
        <v>66600</v>
      </c>
      <c r="F42" s="1504">
        <v>2800</v>
      </c>
      <c r="G42" s="752">
        <v>4</v>
      </c>
      <c r="H42" s="435">
        <v>52370</v>
      </c>
      <c r="I42" s="547"/>
      <c r="J42" s="549"/>
      <c r="K42" s="382" t="s">
        <v>6849</v>
      </c>
      <c r="L42" s="547"/>
      <c r="M42" s="547"/>
      <c r="N42" s="547"/>
      <c r="O42" s="547"/>
      <c r="P42" s="547"/>
      <c r="Q42" s="547"/>
      <c r="R42" s="547"/>
      <c r="S42" s="547"/>
      <c r="T42" s="398"/>
      <c r="U42" s="398"/>
    </row>
    <row r="43" spans="1:33" ht="12.75" customHeight="1">
      <c r="A43" s="391"/>
      <c r="B43" s="439" t="s">
        <v>1949</v>
      </c>
      <c r="C43" s="1504">
        <v>121970</v>
      </c>
      <c r="D43" s="1504">
        <v>71420</v>
      </c>
      <c r="E43" s="1504">
        <v>68650</v>
      </c>
      <c r="F43" s="1504">
        <v>2770</v>
      </c>
      <c r="G43" s="1505">
        <v>3.9</v>
      </c>
      <c r="H43" s="435">
        <v>50550</v>
      </c>
      <c r="I43" s="547"/>
      <c r="J43" s="562"/>
      <c r="T43" s="547"/>
      <c r="U43" s="547"/>
    </row>
    <row r="44" spans="1:33" ht="12.75" customHeight="1">
      <c r="A44" s="391"/>
      <c r="B44" s="439" t="s">
        <v>6817</v>
      </c>
      <c r="C44" s="1504">
        <v>122170</v>
      </c>
      <c r="D44" s="1504">
        <v>71960</v>
      </c>
      <c r="E44" s="1504">
        <v>68050</v>
      </c>
      <c r="F44" s="1504">
        <v>3910</v>
      </c>
      <c r="G44" s="1505">
        <v>5.4</v>
      </c>
      <c r="H44" s="435">
        <v>50210</v>
      </c>
      <c r="I44" s="547"/>
      <c r="J44" s="562"/>
    </row>
    <row r="45" spans="1:33" ht="12.75" customHeight="1">
      <c r="A45" s="391"/>
      <c r="B45" s="439"/>
      <c r="C45" s="1504"/>
      <c r="D45" s="1504"/>
      <c r="E45" s="1504"/>
      <c r="F45" s="1504"/>
      <c r="G45" s="1505"/>
      <c r="H45" s="435"/>
      <c r="I45" s="547"/>
      <c r="J45" s="562"/>
      <c r="S45" s="391"/>
    </row>
    <row r="46" spans="1:33" ht="12.75" customHeight="1">
      <c r="A46" s="391">
        <v>2015</v>
      </c>
      <c r="B46" s="439" t="s">
        <v>6815</v>
      </c>
      <c r="C46" s="1504">
        <v>121160</v>
      </c>
      <c r="D46" s="1504">
        <v>70420</v>
      </c>
      <c r="E46" s="1504">
        <v>65580</v>
      </c>
      <c r="F46" s="1504">
        <v>4840</v>
      </c>
      <c r="G46" s="1505">
        <v>6.9</v>
      </c>
      <c r="H46" s="435">
        <v>50740</v>
      </c>
      <c r="I46" s="547"/>
      <c r="J46" s="562"/>
      <c r="S46" s="598"/>
      <c r="T46" s="382"/>
      <c r="U46" s="382"/>
    </row>
    <row r="47" spans="1:33" ht="12.75" customHeight="1">
      <c r="A47" s="391"/>
      <c r="B47" s="439" t="s">
        <v>1949</v>
      </c>
      <c r="C47" s="1504">
        <v>121270</v>
      </c>
      <c r="D47" s="1504">
        <v>70790</v>
      </c>
      <c r="E47" s="1504">
        <v>64670</v>
      </c>
      <c r="F47" s="1504">
        <v>6120</v>
      </c>
      <c r="G47" s="1505">
        <v>8.6999999999999993</v>
      </c>
      <c r="H47" s="435">
        <v>50480</v>
      </c>
      <c r="I47" s="547"/>
      <c r="J47" s="549"/>
      <c r="S47" s="439"/>
      <c r="T47" s="382"/>
    </row>
    <row r="48" spans="1:33" ht="12.75" customHeight="1">
      <c r="A48" s="391"/>
      <c r="B48" s="439" t="s">
        <v>6817</v>
      </c>
      <c r="C48" s="1504">
        <v>121480</v>
      </c>
      <c r="D48" s="1504">
        <v>69800</v>
      </c>
      <c r="E48" s="1504">
        <v>66670</v>
      </c>
      <c r="F48" s="1504">
        <v>3130</v>
      </c>
      <c r="G48" s="1505">
        <v>4.5</v>
      </c>
      <c r="H48" s="435">
        <v>50480</v>
      </c>
      <c r="I48" s="547"/>
      <c r="J48" s="562"/>
      <c r="T48" s="1500"/>
    </row>
    <row r="49" spans="1:20" ht="12.75" customHeight="1">
      <c r="A49" s="391"/>
      <c r="B49" s="439" t="s">
        <v>6818</v>
      </c>
      <c r="C49" s="1504">
        <v>121600</v>
      </c>
      <c r="D49" s="1504">
        <v>73210</v>
      </c>
      <c r="E49" s="1504">
        <v>69660</v>
      </c>
      <c r="F49" s="1504">
        <v>3550</v>
      </c>
      <c r="G49" s="1505">
        <v>4.8</v>
      </c>
      <c r="H49" s="435">
        <v>50480</v>
      </c>
      <c r="I49" s="547"/>
      <c r="J49" s="562"/>
      <c r="S49" s="463"/>
      <c r="T49" s="382"/>
    </row>
    <row r="50" spans="1:20" ht="12.75" customHeight="1">
      <c r="A50" s="1506" t="s">
        <v>6848</v>
      </c>
      <c r="B50" s="1507"/>
      <c r="C50" s="1508"/>
      <c r="D50" s="1508"/>
      <c r="E50" s="1508"/>
      <c r="F50" s="1508"/>
      <c r="G50" s="1508"/>
      <c r="H50" s="1508"/>
      <c r="I50" s="547"/>
      <c r="J50" s="562"/>
      <c r="S50" s="463"/>
      <c r="T50" s="463"/>
    </row>
    <row r="51" spans="1:20" ht="12.75" customHeight="1">
      <c r="A51" s="583" t="s">
        <v>1629</v>
      </c>
      <c r="B51" s="439"/>
      <c r="C51" s="382"/>
      <c r="D51" s="382"/>
      <c r="E51" s="382"/>
      <c r="F51" s="382"/>
      <c r="G51" s="857"/>
      <c r="H51" s="382"/>
      <c r="I51" s="547"/>
      <c r="J51" s="562"/>
      <c r="S51" s="463"/>
      <c r="T51" s="463"/>
    </row>
    <row r="52" spans="1:20" ht="12.75" customHeight="1">
      <c r="A52" s="391"/>
      <c r="B52" s="439"/>
      <c r="C52" s="463"/>
      <c r="D52" s="463"/>
      <c r="E52" s="463"/>
      <c r="F52" s="463"/>
      <c r="G52" s="857"/>
      <c r="H52" s="463"/>
      <c r="I52" s="547"/>
      <c r="J52" s="549"/>
      <c r="S52" s="463"/>
      <c r="T52" s="463"/>
    </row>
    <row r="53" spans="1:20" ht="12.75" customHeight="1">
      <c r="A53" s="391"/>
      <c r="B53" s="439"/>
      <c r="C53" s="382"/>
      <c r="D53" s="382"/>
      <c r="E53" s="382"/>
      <c r="F53" s="382"/>
      <c r="G53" s="857"/>
      <c r="H53" s="382"/>
      <c r="I53" s="547"/>
      <c r="J53" s="562"/>
      <c r="S53" s="463"/>
      <c r="T53" s="463"/>
    </row>
    <row r="54" spans="1:20" ht="12.75" customHeight="1">
      <c r="A54" s="391"/>
      <c r="B54" s="439"/>
      <c r="C54" s="463"/>
      <c r="D54" s="463"/>
      <c r="E54" s="463"/>
      <c r="F54" s="463"/>
      <c r="G54" s="857"/>
      <c r="H54" s="463"/>
      <c r="I54" s="547"/>
      <c r="J54" s="562"/>
      <c r="S54" s="463"/>
      <c r="T54" s="463"/>
    </row>
    <row r="55" spans="1:20" ht="12.75" customHeight="1">
      <c r="A55" s="391"/>
      <c r="B55" s="439"/>
      <c r="C55" s="463"/>
      <c r="D55" s="463"/>
      <c r="E55" s="463"/>
      <c r="F55" s="463"/>
      <c r="G55" s="857"/>
      <c r="H55" s="463"/>
      <c r="I55" s="547"/>
      <c r="J55" s="562"/>
      <c r="S55" s="463"/>
      <c r="T55" s="463"/>
    </row>
    <row r="56" spans="1:20" ht="12.75" customHeight="1">
      <c r="A56" s="391"/>
      <c r="B56" s="439"/>
      <c r="C56" s="463"/>
      <c r="D56" s="463"/>
      <c r="E56" s="463"/>
      <c r="F56" s="463"/>
      <c r="G56" s="857"/>
      <c r="H56" s="463"/>
      <c r="I56" s="547"/>
      <c r="J56" s="562"/>
      <c r="S56" s="463"/>
      <c r="T56" s="463"/>
    </row>
    <row r="57" spans="1:20" ht="12.75" customHeight="1">
      <c r="A57" s="391"/>
      <c r="B57" s="439"/>
      <c r="C57" s="382"/>
      <c r="D57" s="382"/>
      <c r="E57" s="382"/>
      <c r="F57" s="382"/>
      <c r="G57" s="857"/>
      <c r="H57" s="382"/>
      <c r="I57" s="547"/>
      <c r="J57" s="549"/>
      <c r="S57" s="463"/>
      <c r="T57" s="463"/>
    </row>
    <row r="58" spans="1:20" ht="12.75" customHeight="1">
      <c r="A58" s="391"/>
      <c r="B58" s="439"/>
      <c r="C58" s="463"/>
      <c r="D58" s="463"/>
      <c r="E58" s="463"/>
      <c r="F58" s="463"/>
      <c r="G58" s="857"/>
      <c r="H58" s="463"/>
      <c r="I58" s="547"/>
      <c r="J58" s="562"/>
      <c r="S58" s="463"/>
      <c r="T58" s="463"/>
    </row>
    <row r="59" spans="1:20" ht="12.75" customHeight="1">
      <c r="A59" s="391"/>
      <c r="B59" s="439"/>
      <c r="C59" s="463"/>
      <c r="D59" s="463"/>
      <c r="E59" s="463"/>
      <c r="F59" s="463"/>
      <c r="G59" s="857"/>
      <c r="H59" s="463"/>
      <c r="I59" s="547"/>
      <c r="J59" s="562"/>
      <c r="S59" s="463"/>
      <c r="T59" s="463"/>
    </row>
    <row r="60" spans="1:20" ht="12.75" customHeight="1">
      <c r="A60" s="391"/>
      <c r="B60" s="439"/>
      <c r="C60" s="463"/>
      <c r="D60" s="463"/>
      <c r="E60" s="463"/>
      <c r="F60" s="463"/>
      <c r="G60" s="857"/>
      <c r="H60" s="463"/>
      <c r="I60" s="547"/>
      <c r="J60" s="562"/>
      <c r="S60" s="463"/>
      <c r="T60" s="463"/>
    </row>
    <row r="61" spans="1:20" ht="12.75" customHeight="1">
      <c r="A61" s="391"/>
      <c r="B61" s="439"/>
      <c r="C61" s="463"/>
      <c r="D61" s="463"/>
      <c r="E61" s="463"/>
      <c r="F61" s="463"/>
      <c r="G61" s="857"/>
      <c r="H61" s="463"/>
      <c r="I61" s="547"/>
      <c r="J61" s="549"/>
      <c r="S61" s="463"/>
      <c r="T61" s="463"/>
    </row>
    <row r="62" spans="1:20" ht="12.75" customHeight="1">
      <c r="A62" s="391"/>
      <c r="B62" s="439"/>
      <c r="C62" s="382"/>
      <c r="D62" s="382"/>
      <c r="E62" s="382"/>
      <c r="F62" s="382"/>
      <c r="G62" s="857"/>
      <c r="H62" s="382"/>
      <c r="I62" s="547"/>
      <c r="J62" s="562"/>
      <c r="S62" s="463"/>
      <c r="T62" s="463"/>
    </row>
    <row r="63" spans="1:20" ht="12.75" customHeight="1">
      <c r="A63" s="391"/>
      <c r="B63" s="439"/>
      <c r="C63" s="463"/>
      <c r="D63" s="463"/>
      <c r="E63" s="463"/>
      <c r="F63" s="463"/>
      <c r="G63" s="857"/>
      <c r="H63" s="463"/>
      <c r="I63" s="547"/>
      <c r="J63" s="562"/>
      <c r="S63" s="474"/>
      <c r="T63" s="463"/>
    </row>
    <row r="64" spans="1:20" ht="12.75" customHeight="1">
      <c r="A64" s="391"/>
      <c r="B64" s="439"/>
      <c r="C64" s="463"/>
      <c r="D64" s="463"/>
      <c r="E64" s="463"/>
      <c r="F64" s="463"/>
      <c r="G64" s="857"/>
      <c r="H64" s="463"/>
      <c r="I64" s="547"/>
      <c r="J64" s="562"/>
      <c r="T64" s="382"/>
    </row>
    <row r="65" spans="1:20" ht="12.75" customHeight="1">
      <c r="A65" s="391"/>
      <c r="B65" s="439"/>
      <c r="C65" s="463"/>
      <c r="D65" s="463"/>
      <c r="E65" s="463"/>
      <c r="F65" s="463"/>
      <c r="G65" s="857"/>
      <c r="H65" s="463"/>
      <c r="I65" s="547"/>
      <c r="J65" s="549"/>
      <c r="S65" s="799"/>
      <c r="T65" s="382"/>
    </row>
    <row r="66" spans="1:20" ht="12.75" customHeight="1">
      <c r="A66" s="391"/>
      <c r="B66" s="439"/>
      <c r="C66" s="463"/>
      <c r="D66" s="463"/>
      <c r="E66" s="463"/>
      <c r="F66" s="463"/>
      <c r="G66" s="857"/>
      <c r="H66" s="463"/>
      <c r="I66" s="547"/>
      <c r="J66" s="562"/>
      <c r="S66" s="799"/>
      <c r="T66" s="799"/>
    </row>
    <row r="67" spans="1:20" ht="12.75" customHeight="1">
      <c r="A67" s="391"/>
      <c r="B67" s="439"/>
      <c r="C67" s="382"/>
      <c r="D67" s="382"/>
      <c r="E67" s="382"/>
      <c r="F67" s="382"/>
      <c r="G67" s="382"/>
      <c r="H67" s="382"/>
      <c r="I67" s="547"/>
      <c r="J67" s="562"/>
      <c r="S67" s="799"/>
      <c r="T67" s="799"/>
    </row>
    <row r="68" spans="1:20" ht="12.75" customHeight="1">
      <c r="A68" s="391"/>
      <c r="B68" s="439"/>
      <c r="C68" s="463"/>
      <c r="D68" s="463"/>
      <c r="E68" s="463"/>
      <c r="F68" s="463"/>
      <c r="G68" s="857"/>
      <c r="H68" s="463"/>
      <c r="I68" s="547"/>
      <c r="J68" s="549"/>
      <c r="S68" s="799"/>
      <c r="T68" s="799"/>
    </row>
    <row r="69" spans="1:20" ht="12.75" customHeight="1">
      <c r="A69" s="391"/>
      <c r="B69" s="439"/>
      <c r="C69" s="463"/>
      <c r="D69" s="463"/>
      <c r="E69" s="463"/>
      <c r="F69" s="463"/>
      <c r="G69" s="857"/>
      <c r="H69" s="463"/>
      <c r="I69" s="547"/>
      <c r="J69" s="1509"/>
      <c r="S69" s="799"/>
      <c r="T69" s="799"/>
    </row>
    <row r="70" spans="1:20" ht="12.75" customHeight="1">
      <c r="A70" s="391"/>
      <c r="B70" s="439"/>
      <c r="C70" s="463"/>
      <c r="D70" s="463"/>
      <c r="E70" s="463"/>
      <c r="F70" s="463"/>
      <c r="G70" s="857"/>
      <c r="H70" s="463"/>
      <c r="I70" s="547"/>
      <c r="J70" s="549"/>
      <c r="S70" s="799"/>
      <c r="T70" s="799"/>
    </row>
    <row r="71" spans="1:20" ht="12.75" customHeight="1">
      <c r="A71" s="391"/>
      <c r="B71" s="439"/>
      <c r="C71" s="463"/>
      <c r="D71" s="463"/>
      <c r="E71" s="463"/>
      <c r="F71" s="463"/>
      <c r="G71" s="857"/>
      <c r="H71" s="463"/>
      <c r="I71" s="547"/>
      <c r="J71" s="549"/>
      <c r="S71" s="799"/>
      <c r="T71" s="799"/>
    </row>
    <row r="72" spans="1:20" ht="12.75" customHeight="1">
      <c r="A72" s="391"/>
      <c r="B72" s="439"/>
      <c r="C72" s="382"/>
      <c r="D72" s="382"/>
      <c r="E72" s="382"/>
      <c r="F72" s="382"/>
      <c r="G72" s="382"/>
      <c r="H72" s="382"/>
      <c r="I72" s="547"/>
      <c r="J72" s="547"/>
      <c r="S72" s="799"/>
      <c r="T72" s="799"/>
    </row>
    <row r="73" spans="1:20" ht="12.75" customHeight="1">
      <c r="A73" s="391"/>
      <c r="B73" s="439"/>
      <c r="C73" s="463"/>
      <c r="D73" s="463"/>
      <c r="E73" s="463"/>
      <c r="F73" s="463"/>
      <c r="G73" s="857"/>
      <c r="H73" s="463"/>
      <c r="I73" s="547"/>
      <c r="J73" s="547"/>
      <c r="S73" s="799"/>
      <c r="T73" s="799"/>
    </row>
    <row r="74" spans="1:20" ht="12.75" customHeight="1">
      <c r="A74" s="391"/>
      <c r="B74" s="439"/>
      <c r="C74" s="463"/>
      <c r="D74" s="463"/>
      <c r="E74" s="463"/>
      <c r="F74" s="463"/>
      <c r="G74" s="857"/>
      <c r="H74" s="463"/>
      <c r="I74" s="547"/>
      <c r="J74" s="547"/>
      <c r="T74" s="799"/>
    </row>
    <row r="75" spans="1:20" ht="12.75" customHeight="1">
      <c r="A75" s="391"/>
      <c r="B75" s="439"/>
      <c r="C75" s="463"/>
      <c r="D75" s="463"/>
      <c r="E75" s="463"/>
      <c r="F75" s="463"/>
      <c r="G75" s="857"/>
      <c r="H75" s="463"/>
      <c r="I75" s="547"/>
      <c r="J75" s="547"/>
      <c r="S75" s="463"/>
      <c r="T75" s="382"/>
    </row>
    <row r="76" spans="1:20" ht="12.75" customHeight="1">
      <c r="A76" s="391"/>
      <c r="B76" s="439"/>
      <c r="C76" s="463"/>
      <c r="D76" s="463"/>
      <c r="E76" s="463"/>
      <c r="F76" s="463"/>
      <c r="G76" s="857"/>
      <c r="H76" s="463"/>
      <c r="I76" s="547"/>
      <c r="J76" s="547"/>
      <c r="S76" s="463"/>
      <c r="T76" s="463"/>
    </row>
    <row r="77" spans="1:20" ht="12.75" customHeight="1">
      <c r="A77" s="391"/>
      <c r="B77" s="439"/>
      <c r="C77" s="382"/>
      <c r="D77" s="382"/>
      <c r="E77" s="382"/>
      <c r="F77" s="382"/>
      <c r="G77" s="382"/>
      <c r="H77" s="382"/>
      <c r="I77" s="547"/>
      <c r="J77" s="547"/>
      <c r="S77" s="1510"/>
      <c r="T77" s="917"/>
    </row>
    <row r="78" spans="1:20" ht="12.75" customHeight="1">
      <c r="A78" s="391"/>
      <c r="B78" s="439"/>
      <c r="C78" s="463"/>
      <c r="D78" s="463"/>
      <c r="E78" s="463"/>
      <c r="F78" s="463"/>
      <c r="G78" s="857"/>
      <c r="H78" s="463"/>
      <c r="I78" s="547"/>
      <c r="J78" s="547"/>
      <c r="S78" s="463"/>
      <c r="T78" s="1502"/>
    </row>
    <row r="79" spans="1:20" ht="12.75" customHeight="1">
      <c r="A79" s="391"/>
      <c r="B79" s="439"/>
      <c r="C79" s="463"/>
      <c r="D79" s="463"/>
      <c r="E79" s="463"/>
      <c r="F79" s="463"/>
      <c r="G79" s="857"/>
      <c r="H79" s="463"/>
      <c r="I79" s="547"/>
      <c r="J79" s="547"/>
      <c r="S79" s="463"/>
      <c r="T79" s="917"/>
    </row>
    <row r="80" spans="1:20" ht="12.75" customHeight="1">
      <c r="A80" s="391"/>
      <c r="B80" s="439"/>
      <c r="C80" s="463"/>
      <c r="D80" s="463"/>
      <c r="E80" s="463"/>
      <c r="F80" s="463"/>
      <c r="G80" s="857"/>
      <c r="H80" s="463"/>
      <c r="I80" s="547"/>
      <c r="J80" s="547"/>
      <c r="S80" s="463"/>
      <c r="T80" s="463"/>
    </row>
    <row r="81" spans="1:23" ht="12.75" customHeight="1">
      <c r="A81" s="391"/>
      <c r="B81" s="439"/>
      <c r="C81" s="463"/>
      <c r="D81" s="463"/>
      <c r="E81" s="463"/>
      <c r="F81" s="463"/>
      <c r="G81" s="857"/>
      <c r="H81" s="463"/>
      <c r="S81" s="463"/>
      <c r="T81" s="463"/>
    </row>
    <row r="82" spans="1:23" ht="12.75" customHeight="1">
      <c r="A82" s="391"/>
      <c r="B82" s="439"/>
      <c r="C82" s="382"/>
      <c r="D82" s="382"/>
      <c r="E82" s="382"/>
      <c r="F82" s="382"/>
      <c r="G82" s="382"/>
      <c r="H82" s="382"/>
      <c r="S82" s="463"/>
      <c r="T82" s="463"/>
    </row>
    <row r="83" spans="1:23" ht="12.75" customHeight="1">
      <c r="A83" s="391"/>
      <c r="B83" s="439"/>
      <c r="C83" s="463"/>
      <c r="D83" s="463"/>
      <c r="E83" s="463"/>
      <c r="F83" s="463"/>
      <c r="G83" s="857"/>
      <c r="H83" s="463"/>
      <c r="S83" s="463"/>
      <c r="T83" s="463"/>
    </row>
    <row r="84" spans="1:23" ht="12.75" customHeight="1">
      <c r="A84" s="391"/>
      <c r="B84" s="439"/>
      <c r="C84" s="463"/>
      <c r="D84" s="463"/>
      <c r="E84" s="463"/>
      <c r="F84" s="463"/>
      <c r="G84" s="857"/>
      <c r="H84" s="463"/>
      <c r="S84" s="463"/>
      <c r="T84" s="463"/>
    </row>
    <row r="85" spans="1:23" ht="12.75" customHeight="1">
      <c r="A85" s="391"/>
      <c r="B85" s="439"/>
      <c r="C85" s="463"/>
      <c r="D85" s="463"/>
      <c r="E85" s="463"/>
      <c r="F85" s="463"/>
      <c r="G85" s="857"/>
      <c r="H85" s="463"/>
      <c r="S85" s="398"/>
      <c r="T85" s="463"/>
    </row>
    <row r="86" spans="1:23" ht="12.75" customHeight="1">
      <c r="A86" s="391"/>
      <c r="B86" s="439"/>
      <c r="C86" s="463"/>
      <c r="D86" s="463"/>
      <c r="E86" s="463"/>
      <c r="F86" s="463"/>
      <c r="G86" s="857"/>
      <c r="H86" s="463"/>
      <c r="T86" s="398"/>
    </row>
    <row r="87" spans="1:23" ht="12.75" customHeight="1">
      <c r="A87" s="391"/>
      <c r="B87" s="439"/>
      <c r="C87" s="382"/>
      <c r="D87" s="382"/>
      <c r="E87" s="382"/>
      <c r="F87" s="382"/>
      <c r="G87" s="382"/>
      <c r="H87" s="382"/>
      <c r="K87" s="391"/>
      <c r="L87" s="391"/>
      <c r="M87" s="391"/>
      <c r="N87" s="391"/>
      <c r="O87" s="391"/>
      <c r="P87" s="391"/>
      <c r="Q87" s="391"/>
      <c r="R87" s="391"/>
      <c r="S87" s="391"/>
      <c r="U87" s="398"/>
    </row>
    <row r="88" spans="1:23" ht="12.75" customHeight="1">
      <c r="A88" s="391"/>
      <c r="B88" s="439"/>
      <c r="C88" s="463"/>
      <c r="D88" s="463"/>
      <c r="E88" s="463"/>
      <c r="F88" s="463"/>
      <c r="G88" s="857"/>
      <c r="H88" s="463"/>
      <c r="L88" s="2154"/>
      <c r="M88" s="2154"/>
      <c r="N88" s="2154"/>
      <c r="O88" s="2154"/>
      <c r="P88" s="2154"/>
      <c r="Q88" s="598"/>
      <c r="R88" s="598"/>
      <c r="S88" s="598"/>
    </row>
    <row r="89" spans="1:23" ht="12.75" customHeight="1">
      <c r="A89" s="391"/>
      <c r="B89" s="439"/>
      <c r="C89" s="463"/>
      <c r="D89" s="463"/>
      <c r="E89" s="463"/>
      <c r="F89" s="463"/>
      <c r="G89" s="857"/>
      <c r="H89" s="463"/>
      <c r="K89" s="382"/>
      <c r="L89" s="439"/>
      <c r="M89" s="439"/>
      <c r="N89" s="439"/>
      <c r="O89" s="439"/>
      <c r="P89" s="439"/>
      <c r="Q89" s="439"/>
      <c r="R89" s="439"/>
      <c r="S89" s="439"/>
      <c r="T89" s="598"/>
    </row>
    <row r="90" spans="1:23" ht="12.75" customHeight="1">
      <c r="A90" s="391"/>
      <c r="B90" s="439"/>
      <c r="C90" s="463"/>
      <c r="D90" s="463"/>
      <c r="E90" s="463"/>
      <c r="F90" s="463"/>
      <c r="G90" s="857"/>
      <c r="H90" s="463"/>
      <c r="K90" s="382"/>
      <c r="L90" s="382"/>
      <c r="M90" s="382"/>
      <c r="N90" s="382"/>
      <c r="O90" s="382"/>
      <c r="Q90" s="382"/>
      <c r="R90" s="382"/>
      <c r="S90" s="382"/>
      <c r="T90" s="439"/>
      <c r="W90" s="857"/>
    </row>
    <row r="91" spans="1:23" ht="12.75" customHeight="1">
      <c r="A91" s="391"/>
      <c r="K91" s="382"/>
      <c r="L91" s="463"/>
      <c r="M91" s="463"/>
      <c r="N91" s="463"/>
      <c r="O91" s="463"/>
      <c r="P91" s="463"/>
      <c r="Q91" s="463"/>
      <c r="R91" s="463"/>
      <c r="S91" s="463"/>
      <c r="W91" s="857"/>
    </row>
    <row r="92" spans="1:23" ht="12.75" customHeight="1">
      <c r="K92" s="382"/>
      <c r="L92" s="463"/>
      <c r="M92" s="463"/>
      <c r="N92" s="463"/>
      <c r="O92" s="463"/>
      <c r="P92" s="463"/>
      <c r="Q92" s="463"/>
      <c r="R92" s="463"/>
      <c r="S92" s="463"/>
      <c r="T92" s="463"/>
      <c r="W92" s="857"/>
    </row>
    <row r="93" spans="1:23" ht="12.75" customHeight="1">
      <c r="K93" s="382"/>
      <c r="L93" s="463"/>
      <c r="M93" s="463"/>
      <c r="N93" s="463"/>
      <c r="O93" s="463"/>
      <c r="P93" s="463"/>
      <c r="Q93" s="463"/>
      <c r="R93" s="463"/>
      <c r="S93" s="463"/>
      <c r="T93" s="463"/>
      <c r="W93" s="857"/>
    </row>
    <row r="94" spans="1:23" ht="12.75" customHeight="1">
      <c r="K94" s="382"/>
      <c r="L94" s="463"/>
      <c r="M94" s="463"/>
      <c r="N94" s="463"/>
      <c r="O94" s="463"/>
      <c r="P94" s="463"/>
      <c r="Q94" s="463"/>
      <c r="R94" s="463"/>
      <c r="S94" s="463"/>
      <c r="T94" s="463"/>
      <c r="W94" s="857"/>
    </row>
    <row r="95" spans="1:23" ht="12.75" customHeight="1">
      <c r="K95" s="382"/>
      <c r="L95" s="463"/>
      <c r="M95" s="463"/>
      <c r="N95" s="463"/>
      <c r="O95" s="463"/>
      <c r="P95" s="463"/>
      <c r="Q95" s="463"/>
      <c r="R95" s="463"/>
      <c r="S95" s="463"/>
      <c r="T95" s="463"/>
      <c r="W95" s="857"/>
    </row>
    <row r="96" spans="1:23" ht="12.75" customHeight="1">
      <c r="K96" s="382"/>
      <c r="L96" s="463"/>
      <c r="M96" s="463"/>
      <c r="N96" s="463"/>
      <c r="O96" s="463"/>
      <c r="P96" s="463"/>
      <c r="Q96" s="463"/>
      <c r="R96" s="463"/>
      <c r="S96" s="463"/>
      <c r="T96" s="463"/>
      <c r="W96" s="857"/>
    </row>
    <row r="97" spans="11:23" ht="12.75" customHeight="1">
      <c r="K97" s="382"/>
      <c r="L97" s="463"/>
      <c r="M97" s="463"/>
      <c r="N97" s="463"/>
      <c r="O97" s="463"/>
      <c r="P97" s="463"/>
      <c r="Q97" s="463"/>
      <c r="R97" s="463"/>
      <c r="S97" s="463"/>
      <c r="T97" s="463"/>
      <c r="W97" s="857"/>
    </row>
    <row r="98" spans="11:23" ht="12.75" customHeight="1">
      <c r="K98" s="382"/>
      <c r="L98" s="463"/>
      <c r="M98" s="463"/>
      <c r="N98" s="463"/>
      <c r="O98" s="463"/>
      <c r="P98" s="463"/>
      <c r="Q98" s="463"/>
      <c r="R98" s="463"/>
      <c r="S98" s="463"/>
      <c r="T98" s="463"/>
      <c r="W98" s="857"/>
    </row>
    <row r="99" spans="11:23" ht="12.75" customHeight="1">
      <c r="K99" s="382"/>
      <c r="L99" s="463"/>
      <c r="M99" s="463"/>
      <c r="N99" s="463"/>
      <c r="O99" s="463"/>
      <c r="P99" s="463"/>
      <c r="Q99" s="463"/>
      <c r="R99" s="463"/>
      <c r="S99" s="463"/>
      <c r="T99" s="463"/>
      <c r="W99" s="857"/>
    </row>
    <row r="100" spans="11:23" ht="12.75" customHeight="1">
      <c r="K100" s="382"/>
      <c r="L100" s="463"/>
      <c r="M100" s="463"/>
      <c r="N100" s="463"/>
      <c r="O100" s="463"/>
      <c r="P100" s="463"/>
      <c r="Q100" s="463"/>
      <c r="R100" s="463"/>
      <c r="S100" s="463"/>
      <c r="T100" s="463"/>
      <c r="W100" s="857"/>
    </row>
    <row r="101" spans="11:23" ht="12.75" customHeight="1">
      <c r="K101" s="382"/>
      <c r="L101" s="463"/>
      <c r="M101" s="463"/>
      <c r="N101" s="463"/>
      <c r="O101" s="463"/>
      <c r="P101" s="463"/>
      <c r="Q101" s="463"/>
      <c r="R101" s="463"/>
      <c r="S101" s="463"/>
      <c r="T101" s="463"/>
      <c r="W101" s="857"/>
    </row>
    <row r="102" spans="11:23" ht="12.75" customHeight="1">
      <c r="K102" s="382"/>
      <c r="L102" s="463"/>
      <c r="M102" s="463"/>
      <c r="N102" s="463"/>
      <c r="O102" s="463"/>
      <c r="P102" s="463"/>
      <c r="Q102" s="463"/>
      <c r="R102" s="463"/>
      <c r="S102" s="463"/>
      <c r="T102" s="463"/>
      <c r="W102" s="857"/>
    </row>
    <row r="103" spans="11:23" ht="12.75" customHeight="1">
      <c r="K103" s="382"/>
      <c r="L103" s="463"/>
      <c r="M103" s="463"/>
      <c r="N103" s="463"/>
      <c r="O103" s="463"/>
      <c r="P103" s="463"/>
      <c r="Q103" s="463"/>
      <c r="R103" s="463"/>
      <c r="S103" s="463"/>
      <c r="T103" s="463"/>
      <c r="W103" s="857"/>
    </row>
    <row r="104" spans="11:23" ht="12.75" customHeight="1">
      <c r="K104" s="382"/>
      <c r="L104" s="463"/>
      <c r="M104" s="463"/>
      <c r="N104" s="463"/>
      <c r="O104" s="463"/>
      <c r="P104" s="463"/>
      <c r="Q104" s="463"/>
      <c r="R104" s="463"/>
      <c r="S104" s="463"/>
      <c r="T104" s="463"/>
      <c r="W104" s="857"/>
    </row>
    <row r="105" spans="11:23" ht="12.75" customHeight="1">
      <c r="K105" s="382"/>
      <c r="L105" s="382"/>
      <c r="M105" s="474"/>
      <c r="N105" s="474"/>
      <c r="O105" s="474"/>
      <c r="P105" s="474"/>
      <c r="Q105" s="382"/>
      <c r="R105" s="382"/>
      <c r="S105" s="382"/>
      <c r="T105" s="463"/>
      <c r="W105" s="857"/>
    </row>
    <row r="106" spans="11:23" ht="12.75" customHeight="1">
      <c r="K106" s="382"/>
      <c r="L106" s="382"/>
      <c r="M106" s="382"/>
      <c r="N106" s="382"/>
      <c r="O106" s="382"/>
      <c r="Q106" s="382"/>
      <c r="R106" s="382"/>
      <c r="S106" s="382"/>
      <c r="W106" s="857"/>
    </row>
    <row r="107" spans="11:23" ht="12.75" customHeight="1">
      <c r="K107" s="382"/>
      <c r="L107" s="799"/>
      <c r="M107" s="799"/>
      <c r="N107" s="799"/>
      <c r="O107" s="799"/>
      <c r="P107" s="799"/>
      <c r="Q107" s="799"/>
      <c r="R107" s="799"/>
      <c r="S107" s="799"/>
      <c r="W107" s="382"/>
    </row>
    <row r="108" spans="11:23" ht="12.75" customHeight="1">
      <c r="K108" s="382"/>
      <c r="L108" s="799"/>
      <c r="M108" s="799"/>
      <c r="N108" s="799"/>
      <c r="O108" s="799"/>
      <c r="P108" s="799"/>
      <c r="Q108" s="799"/>
      <c r="R108" s="799"/>
      <c r="S108" s="799"/>
      <c r="T108" s="623"/>
      <c r="W108" s="1503"/>
    </row>
    <row r="109" spans="11:23" ht="12.75" customHeight="1">
      <c r="K109" s="382"/>
      <c r="L109" s="799"/>
      <c r="M109" s="799"/>
      <c r="N109" s="799"/>
      <c r="O109" s="799"/>
      <c r="P109" s="799"/>
      <c r="Q109" s="799"/>
      <c r="R109" s="799"/>
      <c r="S109" s="799"/>
      <c r="T109" s="623"/>
      <c r="W109" s="1503"/>
    </row>
    <row r="110" spans="11:23" ht="12.75" customHeight="1">
      <c r="K110" s="382"/>
      <c r="L110" s="799"/>
      <c r="M110" s="799"/>
      <c r="N110" s="799"/>
      <c r="O110" s="799"/>
      <c r="P110" s="799"/>
      <c r="Q110" s="799"/>
      <c r="R110" s="799"/>
      <c r="S110" s="799"/>
      <c r="T110" s="623"/>
      <c r="W110" s="1503"/>
    </row>
    <row r="111" spans="11:23" ht="12.75" customHeight="1">
      <c r="K111" s="382"/>
      <c r="L111" s="799"/>
      <c r="M111" s="799"/>
      <c r="N111" s="799"/>
      <c r="O111" s="799"/>
      <c r="P111" s="799"/>
      <c r="Q111" s="799"/>
      <c r="R111" s="799"/>
      <c r="S111" s="799"/>
      <c r="T111" s="623"/>
      <c r="W111" s="1503"/>
    </row>
    <row r="112" spans="11:23" ht="12.75" customHeight="1">
      <c r="K112" s="382"/>
      <c r="L112" s="799"/>
      <c r="M112" s="799"/>
      <c r="N112" s="799"/>
      <c r="O112" s="799"/>
      <c r="P112" s="799"/>
      <c r="Q112" s="799"/>
      <c r="R112" s="799"/>
      <c r="S112" s="799"/>
      <c r="T112" s="623"/>
      <c r="W112" s="382"/>
    </row>
    <row r="113" spans="11:23" ht="12.75" customHeight="1">
      <c r="K113" s="382"/>
      <c r="L113" s="799"/>
      <c r="M113" s="799"/>
      <c r="N113" s="799"/>
      <c r="O113" s="799"/>
      <c r="P113" s="799"/>
      <c r="Q113" s="799"/>
      <c r="R113" s="799"/>
      <c r="S113" s="799"/>
      <c r="T113" s="623"/>
      <c r="W113" s="398"/>
    </row>
    <row r="114" spans="11:23" ht="12.75" customHeight="1">
      <c r="K114" s="382"/>
      <c r="L114" s="799"/>
      <c r="M114" s="799"/>
      <c r="N114" s="799"/>
      <c r="O114" s="799"/>
      <c r="P114" s="799"/>
      <c r="Q114" s="799"/>
      <c r="R114" s="799"/>
      <c r="S114" s="799"/>
      <c r="T114" s="623"/>
      <c r="W114" s="414"/>
    </row>
    <row r="115" spans="11:23" ht="12.75" customHeight="1">
      <c r="K115" s="382"/>
      <c r="L115" s="799"/>
      <c r="M115" s="799"/>
      <c r="N115" s="799"/>
      <c r="O115" s="799"/>
      <c r="P115" s="799"/>
      <c r="Q115" s="799"/>
      <c r="R115" s="799"/>
      <c r="S115" s="799"/>
      <c r="T115" s="623"/>
      <c r="W115" s="414"/>
    </row>
    <row r="116" spans="11:23" ht="12.75" customHeight="1">
      <c r="K116" s="382"/>
      <c r="L116" s="382"/>
      <c r="M116" s="382"/>
      <c r="N116" s="382"/>
      <c r="O116" s="382"/>
      <c r="Q116" s="382"/>
      <c r="R116" s="382"/>
      <c r="S116" s="382"/>
      <c r="T116" s="623"/>
      <c r="W116" s="414"/>
    </row>
    <row r="117" spans="11:23" ht="12.75" customHeight="1">
      <c r="K117" s="382"/>
      <c r="L117" s="463"/>
      <c r="M117" s="463"/>
      <c r="N117" s="463"/>
      <c r="O117" s="463"/>
      <c r="P117" s="463"/>
      <c r="Q117" s="463"/>
      <c r="R117" s="463"/>
      <c r="S117" s="463"/>
      <c r="W117" s="439"/>
    </row>
    <row r="118" spans="11:23" ht="12.75" customHeight="1">
      <c r="K118" s="382"/>
      <c r="L118" s="463"/>
      <c r="M118" s="463"/>
      <c r="N118" s="463"/>
      <c r="O118" s="463"/>
      <c r="P118" s="463"/>
      <c r="Q118" s="463"/>
      <c r="R118" s="463"/>
      <c r="S118" s="463"/>
      <c r="T118" s="525"/>
      <c r="W118" s="857"/>
    </row>
    <row r="119" spans="11:23" ht="12.75" customHeight="1">
      <c r="K119" s="1501"/>
      <c r="L119" s="1510"/>
      <c r="M119" s="1510"/>
      <c r="N119" s="1510"/>
      <c r="O119" s="1510"/>
      <c r="P119" s="1510"/>
      <c r="Q119" s="1510"/>
      <c r="R119" s="1510"/>
      <c r="S119" s="1511"/>
      <c r="T119" s="525"/>
      <c r="W119" s="857"/>
    </row>
    <row r="120" spans="11:23" ht="12.75" customHeight="1">
      <c r="K120" s="382"/>
      <c r="L120" s="463"/>
      <c r="M120" s="463"/>
      <c r="N120" s="463"/>
      <c r="O120" s="463"/>
      <c r="P120" s="463"/>
      <c r="Q120" s="463"/>
      <c r="R120" s="463"/>
      <c r="S120" s="463"/>
      <c r="T120" s="525"/>
      <c r="W120" s="857"/>
    </row>
    <row r="121" spans="11:23" ht="12.75" customHeight="1">
      <c r="K121" s="382"/>
      <c r="L121" s="463"/>
      <c r="M121" s="463"/>
      <c r="N121" s="463"/>
      <c r="O121" s="463"/>
      <c r="P121" s="463"/>
      <c r="Q121" s="463"/>
      <c r="R121" s="463"/>
      <c r="S121" s="463"/>
      <c r="T121" s="525"/>
      <c r="W121" s="857"/>
    </row>
    <row r="122" spans="11:23" ht="12.75" customHeight="1">
      <c r="K122" s="382"/>
      <c r="L122" s="463"/>
      <c r="M122" s="463"/>
      <c r="N122" s="463"/>
      <c r="O122" s="463"/>
      <c r="P122" s="463"/>
      <c r="Q122" s="463"/>
      <c r="R122" s="463"/>
      <c r="S122" s="463"/>
      <c r="T122" s="525"/>
      <c r="W122" s="857"/>
    </row>
    <row r="123" spans="11:23" ht="12.75" customHeight="1">
      <c r="K123" s="382"/>
      <c r="L123" s="463"/>
      <c r="M123" s="463"/>
      <c r="N123" s="463"/>
      <c r="O123" s="463"/>
      <c r="P123" s="463"/>
      <c r="Q123" s="463"/>
      <c r="R123" s="463"/>
      <c r="S123" s="463"/>
      <c r="T123" s="525"/>
      <c r="W123" s="857"/>
    </row>
    <row r="124" spans="11:23" ht="12.75" customHeight="1">
      <c r="K124" s="382"/>
      <c r="L124" s="463"/>
      <c r="M124" s="463"/>
      <c r="N124" s="463"/>
      <c r="O124" s="463"/>
      <c r="P124" s="463"/>
      <c r="Q124" s="463"/>
      <c r="R124" s="463"/>
      <c r="S124" s="463"/>
      <c r="T124" s="525"/>
      <c r="W124" s="857"/>
    </row>
    <row r="125" spans="11:23" ht="12.75" customHeight="1">
      <c r="K125" s="382"/>
      <c r="L125" s="463"/>
      <c r="M125" s="463"/>
      <c r="N125" s="463"/>
      <c r="O125" s="463"/>
      <c r="P125" s="463"/>
      <c r="Q125" s="463"/>
      <c r="R125" s="463"/>
      <c r="S125" s="463"/>
      <c r="T125" s="525"/>
      <c r="W125" s="857"/>
    </row>
    <row r="126" spans="11:23" ht="12.75" customHeight="1">
      <c r="K126" s="382"/>
      <c r="L126" s="463"/>
      <c r="M126" s="463"/>
      <c r="N126" s="463"/>
      <c r="O126" s="463"/>
      <c r="P126" s="463"/>
      <c r="Q126" s="463"/>
      <c r="R126" s="463"/>
      <c r="S126" s="463"/>
      <c r="T126" s="525"/>
      <c r="W126" s="857"/>
    </row>
    <row r="127" spans="11:23" ht="12.75" customHeight="1">
      <c r="K127" s="398"/>
      <c r="L127" s="398"/>
      <c r="M127" s="398"/>
      <c r="N127" s="398"/>
      <c r="O127" s="398"/>
      <c r="P127" s="398"/>
      <c r="Q127" s="398"/>
      <c r="R127" s="398"/>
      <c r="S127" s="398"/>
      <c r="T127" s="525"/>
      <c r="W127" s="857"/>
    </row>
    <row r="128" spans="11:23" ht="12.75" customHeight="1">
      <c r="W128" s="857"/>
    </row>
    <row r="129" spans="23:23" ht="12.75" customHeight="1">
      <c r="W129" s="857"/>
    </row>
  </sheetData>
  <mergeCells count="9">
    <mergeCell ref="AF4:AG4"/>
    <mergeCell ref="AF5:AG5"/>
    <mergeCell ref="L88:P88"/>
    <mergeCell ref="D2:G2"/>
    <mergeCell ref="L2:O2"/>
    <mergeCell ref="P2:S2"/>
    <mergeCell ref="V2:Y2"/>
    <mergeCell ref="Z2:AC2"/>
    <mergeCell ref="F3:G3"/>
  </mergeCells>
  <pageMargins left="0.75" right="0.75" top="1" bottom="1" header="0.5" footer="0.5"/>
  <pageSetup scale="27" orientation="portrait" r:id="rId1"/>
  <headerFooter alignWithMargins="0"/>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E530-C93D-4AE8-B927-B525E8F5C627}">
  <sheetPr>
    <tabColor theme="7" tint="0.59999389629810485"/>
  </sheetPr>
  <dimension ref="A1:DW313"/>
  <sheetViews>
    <sheetView showGridLines="0" topLeftCell="DD19" zoomScale="90" zoomScaleNormal="90" workbookViewId="0"/>
  </sheetViews>
  <sheetFormatPr defaultRowHeight="12.75"/>
  <cols>
    <col min="1" max="1" width="30.5703125" style="1503" customWidth="1"/>
    <col min="2" max="13" width="10.7109375" style="1503" customWidth="1"/>
    <col min="14" max="14" width="7.7109375" style="1503" customWidth="1"/>
    <col min="15" max="16" width="6.5703125" style="1503" customWidth="1"/>
    <col min="17" max="17" width="19.85546875" style="1542" customWidth="1"/>
    <col min="18" max="24" width="12.7109375" style="1503" customWidth="1"/>
    <col min="25" max="25" width="30.7109375" style="1503" customWidth="1"/>
    <col min="26" max="27" width="10.7109375" style="1503" customWidth="1"/>
    <col min="28" max="28" width="15.7109375" style="1503" customWidth="1"/>
    <col min="29" max="29" width="17" style="1503" customWidth="1"/>
    <col min="30" max="30" width="13" style="1503" customWidth="1"/>
    <col min="31" max="31" width="12.7109375" style="1503" customWidth="1"/>
    <col min="32" max="32" width="10.7109375" style="1503" customWidth="1"/>
    <col min="33" max="33" width="30.7109375" style="1503" customWidth="1"/>
    <col min="34" max="35" width="10.7109375" style="1503" customWidth="1"/>
    <col min="36" max="36" width="15.7109375" style="1503" customWidth="1"/>
    <col min="37" max="37" width="15.28515625" style="1503" customWidth="1"/>
    <col min="38" max="38" width="14" style="1503" customWidth="1"/>
    <col min="39" max="40" width="10.7109375" style="1503" customWidth="1"/>
    <col min="41" max="41" width="38.7109375" style="1503" customWidth="1"/>
    <col min="42" max="47" width="12.7109375" style="1503" customWidth="1"/>
    <col min="48" max="48" width="9.85546875" style="1503" customWidth="1"/>
    <col min="49" max="49" width="9.7109375" style="1503" customWidth="1"/>
    <col min="50" max="50" width="40.7109375" style="1503" customWidth="1"/>
    <col min="51" max="56" width="12.7109375" style="1503" customWidth="1"/>
    <col min="57" max="57" width="9.5703125" style="1503" customWidth="1"/>
    <col min="58" max="58" width="9.7109375" style="1503" customWidth="1"/>
    <col min="59" max="59" width="48.42578125" style="1503" customWidth="1"/>
    <col min="60" max="67" width="12.7109375" style="1503" customWidth="1"/>
    <col min="68" max="68" width="12.28515625" style="1503" customWidth="1"/>
    <col min="69" max="69" width="9.140625" style="1503" customWidth="1"/>
    <col min="70" max="70" width="31.7109375" style="1503" customWidth="1"/>
    <col min="71" max="77" width="13.7109375" style="1503" customWidth="1"/>
    <col min="78" max="78" width="12" style="1503" customWidth="1"/>
    <col min="79" max="79" width="11.42578125" style="1503" customWidth="1"/>
    <col min="80" max="80" width="28.7109375" style="1503" customWidth="1"/>
    <col min="81" max="87" width="13.7109375" style="1503" customWidth="1"/>
    <col min="88" max="88" width="10.42578125" style="1503" customWidth="1"/>
    <col min="89" max="89" width="10" style="1503" customWidth="1"/>
    <col min="90" max="90" width="25.28515625" style="1503" customWidth="1"/>
    <col min="91" max="97" width="13.7109375" style="1503" customWidth="1"/>
    <col min="98" max="98" width="10.7109375" style="1503" customWidth="1"/>
    <col min="99" max="99" width="10.85546875" style="1503" customWidth="1"/>
    <col min="100" max="100" width="24.7109375" style="1503" customWidth="1"/>
    <col min="101" max="107" width="13.7109375" style="1503" customWidth="1"/>
    <col min="108" max="108" width="11.140625" style="1503" customWidth="1"/>
    <col min="109" max="109" width="10.5703125" style="1503" customWidth="1"/>
    <col min="110" max="110" width="22.85546875" style="1503" customWidth="1"/>
    <col min="111" max="117" width="13.7109375" style="1503" customWidth="1"/>
    <col min="118" max="118" width="13.140625" style="1503" customWidth="1"/>
    <col min="119" max="119" width="11.5703125" style="585" customWidth="1"/>
    <col min="120" max="120" width="29.85546875" style="585" customWidth="1"/>
    <col min="121" max="127" width="13.7109375" style="585" customWidth="1"/>
    <col min="128" max="257" width="9.140625" style="585"/>
    <col min="258" max="258" width="28.7109375" style="585" customWidth="1"/>
    <col min="259" max="259" width="8.5703125" style="585" bestFit="1" customWidth="1"/>
    <col min="260" max="271" width="7.7109375" style="585" customWidth="1"/>
    <col min="272" max="273" width="6.5703125" style="585" customWidth="1"/>
    <col min="274" max="274" width="20.7109375" style="585" customWidth="1"/>
    <col min="275" max="281" width="12.7109375" style="585" customWidth="1"/>
    <col min="282" max="282" width="30.7109375" style="585" customWidth="1"/>
    <col min="283" max="284" width="10.7109375" style="585" customWidth="1"/>
    <col min="285" max="286" width="15.7109375" style="585" customWidth="1"/>
    <col min="287" max="288" width="12.7109375" style="585" customWidth="1"/>
    <col min="289" max="289" width="10.7109375" style="585" customWidth="1"/>
    <col min="290" max="290" width="30.7109375" style="585" customWidth="1"/>
    <col min="291" max="292" width="10.7109375" style="585" customWidth="1"/>
    <col min="293" max="293" width="15.7109375" style="585" customWidth="1"/>
    <col min="294" max="295" width="12.7109375" style="585" customWidth="1"/>
    <col min="296" max="297" width="10.7109375" style="585" customWidth="1"/>
    <col min="298" max="298" width="38.7109375" style="585" customWidth="1"/>
    <col min="299" max="305" width="12.7109375" style="585" customWidth="1"/>
    <col min="306" max="306" width="40.7109375" style="585" customWidth="1"/>
    <col min="307" max="313" width="12.7109375" style="585" customWidth="1"/>
    <col min="314" max="314" width="43.28515625" style="585" customWidth="1"/>
    <col min="315" max="319" width="11.7109375" style="585" customWidth="1"/>
    <col min="320" max="323" width="10.7109375" style="585" customWidth="1"/>
    <col min="324" max="325" width="9.5703125" style="585" customWidth="1"/>
    <col min="326" max="326" width="9.140625" style="585"/>
    <col min="327" max="327" width="31.7109375" style="585" customWidth="1"/>
    <col min="328" max="328" width="12.7109375" style="585" customWidth="1"/>
    <col min="329" max="329" width="13.28515625" style="585" customWidth="1"/>
    <col min="330" max="331" width="12.7109375" style="585" customWidth="1"/>
    <col min="332" max="333" width="13.28515625" style="585" customWidth="1"/>
    <col min="334" max="334" width="12.7109375" style="585" customWidth="1"/>
    <col min="335" max="336" width="9.140625" style="585"/>
    <col min="337" max="337" width="28.7109375" style="585" customWidth="1"/>
    <col min="338" max="338" width="10.7109375" style="585" customWidth="1"/>
    <col min="339" max="339" width="12.7109375" style="585" customWidth="1"/>
    <col min="340" max="341" width="10.7109375" style="585" customWidth="1"/>
    <col min="342" max="342" width="14.7109375" style="585" customWidth="1"/>
    <col min="343" max="346" width="9.140625" style="585"/>
    <col min="347" max="347" width="22.7109375" style="585" customWidth="1"/>
    <col min="348" max="348" width="10.7109375" style="585" customWidth="1"/>
    <col min="349" max="349" width="12.7109375" style="585" customWidth="1"/>
    <col min="350" max="351" width="10.7109375" style="585" customWidth="1"/>
    <col min="352" max="352" width="12.7109375" style="585" customWidth="1"/>
    <col min="353" max="354" width="10.7109375" style="585" customWidth="1"/>
    <col min="355" max="355" width="9.140625" style="585"/>
    <col min="356" max="356" width="20.7109375" style="585" customWidth="1"/>
    <col min="357" max="357" width="10.7109375" style="585" customWidth="1"/>
    <col min="358" max="358" width="12.7109375" style="585" customWidth="1"/>
    <col min="359" max="360" width="10.7109375" style="585" customWidth="1"/>
    <col min="361" max="361" width="14.7109375" style="585" customWidth="1"/>
    <col min="362" max="362" width="10.7109375" style="585" customWidth="1"/>
    <col min="363" max="365" width="9.140625" style="585"/>
    <col min="366" max="366" width="20.7109375" style="585" customWidth="1"/>
    <col min="367" max="367" width="10.7109375" style="585" customWidth="1"/>
    <col min="368" max="369" width="11.7109375" style="585" customWidth="1"/>
    <col min="370" max="370" width="10.7109375" style="585" customWidth="1"/>
    <col min="371" max="371" width="12.7109375" style="585" customWidth="1"/>
    <col min="372" max="373" width="10.7109375" style="585" customWidth="1"/>
    <col min="374" max="375" width="9.140625" style="585"/>
    <col min="376" max="376" width="25.42578125" style="585" customWidth="1"/>
    <col min="377" max="380" width="10.7109375" style="585" customWidth="1"/>
    <col min="381" max="381" width="12.7109375" style="585" customWidth="1"/>
    <col min="382" max="383" width="10.7109375" style="585" customWidth="1"/>
    <col min="384" max="513" width="9.140625" style="585"/>
    <col min="514" max="514" width="28.7109375" style="585" customWidth="1"/>
    <col min="515" max="515" width="8.5703125" style="585" bestFit="1" customWidth="1"/>
    <col min="516" max="527" width="7.7109375" style="585" customWidth="1"/>
    <col min="528" max="529" width="6.5703125" style="585" customWidth="1"/>
    <col min="530" max="530" width="20.7109375" style="585" customWidth="1"/>
    <col min="531" max="537" width="12.7109375" style="585" customWidth="1"/>
    <col min="538" max="538" width="30.7109375" style="585" customWidth="1"/>
    <col min="539" max="540" width="10.7109375" style="585" customWidth="1"/>
    <col min="541" max="542" width="15.7109375" style="585" customWidth="1"/>
    <col min="543" max="544" width="12.7109375" style="585" customWidth="1"/>
    <col min="545" max="545" width="10.7109375" style="585" customWidth="1"/>
    <col min="546" max="546" width="30.7109375" style="585" customWidth="1"/>
    <col min="547" max="548" width="10.7109375" style="585" customWidth="1"/>
    <col min="549" max="549" width="15.7109375" style="585" customWidth="1"/>
    <col min="550" max="551" width="12.7109375" style="585" customWidth="1"/>
    <col min="552" max="553" width="10.7109375" style="585" customWidth="1"/>
    <col min="554" max="554" width="38.7109375" style="585" customWidth="1"/>
    <col min="555" max="561" width="12.7109375" style="585" customWidth="1"/>
    <col min="562" max="562" width="40.7109375" style="585" customWidth="1"/>
    <col min="563" max="569" width="12.7109375" style="585" customWidth="1"/>
    <col min="570" max="570" width="43.28515625" style="585" customWidth="1"/>
    <col min="571" max="575" width="11.7109375" style="585" customWidth="1"/>
    <col min="576" max="579" width="10.7109375" style="585" customWidth="1"/>
    <col min="580" max="581" width="9.5703125" style="585" customWidth="1"/>
    <col min="582" max="582" width="9.140625" style="585"/>
    <col min="583" max="583" width="31.7109375" style="585" customWidth="1"/>
    <col min="584" max="584" width="12.7109375" style="585" customWidth="1"/>
    <col min="585" max="585" width="13.28515625" style="585" customWidth="1"/>
    <col min="586" max="587" width="12.7109375" style="585" customWidth="1"/>
    <col min="588" max="589" width="13.28515625" style="585" customWidth="1"/>
    <col min="590" max="590" width="12.7109375" style="585" customWidth="1"/>
    <col min="591" max="592" width="9.140625" style="585"/>
    <col min="593" max="593" width="28.7109375" style="585" customWidth="1"/>
    <col min="594" max="594" width="10.7109375" style="585" customWidth="1"/>
    <col min="595" max="595" width="12.7109375" style="585" customWidth="1"/>
    <col min="596" max="597" width="10.7109375" style="585" customWidth="1"/>
    <col min="598" max="598" width="14.7109375" style="585" customWidth="1"/>
    <col min="599" max="602" width="9.140625" style="585"/>
    <col min="603" max="603" width="22.7109375" style="585" customWidth="1"/>
    <col min="604" max="604" width="10.7109375" style="585" customWidth="1"/>
    <col min="605" max="605" width="12.7109375" style="585" customWidth="1"/>
    <col min="606" max="607" width="10.7109375" style="585" customWidth="1"/>
    <col min="608" max="608" width="12.7109375" style="585" customWidth="1"/>
    <col min="609" max="610" width="10.7109375" style="585" customWidth="1"/>
    <col min="611" max="611" width="9.140625" style="585"/>
    <col min="612" max="612" width="20.7109375" style="585" customWidth="1"/>
    <col min="613" max="613" width="10.7109375" style="585" customWidth="1"/>
    <col min="614" max="614" width="12.7109375" style="585" customWidth="1"/>
    <col min="615" max="616" width="10.7109375" style="585" customWidth="1"/>
    <col min="617" max="617" width="14.7109375" style="585" customWidth="1"/>
    <col min="618" max="618" width="10.7109375" style="585" customWidth="1"/>
    <col min="619" max="621" width="9.140625" style="585"/>
    <col min="622" max="622" width="20.7109375" style="585" customWidth="1"/>
    <col min="623" max="623" width="10.7109375" style="585" customWidth="1"/>
    <col min="624" max="625" width="11.7109375" style="585" customWidth="1"/>
    <col min="626" max="626" width="10.7109375" style="585" customWidth="1"/>
    <col min="627" max="627" width="12.7109375" style="585" customWidth="1"/>
    <col min="628" max="629" width="10.7109375" style="585" customWidth="1"/>
    <col min="630" max="631" width="9.140625" style="585"/>
    <col min="632" max="632" width="25.42578125" style="585" customWidth="1"/>
    <col min="633" max="636" width="10.7109375" style="585" customWidth="1"/>
    <col min="637" max="637" width="12.7109375" style="585" customWidth="1"/>
    <col min="638" max="639" width="10.7109375" style="585" customWidth="1"/>
    <col min="640" max="769" width="9.140625" style="585"/>
    <col min="770" max="770" width="28.7109375" style="585" customWidth="1"/>
    <col min="771" max="771" width="8.5703125" style="585" bestFit="1" customWidth="1"/>
    <col min="772" max="783" width="7.7109375" style="585" customWidth="1"/>
    <col min="784" max="785" width="6.5703125" style="585" customWidth="1"/>
    <col min="786" max="786" width="20.7109375" style="585" customWidth="1"/>
    <col min="787" max="793" width="12.7109375" style="585" customWidth="1"/>
    <col min="794" max="794" width="30.7109375" style="585" customWidth="1"/>
    <col min="795" max="796" width="10.7109375" style="585" customWidth="1"/>
    <col min="797" max="798" width="15.7109375" style="585" customWidth="1"/>
    <col min="799" max="800" width="12.7109375" style="585" customWidth="1"/>
    <col min="801" max="801" width="10.7109375" style="585" customWidth="1"/>
    <col min="802" max="802" width="30.7109375" style="585" customWidth="1"/>
    <col min="803" max="804" width="10.7109375" style="585" customWidth="1"/>
    <col min="805" max="805" width="15.7109375" style="585" customWidth="1"/>
    <col min="806" max="807" width="12.7109375" style="585" customWidth="1"/>
    <col min="808" max="809" width="10.7109375" style="585" customWidth="1"/>
    <col min="810" max="810" width="38.7109375" style="585" customWidth="1"/>
    <col min="811" max="817" width="12.7109375" style="585" customWidth="1"/>
    <col min="818" max="818" width="40.7109375" style="585" customWidth="1"/>
    <col min="819" max="825" width="12.7109375" style="585" customWidth="1"/>
    <col min="826" max="826" width="43.28515625" style="585" customWidth="1"/>
    <col min="827" max="831" width="11.7109375" style="585" customWidth="1"/>
    <col min="832" max="835" width="10.7109375" style="585" customWidth="1"/>
    <col min="836" max="837" width="9.5703125" style="585" customWidth="1"/>
    <col min="838" max="838" width="9.140625" style="585"/>
    <col min="839" max="839" width="31.7109375" style="585" customWidth="1"/>
    <col min="840" max="840" width="12.7109375" style="585" customWidth="1"/>
    <col min="841" max="841" width="13.28515625" style="585" customWidth="1"/>
    <col min="842" max="843" width="12.7109375" style="585" customWidth="1"/>
    <col min="844" max="845" width="13.28515625" style="585" customWidth="1"/>
    <col min="846" max="846" width="12.7109375" style="585" customWidth="1"/>
    <col min="847" max="848" width="9.140625" style="585"/>
    <col min="849" max="849" width="28.7109375" style="585" customWidth="1"/>
    <col min="850" max="850" width="10.7109375" style="585" customWidth="1"/>
    <col min="851" max="851" width="12.7109375" style="585" customWidth="1"/>
    <col min="852" max="853" width="10.7109375" style="585" customWidth="1"/>
    <col min="854" max="854" width="14.7109375" style="585" customWidth="1"/>
    <col min="855" max="858" width="9.140625" style="585"/>
    <col min="859" max="859" width="22.7109375" style="585" customWidth="1"/>
    <col min="860" max="860" width="10.7109375" style="585" customWidth="1"/>
    <col min="861" max="861" width="12.7109375" style="585" customWidth="1"/>
    <col min="862" max="863" width="10.7109375" style="585" customWidth="1"/>
    <col min="864" max="864" width="12.7109375" style="585" customWidth="1"/>
    <col min="865" max="866" width="10.7109375" style="585" customWidth="1"/>
    <col min="867" max="867" width="9.140625" style="585"/>
    <col min="868" max="868" width="20.7109375" style="585" customWidth="1"/>
    <col min="869" max="869" width="10.7109375" style="585" customWidth="1"/>
    <col min="870" max="870" width="12.7109375" style="585" customWidth="1"/>
    <col min="871" max="872" width="10.7109375" style="585" customWidth="1"/>
    <col min="873" max="873" width="14.7109375" style="585" customWidth="1"/>
    <col min="874" max="874" width="10.7109375" style="585" customWidth="1"/>
    <col min="875" max="877" width="9.140625" style="585"/>
    <col min="878" max="878" width="20.7109375" style="585" customWidth="1"/>
    <col min="879" max="879" width="10.7109375" style="585" customWidth="1"/>
    <col min="880" max="881" width="11.7109375" style="585" customWidth="1"/>
    <col min="882" max="882" width="10.7109375" style="585" customWidth="1"/>
    <col min="883" max="883" width="12.7109375" style="585" customWidth="1"/>
    <col min="884" max="885" width="10.7109375" style="585" customWidth="1"/>
    <col min="886" max="887" width="9.140625" style="585"/>
    <col min="888" max="888" width="25.42578125" style="585" customWidth="1"/>
    <col min="889" max="892" width="10.7109375" style="585" customWidth="1"/>
    <col min="893" max="893" width="12.7109375" style="585" customWidth="1"/>
    <col min="894" max="895" width="10.7109375" style="585" customWidth="1"/>
    <col min="896" max="1025" width="9.140625" style="585"/>
    <col min="1026" max="1026" width="28.7109375" style="585" customWidth="1"/>
    <col min="1027" max="1027" width="8.5703125" style="585" bestFit="1" customWidth="1"/>
    <col min="1028" max="1039" width="7.7109375" style="585" customWidth="1"/>
    <col min="1040" max="1041" width="6.5703125" style="585" customWidth="1"/>
    <col min="1042" max="1042" width="20.7109375" style="585" customWidth="1"/>
    <col min="1043" max="1049" width="12.7109375" style="585" customWidth="1"/>
    <col min="1050" max="1050" width="30.7109375" style="585" customWidth="1"/>
    <col min="1051" max="1052" width="10.7109375" style="585" customWidth="1"/>
    <col min="1053" max="1054" width="15.7109375" style="585" customWidth="1"/>
    <col min="1055" max="1056" width="12.7109375" style="585" customWidth="1"/>
    <col min="1057" max="1057" width="10.7109375" style="585" customWidth="1"/>
    <col min="1058" max="1058" width="30.7109375" style="585" customWidth="1"/>
    <col min="1059" max="1060" width="10.7109375" style="585" customWidth="1"/>
    <col min="1061" max="1061" width="15.7109375" style="585" customWidth="1"/>
    <col min="1062" max="1063" width="12.7109375" style="585" customWidth="1"/>
    <col min="1064" max="1065" width="10.7109375" style="585" customWidth="1"/>
    <col min="1066" max="1066" width="38.7109375" style="585" customWidth="1"/>
    <col min="1067" max="1073" width="12.7109375" style="585" customWidth="1"/>
    <col min="1074" max="1074" width="40.7109375" style="585" customWidth="1"/>
    <col min="1075" max="1081" width="12.7109375" style="585" customWidth="1"/>
    <col min="1082" max="1082" width="43.28515625" style="585" customWidth="1"/>
    <col min="1083" max="1087" width="11.7109375" style="585" customWidth="1"/>
    <col min="1088" max="1091" width="10.7109375" style="585" customWidth="1"/>
    <col min="1092" max="1093" width="9.5703125" style="585" customWidth="1"/>
    <col min="1094" max="1094" width="9.140625" style="585"/>
    <col min="1095" max="1095" width="31.7109375" style="585" customWidth="1"/>
    <col min="1096" max="1096" width="12.7109375" style="585" customWidth="1"/>
    <col min="1097" max="1097" width="13.28515625" style="585" customWidth="1"/>
    <col min="1098" max="1099" width="12.7109375" style="585" customWidth="1"/>
    <col min="1100" max="1101" width="13.28515625" style="585" customWidth="1"/>
    <col min="1102" max="1102" width="12.7109375" style="585" customWidth="1"/>
    <col min="1103" max="1104" width="9.140625" style="585"/>
    <col min="1105" max="1105" width="28.7109375" style="585" customWidth="1"/>
    <col min="1106" max="1106" width="10.7109375" style="585" customWidth="1"/>
    <col min="1107" max="1107" width="12.7109375" style="585" customWidth="1"/>
    <col min="1108" max="1109" width="10.7109375" style="585" customWidth="1"/>
    <col min="1110" max="1110" width="14.7109375" style="585" customWidth="1"/>
    <col min="1111" max="1114" width="9.140625" style="585"/>
    <col min="1115" max="1115" width="22.7109375" style="585" customWidth="1"/>
    <col min="1116" max="1116" width="10.7109375" style="585" customWidth="1"/>
    <col min="1117" max="1117" width="12.7109375" style="585" customWidth="1"/>
    <col min="1118" max="1119" width="10.7109375" style="585" customWidth="1"/>
    <col min="1120" max="1120" width="12.7109375" style="585" customWidth="1"/>
    <col min="1121" max="1122" width="10.7109375" style="585" customWidth="1"/>
    <col min="1123" max="1123" width="9.140625" style="585"/>
    <col min="1124" max="1124" width="20.7109375" style="585" customWidth="1"/>
    <col min="1125" max="1125" width="10.7109375" style="585" customWidth="1"/>
    <col min="1126" max="1126" width="12.7109375" style="585" customWidth="1"/>
    <col min="1127" max="1128" width="10.7109375" style="585" customWidth="1"/>
    <col min="1129" max="1129" width="14.7109375" style="585" customWidth="1"/>
    <col min="1130" max="1130" width="10.7109375" style="585" customWidth="1"/>
    <col min="1131" max="1133" width="9.140625" style="585"/>
    <col min="1134" max="1134" width="20.7109375" style="585" customWidth="1"/>
    <col min="1135" max="1135" width="10.7109375" style="585" customWidth="1"/>
    <col min="1136" max="1137" width="11.7109375" style="585" customWidth="1"/>
    <col min="1138" max="1138" width="10.7109375" style="585" customWidth="1"/>
    <col min="1139" max="1139" width="12.7109375" style="585" customWidth="1"/>
    <col min="1140" max="1141" width="10.7109375" style="585" customWidth="1"/>
    <col min="1142" max="1143" width="9.140625" style="585"/>
    <col min="1144" max="1144" width="25.42578125" style="585" customWidth="1"/>
    <col min="1145" max="1148" width="10.7109375" style="585" customWidth="1"/>
    <col min="1149" max="1149" width="12.7109375" style="585" customWidth="1"/>
    <col min="1150" max="1151" width="10.7109375" style="585" customWidth="1"/>
    <col min="1152" max="1281" width="9.140625" style="585"/>
    <col min="1282" max="1282" width="28.7109375" style="585" customWidth="1"/>
    <col min="1283" max="1283" width="8.5703125" style="585" bestFit="1" customWidth="1"/>
    <col min="1284" max="1295" width="7.7109375" style="585" customWidth="1"/>
    <col min="1296" max="1297" width="6.5703125" style="585" customWidth="1"/>
    <col min="1298" max="1298" width="20.7109375" style="585" customWidth="1"/>
    <col min="1299" max="1305" width="12.7109375" style="585" customWidth="1"/>
    <col min="1306" max="1306" width="30.7109375" style="585" customWidth="1"/>
    <col min="1307" max="1308" width="10.7109375" style="585" customWidth="1"/>
    <col min="1309" max="1310" width="15.7109375" style="585" customWidth="1"/>
    <col min="1311" max="1312" width="12.7109375" style="585" customWidth="1"/>
    <col min="1313" max="1313" width="10.7109375" style="585" customWidth="1"/>
    <col min="1314" max="1314" width="30.7109375" style="585" customWidth="1"/>
    <col min="1315" max="1316" width="10.7109375" style="585" customWidth="1"/>
    <col min="1317" max="1317" width="15.7109375" style="585" customWidth="1"/>
    <col min="1318" max="1319" width="12.7109375" style="585" customWidth="1"/>
    <col min="1320" max="1321" width="10.7109375" style="585" customWidth="1"/>
    <col min="1322" max="1322" width="38.7109375" style="585" customWidth="1"/>
    <col min="1323" max="1329" width="12.7109375" style="585" customWidth="1"/>
    <col min="1330" max="1330" width="40.7109375" style="585" customWidth="1"/>
    <col min="1331" max="1337" width="12.7109375" style="585" customWidth="1"/>
    <col min="1338" max="1338" width="43.28515625" style="585" customWidth="1"/>
    <col min="1339" max="1343" width="11.7109375" style="585" customWidth="1"/>
    <col min="1344" max="1347" width="10.7109375" style="585" customWidth="1"/>
    <col min="1348" max="1349" width="9.5703125" style="585" customWidth="1"/>
    <col min="1350" max="1350" width="9.140625" style="585"/>
    <col min="1351" max="1351" width="31.7109375" style="585" customWidth="1"/>
    <col min="1352" max="1352" width="12.7109375" style="585" customWidth="1"/>
    <col min="1353" max="1353" width="13.28515625" style="585" customWidth="1"/>
    <col min="1354" max="1355" width="12.7109375" style="585" customWidth="1"/>
    <col min="1356" max="1357" width="13.28515625" style="585" customWidth="1"/>
    <col min="1358" max="1358" width="12.7109375" style="585" customWidth="1"/>
    <col min="1359" max="1360" width="9.140625" style="585"/>
    <col min="1361" max="1361" width="28.7109375" style="585" customWidth="1"/>
    <col min="1362" max="1362" width="10.7109375" style="585" customWidth="1"/>
    <col min="1363" max="1363" width="12.7109375" style="585" customWidth="1"/>
    <col min="1364" max="1365" width="10.7109375" style="585" customWidth="1"/>
    <col min="1366" max="1366" width="14.7109375" style="585" customWidth="1"/>
    <col min="1367" max="1370" width="9.140625" style="585"/>
    <col min="1371" max="1371" width="22.7109375" style="585" customWidth="1"/>
    <col min="1372" max="1372" width="10.7109375" style="585" customWidth="1"/>
    <col min="1373" max="1373" width="12.7109375" style="585" customWidth="1"/>
    <col min="1374" max="1375" width="10.7109375" style="585" customWidth="1"/>
    <col min="1376" max="1376" width="12.7109375" style="585" customWidth="1"/>
    <col min="1377" max="1378" width="10.7109375" style="585" customWidth="1"/>
    <col min="1379" max="1379" width="9.140625" style="585"/>
    <col min="1380" max="1380" width="20.7109375" style="585" customWidth="1"/>
    <col min="1381" max="1381" width="10.7109375" style="585" customWidth="1"/>
    <col min="1382" max="1382" width="12.7109375" style="585" customWidth="1"/>
    <col min="1383" max="1384" width="10.7109375" style="585" customWidth="1"/>
    <col min="1385" max="1385" width="14.7109375" style="585" customWidth="1"/>
    <col min="1386" max="1386" width="10.7109375" style="585" customWidth="1"/>
    <col min="1387" max="1389" width="9.140625" style="585"/>
    <col min="1390" max="1390" width="20.7109375" style="585" customWidth="1"/>
    <col min="1391" max="1391" width="10.7109375" style="585" customWidth="1"/>
    <col min="1392" max="1393" width="11.7109375" style="585" customWidth="1"/>
    <col min="1394" max="1394" width="10.7109375" style="585" customWidth="1"/>
    <col min="1395" max="1395" width="12.7109375" style="585" customWidth="1"/>
    <col min="1396" max="1397" width="10.7109375" style="585" customWidth="1"/>
    <col min="1398" max="1399" width="9.140625" style="585"/>
    <col min="1400" max="1400" width="25.42578125" style="585" customWidth="1"/>
    <col min="1401" max="1404" width="10.7109375" style="585" customWidth="1"/>
    <col min="1405" max="1405" width="12.7109375" style="585" customWidth="1"/>
    <col min="1406" max="1407" width="10.7109375" style="585" customWidth="1"/>
    <col min="1408" max="1537" width="9.140625" style="585"/>
    <col min="1538" max="1538" width="28.7109375" style="585" customWidth="1"/>
    <col min="1539" max="1539" width="8.5703125" style="585" bestFit="1" customWidth="1"/>
    <col min="1540" max="1551" width="7.7109375" style="585" customWidth="1"/>
    <col min="1552" max="1553" width="6.5703125" style="585" customWidth="1"/>
    <col min="1554" max="1554" width="20.7109375" style="585" customWidth="1"/>
    <col min="1555" max="1561" width="12.7109375" style="585" customWidth="1"/>
    <col min="1562" max="1562" width="30.7109375" style="585" customWidth="1"/>
    <col min="1563" max="1564" width="10.7109375" style="585" customWidth="1"/>
    <col min="1565" max="1566" width="15.7109375" style="585" customWidth="1"/>
    <col min="1567" max="1568" width="12.7109375" style="585" customWidth="1"/>
    <col min="1569" max="1569" width="10.7109375" style="585" customWidth="1"/>
    <col min="1570" max="1570" width="30.7109375" style="585" customWidth="1"/>
    <col min="1571" max="1572" width="10.7109375" style="585" customWidth="1"/>
    <col min="1573" max="1573" width="15.7109375" style="585" customWidth="1"/>
    <col min="1574" max="1575" width="12.7109375" style="585" customWidth="1"/>
    <col min="1576" max="1577" width="10.7109375" style="585" customWidth="1"/>
    <col min="1578" max="1578" width="38.7109375" style="585" customWidth="1"/>
    <col min="1579" max="1585" width="12.7109375" style="585" customWidth="1"/>
    <col min="1586" max="1586" width="40.7109375" style="585" customWidth="1"/>
    <col min="1587" max="1593" width="12.7109375" style="585" customWidth="1"/>
    <col min="1594" max="1594" width="43.28515625" style="585" customWidth="1"/>
    <col min="1595" max="1599" width="11.7109375" style="585" customWidth="1"/>
    <col min="1600" max="1603" width="10.7109375" style="585" customWidth="1"/>
    <col min="1604" max="1605" width="9.5703125" style="585" customWidth="1"/>
    <col min="1606" max="1606" width="9.140625" style="585"/>
    <col min="1607" max="1607" width="31.7109375" style="585" customWidth="1"/>
    <col min="1608" max="1608" width="12.7109375" style="585" customWidth="1"/>
    <col min="1609" max="1609" width="13.28515625" style="585" customWidth="1"/>
    <col min="1610" max="1611" width="12.7109375" style="585" customWidth="1"/>
    <col min="1612" max="1613" width="13.28515625" style="585" customWidth="1"/>
    <col min="1614" max="1614" width="12.7109375" style="585" customWidth="1"/>
    <col min="1615" max="1616" width="9.140625" style="585"/>
    <col min="1617" max="1617" width="28.7109375" style="585" customWidth="1"/>
    <col min="1618" max="1618" width="10.7109375" style="585" customWidth="1"/>
    <col min="1619" max="1619" width="12.7109375" style="585" customWidth="1"/>
    <col min="1620" max="1621" width="10.7109375" style="585" customWidth="1"/>
    <col min="1622" max="1622" width="14.7109375" style="585" customWidth="1"/>
    <col min="1623" max="1626" width="9.140625" style="585"/>
    <col min="1627" max="1627" width="22.7109375" style="585" customWidth="1"/>
    <col min="1628" max="1628" width="10.7109375" style="585" customWidth="1"/>
    <col min="1629" max="1629" width="12.7109375" style="585" customWidth="1"/>
    <col min="1630" max="1631" width="10.7109375" style="585" customWidth="1"/>
    <col min="1632" max="1632" width="12.7109375" style="585" customWidth="1"/>
    <col min="1633" max="1634" width="10.7109375" style="585" customWidth="1"/>
    <col min="1635" max="1635" width="9.140625" style="585"/>
    <col min="1636" max="1636" width="20.7109375" style="585" customWidth="1"/>
    <col min="1637" max="1637" width="10.7109375" style="585" customWidth="1"/>
    <col min="1638" max="1638" width="12.7109375" style="585" customWidth="1"/>
    <col min="1639" max="1640" width="10.7109375" style="585" customWidth="1"/>
    <col min="1641" max="1641" width="14.7109375" style="585" customWidth="1"/>
    <col min="1642" max="1642" width="10.7109375" style="585" customWidth="1"/>
    <col min="1643" max="1645" width="9.140625" style="585"/>
    <col min="1646" max="1646" width="20.7109375" style="585" customWidth="1"/>
    <col min="1647" max="1647" width="10.7109375" style="585" customWidth="1"/>
    <col min="1648" max="1649" width="11.7109375" style="585" customWidth="1"/>
    <col min="1650" max="1650" width="10.7109375" style="585" customWidth="1"/>
    <col min="1651" max="1651" width="12.7109375" style="585" customWidth="1"/>
    <col min="1652" max="1653" width="10.7109375" style="585" customWidth="1"/>
    <col min="1654" max="1655" width="9.140625" style="585"/>
    <col min="1656" max="1656" width="25.42578125" style="585" customWidth="1"/>
    <col min="1657" max="1660" width="10.7109375" style="585" customWidth="1"/>
    <col min="1661" max="1661" width="12.7109375" style="585" customWidth="1"/>
    <col min="1662" max="1663" width="10.7109375" style="585" customWidth="1"/>
    <col min="1664" max="1793" width="9.140625" style="585"/>
    <col min="1794" max="1794" width="28.7109375" style="585" customWidth="1"/>
    <col min="1795" max="1795" width="8.5703125" style="585" bestFit="1" customWidth="1"/>
    <col min="1796" max="1807" width="7.7109375" style="585" customWidth="1"/>
    <col min="1808" max="1809" width="6.5703125" style="585" customWidth="1"/>
    <col min="1810" max="1810" width="20.7109375" style="585" customWidth="1"/>
    <col min="1811" max="1817" width="12.7109375" style="585" customWidth="1"/>
    <col min="1818" max="1818" width="30.7109375" style="585" customWidth="1"/>
    <col min="1819" max="1820" width="10.7109375" style="585" customWidth="1"/>
    <col min="1821" max="1822" width="15.7109375" style="585" customWidth="1"/>
    <col min="1823" max="1824" width="12.7109375" style="585" customWidth="1"/>
    <col min="1825" max="1825" width="10.7109375" style="585" customWidth="1"/>
    <col min="1826" max="1826" width="30.7109375" style="585" customWidth="1"/>
    <col min="1827" max="1828" width="10.7109375" style="585" customWidth="1"/>
    <col min="1829" max="1829" width="15.7109375" style="585" customWidth="1"/>
    <col min="1830" max="1831" width="12.7109375" style="585" customWidth="1"/>
    <col min="1832" max="1833" width="10.7109375" style="585" customWidth="1"/>
    <col min="1834" max="1834" width="38.7109375" style="585" customWidth="1"/>
    <col min="1835" max="1841" width="12.7109375" style="585" customWidth="1"/>
    <col min="1842" max="1842" width="40.7109375" style="585" customWidth="1"/>
    <col min="1843" max="1849" width="12.7109375" style="585" customWidth="1"/>
    <col min="1850" max="1850" width="43.28515625" style="585" customWidth="1"/>
    <col min="1851" max="1855" width="11.7109375" style="585" customWidth="1"/>
    <col min="1856" max="1859" width="10.7109375" style="585" customWidth="1"/>
    <col min="1860" max="1861" width="9.5703125" style="585" customWidth="1"/>
    <col min="1862" max="1862" width="9.140625" style="585"/>
    <col min="1863" max="1863" width="31.7109375" style="585" customWidth="1"/>
    <col min="1864" max="1864" width="12.7109375" style="585" customWidth="1"/>
    <col min="1865" max="1865" width="13.28515625" style="585" customWidth="1"/>
    <col min="1866" max="1867" width="12.7109375" style="585" customWidth="1"/>
    <col min="1868" max="1869" width="13.28515625" style="585" customWidth="1"/>
    <col min="1870" max="1870" width="12.7109375" style="585" customWidth="1"/>
    <col min="1871" max="1872" width="9.140625" style="585"/>
    <col min="1873" max="1873" width="28.7109375" style="585" customWidth="1"/>
    <col min="1874" max="1874" width="10.7109375" style="585" customWidth="1"/>
    <col min="1875" max="1875" width="12.7109375" style="585" customWidth="1"/>
    <col min="1876" max="1877" width="10.7109375" style="585" customWidth="1"/>
    <col min="1878" max="1878" width="14.7109375" style="585" customWidth="1"/>
    <col min="1879" max="1882" width="9.140625" style="585"/>
    <col min="1883" max="1883" width="22.7109375" style="585" customWidth="1"/>
    <col min="1884" max="1884" width="10.7109375" style="585" customWidth="1"/>
    <col min="1885" max="1885" width="12.7109375" style="585" customWidth="1"/>
    <col min="1886" max="1887" width="10.7109375" style="585" customWidth="1"/>
    <col min="1888" max="1888" width="12.7109375" style="585" customWidth="1"/>
    <col min="1889" max="1890" width="10.7109375" style="585" customWidth="1"/>
    <col min="1891" max="1891" width="9.140625" style="585"/>
    <col min="1892" max="1892" width="20.7109375" style="585" customWidth="1"/>
    <col min="1893" max="1893" width="10.7109375" style="585" customWidth="1"/>
    <col min="1894" max="1894" width="12.7109375" style="585" customWidth="1"/>
    <col min="1895" max="1896" width="10.7109375" style="585" customWidth="1"/>
    <col min="1897" max="1897" width="14.7109375" style="585" customWidth="1"/>
    <col min="1898" max="1898" width="10.7109375" style="585" customWidth="1"/>
    <col min="1899" max="1901" width="9.140625" style="585"/>
    <col min="1902" max="1902" width="20.7109375" style="585" customWidth="1"/>
    <col min="1903" max="1903" width="10.7109375" style="585" customWidth="1"/>
    <col min="1904" max="1905" width="11.7109375" style="585" customWidth="1"/>
    <col min="1906" max="1906" width="10.7109375" style="585" customWidth="1"/>
    <col min="1907" max="1907" width="12.7109375" style="585" customWidth="1"/>
    <col min="1908" max="1909" width="10.7109375" style="585" customWidth="1"/>
    <col min="1910" max="1911" width="9.140625" style="585"/>
    <col min="1912" max="1912" width="25.42578125" style="585" customWidth="1"/>
    <col min="1913" max="1916" width="10.7109375" style="585" customWidth="1"/>
    <col min="1917" max="1917" width="12.7109375" style="585" customWidth="1"/>
    <col min="1918" max="1919" width="10.7109375" style="585" customWidth="1"/>
    <col min="1920" max="2049" width="9.140625" style="585"/>
    <col min="2050" max="2050" width="28.7109375" style="585" customWidth="1"/>
    <col min="2051" max="2051" width="8.5703125" style="585" bestFit="1" customWidth="1"/>
    <col min="2052" max="2063" width="7.7109375" style="585" customWidth="1"/>
    <col min="2064" max="2065" width="6.5703125" style="585" customWidth="1"/>
    <col min="2066" max="2066" width="20.7109375" style="585" customWidth="1"/>
    <col min="2067" max="2073" width="12.7109375" style="585" customWidth="1"/>
    <col min="2074" max="2074" width="30.7109375" style="585" customWidth="1"/>
    <col min="2075" max="2076" width="10.7109375" style="585" customWidth="1"/>
    <col min="2077" max="2078" width="15.7109375" style="585" customWidth="1"/>
    <col min="2079" max="2080" width="12.7109375" style="585" customWidth="1"/>
    <col min="2081" max="2081" width="10.7109375" style="585" customWidth="1"/>
    <col min="2082" max="2082" width="30.7109375" style="585" customWidth="1"/>
    <col min="2083" max="2084" width="10.7109375" style="585" customWidth="1"/>
    <col min="2085" max="2085" width="15.7109375" style="585" customWidth="1"/>
    <col min="2086" max="2087" width="12.7109375" style="585" customWidth="1"/>
    <col min="2088" max="2089" width="10.7109375" style="585" customWidth="1"/>
    <col min="2090" max="2090" width="38.7109375" style="585" customWidth="1"/>
    <col min="2091" max="2097" width="12.7109375" style="585" customWidth="1"/>
    <col min="2098" max="2098" width="40.7109375" style="585" customWidth="1"/>
    <col min="2099" max="2105" width="12.7109375" style="585" customWidth="1"/>
    <col min="2106" max="2106" width="43.28515625" style="585" customWidth="1"/>
    <col min="2107" max="2111" width="11.7109375" style="585" customWidth="1"/>
    <col min="2112" max="2115" width="10.7109375" style="585" customWidth="1"/>
    <col min="2116" max="2117" width="9.5703125" style="585" customWidth="1"/>
    <col min="2118" max="2118" width="9.140625" style="585"/>
    <col min="2119" max="2119" width="31.7109375" style="585" customWidth="1"/>
    <col min="2120" max="2120" width="12.7109375" style="585" customWidth="1"/>
    <col min="2121" max="2121" width="13.28515625" style="585" customWidth="1"/>
    <col min="2122" max="2123" width="12.7109375" style="585" customWidth="1"/>
    <col min="2124" max="2125" width="13.28515625" style="585" customWidth="1"/>
    <col min="2126" max="2126" width="12.7109375" style="585" customWidth="1"/>
    <col min="2127" max="2128" width="9.140625" style="585"/>
    <col min="2129" max="2129" width="28.7109375" style="585" customWidth="1"/>
    <col min="2130" max="2130" width="10.7109375" style="585" customWidth="1"/>
    <col min="2131" max="2131" width="12.7109375" style="585" customWidth="1"/>
    <col min="2132" max="2133" width="10.7109375" style="585" customWidth="1"/>
    <col min="2134" max="2134" width="14.7109375" style="585" customWidth="1"/>
    <col min="2135" max="2138" width="9.140625" style="585"/>
    <col min="2139" max="2139" width="22.7109375" style="585" customWidth="1"/>
    <col min="2140" max="2140" width="10.7109375" style="585" customWidth="1"/>
    <col min="2141" max="2141" width="12.7109375" style="585" customWidth="1"/>
    <col min="2142" max="2143" width="10.7109375" style="585" customWidth="1"/>
    <col min="2144" max="2144" width="12.7109375" style="585" customWidth="1"/>
    <col min="2145" max="2146" width="10.7109375" style="585" customWidth="1"/>
    <col min="2147" max="2147" width="9.140625" style="585"/>
    <col min="2148" max="2148" width="20.7109375" style="585" customWidth="1"/>
    <col min="2149" max="2149" width="10.7109375" style="585" customWidth="1"/>
    <col min="2150" max="2150" width="12.7109375" style="585" customWidth="1"/>
    <col min="2151" max="2152" width="10.7109375" style="585" customWidth="1"/>
    <col min="2153" max="2153" width="14.7109375" style="585" customWidth="1"/>
    <col min="2154" max="2154" width="10.7109375" style="585" customWidth="1"/>
    <col min="2155" max="2157" width="9.140625" style="585"/>
    <col min="2158" max="2158" width="20.7109375" style="585" customWidth="1"/>
    <col min="2159" max="2159" width="10.7109375" style="585" customWidth="1"/>
    <col min="2160" max="2161" width="11.7109375" style="585" customWidth="1"/>
    <col min="2162" max="2162" width="10.7109375" style="585" customWidth="1"/>
    <col min="2163" max="2163" width="12.7109375" style="585" customWidth="1"/>
    <col min="2164" max="2165" width="10.7109375" style="585" customWidth="1"/>
    <col min="2166" max="2167" width="9.140625" style="585"/>
    <col min="2168" max="2168" width="25.42578125" style="585" customWidth="1"/>
    <col min="2169" max="2172" width="10.7109375" style="585" customWidth="1"/>
    <col min="2173" max="2173" width="12.7109375" style="585" customWidth="1"/>
    <col min="2174" max="2175" width="10.7109375" style="585" customWidth="1"/>
    <col min="2176" max="2305" width="9.140625" style="585"/>
    <col min="2306" max="2306" width="28.7109375" style="585" customWidth="1"/>
    <col min="2307" max="2307" width="8.5703125" style="585" bestFit="1" customWidth="1"/>
    <col min="2308" max="2319" width="7.7109375" style="585" customWidth="1"/>
    <col min="2320" max="2321" width="6.5703125" style="585" customWidth="1"/>
    <col min="2322" max="2322" width="20.7109375" style="585" customWidth="1"/>
    <col min="2323" max="2329" width="12.7109375" style="585" customWidth="1"/>
    <col min="2330" max="2330" width="30.7109375" style="585" customWidth="1"/>
    <col min="2331" max="2332" width="10.7109375" style="585" customWidth="1"/>
    <col min="2333" max="2334" width="15.7109375" style="585" customWidth="1"/>
    <col min="2335" max="2336" width="12.7109375" style="585" customWidth="1"/>
    <col min="2337" max="2337" width="10.7109375" style="585" customWidth="1"/>
    <col min="2338" max="2338" width="30.7109375" style="585" customWidth="1"/>
    <col min="2339" max="2340" width="10.7109375" style="585" customWidth="1"/>
    <col min="2341" max="2341" width="15.7109375" style="585" customWidth="1"/>
    <col min="2342" max="2343" width="12.7109375" style="585" customWidth="1"/>
    <col min="2344" max="2345" width="10.7109375" style="585" customWidth="1"/>
    <col min="2346" max="2346" width="38.7109375" style="585" customWidth="1"/>
    <col min="2347" max="2353" width="12.7109375" style="585" customWidth="1"/>
    <col min="2354" max="2354" width="40.7109375" style="585" customWidth="1"/>
    <col min="2355" max="2361" width="12.7109375" style="585" customWidth="1"/>
    <col min="2362" max="2362" width="43.28515625" style="585" customWidth="1"/>
    <col min="2363" max="2367" width="11.7109375" style="585" customWidth="1"/>
    <col min="2368" max="2371" width="10.7109375" style="585" customWidth="1"/>
    <col min="2372" max="2373" width="9.5703125" style="585" customWidth="1"/>
    <col min="2374" max="2374" width="9.140625" style="585"/>
    <col min="2375" max="2375" width="31.7109375" style="585" customWidth="1"/>
    <col min="2376" max="2376" width="12.7109375" style="585" customWidth="1"/>
    <col min="2377" max="2377" width="13.28515625" style="585" customWidth="1"/>
    <col min="2378" max="2379" width="12.7109375" style="585" customWidth="1"/>
    <col min="2380" max="2381" width="13.28515625" style="585" customWidth="1"/>
    <col min="2382" max="2382" width="12.7109375" style="585" customWidth="1"/>
    <col min="2383" max="2384" width="9.140625" style="585"/>
    <col min="2385" max="2385" width="28.7109375" style="585" customWidth="1"/>
    <col min="2386" max="2386" width="10.7109375" style="585" customWidth="1"/>
    <col min="2387" max="2387" width="12.7109375" style="585" customWidth="1"/>
    <col min="2388" max="2389" width="10.7109375" style="585" customWidth="1"/>
    <col min="2390" max="2390" width="14.7109375" style="585" customWidth="1"/>
    <col min="2391" max="2394" width="9.140625" style="585"/>
    <col min="2395" max="2395" width="22.7109375" style="585" customWidth="1"/>
    <col min="2396" max="2396" width="10.7109375" style="585" customWidth="1"/>
    <col min="2397" max="2397" width="12.7109375" style="585" customWidth="1"/>
    <col min="2398" max="2399" width="10.7109375" style="585" customWidth="1"/>
    <col min="2400" max="2400" width="12.7109375" style="585" customWidth="1"/>
    <col min="2401" max="2402" width="10.7109375" style="585" customWidth="1"/>
    <col min="2403" max="2403" width="9.140625" style="585"/>
    <col min="2404" max="2404" width="20.7109375" style="585" customWidth="1"/>
    <col min="2405" max="2405" width="10.7109375" style="585" customWidth="1"/>
    <col min="2406" max="2406" width="12.7109375" style="585" customWidth="1"/>
    <col min="2407" max="2408" width="10.7109375" style="585" customWidth="1"/>
    <col min="2409" max="2409" width="14.7109375" style="585" customWidth="1"/>
    <col min="2410" max="2410" width="10.7109375" style="585" customWidth="1"/>
    <col min="2411" max="2413" width="9.140625" style="585"/>
    <col min="2414" max="2414" width="20.7109375" style="585" customWidth="1"/>
    <col min="2415" max="2415" width="10.7109375" style="585" customWidth="1"/>
    <col min="2416" max="2417" width="11.7109375" style="585" customWidth="1"/>
    <col min="2418" max="2418" width="10.7109375" style="585" customWidth="1"/>
    <col min="2419" max="2419" width="12.7109375" style="585" customWidth="1"/>
    <col min="2420" max="2421" width="10.7109375" style="585" customWidth="1"/>
    <col min="2422" max="2423" width="9.140625" style="585"/>
    <col min="2424" max="2424" width="25.42578125" style="585" customWidth="1"/>
    <col min="2425" max="2428" width="10.7109375" style="585" customWidth="1"/>
    <col min="2429" max="2429" width="12.7109375" style="585" customWidth="1"/>
    <col min="2430" max="2431" width="10.7109375" style="585" customWidth="1"/>
    <col min="2432" max="2561" width="9.140625" style="585"/>
    <col min="2562" max="2562" width="28.7109375" style="585" customWidth="1"/>
    <col min="2563" max="2563" width="8.5703125" style="585" bestFit="1" customWidth="1"/>
    <col min="2564" max="2575" width="7.7109375" style="585" customWidth="1"/>
    <col min="2576" max="2577" width="6.5703125" style="585" customWidth="1"/>
    <col min="2578" max="2578" width="20.7109375" style="585" customWidth="1"/>
    <col min="2579" max="2585" width="12.7109375" style="585" customWidth="1"/>
    <col min="2586" max="2586" width="30.7109375" style="585" customWidth="1"/>
    <col min="2587" max="2588" width="10.7109375" style="585" customWidth="1"/>
    <col min="2589" max="2590" width="15.7109375" style="585" customWidth="1"/>
    <col min="2591" max="2592" width="12.7109375" style="585" customWidth="1"/>
    <col min="2593" max="2593" width="10.7109375" style="585" customWidth="1"/>
    <col min="2594" max="2594" width="30.7109375" style="585" customWidth="1"/>
    <col min="2595" max="2596" width="10.7109375" style="585" customWidth="1"/>
    <col min="2597" max="2597" width="15.7109375" style="585" customWidth="1"/>
    <col min="2598" max="2599" width="12.7109375" style="585" customWidth="1"/>
    <col min="2600" max="2601" width="10.7109375" style="585" customWidth="1"/>
    <col min="2602" max="2602" width="38.7109375" style="585" customWidth="1"/>
    <col min="2603" max="2609" width="12.7109375" style="585" customWidth="1"/>
    <col min="2610" max="2610" width="40.7109375" style="585" customWidth="1"/>
    <col min="2611" max="2617" width="12.7109375" style="585" customWidth="1"/>
    <col min="2618" max="2618" width="43.28515625" style="585" customWidth="1"/>
    <col min="2619" max="2623" width="11.7109375" style="585" customWidth="1"/>
    <col min="2624" max="2627" width="10.7109375" style="585" customWidth="1"/>
    <col min="2628" max="2629" width="9.5703125" style="585" customWidth="1"/>
    <col min="2630" max="2630" width="9.140625" style="585"/>
    <col min="2631" max="2631" width="31.7109375" style="585" customWidth="1"/>
    <col min="2632" max="2632" width="12.7109375" style="585" customWidth="1"/>
    <col min="2633" max="2633" width="13.28515625" style="585" customWidth="1"/>
    <col min="2634" max="2635" width="12.7109375" style="585" customWidth="1"/>
    <col min="2636" max="2637" width="13.28515625" style="585" customWidth="1"/>
    <col min="2638" max="2638" width="12.7109375" style="585" customWidth="1"/>
    <col min="2639" max="2640" width="9.140625" style="585"/>
    <col min="2641" max="2641" width="28.7109375" style="585" customWidth="1"/>
    <col min="2642" max="2642" width="10.7109375" style="585" customWidth="1"/>
    <col min="2643" max="2643" width="12.7109375" style="585" customWidth="1"/>
    <col min="2644" max="2645" width="10.7109375" style="585" customWidth="1"/>
    <col min="2646" max="2646" width="14.7109375" style="585" customWidth="1"/>
    <col min="2647" max="2650" width="9.140625" style="585"/>
    <col min="2651" max="2651" width="22.7109375" style="585" customWidth="1"/>
    <col min="2652" max="2652" width="10.7109375" style="585" customWidth="1"/>
    <col min="2653" max="2653" width="12.7109375" style="585" customWidth="1"/>
    <col min="2654" max="2655" width="10.7109375" style="585" customWidth="1"/>
    <col min="2656" max="2656" width="12.7109375" style="585" customWidth="1"/>
    <col min="2657" max="2658" width="10.7109375" style="585" customWidth="1"/>
    <col min="2659" max="2659" width="9.140625" style="585"/>
    <col min="2660" max="2660" width="20.7109375" style="585" customWidth="1"/>
    <col min="2661" max="2661" width="10.7109375" style="585" customWidth="1"/>
    <col min="2662" max="2662" width="12.7109375" style="585" customWidth="1"/>
    <col min="2663" max="2664" width="10.7109375" style="585" customWidth="1"/>
    <col min="2665" max="2665" width="14.7109375" style="585" customWidth="1"/>
    <col min="2666" max="2666" width="10.7109375" style="585" customWidth="1"/>
    <col min="2667" max="2669" width="9.140625" style="585"/>
    <col min="2670" max="2670" width="20.7109375" style="585" customWidth="1"/>
    <col min="2671" max="2671" width="10.7109375" style="585" customWidth="1"/>
    <col min="2672" max="2673" width="11.7109375" style="585" customWidth="1"/>
    <col min="2674" max="2674" width="10.7109375" style="585" customWidth="1"/>
    <col min="2675" max="2675" width="12.7109375" style="585" customWidth="1"/>
    <col min="2676" max="2677" width="10.7109375" style="585" customWidth="1"/>
    <col min="2678" max="2679" width="9.140625" style="585"/>
    <col min="2680" max="2680" width="25.42578125" style="585" customWidth="1"/>
    <col min="2681" max="2684" width="10.7109375" style="585" customWidth="1"/>
    <col min="2685" max="2685" width="12.7109375" style="585" customWidth="1"/>
    <col min="2686" max="2687" width="10.7109375" style="585" customWidth="1"/>
    <col min="2688" max="2817" width="9.140625" style="585"/>
    <col min="2818" max="2818" width="28.7109375" style="585" customWidth="1"/>
    <col min="2819" max="2819" width="8.5703125" style="585" bestFit="1" customWidth="1"/>
    <col min="2820" max="2831" width="7.7109375" style="585" customWidth="1"/>
    <col min="2832" max="2833" width="6.5703125" style="585" customWidth="1"/>
    <col min="2834" max="2834" width="20.7109375" style="585" customWidth="1"/>
    <col min="2835" max="2841" width="12.7109375" style="585" customWidth="1"/>
    <col min="2842" max="2842" width="30.7109375" style="585" customWidth="1"/>
    <col min="2843" max="2844" width="10.7109375" style="585" customWidth="1"/>
    <col min="2845" max="2846" width="15.7109375" style="585" customWidth="1"/>
    <col min="2847" max="2848" width="12.7109375" style="585" customWidth="1"/>
    <col min="2849" max="2849" width="10.7109375" style="585" customWidth="1"/>
    <col min="2850" max="2850" width="30.7109375" style="585" customWidth="1"/>
    <col min="2851" max="2852" width="10.7109375" style="585" customWidth="1"/>
    <col min="2853" max="2853" width="15.7109375" style="585" customWidth="1"/>
    <col min="2854" max="2855" width="12.7109375" style="585" customWidth="1"/>
    <col min="2856" max="2857" width="10.7109375" style="585" customWidth="1"/>
    <col min="2858" max="2858" width="38.7109375" style="585" customWidth="1"/>
    <col min="2859" max="2865" width="12.7109375" style="585" customWidth="1"/>
    <col min="2866" max="2866" width="40.7109375" style="585" customWidth="1"/>
    <col min="2867" max="2873" width="12.7109375" style="585" customWidth="1"/>
    <col min="2874" max="2874" width="43.28515625" style="585" customWidth="1"/>
    <col min="2875" max="2879" width="11.7109375" style="585" customWidth="1"/>
    <col min="2880" max="2883" width="10.7109375" style="585" customWidth="1"/>
    <col min="2884" max="2885" width="9.5703125" style="585" customWidth="1"/>
    <col min="2886" max="2886" width="9.140625" style="585"/>
    <col min="2887" max="2887" width="31.7109375" style="585" customWidth="1"/>
    <col min="2888" max="2888" width="12.7109375" style="585" customWidth="1"/>
    <col min="2889" max="2889" width="13.28515625" style="585" customWidth="1"/>
    <col min="2890" max="2891" width="12.7109375" style="585" customWidth="1"/>
    <col min="2892" max="2893" width="13.28515625" style="585" customWidth="1"/>
    <col min="2894" max="2894" width="12.7109375" style="585" customWidth="1"/>
    <col min="2895" max="2896" width="9.140625" style="585"/>
    <col min="2897" max="2897" width="28.7109375" style="585" customWidth="1"/>
    <col min="2898" max="2898" width="10.7109375" style="585" customWidth="1"/>
    <col min="2899" max="2899" width="12.7109375" style="585" customWidth="1"/>
    <col min="2900" max="2901" width="10.7109375" style="585" customWidth="1"/>
    <col min="2902" max="2902" width="14.7109375" style="585" customWidth="1"/>
    <col min="2903" max="2906" width="9.140625" style="585"/>
    <col min="2907" max="2907" width="22.7109375" style="585" customWidth="1"/>
    <col min="2908" max="2908" width="10.7109375" style="585" customWidth="1"/>
    <col min="2909" max="2909" width="12.7109375" style="585" customWidth="1"/>
    <col min="2910" max="2911" width="10.7109375" style="585" customWidth="1"/>
    <col min="2912" max="2912" width="12.7109375" style="585" customWidth="1"/>
    <col min="2913" max="2914" width="10.7109375" style="585" customWidth="1"/>
    <col min="2915" max="2915" width="9.140625" style="585"/>
    <col min="2916" max="2916" width="20.7109375" style="585" customWidth="1"/>
    <col min="2917" max="2917" width="10.7109375" style="585" customWidth="1"/>
    <col min="2918" max="2918" width="12.7109375" style="585" customWidth="1"/>
    <col min="2919" max="2920" width="10.7109375" style="585" customWidth="1"/>
    <col min="2921" max="2921" width="14.7109375" style="585" customWidth="1"/>
    <col min="2922" max="2922" width="10.7109375" style="585" customWidth="1"/>
    <col min="2923" max="2925" width="9.140625" style="585"/>
    <col min="2926" max="2926" width="20.7109375" style="585" customWidth="1"/>
    <col min="2927" max="2927" width="10.7109375" style="585" customWidth="1"/>
    <col min="2928" max="2929" width="11.7109375" style="585" customWidth="1"/>
    <col min="2930" max="2930" width="10.7109375" style="585" customWidth="1"/>
    <col min="2931" max="2931" width="12.7109375" style="585" customWidth="1"/>
    <col min="2932" max="2933" width="10.7109375" style="585" customWidth="1"/>
    <col min="2934" max="2935" width="9.140625" style="585"/>
    <col min="2936" max="2936" width="25.42578125" style="585" customWidth="1"/>
    <col min="2937" max="2940" width="10.7109375" style="585" customWidth="1"/>
    <col min="2941" max="2941" width="12.7109375" style="585" customWidth="1"/>
    <col min="2942" max="2943" width="10.7109375" style="585" customWidth="1"/>
    <col min="2944" max="3073" width="9.140625" style="585"/>
    <col min="3074" max="3074" width="28.7109375" style="585" customWidth="1"/>
    <col min="3075" max="3075" width="8.5703125" style="585" bestFit="1" customWidth="1"/>
    <col min="3076" max="3087" width="7.7109375" style="585" customWidth="1"/>
    <col min="3088" max="3089" width="6.5703125" style="585" customWidth="1"/>
    <col min="3090" max="3090" width="20.7109375" style="585" customWidth="1"/>
    <col min="3091" max="3097" width="12.7109375" style="585" customWidth="1"/>
    <col min="3098" max="3098" width="30.7109375" style="585" customWidth="1"/>
    <col min="3099" max="3100" width="10.7109375" style="585" customWidth="1"/>
    <col min="3101" max="3102" width="15.7109375" style="585" customWidth="1"/>
    <col min="3103" max="3104" width="12.7109375" style="585" customWidth="1"/>
    <col min="3105" max="3105" width="10.7109375" style="585" customWidth="1"/>
    <col min="3106" max="3106" width="30.7109375" style="585" customWidth="1"/>
    <col min="3107" max="3108" width="10.7109375" style="585" customWidth="1"/>
    <col min="3109" max="3109" width="15.7109375" style="585" customWidth="1"/>
    <col min="3110" max="3111" width="12.7109375" style="585" customWidth="1"/>
    <col min="3112" max="3113" width="10.7109375" style="585" customWidth="1"/>
    <col min="3114" max="3114" width="38.7109375" style="585" customWidth="1"/>
    <col min="3115" max="3121" width="12.7109375" style="585" customWidth="1"/>
    <col min="3122" max="3122" width="40.7109375" style="585" customWidth="1"/>
    <col min="3123" max="3129" width="12.7109375" style="585" customWidth="1"/>
    <col min="3130" max="3130" width="43.28515625" style="585" customWidth="1"/>
    <col min="3131" max="3135" width="11.7109375" style="585" customWidth="1"/>
    <col min="3136" max="3139" width="10.7109375" style="585" customWidth="1"/>
    <col min="3140" max="3141" width="9.5703125" style="585" customWidth="1"/>
    <col min="3142" max="3142" width="9.140625" style="585"/>
    <col min="3143" max="3143" width="31.7109375" style="585" customWidth="1"/>
    <col min="3144" max="3144" width="12.7109375" style="585" customWidth="1"/>
    <col min="3145" max="3145" width="13.28515625" style="585" customWidth="1"/>
    <col min="3146" max="3147" width="12.7109375" style="585" customWidth="1"/>
    <col min="3148" max="3149" width="13.28515625" style="585" customWidth="1"/>
    <col min="3150" max="3150" width="12.7109375" style="585" customWidth="1"/>
    <col min="3151" max="3152" width="9.140625" style="585"/>
    <col min="3153" max="3153" width="28.7109375" style="585" customWidth="1"/>
    <col min="3154" max="3154" width="10.7109375" style="585" customWidth="1"/>
    <col min="3155" max="3155" width="12.7109375" style="585" customWidth="1"/>
    <col min="3156" max="3157" width="10.7109375" style="585" customWidth="1"/>
    <col min="3158" max="3158" width="14.7109375" style="585" customWidth="1"/>
    <col min="3159" max="3162" width="9.140625" style="585"/>
    <col min="3163" max="3163" width="22.7109375" style="585" customWidth="1"/>
    <col min="3164" max="3164" width="10.7109375" style="585" customWidth="1"/>
    <col min="3165" max="3165" width="12.7109375" style="585" customWidth="1"/>
    <col min="3166" max="3167" width="10.7109375" style="585" customWidth="1"/>
    <col min="3168" max="3168" width="12.7109375" style="585" customWidth="1"/>
    <col min="3169" max="3170" width="10.7109375" style="585" customWidth="1"/>
    <col min="3171" max="3171" width="9.140625" style="585"/>
    <col min="3172" max="3172" width="20.7109375" style="585" customWidth="1"/>
    <col min="3173" max="3173" width="10.7109375" style="585" customWidth="1"/>
    <col min="3174" max="3174" width="12.7109375" style="585" customWidth="1"/>
    <col min="3175" max="3176" width="10.7109375" style="585" customWidth="1"/>
    <col min="3177" max="3177" width="14.7109375" style="585" customWidth="1"/>
    <col min="3178" max="3178" width="10.7109375" style="585" customWidth="1"/>
    <col min="3179" max="3181" width="9.140625" style="585"/>
    <col min="3182" max="3182" width="20.7109375" style="585" customWidth="1"/>
    <col min="3183" max="3183" width="10.7109375" style="585" customWidth="1"/>
    <col min="3184" max="3185" width="11.7109375" style="585" customWidth="1"/>
    <col min="3186" max="3186" width="10.7109375" style="585" customWidth="1"/>
    <col min="3187" max="3187" width="12.7109375" style="585" customWidth="1"/>
    <col min="3188" max="3189" width="10.7109375" style="585" customWidth="1"/>
    <col min="3190" max="3191" width="9.140625" style="585"/>
    <col min="3192" max="3192" width="25.42578125" style="585" customWidth="1"/>
    <col min="3193" max="3196" width="10.7109375" style="585" customWidth="1"/>
    <col min="3197" max="3197" width="12.7109375" style="585" customWidth="1"/>
    <col min="3198" max="3199" width="10.7109375" style="585" customWidth="1"/>
    <col min="3200" max="3329" width="9.140625" style="585"/>
    <col min="3330" max="3330" width="28.7109375" style="585" customWidth="1"/>
    <col min="3331" max="3331" width="8.5703125" style="585" bestFit="1" customWidth="1"/>
    <col min="3332" max="3343" width="7.7109375" style="585" customWidth="1"/>
    <col min="3344" max="3345" width="6.5703125" style="585" customWidth="1"/>
    <col min="3346" max="3346" width="20.7109375" style="585" customWidth="1"/>
    <col min="3347" max="3353" width="12.7109375" style="585" customWidth="1"/>
    <col min="3354" max="3354" width="30.7109375" style="585" customWidth="1"/>
    <col min="3355" max="3356" width="10.7109375" style="585" customWidth="1"/>
    <col min="3357" max="3358" width="15.7109375" style="585" customWidth="1"/>
    <col min="3359" max="3360" width="12.7109375" style="585" customWidth="1"/>
    <col min="3361" max="3361" width="10.7109375" style="585" customWidth="1"/>
    <col min="3362" max="3362" width="30.7109375" style="585" customWidth="1"/>
    <col min="3363" max="3364" width="10.7109375" style="585" customWidth="1"/>
    <col min="3365" max="3365" width="15.7109375" style="585" customWidth="1"/>
    <col min="3366" max="3367" width="12.7109375" style="585" customWidth="1"/>
    <col min="3368" max="3369" width="10.7109375" style="585" customWidth="1"/>
    <col min="3370" max="3370" width="38.7109375" style="585" customWidth="1"/>
    <col min="3371" max="3377" width="12.7109375" style="585" customWidth="1"/>
    <col min="3378" max="3378" width="40.7109375" style="585" customWidth="1"/>
    <col min="3379" max="3385" width="12.7109375" style="585" customWidth="1"/>
    <col min="3386" max="3386" width="43.28515625" style="585" customWidth="1"/>
    <col min="3387" max="3391" width="11.7109375" style="585" customWidth="1"/>
    <col min="3392" max="3395" width="10.7109375" style="585" customWidth="1"/>
    <col min="3396" max="3397" width="9.5703125" style="585" customWidth="1"/>
    <col min="3398" max="3398" width="9.140625" style="585"/>
    <col min="3399" max="3399" width="31.7109375" style="585" customWidth="1"/>
    <col min="3400" max="3400" width="12.7109375" style="585" customWidth="1"/>
    <col min="3401" max="3401" width="13.28515625" style="585" customWidth="1"/>
    <col min="3402" max="3403" width="12.7109375" style="585" customWidth="1"/>
    <col min="3404" max="3405" width="13.28515625" style="585" customWidth="1"/>
    <col min="3406" max="3406" width="12.7109375" style="585" customWidth="1"/>
    <col min="3407" max="3408" width="9.140625" style="585"/>
    <col min="3409" max="3409" width="28.7109375" style="585" customWidth="1"/>
    <col min="3410" max="3410" width="10.7109375" style="585" customWidth="1"/>
    <col min="3411" max="3411" width="12.7109375" style="585" customWidth="1"/>
    <col min="3412" max="3413" width="10.7109375" style="585" customWidth="1"/>
    <col min="3414" max="3414" width="14.7109375" style="585" customWidth="1"/>
    <col min="3415" max="3418" width="9.140625" style="585"/>
    <col min="3419" max="3419" width="22.7109375" style="585" customWidth="1"/>
    <col min="3420" max="3420" width="10.7109375" style="585" customWidth="1"/>
    <col min="3421" max="3421" width="12.7109375" style="585" customWidth="1"/>
    <col min="3422" max="3423" width="10.7109375" style="585" customWidth="1"/>
    <col min="3424" max="3424" width="12.7109375" style="585" customWidth="1"/>
    <col min="3425" max="3426" width="10.7109375" style="585" customWidth="1"/>
    <col min="3427" max="3427" width="9.140625" style="585"/>
    <col min="3428" max="3428" width="20.7109375" style="585" customWidth="1"/>
    <col min="3429" max="3429" width="10.7109375" style="585" customWidth="1"/>
    <col min="3430" max="3430" width="12.7109375" style="585" customWidth="1"/>
    <col min="3431" max="3432" width="10.7109375" style="585" customWidth="1"/>
    <col min="3433" max="3433" width="14.7109375" style="585" customWidth="1"/>
    <col min="3434" max="3434" width="10.7109375" style="585" customWidth="1"/>
    <col min="3435" max="3437" width="9.140625" style="585"/>
    <col min="3438" max="3438" width="20.7109375" style="585" customWidth="1"/>
    <col min="3439" max="3439" width="10.7109375" style="585" customWidth="1"/>
    <col min="3440" max="3441" width="11.7109375" style="585" customWidth="1"/>
    <col min="3442" max="3442" width="10.7109375" style="585" customWidth="1"/>
    <col min="3443" max="3443" width="12.7109375" style="585" customWidth="1"/>
    <col min="3444" max="3445" width="10.7109375" style="585" customWidth="1"/>
    <col min="3446" max="3447" width="9.140625" style="585"/>
    <col min="3448" max="3448" width="25.42578125" style="585" customWidth="1"/>
    <col min="3449" max="3452" width="10.7109375" style="585" customWidth="1"/>
    <col min="3453" max="3453" width="12.7109375" style="585" customWidth="1"/>
    <col min="3454" max="3455" width="10.7109375" style="585" customWidth="1"/>
    <col min="3456" max="3585" width="9.140625" style="585"/>
    <col min="3586" max="3586" width="28.7109375" style="585" customWidth="1"/>
    <col min="3587" max="3587" width="8.5703125" style="585" bestFit="1" customWidth="1"/>
    <col min="3588" max="3599" width="7.7109375" style="585" customWidth="1"/>
    <col min="3600" max="3601" width="6.5703125" style="585" customWidth="1"/>
    <col min="3602" max="3602" width="20.7109375" style="585" customWidth="1"/>
    <col min="3603" max="3609" width="12.7109375" style="585" customWidth="1"/>
    <col min="3610" max="3610" width="30.7109375" style="585" customWidth="1"/>
    <col min="3611" max="3612" width="10.7109375" style="585" customWidth="1"/>
    <col min="3613" max="3614" width="15.7109375" style="585" customWidth="1"/>
    <col min="3615" max="3616" width="12.7109375" style="585" customWidth="1"/>
    <col min="3617" max="3617" width="10.7109375" style="585" customWidth="1"/>
    <col min="3618" max="3618" width="30.7109375" style="585" customWidth="1"/>
    <col min="3619" max="3620" width="10.7109375" style="585" customWidth="1"/>
    <col min="3621" max="3621" width="15.7109375" style="585" customWidth="1"/>
    <col min="3622" max="3623" width="12.7109375" style="585" customWidth="1"/>
    <col min="3624" max="3625" width="10.7109375" style="585" customWidth="1"/>
    <col min="3626" max="3626" width="38.7109375" style="585" customWidth="1"/>
    <col min="3627" max="3633" width="12.7109375" style="585" customWidth="1"/>
    <col min="3634" max="3634" width="40.7109375" style="585" customWidth="1"/>
    <col min="3635" max="3641" width="12.7109375" style="585" customWidth="1"/>
    <col min="3642" max="3642" width="43.28515625" style="585" customWidth="1"/>
    <col min="3643" max="3647" width="11.7109375" style="585" customWidth="1"/>
    <col min="3648" max="3651" width="10.7109375" style="585" customWidth="1"/>
    <col min="3652" max="3653" width="9.5703125" style="585" customWidth="1"/>
    <col min="3654" max="3654" width="9.140625" style="585"/>
    <col min="3655" max="3655" width="31.7109375" style="585" customWidth="1"/>
    <col min="3656" max="3656" width="12.7109375" style="585" customWidth="1"/>
    <col min="3657" max="3657" width="13.28515625" style="585" customWidth="1"/>
    <col min="3658" max="3659" width="12.7109375" style="585" customWidth="1"/>
    <col min="3660" max="3661" width="13.28515625" style="585" customWidth="1"/>
    <col min="3662" max="3662" width="12.7109375" style="585" customWidth="1"/>
    <col min="3663" max="3664" width="9.140625" style="585"/>
    <col min="3665" max="3665" width="28.7109375" style="585" customWidth="1"/>
    <col min="3666" max="3666" width="10.7109375" style="585" customWidth="1"/>
    <col min="3667" max="3667" width="12.7109375" style="585" customWidth="1"/>
    <col min="3668" max="3669" width="10.7109375" style="585" customWidth="1"/>
    <col min="3670" max="3670" width="14.7109375" style="585" customWidth="1"/>
    <col min="3671" max="3674" width="9.140625" style="585"/>
    <col min="3675" max="3675" width="22.7109375" style="585" customWidth="1"/>
    <col min="3676" max="3676" width="10.7109375" style="585" customWidth="1"/>
    <col min="3677" max="3677" width="12.7109375" style="585" customWidth="1"/>
    <col min="3678" max="3679" width="10.7109375" style="585" customWidth="1"/>
    <col min="3680" max="3680" width="12.7109375" style="585" customWidth="1"/>
    <col min="3681" max="3682" width="10.7109375" style="585" customWidth="1"/>
    <col min="3683" max="3683" width="9.140625" style="585"/>
    <col min="3684" max="3684" width="20.7109375" style="585" customWidth="1"/>
    <col min="3685" max="3685" width="10.7109375" style="585" customWidth="1"/>
    <col min="3686" max="3686" width="12.7109375" style="585" customWidth="1"/>
    <col min="3687" max="3688" width="10.7109375" style="585" customWidth="1"/>
    <col min="3689" max="3689" width="14.7109375" style="585" customWidth="1"/>
    <col min="3690" max="3690" width="10.7109375" style="585" customWidth="1"/>
    <col min="3691" max="3693" width="9.140625" style="585"/>
    <col min="3694" max="3694" width="20.7109375" style="585" customWidth="1"/>
    <col min="3695" max="3695" width="10.7109375" style="585" customWidth="1"/>
    <col min="3696" max="3697" width="11.7109375" style="585" customWidth="1"/>
    <col min="3698" max="3698" width="10.7109375" style="585" customWidth="1"/>
    <col min="3699" max="3699" width="12.7109375" style="585" customWidth="1"/>
    <col min="3700" max="3701" width="10.7109375" style="585" customWidth="1"/>
    <col min="3702" max="3703" width="9.140625" style="585"/>
    <col min="3704" max="3704" width="25.42578125" style="585" customWidth="1"/>
    <col min="3705" max="3708" width="10.7109375" style="585" customWidth="1"/>
    <col min="3709" max="3709" width="12.7109375" style="585" customWidth="1"/>
    <col min="3710" max="3711" width="10.7109375" style="585" customWidth="1"/>
    <col min="3712" max="3841" width="9.140625" style="585"/>
    <col min="3842" max="3842" width="28.7109375" style="585" customWidth="1"/>
    <col min="3843" max="3843" width="8.5703125" style="585" bestFit="1" customWidth="1"/>
    <col min="3844" max="3855" width="7.7109375" style="585" customWidth="1"/>
    <col min="3856" max="3857" width="6.5703125" style="585" customWidth="1"/>
    <col min="3858" max="3858" width="20.7109375" style="585" customWidth="1"/>
    <col min="3859" max="3865" width="12.7109375" style="585" customWidth="1"/>
    <col min="3866" max="3866" width="30.7109375" style="585" customWidth="1"/>
    <col min="3867" max="3868" width="10.7109375" style="585" customWidth="1"/>
    <col min="3869" max="3870" width="15.7109375" style="585" customWidth="1"/>
    <col min="3871" max="3872" width="12.7109375" style="585" customWidth="1"/>
    <col min="3873" max="3873" width="10.7109375" style="585" customWidth="1"/>
    <col min="3874" max="3874" width="30.7109375" style="585" customWidth="1"/>
    <col min="3875" max="3876" width="10.7109375" style="585" customWidth="1"/>
    <col min="3877" max="3877" width="15.7109375" style="585" customWidth="1"/>
    <col min="3878" max="3879" width="12.7109375" style="585" customWidth="1"/>
    <col min="3880" max="3881" width="10.7109375" style="585" customWidth="1"/>
    <col min="3882" max="3882" width="38.7109375" style="585" customWidth="1"/>
    <col min="3883" max="3889" width="12.7109375" style="585" customWidth="1"/>
    <col min="3890" max="3890" width="40.7109375" style="585" customWidth="1"/>
    <col min="3891" max="3897" width="12.7109375" style="585" customWidth="1"/>
    <col min="3898" max="3898" width="43.28515625" style="585" customWidth="1"/>
    <col min="3899" max="3903" width="11.7109375" style="585" customWidth="1"/>
    <col min="3904" max="3907" width="10.7109375" style="585" customWidth="1"/>
    <col min="3908" max="3909" width="9.5703125" style="585" customWidth="1"/>
    <col min="3910" max="3910" width="9.140625" style="585"/>
    <col min="3911" max="3911" width="31.7109375" style="585" customWidth="1"/>
    <col min="3912" max="3912" width="12.7109375" style="585" customWidth="1"/>
    <col min="3913" max="3913" width="13.28515625" style="585" customWidth="1"/>
    <col min="3914" max="3915" width="12.7109375" style="585" customWidth="1"/>
    <col min="3916" max="3917" width="13.28515625" style="585" customWidth="1"/>
    <col min="3918" max="3918" width="12.7109375" style="585" customWidth="1"/>
    <col min="3919" max="3920" width="9.140625" style="585"/>
    <col min="3921" max="3921" width="28.7109375" style="585" customWidth="1"/>
    <col min="3922" max="3922" width="10.7109375" style="585" customWidth="1"/>
    <col min="3923" max="3923" width="12.7109375" style="585" customWidth="1"/>
    <col min="3924" max="3925" width="10.7109375" style="585" customWidth="1"/>
    <col min="3926" max="3926" width="14.7109375" style="585" customWidth="1"/>
    <col min="3927" max="3930" width="9.140625" style="585"/>
    <col min="3931" max="3931" width="22.7109375" style="585" customWidth="1"/>
    <col min="3932" max="3932" width="10.7109375" style="585" customWidth="1"/>
    <col min="3933" max="3933" width="12.7109375" style="585" customWidth="1"/>
    <col min="3934" max="3935" width="10.7109375" style="585" customWidth="1"/>
    <col min="3936" max="3936" width="12.7109375" style="585" customWidth="1"/>
    <col min="3937" max="3938" width="10.7109375" style="585" customWidth="1"/>
    <col min="3939" max="3939" width="9.140625" style="585"/>
    <col min="3940" max="3940" width="20.7109375" style="585" customWidth="1"/>
    <col min="3941" max="3941" width="10.7109375" style="585" customWidth="1"/>
    <col min="3942" max="3942" width="12.7109375" style="585" customWidth="1"/>
    <col min="3943" max="3944" width="10.7109375" style="585" customWidth="1"/>
    <col min="3945" max="3945" width="14.7109375" style="585" customWidth="1"/>
    <col min="3946" max="3946" width="10.7109375" style="585" customWidth="1"/>
    <col min="3947" max="3949" width="9.140625" style="585"/>
    <col min="3950" max="3950" width="20.7109375" style="585" customWidth="1"/>
    <col min="3951" max="3951" width="10.7109375" style="585" customWidth="1"/>
    <col min="3952" max="3953" width="11.7109375" style="585" customWidth="1"/>
    <col min="3954" max="3954" width="10.7109375" style="585" customWidth="1"/>
    <col min="3955" max="3955" width="12.7109375" style="585" customWidth="1"/>
    <col min="3956" max="3957" width="10.7109375" style="585" customWidth="1"/>
    <col min="3958" max="3959" width="9.140625" style="585"/>
    <col min="3960" max="3960" width="25.42578125" style="585" customWidth="1"/>
    <col min="3961" max="3964" width="10.7109375" style="585" customWidth="1"/>
    <col min="3965" max="3965" width="12.7109375" style="585" customWidth="1"/>
    <col min="3966" max="3967" width="10.7109375" style="585" customWidth="1"/>
    <col min="3968" max="4097" width="9.140625" style="585"/>
    <col min="4098" max="4098" width="28.7109375" style="585" customWidth="1"/>
    <col min="4099" max="4099" width="8.5703125" style="585" bestFit="1" customWidth="1"/>
    <col min="4100" max="4111" width="7.7109375" style="585" customWidth="1"/>
    <col min="4112" max="4113" width="6.5703125" style="585" customWidth="1"/>
    <col min="4114" max="4114" width="20.7109375" style="585" customWidth="1"/>
    <col min="4115" max="4121" width="12.7109375" style="585" customWidth="1"/>
    <col min="4122" max="4122" width="30.7109375" style="585" customWidth="1"/>
    <col min="4123" max="4124" width="10.7109375" style="585" customWidth="1"/>
    <col min="4125" max="4126" width="15.7109375" style="585" customWidth="1"/>
    <col min="4127" max="4128" width="12.7109375" style="585" customWidth="1"/>
    <col min="4129" max="4129" width="10.7109375" style="585" customWidth="1"/>
    <col min="4130" max="4130" width="30.7109375" style="585" customWidth="1"/>
    <col min="4131" max="4132" width="10.7109375" style="585" customWidth="1"/>
    <col min="4133" max="4133" width="15.7109375" style="585" customWidth="1"/>
    <col min="4134" max="4135" width="12.7109375" style="585" customWidth="1"/>
    <col min="4136" max="4137" width="10.7109375" style="585" customWidth="1"/>
    <col min="4138" max="4138" width="38.7109375" style="585" customWidth="1"/>
    <col min="4139" max="4145" width="12.7109375" style="585" customWidth="1"/>
    <col min="4146" max="4146" width="40.7109375" style="585" customWidth="1"/>
    <col min="4147" max="4153" width="12.7109375" style="585" customWidth="1"/>
    <col min="4154" max="4154" width="43.28515625" style="585" customWidth="1"/>
    <col min="4155" max="4159" width="11.7109375" style="585" customWidth="1"/>
    <col min="4160" max="4163" width="10.7109375" style="585" customWidth="1"/>
    <col min="4164" max="4165" width="9.5703125" style="585" customWidth="1"/>
    <col min="4166" max="4166" width="9.140625" style="585"/>
    <col min="4167" max="4167" width="31.7109375" style="585" customWidth="1"/>
    <col min="4168" max="4168" width="12.7109375" style="585" customWidth="1"/>
    <col min="4169" max="4169" width="13.28515625" style="585" customWidth="1"/>
    <col min="4170" max="4171" width="12.7109375" style="585" customWidth="1"/>
    <col min="4172" max="4173" width="13.28515625" style="585" customWidth="1"/>
    <col min="4174" max="4174" width="12.7109375" style="585" customWidth="1"/>
    <col min="4175" max="4176" width="9.140625" style="585"/>
    <col min="4177" max="4177" width="28.7109375" style="585" customWidth="1"/>
    <col min="4178" max="4178" width="10.7109375" style="585" customWidth="1"/>
    <col min="4179" max="4179" width="12.7109375" style="585" customWidth="1"/>
    <col min="4180" max="4181" width="10.7109375" style="585" customWidth="1"/>
    <col min="4182" max="4182" width="14.7109375" style="585" customWidth="1"/>
    <col min="4183" max="4186" width="9.140625" style="585"/>
    <col min="4187" max="4187" width="22.7109375" style="585" customWidth="1"/>
    <col min="4188" max="4188" width="10.7109375" style="585" customWidth="1"/>
    <col min="4189" max="4189" width="12.7109375" style="585" customWidth="1"/>
    <col min="4190" max="4191" width="10.7109375" style="585" customWidth="1"/>
    <col min="4192" max="4192" width="12.7109375" style="585" customWidth="1"/>
    <col min="4193" max="4194" width="10.7109375" style="585" customWidth="1"/>
    <col min="4195" max="4195" width="9.140625" style="585"/>
    <col min="4196" max="4196" width="20.7109375" style="585" customWidth="1"/>
    <col min="4197" max="4197" width="10.7109375" style="585" customWidth="1"/>
    <col min="4198" max="4198" width="12.7109375" style="585" customWidth="1"/>
    <col min="4199" max="4200" width="10.7109375" style="585" customWidth="1"/>
    <col min="4201" max="4201" width="14.7109375" style="585" customWidth="1"/>
    <col min="4202" max="4202" width="10.7109375" style="585" customWidth="1"/>
    <col min="4203" max="4205" width="9.140625" style="585"/>
    <col min="4206" max="4206" width="20.7109375" style="585" customWidth="1"/>
    <col min="4207" max="4207" width="10.7109375" style="585" customWidth="1"/>
    <col min="4208" max="4209" width="11.7109375" style="585" customWidth="1"/>
    <col min="4210" max="4210" width="10.7109375" style="585" customWidth="1"/>
    <col min="4211" max="4211" width="12.7109375" style="585" customWidth="1"/>
    <col min="4212" max="4213" width="10.7109375" style="585" customWidth="1"/>
    <col min="4214" max="4215" width="9.140625" style="585"/>
    <col min="4216" max="4216" width="25.42578125" style="585" customWidth="1"/>
    <col min="4217" max="4220" width="10.7109375" style="585" customWidth="1"/>
    <col min="4221" max="4221" width="12.7109375" style="585" customWidth="1"/>
    <col min="4222" max="4223" width="10.7109375" style="585" customWidth="1"/>
    <col min="4224" max="4353" width="9.140625" style="585"/>
    <col min="4354" max="4354" width="28.7109375" style="585" customWidth="1"/>
    <col min="4355" max="4355" width="8.5703125" style="585" bestFit="1" customWidth="1"/>
    <col min="4356" max="4367" width="7.7109375" style="585" customWidth="1"/>
    <col min="4368" max="4369" width="6.5703125" style="585" customWidth="1"/>
    <col min="4370" max="4370" width="20.7109375" style="585" customWidth="1"/>
    <col min="4371" max="4377" width="12.7109375" style="585" customWidth="1"/>
    <col min="4378" max="4378" width="30.7109375" style="585" customWidth="1"/>
    <col min="4379" max="4380" width="10.7109375" style="585" customWidth="1"/>
    <col min="4381" max="4382" width="15.7109375" style="585" customWidth="1"/>
    <col min="4383" max="4384" width="12.7109375" style="585" customWidth="1"/>
    <col min="4385" max="4385" width="10.7109375" style="585" customWidth="1"/>
    <col min="4386" max="4386" width="30.7109375" style="585" customWidth="1"/>
    <col min="4387" max="4388" width="10.7109375" style="585" customWidth="1"/>
    <col min="4389" max="4389" width="15.7109375" style="585" customWidth="1"/>
    <col min="4390" max="4391" width="12.7109375" style="585" customWidth="1"/>
    <col min="4392" max="4393" width="10.7109375" style="585" customWidth="1"/>
    <col min="4394" max="4394" width="38.7109375" style="585" customWidth="1"/>
    <col min="4395" max="4401" width="12.7109375" style="585" customWidth="1"/>
    <col min="4402" max="4402" width="40.7109375" style="585" customWidth="1"/>
    <col min="4403" max="4409" width="12.7109375" style="585" customWidth="1"/>
    <col min="4410" max="4410" width="43.28515625" style="585" customWidth="1"/>
    <col min="4411" max="4415" width="11.7109375" style="585" customWidth="1"/>
    <col min="4416" max="4419" width="10.7109375" style="585" customWidth="1"/>
    <col min="4420" max="4421" width="9.5703125" style="585" customWidth="1"/>
    <col min="4422" max="4422" width="9.140625" style="585"/>
    <col min="4423" max="4423" width="31.7109375" style="585" customWidth="1"/>
    <col min="4424" max="4424" width="12.7109375" style="585" customWidth="1"/>
    <col min="4425" max="4425" width="13.28515625" style="585" customWidth="1"/>
    <col min="4426" max="4427" width="12.7109375" style="585" customWidth="1"/>
    <col min="4428" max="4429" width="13.28515625" style="585" customWidth="1"/>
    <col min="4430" max="4430" width="12.7109375" style="585" customWidth="1"/>
    <col min="4431" max="4432" width="9.140625" style="585"/>
    <col min="4433" max="4433" width="28.7109375" style="585" customWidth="1"/>
    <col min="4434" max="4434" width="10.7109375" style="585" customWidth="1"/>
    <col min="4435" max="4435" width="12.7109375" style="585" customWidth="1"/>
    <col min="4436" max="4437" width="10.7109375" style="585" customWidth="1"/>
    <col min="4438" max="4438" width="14.7109375" style="585" customWidth="1"/>
    <col min="4439" max="4442" width="9.140625" style="585"/>
    <col min="4443" max="4443" width="22.7109375" style="585" customWidth="1"/>
    <col min="4444" max="4444" width="10.7109375" style="585" customWidth="1"/>
    <col min="4445" max="4445" width="12.7109375" style="585" customWidth="1"/>
    <col min="4446" max="4447" width="10.7109375" style="585" customWidth="1"/>
    <col min="4448" max="4448" width="12.7109375" style="585" customWidth="1"/>
    <col min="4449" max="4450" width="10.7109375" style="585" customWidth="1"/>
    <col min="4451" max="4451" width="9.140625" style="585"/>
    <col min="4452" max="4452" width="20.7109375" style="585" customWidth="1"/>
    <col min="4453" max="4453" width="10.7109375" style="585" customWidth="1"/>
    <col min="4454" max="4454" width="12.7109375" style="585" customWidth="1"/>
    <col min="4455" max="4456" width="10.7109375" style="585" customWidth="1"/>
    <col min="4457" max="4457" width="14.7109375" style="585" customWidth="1"/>
    <col min="4458" max="4458" width="10.7109375" style="585" customWidth="1"/>
    <col min="4459" max="4461" width="9.140625" style="585"/>
    <col min="4462" max="4462" width="20.7109375" style="585" customWidth="1"/>
    <col min="4463" max="4463" width="10.7109375" style="585" customWidth="1"/>
    <col min="4464" max="4465" width="11.7109375" style="585" customWidth="1"/>
    <col min="4466" max="4466" width="10.7109375" style="585" customWidth="1"/>
    <col min="4467" max="4467" width="12.7109375" style="585" customWidth="1"/>
    <col min="4468" max="4469" width="10.7109375" style="585" customWidth="1"/>
    <col min="4470" max="4471" width="9.140625" style="585"/>
    <col min="4472" max="4472" width="25.42578125" style="585" customWidth="1"/>
    <col min="4473" max="4476" width="10.7109375" style="585" customWidth="1"/>
    <col min="4477" max="4477" width="12.7109375" style="585" customWidth="1"/>
    <col min="4478" max="4479" width="10.7109375" style="585" customWidth="1"/>
    <col min="4480" max="4609" width="9.140625" style="585"/>
    <col min="4610" max="4610" width="28.7109375" style="585" customWidth="1"/>
    <col min="4611" max="4611" width="8.5703125" style="585" bestFit="1" customWidth="1"/>
    <col min="4612" max="4623" width="7.7109375" style="585" customWidth="1"/>
    <col min="4624" max="4625" width="6.5703125" style="585" customWidth="1"/>
    <col min="4626" max="4626" width="20.7109375" style="585" customWidth="1"/>
    <col min="4627" max="4633" width="12.7109375" style="585" customWidth="1"/>
    <col min="4634" max="4634" width="30.7109375" style="585" customWidth="1"/>
    <col min="4635" max="4636" width="10.7109375" style="585" customWidth="1"/>
    <col min="4637" max="4638" width="15.7109375" style="585" customWidth="1"/>
    <col min="4639" max="4640" width="12.7109375" style="585" customWidth="1"/>
    <col min="4641" max="4641" width="10.7109375" style="585" customWidth="1"/>
    <col min="4642" max="4642" width="30.7109375" style="585" customWidth="1"/>
    <col min="4643" max="4644" width="10.7109375" style="585" customWidth="1"/>
    <col min="4645" max="4645" width="15.7109375" style="585" customWidth="1"/>
    <col min="4646" max="4647" width="12.7109375" style="585" customWidth="1"/>
    <col min="4648" max="4649" width="10.7109375" style="585" customWidth="1"/>
    <col min="4650" max="4650" width="38.7109375" style="585" customWidth="1"/>
    <col min="4651" max="4657" width="12.7109375" style="585" customWidth="1"/>
    <col min="4658" max="4658" width="40.7109375" style="585" customWidth="1"/>
    <col min="4659" max="4665" width="12.7109375" style="585" customWidth="1"/>
    <col min="4666" max="4666" width="43.28515625" style="585" customWidth="1"/>
    <col min="4667" max="4671" width="11.7109375" style="585" customWidth="1"/>
    <col min="4672" max="4675" width="10.7109375" style="585" customWidth="1"/>
    <col min="4676" max="4677" width="9.5703125" style="585" customWidth="1"/>
    <col min="4678" max="4678" width="9.140625" style="585"/>
    <col min="4679" max="4679" width="31.7109375" style="585" customWidth="1"/>
    <col min="4680" max="4680" width="12.7109375" style="585" customWidth="1"/>
    <col min="4681" max="4681" width="13.28515625" style="585" customWidth="1"/>
    <col min="4682" max="4683" width="12.7109375" style="585" customWidth="1"/>
    <col min="4684" max="4685" width="13.28515625" style="585" customWidth="1"/>
    <col min="4686" max="4686" width="12.7109375" style="585" customWidth="1"/>
    <col min="4687" max="4688" width="9.140625" style="585"/>
    <col min="4689" max="4689" width="28.7109375" style="585" customWidth="1"/>
    <col min="4690" max="4690" width="10.7109375" style="585" customWidth="1"/>
    <col min="4691" max="4691" width="12.7109375" style="585" customWidth="1"/>
    <col min="4692" max="4693" width="10.7109375" style="585" customWidth="1"/>
    <col min="4694" max="4694" width="14.7109375" style="585" customWidth="1"/>
    <col min="4695" max="4698" width="9.140625" style="585"/>
    <col min="4699" max="4699" width="22.7109375" style="585" customWidth="1"/>
    <col min="4700" max="4700" width="10.7109375" style="585" customWidth="1"/>
    <col min="4701" max="4701" width="12.7109375" style="585" customWidth="1"/>
    <col min="4702" max="4703" width="10.7109375" style="585" customWidth="1"/>
    <col min="4704" max="4704" width="12.7109375" style="585" customWidth="1"/>
    <col min="4705" max="4706" width="10.7109375" style="585" customWidth="1"/>
    <col min="4707" max="4707" width="9.140625" style="585"/>
    <col min="4708" max="4708" width="20.7109375" style="585" customWidth="1"/>
    <col min="4709" max="4709" width="10.7109375" style="585" customWidth="1"/>
    <col min="4710" max="4710" width="12.7109375" style="585" customWidth="1"/>
    <col min="4711" max="4712" width="10.7109375" style="585" customWidth="1"/>
    <col min="4713" max="4713" width="14.7109375" style="585" customWidth="1"/>
    <col min="4714" max="4714" width="10.7109375" style="585" customWidth="1"/>
    <col min="4715" max="4717" width="9.140625" style="585"/>
    <col min="4718" max="4718" width="20.7109375" style="585" customWidth="1"/>
    <col min="4719" max="4719" width="10.7109375" style="585" customWidth="1"/>
    <col min="4720" max="4721" width="11.7109375" style="585" customWidth="1"/>
    <col min="4722" max="4722" width="10.7109375" style="585" customWidth="1"/>
    <col min="4723" max="4723" width="12.7109375" style="585" customWidth="1"/>
    <col min="4724" max="4725" width="10.7109375" style="585" customWidth="1"/>
    <col min="4726" max="4727" width="9.140625" style="585"/>
    <col min="4728" max="4728" width="25.42578125" style="585" customWidth="1"/>
    <col min="4729" max="4732" width="10.7109375" style="585" customWidth="1"/>
    <col min="4733" max="4733" width="12.7109375" style="585" customWidth="1"/>
    <col min="4734" max="4735" width="10.7109375" style="585" customWidth="1"/>
    <col min="4736" max="4865" width="9.140625" style="585"/>
    <col min="4866" max="4866" width="28.7109375" style="585" customWidth="1"/>
    <col min="4867" max="4867" width="8.5703125" style="585" bestFit="1" customWidth="1"/>
    <col min="4868" max="4879" width="7.7109375" style="585" customWidth="1"/>
    <col min="4880" max="4881" width="6.5703125" style="585" customWidth="1"/>
    <col min="4882" max="4882" width="20.7109375" style="585" customWidth="1"/>
    <col min="4883" max="4889" width="12.7109375" style="585" customWidth="1"/>
    <col min="4890" max="4890" width="30.7109375" style="585" customWidth="1"/>
    <col min="4891" max="4892" width="10.7109375" style="585" customWidth="1"/>
    <col min="4893" max="4894" width="15.7109375" style="585" customWidth="1"/>
    <col min="4895" max="4896" width="12.7109375" style="585" customWidth="1"/>
    <col min="4897" max="4897" width="10.7109375" style="585" customWidth="1"/>
    <col min="4898" max="4898" width="30.7109375" style="585" customWidth="1"/>
    <col min="4899" max="4900" width="10.7109375" style="585" customWidth="1"/>
    <col min="4901" max="4901" width="15.7109375" style="585" customWidth="1"/>
    <col min="4902" max="4903" width="12.7109375" style="585" customWidth="1"/>
    <col min="4904" max="4905" width="10.7109375" style="585" customWidth="1"/>
    <col min="4906" max="4906" width="38.7109375" style="585" customWidth="1"/>
    <col min="4907" max="4913" width="12.7109375" style="585" customWidth="1"/>
    <col min="4914" max="4914" width="40.7109375" style="585" customWidth="1"/>
    <col min="4915" max="4921" width="12.7109375" style="585" customWidth="1"/>
    <col min="4922" max="4922" width="43.28515625" style="585" customWidth="1"/>
    <col min="4923" max="4927" width="11.7109375" style="585" customWidth="1"/>
    <col min="4928" max="4931" width="10.7109375" style="585" customWidth="1"/>
    <col min="4932" max="4933" width="9.5703125" style="585" customWidth="1"/>
    <col min="4934" max="4934" width="9.140625" style="585"/>
    <col min="4935" max="4935" width="31.7109375" style="585" customWidth="1"/>
    <col min="4936" max="4936" width="12.7109375" style="585" customWidth="1"/>
    <col min="4937" max="4937" width="13.28515625" style="585" customWidth="1"/>
    <col min="4938" max="4939" width="12.7109375" style="585" customWidth="1"/>
    <col min="4940" max="4941" width="13.28515625" style="585" customWidth="1"/>
    <col min="4942" max="4942" width="12.7109375" style="585" customWidth="1"/>
    <col min="4943" max="4944" width="9.140625" style="585"/>
    <col min="4945" max="4945" width="28.7109375" style="585" customWidth="1"/>
    <col min="4946" max="4946" width="10.7109375" style="585" customWidth="1"/>
    <col min="4947" max="4947" width="12.7109375" style="585" customWidth="1"/>
    <col min="4948" max="4949" width="10.7109375" style="585" customWidth="1"/>
    <col min="4950" max="4950" width="14.7109375" style="585" customWidth="1"/>
    <col min="4951" max="4954" width="9.140625" style="585"/>
    <col min="4955" max="4955" width="22.7109375" style="585" customWidth="1"/>
    <col min="4956" max="4956" width="10.7109375" style="585" customWidth="1"/>
    <col min="4957" max="4957" width="12.7109375" style="585" customWidth="1"/>
    <col min="4958" max="4959" width="10.7109375" style="585" customWidth="1"/>
    <col min="4960" max="4960" width="12.7109375" style="585" customWidth="1"/>
    <col min="4961" max="4962" width="10.7109375" style="585" customWidth="1"/>
    <col min="4963" max="4963" width="9.140625" style="585"/>
    <col min="4964" max="4964" width="20.7109375" style="585" customWidth="1"/>
    <col min="4965" max="4965" width="10.7109375" style="585" customWidth="1"/>
    <col min="4966" max="4966" width="12.7109375" style="585" customWidth="1"/>
    <col min="4967" max="4968" width="10.7109375" style="585" customWidth="1"/>
    <col min="4969" max="4969" width="14.7109375" style="585" customWidth="1"/>
    <col min="4970" max="4970" width="10.7109375" style="585" customWidth="1"/>
    <col min="4971" max="4973" width="9.140625" style="585"/>
    <col min="4974" max="4974" width="20.7109375" style="585" customWidth="1"/>
    <col min="4975" max="4975" width="10.7109375" style="585" customWidth="1"/>
    <col min="4976" max="4977" width="11.7109375" style="585" customWidth="1"/>
    <col min="4978" max="4978" width="10.7109375" style="585" customWidth="1"/>
    <col min="4979" max="4979" width="12.7109375" style="585" customWidth="1"/>
    <col min="4980" max="4981" width="10.7109375" style="585" customWidth="1"/>
    <col min="4982" max="4983" width="9.140625" style="585"/>
    <col min="4984" max="4984" width="25.42578125" style="585" customWidth="1"/>
    <col min="4985" max="4988" width="10.7109375" style="585" customWidth="1"/>
    <col min="4989" max="4989" width="12.7109375" style="585" customWidth="1"/>
    <col min="4990" max="4991" width="10.7109375" style="585" customWidth="1"/>
    <col min="4992" max="5121" width="9.140625" style="585"/>
    <col min="5122" max="5122" width="28.7109375" style="585" customWidth="1"/>
    <col min="5123" max="5123" width="8.5703125" style="585" bestFit="1" customWidth="1"/>
    <col min="5124" max="5135" width="7.7109375" style="585" customWidth="1"/>
    <col min="5136" max="5137" width="6.5703125" style="585" customWidth="1"/>
    <col min="5138" max="5138" width="20.7109375" style="585" customWidth="1"/>
    <col min="5139" max="5145" width="12.7109375" style="585" customWidth="1"/>
    <col min="5146" max="5146" width="30.7109375" style="585" customWidth="1"/>
    <col min="5147" max="5148" width="10.7109375" style="585" customWidth="1"/>
    <col min="5149" max="5150" width="15.7109375" style="585" customWidth="1"/>
    <col min="5151" max="5152" width="12.7109375" style="585" customWidth="1"/>
    <col min="5153" max="5153" width="10.7109375" style="585" customWidth="1"/>
    <col min="5154" max="5154" width="30.7109375" style="585" customWidth="1"/>
    <col min="5155" max="5156" width="10.7109375" style="585" customWidth="1"/>
    <col min="5157" max="5157" width="15.7109375" style="585" customWidth="1"/>
    <col min="5158" max="5159" width="12.7109375" style="585" customWidth="1"/>
    <col min="5160" max="5161" width="10.7109375" style="585" customWidth="1"/>
    <col min="5162" max="5162" width="38.7109375" style="585" customWidth="1"/>
    <col min="5163" max="5169" width="12.7109375" style="585" customWidth="1"/>
    <col min="5170" max="5170" width="40.7109375" style="585" customWidth="1"/>
    <col min="5171" max="5177" width="12.7109375" style="585" customWidth="1"/>
    <col min="5178" max="5178" width="43.28515625" style="585" customWidth="1"/>
    <col min="5179" max="5183" width="11.7109375" style="585" customWidth="1"/>
    <col min="5184" max="5187" width="10.7109375" style="585" customWidth="1"/>
    <col min="5188" max="5189" width="9.5703125" style="585" customWidth="1"/>
    <col min="5190" max="5190" width="9.140625" style="585"/>
    <col min="5191" max="5191" width="31.7109375" style="585" customWidth="1"/>
    <col min="5192" max="5192" width="12.7109375" style="585" customWidth="1"/>
    <col min="5193" max="5193" width="13.28515625" style="585" customWidth="1"/>
    <col min="5194" max="5195" width="12.7109375" style="585" customWidth="1"/>
    <col min="5196" max="5197" width="13.28515625" style="585" customWidth="1"/>
    <col min="5198" max="5198" width="12.7109375" style="585" customWidth="1"/>
    <col min="5199" max="5200" width="9.140625" style="585"/>
    <col min="5201" max="5201" width="28.7109375" style="585" customWidth="1"/>
    <col min="5202" max="5202" width="10.7109375" style="585" customWidth="1"/>
    <col min="5203" max="5203" width="12.7109375" style="585" customWidth="1"/>
    <col min="5204" max="5205" width="10.7109375" style="585" customWidth="1"/>
    <col min="5206" max="5206" width="14.7109375" style="585" customWidth="1"/>
    <col min="5207" max="5210" width="9.140625" style="585"/>
    <col min="5211" max="5211" width="22.7109375" style="585" customWidth="1"/>
    <col min="5212" max="5212" width="10.7109375" style="585" customWidth="1"/>
    <col min="5213" max="5213" width="12.7109375" style="585" customWidth="1"/>
    <col min="5214" max="5215" width="10.7109375" style="585" customWidth="1"/>
    <col min="5216" max="5216" width="12.7109375" style="585" customWidth="1"/>
    <col min="5217" max="5218" width="10.7109375" style="585" customWidth="1"/>
    <col min="5219" max="5219" width="9.140625" style="585"/>
    <col min="5220" max="5220" width="20.7109375" style="585" customWidth="1"/>
    <col min="5221" max="5221" width="10.7109375" style="585" customWidth="1"/>
    <col min="5222" max="5222" width="12.7109375" style="585" customWidth="1"/>
    <col min="5223" max="5224" width="10.7109375" style="585" customWidth="1"/>
    <col min="5225" max="5225" width="14.7109375" style="585" customWidth="1"/>
    <col min="5226" max="5226" width="10.7109375" style="585" customWidth="1"/>
    <col min="5227" max="5229" width="9.140625" style="585"/>
    <col min="5230" max="5230" width="20.7109375" style="585" customWidth="1"/>
    <col min="5231" max="5231" width="10.7109375" style="585" customWidth="1"/>
    <col min="5232" max="5233" width="11.7109375" style="585" customWidth="1"/>
    <col min="5234" max="5234" width="10.7109375" style="585" customWidth="1"/>
    <col min="5235" max="5235" width="12.7109375" style="585" customWidth="1"/>
    <col min="5236" max="5237" width="10.7109375" style="585" customWidth="1"/>
    <col min="5238" max="5239" width="9.140625" style="585"/>
    <col min="5240" max="5240" width="25.42578125" style="585" customWidth="1"/>
    <col min="5241" max="5244" width="10.7109375" style="585" customWidth="1"/>
    <col min="5245" max="5245" width="12.7109375" style="585" customWidth="1"/>
    <col min="5246" max="5247" width="10.7109375" style="585" customWidth="1"/>
    <col min="5248" max="5377" width="9.140625" style="585"/>
    <col min="5378" max="5378" width="28.7109375" style="585" customWidth="1"/>
    <col min="5379" max="5379" width="8.5703125" style="585" bestFit="1" customWidth="1"/>
    <col min="5380" max="5391" width="7.7109375" style="585" customWidth="1"/>
    <col min="5392" max="5393" width="6.5703125" style="585" customWidth="1"/>
    <col min="5394" max="5394" width="20.7109375" style="585" customWidth="1"/>
    <col min="5395" max="5401" width="12.7109375" style="585" customWidth="1"/>
    <col min="5402" max="5402" width="30.7109375" style="585" customWidth="1"/>
    <col min="5403" max="5404" width="10.7109375" style="585" customWidth="1"/>
    <col min="5405" max="5406" width="15.7109375" style="585" customWidth="1"/>
    <col min="5407" max="5408" width="12.7109375" style="585" customWidth="1"/>
    <col min="5409" max="5409" width="10.7109375" style="585" customWidth="1"/>
    <col min="5410" max="5410" width="30.7109375" style="585" customWidth="1"/>
    <col min="5411" max="5412" width="10.7109375" style="585" customWidth="1"/>
    <col min="5413" max="5413" width="15.7109375" style="585" customWidth="1"/>
    <col min="5414" max="5415" width="12.7109375" style="585" customWidth="1"/>
    <col min="5416" max="5417" width="10.7109375" style="585" customWidth="1"/>
    <col min="5418" max="5418" width="38.7109375" style="585" customWidth="1"/>
    <col min="5419" max="5425" width="12.7109375" style="585" customWidth="1"/>
    <col min="5426" max="5426" width="40.7109375" style="585" customWidth="1"/>
    <col min="5427" max="5433" width="12.7109375" style="585" customWidth="1"/>
    <col min="5434" max="5434" width="43.28515625" style="585" customWidth="1"/>
    <col min="5435" max="5439" width="11.7109375" style="585" customWidth="1"/>
    <col min="5440" max="5443" width="10.7109375" style="585" customWidth="1"/>
    <col min="5444" max="5445" width="9.5703125" style="585" customWidth="1"/>
    <col min="5446" max="5446" width="9.140625" style="585"/>
    <col min="5447" max="5447" width="31.7109375" style="585" customWidth="1"/>
    <col min="5448" max="5448" width="12.7109375" style="585" customWidth="1"/>
    <col min="5449" max="5449" width="13.28515625" style="585" customWidth="1"/>
    <col min="5450" max="5451" width="12.7109375" style="585" customWidth="1"/>
    <col min="5452" max="5453" width="13.28515625" style="585" customWidth="1"/>
    <col min="5454" max="5454" width="12.7109375" style="585" customWidth="1"/>
    <col min="5455" max="5456" width="9.140625" style="585"/>
    <col min="5457" max="5457" width="28.7109375" style="585" customWidth="1"/>
    <col min="5458" max="5458" width="10.7109375" style="585" customWidth="1"/>
    <col min="5459" max="5459" width="12.7109375" style="585" customWidth="1"/>
    <col min="5460" max="5461" width="10.7109375" style="585" customWidth="1"/>
    <col min="5462" max="5462" width="14.7109375" style="585" customWidth="1"/>
    <col min="5463" max="5466" width="9.140625" style="585"/>
    <col min="5467" max="5467" width="22.7109375" style="585" customWidth="1"/>
    <col min="5468" max="5468" width="10.7109375" style="585" customWidth="1"/>
    <col min="5469" max="5469" width="12.7109375" style="585" customWidth="1"/>
    <col min="5470" max="5471" width="10.7109375" style="585" customWidth="1"/>
    <col min="5472" max="5472" width="12.7109375" style="585" customWidth="1"/>
    <col min="5473" max="5474" width="10.7109375" style="585" customWidth="1"/>
    <col min="5475" max="5475" width="9.140625" style="585"/>
    <col min="5476" max="5476" width="20.7109375" style="585" customWidth="1"/>
    <col min="5477" max="5477" width="10.7109375" style="585" customWidth="1"/>
    <col min="5478" max="5478" width="12.7109375" style="585" customWidth="1"/>
    <col min="5479" max="5480" width="10.7109375" style="585" customWidth="1"/>
    <col min="5481" max="5481" width="14.7109375" style="585" customWidth="1"/>
    <col min="5482" max="5482" width="10.7109375" style="585" customWidth="1"/>
    <col min="5483" max="5485" width="9.140625" style="585"/>
    <col min="5486" max="5486" width="20.7109375" style="585" customWidth="1"/>
    <col min="5487" max="5487" width="10.7109375" style="585" customWidth="1"/>
    <col min="5488" max="5489" width="11.7109375" style="585" customWidth="1"/>
    <col min="5490" max="5490" width="10.7109375" style="585" customWidth="1"/>
    <col min="5491" max="5491" width="12.7109375" style="585" customWidth="1"/>
    <col min="5492" max="5493" width="10.7109375" style="585" customWidth="1"/>
    <col min="5494" max="5495" width="9.140625" style="585"/>
    <col min="5496" max="5496" width="25.42578125" style="585" customWidth="1"/>
    <col min="5497" max="5500" width="10.7109375" style="585" customWidth="1"/>
    <col min="5501" max="5501" width="12.7109375" style="585" customWidth="1"/>
    <col min="5502" max="5503" width="10.7109375" style="585" customWidth="1"/>
    <col min="5504" max="5633" width="9.140625" style="585"/>
    <col min="5634" max="5634" width="28.7109375" style="585" customWidth="1"/>
    <col min="5635" max="5635" width="8.5703125" style="585" bestFit="1" customWidth="1"/>
    <col min="5636" max="5647" width="7.7109375" style="585" customWidth="1"/>
    <col min="5648" max="5649" width="6.5703125" style="585" customWidth="1"/>
    <col min="5650" max="5650" width="20.7109375" style="585" customWidth="1"/>
    <col min="5651" max="5657" width="12.7109375" style="585" customWidth="1"/>
    <col min="5658" max="5658" width="30.7109375" style="585" customWidth="1"/>
    <col min="5659" max="5660" width="10.7109375" style="585" customWidth="1"/>
    <col min="5661" max="5662" width="15.7109375" style="585" customWidth="1"/>
    <col min="5663" max="5664" width="12.7109375" style="585" customWidth="1"/>
    <col min="5665" max="5665" width="10.7109375" style="585" customWidth="1"/>
    <col min="5666" max="5666" width="30.7109375" style="585" customWidth="1"/>
    <col min="5667" max="5668" width="10.7109375" style="585" customWidth="1"/>
    <col min="5669" max="5669" width="15.7109375" style="585" customWidth="1"/>
    <col min="5670" max="5671" width="12.7109375" style="585" customWidth="1"/>
    <col min="5672" max="5673" width="10.7109375" style="585" customWidth="1"/>
    <col min="5674" max="5674" width="38.7109375" style="585" customWidth="1"/>
    <col min="5675" max="5681" width="12.7109375" style="585" customWidth="1"/>
    <col min="5682" max="5682" width="40.7109375" style="585" customWidth="1"/>
    <col min="5683" max="5689" width="12.7109375" style="585" customWidth="1"/>
    <col min="5690" max="5690" width="43.28515625" style="585" customWidth="1"/>
    <col min="5691" max="5695" width="11.7109375" style="585" customWidth="1"/>
    <col min="5696" max="5699" width="10.7109375" style="585" customWidth="1"/>
    <col min="5700" max="5701" width="9.5703125" style="585" customWidth="1"/>
    <col min="5702" max="5702" width="9.140625" style="585"/>
    <col min="5703" max="5703" width="31.7109375" style="585" customWidth="1"/>
    <col min="5704" max="5704" width="12.7109375" style="585" customWidth="1"/>
    <col min="5705" max="5705" width="13.28515625" style="585" customWidth="1"/>
    <col min="5706" max="5707" width="12.7109375" style="585" customWidth="1"/>
    <col min="5708" max="5709" width="13.28515625" style="585" customWidth="1"/>
    <col min="5710" max="5710" width="12.7109375" style="585" customWidth="1"/>
    <col min="5711" max="5712" width="9.140625" style="585"/>
    <col min="5713" max="5713" width="28.7109375" style="585" customWidth="1"/>
    <col min="5714" max="5714" width="10.7109375" style="585" customWidth="1"/>
    <col min="5715" max="5715" width="12.7109375" style="585" customWidth="1"/>
    <col min="5716" max="5717" width="10.7109375" style="585" customWidth="1"/>
    <col min="5718" max="5718" width="14.7109375" style="585" customWidth="1"/>
    <col min="5719" max="5722" width="9.140625" style="585"/>
    <col min="5723" max="5723" width="22.7109375" style="585" customWidth="1"/>
    <col min="5724" max="5724" width="10.7109375" style="585" customWidth="1"/>
    <col min="5725" max="5725" width="12.7109375" style="585" customWidth="1"/>
    <col min="5726" max="5727" width="10.7109375" style="585" customWidth="1"/>
    <col min="5728" max="5728" width="12.7109375" style="585" customWidth="1"/>
    <col min="5729" max="5730" width="10.7109375" style="585" customWidth="1"/>
    <col min="5731" max="5731" width="9.140625" style="585"/>
    <col min="5732" max="5732" width="20.7109375" style="585" customWidth="1"/>
    <col min="5733" max="5733" width="10.7109375" style="585" customWidth="1"/>
    <col min="5734" max="5734" width="12.7109375" style="585" customWidth="1"/>
    <col min="5735" max="5736" width="10.7109375" style="585" customWidth="1"/>
    <col min="5737" max="5737" width="14.7109375" style="585" customWidth="1"/>
    <col min="5738" max="5738" width="10.7109375" style="585" customWidth="1"/>
    <col min="5739" max="5741" width="9.140625" style="585"/>
    <col min="5742" max="5742" width="20.7109375" style="585" customWidth="1"/>
    <col min="5743" max="5743" width="10.7109375" style="585" customWidth="1"/>
    <col min="5744" max="5745" width="11.7109375" style="585" customWidth="1"/>
    <col min="5746" max="5746" width="10.7109375" style="585" customWidth="1"/>
    <col min="5747" max="5747" width="12.7109375" style="585" customWidth="1"/>
    <col min="5748" max="5749" width="10.7109375" style="585" customWidth="1"/>
    <col min="5750" max="5751" width="9.140625" style="585"/>
    <col min="5752" max="5752" width="25.42578125" style="585" customWidth="1"/>
    <col min="5753" max="5756" width="10.7109375" style="585" customWidth="1"/>
    <col min="5757" max="5757" width="12.7109375" style="585" customWidth="1"/>
    <col min="5758" max="5759" width="10.7109375" style="585" customWidth="1"/>
    <col min="5760" max="5889" width="9.140625" style="585"/>
    <col min="5890" max="5890" width="28.7109375" style="585" customWidth="1"/>
    <col min="5891" max="5891" width="8.5703125" style="585" bestFit="1" customWidth="1"/>
    <col min="5892" max="5903" width="7.7109375" style="585" customWidth="1"/>
    <col min="5904" max="5905" width="6.5703125" style="585" customWidth="1"/>
    <col min="5906" max="5906" width="20.7109375" style="585" customWidth="1"/>
    <col min="5907" max="5913" width="12.7109375" style="585" customWidth="1"/>
    <col min="5914" max="5914" width="30.7109375" style="585" customWidth="1"/>
    <col min="5915" max="5916" width="10.7109375" style="585" customWidth="1"/>
    <col min="5917" max="5918" width="15.7109375" style="585" customWidth="1"/>
    <col min="5919" max="5920" width="12.7109375" style="585" customWidth="1"/>
    <col min="5921" max="5921" width="10.7109375" style="585" customWidth="1"/>
    <col min="5922" max="5922" width="30.7109375" style="585" customWidth="1"/>
    <col min="5923" max="5924" width="10.7109375" style="585" customWidth="1"/>
    <col min="5925" max="5925" width="15.7109375" style="585" customWidth="1"/>
    <col min="5926" max="5927" width="12.7109375" style="585" customWidth="1"/>
    <col min="5928" max="5929" width="10.7109375" style="585" customWidth="1"/>
    <col min="5930" max="5930" width="38.7109375" style="585" customWidth="1"/>
    <col min="5931" max="5937" width="12.7109375" style="585" customWidth="1"/>
    <col min="5938" max="5938" width="40.7109375" style="585" customWidth="1"/>
    <col min="5939" max="5945" width="12.7109375" style="585" customWidth="1"/>
    <col min="5946" max="5946" width="43.28515625" style="585" customWidth="1"/>
    <col min="5947" max="5951" width="11.7109375" style="585" customWidth="1"/>
    <col min="5952" max="5955" width="10.7109375" style="585" customWidth="1"/>
    <col min="5956" max="5957" width="9.5703125" style="585" customWidth="1"/>
    <col min="5958" max="5958" width="9.140625" style="585"/>
    <col min="5959" max="5959" width="31.7109375" style="585" customWidth="1"/>
    <col min="5960" max="5960" width="12.7109375" style="585" customWidth="1"/>
    <col min="5961" max="5961" width="13.28515625" style="585" customWidth="1"/>
    <col min="5962" max="5963" width="12.7109375" style="585" customWidth="1"/>
    <col min="5964" max="5965" width="13.28515625" style="585" customWidth="1"/>
    <col min="5966" max="5966" width="12.7109375" style="585" customWidth="1"/>
    <col min="5967" max="5968" width="9.140625" style="585"/>
    <col min="5969" max="5969" width="28.7109375" style="585" customWidth="1"/>
    <col min="5970" max="5970" width="10.7109375" style="585" customWidth="1"/>
    <col min="5971" max="5971" width="12.7109375" style="585" customWidth="1"/>
    <col min="5972" max="5973" width="10.7109375" style="585" customWidth="1"/>
    <col min="5974" max="5974" width="14.7109375" style="585" customWidth="1"/>
    <col min="5975" max="5978" width="9.140625" style="585"/>
    <col min="5979" max="5979" width="22.7109375" style="585" customWidth="1"/>
    <col min="5980" max="5980" width="10.7109375" style="585" customWidth="1"/>
    <col min="5981" max="5981" width="12.7109375" style="585" customWidth="1"/>
    <col min="5982" max="5983" width="10.7109375" style="585" customWidth="1"/>
    <col min="5984" max="5984" width="12.7109375" style="585" customWidth="1"/>
    <col min="5985" max="5986" width="10.7109375" style="585" customWidth="1"/>
    <col min="5987" max="5987" width="9.140625" style="585"/>
    <col min="5988" max="5988" width="20.7109375" style="585" customWidth="1"/>
    <col min="5989" max="5989" width="10.7109375" style="585" customWidth="1"/>
    <col min="5990" max="5990" width="12.7109375" style="585" customWidth="1"/>
    <col min="5991" max="5992" width="10.7109375" style="585" customWidth="1"/>
    <col min="5993" max="5993" width="14.7109375" style="585" customWidth="1"/>
    <col min="5994" max="5994" width="10.7109375" style="585" customWidth="1"/>
    <col min="5995" max="5997" width="9.140625" style="585"/>
    <col min="5998" max="5998" width="20.7109375" style="585" customWidth="1"/>
    <col min="5999" max="5999" width="10.7109375" style="585" customWidth="1"/>
    <col min="6000" max="6001" width="11.7109375" style="585" customWidth="1"/>
    <col min="6002" max="6002" width="10.7109375" style="585" customWidth="1"/>
    <col min="6003" max="6003" width="12.7109375" style="585" customWidth="1"/>
    <col min="6004" max="6005" width="10.7109375" style="585" customWidth="1"/>
    <col min="6006" max="6007" width="9.140625" style="585"/>
    <col min="6008" max="6008" width="25.42578125" style="585" customWidth="1"/>
    <col min="6009" max="6012" width="10.7109375" style="585" customWidth="1"/>
    <col min="6013" max="6013" width="12.7109375" style="585" customWidth="1"/>
    <col min="6014" max="6015" width="10.7109375" style="585" customWidth="1"/>
    <col min="6016" max="6145" width="9.140625" style="585"/>
    <col min="6146" max="6146" width="28.7109375" style="585" customWidth="1"/>
    <col min="6147" max="6147" width="8.5703125" style="585" bestFit="1" customWidth="1"/>
    <col min="6148" max="6159" width="7.7109375" style="585" customWidth="1"/>
    <col min="6160" max="6161" width="6.5703125" style="585" customWidth="1"/>
    <col min="6162" max="6162" width="20.7109375" style="585" customWidth="1"/>
    <col min="6163" max="6169" width="12.7109375" style="585" customWidth="1"/>
    <col min="6170" max="6170" width="30.7109375" style="585" customWidth="1"/>
    <col min="6171" max="6172" width="10.7109375" style="585" customWidth="1"/>
    <col min="6173" max="6174" width="15.7109375" style="585" customWidth="1"/>
    <col min="6175" max="6176" width="12.7109375" style="585" customWidth="1"/>
    <col min="6177" max="6177" width="10.7109375" style="585" customWidth="1"/>
    <col min="6178" max="6178" width="30.7109375" style="585" customWidth="1"/>
    <col min="6179" max="6180" width="10.7109375" style="585" customWidth="1"/>
    <col min="6181" max="6181" width="15.7109375" style="585" customWidth="1"/>
    <col min="6182" max="6183" width="12.7109375" style="585" customWidth="1"/>
    <col min="6184" max="6185" width="10.7109375" style="585" customWidth="1"/>
    <col min="6186" max="6186" width="38.7109375" style="585" customWidth="1"/>
    <col min="6187" max="6193" width="12.7109375" style="585" customWidth="1"/>
    <col min="6194" max="6194" width="40.7109375" style="585" customWidth="1"/>
    <col min="6195" max="6201" width="12.7109375" style="585" customWidth="1"/>
    <col min="6202" max="6202" width="43.28515625" style="585" customWidth="1"/>
    <col min="6203" max="6207" width="11.7109375" style="585" customWidth="1"/>
    <col min="6208" max="6211" width="10.7109375" style="585" customWidth="1"/>
    <col min="6212" max="6213" width="9.5703125" style="585" customWidth="1"/>
    <col min="6214" max="6214" width="9.140625" style="585"/>
    <col min="6215" max="6215" width="31.7109375" style="585" customWidth="1"/>
    <col min="6216" max="6216" width="12.7109375" style="585" customWidth="1"/>
    <col min="6217" max="6217" width="13.28515625" style="585" customWidth="1"/>
    <col min="6218" max="6219" width="12.7109375" style="585" customWidth="1"/>
    <col min="6220" max="6221" width="13.28515625" style="585" customWidth="1"/>
    <col min="6222" max="6222" width="12.7109375" style="585" customWidth="1"/>
    <col min="6223" max="6224" width="9.140625" style="585"/>
    <col min="6225" max="6225" width="28.7109375" style="585" customWidth="1"/>
    <col min="6226" max="6226" width="10.7109375" style="585" customWidth="1"/>
    <col min="6227" max="6227" width="12.7109375" style="585" customWidth="1"/>
    <col min="6228" max="6229" width="10.7109375" style="585" customWidth="1"/>
    <col min="6230" max="6230" width="14.7109375" style="585" customWidth="1"/>
    <col min="6231" max="6234" width="9.140625" style="585"/>
    <col min="6235" max="6235" width="22.7109375" style="585" customWidth="1"/>
    <col min="6236" max="6236" width="10.7109375" style="585" customWidth="1"/>
    <col min="6237" max="6237" width="12.7109375" style="585" customWidth="1"/>
    <col min="6238" max="6239" width="10.7109375" style="585" customWidth="1"/>
    <col min="6240" max="6240" width="12.7109375" style="585" customWidth="1"/>
    <col min="6241" max="6242" width="10.7109375" style="585" customWidth="1"/>
    <col min="6243" max="6243" width="9.140625" style="585"/>
    <col min="6244" max="6244" width="20.7109375" style="585" customWidth="1"/>
    <col min="6245" max="6245" width="10.7109375" style="585" customWidth="1"/>
    <col min="6246" max="6246" width="12.7109375" style="585" customWidth="1"/>
    <col min="6247" max="6248" width="10.7109375" style="585" customWidth="1"/>
    <col min="6249" max="6249" width="14.7109375" style="585" customWidth="1"/>
    <col min="6250" max="6250" width="10.7109375" style="585" customWidth="1"/>
    <col min="6251" max="6253" width="9.140625" style="585"/>
    <col min="6254" max="6254" width="20.7109375" style="585" customWidth="1"/>
    <col min="6255" max="6255" width="10.7109375" style="585" customWidth="1"/>
    <col min="6256" max="6257" width="11.7109375" style="585" customWidth="1"/>
    <col min="6258" max="6258" width="10.7109375" style="585" customWidth="1"/>
    <col min="6259" max="6259" width="12.7109375" style="585" customWidth="1"/>
    <col min="6260" max="6261" width="10.7109375" style="585" customWidth="1"/>
    <col min="6262" max="6263" width="9.140625" style="585"/>
    <col min="6264" max="6264" width="25.42578125" style="585" customWidth="1"/>
    <col min="6265" max="6268" width="10.7109375" style="585" customWidth="1"/>
    <col min="6269" max="6269" width="12.7109375" style="585" customWidth="1"/>
    <col min="6270" max="6271" width="10.7109375" style="585" customWidth="1"/>
    <col min="6272" max="6401" width="9.140625" style="585"/>
    <col min="6402" max="6402" width="28.7109375" style="585" customWidth="1"/>
    <col min="6403" max="6403" width="8.5703125" style="585" bestFit="1" customWidth="1"/>
    <col min="6404" max="6415" width="7.7109375" style="585" customWidth="1"/>
    <col min="6416" max="6417" width="6.5703125" style="585" customWidth="1"/>
    <col min="6418" max="6418" width="20.7109375" style="585" customWidth="1"/>
    <col min="6419" max="6425" width="12.7109375" style="585" customWidth="1"/>
    <col min="6426" max="6426" width="30.7109375" style="585" customWidth="1"/>
    <col min="6427" max="6428" width="10.7109375" style="585" customWidth="1"/>
    <col min="6429" max="6430" width="15.7109375" style="585" customWidth="1"/>
    <col min="6431" max="6432" width="12.7109375" style="585" customWidth="1"/>
    <col min="6433" max="6433" width="10.7109375" style="585" customWidth="1"/>
    <col min="6434" max="6434" width="30.7109375" style="585" customWidth="1"/>
    <col min="6435" max="6436" width="10.7109375" style="585" customWidth="1"/>
    <col min="6437" max="6437" width="15.7109375" style="585" customWidth="1"/>
    <col min="6438" max="6439" width="12.7109375" style="585" customWidth="1"/>
    <col min="6440" max="6441" width="10.7109375" style="585" customWidth="1"/>
    <col min="6442" max="6442" width="38.7109375" style="585" customWidth="1"/>
    <col min="6443" max="6449" width="12.7109375" style="585" customWidth="1"/>
    <col min="6450" max="6450" width="40.7109375" style="585" customWidth="1"/>
    <col min="6451" max="6457" width="12.7109375" style="585" customWidth="1"/>
    <col min="6458" max="6458" width="43.28515625" style="585" customWidth="1"/>
    <col min="6459" max="6463" width="11.7109375" style="585" customWidth="1"/>
    <col min="6464" max="6467" width="10.7109375" style="585" customWidth="1"/>
    <col min="6468" max="6469" width="9.5703125" style="585" customWidth="1"/>
    <col min="6470" max="6470" width="9.140625" style="585"/>
    <col min="6471" max="6471" width="31.7109375" style="585" customWidth="1"/>
    <col min="6472" max="6472" width="12.7109375" style="585" customWidth="1"/>
    <col min="6473" max="6473" width="13.28515625" style="585" customWidth="1"/>
    <col min="6474" max="6475" width="12.7109375" style="585" customWidth="1"/>
    <col min="6476" max="6477" width="13.28515625" style="585" customWidth="1"/>
    <col min="6478" max="6478" width="12.7109375" style="585" customWidth="1"/>
    <col min="6479" max="6480" width="9.140625" style="585"/>
    <col min="6481" max="6481" width="28.7109375" style="585" customWidth="1"/>
    <col min="6482" max="6482" width="10.7109375" style="585" customWidth="1"/>
    <col min="6483" max="6483" width="12.7109375" style="585" customWidth="1"/>
    <col min="6484" max="6485" width="10.7109375" style="585" customWidth="1"/>
    <col min="6486" max="6486" width="14.7109375" style="585" customWidth="1"/>
    <col min="6487" max="6490" width="9.140625" style="585"/>
    <col min="6491" max="6491" width="22.7109375" style="585" customWidth="1"/>
    <col min="6492" max="6492" width="10.7109375" style="585" customWidth="1"/>
    <col min="6493" max="6493" width="12.7109375" style="585" customWidth="1"/>
    <col min="6494" max="6495" width="10.7109375" style="585" customWidth="1"/>
    <col min="6496" max="6496" width="12.7109375" style="585" customWidth="1"/>
    <col min="6497" max="6498" width="10.7109375" style="585" customWidth="1"/>
    <col min="6499" max="6499" width="9.140625" style="585"/>
    <col min="6500" max="6500" width="20.7109375" style="585" customWidth="1"/>
    <col min="6501" max="6501" width="10.7109375" style="585" customWidth="1"/>
    <col min="6502" max="6502" width="12.7109375" style="585" customWidth="1"/>
    <col min="6503" max="6504" width="10.7109375" style="585" customWidth="1"/>
    <col min="6505" max="6505" width="14.7109375" style="585" customWidth="1"/>
    <col min="6506" max="6506" width="10.7109375" style="585" customWidth="1"/>
    <col min="6507" max="6509" width="9.140625" style="585"/>
    <col min="6510" max="6510" width="20.7109375" style="585" customWidth="1"/>
    <col min="6511" max="6511" width="10.7109375" style="585" customWidth="1"/>
    <col min="6512" max="6513" width="11.7109375" style="585" customWidth="1"/>
    <col min="6514" max="6514" width="10.7109375" style="585" customWidth="1"/>
    <col min="6515" max="6515" width="12.7109375" style="585" customWidth="1"/>
    <col min="6516" max="6517" width="10.7109375" style="585" customWidth="1"/>
    <col min="6518" max="6519" width="9.140625" style="585"/>
    <col min="6520" max="6520" width="25.42578125" style="585" customWidth="1"/>
    <col min="6521" max="6524" width="10.7109375" style="585" customWidth="1"/>
    <col min="6525" max="6525" width="12.7109375" style="585" customWidth="1"/>
    <col min="6526" max="6527" width="10.7109375" style="585" customWidth="1"/>
    <col min="6528" max="6657" width="9.140625" style="585"/>
    <col min="6658" max="6658" width="28.7109375" style="585" customWidth="1"/>
    <col min="6659" max="6659" width="8.5703125" style="585" bestFit="1" customWidth="1"/>
    <col min="6660" max="6671" width="7.7109375" style="585" customWidth="1"/>
    <col min="6672" max="6673" width="6.5703125" style="585" customWidth="1"/>
    <col min="6674" max="6674" width="20.7109375" style="585" customWidth="1"/>
    <col min="6675" max="6681" width="12.7109375" style="585" customWidth="1"/>
    <col min="6682" max="6682" width="30.7109375" style="585" customWidth="1"/>
    <col min="6683" max="6684" width="10.7109375" style="585" customWidth="1"/>
    <col min="6685" max="6686" width="15.7109375" style="585" customWidth="1"/>
    <col min="6687" max="6688" width="12.7109375" style="585" customWidth="1"/>
    <col min="6689" max="6689" width="10.7109375" style="585" customWidth="1"/>
    <col min="6690" max="6690" width="30.7109375" style="585" customWidth="1"/>
    <col min="6691" max="6692" width="10.7109375" style="585" customWidth="1"/>
    <col min="6693" max="6693" width="15.7109375" style="585" customWidth="1"/>
    <col min="6694" max="6695" width="12.7109375" style="585" customWidth="1"/>
    <col min="6696" max="6697" width="10.7109375" style="585" customWidth="1"/>
    <col min="6698" max="6698" width="38.7109375" style="585" customWidth="1"/>
    <col min="6699" max="6705" width="12.7109375" style="585" customWidth="1"/>
    <col min="6706" max="6706" width="40.7109375" style="585" customWidth="1"/>
    <col min="6707" max="6713" width="12.7109375" style="585" customWidth="1"/>
    <col min="6714" max="6714" width="43.28515625" style="585" customWidth="1"/>
    <col min="6715" max="6719" width="11.7109375" style="585" customWidth="1"/>
    <col min="6720" max="6723" width="10.7109375" style="585" customWidth="1"/>
    <col min="6724" max="6725" width="9.5703125" style="585" customWidth="1"/>
    <col min="6726" max="6726" width="9.140625" style="585"/>
    <col min="6727" max="6727" width="31.7109375" style="585" customWidth="1"/>
    <col min="6728" max="6728" width="12.7109375" style="585" customWidth="1"/>
    <col min="6729" max="6729" width="13.28515625" style="585" customWidth="1"/>
    <col min="6730" max="6731" width="12.7109375" style="585" customWidth="1"/>
    <col min="6732" max="6733" width="13.28515625" style="585" customWidth="1"/>
    <col min="6734" max="6734" width="12.7109375" style="585" customWidth="1"/>
    <col min="6735" max="6736" width="9.140625" style="585"/>
    <col min="6737" max="6737" width="28.7109375" style="585" customWidth="1"/>
    <col min="6738" max="6738" width="10.7109375" style="585" customWidth="1"/>
    <col min="6739" max="6739" width="12.7109375" style="585" customWidth="1"/>
    <col min="6740" max="6741" width="10.7109375" style="585" customWidth="1"/>
    <col min="6742" max="6742" width="14.7109375" style="585" customWidth="1"/>
    <col min="6743" max="6746" width="9.140625" style="585"/>
    <col min="6747" max="6747" width="22.7109375" style="585" customWidth="1"/>
    <col min="6748" max="6748" width="10.7109375" style="585" customWidth="1"/>
    <col min="6749" max="6749" width="12.7109375" style="585" customWidth="1"/>
    <col min="6750" max="6751" width="10.7109375" style="585" customWidth="1"/>
    <col min="6752" max="6752" width="12.7109375" style="585" customWidth="1"/>
    <col min="6753" max="6754" width="10.7109375" style="585" customWidth="1"/>
    <col min="6755" max="6755" width="9.140625" style="585"/>
    <col min="6756" max="6756" width="20.7109375" style="585" customWidth="1"/>
    <col min="6757" max="6757" width="10.7109375" style="585" customWidth="1"/>
    <col min="6758" max="6758" width="12.7109375" style="585" customWidth="1"/>
    <col min="6759" max="6760" width="10.7109375" style="585" customWidth="1"/>
    <col min="6761" max="6761" width="14.7109375" style="585" customWidth="1"/>
    <col min="6762" max="6762" width="10.7109375" style="585" customWidth="1"/>
    <col min="6763" max="6765" width="9.140625" style="585"/>
    <col min="6766" max="6766" width="20.7109375" style="585" customWidth="1"/>
    <col min="6767" max="6767" width="10.7109375" style="585" customWidth="1"/>
    <col min="6768" max="6769" width="11.7109375" style="585" customWidth="1"/>
    <col min="6770" max="6770" width="10.7109375" style="585" customWidth="1"/>
    <col min="6771" max="6771" width="12.7109375" style="585" customWidth="1"/>
    <col min="6772" max="6773" width="10.7109375" style="585" customWidth="1"/>
    <col min="6774" max="6775" width="9.140625" style="585"/>
    <col min="6776" max="6776" width="25.42578125" style="585" customWidth="1"/>
    <col min="6777" max="6780" width="10.7109375" style="585" customWidth="1"/>
    <col min="6781" max="6781" width="12.7109375" style="585" customWidth="1"/>
    <col min="6782" max="6783" width="10.7109375" style="585" customWidth="1"/>
    <col min="6784" max="6913" width="9.140625" style="585"/>
    <col min="6914" max="6914" width="28.7109375" style="585" customWidth="1"/>
    <col min="6915" max="6915" width="8.5703125" style="585" bestFit="1" customWidth="1"/>
    <col min="6916" max="6927" width="7.7109375" style="585" customWidth="1"/>
    <col min="6928" max="6929" width="6.5703125" style="585" customWidth="1"/>
    <col min="6930" max="6930" width="20.7109375" style="585" customWidth="1"/>
    <col min="6931" max="6937" width="12.7109375" style="585" customWidth="1"/>
    <col min="6938" max="6938" width="30.7109375" style="585" customWidth="1"/>
    <col min="6939" max="6940" width="10.7109375" style="585" customWidth="1"/>
    <col min="6941" max="6942" width="15.7109375" style="585" customWidth="1"/>
    <col min="6943" max="6944" width="12.7109375" style="585" customWidth="1"/>
    <col min="6945" max="6945" width="10.7109375" style="585" customWidth="1"/>
    <col min="6946" max="6946" width="30.7109375" style="585" customWidth="1"/>
    <col min="6947" max="6948" width="10.7109375" style="585" customWidth="1"/>
    <col min="6949" max="6949" width="15.7109375" style="585" customWidth="1"/>
    <col min="6950" max="6951" width="12.7109375" style="585" customWidth="1"/>
    <col min="6952" max="6953" width="10.7109375" style="585" customWidth="1"/>
    <col min="6954" max="6954" width="38.7109375" style="585" customWidth="1"/>
    <col min="6955" max="6961" width="12.7109375" style="585" customWidth="1"/>
    <col min="6962" max="6962" width="40.7109375" style="585" customWidth="1"/>
    <col min="6963" max="6969" width="12.7109375" style="585" customWidth="1"/>
    <col min="6970" max="6970" width="43.28515625" style="585" customWidth="1"/>
    <col min="6971" max="6975" width="11.7109375" style="585" customWidth="1"/>
    <col min="6976" max="6979" width="10.7109375" style="585" customWidth="1"/>
    <col min="6980" max="6981" width="9.5703125" style="585" customWidth="1"/>
    <col min="6982" max="6982" width="9.140625" style="585"/>
    <col min="6983" max="6983" width="31.7109375" style="585" customWidth="1"/>
    <col min="6984" max="6984" width="12.7109375" style="585" customWidth="1"/>
    <col min="6985" max="6985" width="13.28515625" style="585" customWidth="1"/>
    <col min="6986" max="6987" width="12.7109375" style="585" customWidth="1"/>
    <col min="6988" max="6989" width="13.28515625" style="585" customWidth="1"/>
    <col min="6990" max="6990" width="12.7109375" style="585" customWidth="1"/>
    <col min="6991" max="6992" width="9.140625" style="585"/>
    <col min="6993" max="6993" width="28.7109375" style="585" customWidth="1"/>
    <col min="6994" max="6994" width="10.7109375" style="585" customWidth="1"/>
    <col min="6995" max="6995" width="12.7109375" style="585" customWidth="1"/>
    <col min="6996" max="6997" width="10.7109375" style="585" customWidth="1"/>
    <col min="6998" max="6998" width="14.7109375" style="585" customWidth="1"/>
    <col min="6999" max="7002" width="9.140625" style="585"/>
    <col min="7003" max="7003" width="22.7109375" style="585" customWidth="1"/>
    <col min="7004" max="7004" width="10.7109375" style="585" customWidth="1"/>
    <col min="7005" max="7005" width="12.7109375" style="585" customWidth="1"/>
    <col min="7006" max="7007" width="10.7109375" style="585" customWidth="1"/>
    <col min="7008" max="7008" width="12.7109375" style="585" customWidth="1"/>
    <col min="7009" max="7010" width="10.7109375" style="585" customWidth="1"/>
    <col min="7011" max="7011" width="9.140625" style="585"/>
    <col min="7012" max="7012" width="20.7109375" style="585" customWidth="1"/>
    <col min="7013" max="7013" width="10.7109375" style="585" customWidth="1"/>
    <col min="7014" max="7014" width="12.7109375" style="585" customWidth="1"/>
    <col min="7015" max="7016" width="10.7109375" style="585" customWidth="1"/>
    <col min="7017" max="7017" width="14.7109375" style="585" customWidth="1"/>
    <col min="7018" max="7018" width="10.7109375" style="585" customWidth="1"/>
    <col min="7019" max="7021" width="9.140625" style="585"/>
    <col min="7022" max="7022" width="20.7109375" style="585" customWidth="1"/>
    <col min="7023" max="7023" width="10.7109375" style="585" customWidth="1"/>
    <col min="7024" max="7025" width="11.7109375" style="585" customWidth="1"/>
    <col min="7026" max="7026" width="10.7109375" style="585" customWidth="1"/>
    <col min="7027" max="7027" width="12.7109375" style="585" customWidth="1"/>
    <col min="7028" max="7029" width="10.7109375" style="585" customWidth="1"/>
    <col min="7030" max="7031" width="9.140625" style="585"/>
    <col min="7032" max="7032" width="25.42578125" style="585" customWidth="1"/>
    <col min="7033" max="7036" width="10.7109375" style="585" customWidth="1"/>
    <col min="7037" max="7037" width="12.7109375" style="585" customWidth="1"/>
    <col min="7038" max="7039" width="10.7109375" style="585" customWidth="1"/>
    <col min="7040" max="7169" width="9.140625" style="585"/>
    <col min="7170" max="7170" width="28.7109375" style="585" customWidth="1"/>
    <col min="7171" max="7171" width="8.5703125" style="585" bestFit="1" customWidth="1"/>
    <col min="7172" max="7183" width="7.7109375" style="585" customWidth="1"/>
    <col min="7184" max="7185" width="6.5703125" style="585" customWidth="1"/>
    <col min="7186" max="7186" width="20.7109375" style="585" customWidth="1"/>
    <col min="7187" max="7193" width="12.7109375" style="585" customWidth="1"/>
    <col min="7194" max="7194" width="30.7109375" style="585" customWidth="1"/>
    <col min="7195" max="7196" width="10.7109375" style="585" customWidth="1"/>
    <col min="7197" max="7198" width="15.7109375" style="585" customWidth="1"/>
    <col min="7199" max="7200" width="12.7109375" style="585" customWidth="1"/>
    <col min="7201" max="7201" width="10.7109375" style="585" customWidth="1"/>
    <col min="7202" max="7202" width="30.7109375" style="585" customWidth="1"/>
    <col min="7203" max="7204" width="10.7109375" style="585" customWidth="1"/>
    <col min="7205" max="7205" width="15.7109375" style="585" customWidth="1"/>
    <col min="7206" max="7207" width="12.7109375" style="585" customWidth="1"/>
    <col min="7208" max="7209" width="10.7109375" style="585" customWidth="1"/>
    <col min="7210" max="7210" width="38.7109375" style="585" customWidth="1"/>
    <col min="7211" max="7217" width="12.7109375" style="585" customWidth="1"/>
    <col min="7218" max="7218" width="40.7109375" style="585" customWidth="1"/>
    <col min="7219" max="7225" width="12.7109375" style="585" customWidth="1"/>
    <col min="7226" max="7226" width="43.28515625" style="585" customWidth="1"/>
    <col min="7227" max="7231" width="11.7109375" style="585" customWidth="1"/>
    <col min="7232" max="7235" width="10.7109375" style="585" customWidth="1"/>
    <col min="7236" max="7237" width="9.5703125" style="585" customWidth="1"/>
    <col min="7238" max="7238" width="9.140625" style="585"/>
    <col min="7239" max="7239" width="31.7109375" style="585" customWidth="1"/>
    <col min="7240" max="7240" width="12.7109375" style="585" customWidth="1"/>
    <col min="7241" max="7241" width="13.28515625" style="585" customWidth="1"/>
    <col min="7242" max="7243" width="12.7109375" style="585" customWidth="1"/>
    <col min="7244" max="7245" width="13.28515625" style="585" customWidth="1"/>
    <col min="7246" max="7246" width="12.7109375" style="585" customWidth="1"/>
    <col min="7247" max="7248" width="9.140625" style="585"/>
    <col min="7249" max="7249" width="28.7109375" style="585" customWidth="1"/>
    <col min="7250" max="7250" width="10.7109375" style="585" customWidth="1"/>
    <col min="7251" max="7251" width="12.7109375" style="585" customWidth="1"/>
    <col min="7252" max="7253" width="10.7109375" style="585" customWidth="1"/>
    <col min="7254" max="7254" width="14.7109375" style="585" customWidth="1"/>
    <col min="7255" max="7258" width="9.140625" style="585"/>
    <col min="7259" max="7259" width="22.7109375" style="585" customWidth="1"/>
    <col min="7260" max="7260" width="10.7109375" style="585" customWidth="1"/>
    <col min="7261" max="7261" width="12.7109375" style="585" customWidth="1"/>
    <col min="7262" max="7263" width="10.7109375" style="585" customWidth="1"/>
    <col min="7264" max="7264" width="12.7109375" style="585" customWidth="1"/>
    <col min="7265" max="7266" width="10.7109375" style="585" customWidth="1"/>
    <col min="7267" max="7267" width="9.140625" style="585"/>
    <col min="7268" max="7268" width="20.7109375" style="585" customWidth="1"/>
    <col min="7269" max="7269" width="10.7109375" style="585" customWidth="1"/>
    <col min="7270" max="7270" width="12.7109375" style="585" customWidth="1"/>
    <col min="7271" max="7272" width="10.7109375" style="585" customWidth="1"/>
    <col min="7273" max="7273" width="14.7109375" style="585" customWidth="1"/>
    <col min="7274" max="7274" width="10.7109375" style="585" customWidth="1"/>
    <col min="7275" max="7277" width="9.140625" style="585"/>
    <col min="7278" max="7278" width="20.7109375" style="585" customWidth="1"/>
    <col min="7279" max="7279" width="10.7109375" style="585" customWidth="1"/>
    <col min="7280" max="7281" width="11.7109375" style="585" customWidth="1"/>
    <col min="7282" max="7282" width="10.7109375" style="585" customWidth="1"/>
    <col min="7283" max="7283" width="12.7109375" style="585" customWidth="1"/>
    <col min="7284" max="7285" width="10.7109375" style="585" customWidth="1"/>
    <col min="7286" max="7287" width="9.140625" style="585"/>
    <col min="7288" max="7288" width="25.42578125" style="585" customWidth="1"/>
    <col min="7289" max="7292" width="10.7109375" style="585" customWidth="1"/>
    <col min="7293" max="7293" width="12.7109375" style="585" customWidth="1"/>
    <col min="7294" max="7295" width="10.7109375" style="585" customWidth="1"/>
    <col min="7296" max="7425" width="9.140625" style="585"/>
    <col min="7426" max="7426" width="28.7109375" style="585" customWidth="1"/>
    <col min="7427" max="7427" width="8.5703125" style="585" bestFit="1" customWidth="1"/>
    <col min="7428" max="7439" width="7.7109375" style="585" customWidth="1"/>
    <col min="7440" max="7441" width="6.5703125" style="585" customWidth="1"/>
    <col min="7442" max="7442" width="20.7109375" style="585" customWidth="1"/>
    <col min="7443" max="7449" width="12.7109375" style="585" customWidth="1"/>
    <col min="7450" max="7450" width="30.7109375" style="585" customWidth="1"/>
    <col min="7451" max="7452" width="10.7109375" style="585" customWidth="1"/>
    <col min="7453" max="7454" width="15.7109375" style="585" customWidth="1"/>
    <col min="7455" max="7456" width="12.7109375" style="585" customWidth="1"/>
    <col min="7457" max="7457" width="10.7109375" style="585" customWidth="1"/>
    <col min="7458" max="7458" width="30.7109375" style="585" customWidth="1"/>
    <col min="7459" max="7460" width="10.7109375" style="585" customWidth="1"/>
    <col min="7461" max="7461" width="15.7109375" style="585" customWidth="1"/>
    <col min="7462" max="7463" width="12.7109375" style="585" customWidth="1"/>
    <col min="7464" max="7465" width="10.7109375" style="585" customWidth="1"/>
    <col min="7466" max="7466" width="38.7109375" style="585" customWidth="1"/>
    <col min="7467" max="7473" width="12.7109375" style="585" customWidth="1"/>
    <col min="7474" max="7474" width="40.7109375" style="585" customWidth="1"/>
    <col min="7475" max="7481" width="12.7109375" style="585" customWidth="1"/>
    <col min="7482" max="7482" width="43.28515625" style="585" customWidth="1"/>
    <col min="7483" max="7487" width="11.7109375" style="585" customWidth="1"/>
    <col min="7488" max="7491" width="10.7109375" style="585" customWidth="1"/>
    <col min="7492" max="7493" width="9.5703125" style="585" customWidth="1"/>
    <col min="7494" max="7494" width="9.140625" style="585"/>
    <col min="7495" max="7495" width="31.7109375" style="585" customWidth="1"/>
    <col min="7496" max="7496" width="12.7109375" style="585" customWidth="1"/>
    <col min="7497" max="7497" width="13.28515625" style="585" customWidth="1"/>
    <col min="7498" max="7499" width="12.7109375" style="585" customWidth="1"/>
    <col min="7500" max="7501" width="13.28515625" style="585" customWidth="1"/>
    <col min="7502" max="7502" width="12.7109375" style="585" customWidth="1"/>
    <col min="7503" max="7504" width="9.140625" style="585"/>
    <col min="7505" max="7505" width="28.7109375" style="585" customWidth="1"/>
    <col min="7506" max="7506" width="10.7109375" style="585" customWidth="1"/>
    <col min="7507" max="7507" width="12.7109375" style="585" customWidth="1"/>
    <col min="7508" max="7509" width="10.7109375" style="585" customWidth="1"/>
    <col min="7510" max="7510" width="14.7109375" style="585" customWidth="1"/>
    <col min="7511" max="7514" width="9.140625" style="585"/>
    <col min="7515" max="7515" width="22.7109375" style="585" customWidth="1"/>
    <col min="7516" max="7516" width="10.7109375" style="585" customWidth="1"/>
    <col min="7517" max="7517" width="12.7109375" style="585" customWidth="1"/>
    <col min="7518" max="7519" width="10.7109375" style="585" customWidth="1"/>
    <col min="7520" max="7520" width="12.7109375" style="585" customWidth="1"/>
    <col min="7521" max="7522" width="10.7109375" style="585" customWidth="1"/>
    <col min="7523" max="7523" width="9.140625" style="585"/>
    <col min="7524" max="7524" width="20.7109375" style="585" customWidth="1"/>
    <col min="7525" max="7525" width="10.7109375" style="585" customWidth="1"/>
    <col min="7526" max="7526" width="12.7109375" style="585" customWidth="1"/>
    <col min="7527" max="7528" width="10.7109375" style="585" customWidth="1"/>
    <col min="7529" max="7529" width="14.7109375" style="585" customWidth="1"/>
    <col min="7530" max="7530" width="10.7109375" style="585" customWidth="1"/>
    <col min="7531" max="7533" width="9.140625" style="585"/>
    <col min="7534" max="7534" width="20.7109375" style="585" customWidth="1"/>
    <col min="7535" max="7535" width="10.7109375" style="585" customWidth="1"/>
    <col min="7536" max="7537" width="11.7109375" style="585" customWidth="1"/>
    <col min="7538" max="7538" width="10.7109375" style="585" customWidth="1"/>
    <col min="7539" max="7539" width="12.7109375" style="585" customWidth="1"/>
    <col min="7540" max="7541" width="10.7109375" style="585" customWidth="1"/>
    <col min="7542" max="7543" width="9.140625" style="585"/>
    <col min="7544" max="7544" width="25.42578125" style="585" customWidth="1"/>
    <col min="7545" max="7548" width="10.7109375" style="585" customWidth="1"/>
    <col min="7549" max="7549" width="12.7109375" style="585" customWidth="1"/>
    <col min="7550" max="7551" width="10.7109375" style="585" customWidth="1"/>
    <col min="7552" max="7681" width="9.140625" style="585"/>
    <col min="7682" max="7682" width="28.7109375" style="585" customWidth="1"/>
    <col min="7683" max="7683" width="8.5703125" style="585" bestFit="1" customWidth="1"/>
    <col min="7684" max="7695" width="7.7109375" style="585" customWidth="1"/>
    <col min="7696" max="7697" width="6.5703125" style="585" customWidth="1"/>
    <col min="7698" max="7698" width="20.7109375" style="585" customWidth="1"/>
    <col min="7699" max="7705" width="12.7109375" style="585" customWidth="1"/>
    <col min="7706" max="7706" width="30.7109375" style="585" customWidth="1"/>
    <col min="7707" max="7708" width="10.7109375" style="585" customWidth="1"/>
    <col min="7709" max="7710" width="15.7109375" style="585" customWidth="1"/>
    <col min="7711" max="7712" width="12.7109375" style="585" customWidth="1"/>
    <col min="7713" max="7713" width="10.7109375" style="585" customWidth="1"/>
    <col min="7714" max="7714" width="30.7109375" style="585" customWidth="1"/>
    <col min="7715" max="7716" width="10.7109375" style="585" customWidth="1"/>
    <col min="7717" max="7717" width="15.7109375" style="585" customWidth="1"/>
    <col min="7718" max="7719" width="12.7109375" style="585" customWidth="1"/>
    <col min="7720" max="7721" width="10.7109375" style="585" customWidth="1"/>
    <col min="7722" max="7722" width="38.7109375" style="585" customWidth="1"/>
    <col min="7723" max="7729" width="12.7109375" style="585" customWidth="1"/>
    <col min="7730" max="7730" width="40.7109375" style="585" customWidth="1"/>
    <col min="7731" max="7737" width="12.7109375" style="585" customWidth="1"/>
    <col min="7738" max="7738" width="43.28515625" style="585" customWidth="1"/>
    <col min="7739" max="7743" width="11.7109375" style="585" customWidth="1"/>
    <col min="7744" max="7747" width="10.7109375" style="585" customWidth="1"/>
    <col min="7748" max="7749" width="9.5703125" style="585" customWidth="1"/>
    <col min="7750" max="7750" width="9.140625" style="585"/>
    <col min="7751" max="7751" width="31.7109375" style="585" customWidth="1"/>
    <col min="7752" max="7752" width="12.7109375" style="585" customWidth="1"/>
    <col min="7753" max="7753" width="13.28515625" style="585" customWidth="1"/>
    <col min="7754" max="7755" width="12.7109375" style="585" customWidth="1"/>
    <col min="7756" max="7757" width="13.28515625" style="585" customWidth="1"/>
    <col min="7758" max="7758" width="12.7109375" style="585" customWidth="1"/>
    <col min="7759" max="7760" width="9.140625" style="585"/>
    <col min="7761" max="7761" width="28.7109375" style="585" customWidth="1"/>
    <col min="7762" max="7762" width="10.7109375" style="585" customWidth="1"/>
    <col min="7763" max="7763" width="12.7109375" style="585" customWidth="1"/>
    <col min="7764" max="7765" width="10.7109375" style="585" customWidth="1"/>
    <col min="7766" max="7766" width="14.7109375" style="585" customWidth="1"/>
    <col min="7767" max="7770" width="9.140625" style="585"/>
    <col min="7771" max="7771" width="22.7109375" style="585" customWidth="1"/>
    <col min="7772" max="7772" width="10.7109375" style="585" customWidth="1"/>
    <col min="7773" max="7773" width="12.7109375" style="585" customWidth="1"/>
    <col min="7774" max="7775" width="10.7109375" style="585" customWidth="1"/>
    <col min="7776" max="7776" width="12.7109375" style="585" customWidth="1"/>
    <col min="7777" max="7778" width="10.7109375" style="585" customWidth="1"/>
    <col min="7779" max="7779" width="9.140625" style="585"/>
    <col min="7780" max="7780" width="20.7109375" style="585" customWidth="1"/>
    <col min="7781" max="7781" width="10.7109375" style="585" customWidth="1"/>
    <col min="7782" max="7782" width="12.7109375" style="585" customWidth="1"/>
    <col min="7783" max="7784" width="10.7109375" style="585" customWidth="1"/>
    <col min="7785" max="7785" width="14.7109375" style="585" customWidth="1"/>
    <col min="7786" max="7786" width="10.7109375" style="585" customWidth="1"/>
    <col min="7787" max="7789" width="9.140625" style="585"/>
    <col min="7790" max="7790" width="20.7109375" style="585" customWidth="1"/>
    <col min="7791" max="7791" width="10.7109375" style="585" customWidth="1"/>
    <col min="7792" max="7793" width="11.7109375" style="585" customWidth="1"/>
    <col min="7794" max="7794" width="10.7109375" style="585" customWidth="1"/>
    <col min="7795" max="7795" width="12.7109375" style="585" customWidth="1"/>
    <col min="7796" max="7797" width="10.7109375" style="585" customWidth="1"/>
    <col min="7798" max="7799" width="9.140625" style="585"/>
    <col min="7800" max="7800" width="25.42578125" style="585" customWidth="1"/>
    <col min="7801" max="7804" width="10.7109375" style="585" customWidth="1"/>
    <col min="7805" max="7805" width="12.7109375" style="585" customWidth="1"/>
    <col min="7806" max="7807" width="10.7109375" style="585" customWidth="1"/>
    <col min="7808" max="7937" width="9.140625" style="585"/>
    <col min="7938" max="7938" width="28.7109375" style="585" customWidth="1"/>
    <col min="7939" max="7939" width="8.5703125" style="585" bestFit="1" customWidth="1"/>
    <col min="7940" max="7951" width="7.7109375" style="585" customWidth="1"/>
    <col min="7952" max="7953" width="6.5703125" style="585" customWidth="1"/>
    <col min="7954" max="7954" width="20.7109375" style="585" customWidth="1"/>
    <col min="7955" max="7961" width="12.7109375" style="585" customWidth="1"/>
    <col min="7962" max="7962" width="30.7109375" style="585" customWidth="1"/>
    <col min="7963" max="7964" width="10.7109375" style="585" customWidth="1"/>
    <col min="7965" max="7966" width="15.7109375" style="585" customWidth="1"/>
    <col min="7967" max="7968" width="12.7109375" style="585" customWidth="1"/>
    <col min="7969" max="7969" width="10.7109375" style="585" customWidth="1"/>
    <col min="7970" max="7970" width="30.7109375" style="585" customWidth="1"/>
    <col min="7971" max="7972" width="10.7109375" style="585" customWidth="1"/>
    <col min="7973" max="7973" width="15.7109375" style="585" customWidth="1"/>
    <col min="7974" max="7975" width="12.7109375" style="585" customWidth="1"/>
    <col min="7976" max="7977" width="10.7109375" style="585" customWidth="1"/>
    <col min="7978" max="7978" width="38.7109375" style="585" customWidth="1"/>
    <col min="7979" max="7985" width="12.7109375" style="585" customWidth="1"/>
    <col min="7986" max="7986" width="40.7109375" style="585" customWidth="1"/>
    <col min="7987" max="7993" width="12.7109375" style="585" customWidth="1"/>
    <col min="7994" max="7994" width="43.28515625" style="585" customWidth="1"/>
    <col min="7995" max="7999" width="11.7109375" style="585" customWidth="1"/>
    <col min="8000" max="8003" width="10.7109375" style="585" customWidth="1"/>
    <col min="8004" max="8005" width="9.5703125" style="585" customWidth="1"/>
    <col min="8006" max="8006" width="9.140625" style="585"/>
    <col min="8007" max="8007" width="31.7109375" style="585" customWidth="1"/>
    <col min="8008" max="8008" width="12.7109375" style="585" customWidth="1"/>
    <col min="8009" max="8009" width="13.28515625" style="585" customWidth="1"/>
    <col min="8010" max="8011" width="12.7109375" style="585" customWidth="1"/>
    <col min="8012" max="8013" width="13.28515625" style="585" customWidth="1"/>
    <col min="8014" max="8014" width="12.7109375" style="585" customWidth="1"/>
    <col min="8015" max="8016" width="9.140625" style="585"/>
    <col min="8017" max="8017" width="28.7109375" style="585" customWidth="1"/>
    <col min="8018" max="8018" width="10.7109375" style="585" customWidth="1"/>
    <col min="8019" max="8019" width="12.7109375" style="585" customWidth="1"/>
    <col min="8020" max="8021" width="10.7109375" style="585" customWidth="1"/>
    <col min="8022" max="8022" width="14.7109375" style="585" customWidth="1"/>
    <col min="8023" max="8026" width="9.140625" style="585"/>
    <col min="8027" max="8027" width="22.7109375" style="585" customWidth="1"/>
    <col min="8028" max="8028" width="10.7109375" style="585" customWidth="1"/>
    <col min="8029" max="8029" width="12.7109375" style="585" customWidth="1"/>
    <col min="8030" max="8031" width="10.7109375" style="585" customWidth="1"/>
    <col min="8032" max="8032" width="12.7109375" style="585" customWidth="1"/>
    <col min="8033" max="8034" width="10.7109375" style="585" customWidth="1"/>
    <col min="8035" max="8035" width="9.140625" style="585"/>
    <col min="8036" max="8036" width="20.7109375" style="585" customWidth="1"/>
    <col min="8037" max="8037" width="10.7109375" style="585" customWidth="1"/>
    <col min="8038" max="8038" width="12.7109375" style="585" customWidth="1"/>
    <col min="8039" max="8040" width="10.7109375" style="585" customWidth="1"/>
    <col min="8041" max="8041" width="14.7109375" style="585" customWidth="1"/>
    <col min="8042" max="8042" width="10.7109375" style="585" customWidth="1"/>
    <col min="8043" max="8045" width="9.140625" style="585"/>
    <col min="8046" max="8046" width="20.7109375" style="585" customWidth="1"/>
    <col min="8047" max="8047" width="10.7109375" style="585" customWidth="1"/>
    <col min="8048" max="8049" width="11.7109375" style="585" customWidth="1"/>
    <col min="8050" max="8050" width="10.7109375" style="585" customWidth="1"/>
    <col min="8051" max="8051" width="12.7109375" style="585" customWidth="1"/>
    <col min="8052" max="8053" width="10.7109375" style="585" customWidth="1"/>
    <col min="8054" max="8055" width="9.140625" style="585"/>
    <col min="8056" max="8056" width="25.42578125" style="585" customWidth="1"/>
    <col min="8057" max="8060" width="10.7109375" style="585" customWidth="1"/>
    <col min="8061" max="8061" width="12.7109375" style="585" customWidth="1"/>
    <col min="8062" max="8063" width="10.7109375" style="585" customWidth="1"/>
    <col min="8064" max="8193" width="9.140625" style="585"/>
    <col min="8194" max="8194" width="28.7109375" style="585" customWidth="1"/>
    <col min="8195" max="8195" width="8.5703125" style="585" bestFit="1" customWidth="1"/>
    <col min="8196" max="8207" width="7.7109375" style="585" customWidth="1"/>
    <col min="8208" max="8209" width="6.5703125" style="585" customWidth="1"/>
    <col min="8210" max="8210" width="20.7109375" style="585" customWidth="1"/>
    <col min="8211" max="8217" width="12.7109375" style="585" customWidth="1"/>
    <col min="8218" max="8218" width="30.7109375" style="585" customWidth="1"/>
    <col min="8219" max="8220" width="10.7109375" style="585" customWidth="1"/>
    <col min="8221" max="8222" width="15.7109375" style="585" customWidth="1"/>
    <col min="8223" max="8224" width="12.7109375" style="585" customWidth="1"/>
    <col min="8225" max="8225" width="10.7109375" style="585" customWidth="1"/>
    <col min="8226" max="8226" width="30.7109375" style="585" customWidth="1"/>
    <col min="8227" max="8228" width="10.7109375" style="585" customWidth="1"/>
    <col min="8229" max="8229" width="15.7109375" style="585" customWidth="1"/>
    <col min="8230" max="8231" width="12.7109375" style="585" customWidth="1"/>
    <col min="8232" max="8233" width="10.7109375" style="585" customWidth="1"/>
    <col min="8234" max="8234" width="38.7109375" style="585" customWidth="1"/>
    <col min="8235" max="8241" width="12.7109375" style="585" customWidth="1"/>
    <col min="8242" max="8242" width="40.7109375" style="585" customWidth="1"/>
    <col min="8243" max="8249" width="12.7109375" style="585" customWidth="1"/>
    <col min="8250" max="8250" width="43.28515625" style="585" customWidth="1"/>
    <col min="8251" max="8255" width="11.7109375" style="585" customWidth="1"/>
    <col min="8256" max="8259" width="10.7109375" style="585" customWidth="1"/>
    <col min="8260" max="8261" width="9.5703125" style="585" customWidth="1"/>
    <col min="8262" max="8262" width="9.140625" style="585"/>
    <col min="8263" max="8263" width="31.7109375" style="585" customWidth="1"/>
    <col min="8264" max="8264" width="12.7109375" style="585" customWidth="1"/>
    <col min="8265" max="8265" width="13.28515625" style="585" customWidth="1"/>
    <col min="8266" max="8267" width="12.7109375" style="585" customWidth="1"/>
    <col min="8268" max="8269" width="13.28515625" style="585" customWidth="1"/>
    <col min="8270" max="8270" width="12.7109375" style="585" customWidth="1"/>
    <col min="8271" max="8272" width="9.140625" style="585"/>
    <col min="8273" max="8273" width="28.7109375" style="585" customWidth="1"/>
    <col min="8274" max="8274" width="10.7109375" style="585" customWidth="1"/>
    <col min="8275" max="8275" width="12.7109375" style="585" customWidth="1"/>
    <col min="8276" max="8277" width="10.7109375" style="585" customWidth="1"/>
    <col min="8278" max="8278" width="14.7109375" style="585" customWidth="1"/>
    <col min="8279" max="8282" width="9.140625" style="585"/>
    <col min="8283" max="8283" width="22.7109375" style="585" customWidth="1"/>
    <col min="8284" max="8284" width="10.7109375" style="585" customWidth="1"/>
    <col min="8285" max="8285" width="12.7109375" style="585" customWidth="1"/>
    <col min="8286" max="8287" width="10.7109375" style="585" customWidth="1"/>
    <col min="8288" max="8288" width="12.7109375" style="585" customWidth="1"/>
    <col min="8289" max="8290" width="10.7109375" style="585" customWidth="1"/>
    <col min="8291" max="8291" width="9.140625" style="585"/>
    <col min="8292" max="8292" width="20.7109375" style="585" customWidth="1"/>
    <col min="8293" max="8293" width="10.7109375" style="585" customWidth="1"/>
    <col min="8294" max="8294" width="12.7109375" style="585" customWidth="1"/>
    <col min="8295" max="8296" width="10.7109375" style="585" customWidth="1"/>
    <col min="8297" max="8297" width="14.7109375" style="585" customWidth="1"/>
    <col min="8298" max="8298" width="10.7109375" style="585" customWidth="1"/>
    <col min="8299" max="8301" width="9.140625" style="585"/>
    <col min="8302" max="8302" width="20.7109375" style="585" customWidth="1"/>
    <col min="8303" max="8303" width="10.7109375" style="585" customWidth="1"/>
    <col min="8304" max="8305" width="11.7109375" style="585" customWidth="1"/>
    <col min="8306" max="8306" width="10.7109375" style="585" customWidth="1"/>
    <col min="8307" max="8307" width="12.7109375" style="585" customWidth="1"/>
    <col min="8308" max="8309" width="10.7109375" style="585" customWidth="1"/>
    <col min="8310" max="8311" width="9.140625" style="585"/>
    <col min="8312" max="8312" width="25.42578125" style="585" customWidth="1"/>
    <col min="8313" max="8316" width="10.7109375" style="585" customWidth="1"/>
    <col min="8317" max="8317" width="12.7109375" style="585" customWidth="1"/>
    <col min="8318" max="8319" width="10.7109375" style="585" customWidth="1"/>
    <col min="8320" max="8449" width="9.140625" style="585"/>
    <col min="8450" max="8450" width="28.7109375" style="585" customWidth="1"/>
    <col min="8451" max="8451" width="8.5703125" style="585" bestFit="1" customWidth="1"/>
    <col min="8452" max="8463" width="7.7109375" style="585" customWidth="1"/>
    <col min="8464" max="8465" width="6.5703125" style="585" customWidth="1"/>
    <col min="8466" max="8466" width="20.7109375" style="585" customWidth="1"/>
    <col min="8467" max="8473" width="12.7109375" style="585" customWidth="1"/>
    <col min="8474" max="8474" width="30.7109375" style="585" customWidth="1"/>
    <col min="8475" max="8476" width="10.7109375" style="585" customWidth="1"/>
    <col min="8477" max="8478" width="15.7109375" style="585" customWidth="1"/>
    <col min="8479" max="8480" width="12.7109375" style="585" customWidth="1"/>
    <col min="8481" max="8481" width="10.7109375" style="585" customWidth="1"/>
    <col min="8482" max="8482" width="30.7109375" style="585" customWidth="1"/>
    <col min="8483" max="8484" width="10.7109375" style="585" customWidth="1"/>
    <col min="8485" max="8485" width="15.7109375" style="585" customWidth="1"/>
    <col min="8486" max="8487" width="12.7109375" style="585" customWidth="1"/>
    <col min="8488" max="8489" width="10.7109375" style="585" customWidth="1"/>
    <col min="8490" max="8490" width="38.7109375" style="585" customWidth="1"/>
    <col min="8491" max="8497" width="12.7109375" style="585" customWidth="1"/>
    <col min="8498" max="8498" width="40.7109375" style="585" customWidth="1"/>
    <col min="8499" max="8505" width="12.7109375" style="585" customWidth="1"/>
    <col min="8506" max="8506" width="43.28515625" style="585" customWidth="1"/>
    <col min="8507" max="8511" width="11.7109375" style="585" customWidth="1"/>
    <col min="8512" max="8515" width="10.7109375" style="585" customWidth="1"/>
    <col min="8516" max="8517" width="9.5703125" style="585" customWidth="1"/>
    <col min="8518" max="8518" width="9.140625" style="585"/>
    <col min="8519" max="8519" width="31.7109375" style="585" customWidth="1"/>
    <col min="8520" max="8520" width="12.7109375" style="585" customWidth="1"/>
    <col min="8521" max="8521" width="13.28515625" style="585" customWidth="1"/>
    <col min="8522" max="8523" width="12.7109375" style="585" customWidth="1"/>
    <col min="8524" max="8525" width="13.28515625" style="585" customWidth="1"/>
    <col min="8526" max="8526" width="12.7109375" style="585" customWidth="1"/>
    <col min="8527" max="8528" width="9.140625" style="585"/>
    <col min="8529" max="8529" width="28.7109375" style="585" customWidth="1"/>
    <col min="8530" max="8530" width="10.7109375" style="585" customWidth="1"/>
    <col min="8531" max="8531" width="12.7109375" style="585" customWidth="1"/>
    <col min="8532" max="8533" width="10.7109375" style="585" customWidth="1"/>
    <col min="8534" max="8534" width="14.7109375" style="585" customWidth="1"/>
    <col min="8535" max="8538" width="9.140625" style="585"/>
    <col min="8539" max="8539" width="22.7109375" style="585" customWidth="1"/>
    <col min="8540" max="8540" width="10.7109375" style="585" customWidth="1"/>
    <col min="8541" max="8541" width="12.7109375" style="585" customWidth="1"/>
    <col min="8542" max="8543" width="10.7109375" style="585" customWidth="1"/>
    <col min="8544" max="8544" width="12.7109375" style="585" customWidth="1"/>
    <col min="8545" max="8546" width="10.7109375" style="585" customWidth="1"/>
    <col min="8547" max="8547" width="9.140625" style="585"/>
    <col min="8548" max="8548" width="20.7109375" style="585" customWidth="1"/>
    <col min="8549" max="8549" width="10.7109375" style="585" customWidth="1"/>
    <col min="8550" max="8550" width="12.7109375" style="585" customWidth="1"/>
    <col min="8551" max="8552" width="10.7109375" style="585" customWidth="1"/>
    <col min="8553" max="8553" width="14.7109375" style="585" customWidth="1"/>
    <col min="8554" max="8554" width="10.7109375" style="585" customWidth="1"/>
    <col min="8555" max="8557" width="9.140625" style="585"/>
    <col min="8558" max="8558" width="20.7109375" style="585" customWidth="1"/>
    <col min="8559" max="8559" width="10.7109375" style="585" customWidth="1"/>
    <col min="8560" max="8561" width="11.7109375" style="585" customWidth="1"/>
    <col min="8562" max="8562" width="10.7109375" style="585" customWidth="1"/>
    <col min="8563" max="8563" width="12.7109375" style="585" customWidth="1"/>
    <col min="8564" max="8565" width="10.7109375" style="585" customWidth="1"/>
    <col min="8566" max="8567" width="9.140625" style="585"/>
    <col min="8568" max="8568" width="25.42578125" style="585" customWidth="1"/>
    <col min="8569" max="8572" width="10.7109375" style="585" customWidth="1"/>
    <col min="8573" max="8573" width="12.7109375" style="585" customWidth="1"/>
    <col min="8574" max="8575" width="10.7109375" style="585" customWidth="1"/>
    <col min="8576" max="8705" width="9.140625" style="585"/>
    <col min="8706" max="8706" width="28.7109375" style="585" customWidth="1"/>
    <col min="8707" max="8707" width="8.5703125" style="585" bestFit="1" customWidth="1"/>
    <col min="8708" max="8719" width="7.7109375" style="585" customWidth="1"/>
    <col min="8720" max="8721" width="6.5703125" style="585" customWidth="1"/>
    <col min="8722" max="8722" width="20.7109375" style="585" customWidth="1"/>
    <col min="8723" max="8729" width="12.7109375" style="585" customWidth="1"/>
    <col min="8730" max="8730" width="30.7109375" style="585" customWidth="1"/>
    <col min="8731" max="8732" width="10.7109375" style="585" customWidth="1"/>
    <col min="8733" max="8734" width="15.7109375" style="585" customWidth="1"/>
    <col min="8735" max="8736" width="12.7109375" style="585" customWidth="1"/>
    <col min="8737" max="8737" width="10.7109375" style="585" customWidth="1"/>
    <col min="8738" max="8738" width="30.7109375" style="585" customWidth="1"/>
    <col min="8739" max="8740" width="10.7109375" style="585" customWidth="1"/>
    <col min="8741" max="8741" width="15.7109375" style="585" customWidth="1"/>
    <col min="8742" max="8743" width="12.7109375" style="585" customWidth="1"/>
    <col min="8744" max="8745" width="10.7109375" style="585" customWidth="1"/>
    <col min="8746" max="8746" width="38.7109375" style="585" customWidth="1"/>
    <col min="8747" max="8753" width="12.7109375" style="585" customWidth="1"/>
    <col min="8754" max="8754" width="40.7109375" style="585" customWidth="1"/>
    <col min="8755" max="8761" width="12.7109375" style="585" customWidth="1"/>
    <col min="8762" max="8762" width="43.28515625" style="585" customWidth="1"/>
    <col min="8763" max="8767" width="11.7109375" style="585" customWidth="1"/>
    <col min="8768" max="8771" width="10.7109375" style="585" customWidth="1"/>
    <col min="8772" max="8773" width="9.5703125" style="585" customWidth="1"/>
    <col min="8774" max="8774" width="9.140625" style="585"/>
    <col min="8775" max="8775" width="31.7109375" style="585" customWidth="1"/>
    <col min="8776" max="8776" width="12.7109375" style="585" customWidth="1"/>
    <col min="8777" max="8777" width="13.28515625" style="585" customWidth="1"/>
    <col min="8778" max="8779" width="12.7109375" style="585" customWidth="1"/>
    <col min="8780" max="8781" width="13.28515625" style="585" customWidth="1"/>
    <col min="8782" max="8782" width="12.7109375" style="585" customWidth="1"/>
    <col min="8783" max="8784" width="9.140625" style="585"/>
    <col min="8785" max="8785" width="28.7109375" style="585" customWidth="1"/>
    <col min="8786" max="8786" width="10.7109375" style="585" customWidth="1"/>
    <col min="8787" max="8787" width="12.7109375" style="585" customWidth="1"/>
    <col min="8788" max="8789" width="10.7109375" style="585" customWidth="1"/>
    <col min="8790" max="8790" width="14.7109375" style="585" customWidth="1"/>
    <col min="8791" max="8794" width="9.140625" style="585"/>
    <col min="8795" max="8795" width="22.7109375" style="585" customWidth="1"/>
    <col min="8796" max="8796" width="10.7109375" style="585" customWidth="1"/>
    <col min="8797" max="8797" width="12.7109375" style="585" customWidth="1"/>
    <col min="8798" max="8799" width="10.7109375" style="585" customWidth="1"/>
    <col min="8800" max="8800" width="12.7109375" style="585" customWidth="1"/>
    <col min="8801" max="8802" width="10.7109375" style="585" customWidth="1"/>
    <col min="8803" max="8803" width="9.140625" style="585"/>
    <col min="8804" max="8804" width="20.7109375" style="585" customWidth="1"/>
    <col min="8805" max="8805" width="10.7109375" style="585" customWidth="1"/>
    <col min="8806" max="8806" width="12.7109375" style="585" customWidth="1"/>
    <col min="8807" max="8808" width="10.7109375" style="585" customWidth="1"/>
    <col min="8809" max="8809" width="14.7109375" style="585" customWidth="1"/>
    <col min="8810" max="8810" width="10.7109375" style="585" customWidth="1"/>
    <col min="8811" max="8813" width="9.140625" style="585"/>
    <col min="8814" max="8814" width="20.7109375" style="585" customWidth="1"/>
    <col min="8815" max="8815" width="10.7109375" style="585" customWidth="1"/>
    <col min="8816" max="8817" width="11.7109375" style="585" customWidth="1"/>
    <col min="8818" max="8818" width="10.7109375" style="585" customWidth="1"/>
    <col min="8819" max="8819" width="12.7109375" style="585" customWidth="1"/>
    <col min="8820" max="8821" width="10.7109375" style="585" customWidth="1"/>
    <col min="8822" max="8823" width="9.140625" style="585"/>
    <col min="8824" max="8824" width="25.42578125" style="585" customWidth="1"/>
    <col min="8825" max="8828" width="10.7109375" style="585" customWidth="1"/>
    <col min="8829" max="8829" width="12.7109375" style="585" customWidth="1"/>
    <col min="8830" max="8831" width="10.7109375" style="585" customWidth="1"/>
    <col min="8832" max="8961" width="9.140625" style="585"/>
    <col min="8962" max="8962" width="28.7109375" style="585" customWidth="1"/>
    <col min="8963" max="8963" width="8.5703125" style="585" bestFit="1" customWidth="1"/>
    <col min="8964" max="8975" width="7.7109375" style="585" customWidth="1"/>
    <col min="8976" max="8977" width="6.5703125" style="585" customWidth="1"/>
    <col min="8978" max="8978" width="20.7109375" style="585" customWidth="1"/>
    <col min="8979" max="8985" width="12.7109375" style="585" customWidth="1"/>
    <col min="8986" max="8986" width="30.7109375" style="585" customWidth="1"/>
    <col min="8987" max="8988" width="10.7109375" style="585" customWidth="1"/>
    <col min="8989" max="8990" width="15.7109375" style="585" customWidth="1"/>
    <col min="8991" max="8992" width="12.7109375" style="585" customWidth="1"/>
    <col min="8993" max="8993" width="10.7109375" style="585" customWidth="1"/>
    <col min="8994" max="8994" width="30.7109375" style="585" customWidth="1"/>
    <col min="8995" max="8996" width="10.7109375" style="585" customWidth="1"/>
    <col min="8997" max="8997" width="15.7109375" style="585" customWidth="1"/>
    <col min="8998" max="8999" width="12.7109375" style="585" customWidth="1"/>
    <col min="9000" max="9001" width="10.7109375" style="585" customWidth="1"/>
    <col min="9002" max="9002" width="38.7109375" style="585" customWidth="1"/>
    <col min="9003" max="9009" width="12.7109375" style="585" customWidth="1"/>
    <col min="9010" max="9010" width="40.7109375" style="585" customWidth="1"/>
    <col min="9011" max="9017" width="12.7109375" style="585" customWidth="1"/>
    <col min="9018" max="9018" width="43.28515625" style="585" customWidth="1"/>
    <col min="9019" max="9023" width="11.7109375" style="585" customWidth="1"/>
    <col min="9024" max="9027" width="10.7109375" style="585" customWidth="1"/>
    <col min="9028" max="9029" width="9.5703125" style="585" customWidth="1"/>
    <col min="9030" max="9030" width="9.140625" style="585"/>
    <col min="9031" max="9031" width="31.7109375" style="585" customWidth="1"/>
    <col min="9032" max="9032" width="12.7109375" style="585" customWidth="1"/>
    <col min="9033" max="9033" width="13.28515625" style="585" customWidth="1"/>
    <col min="9034" max="9035" width="12.7109375" style="585" customWidth="1"/>
    <col min="9036" max="9037" width="13.28515625" style="585" customWidth="1"/>
    <col min="9038" max="9038" width="12.7109375" style="585" customWidth="1"/>
    <col min="9039" max="9040" width="9.140625" style="585"/>
    <col min="9041" max="9041" width="28.7109375" style="585" customWidth="1"/>
    <col min="9042" max="9042" width="10.7109375" style="585" customWidth="1"/>
    <col min="9043" max="9043" width="12.7109375" style="585" customWidth="1"/>
    <col min="9044" max="9045" width="10.7109375" style="585" customWidth="1"/>
    <col min="9046" max="9046" width="14.7109375" style="585" customWidth="1"/>
    <col min="9047" max="9050" width="9.140625" style="585"/>
    <col min="9051" max="9051" width="22.7109375" style="585" customWidth="1"/>
    <col min="9052" max="9052" width="10.7109375" style="585" customWidth="1"/>
    <col min="9053" max="9053" width="12.7109375" style="585" customWidth="1"/>
    <col min="9054" max="9055" width="10.7109375" style="585" customWidth="1"/>
    <col min="9056" max="9056" width="12.7109375" style="585" customWidth="1"/>
    <col min="9057" max="9058" width="10.7109375" style="585" customWidth="1"/>
    <col min="9059" max="9059" width="9.140625" style="585"/>
    <col min="9060" max="9060" width="20.7109375" style="585" customWidth="1"/>
    <col min="9061" max="9061" width="10.7109375" style="585" customWidth="1"/>
    <col min="9062" max="9062" width="12.7109375" style="585" customWidth="1"/>
    <col min="9063" max="9064" width="10.7109375" style="585" customWidth="1"/>
    <col min="9065" max="9065" width="14.7109375" style="585" customWidth="1"/>
    <col min="9066" max="9066" width="10.7109375" style="585" customWidth="1"/>
    <col min="9067" max="9069" width="9.140625" style="585"/>
    <col min="9070" max="9070" width="20.7109375" style="585" customWidth="1"/>
    <col min="9071" max="9071" width="10.7109375" style="585" customWidth="1"/>
    <col min="9072" max="9073" width="11.7109375" style="585" customWidth="1"/>
    <col min="9074" max="9074" width="10.7109375" style="585" customWidth="1"/>
    <col min="9075" max="9075" width="12.7109375" style="585" customWidth="1"/>
    <col min="9076" max="9077" width="10.7109375" style="585" customWidth="1"/>
    <col min="9078" max="9079" width="9.140625" style="585"/>
    <col min="9080" max="9080" width="25.42578125" style="585" customWidth="1"/>
    <col min="9081" max="9084" width="10.7109375" style="585" customWidth="1"/>
    <col min="9085" max="9085" width="12.7109375" style="585" customWidth="1"/>
    <col min="9086" max="9087" width="10.7109375" style="585" customWidth="1"/>
    <col min="9088" max="9217" width="9.140625" style="585"/>
    <col min="9218" max="9218" width="28.7109375" style="585" customWidth="1"/>
    <col min="9219" max="9219" width="8.5703125" style="585" bestFit="1" customWidth="1"/>
    <col min="9220" max="9231" width="7.7109375" style="585" customWidth="1"/>
    <col min="9232" max="9233" width="6.5703125" style="585" customWidth="1"/>
    <col min="9234" max="9234" width="20.7109375" style="585" customWidth="1"/>
    <col min="9235" max="9241" width="12.7109375" style="585" customWidth="1"/>
    <col min="9242" max="9242" width="30.7109375" style="585" customWidth="1"/>
    <col min="9243" max="9244" width="10.7109375" style="585" customWidth="1"/>
    <col min="9245" max="9246" width="15.7109375" style="585" customWidth="1"/>
    <col min="9247" max="9248" width="12.7109375" style="585" customWidth="1"/>
    <col min="9249" max="9249" width="10.7109375" style="585" customWidth="1"/>
    <col min="9250" max="9250" width="30.7109375" style="585" customWidth="1"/>
    <col min="9251" max="9252" width="10.7109375" style="585" customWidth="1"/>
    <col min="9253" max="9253" width="15.7109375" style="585" customWidth="1"/>
    <col min="9254" max="9255" width="12.7109375" style="585" customWidth="1"/>
    <col min="9256" max="9257" width="10.7109375" style="585" customWidth="1"/>
    <col min="9258" max="9258" width="38.7109375" style="585" customWidth="1"/>
    <col min="9259" max="9265" width="12.7109375" style="585" customWidth="1"/>
    <col min="9266" max="9266" width="40.7109375" style="585" customWidth="1"/>
    <col min="9267" max="9273" width="12.7109375" style="585" customWidth="1"/>
    <col min="9274" max="9274" width="43.28515625" style="585" customWidth="1"/>
    <col min="9275" max="9279" width="11.7109375" style="585" customWidth="1"/>
    <col min="9280" max="9283" width="10.7109375" style="585" customWidth="1"/>
    <col min="9284" max="9285" width="9.5703125" style="585" customWidth="1"/>
    <col min="9286" max="9286" width="9.140625" style="585"/>
    <col min="9287" max="9287" width="31.7109375" style="585" customWidth="1"/>
    <col min="9288" max="9288" width="12.7109375" style="585" customWidth="1"/>
    <col min="9289" max="9289" width="13.28515625" style="585" customWidth="1"/>
    <col min="9290" max="9291" width="12.7109375" style="585" customWidth="1"/>
    <col min="9292" max="9293" width="13.28515625" style="585" customWidth="1"/>
    <col min="9294" max="9294" width="12.7109375" style="585" customWidth="1"/>
    <col min="9295" max="9296" width="9.140625" style="585"/>
    <col min="9297" max="9297" width="28.7109375" style="585" customWidth="1"/>
    <col min="9298" max="9298" width="10.7109375" style="585" customWidth="1"/>
    <col min="9299" max="9299" width="12.7109375" style="585" customWidth="1"/>
    <col min="9300" max="9301" width="10.7109375" style="585" customWidth="1"/>
    <col min="9302" max="9302" width="14.7109375" style="585" customWidth="1"/>
    <col min="9303" max="9306" width="9.140625" style="585"/>
    <col min="9307" max="9307" width="22.7109375" style="585" customWidth="1"/>
    <col min="9308" max="9308" width="10.7109375" style="585" customWidth="1"/>
    <col min="9309" max="9309" width="12.7109375" style="585" customWidth="1"/>
    <col min="9310" max="9311" width="10.7109375" style="585" customWidth="1"/>
    <col min="9312" max="9312" width="12.7109375" style="585" customWidth="1"/>
    <col min="9313" max="9314" width="10.7109375" style="585" customWidth="1"/>
    <col min="9315" max="9315" width="9.140625" style="585"/>
    <col min="9316" max="9316" width="20.7109375" style="585" customWidth="1"/>
    <col min="9317" max="9317" width="10.7109375" style="585" customWidth="1"/>
    <col min="9318" max="9318" width="12.7109375" style="585" customWidth="1"/>
    <col min="9319" max="9320" width="10.7109375" style="585" customWidth="1"/>
    <col min="9321" max="9321" width="14.7109375" style="585" customWidth="1"/>
    <col min="9322" max="9322" width="10.7109375" style="585" customWidth="1"/>
    <col min="9323" max="9325" width="9.140625" style="585"/>
    <col min="9326" max="9326" width="20.7109375" style="585" customWidth="1"/>
    <col min="9327" max="9327" width="10.7109375" style="585" customWidth="1"/>
    <col min="9328" max="9329" width="11.7109375" style="585" customWidth="1"/>
    <col min="9330" max="9330" width="10.7109375" style="585" customWidth="1"/>
    <col min="9331" max="9331" width="12.7109375" style="585" customWidth="1"/>
    <col min="9332" max="9333" width="10.7109375" style="585" customWidth="1"/>
    <col min="9334" max="9335" width="9.140625" style="585"/>
    <col min="9336" max="9336" width="25.42578125" style="585" customWidth="1"/>
    <col min="9337" max="9340" width="10.7109375" style="585" customWidth="1"/>
    <col min="9341" max="9341" width="12.7109375" style="585" customWidth="1"/>
    <col min="9342" max="9343" width="10.7109375" style="585" customWidth="1"/>
    <col min="9344" max="9473" width="9.140625" style="585"/>
    <col min="9474" max="9474" width="28.7109375" style="585" customWidth="1"/>
    <col min="9475" max="9475" width="8.5703125" style="585" bestFit="1" customWidth="1"/>
    <col min="9476" max="9487" width="7.7109375" style="585" customWidth="1"/>
    <col min="9488" max="9489" width="6.5703125" style="585" customWidth="1"/>
    <col min="9490" max="9490" width="20.7109375" style="585" customWidth="1"/>
    <col min="9491" max="9497" width="12.7109375" style="585" customWidth="1"/>
    <col min="9498" max="9498" width="30.7109375" style="585" customWidth="1"/>
    <col min="9499" max="9500" width="10.7109375" style="585" customWidth="1"/>
    <col min="9501" max="9502" width="15.7109375" style="585" customWidth="1"/>
    <col min="9503" max="9504" width="12.7109375" style="585" customWidth="1"/>
    <col min="9505" max="9505" width="10.7109375" style="585" customWidth="1"/>
    <col min="9506" max="9506" width="30.7109375" style="585" customWidth="1"/>
    <col min="9507" max="9508" width="10.7109375" style="585" customWidth="1"/>
    <col min="9509" max="9509" width="15.7109375" style="585" customWidth="1"/>
    <col min="9510" max="9511" width="12.7109375" style="585" customWidth="1"/>
    <col min="9512" max="9513" width="10.7109375" style="585" customWidth="1"/>
    <col min="9514" max="9514" width="38.7109375" style="585" customWidth="1"/>
    <col min="9515" max="9521" width="12.7109375" style="585" customWidth="1"/>
    <col min="9522" max="9522" width="40.7109375" style="585" customWidth="1"/>
    <col min="9523" max="9529" width="12.7109375" style="585" customWidth="1"/>
    <col min="9530" max="9530" width="43.28515625" style="585" customWidth="1"/>
    <col min="9531" max="9535" width="11.7109375" style="585" customWidth="1"/>
    <col min="9536" max="9539" width="10.7109375" style="585" customWidth="1"/>
    <col min="9540" max="9541" width="9.5703125" style="585" customWidth="1"/>
    <col min="9542" max="9542" width="9.140625" style="585"/>
    <col min="9543" max="9543" width="31.7109375" style="585" customWidth="1"/>
    <col min="9544" max="9544" width="12.7109375" style="585" customWidth="1"/>
    <col min="9545" max="9545" width="13.28515625" style="585" customWidth="1"/>
    <col min="9546" max="9547" width="12.7109375" style="585" customWidth="1"/>
    <col min="9548" max="9549" width="13.28515625" style="585" customWidth="1"/>
    <col min="9550" max="9550" width="12.7109375" style="585" customWidth="1"/>
    <col min="9551" max="9552" width="9.140625" style="585"/>
    <col min="9553" max="9553" width="28.7109375" style="585" customWidth="1"/>
    <col min="9554" max="9554" width="10.7109375" style="585" customWidth="1"/>
    <col min="9555" max="9555" width="12.7109375" style="585" customWidth="1"/>
    <col min="9556" max="9557" width="10.7109375" style="585" customWidth="1"/>
    <col min="9558" max="9558" width="14.7109375" style="585" customWidth="1"/>
    <col min="9559" max="9562" width="9.140625" style="585"/>
    <col min="9563" max="9563" width="22.7109375" style="585" customWidth="1"/>
    <col min="9564" max="9564" width="10.7109375" style="585" customWidth="1"/>
    <col min="9565" max="9565" width="12.7109375" style="585" customWidth="1"/>
    <col min="9566" max="9567" width="10.7109375" style="585" customWidth="1"/>
    <col min="9568" max="9568" width="12.7109375" style="585" customWidth="1"/>
    <col min="9569" max="9570" width="10.7109375" style="585" customWidth="1"/>
    <col min="9571" max="9571" width="9.140625" style="585"/>
    <col min="9572" max="9572" width="20.7109375" style="585" customWidth="1"/>
    <col min="9573" max="9573" width="10.7109375" style="585" customWidth="1"/>
    <col min="9574" max="9574" width="12.7109375" style="585" customWidth="1"/>
    <col min="9575" max="9576" width="10.7109375" style="585" customWidth="1"/>
    <col min="9577" max="9577" width="14.7109375" style="585" customWidth="1"/>
    <col min="9578" max="9578" width="10.7109375" style="585" customWidth="1"/>
    <col min="9579" max="9581" width="9.140625" style="585"/>
    <col min="9582" max="9582" width="20.7109375" style="585" customWidth="1"/>
    <col min="9583" max="9583" width="10.7109375" style="585" customWidth="1"/>
    <col min="9584" max="9585" width="11.7109375" style="585" customWidth="1"/>
    <col min="9586" max="9586" width="10.7109375" style="585" customWidth="1"/>
    <col min="9587" max="9587" width="12.7109375" style="585" customWidth="1"/>
    <col min="9588" max="9589" width="10.7109375" style="585" customWidth="1"/>
    <col min="9590" max="9591" width="9.140625" style="585"/>
    <col min="9592" max="9592" width="25.42578125" style="585" customWidth="1"/>
    <col min="9593" max="9596" width="10.7109375" style="585" customWidth="1"/>
    <col min="9597" max="9597" width="12.7109375" style="585" customWidth="1"/>
    <col min="9598" max="9599" width="10.7109375" style="585" customWidth="1"/>
    <col min="9600" max="9729" width="9.140625" style="585"/>
    <col min="9730" max="9730" width="28.7109375" style="585" customWidth="1"/>
    <col min="9731" max="9731" width="8.5703125" style="585" bestFit="1" customWidth="1"/>
    <col min="9732" max="9743" width="7.7109375" style="585" customWidth="1"/>
    <col min="9744" max="9745" width="6.5703125" style="585" customWidth="1"/>
    <col min="9746" max="9746" width="20.7109375" style="585" customWidth="1"/>
    <col min="9747" max="9753" width="12.7109375" style="585" customWidth="1"/>
    <col min="9754" max="9754" width="30.7109375" style="585" customWidth="1"/>
    <col min="9755" max="9756" width="10.7109375" style="585" customWidth="1"/>
    <col min="9757" max="9758" width="15.7109375" style="585" customWidth="1"/>
    <col min="9759" max="9760" width="12.7109375" style="585" customWidth="1"/>
    <col min="9761" max="9761" width="10.7109375" style="585" customWidth="1"/>
    <col min="9762" max="9762" width="30.7109375" style="585" customWidth="1"/>
    <col min="9763" max="9764" width="10.7109375" style="585" customWidth="1"/>
    <col min="9765" max="9765" width="15.7109375" style="585" customWidth="1"/>
    <col min="9766" max="9767" width="12.7109375" style="585" customWidth="1"/>
    <col min="9768" max="9769" width="10.7109375" style="585" customWidth="1"/>
    <col min="9770" max="9770" width="38.7109375" style="585" customWidth="1"/>
    <col min="9771" max="9777" width="12.7109375" style="585" customWidth="1"/>
    <col min="9778" max="9778" width="40.7109375" style="585" customWidth="1"/>
    <col min="9779" max="9785" width="12.7109375" style="585" customWidth="1"/>
    <col min="9786" max="9786" width="43.28515625" style="585" customWidth="1"/>
    <col min="9787" max="9791" width="11.7109375" style="585" customWidth="1"/>
    <col min="9792" max="9795" width="10.7109375" style="585" customWidth="1"/>
    <col min="9796" max="9797" width="9.5703125" style="585" customWidth="1"/>
    <col min="9798" max="9798" width="9.140625" style="585"/>
    <col min="9799" max="9799" width="31.7109375" style="585" customWidth="1"/>
    <col min="9800" max="9800" width="12.7109375" style="585" customWidth="1"/>
    <col min="9801" max="9801" width="13.28515625" style="585" customWidth="1"/>
    <col min="9802" max="9803" width="12.7109375" style="585" customWidth="1"/>
    <col min="9804" max="9805" width="13.28515625" style="585" customWidth="1"/>
    <col min="9806" max="9806" width="12.7109375" style="585" customWidth="1"/>
    <col min="9807" max="9808" width="9.140625" style="585"/>
    <col min="9809" max="9809" width="28.7109375" style="585" customWidth="1"/>
    <col min="9810" max="9810" width="10.7109375" style="585" customWidth="1"/>
    <col min="9811" max="9811" width="12.7109375" style="585" customWidth="1"/>
    <col min="9812" max="9813" width="10.7109375" style="585" customWidth="1"/>
    <col min="9814" max="9814" width="14.7109375" style="585" customWidth="1"/>
    <col min="9815" max="9818" width="9.140625" style="585"/>
    <col min="9819" max="9819" width="22.7109375" style="585" customWidth="1"/>
    <col min="9820" max="9820" width="10.7109375" style="585" customWidth="1"/>
    <col min="9821" max="9821" width="12.7109375" style="585" customWidth="1"/>
    <col min="9822" max="9823" width="10.7109375" style="585" customWidth="1"/>
    <col min="9824" max="9824" width="12.7109375" style="585" customWidth="1"/>
    <col min="9825" max="9826" width="10.7109375" style="585" customWidth="1"/>
    <col min="9827" max="9827" width="9.140625" style="585"/>
    <col min="9828" max="9828" width="20.7109375" style="585" customWidth="1"/>
    <col min="9829" max="9829" width="10.7109375" style="585" customWidth="1"/>
    <col min="9830" max="9830" width="12.7109375" style="585" customWidth="1"/>
    <col min="9831" max="9832" width="10.7109375" style="585" customWidth="1"/>
    <col min="9833" max="9833" width="14.7109375" style="585" customWidth="1"/>
    <col min="9834" max="9834" width="10.7109375" style="585" customWidth="1"/>
    <col min="9835" max="9837" width="9.140625" style="585"/>
    <col min="9838" max="9838" width="20.7109375" style="585" customWidth="1"/>
    <col min="9839" max="9839" width="10.7109375" style="585" customWidth="1"/>
    <col min="9840" max="9841" width="11.7109375" style="585" customWidth="1"/>
    <col min="9842" max="9842" width="10.7109375" style="585" customWidth="1"/>
    <col min="9843" max="9843" width="12.7109375" style="585" customWidth="1"/>
    <col min="9844" max="9845" width="10.7109375" style="585" customWidth="1"/>
    <col min="9846" max="9847" width="9.140625" style="585"/>
    <col min="9848" max="9848" width="25.42578125" style="585" customWidth="1"/>
    <col min="9849" max="9852" width="10.7109375" style="585" customWidth="1"/>
    <col min="9853" max="9853" width="12.7109375" style="585" customWidth="1"/>
    <col min="9854" max="9855" width="10.7109375" style="585" customWidth="1"/>
    <col min="9856" max="9985" width="9.140625" style="585"/>
    <col min="9986" max="9986" width="28.7109375" style="585" customWidth="1"/>
    <col min="9987" max="9987" width="8.5703125" style="585" bestFit="1" customWidth="1"/>
    <col min="9988" max="9999" width="7.7109375" style="585" customWidth="1"/>
    <col min="10000" max="10001" width="6.5703125" style="585" customWidth="1"/>
    <col min="10002" max="10002" width="20.7109375" style="585" customWidth="1"/>
    <col min="10003" max="10009" width="12.7109375" style="585" customWidth="1"/>
    <col min="10010" max="10010" width="30.7109375" style="585" customWidth="1"/>
    <col min="10011" max="10012" width="10.7109375" style="585" customWidth="1"/>
    <col min="10013" max="10014" width="15.7109375" style="585" customWidth="1"/>
    <col min="10015" max="10016" width="12.7109375" style="585" customWidth="1"/>
    <col min="10017" max="10017" width="10.7109375" style="585" customWidth="1"/>
    <col min="10018" max="10018" width="30.7109375" style="585" customWidth="1"/>
    <col min="10019" max="10020" width="10.7109375" style="585" customWidth="1"/>
    <col min="10021" max="10021" width="15.7109375" style="585" customWidth="1"/>
    <col min="10022" max="10023" width="12.7109375" style="585" customWidth="1"/>
    <col min="10024" max="10025" width="10.7109375" style="585" customWidth="1"/>
    <col min="10026" max="10026" width="38.7109375" style="585" customWidth="1"/>
    <col min="10027" max="10033" width="12.7109375" style="585" customWidth="1"/>
    <col min="10034" max="10034" width="40.7109375" style="585" customWidth="1"/>
    <col min="10035" max="10041" width="12.7109375" style="585" customWidth="1"/>
    <col min="10042" max="10042" width="43.28515625" style="585" customWidth="1"/>
    <col min="10043" max="10047" width="11.7109375" style="585" customWidth="1"/>
    <col min="10048" max="10051" width="10.7109375" style="585" customWidth="1"/>
    <col min="10052" max="10053" width="9.5703125" style="585" customWidth="1"/>
    <col min="10054" max="10054" width="9.140625" style="585"/>
    <col min="10055" max="10055" width="31.7109375" style="585" customWidth="1"/>
    <col min="10056" max="10056" width="12.7109375" style="585" customWidth="1"/>
    <col min="10057" max="10057" width="13.28515625" style="585" customWidth="1"/>
    <col min="10058" max="10059" width="12.7109375" style="585" customWidth="1"/>
    <col min="10060" max="10061" width="13.28515625" style="585" customWidth="1"/>
    <col min="10062" max="10062" width="12.7109375" style="585" customWidth="1"/>
    <col min="10063" max="10064" width="9.140625" style="585"/>
    <col min="10065" max="10065" width="28.7109375" style="585" customWidth="1"/>
    <col min="10066" max="10066" width="10.7109375" style="585" customWidth="1"/>
    <col min="10067" max="10067" width="12.7109375" style="585" customWidth="1"/>
    <col min="10068" max="10069" width="10.7109375" style="585" customWidth="1"/>
    <col min="10070" max="10070" width="14.7109375" style="585" customWidth="1"/>
    <col min="10071" max="10074" width="9.140625" style="585"/>
    <col min="10075" max="10075" width="22.7109375" style="585" customWidth="1"/>
    <col min="10076" max="10076" width="10.7109375" style="585" customWidth="1"/>
    <col min="10077" max="10077" width="12.7109375" style="585" customWidth="1"/>
    <col min="10078" max="10079" width="10.7109375" style="585" customWidth="1"/>
    <col min="10080" max="10080" width="12.7109375" style="585" customWidth="1"/>
    <col min="10081" max="10082" width="10.7109375" style="585" customWidth="1"/>
    <col min="10083" max="10083" width="9.140625" style="585"/>
    <col min="10084" max="10084" width="20.7109375" style="585" customWidth="1"/>
    <col min="10085" max="10085" width="10.7109375" style="585" customWidth="1"/>
    <col min="10086" max="10086" width="12.7109375" style="585" customWidth="1"/>
    <col min="10087" max="10088" width="10.7109375" style="585" customWidth="1"/>
    <col min="10089" max="10089" width="14.7109375" style="585" customWidth="1"/>
    <col min="10090" max="10090" width="10.7109375" style="585" customWidth="1"/>
    <col min="10091" max="10093" width="9.140625" style="585"/>
    <col min="10094" max="10094" width="20.7109375" style="585" customWidth="1"/>
    <col min="10095" max="10095" width="10.7109375" style="585" customWidth="1"/>
    <col min="10096" max="10097" width="11.7109375" style="585" customWidth="1"/>
    <col min="10098" max="10098" width="10.7109375" style="585" customWidth="1"/>
    <col min="10099" max="10099" width="12.7109375" style="585" customWidth="1"/>
    <col min="10100" max="10101" width="10.7109375" style="585" customWidth="1"/>
    <col min="10102" max="10103" width="9.140625" style="585"/>
    <col min="10104" max="10104" width="25.42578125" style="585" customWidth="1"/>
    <col min="10105" max="10108" width="10.7109375" style="585" customWidth="1"/>
    <col min="10109" max="10109" width="12.7109375" style="585" customWidth="1"/>
    <col min="10110" max="10111" width="10.7109375" style="585" customWidth="1"/>
    <col min="10112" max="10241" width="9.140625" style="585"/>
    <col min="10242" max="10242" width="28.7109375" style="585" customWidth="1"/>
    <col min="10243" max="10243" width="8.5703125" style="585" bestFit="1" customWidth="1"/>
    <col min="10244" max="10255" width="7.7109375" style="585" customWidth="1"/>
    <col min="10256" max="10257" width="6.5703125" style="585" customWidth="1"/>
    <col min="10258" max="10258" width="20.7109375" style="585" customWidth="1"/>
    <col min="10259" max="10265" width="12.7109375" style="585" customWidth="1"/>
    <col min="10266" max="10266" width="30.7109375" style="585" customWidth="1"/>
    <col min="10267" max="10268" width="10.7109375" style="585" customWidth="1"/>
    <col min="10269" max="10270" width="15.7109375" style="585" customWidth="1"/>
    <col min="10271" max="10272" width="12.7109375" style="585" customWidth="1"/>
    <col min="10273" max="10273" width="10.7109375" style="585" customWidth="1"/>
    <col min="10274" max="10274" width="30.7109375" style="585" customWidth="1"/>
    <col min="10275" max="10276" width="10.7109375" style="585" customWidth="1"/>
    <col min="10277" max="10277" width="15.7109375" style="585" customWidth="1"/>
    <col min="10278" max="10279" width="12.7109375" style="585" customWidth="1"/>
    <col min="10280" max="10281" width="10.7109375" style="585" customWidth="1"/>
    <col min="10282" max="10282" width="38.7109375" style="585" customWidth="1"/>
    <col min="10283" max="10289" width="12.7109375" style="585" customWidth="1"/>
    <col min="10290" max="10290" width="40.7109375" style="585" customWidth="1"/>
    <col min="10291" max="10297" width="12.7109375" style="585" customWidth="1"/>
    <col min="10298" max="10298" width="43.28515625" style="585" customWidth="1"/>
    <col min="10299" max="10303" width="11.7109375" style="585" customWidth="1"/>
    <col min="10304" max="10307" width="10.7109375" style="585" customWidth="1"/>
    <col min="10308" max="10309" width="9.5703125" style="585" customWidth="1"/>
    <col min="10310" max="10310" width="9.140625" style="585"/>
    <col min="10311" max="10311" width="31.7109375" style="585" customWidth="1"/>
    <col min="10312" max="10312" width="12.7109375" style="585" customWidth="1"/>
    <col min="10313" max="10313" width="13.28515625" style="585" customWidth="1"/>
    <col min="10314" max="10315" width="12.7109375" style="585" customWidth="1"/>
    <col min="10316" max="10317" width="13.28515625" style="585" customWidth="1"/>
    <col min="10318" max="10318" width="12.7109375" style="585" customWidth="1"/>
    <col min="10319" max="10320" width="9.140625" style="585"/>
    <col min="10321" max="10321" width="28.7109375" style="585" customWidth="1"/>
    <col min="10322" max="10322" width="10.7109375" style="585" customWidth="1"/>
    <col min="10323" max="10323" width="12.7109375" style="585" customWidth="1"/>
    <col min="10324" max="10325" width="10.7109375" style="585" customWidth="1"/>
    <col min="10326" max="10326" width="14.7109375" style="585" customWidth="1"/>
    <col min="10327" max="10330" width="9.140625" style="585"/>
    <col min="10331" max="10331" width="22.7109375" style="585" customWidth="1"/>
    <col min="10332" max="10332" width="10.7109375" style="585" customWidth="1"/>
    <col min="10333" max="10333" width="12.7109375" style="585" customWidth="1"/>
    <col min="10334" max="10335" width="10.7109375" style="585" customWidth="1"/>
    <col min="10336" max="10336" width="12.7109375" style="585" customWidth="1"/>
    <col min="10337" max="10338" width="10.7109375" style="585" customWidth="1"/>
    <col min="10339" max="10339" width="9.140625" style="585"/>
    <col min="10340" max="10340" width="20.7109375" style="585" customWidth="1"/>
    <col min="10341" max="10341" width="10.7109375" style="585" customWidth="1"/>
    <col min="10342" max="10342" width="12.7109375" style="585" customWidth="1"/>
    <col min="10343" max="10344" width="10.7109375" style="585" customWidth="1"/>
    <col min="10345" max="10345" width="14.7109375" style="585" customWidth="1"/>
    <col min="10346" max="10346" width="10.7109375" style="585" customWidth="1"/>
    <col min="10347" max="10349" width="9.140625" style="585"/>
    <col min="10350" max="10350" width="20.7109375" style="585" customWidth="1"/>
    <col min="10351" max="10351" width="10.7109375" style="585" customWidth="1"/>
    <col min="10352" max="10353" width="11.7109375" style="585" customWidth="1"/>
    <col min="10354" max="10354" width="10.7109375" style="585" customWidth="1"/>
    <col min="10355" max="10355" width="12.7109375" style="585" customWidth="1"/>
    <col min="10356" max="10357" width="10.7109375" style="585" customWidth="1"/>
    <col min="10358" max="10359" width="9.140625" style="585"/>
    <col min="10360" max="10360" width="25.42578125" style="585" customWidth="1"/>
    <col min="10361" max="10364" width="10.7109375" style="585" customWidth="1"/>
    <col min="10365" max="10365" width="12.7109375" style="585" customWidth="1"/>
    <col min="10366" max="10367" width="10.7109375" style="585" customWidth="1"/>
    <col min="10368" max="10497" width="9.140625" style="585"/>
    <col min="10498" max="10498" width="28.7109375" style="585" customWidth="1"/>
    <col min="10499" max="10499" width="8.5703125" style="585" bestFit="1" customWidth="1"/>
    <col min="10500" max="10511" width="7.7109375" style="585" customWidth="1"/>
    <col min="10512" max="10513" width="6.5703125" style="585" customWidth="1"/>
    <col min="10514" max="10514" width="20.7109375" style="585" customWidth="1"/>
    <col min="10515" max="10521" width="12.7109375" style="585" customWidth="1"/>
    <col min="10522" max="10522" width="30.7109375" style="585" customWidth="1"/>
    <col min="10523" max="10524" width="10.7109375" style="585" customWidth="1"/>
    <col min="10525" max="10526" width="15.7109375" style="585" customWidth="1"/>
    <col min="10527" max="10528" width="12.7109375" style="585" customWidth="1"/>
    <col min="10529" max="10529" width="10.7109375" style="585" customWidth="1"/>
    <col min="10530" max="10530" width="30.7109375" style="585" customWidth="1"/>
    <col min="10531" max="10532" width="10.7109375" style="585" customWidth="1"/>
    <col min="10533" max="10533" width="15.7109375" style="585" customWidth="1"/>
    <col min="10534" max="10535" width="12.7109375" style="585" customWidth="1"/>
    <col min="10536" max="10537" width="10.7109375" style="585" customWidth="1"/>
    <col min="10538" max="10538" width="38.7109375" style="585" customWidth="1"/>
    <col min="10539" max="10545" width="12.7109375" style="585" customWidth="1"/>
    <col min="10546" max="10546" width="40.7109375" style="585" customWidth="1"/>
    <col min="10547" max="10553" width="12.7109375" style="585" customWidth="1"/>
    <col min="10554" max="10554" width="43.28515625" style="585" customWidth="1"/>
    <col min="10555" max="10559" width="11.7109375" style="585" customWidth="1"/>
    <col min="10560" max="10563" width="10.7109375" style="585" customWidth="1"/>
    <col min="10564" max="10565" width="9.5703125" style="585" customWidth="1"/>
    <col min="10566" max="10566" width="9.140625" style="585"/>
    <col min="10567" max="10567" width="31.7109375" style="585" customWidth="1"/>
    <col min="10568" max="10568" width="12.7109375" style="585" customWidth="1"/>
    <col min="10569" max="10569" width="13.28515625" style="585" customWidth="1"/>
    <col min="10570" max="10571" width="12.7109375" style="585" customWidth="1"/>
    <col min="10572" max="10573" width="13.28515625" style="585" customWidth="1"/>
    <col min="10574" max="10574" width="12.7109375" style="585" customWidth="1"/>
    <col min="10575" max="10576" width="9.140625" style="585"/>
    <col min="10577" max="10577" width="28.7109375" style="585" customWidth="1"/>
    <col min="10578" max="10578" width="10.7109375" style="585" customWidth="1"/>
    <col min="10579" max="10579" width="12.7109375" style="585" customWidth="1"/>
    <col min="10580" max="10581" width="10.7109375" style="585" customWidth="1"/>
    <col min="10582" max="10582" width="14.7109375" style="585" customWidth="1"/>
    <col min="10583" max="10586" width="9.140625" style="585"/>
    <col min="10587" max="10587" width="22.7109375" style="585" customWidth="1"/>
    <col min="10588" max="10588" width="10.7109375" style="585" customWidth="1"/>
    <col min="10589" max="10589" width="12.7109375" style="585" customWidth="1"/>
    <col min="10590" max="10591" width="10.7109375" style="585" customWidth="1"/>
    <col min="10592" max="10592" width="12.7109375" style="585" customWidth="1"/>
    <col min="10593" max="10594" width="10.7109375" style="585" customWidth="1"/>
    <col min="10595" max="10595" width="9.140625" style="585"/>
    <col min="10596" max="10596" width="20.7109375" style="585" customWidth="1"/>
    <col min="10597" max="10597" width="10.7109375" style="585" customWidth="1"/>
    <col min="10598" max="10598" width="12.7109375" style="585" customWidth="1"/>
    <col min="10599" max="10600" width="10.7109375" style="585" customWidth="1"/>
    <col min="10601" max="10601" width="14.7109375" style="585" customWidth="1"/>
    <col min="10602" max="10602" width="10.7109375" style="585" customWidth="1"/>
    <col min="10603" max="10605" width="9.140625" style="585"/>
    <col min="10606" max="10606" width="20.7109375" style="585" customWidth="1"/>
    <col min="10607" max="10607" width="10.7109375" style="585" customWidth="1"/>
    <col min="10608" max="10609" width="11.7109375" style="585" customWidth="1"/>
    <col min="10610" max="10610" width="10.7109375" style="585" customWidth="1"/>
    <col min="10611" max="10611" width="12.7109375" style="585" customWidth="1"/>
    <col min="10612" max="10613" width="10.7109375" style="585" customWidth="1"/>
    <col min="10614" max="10615" width="9.140625" style="585"/>
    <col min="10616" max="10616" width="25.42578125" style="585" customWidth="1"/>
    <col min="10617" max="10620" width="10.7109375" style="585" customWidth="1"/>
    <col min="10621" max="10621" width="12.7109375" style="585" customWidth="1"/>
    <col min="10622" max="10623" width="10.7109375" style="585" customWidth="1"/>
    <col min="10624" max="10753" width="9.140625" style="585"/>
    <col min="10754" max="10754" width="28.7109375" style="585" customWidth="1"/>
    <col min="10755" max="10755" width="8.5703125" style="585" bestFit="1" customWidth="1"/>
    <col min="10756" max="10767" width="7.7109375" style="585" customWidth="1"/>
    <col min="10768" max="10769" width="6.5703125" style="585" customWidth="1"/>
    <col min="10770" max="10770" width="20.7109375" style="585" customWidth="1"/>
    <col min="10771" max="10777" width="12.7109375" style="585" customWidth="1"/>
    <col min="10778" max="10778" width="30.7109375" style="585" customWidth="1"/>
    <col min="10779" max="10780" width="10.7109375" style="585" customWidth="1"/>
    <col min="10781" max="10782" width="15.7109375" style="585" customWidth="1"/>
    <col min="10783" max="10784" width="12.7109375" style="585" customWidth="1"/>
    <col min="10785" max="10785" width="10.7109375" style="585" customWidth="1"/>
    <col min="10786" max="10786" width="30.7109375" style="585" customWidth="1"/>
    <col min="10787" max="10788" width="10.7109375" style="585" customWidth="1"/>
    <col min="10789" max="10789" width="15.7109375" style="585" customWidth="1"/>
    <col min="10790" max="10791" width="12.7109375" style="585" customWidth="1"/>
    <col min="10792" max="10793" width="10.7109375" style="585" customWidth="1"/>
    <col min="10794" max="10794" width="38.7109375" style="585" customWidth="1"/>
    <col min="10795" max="10801" width="12.7109375" style="585" customWidth="1"/>
    <col min="10802" max="10802" width="40.7109375" style="585" customWidth="1"/>
    <col min="10803" max="10809" width="12.7109375" style="585" customWidth="1"/>
    <col min="10810" max="10810" width="43.28515625" style="585" customWidth="1"/>
    <col min="10811" max="10815" width="11.7109375" style="585" customWidth="1"/>
    <col min="10816" max="10819" width="10.7109375" style="585" customWidth="1"/>
    <col min="10820" max="10821" width="9.5703125" style="585" customWidth="1"/>
    <col min="10822" max="10822" width="9.140625" style="585"/>
    <col min="10823" max="10823" width="31.7109375" style="585" customWidth="1"/>
    <col min="10824" max="10824" width="12.7109375" style="585" customWidth="1"/>
    <col min="10825" max="10825" width="13.28515625" style="585" customWidth="1"/>
    <col min="10826" max="10827" width="12.7109375" style="585" customWidth="1"/>
    <col min="10828" max="10829" width="13.28515625" style="585" customWidth="1"/>
    <col min="10830" max="10830" width="12.7109375" style="585" customWidth="1"/>
    <col min="10831" max="10832" width="9.140625" style="585"/>
    <col min="10833" max="10833" width="28.7109375" style="585" customWidth="1"/>
    <col min="10834" max="10834" width="10.7109375" style="585" customWidth="1"/>
    <col min="10835" max="10835" width="12.7109375" style="585" customWidth="1"/>
    <col min="10836" max="10837" width="10.7109375" style="585" customWidth="1"/>
    <col min="10838" max="10838" width="14.7109375" style="585" customWidth="1"/>
    <col min="10839" max="10842" width="9.140625" style="585"/>
    <col min="10843" max="10843" width="22.7109375" style="585" customWidth="1"/>
    <col min="10844" max="10844" width="10.7109375" style="585" customWidth="1"/>
    <col min="10845" max="10845" width="12.7109375" style="585" customWidth="1"/>
    <col min="10846" max="10847" width="10.7109375" style="585" customWidth="1"/>
    <col min="10848" max="10848" width="12.7109375" style="585" customWidth="1"/>
    <col min="10849" max="10850" width="10.7109375" style="585" customWidth="1"/>
    <col min="10851" max="10851" width="9.140625" style="585"/>
    <col min="10852" max="10852" width="20.7109375" style="585" customWidth="1"/>
    <col min="10853" max="10853" width="10.7109375" style="585" customWidth="1"/>
    <col min="10854" max="10854" width="12.7109375" style="585" customWidth="1"/>
    <col min="10855" max="10856" width="10.7109375" style="585" customWidth="1"/>
    <col min="10857" max="10857" width="14.7109375" style="585" customWidth="1"/>
    <col min="10858" max="10858" width="10.7109375" style="585" customWidth="1"/>
    <col min="10859" max="10861" width="9.140625" style="585"/>
    <col min="10862" max="10862" width="20.7109375" style="585" customWidth="1"/>
    <col min="10863" max="10863" width="10.7109375" style="585" customWidth="1"/>
    <col min="10864" max="10865" width="11.7109375" style="585" customWidth="1"/>
    <col min="10866" max="10866" width="10.7109375" style="585" customWidth="1"/>
    <col min="10867" max="10867" width="12.7109375" style="585" customWidth="1"/>
    <col min="10868" max="10869" width="10.7109375" style="585" customWidth="1"/>
    <col min="10870" max="10871" width="9.140625" style="585"/>
    <col min="10872" max="10872" width="25.42578125" style="585" customWidth="1"/>
    <col min="10873" max="10876" width="10.7109375" style="585" customWidth="1"/>
    <col min="10877" max="10877" width="12.7109375" style="585" customWidth="1"/>
    <col min="10878" max="10879" width="10.7109375" style="585" customWidth="1"/>
    <col min="10880" max="11009" width="9.140625" style="585"/>
    <col min="11010" max="11010" width="28.7109375" style="585" customWidth="1"/>
    <col min="11011" max="11011" width="8.5703125" style="585" bestFit="1" customWidth="1"/>
    <col min="11012" max="11023" width="7.7109375" style="585" customWidth="1"/>
    <col min="11024" max="11025" width="6.5703125" style="585" customWidth="1"/>
    <col min="11026" max="11026" width="20.7109375" style="585" customWidth="1"/>
    <col min="11027" max="11033" width="12.7109375" style="585" customWidth="1"/>
    <col min="11034" max="11034" width="30.7109375" style="585" customWidth="1"/>
    <col min="11035" max="11036" width="10.7109375" style="585" customWidth="1"/>
    <col min="11037" max="11038" width="15.7109375" style="585" customWidth="1"/>
    <col min="11039" max="11040" width="12.7109375" style="585" customWidth="1"/>
    <col min="11041" max="11041" width="10.7109375" style="585" customWidth="1"/>
    <col min="11042" max="11042" width="30.7109375" style="585" customWidth="1"/>
    <col min="11043" max="11044" width="10.7109375" style="585" customWidth="1"/>
    <col min="11045" max="11045" width="15.7109375" style="585" customWidth="1"/>
    <col min="11046" max="11047" width="12.7109375" style="585" customWidth="1"/>
    <col min="11048" max="11049" width="10.7109375" style="585" customWidth="1"/>
    <col min="11050" max="11050" width="38.7109375" style="585" customWidth="1"/>
    <col min="11051" max="11057" width="12.7109375" style="585" customWidth="1"/>
    <col min="11058" max="11058" width="40.7109375" style="585" customWidth="1"/>
    <col min="11059" max="11065" width="12.7109375" style="585" customWidth="1"/>
    <col min="11066" max="11066" width="43.28515625" style="585" customWidth="1"/>
    <col min="11067" max="11071" width="11.7109375" style="585" customWidth="1"/>
    <col min="11072" max="11075" width="10.7109375" style="585" customWidth="1"/>
    <col min="11076" max="11077" width="9.5703125" style="585" customWidth="1"/>
    <col min="11078" max="11078" width="9.140625" style="585"/>
    <col min="11079" max="11079" width="31.7109375" style="585" customWidth="1"/>
    <col min="11080" max="11080" width="12.7109375" style="585" customWidth="1"/>
    <col min="11081" max="11081" width="13.28515625" style="585" customWidth="1"/>
    <col min="11082" max="11083" width="12.7109375" style="585" customWidth="1"/>
    <col min="11084" max="11085" width="13.28515625" style="585" customWidth="1"/>
    <col min="11086" max="11086" width="12.7109375" style="585" customWidth="1"/>
    <col min="11087" max="11088" width="9.140625" style="585"/>
    <col min="11089" max="11089" width="28.7109375" style="585" customWidth="1"/>
    <col min="11090" max="11090" width="10.7109375" style="585" customWidth="1"/>
    <col min="11091" max="11091" width="12.7109375" style="585" customWidth="1"/>
    <col min="11092" max="11093" width="10.7109375" style="585" customWidth="1"/>
    <col min="11094" max="11094" width="14.7109375" style="585" customWidth="1"/>
    <col min="11095" max="11098" width="9.140625" style="585"/>
    <col min="11099" max="11099" width="22.7109375" style="585" customWidth="1"/>
    <col min="11100" max="11100" width="10.7109375" style="585" customWidth="1"/>
    <col min="11101" max="11101" width="12.7109375" style="585" customWidth="1"/>
    <col min="11102" max="11103" width="10.7109375" style="585" customWidth="1"/>
    <col min="11104" max="11104" width="12.7109375" style="585" customWidth="1"/>
    <col min="11105" max="11106" width="10.7109375" style="585" customWidth="1"/>
    <col min="11107" max="11107" width="9.140625" style="585"/>
    <col min="11108" max="11108" width="20.7109375" style="585" customWidth="1"/>
    <col min="11109" max="11109" width="10.7109375" style="585" customWidth="1"/>
    <col min="11110" max="11110" width="12.7109375" style="585" customWidth="1"/>
    <col min="11111" max="11112" width="10.7109375" style="585" customWidth="1"/>
    <col min="11113" max="11113" width="14.7109375" style="585" customWidth="1"/>
    <col min="11114" max="11114" width="10.7109375" style="585" customWidth="1"/>
    <col min="11115" max="11117" width="9.140625" style="585"/>
    <col min="11118" max="11118" width="20.7109375" style="585" customWidth="1"/>
    <col min="11119" max="11119" width="10.7109375" style="585" customWidth="1"/>
    <col min="11120" max="11121" width="11.7109375" style="585" customWidth="1"/>
    <col min="11122" max="11122" width="10.7109375" style="585" customWidth="1"/>
    <col min="11123" max="11123" width="12.7109375" style="585" customWidth="1"/>
    <col min="11124" max="11125" width="10.7109375" style="585" customWidth="1"/>
    <col min="11126" max="11127" width="9.140625" style="585"/>
    <col min="11128" max="11128" width="25.42578125" style="585" customWidth="1"/>
    <col min="11129" max="11132" width="10.7109375" style="585" customWidth="1"/>
    <col min="11133" max="11133" width="12.7109375" style="585" customWidth="1"/>
    <col min="11134" max="11135" width="10.7109375" style="585" customWidth="1"/>
    <col min="11136" max="11265" width="9.140625" style="585"/>
    <col min="11266" max="11266" width="28.7109375" style="585" customWidth="1"/>
    <col min="11267" max="11267" width="8.5703125" style="585" bestFit="1" customWidth="1"/>
    <col min="11268" max="11279" width="7.7109375" style="585" customWidth="1"/>
    <col min="11280" max="11281" width="6.5703125" style="585" customWidth="1"/>
    <col min="11282" max="11282" width="20.7109375" style="585" customWidth="1"/>
    <col min="11283" max="11289" width="12.7109375" style="585" customWidth="1"/>
    <col min="11290" max="11290" width="30.7109375" style="585" customWidth="1"/>
    <col min="11291" max="11292" width="10.7109375" style="585" customWidth="1"/>
    <col min="11293" max="11294" width="15.7109375" style="585" customWidth="1"/>
    <col min="11295" max="11296" width="12.7109375" style="585" customWidth="1"/>
    <col min="11297" max="11297" width="10.7109375" style="585" customWidth="1"/>
    <col min="11298" max="11298" width="30.7109375" style="585" customWidth="1"/>
    <col min="11299" max="11300" width="10.7109375" style="585" customWidth="1"/>
    <col min="11301" max="11301" width="15.7109375" style="585" customWidth="1"/>
    <col min="11302" max="11303" width="12.7109375" style="585" customWidth="1"/>
    <col min="11304" max="11305" width="10.7109375" style="585" customWidth="1"/>
    <col min="11306" max="11306" width="38.7109375" style="585" customWidth="1"/>
    <col min="11307" max="11313" width="12.7109375" style="585" customWidth="1"/>
    <col min="11314" max="11314" width="40.7109375" style="585" customWidth="1"/>
    <col min="11315" max="11321" width="12.7109375" style="585" customWidth="1"/>
    <col min="11322" max="11322" width="43.28515625" style="585" customWidth="1"/>
    <col min="11323" max="11327" width="11.7109375" style="585" customWidth="1"/>
    <col min="11328" max="11331" width="10.7109375" style="585" customWidth="1"/>
    <col min="11332" max="11333" width="9.5703125" style="585" customWidth="1"/>
    <col min="11334" max="11334" width="9.140625" style="585"/>
    <col min="11335" max="11335" width="31.7109375" style="585" customWidth="1"/>
    <col min="11336" max="11336" width="12.7109375" style="585" customWidth="1"/>
    <col min="11337" max="11337" width="13.28515625" style="585" customWidth="1"/>
    <col min="11338" max="11339" width="12.7109375" style="585" customWidth="1"/>
    <col min="11340" max="11341" width="13.28515625" style="585" customWidth="1"/>
    <col min="11342" max="11342" width="12.7109375" style="585" customWidth="1"/>
    <col min="11343" max="11344" width="9.140625" style="585"/>
    <col min="11345" max="11345" width="28.7109375" style="585" customWidth="1"/>
    <col min="11346" max="11346" width="10.7109375" style="585" customWidth="1"/>
    <col min="11347" max="11347" width="12.7109375" style="585" customWidth="1"/>
    <col min="11348" max="11349" width="10.7109375" style="585" customWidth="1"/>
    <col min="11350" max="11350" width="14.7109375" style="585" customWidth="1"/>
    <col min="11351" max="11354" width="9.140625" style="585"/>
    <col min="11355" max="11355" width="22.7109375" style="585" customWidth="1"/>
    <col min="11356" max="11356" width="10.7109375" style="585" customWidth="1"/>
    <col min="11357" max="11357" width="12.7109375" style="585" customWidth="1"/>
    <col min="11358" max="11359" width="10.7109375" style="585" customWidth="1"/>
    <col min="11360" max="11360" width="12.7109375" style="585" customWidth="1"/>
    <col min="11361" max="11362" width="10.7109375" style="585" customWidth="1"/>
    <col min="11363" max="11363" width="9.140625" style="585"/>
    <col min="11364" max="11364" width="20.7109375" style="585" customWidth="1"/>
    <col min="11365" max="11365" width="10.7109375" style="585" customWidth="1"/>
    <col min="11366" max="11366" width="12.7109375" style="585" customWidth="1"/>
    <col min="11367" max="11368" width="10.7109375" style="585" customWidth="1"/>
    <col min="11369" max="11369" width="14.7109375" style="585" customWidth="1"/>
    <col min="11370" max="11370" width="10.7109375" style="585" customWidth="1"/>
    <col min="11371" max="11373" width="9.140625" style="585"/>
    <col min="11374" max="11374" width="20.7109375" style="585" customWidth="1"/>
    <col min="11375" max="11375" width="10.7109375" style="585" customWidth="1"/>
    <col min="11376" max="11377" width="11.7109375" style="585" customWidth="1"/>
    <col min="11378" max="11378" width="10.7109375" style="585" customWidth="1"/>
    <col min="11379" max="11379" width="12.7109375" style="585" customWidth="1"/>
    <col min="11380" max="11381" width="10.7109375" style="585" customWidth="1"/>
    <col min="11382" max="11383" width="9.140625" style="585"/>
    <col min="11384" max="11384" width="25.42578125" style="585" customWidth="1"/>
    <col min="11385" max="11388" width="10.7109375" style="585" customWidth="1"/>
    <col min="11389" max="11389" width="12.7109375" style="585" customWidth="1"/>
    <col min="11390" max="11391" width="10.7109375" style="585" customWidth="1"/>
    <col min="11392" max="11521" width="9.140625" style="585"/>
    <col min="11522" max="11522" width="28.7109375" style="585" customWidth="1"/>
    <col min="11523" max="11523" width="8.5703125" style="585" bestFit="1" customWidth="1"/>
    <col min="11524" max="11535" width="7.7109375" style="585" customWidth="1"/>
    <col min="11536" max="11537" width="6.5703125" style="585" customWidth="1"/>
    <col min="11538" max="11538" width="20.7109375" style="585" customWidth="1"/>
    <col min="11539" max="11545" width="12.7109375" style="585" customWidth="1"/>
    <col min="11546" max="11546" width="30.7109375" style="585" customWidth="1"/>
    <col min="11547" max="11548" width="10.7109375" style="585" customWidth="1"/>
    <col min="11549" max="11550" width="15.7109375" style="585" customWidth="1"/>
    <col min="11551" max="11552" width="12.7109375" style="585" customWidth="1"/>
    <col min="11553" max="11553" width="10.7109375" style="585" customWidth="1"/>
    <col min="11554" max="11554" width="30.7109375" style="585" customWidth="1"/>
    <col min="11555" max="11556" width="10.7109375" style="585" customWidth="1"/>
    <col min="11557" max="11557" width="15.7109375" style="585" customWidth="1"/>
    <col min="11558" max="11559" width="12.7109375" style="585" customWidth="1"/>
    <col min="11560" max="11561" width="10.7109375" style="585" customWidth="1"/>
    <col min="11562" max="11562" width="38.7109375" style="585" customWidth="1"/>
    <col min="11563" max="11569" width="12.7109375" style="585" customWidth="1"/>
    <col min="11570" max="11570" width="40.7109375" style="585" customWidth="1"/>
    <col min="11571" max="11577" width="12.7109375" style="585" customWidth="1"/>
    <col min="11578" max="11578" width="43.28515625" style="585" customWidth="1"/>
    <col min="11579" max="11583" width="11.7109375" style="585" customWidth="1"/>
    <col min="11584" max="11587" width="10.7109375" style="585" customWidth="1"/>
    <col min="11588" max="11589" width="9.5703125" style="585" customWidth="1"/>
    <col min="11590" max="11590" width="9.140625" style="585"/>
    <col min="11591" max="11591" width="31.7109375" style="585" customWidth="1"/>
    <col min="11592" max="11592" width="12.7109375" style="585" customWidth="1"/>
    <col min="11593" max="11593" width="13.28515625" style="585" customWidth="1"/>
    <col min="11594" max="11595" width="12.7109375" style="585" customWidth="1"/>
    <col min="11596" max="11597" width="13.28515625" style="585" customWidth="1"/>
    <col min="11598" max="11598" width="12.7109375" style="585" customWidth="1"/>
    <col min="11599" max="11600" width="9.140625" style="585"/>
    <col min="11601" max="11601" width="28.7109375" style="585" customWidth="1"/>
    <col min="11602" max="11602" width="10.7109375" style="585" customWidth="1"/>
    <col min="11603" max="11603" width="12.7109375" style="585" customWidth="1"/>
    <col min="11604" max="11605" width="10.7109375" style="585" customWidth="1"/>
    <col min="11606" max="11606" width="14.7109375" style="585" customWidth="1"/>
    <col min="11607" max="11610" width="9.140625" style="585"/>
    <col min="11611" max="11611" width="22.7109375" style="585" customWidth="1"/>
    <col min="11612" max="11612" width="10.7109375" style="585" customWidth="1"/>
    <col min="11613" max="11613" width="12.7109375" style="585" customWidth="1"/>
    <col min="11614" max="11615" width="10.7109375" style="585" customWidth="1"/>
    <col min="11616" max="11616" width="12.7109375" style="585" customWidth="1"/>
    <col min="11617" max="11618" width="10.7109375" style="585" customWidth="1"/>
    <col min="11619" max="11619" width="9.140625" style="585"/>
    <col min="11620" max="11620" width="20.7109375" style="585" customWidth="1"/>
    <col min="11621" max="11621" width="10.7109375" style="585" customWidth="1"/>
    <col min="11622" max="11622" width="12.7109375" style="585" customWidth="1"/>
    <col min="11623" max="11624" width="10.7109375" style="585" customWidth="1"/>
    <col min="11625" max="11625" width="14.7109375" style="585" customWidth="1"/>
    <col min="11626" max="11626" width="10.7109375" style="585" customWidth="1"/>
    <col min="11627" max="11629" width="9.140625" style="585"/>
    <col min="11630" max="11630" width="20.7109375" style="585" customWidth="1"/>
    <col min="11631" max="11631" width="10.7109375" style="585" customWidth="1"/>
    <col min="11632" max="11633" width="11.7109375" style="585" customWidth="1"/>
    <col min="11634" max="11634" width="10.7109375" style="585" customWidth="1"/>
    <col min="11635" max="11635" width="12.7109375" style="585" customWidth="1"/>
    <col min="11636" max="11637" width="10.7109375" style="585" customWidth="1"/>
    <col min="11638" max="11639" width="9.140625" style="585"/>
    <col min="11640" max="11640" width="25.42578125" style="585" customWidth="1"/>
    <col min="11641" max="11644" width="10.7109375" style="585" customWidth="1"/>
    <col min="11645" max="11645" width="12.7109375" style="585" customWidth="1"/>
    <col min="11646" max="11647" width="10.7109375" style="585" customWidth="1"/>
    <col min="11648" max="11777" width="9.140625" style="585"/>
    <col min="11778" max="11778" width="28.7109375" style="585" customWidth="1"/>
    <col min="11779" max="11779" width="8.5703125" style="585" bestFit="1" customWidth="1"/>
    <col min="11780" max="11791" width="7.7109375" style="585" customWidth="1"/>
    <col min="11792" max="11793" width="6.5703125" style="585" customWidth="1"/>
    <col min="11794" max="11794" width="20.7109375" style="585" customWidth="1"/>
    <col min="11795" max="11801" width="12.7109375" style="585" customWidth="1"/>
    <col min="11802" max="11802" width="30.7109375" style="585" customWidth="1"/>
    <col min="11803" max="11804" width="10.7109375" style="585" customWidth="1"/>
    <col min="11805" max="11806" width="15.7109375" style="585" customWidth="1"/>
    <col min="11807" max="11808" width="12.7109375" style="585" customWidth="1"/>
    <col min="11809" max="11809" width="10.7109375" style="585" customWidth="1"/>
    <col min="11810" max="11810" width="30.7109375" style="585" customWidth="1"/>
    <col min="11811" max="11812" width="10.7109375" style="585" customWidth="1"/>
    <col min="11813" max="11813" width="15.7109375" style="585" customWidth="1"/>
    <col min="11814" max="11815" width="12.7109375" style="585" customWidth="1"/>
    <col min="11816" max="11817" width="10.7109375" style="585" customWidth="1"/>
    <col min="11818" max="11818" width="38.7109375" style="585" customWidth="1"/>
    <col min="11819" max="11825" width="12.7109375" style="585" customWidth="1"/>
    <col min="11826" max="11826" width="40.7109375" style="585" customWidth="1"/>
    <col min="11827" max="11833" width="12.7109375" style="585" customWidth="1"/>
    <col min="11834" max="11834" width="43.28515625" style="585" customWidth="1"/>
    <col min="11835" max="11839" width="11.7109375" style="585" customWidth="1"/>
    <col min="11840" max="11843" width="10.7109375" style="585" customWidth="1"/>
    <col min="11844" max="11845" width="9.5703125" style="585" customWidth="1"/>
    <col min="11846" max="11846" width="9.140625" style="585"/>
    <col min="11847" max="11847" width="31.7109375" style="585" customWidth="1"/>
    <col min="11848" max="11848" width="12.7109375" style="585" customWidth="1"/>
    <col min="11849" max="11849" width="13.28515625" style="585" customWidth="1"/>
    <col min="11850" max="11851" width="12.7109375" style="585" customWidth="1"/>
    <col min="11852" max="11853" width="13.28515625" style="585" customWidth="1"/>
    <col min="11854" max="11854" width="12.7109375" style="585" customWidth="1"/>
    <col min="11855" max="11856" width="9.140625" style="585"/>
    <col min="11857" max="11857" width="28.7109375" style="585" customWidth="1"/>
    <col min="11858" max="11858" width="10.7109375" style="585" customWidth="1"/>
    <col min="11859" max="11859" width="12.7109375" style="585" customWidth="1"/>
    <col min="11860" max="11861" width="10.7109375" style="585" customWidth="1"/>
    <col min="11862" max="11862" width="14.7109375" style="585" customWidth="1"/>
    <col min="11863" max="11866" width="9.140625" style="585"/>
    <col min="11867" max="11867" width="22.7109375" style="585" customWidth="1"/>
    <col min="11868" max="11868" width="10.7109375" style="585" customWidth="1"/>
    <col min="11869" max="11869" width="12.7109375" style="585" customWidth="1"/>
    <col min="11870" max="11871" width="10.7109375" style="585" customWidth="1"/>
    <col min="11872" max="11872" width="12.7109375" style="585" customWidth="1"/>
    <col min="11873" max="11874" width="10.7109375" style="585" customWidth="1"/>
    <col min="11875" max="11875" width="9.140625" style="585"/>
    <col min="11876" max="11876" width="20.7109375" style="585" customWidth="1"/>
    <col min="11877" max="11877" width="10.7109375" style="585" customWidth="1"/>
    <col min="11878" max="11878" width="12.7109375" style="585" customWidth="1"/>
    <col min="11879" max="11880" width="10.7109375" style="585" customWidth="1"/>
    <col min="11881" max="11881" width="14.7109375" style="585" customWidth="1"/>
    <col min="11882" max="11882" width="10.7109375" style="585" customWidth="1"/>
    <col min="11883" max="11885" width="9.140625" style="585"/>
    <col min="11886" max="11886" width="20.7109375" style="585" customWidth="1"/>
    <col min="11887" max="11887" width="10.7109375" style="585" customWidth="1"/>
    <col min="11888" max="11889" width="11.7109375" style="585" customWidth="1"/>
    <col min="11890" max="11890" width="10.7109375" style="585" customWidth="1"/>
    <col min="11891" max="11891" width="12.7109375" style="585" customWidth="1"/>
    <col min="11892" max="11893" width="10.7109375" style="585" customWidth="1"/>
    <col min="11894" max="11895" width="9.140625" style="585"/>
    <col min="11896" max="11896" width="25.42578125" style="585" customWidth="1"/>
    <col min="11897" max="11900" width="10.7109375" style="585" customWidth="1"/>
    <col min="11901" max="11901" width="12.7109375" style="585" customWidth="1"/>
    <col min="11902" max="11903" width="10.7109375" style="585" customWidth="1"/>
    <col min="11904" max="12033" width="9.140625" style="585"/>
    <col min="12034" max="12034" width="28.7109375" style="585" customWidth="1"/>
    <col min="12035" max="12035" width="8.5703125" style="585" bestFit="1" customWidth="1"/>
    <col min="12036" max="12047" width="7.7109375" style="585" customWidth="1"/>
    <col min="12048" max="12049" width="6.5703125" style="585" customWidth="1"/>
    <col min="12050" max="12050" width="20.7109375" style="585" customWidth="1"/>
    <col min="12051" max="12057" width="12.7109375" style="585" customWidth="1"/>
    <col min="12058" max="12058" width="30.7109375" style="585" customWidth="1"/>
    <col min="12059" max="12060" width="10.7109375" style="585" customWidth="1"/>
    <col min="12061" max="12062" width="15.7109375" style="585" customWidth="1"/>
    <col min="12063" max="12064" width="12.7109375" style="585" customWidth="1"/>
    <col min="12065" max="12065" width="10.7109375" style="585" customWidth="1"/>
    <col min="12066" max="12066" width="30.7109375" style="585" customWidth="1"/>
    <col min="12067" max="12068" width="10.7109375" style="585" customWidth="1"/>
    <col min="12069" max="12069" width="15.7109375" style="585" customWidth="1"/>
    <col min="12070" max="12071" width="12.7109375" style="585" customWidth="1"/>
    <col min="12072" max="12073" width="10.7109375" style="585" customWidth="1"/>
    <col min="12074" max="12074" width="38.7109375" style="585" customWidth="1"/>
    <col min="12075" max="12081" width="12.7109375" style="585" customWidth="1"/>
    <col min="12082" max="12082" width="40.7109375" style="585" customWidth="1"/>
    <col min="12083" max="12089" width="12.7109375" style="585" customWidth="1"/>
    <col min="12090" max="12090" width="43.28515625" style="585" customWidth="1"/>
    <col min="12091" max="12095" width="11.7109375" style="585" customWidth="1"/>
    <col min="12096" max="12099" width="10.7109375" style="585" customWidth="1"/>
    <col min="12100" max="12101" width="9.5703125" style="585" customWidth="1"/>
    <col min="12102" max="12102" width="9.140625" style="585"/>
    <col min="12103" max="12103" width="31.7109375" style="585" customWidth="1"/>
    <col min="12104" max="12104" width="12.7109375" style="585" customWidth="1"/>
    <col min="12105" max="12105" width="13.28515625" style="585" customWidth="1"/>
    <col min="12106" max="12107" width="12.7109375" style="585" customWidth="1"/>
    <col min="12108" max="12109" width="13.28515625" style="585" customWidth="1"/>
    <col min="12110" max="12110" width="12.7109375" style="585" customWidth="1"/>
    <col min="12111" max="12112" width="9.140625" style="585"/>
    <col min="12113" max="12113" width="28.7109375" style="585" customWidth="1"/>
    <col min="12114" max="12114" width="10.7109375" style="585" customWidth="1"/>
    <col min="12115" max="12115" width="12.7109375" style="585" customWidth="1"/>
    <col min="12116" max="12117" width="10.7109375" style="585" customWidth="1"/>
    <col min="12118" max="12118" width="14.7109375" style="585" customWidth="1"/>
    <col min="12119" max="12122" width="9.140625" style="585"/>
    <col min="12123" max="12123" width="22.7109375" style="585" customWidth="1"/>
    <col min="12124" max="12124" width="10.7109375" style="585" customWidth="1"/>
    <col min="12125" max="12125" width="12.7109375" style="585" customWidth="1"/>
    <col min="12126" max="12127" width="10.7109375" style="585" customWidth="1"/>
    <col min="12128" max="12128" width="12.7109375" style="585" customWidth="1"/>
    <col min="12129" max="12130" width="10.7109375" style="585" customWidth="1"/>
    <col min="12131" max="12131" width="9.140625" style="585"/>
    <col min="12132" max="12132" width="20.7109375" style="585" customWidth="1"/>
    <col min="12133" max="12133" width="10.7109375" style="585" customWidth="1"/>
    <col min="12134" max="12134" width="12.7109375" style="585" customWidth="1"/>
    <col min="12135" max="12136" width="10.7109375" style="585" customWidth="1"/>
    <col min="12137" max="12137" width="14.7109375" style="585" customWidth="1"/>
    <col min="12138" max="12138" width="10.7109375" style="585" customWidth="1"/>
    <col min="12139" max="12141" width="9.140625" style="585"/>
    <col min="12142" max="12142" width="20.7109375" style="585" customWidth="1"/>
    <col min="12143" max="12143" width="10.7109375" style="585" customWidth="1"/>
    <col min="12144" max="12145" width="11.7109375" style="585" customWidth="1"/>
    <col min="12146" max="12146" width="10.7109375" style="585" customWidth="1"/>
    <col min="12147" max="12147" width="12.7109375" style="585" customWidth="1"/>
    <col min="12148" max="12149" width="10.7109375" style="585" customWidth="1"/>
    <col min="12150" max="12151" width="9.140625" style="585"/>
    <col min="12152" max="12152" width="25.42578125" style="585" customWidth="1"/>
    <col min="12153" max="12156" width="10.7109375" style="585" customWidth="1"/>
    <col min="12157" max="12157" width="12.7109375" style="585" customWidth="1"/>
    <col min="12158" max="12159" width="10.7109375" style="585" customWidth="1"/>
    <col min="12160" max="12289" width="9.140625" style="585"/>
    <col min="12290" max="12290" width="28.7109375" style="585" customWidth="1"/>
    <col min="12291" max="12291" width="8.5703125" style="585" bestFit="1" customWidth="1"/>
    <col min="12292" max="12303" width="7.7109375" style="585" customWidth="1"/>
    <col min="12304" max="12305" width="6.5703125" style="585" customWidth="1"/>
    <col min="12306" max="12306" width="20.7109375" style="585" customWidth="1"/>
    <col min="12307" max="12313" width="12.7109375" style="585" customWidth="1"/>
    <col min="12314" max="12314" width="30.7109375" style="585" customWidth="1"/>
    <col min="12315" max="12316" width="10.7109375" style="585" customWidth="1"/>
    <col min="12317" max="12318" width="15.7109375" style="585" customWidth="1"/>
    <col min="12319" max="12320" width="12.7109375" style="585" customWidth="1"/>
    <col min="12321" max="12321" width="10.7109375" style="585" customWidth="1"/>
    <col min="12322" max="12322" width="30.7109375" style="585" customWidth="1"/>
    <col min="12323" max="12324" width="10.7109375" style="585" customWidth="1"/>
    <col min="12325" max="12325" width="15.7109375" style="585" customWidth="1"/>
    <col min="12326" max="12327" width="12.7109375" style="585" customWidth="1"/>
    <col min="12328" max="12329" width="10.7109375" style="585" customWidth="1"/>
    <col min="12330" max="12330" width="38.7109375" style="585" customWidth="1"/>
    <col min="12331" max="12337" width="12.7109375" style="585" customWidth="1"/>
    <col min="12338" max="12338" width="40.7109375" style="585" customWidth="1"/>
    <col min="12339" max="12345" width="12.7109375" style="585" customWidth="1"/>
    <col min="12346" max="12346" width="43.28515625" style="585" customWidth="1"/>
    <col min="12347" max="12351" width="11.7109375" style="585" customWidth="1"/>
    <col min="12352" max="12355" width="10.7109375" style="585" customWidth="1"/>
    <col min="12356" max="12357" width="9.5703125" style="585" customWidth="1"/>
    <col min="12358" max="12358" width="9.140625" style="585"/>
    <col min="12359" max="12359" width="31.7109375" style="585" customWidth="1"/>
    <col min="12360" max="12360" width="12.7109375" style="585" customWidth="1"/>
    <col min="12361" max="12361" width="13.28515625" style="585" customWidth="1"/>
    <col min="12362" max="12363" width="12.7109375" style="585" customWidth="1"/>
    <col min="12364" max="12365" width="13.28515625" style="585" customWidth="1"/>
    <col min="12366" max="12366" width="12.7109375" style="585" customWidth="1"/>
    <col min="12367" max="12368" width="9.140625" style="585"/>
    <col min="12369" max="12369" width="28.7109375" style="585" customWidth="1"/>
    <col min="12370" max="12370" width="10.7109375" style="585" customWidth="1"/>
    <col min="12371" max="12371" width="12.7109375" style="585" customWidth="1"/>
    <col min="12372" max="12373" width="10.7109375" style="585" customWidth="1"/>
    <col min="12374" max="12374" width="14.7109375" style="585" customWidth="1"/>
    <col min="12375" max="12378" width="9.140625" style="585"/>
    <col min="12379" max="12379" width="22.7109375" style="585" customWidth="1"/>
    <col min="12380" max="12380" width="10.7109375" style="585" customWidth="1"/>
    <col min="12381" max="12381" width="12.7109375" style="585" customWidth="1"/>
    <col min="12382" max="12383" width="10.7109375" style="585" customWidth="1"/>
    <col min="12384" max="12384" width="12.7109375" style="585" customWidth="1"/>
    <col min="12385" max="12386" width="10.7109375" style="585" customWidth="1"/>
    <col min="12387" max="12387" width="9.140625" style="585"/>
    <col min="12388" max="12388" width="20.7109375" style="585" customWidth="1"/>
    <col min="12389" max="12389" width="10.7109375" style="585" customWidth="1"/>
    <col min="12390" max="12390" width="12.7109375" style="585" customWidth="1"/>
    <col min="12391" max="12392" width="10.7109375" style="585" customWidth="1"/>
    <col min="12393" max="12393" width="14.7109375" style="585" customWidth="1"/>
    <col min="12394" max="12394" width="10.7109375" style="585" customWidth="1"/>
    <col min="12395" max="12397" width="9.140625" style="585"/>
    <col min="12398" max="12398" width="20.7109375" style="585" customWidth="1"/>
    <col min="12399" max="12399" width="10.7109375" style="585" customWidth="1"/>
    <col min="12400" max="12401" width="11.7109375" style="585" customWidth="1"/>
    <col min="12402" max="12402" width="10.7109375" style="585" customWidth="1"/>
    <col min="12403" max="12403" width="12.7109375" style="585" customWidth="1"/>
    <col min="12404" max="12405" width="10.7109375" style="585" customWidth="1"/>
    <col min="12406" max="12407" width="9.140625" style="585"/>
    <col min="12408" max="12408" width="25.42578125" style="585" customWidth="1"/>
    <col min="12409" max="12412" width="10.7109375" style="585" customWidth="1"/>
    <col min="12413" max="12413" width="12.7109375" style="585" customWidth="1"/>
    <col min="12414" max="12415" width="10.7109375" style="585" customWidth="1"/>
    <col min="12416" max="12545" width="9.140625" style="585"/>
    <col min="12546" max="12546" width="28.7109375" style="585" customWidth="1"/>
    <col min="12547" max="12547" width="8.5703125" style="585" bestFit="1" customWidth="1"/>
    <col min="12548" max="12559" width="7.7109375" style="585" customWidth="1"/>
    <col min="12560" max="12561" width="6.5703125" style="585" customWidth="1"/>
    <col min="12562" max="12562" width="20.7109375" style="585" customWidth="1"/>
    <col min="12563" max="12569" width="12.7109375" style="585" customWidth="1"/>
    <col min="12570" max="12570" width="30.7109375" style="585" customWidth="1"/>
    <col min="12571" max="12572" width="10.7109375" style="585" customWidth="1"/>
    <col min="12573" max="12574" width="15.7109375" style="585" customWidth="1"/>
    <col min="12575" max="12576" width="12.7109375" style="585" customWidth="1"/>
    <col min="12577" max="12577" width="10.7109375" style="585" customWidth="1"/>
    <col min="12578" max="12578" width="30.7109375" style="585" customWidth="1"/>
    <col min="12579" max="12580" width="10.7109375" style="585" customWidth="1"/>
    <col min="12581" max="12581" width="15.7109375" style="585" customWidth="1"/>
    <col min="12582" max="12583" width="12.7109375" style="585" customWidth="1"/>
    <col min="12584" max="12585" width="10.7109375" style="585" customWidth="1"/>
    <col min="12586" max="12586" width="38.7109375" style="585" customWidth="1"/>
    <col min="12587" max="12593" width="12.7109375" style="585" customWidth="1"/>
    <col min="12594" max="12594" width="40.7109375" style="585" customWidth="1"/>
    <col min="12595" max="12601" width="12.7109375" style="585" customWidth="1"/>
    <col min="12602" max="12602" width="43.28515625" style="585" customWidth="1"/>
    <col min="12603" max="12607" width="11.7109375" style="585" customWidth="1"/>
    <col min="12608" max="12611" width="10.7109375" style="585" customWidth="1"/>
    <col min="12612" max="12613" width="9.5703125" style="585" customWidth="1"/>
    <col min="12614" max="12614" width="9.140625" style="585"/>
    <col min="12615" max="12615" width="31.7109375" style="585" customWidth="1"/>
    <col min="12616" max="12616" width="12.7109375" style="585" customWidth="1"/>
    <col min="12617" max="12617" width="13.28515625" style="585" customWidth="1"/>
    <col min="12618" max="12619" width="12.7109375" style="585" customWidth="1"/>
    <col min="12620" max="12621" width="13.28515625" style="585" customWidth="1"/>
    <col min="12622" max="12622" width="12.7109375" style="585" customWidth="1"/>
    <col min="12623" max="12624" width="9.140625" style="585"/>
    <col min="12625" max="12625" width="28.7109375" style="585" customWidth="1"/>
    <col min="12626" max="12626" width="10.7109375" style="585" customWidth="1"/>
    <col min="12627" max="12627" width="12.7109375" style="585" customWidth="1"/>
    <col min="12628" max="12629" width="10.7109375" style="585" customWidth="1"/>
    <col min="12630" max="12630" width="14.7109375" style="585" customWidth="1"/>
    <col min="12631" max="12634" width="9.140625" style="585"/>
    <col min="12635" max="12635" width="22.7109375" style="585" customWidth="1"/>
    <col min="12636" max="12636" width="10.7109375" style="585" customWidth="1"/>
    <col min="12637" max="12637" width="12.7109375" style="585" customWidth="1"/>
    <col min="12638" max="12639" width="10.7109375" style="585" customWidth="1"/>
    <col min="12640" max="12640" width="12.7109375" style="585" customWidth="1"/>
    <col min="12641" max="12642" width="10.7109375" style="585" customWidth="1"/>
    <col min="12643" max="12643" width="9.140625" style="585"/>
    <col min="12644" max="12644" width="20.7109375" style="585" customWidth="1"/>
    <col min="12645" max="12645" width="10.7109375" style="585" customWidth="1"/>
    <col min="12646" max="12646" width="12.7109375" style="585" customWidth="1"/>
    <col min="12647" max="12648" width="10.7109375" style="585" customWidth="1"/>
    <col min="12649" max="12649" width="14.7109375" style="585" customWidth="1"/>
    <col min="12650" max="12650" width="10.7109375" style="585" customWidth="1"/>
    <col min="12651" max="12653" width="9.140625" style="585"/>
    <col min="12654" max="12654" width="20.7109375" style="585" customWidth="1"/>
    <col min="12655" max="12655" width="10.7109375" style="585" customWidth="1"/>
    <col min="12656" max="12657" width="11.7109375" style="585" customWidth="1"/>
    <col min="12658" max="12658" width="10.7109375" style="585" customWidth="1"/>
    <col min="12659" max="12659" width="12.7109375" style="585" customWidth="1"/>
    <col min="12660" max="12661" width="10.7109375" style="585" customWidth="1"/>
    <col min="12662" max="12663" width="9.140625" style="585"/>
    <col min="12664" max="12664" width="25.42578125" style="585" customWidth="1"/>
    <col min="12665" max="12668" width="10.7109375" style="585" customWidth="1"/>
    <col min="12669" max="12669" width="12.7109375" style="585" customWidth="1"/>
    <col min="12670" max="12671" width="10.7109375" style="585" customWidth="1"/>
    <col min="12672" max="12801" width="9.140625" style="585"/>
    <col min="12802" max="12802" width="28.7109375" style="585" customWidth="1"/>
    <col min="12803" max="12803" width="8.5703125" style="585" bestFit="1" customWidth="1"/>
    <col min="12804" max="12815" width="7.7109375" style="585" customWidth="1"/>
    <col min="12816" max="12817" width="6.5703125" style="585" customWidth="1"/>
    <col min="12818" max="12818" width="20.7109375" style="585" customWidth="1"/>
    <col min="12819" max="12825" width="12.7109375" style="585" customWidth="1"/>
    <col min="12826" max="12826" width="30.7109375" style="585" customWidth="1"/>
    <col min="12827" max="12828" width="10.7109375" style="585" customWidth="1"/>
    <col min="12829" max="12830" width="15.7109375" style="585" customWidth="1"/>
    <col min="12831" max="12832" width="12.7109375" style="585" customWidth="1"/>
    <col min="12833" max="12833" width="10.7109375" style="585" customWidth="1"/>
    <col min="12834" max="12834" width="30.7109375" style="585" customWidth="1"/>
    <col min="12835" max="12836" width="10.7109375" style="585" customWidth="1"/>
    <col min="12837" max="12837" width="15.7109375" style="585" customWidth="1"/>
    <col min="12838" max="12839" width="12.7109375" style="585" customWidth="1"/>
    <col min="12840" max="12841" width="10.7109375" style="585" customWidth="1"/>
    <col min="12842" max="12842" width="38.7109375" style="585" customWidth="1"/>
    <col min="12843" max="12849" width="12.7109375" style="585" customWidth="1"/>
    <col min="12850" max="12850" width="40.7109375" style="585" customWidth="1"/>
    <col min="12851" max="12857" width="12.7109375" style="585" customWidth="1"/>
    <col min="12858" max="12858" width="43.28515625" style="585" customWidth="1"/>
    <col min="12859" max="12863" width="11.7109375" style="585" customWidth="1"/>
    <col min="12864" max="12867" width="10.7109375" style="585" customWidth="1"/>
    <col min="12868" max="12869" width="9.5703125" style="585" customWidth="1"/>
    <col min="12870" max="12870" width="9.140625" style="585"/>
    <col min="12871" max="12871" width="31.7109375" style="585" customWidth="1"/>
    <col min="12872" max="12872" width="12.7109375" style="585" customWidth="1"/>
    <col min="12873" max="12873" width="13.28515625" style="585" customWidth="1"/>
    <col min="12874" max="12875" width="12.7109375" style="585" customWidth="1"/>
    <col min="12876" max="12877" width="13.28515625" style="585" customWidth="1"/>
    <col min="12878" max="12878" width="12.7109375" style="585" customWidth="1"/>
    <col min="12879" max="12880" width="9.140625" style="585"/>
    <col min="12881" max="12881" width="28.7109375" style="585" customWidth="1"/>
    <col min="12882" max="12882" width="10.7109375" style="585" customWidth="1"/>
    <col min="12883" max="12883" width="12.7109375" style="585" customWidth="1"/>
    <col min="12884" max="12885" width="10.7109375" style="585" customWidth="1"/>
    <col min="12886" max="12886" width="14.7109375" style="585" customWidth="1"/>
    <col min="12887" max="12890" width="9.140625" style="585"/>
    <col min="12891" max="12891" width="22.7109375" style="585" customWidth="1"/>
    <col min="12892" max="12892" width="10.7109375" style="585" customWidth="1"/>
    <col min="12893" max="12893" width="12.7109375" style="585" customWidth="1"/>
    <col min="12894" max="12895" width="10.7109375" style="585" customWidth="1"/>
    <col min="12896" max="12896" width="12.7109375" style="585" customWidth="1"/>
    <col min="12897" max="12898" width="10.7109375" style="585" customWidth="1"/>
    <col min="12899" max="12899" width="9.140625" style="585"/>
    <col min="12900" max="12900" width="20.7109375" style="585" customWidth="1"/>
    <col min="12901" max="12901" width="10.7109375" style="585" customWidth="1"/>
    <col min="12902" max="12902" width="12.7109375" style="585" customWidth="1"/>
    <col min="12903" max="12904" width="10.7109375" style="585" customWidth="1"/>
    <col min="12905" max="12905" width="14.7109375" style="585" customWidth="1"/>
    <col min="12906" max="12906" width="10.7109375" style="585" customWidth="1"/>
    <col min="12907" max="12909" width="9.140625" style="585"/>
    <col min="12910" max="12910" width="20.7109375" style="585" customWidth="1"/>
    <col min="12911" max="12911" width="10.7109375" style="585" customWidth="1"/>
    <col min="12912" max="12913" width="11.7109375" style="585" customWidth="1"/>
    <col min="12914" max="12914" width="10.7109375" style="585" customWidth="1"/>
    <col min="12915" max="12915" width="12.7109375" style="585" customWidth="1"/>
    <col min="12916" max="12917" width="10.7109375" style="585" customWidth="1"/>
    <col min="12918" max="12919" width="9.140625" style="585"/>
    <col min="12920" max="12920" width="25.42578125" style="585" customWidth="1"/>
    <col min="12921" max="12924" width="10.7109375" style="585" customWidth="1"/>
    <col min="12925" max="12925" width="12.7109375" style="585" customWidth="1"/>
    <col min="12926" max="12927" width="10.7109375" style="585" customWidth="1"/>
    <col min="12928" max="13057" width="9.140625" style="585"/>
    <col min="13058" max="13058" width="28.7109375" style="585" customWidth="1"/>
    <col min="13059" max="13059" width="8.5703125" style="585" bestFit="1" customWidth="1"/>
    <col min="13060" max="13071" width="7.7109375" style="585" customWidth="1"/>
    <col min="13072" max="13073" width="6.5703125" style="585" customWidth="1"/>
    <col min="13074" max="13074" width="20.7109375" style="585" customWidth="1"/>
    <col min="13075" max="13081" width="12.7109375" style="585" customWidth="1"/>
    <col min="13082" max="13082" width="30.7109375" style="585" customWidth="1"/>
    <col min="13083" max="13084" width="10.7109375" style="585" customWidth="1"/>
    <col min="13085" max="13086" width="15.7109375" style="585" customWidth="1"/>
    <col min="13087" max="13088" width="12.7109375" style="585" customWidth="1"/>
    <col min="13089" max="13089" width="10.7109375" style="585" customWidth="1"/>
    <col min="13090" max="13090" width="30.7109375" style="585" customWidth="1"/>
    <col min="13091" max="13092" width="10.7109375" style="585" customWidth="1"/>
    <col min="13093" max="13093" width="15.7109375" style="585" customWidth="1"/>
    <col min="13094" max="13095" width="12.7109375" style="585" customWidth="1"/>
    <col min="13096" max="13097" width="10.7109375" style="585" customWidth="1"/>
    <col min="13098" max="13098" width="38.7109375" style="585" customWidth="1"/>
    <col min="13099" max="13105" width="12.7109375" style="585" customWidth="1"/>
    <col min="13106" max="13106" width="40.7109375" style="585" customWidth="1"/>
    <col min="13107" max="13113" width="12.7109375" style="585" customWidth="1"/>
    <col min="13114" max="13114" width="43.28515625" style="585" customWidth="1"/>
    <col min="13115" max="13119" width="11.7109375" style="585" customWidth="1"/>
    <col min="13120" max="13123" width="10.7109375" style="585" customWidth="1"/>
    <col min="13124" max="13125" width="9.5703125" style="585" customWidth="1"/>
    <col min="13126" max="13126" width="9.140625" style="585"/>
    <col min="13127" max="13127" width="31.7109375" style="585" customWidth="1"/>
    <col min="13128" max="13128" width="12.7109375" style="585" customWidth="1"/>
    <col min="13129" max="13129" width="13.28515625" style="585" customWidth="1"/>
    <col min="13130" max="13131" width="12.7109375" style="585" customWidth="1"/>
    <col min="13132" max="13133" width="13.28515625" style="585" customWidth="1"/>
    <col min="13134" max="13134" width="12.7109375" style="585" customWidth="1"/>
    <col min="13135" max="13136" width="9.140625" style="585"/>
    <col min="13137" max="13137" width="28.7109375" style="585" customWidth="1"/>
    <col min="13138" max="13138" width="10.7109375" style="585" customWidth="1"/>
    <col min="13139" max="13139" width="12.7109375" style="585" customWidth="1"/>
    <col min="13140" max="13141" width="10.7109375" style="585" customWidth="1"/>
    <col min="13142" max="13142" width="14.7109375" style="585" customWidth="1"/>
    <col min="13143" max="13146" width="9.140625" style="585"/>
    <col min="13147" max="13147" width="22.7109375" style="585" customWidth="1"/>
    <col min="13148" max="13148" width="10.7109375" style="585" customWidth="1"/>
    <col min="13149" max="13149" width="12.7109375" style="585" customWidth="1"/>
    <col min="13150" max="13151" width="10.7109375" style="585" customWidth="1"/>
    <col min="13152" max="13152" width="12.7109375" style="585" customWidth="1"/>
    <col min="13153" max="13154" width="10.7109375" style="585" customWidth="1"/>
    <col min="13155" max="13155" width="9.140625" style="585"/>
    <col min="13156" max="13156" width="20.7109375" style="585" customWidth="1"/>
    <col min="13157" max="13157" width="10.7109375" style="585" customWidth="1"/>
    <col min="13158" max="13158" width="12.7109375" style="585" customWidth="1"/>
    <col min="13159" max="13160" width="10.7109375" style="585" customWidth="1"/>
    <col min="13161" max="13161" width="14.7109375" style="585" customWidth="1"/>
    <col min="13162" max="13162" width="10.7109375" style="585" customWidth="1"/>
    <col min="13163" max="13165" width="9.140625" style="585"/>
    <col min="13166" max="13166" width="20.7109375" style="585" customWidth="1"/>
    <col min="13167" max="13167" width="10.7109375" style="585" customWidth="1"/>
    <col min="13168" max="13169" width="11.7109375" style="585" customWidth="1"/>
    <col min="13170" max="13170" width="10.7109375" style="585" customWidth="1"/>
    <col min="13171" max="13171" width="12.7109375" style="585" customWidth="1"/>
    <col min="13172" max="13173" width="10.7109375" style="585" customWidth="1"/>
    <col min="13174" max="13175" width="9.140625" style="585"/>
    <col min="13176" max="13176" width="25.42578125" style="585" customWidth="1"/>
    <col min="13177" max="13180" width="10.7109375" style="585" customWidth="1"/>
    <col min="13181" max="13181" width="12.7109375" style="585" customWidth="1"/>
    <col min="13182" max="13183" width="10.7109375" style="585" customWidth="1"/>
    <col min="13184" max="13313" width="9.140625" style="585"/>
    <col min="13314" max="13314" width="28.7109375" style="585" customWidth="1"/>
    <col min="13315" max="13315" width="8.5703125" style="585" bestFit="1" customWidth="1"/>
    <col min="13316" max="13327" width="7.7109375" style="585" customWidth="1"/>
    <col min="13328" max="13329" width="6.5703125" style="585" customWidth="1"/>
    <col min="13330" max="13330" width="20.7109375" style="585" customWidth="1"/>
    <col min="13331" max="13337" width="12.7109375" style="585" customWidth="1"/>
    <col min="13338" max="13338" width="30.7109375" style="585" customWidth="1"/>
    <col min="13339" max="13340" width="10.7109375" style="585" customWidth="1"/>
    <col min="13341" max="13342" width="15.7109375" style="585" customWidth="1"/>
    <col min="13343" max="13344" width="12.7109375" style="585" customWidth="1"/>
    <col min="13345" max="13345" width="10.7109375" style="585" customWidth="1"/>
    <col min="13346" max="13346" width="30.7109375" style="585" customWidth="1"/>
    <col min="13347" max="13348" width="10.7109375" style="585" customWidth="1"/>
    <col min="13349" max="13349" width="15.7109375" style="585" customWidth="1"/>
    <col min="13350" max="13351" width="12.7109375" style="585" customWidth="1"/>
    <col min="13352" max="13353" width="10.7109375" style="585" customWidth="1"/>
    <col min="13354" max="13354" width="38.7109375" style="585" customWidth="1"/>
    <col min="13355" max="13361" width="12.7109375" style="585" customWidth="1"/>
    <col min="13362" max="13362" width="40.7109375" style="585" customWidth="1"/>
    <col min="13363" max="13369" width="12.7109375" style="585" customWidth="1"/>
    <col min="13370" max="13370" width="43.28515625" style="585" customWidth="1"/>
    <col min="13371" max="13375" width="11.7109375" style="585" customWidth="1"/>
    <col min="13376" max="13379" width="10.7109375" style="585" customWidth="1"/>
    <col min="13380" max="13381" width="9.5703125" style="585" customWidth="1"/>
    <col min="13382" max="13382" width="9.140625" style="585"/>
    <col min="13383" max="13383" width="31.7109375" style="585" customWidth="1"/>
    <col min="13384" max="13384" width="12.7109375" style="585" customWidth="1"/>
    <col min="13385" max="13385" width="13.28515625" style="585" customWidth="1"/>
    <col min="13386" max="13387" width="12.7109375" style="585" customWidth="1"/>
    <col min="13388" max="13389" width="13.28515625" style="585" customWidth="1"/>
    <col min="13390" max="13390" width="12.7109375" style="585" customWidth="1"/>
    <col min="13391" max="13392" width="9.140625" style="585"/>
    <col min="13393" max="13393" width="28.7109375" style="585" customWidth="1"/>
    <col min="13394" max="13394" width="10.7109375" style="585" customWidth="1"/>
    <col min="13395" max="13395" width="12.7109375" style="585" customWidth="1"/>
    <col min="13396" max="13397" width="10.7109375" style="585" customWidth="1"/>
    <col min="13398" max="13398" width="14.7109375" style="585" customWidth="1"/>
    <col min="13399" max="13402" width="9.140625" style="585"/>
    <col min="13403" max="13403" width="22.7109375" style="585" customWidth="1"/>
    <col min="13404" max="13404" width="10.7109375" style="585" customWidth="1"/>
    <col min="13405" max="13405" width="12.7109375" style="585" customWidth="1"/>
    <col min="13406" max="13407" width="10.7109375" style="585" customWidth="1"/>
    <col min="13408" max="13408" width="12.7109375" style="585" customWidth="1"/>
    <col min="13409" max="13410" width="10.7109375" style="585" customWidth="1"/>
    <col min="13411" max="13411" width="9.140625" style="585"/>
    <col min="13412" max="13412" width="20.7109375" style="585" customWidth="1"/>
    <col min="13413" max="13413" width="10.7109375" style="585" customWidth="1"/>
    <col min="13414" max="13414" width="12.7109375" style="585" customWidth="1"/>
    <col min="13415" max="13416" width="10.7109375" style="585" customWidth="1"/>
    <col min="13417" max="13417" width="14.7109375" style="585" customWidth="1"/>
    <col min="13418" max="13418" width="10.7109375" style="585" customWidth="1"/>
    <col min="13419" max="13421" width="9.140625" style="585"/>
    <col min="13422" max="13422" width="20.7109375" style="585" customWidth="1"/>
    <col min="13423" max="13423" width="10.7109375" style="585" customWidth="1"/>
    <col min="13424" max="13425" width="11.7109375" style="585" customWidth="1"/>
    <col min="13426" max="13426" width="10.7109375" style="585" customWidth="1"/>
    <col min="13427" max="13427" width="12.7109375" style="585" customWidth="1"/>
    <col min="13428" max="13429" width="10.7109375" style="585" customWidth="1"/>
    <col min="13430" max="13431" width="9.140625" style="585"/>
    <col min="13432" max="13432" width="25.42578125" style="585" customWidth="1"/>
    <col min="13433" max="13436" width="10.7109375" style="585" customWidth="1"/>
    <col min="13437" max="13437" width="12.7109375" style="585" customWidth="1"/>
    <col min="13438" max="13439" width="10.7109375" style="585" customWidth="1"/>
    <col min="13440" max="13569" width="9.140625" style="585"/>
    <col min="13570" max="13570" width="28.7109375" style="585" customWidth="1"/>
    <col min="13571" max="13571" width="8.5703125" style="585" bestFit="1" customWidth="1"/>
    <col min="13572" max="13583" width="7.7109375" style="585" customWidth="1"/>
    <col min="13584" max="13585" width="6.5703125" style="585" customWidth="1"/>
    <col min="13586" max="13586" width="20.7109375" style="585" customWidth="1"/>
    <col min="13587" max="13593" width="12.7109375" style="585" customWidth="1"/>
    <col min="13594" max="13594" width="30.7109375" style="585" customWidth="1"/>
    <col min="13595" max="13596" width="10.7109375" style="585" customWidth="1"/>
    <col min="13597" max="13598" width="15.7109375" style="585" customWidth="1"/>
    <col min="13599" max="13600" width="12.7109375" style="585" customWidth="1"/>
    <col min="13601" max="13601" width="10.7109375" style="585" customWidth="1"/>
    <col min="13602" max="13602" width="30.7109375" style="585" customWidth="1"/>
    <col min="13603" max="13604" width="10.7109375" style="585" customWidth="1"/>
    <col min="13605" max="13605" width="15.7109375" style="585" customWidth="1"/>
    <col min="13606" max="13607" width="12.7109375" style="585" customWidth="1"/>
    <col min="13608" max="13609" width="10.7109375" style="585" customWidth="1"/>
    <col min="13610" max="13610" width="38.7109375" style="585" customWidth="1"/>
    <col min="13611" max="13617" width="12.7109375" style="585" customWidth="1"/>
    <col min="13618" max="13618" width="40.7109375" style="585" customWidth="1"/>
    <col min="13619" max="13625" width="12.7109375" style="585" customWidth="1"/>
    <col min="13626" max="13626" width="43.28515625" style="585" customWidth="1"/>
    <col min="13627" max="13631" width="11.7109375" style="585" customWidth="1"/>
    <col min="13632" max="13635" width="10.7109375" style="585" customWidth="1"/>
    <col min="13636" max="13637" width="9.5703125" style="585" customWidth="1"/>
    <col min="13638" max="13638" width="9.140625" style="585"/>
    <col min="13639" max="13639" width="31.7109375" style="585" customWidth="1"/>
    <col min="13640" max="13640" width="12.7109375" style="585" customWidth="1"/>
    <col min="13641" max="13641" width="13.28515625" style="585" customWidth="1"/>
    <col min="13642" max="13643" width="12.7109375" style="585" customWidth="1"/>
    <col min="13644" max="13645" width="13.28515625" style="585" customWidth="1"/>
    <col min="13646" max="13646" width="12.7109375" style="585" customWidth="1"/>
    <col min="13647" max="13648" width="9.140625" style="585"/>
    <col min="13649" max="13649" width="28.7109375" style="585" customWidth="1"/>
    <col min="13650" max="13650" width="10.7109375" style="585" customWidth="1"/>
    <col min="13651" max="13651" width="12.7109375" style="585" customWidth="1"/>
    <col min="13652" max="13653" width="10.7109375" style="585" customWidth="1"/>
    <col min="13654" max="13654" width="14.7109375" style="585" customWidth="1"/>
    <col min="13655" max="13658" width="9.140625" style="585"/>
    <col min="13659" max="13659" width="22.7109375" style="585" customWidth="1"/>
    <col min="13660" max="13660" width="10.7109375" style="585" customWidth="1"/>
    <col min="13661" max="13661" width="12.7109375" style="585" customWidth="1"/>
    <col min="13662" max="13663" width="10.7109375" style="585" customWidth="1"/>
    <col min="13664" max="13664" width="12.7109375" style="585" customWidth="1"/>
    <col min="13665" max="13666" width="10.7109375" style="585" customWidth="1"/>
    <col min="13667" max="13667" width="9.140625" style="585"/>
    <col min="13668" max="13668" width="20.7109375" style="585" customWidth="1"/>
    <col min="13669" max="13669" width="10.7109375" style="585" customWidth="1"/>
    <col min="13670" max="13670" width="12.7109375" style="585" customWidth="1"/>
    <col min="13671" max="13672" width="10.7109375" style="585" customWidth="1"/>
    <col min="13673" max="13673" width="14.7109375" style="585" customWidth="1"/>
    <col min="13674" max="13674" width="10.7109375" style="585" customWidth="1"/>
    <col min="13675" max="13677" width="9.140625" style="585"/>
    <col min="13678" max="13678" width="20.7109375" style="585" customWidth="1"/>
    <col min="13679" max="13679" width="10.7109375" style="585" customWidth="1"/>
    <col min="13680" max="13681" width="11.7109375" style="585" customWidth="1"/>
    <col min="13682" max="13682" width="10.7109375" style="585" customWidth="1"/>
    <col min="13683" max="13683" width="12.7109375" style="585" customWidth="1"/>
    <col min="13684" max="13685" width="10.7109375" style="585" customWidth="1"/>
    <col min="13686" max="13687" width="9.140625" style="585"/>
    <col min="13688" max="13688" width="25.42578125" style="585" customWidth="1"/>
    <col min="13689" max="13692" width="10.7109375" style="585" customWidth="1"/>
    <col min="13693" max="13693" width="12.7109375" style="585" customWidth="1"/>
    <col min="13694" max="13695" width="10.7109375" style="585" customWidth="1"/>
    <col min="13696" max="13825" width="9.140625" style="585"/>
    <col min="13826" max="13826" width="28.7109375" style="585" customWidth="1"/>
    <col min="13827" max="13827" width="8.5703125" style="585" bestFit="1" customWidth="1"/>
    <col min="13828" max="13839" width="7.7109375" style="585" customWidth="1"/>
    <col min="13840" max="13841" width="6.5703125" style="585" customWidth="1"/>
    <col min="13842" max="13842" width="20.7109375" style="585" customWidth="1"/>
    <col min="13843" max="13849" width="12.7109375" style="585" customWidth="1"/>
    <col min="13850" max="13850" width="30.7109375" style="585" customWidth="1"/>
    <col min="13851" max="13852" width="10.7109375" style="585" customWidth="1"/>
    <col min="13853" max="13854" width="15.7109375" style="585" customWidth="1"/>
    <col min="13855" max="13856" width="12.7109375" style="585" customWidth="1"/>
    <col min="13857" max="13857" width="10.7109375" style="585" customWidth="1"/>
    <col min="13858" max="13858" width="30.7109375" style="585" customWidth="1"/>
    <col min="13859" max="13860" width="10.7109375" style="585" customWidth="1"/>
    <col min="13861" max="13861" width="15.7109375" style="585" customWidth="1"/>
    <col min="13862" max="13863" width="12.7109375" style="585" customWidth="1"/>
    <col min="13864" max="13865" width="10.7109375" style="585" customWidth="1"/>
    <col min="13866" max="13866" width="38.7109375" style="585" customWidth="1"/>
    <col min="13867" max="13873" width="12.7109375" style="585" customWidth="1"/>
    <col min="13874" max="13874" width="40.7109375" style="585" customWidth="1"/>
    <col min="13875" max="13881" width="12.7109375" style="585" customWidth="1"/>
    <col min="13882" max="13882" width="43.28515625" style="585" customWidth="1"/>
    <col min="13883" max="13887" width="11.7109375" style="585" customWidth="1"/>
    <col min="13888" max="13891" width="10.7109375" style="585" customWidth="1"/>
    <col min="13892" max="13893" width="9.5703125" style="585" customWidth="1"/>
    <col min="13894" max="13894" width="9.140625" style="585"/>
    <col min="13895" max="13895" width="31.7109375" style="585" customWidth="1"/>
    <col min="13896" max="13896" width="12.7109375" style="585" customWidth="1"/>
    <col min="13897" max="13897" width="13.28515625" style="585" customWidth="1"/>
    <col min="13898" max="13899" width="12.7109375" style="585" customWidth="1"/>
    <col min="13900" max="13901" width="13.28515625" style="585" customWidth="1"/>
    <col min="13902" max="13902" width="12.7109375" style="585" customWidth="1"/>
    <col min="13903" max="13904" width="9.140625" style="585"/>
    <col min="13905" max="13905" width="28.7109375" style="585" customWidth="1"/>
    <col min="13906" max="13906" width="10.7109375" style="585" customWidth="1"/>
    <col min="13907" max="13907" width="12.7109375" style="585" customWidth="1"/>
    <col min="13908" max="13909" width="10.7109375" style="585" customWidth="1"/>
    <col min="13910" max="13910" width="14.7109375" style="585" customWidth="1"/>
    <col min="13911" max="13914" width="9.140625" style="585"/>
    <col min="13915" max="13915" width="22.7109375" style="585" customWidth="1"/>
    <col min="13916" max="13916" width="10.7109375" style="585" customWidth="1"/>
    <col min="13917" max="13917" width="12.7109375" style="585" customWidth="1"/>
    <col min="13918" max="13919" width="10.7109375" style="585" customWidth="1"/>
    <col min="13920" max="13920" width="12.7109375" style="585" customWidth="1"/>
    <col min="13921" max="13922" width="10.7109375" style="585" customWidth="1"/>
    <col min="13923" max="13923" width="9.140625" style="585"/>
    <col min="13924" max="13924" width="20.7109375" style="585" customWidth="1"/>
    <col min="13925" max="13925" width="10.7109375" style="585" customWidth="1"/>
    <col min="13926" max="13926" width="12.7109375" style="585" customWidth="1"/>
    <col min="13927" max="13928" width="10.7109375" style="585" customWidth="1"/>
    <col min="13929" max="13929" width="14.7109375" style="585" customWidth="1"/>
    <col min="13930" max="13930" width="10.7109375" style="585" customWidth="1"/>
    <col min="13931" max="13933" width="9.140625" style="585"/>
    <col min="13934" max="13934" width="20.7109375" style="585" customWidth="1"/>
    <col min="13935" max="13935" width="10.7109375" style="585" customWidth="1"/>
    <col min="13936" max="13937" width="11.7109375" style="585" customWidth="1"/>
    <col min="13938" max="13938" width="10.7109375" style="585" customWidth="1"/>
    <col min="13939" max="13939" width="12.7109375" style="585" customWidth="1"/>
    <col min="13940" max="13941" width="10.7109375" style="585" customWidth="1"/>
    <col min="13942" max="13943" width="9.140625" style="585"/>
    <col min="13944" max="13944" width="25.42578125" style="585" customWidth="1"/>
    <col min="13945" max="13948" width="10.7109375" style="585" customWidth="1"/>
    <col min="13949" max="13949" width="12.7109375" style="585" customWidth="1"/>
    <col min="13950" max="13951" width="10.7109375" style="585" customWidth="1"/>
    <col min="13952" max="14081" width="9.140625" style="585"/>
    <col min="14082" max="14082" width="28.7109375" style="585" customWidth="1"/>
    <col min="14083" max="14083" width="8.5703125" style="585" bestFit="1" customWidth="1"/>
    <col min="14084" max="14095" width="7.7109375" style="585" customWidth="1"/>
    <col min="14096" max="14097" width="6.5703125" style="585" customWidth="1"/>
    <col min="14098" max="14098" width="20.7109375" style="585" customWidth="1"/>
    <col min="14099" max="14105" width="12.7109375" style="585" customWidth="1"/>
    <col min="14106" max="14106" width="30.7109375" style="585" customWidth="1"/>
    <col min="14107" max="14108" width="10.7109375" style="585" customWidth="1"/>
    <col min="14109" max="14110" width="15.7109375" style="585" customWidth="1"/>
    <col min="14111" max="14112" width="12.7109375" style="585" customWidth="1"/>
    <col min="14113" max="14113" width="10.7109375" style="585" customWidth="1"/>
    <col min="14114" max="14114" width="30.7109375" style="585" customWidth="1"/>
    <col min="14115" max="14116" width="10.7109375" style="585" customWidth="1"/>
    <col min="14117" max="14117" width="15.7109375" style="585" customWidth="1"/>
    <col min="14118" max="14119" width="12.7109375" style="585" customWidth="1"/>
    <col min="14120" max="14121" width="10.7109375" style="585" customWidth="1"/>
    <col min="14122" max="14122" width="38.7109375" style="585" customWidth="1"/>
    <col min="14123" max="14129" width="12.7109375" style="585" customWidth="1"/>
    <col min="14130" max="14130" width="40.7109375" style="585" customWidth="1"/>
    <col min="14131" max="14137" width="12.7109375" style="585" customWidth="1"/>
    <col min="14138" max="14138" width="43.28515625" style="585" customWidth="1"/>
    <col min="14139" max="14143" width="11.7109375" style="585" customWidth="1"/>
    <col min="14144" max="14147" width="10.7109375" style="585" customWidth="1"/>
    <col min="14148" max="14149" width="9.5703125" style="585" customWidth="1"/>
    <col min="14150" max="14150" width="9.140625" style="585"/>
    <col min="14151" max="14151" width="31.7109375" style="585" customWidth="1"/>
    <col min="14152" max="14152" width="12.7109375" style="585" customWidth="1"/>
    <col min="14153" max="14153" width="13.28515625" style="585" customWidth="1"/>
    <col min="14154" max="14155" width="12.7109375" style="585" customWidth="1"/>
    <col min="14156" max="14157" width="13.28515625" style="585" customWidth="1"/>
    <col min="14158" max="14158" width="12.7109375" style="585" customWidth="1"/>
    <col min="14159" max="14160" width="9.140625" style="585"/>
    <col min="14161" max="14161" width="28.7109375" style="585" customWidth="1"/>
    <col min="14162" max="14162" width="10.7109375" style="585" customWidth="1"/>
    <col min="14163" max="14163" width="12.7109375" style="585" customWidth="1"/>
    <col min="14164" max="14165" width="10.7109375" style="585" customWidth="1"/>
    <col min="14166" max="14166" width="14.7109375" style="585" customWidth="1"/>
    <col min="14167" max="14170" width="9.140625" style="585"/>
    <col min="14171" max="14171" width="22.7109375" style="585" customWidth="1"/>
    <col min="14172" max="14172" width="10.7109375" style="585" customWidth="1"/>
    <col min="14173" max="14173" width="12.7109375" style="585" customWidth="1"/>
    <col min="14174" max="14175" width="10.7109375" style="585" customWidth="1"/>
    <col min="14176" max="14176" width="12.7109375" style="585" customWidth="1"/>
    <col min="14177" max="14178" width="10.7109375" style="585" customWidth="1"/>
    <col min="14179" max="14179" width="9.140625" style="585"/>
    <col min="14180" max="14180" width="20.7109375" style="585" customWidth="1"/>
    <col min="14181" max="14181" width="10.7109375" style="585" customWidth="1"/>
    <col min="14182" max="14182" width="12.7109375" style="585" customWidth="1"/>
    <col min="14183" max="14184" width="10.7109375" style="585" customWidth="1"/>
    <col min="14185" max="14185" width="14.7109375" style="585" customWidth="1"/>
    <col min="14186" max="14186" width="10.7109375" style="585" customWidth="1"/>
    <col min="14187" max="14189" width="9.140625" style="585"/>
    <col min="14190" max="14190" width="20.7109375" style="585" customWidth="1"/>
    <col min="14191" max="14191" width="10.7109375" style="585" customWidth="1"/>
    <col min="14192" max="14193" width="11.7109375" style="585" customWidth="1"/>
    <col min="14194" max="14194" width="10.7109375" style="585" customWidth="1"/>
    <col min="14195" max="14195" width="12.7109375" style="585" customWidth="1"/>
    <col min="14196" max="14197" width="10.7109375" style="585" customWidth="1"/>
    <col min="14198" max="14199" width="9.140625" style="585"/>
    <col min="14200" max="14200" width="25.42578125" style="585" customWidth="1"/>
    <col min="14201" max="14204" width="10.7109375" style="585" customWidth="1"/>
    <col min="14205" max="14205" width="12.7109375" style="585" customWidth="1"/>
    <col min="14206" max="14207" width="10.7109375" style="585" customWidth="1"/>
    <col min="14208" max="14337" width="9.140625" style="585"/>
    <col min="14338" max="14338" width="28.7109375" style="585" customWidth="1"/>
    <col min="14339" max="14339" width="8.5703125" style="585" bestFit="1" customWidth="1"/>
    <col min="14340" max="14351" width="7.7109375" style="585" customWidth="1"/>
    <col min="14352" max="14353" width="6.5703125" style="585" customWidth="1"/>
    <col min="14354" max="14354" width="20.7109375" style="585" customWidth="1"/>
    <col min="14355" max="14361" width="12.7109375" style="585" customWidth="1"/>
    <col min="14362" max="14362" width="30.7109375" style="585" customWidth="1"/>
    <col min="14363" max="14364" width="10.7109375" style="585" customWidth="1"/>
    <col min="14365" max="14366" width="15.7109375" style="585" customWidth="1"/>
    <col min="14367" max="14368" width="12.7109375" style="585" customWidth="1"/>
    <col min="14369" max="14369" width="10.7109375" style="585" customWidth="1"/>
    <col min="14370" max="14370" width="30.7109375" style="585" customWidth="1"/>
    <col min="14371" max="14372" width="10.7109375" style="585" customWidth="1"/>
    <col min="14373" max="14373" width="15.7109375" style="585" customWidth="1"/>
    <col min="14374" max="14375" width="12.7109375" style="585" customWidth="1"/>
    <col min="14376" max="14377" width="10.7109375" style="585" customWidth="1"/>
    <col min="14378" max="14378" width="38.7109375" style="585" customWidth="1"/>
    <col min="14379" max="14385" width="12.7109375" style="585" customWidth="1"/>
    <col min="14386" max="14386" width="40.7109375" style="585" customWidth="1"/>
    <col min="14387" max="14393" width="12.7109375" style="585" customWidth="1"/>
    <col min="14394" max="14394" width="43.28515625" style="585" customWidth="1"/>
    <col min="14395" max="14399" width="11.7109375" style="585" customWidth="1"/>
    <col min="14400" max="14403" width="10.7109375" style="585" customWidth="1"/>
    <col min="14404" max="14405" width="9.5703125" style="585" customWidth="1"/>
    <col min="14406" max="14406" width="9.140625" style="585"/>
    <col min="14407" max="14407" width="31.7109375" style="585" customWidth="1"/>
    <col min="14408" max="14408" width="12.7109375" style="585" customWidth="1"/>
    <col min="14409" max="14409" width="13.28515625" style="585" customWidth="1"/>
    <col min="14410" max="14411" width="12.7109375" style="585" customWidth="1"/>
    <col min="14412" max="14413" width="13.28515625" style="585" customWidth="1"/>
    <col min="14414" max="14414" width="12.7109375" style="585" customWidth="1"/>
    <col min="14415" max="14416" width="9.140625" style="585"/>
    <col min="14417" max="14417" width="28.7109375" style="585" customWidth="1"/>
    <col min="14418" max="14418" width="10.7109375" style="585" customWidth="1"/>
    <col min="14419" max="14419" width="12.7109375" style="585" customWidth="1"/>
    <col min="14420" max="14421" width="10.7109375" style="585" customWidth="1"/>
    <col min="14422" max="14422" width="14.7109375" style="585" customWidth="1"/>
    <col min="14423" max="14426" width="9.140625" style="585"/>
    <col min="14427" max="14427" width="22.7109375" style="585" customWidth="1"/>
    <col min="14428" max="14428" width="10.7109375" style="585" customWidth="1"/>
    <col min="14429" max="14429" width="12.7109375" style="585" customWidth="1"/>
    <col min="14430" max="14431" width="10.7109375" style="585" customWidth="1"/>
    <col min="14432" max="14432" width="12.7109375" style="585" customWidth="1"/>
    <col min="14433" max="14434" width="10.7109375" style="585" customWidth="1"/>
    <col min="14435" max="14435" width="9.140625" style="585"/>
    <col min="14436" max="14436" width="20.7109375" style="585" customWidth="1"/>
    <col min="14437" max="14437" width="10.7109375" style="585" customWidth="1"/>
    <col min="14438" max="14438" width="12.7109375" style="585" customWidth="1"/>
    <col min="14439" max="14440" width="10.7109375" style="585" customWidth="1"/>
    <col min="14441" max="14441" width="14.7109375" style="585" customWidth="1"/>
    <col min="14442" max="14442" width="10.7109375" style="585" customWidth="1"/>
    <col min="14443" max="14445" width="9.140625" style="585"/>
    <col min="14446" max="14446" width="20.7109375" style="585" customWidth="1"/>
    <col min="14447" max="14447" width="10.7109375" style="585" customWidth="1"/>
    <col min="14448" max="14449" width="11.7109375" style="585" customWidth="1"/>
    <col min="14450" max="14450" width="10.7109375" style="585" customWidth="1"/>
    <col min="14451" max="14451" width="12.7109375" style="585" customWidth="1"/>
    <col min="14452" max="14453" width="10.7109375" style="585" customWidth="1"/>
    <col min="14454" max="14455" width="9.140625" style="585"/>
    <col min="14456" max="14456" width="25.42578125" style="585" customWidth="1"/>
    <col min="14457" max="14460" width="10.7109375" style="585" customWidth="1"/>
    <col min="14461" max="14461" width="12.7109375" style="585" customWidth="1"/>
    <col min="14462" max="14463" width="10.7109375" style="585" customWidth="1"/>
    <col min="14464" max="14593" width="9.140625" style="585"/>
    <col min="14594" max="14594" width="28.7109375" style="585" customWidth="1"/>
    <col min="14595" max="14595" width="8.5703125" style="585" bestFit="1" customWidth="1"/>
    <col min="14596" max="14607" width="7.7109375" style="585" customWidth="1"/>
    <col min="14608" max="14609" width="6.5703125" style="585" customWidth="1"/>
    <col min="14610" max="14610" width="20.7109375" style="585" customWidth="1"/>
    <col min="14611" max="14617" width="12.7109375" style="585" customWidth="1"/>
    <col min="14618" max="14618" width="30.7109375" style="585" customWidth="1"/>
    <col min="14619" max="14620" width="10.7109375" style="585" customWidth="1"/>
    <col min="14621" max="14622" width="15.7109375" style="585" customWidth="1"/>
    <col min="14623" max="14624" width="12.7109375" style="585" customWidth="1"/>
    <col min="14625" max="14625" width="10.7109375" style="585" customWidth="1"/>
    <col min="14626" max="14626" width="30.7109375" style="585" customWidth="1"/>
    <col min="14627" max="14628" width="10.7109375" style="585" customWidth="1"/>
    <col min="14629" max="14629" width="15.7109375" style="585" customWidth="1"/>
    <col min="14630" max="14631" width="12.7109375" style="585" customWidth="1"/>
    <col min="14632" max="14633" width="10.7109375" style="585" customWidth="1"/>
    <col min="14634" max="14634" width="38.7109375" style="585" customWidth="1"/>
    <col min="14635" max="14641" width="12.7109375" style="585" customWidth="1"/>
    <col min="14642" max="14642" width="40.7109375" style="585" customWidth="1"/>
    <col min="14643" max="14649" width="12.7109375" style="585" customWidth="1"/>
    <col min="14650" max="14650" width="43.28515625" style="585" customWidth="1"/>
    <col min="14651" max="14655" width="11.7109375" style="585" customWidth="1"/>
    <col min="14656" max="14659" width="10.7109375" style="585" customWidth="1"/>
    <col min="14660" max="14661" width="9.5703125" style="585" customWidth="1"/>
    <col min="14662" max="14662" width="9.140625" style="585"/>
    <col min="14663" max="14663" width="31.7109375" style="585" customWidth="1"/>
    <col min="14664" max="14664" width="12.7109375" style="585" customWidth="1"/>
    <col min="14665" max="14665" width="13.28515625" style="585" customWidth="1"/>
    <col min="14666" max="14667" width="12.7109375" style="585" customWidth="1"/>
    <col min="14668" max="14669" width="13.28515625" style="585" customWidth="1"/>
    <col min="14670" max="14670" width="12.7109375" style="585" customWidth="1"/>
    <col min="14671" max="14672" width="9.140625" style="585"/>
    <col min="14673" max="14673" width="28.7109375" style="585" customWidth="1"/>
    <col min="14674" max="14674" width="10.7109375" style="585" customWidth="1"/>
    <col min="14675" max="14675" width="12.7109375" style="585" customWidth="1"/>
    <col min="14676" max="14677" width="10.7109375" style="585" customWidth="1"/>
    <col min="14678" max="14678" width="14.7109375" style="585" customWidth="1"/>
    <col min="14679" max="14682" width="9.140625" style="585"/>
    <col min="14683" max="14683" width="22.7109375" style="585" customWidth="1"/>
    <col min="14684" max="14684" width="10.7109375" style="585" customWidth="1"/>
    <col min="14685" max="14685" width="12.7109375" style="585" customWidth="1"/>
    <col min="14686" max="14687" width="10.7109375" style="585" customWidth="1"/>
    <col min="14688" max="14688" width="12.7109375" style="585" customWidth="1"/>
    <col min="14689" max="14690" width="10.7109375" style="585" customWidth="1"/>
    <col min="14691" max="14691" width="9.140625" style="585"/>
    <col min="14692" max="14692" width="20.7109375" style="585" customWidth="1"/>
    <col min="14693" max="14693" width="10.7109375" style="585" customWidth="1"/>
    <col min="14694" max="14694" width="12.7109375" style="585" customWidth="1"/>
    <col min="14695" max="14696" width="10.7109375" style="585" customWidth="1"/>
    <col min="14697" max="14697" width="14.7109375" style="585" customWidth="1"/>
    <col min="14698" max="14698" width="10.7109375" style="585" customWidth="1"/>
    <col min="14699" max="14701" width="9.140625" style="585"/>
    <col min="14702" max="14702" width="20.7109375" style="585" customWidth="1"/>
    <col min="14703" max="14703" width="10.7109375" style="585" customWidth="1"/>
    <col min="14704" max="14705" width="11.7109375" style="585" customWidth="1"/>
    <col min="14706" max="14706" width="10.7109375" style="585" customWidth="1"/>
    <col min="14707" max="14707" width="12.7109375" style="585" customWidth="1"/>
    <col min="14708" max="14709" width="10.7109375" style="585" customWidth="1"/>
    <col min="14710" max="14711" width="9.140625" style="585"/>
    <col min="14712" max="14712" width="25.42578125" style="585" customWidth="1"/>
    <col min="14713" max="14716" width="10.7109375" style="585" customWidth="1"/>
    <col min="14717" max="14717" width="12.7109375" style="585" customWidth="1"/>
    <col min="14718" max="14719" width="10.7109375" style="585" customWidth="1"/>
    <col min="14720" max="14849" width="9.140625" style="585"/>
    <col min="14850" max="14850" width="28.7109375" style="585" customWidth="1"/>
    <col min="14851" max="14851" width="8.5703125" style="585" bestFit="1" customWidth="1"/>
    <col min="14852" max="14863" width="7.7109375" style="585" customWidth="1"/>
    <col min="14864" max="14865" width="6.5703125" style="585" customWidth="1"/>
    <col min="14866" max="14866" width="20.7109375" style="585" customWidth="1"/>
    <col min="14867" max="14873" width="12.7109375" style="585" customWidth="1"/>
    <col min="14874" max="14874" width="30.7109375" style="585" customWidth="1"/>
    <col min="14875" max="14876" width="10.7109375" style="585" customWidth="1"/>
    <col min="14877" max="14878" width="15.7109375" style="585" customWidth="1"/>
    <col min="14879" max="14880" width="12.7109375" style="585" customWidth="1"/>
    <col min="14881" max="14881" width="10.7109375" style="585" customWidth="1"/>
    <col min="14882" max="14882" width="30.7109375" style="585" customWidth="1"/>
    <col min="14883" max="14884" width="10.7109375" style="585" customWidth="1"/>
    <col min="14885" max="14885" width="15.7109375" style="585" customWidth="1"/>
    <col min="14886" max="14887" width="12.7109375" style="585" customWidth="1"/>
    <col min="14888" max="14889" width="10.7109375" style="585" customWidth="1"/>
    <col min="14890" max="14890" width="38.7109375" style="585" customWidth="1"/>
    <col min="14891" max="14897" width="12.7109375" style="585" customWidth="1"/>
    <col min="14898" max="14898" width="40.7109375" style="585" customWidth="1"/>
    <col min="14899" max="14905" width="12.7109375" style="585" customWidth="1"/>
    <col min="14906" max="14906" width="43.28515625" style="585" customWidth="1"/>
    <col min="14907" max="14911" width="11.7109375" style="585" customWidth="1"/>
    <col min="14912" max="14915" width="10.7109375" style="585" customWidth="1"/>
    <col min="14916" max="14917" width="9.5703125" style="585" customWidth="1"/>
    <col min="14918" max="14918" width="9.140625" style="585"/>
    <col min="14919" max="14919" width="31.7109375" style="585" customWidth="1"/>
    <col min="14920" max="14920" width="12.7109375" style="585" customWidth="1"/>
    <col min="14921" max="14921" width="13.28515625" style="585" customWidth="1"/>
    <col min="14922" max="14923" width="12.7109375" style="585" customWidth="1"/>
    <col min="14924" max="14925" width="13.28515625" style="585" customWidth="1"/>
    <col min="14926" max="14926" width="12.7109375" style="585" customWidth="1"/>
    <col min="14927" max="14928" width="9.140625" style="585"/>
    <col min="14929" max="14929" width="28.7109375" style="585" customWidth="1"/>
    <col min="14930" max="14930" width="10.7109375" style="585" customWidth="1"/>
    <col min="14931" max="14931" width="12.7109375" style="585" customWidth="1"/>
    <col min="14932" max="14933" width="10.7109375" style="585" customWidth="1"/>
    <col min="14934" max="14934" width="14.7109375" style="585" customWidth="1"/>
    <col min="14935" max="14938" width="9.140625" style="585"/>
    <col min="14939" max="14939" width="22.7109375" style="585" customWidth="1"/>
    <col min="14940" max="14940" width="10.7109375" style="585" customWidth="1"/>
    <col min="14941" max="14941" width="12.7109375" style="585" customWidth="1"/>
    <col min="14942" max="14943" width="10.7109375" style="585" customWidth="1"/>
    <col min="14944" max="14944" width="12.7109375" style="585" customWidth="1"/>
    <col min="14945" max="14946" width="10.7109375" style="585" customWidth="1"/>
    <col min="14947" max="14947" width="9.140625" style="585"/>
    <col min="14948" max="14948" width="20.7109375" style="585" customWidth="1"/>
    <col min="14949" max="14949" width="10.7109375" style="585" customWidth="1"/>
    <col min="14950" max="14950" width="12.7109375" style="585" customWidth="1"/>
    <col min="14951" max="14952" width="10.7109375" style="585" customWidth="1"/>
    <col min="14953" max="14953" width="14.7109375" style="585" customWidth="1"/>
    <col min="14954" max="14954" width="10.7109375" style="585" customWidth="1"/>
    <col min="14955" max="14957" width="9.140625" style="585"/>
    <col min="14958" max="14958" width="20.7109375" style="585" customWidth="1"/>
    <col min="14959" max="14959" width="10.7109375" style="585" customWidth="1"/>
    <col min="14960" max="14961" width="11.7109375" style="585" customWidth="1"/>
    <col min="14962" max="14962" width="10.7109375" style="585" customWidth="1"/>
    <col min="14963" max="14963" width="12.7109375" style="585" customWidth="1"/>
    <col min="14964" max="14965" width="10.7109375" style="585" customWidth="1"/>
    <col min="14966" max="14967" width="9.140625" style="585"/>
    <col min="14968" max="14968" width="25.42578125" style="585" customWidth="1"/>
    <col min="14969" max="14972" width="10.7109375" style="585" customWidth="1"/>
    <col min="14973" max="14973" width="12.7109375" style="585" customWidth="1"/>
    <col min="14974" max="14975" width="10.7109375" style="585" customWidth="1"/>
    <col min="14976" max="15105" width="9.140625" style="585"/>
    <col min="15106" max="15106" width="28.7109375" style="585" customWidth="1"/>
    <col min="15107" max="15107" width="8.5703125" style="585" bestFit="1" customWidth="1"/>
    <col min="15108" max="15119" width="7.7109375" style="585" customWidth="1"/>
    <col min="15120" max="15121" width="6.5703125" style="585" customWidth="1"/>
    <col min="15122" max="15122" width="20.7109375" style="585" customWidth="1"/>
    <col min="15123" max="15129" width="12.7109375" style="585" customWidth="1"/>
    <col min="15130" max="15130" width="30.7109375" style="585" customWidth="1"/>
    <col min="15131" max="15132" width="10.7109375" style="585" customWidth="1"/>
    <col min="15133" max="15134" width="15.7109375" style="585" customWidth="1"/>
    <col min="15135" max="15136" width="12.7109375" style="585" customWidth="1"/>
    <col min="15137" max="15137" width="10.7109375" style="585" customWidth="1"/>
    <col min="15138" max="15138" width="30.7109375" style="585" customWidth="1"/>
    <col min="15139" max="15140" width="10.7109375" style="585" customWidth="1"/>
    <col min="15141" max="15141" width="15.7109375" style="585" customWidth="1"/>
    <col min="15142" max="15143" width="12.7109375" style="585" customWidth="1"/>
    <col min="15144" max="15145" width="10.7109375" style="585" customWidth="1"/>
    <col min="15146" max="15146" width="38.7109375" style="585" customWidth="1"/>
    <col min="15147" max="15153" width="12.7109375" style="585" customWidth="1"/>
    <col min="15154" max="15154" width="40.7109375" style="585" customWidth="1"/>
    <col min="15155" max="15161" width="12.7109375" style="585" customWidth="1"/>
    <col min="15162" max="15162" width="43.28515625" style="585" customWidth="1"/>
    <col min="15163" max="15167" width="11.7109375" style="585" customWidth="1"/>
    <col min="15168" max="15171" width="10.7109375" style="585" customWidth="1"/>
    <col min="15172" max="15173" width="9.5703125" style="585" customWidth="1"/>
    <col min="15174" max="15174" width="9.140625" style="585"/>
    <col min="15175" max="15175" width="31.7109375" style="585" customWidth="1"/>
    <col min="15176" max="15176" width="12.7109375" style="585" customWidth="1"/>
    <col min="15177" max="15177" width="13.28515625" style="585" customWidth="1"/>
    <col min="15178" max="15179" width="12.7109375" style="585" customWidth="1"/>
    <col min="15180" max="15181" width="13.28515625" style="585" customWidth="1"/>
    <col min="15182" max="15182" width="12.7109375" style="585" customWidth="1"/>
    <col min="15183" max="15184" width="9.140625" style="585"/>
    <col min="15185" max="15185" width="28.7109375" style="585" customWidth="1"/>
    <col min="15186" max="15186" width="10.7109375" style="585" customWidth="1"/>
    <col min="15187" max="15187" width="12.7109375" style="585" customWidth="1"/>
    <col min="15188" max="15189" width="10.7109375" style="585" customWidth="1"/>
    <col min="15190" max="15190" width="14.7109375" style="585" customWidth="1"/>
    <col min="15191" max="15194" width="9.140625" style="585"/>
    <col min="15195" max="15195" width="22.7109375" style="585" customWidth="1"/>
    <col min="15196" max="15196" width="10.7109375" style="585" customWidth="1"/>
    <col min="15197" max="15197" width="12.7109375" style="585" customWidth="1"/>
    <col min="15198" max="15199" width="10.7109375" style="585" customWidth="1"/>
    <col min="15200" max="15200" width="12.7109375" style="585" customWidth="1"/>
    <col min="15201" max="15202" width="10.7109375" style="585" customWidth="1"/>
    <col min="15203" max="15203" width="9.140625" style="585"/>
    <col min="15204" max="15204" width="20.7109375" style="585" customWidth="1"/>
    <col min="15205" max="15205" width="10.7109375" style="585" customWidth="1"/>
    <col min="15206" max="15206" width="12.7109375" style="585" customWidth="1"/>
    <col min="15207" max="15208" width="10.7109375" style="585" customWidth="1"/>
    <col min="15209" max="15209" width="14.7109375" style="585" customWidth="1"/>
    <col min="15210" max="15210" width="10.7109375" style="585" customWidth="1"/>
    <col min="15211" max="15213" width="9.140625" style="585"/>
    <col min="15214" max="15214" width="20.7109375" style="585" customWidth="1"/>
    <col min="15215" max="15215" width="10.7109375" style="585" customWidth="1"/>
    <col min="15216" max="15217" width="11.7109375" style="585" customWidth="1"/>
    <col min="15218" max="15218" width="10.7109375" style="585" customWidth="1"/>
    <col min="15219" max="15219" width="12.7109375" style="585" customWidth="1"/>
    <col min="15220" max="15221" width="10.7109375" style="585" customWidth="1"/>
    <col min="15222" max="15223" width="9.140625" style="585"/>
    <col min="15224" max="15224" width="25.42578125" style="585" customWidth="1"/>
    <col min="15225" max="15228" width="10.7109375" style="585" customWidth="1"/>
    <col min="15229" max="15229" width="12.7109375" style="585" customWidth="1"/>
    <col min="15230" max="15231" width="10.7109375" style="585" customWidth="1"/>
    <col min="15232" max="15361" width="9.140625" style="585"/>
    <col min="15362" max="15362" width="28.7109375" style="585" customWidth="1"/>
    <col min="15363" max="15363" width="8.5703125" style="585" bestFit="1" customWidth="1"/>
    <col min="15364" max="15375" width="7.7109375" style="585" customWidth="1"/>
    <col min="15376" max="15377" width="6.5703125" style="585" customWidth="1"/>
    <col min="15378" max="15378" width="20.7109375" style="585" customWidth="1"/>
    <col min="15379" max="15385" width="12.7109375" style="585" customWidth="1"/>
    <col min="15386" max="15386" width="30.7109375" style="585" customWidth="1"/>
    <col min="15387" max="15388" width="10.7109375" style="585" customWidth="1"/>
    <col min="15389" max="15390" width="15.7109375" style="585" customWidth="1"/>
    <col min="15391" max="15392" width="12.7109375" style="585" customWidth="1"/>
    <col min="15393" max="15393" width="10.7109375" style="585" customWidth="1"/>
    <col min="15394" max="15394" width="30.7109375" style="585" customWidth="1"/>
    <col min="15395" max="15396" width="10.7109375" style="585" customWidth="1"/>
    <col min="15397" max="15397" width="15.7109375" style="585" customWidth="1"/>
    <col min="15398" max="15399" width="12.7109375" style="585" customWidth="1"/>
    <col min="15400" max="15401" width="10.7109375" style="585" customWidth="1"/>
    <col min="15402" max="15402" width="38.7109375" style="585" customWidth="1"/>
    <col min="15403" max="15409" width="12.7109375" style="585" customWidth="1"/>
    <col min="15410" max="15410" width="40.7109375" style="585" customWidth="1"/>
    <col min="15411" max="15417" width="12.7109375" style="585" customWidth="1"/>
    <col min="15418" max="15418" width="43.28515625" style="585" customWidth="1"/>
    <col min="15419" max="15423" width="11.7109375" style="585" customWidth="1"/>
    <col min="15424" max="15427" width="10.7109375" style="585" customWidth="1"/>
    <col min="15428" max="15429" width="9.5703125" style="585" customWidth="1"/>
    <col min="15430" max="15430" width="9.140625" style="585"/>
    <col min="15431" max="15431" width="31.7109375" style="585" customWidth="1"/>
    <col min="15432" max="15432" width="12.7109375" style="585" customWidth="1"/>
    <col min="15433" max="15433" width="13.28515625" style="585" customWidth="1"/>
    <col min="15434" max="15435" width="12.7109375" style="585" customWidth="1"/>
    <col min="15436" max="15437" width="13.28515625" style="585" customWidth="1"/>
    <col min="15438" max="15438" width="12.7109375" style="585" customWidth="1"/>
    <col min="15439" max="15440" width="9.140625" style="585"/>
    <col min="15441" max="15441" width="28.7109375" style="585" customWidth="1"/>
    <col min="15442" max="15442" width="10.7109375" style="585" customWidth="1"/>
    <col min="15443" max="15443" width="12.7109375" style="585" customWidth="1"/>
    <col min="15444" max="15445" width="10.7109375" style="585" customWidth="1"/>
    <col min="15446" max="15446" width="14.7109375" style="585" customWidth="1"/>
    <col min="15447" max="15450" width="9.140625" style="585"/>
    <col min="15451" max="15451" width="22.7109375" style="585" customWidth="1"/>
    <col min="15452" max="15452" width="10.7109375" style="585" customWidth="1"/>
    <col min="15453" max="15453" width="12.7109375" style="585" customWidth="1"/>
    <col min="15454" max="15455" width="10.7109375" style="585" customWidth="1"/>
    <col min="15456" max="15456" width="12.7109375" style="585" customWidth="1"/>
    <col min="15457" max="15458" width="10.7109375" style="585" customWidth="1"/>
    <col min="15459" max="15459" width="9.140625" style="585"/>
    <col min="15460" max="15460" width="20.7109375" style="585" customWidth="1"/>
    <col min="15461" max="15461" width="10.7109375" style="585" customWidth="1"/>
    <col min="15462" max="15462" width="12.7109375" style="585" customWidth="1"/>
    <col min="15463" max="15464" width="10.7109375" style="585" customWidth="1"/>
    <col min="15465" max="15465" width="14.7109375" style="585" customWidth="1"/>
    <col min="15466" max="15466" width="10.7109375" style="585" customWidth="1"/>
    <col min="15467" max="15469" width="9.140625" style="585"/>
    <col min="15470" max="15470" width="20.7109375" style="585" customWidth="1"/>
    <col min="15471" max="15471" width="10.7109375" style="585" customWidth="1"/>
    <col min="15472" max="15473" width="11.7109375" style="585" customWidth="1"/>
    <col min="15474" max="15474" width="10.7109375" style="585" customWidth="1"/>
    <col min="15475" max="15475" width="12.7109375" style="585" customWidth="1"/>
    <col min="15476" max="15477" width="10.7109375" style="585" customWidth="1"/>
    <col min="15478" max="15479" width="9.140625" style="585"/>
    <col min="15480" max="15480" width="25.42578125" style="585" customWidth="1"/>
    <col min="15481" max="15484" width="10.7109375" style="585" customWidth="1"/>
    <col min="15485" max="15485" width="12.7109375" style="585" customWidth="1"/>
    <col min="15486" max="15487" width="10.7109375" style="585" customWidth="1"/>
    <col min="15488" max="15617" width="9.140625" style="585"/>
    <col min="15618" max="15618" width="28.7109375" style="585" customWidth="1"/>
    <col min="15619" max="15619" width="8.5703125" style="585" bestFit="1" customWidth="1"/>
    <col min="15620" max="15631" width="7.7109375" style="585" customWidth="1"/>
    <col min="15632" max="15633" width="6.5703125" style="585" customWidth="1"/>
    <col min="15634" max="15634" width="20.7109375" style="585" customWidth="1"/>
    <col min="15635" max="15641" width="12.7109375" style="585" customWidth="1"/>
    <col min="15642" max="15642" width="30.7109375" style="585" customWidth="1"/>
    <col min="15643" max="15644" width="10.7109375" style="585" customWidth="1"/>
    <col min="15645" max="15646" width="15.7109375" style="585" customWidth="1"/>
    <col min="15647" max="15648" width="12.7109375" style="585" customWidth="1"/>
    <col min="15649" max="15649" width="10.7109375" style="585" customWidth="1"/>
    <col min="15650" max="15650" width="30.7109375" style="585" customWidth="1"/>
    <col min="15651" max="15652" width="10.7109375" style="585" customWidth="1"/>
    <col min="15653" max="15653" width="15.7109375" style="585" customWidth="1"/>
    <col min="15654" max="15655" width="12.7109375" style="585" customWidth="1"/>
    <col min="15656" max="15657" width="10.7109375" style="585" customWidth="1"/>
    <col min="15658" max="15658" width="38.7109375" style="585" customWidth="1"/>
    <col min="15659" max="15665" width="12.7109375" style="585" customWidth="1"/>
    <col min="15666" max="15666" width="40.7109375" style="585" customWidth="1"/>
    <col min="15667" max="15673" width="12.7109375" style="585" customWidth="1"/>
    <col min="15674" max="15674" width="43.28515625" style="585" customWidth="1"/>
    <col min="15675" max="15679" width="11.7109375" style="585" customWidth="1"/>
    <col min="15680" max="15683" width="10.7109375" style="585" customWidth="1"/>
    <col min="15684" max="15685" width="9.5703125" style="585" customWidth="1"/>
    <col min="15686" max="15686" width="9.140625" style="585"/>
    <col min="15687" max="15687" width="31.7109375" style="585" customWidth="1"/>
    <col min="15688" max="15688" width="12.7109375" style="585" customWidth="1"/>
    <col min="15689" max="15689" width="13.28515625" style="585" customWidth="1"/>
    <col min="15690" max="15691" width="12.7109375" style="585" customWidth="1"/>
    <col min="15692" max="15693" width="13.28515625" style="585" customWidth="1"/>
    <col min="15694" max="15694" width="12.7109375" style="585" customWidth="1"/>
    <col min="15695" max="15696" width="9.140625" style="585"/>
    <col min="15697" max="15697" width="28.7109375" style="585" customWidth="1"/>
    <col min="15698" max="15698" width="10.7109375" style="585" customWidth="1"/>
    <col min="15699" max="15699" width="12.7109375" style="585" customWidth="1"/>
    <col min="15700" max="15701" width="10.7109375" style="585" customWidth="1"/>
    <col min="15702" max="15702" width="14.7109375" style="585" customWidth="1"/>
    <col min="15703" max="15706" width="9.140625" style="585"/>
    <col min="15707" max="15707" width="22.7109375" style="585" customWidth="1"/>
    <col min="15708" max="15708" width="10.7109375" style="585" customWidth="1"/>
    <col min="15709" max="15709" width="12.7109375" style="585" customWidth="1"/>
    <col min="15710" max="15711" width="10.7109375" style="585" customWidth="1"/>
    <col min="15712" max="15712" width="12.7109375" style="585" customWidth="1"/>
    <col min="15713" max="15714" width="10.7109375" style="585" customWidth="1"/>
    <col min="15715" max="15715" width="9.140625" style="585"/>
    <col min="15716" max="15716" width="20.7109375" style="585" customWidth="1"/>
    <col min="15717" max="15717" width="10.7109375" style="585" customWidth="1"/>
    <col min="15718" max="15718" width="12.7109375" style="585" customWidth="1"/>
    <col min="15719" max="15720" width="10.7109375" style="585" customWidth="1"/>
    <col min="15721" max="15721" width="14.7109375" style="585" customWidth="1"/>
    <col min="15722" max="15722" width="10.7109375" style="585" customWidth="1"/>
    <col min="15723" max="15725" width="9.140625" style="585"/>
    <col min="15726" max="15726" width="20.7109375" style="585" customWidth="1"/>
    <col min="15727" max="15727" width="10.7109375" style="585" customWidth="1"/>
    <col min="15728" max="15729" width="11.7109375" style="585" customWidth="1"/>
    <col min="15730" max="15730" width="10.7109375" style="585" customWidth="1"/>
    <col min="15731" max="15731" width="12.7109375" style="585" customWidth="1"/>
    <col min="15732" max="15733" width="10.7109375" style="585" customWidth="1"/>
    <col min="15734" max="15735" width="9.140625" style="585"/>
    <col min="15736" max="15736" width="25.42578125" style="585" customWidth="1"/>
    <col min="15737" max="15740" width="10.7109375" style="585" customWidth="1"/>
    <col min="15741" max="15741" width="12.7109375" style="585" customWidth="1"/>
    <col min="15742" max="15743" width="10.7109375" style="585" customWidth="1"/>
    <col min="15744" max="15873" width="9.140625" style="585"/>
    <col min="15874" max="15874" width="28.7109375" style="585" customWidth="1"/>
    <col min="15875" max="15875" width="8.5703125" style="585" bestFit="1" customWidth="1"/>
    <col min="15876" max="15887" width="7.7109375" style="585" customWidth="1"/>
    <col min="15888" max="15889" width="6.5703125" style="585" customWidth="1"/>
    <col min="15890" max="15890" width="20.7109375" style="585" customWidth="1"/>
    <col min="15891" max="15897" width="12.7109375" style="585" customWidth="1"/>
    <col min="15898" max="15898" width="30.7109375" style="585" customWidth="1"/>
    <col min="15899" max="15900" width="10.7109375" style="585" customWidth="1"/>
    <col min="15901" max="15902" width="15.7109375" style="585" customWidth="1"/>
    <col min="15903" max="15904" width="12.7109375" style="585" customWidth="1"/>
    <col min="15905" max="15905" width="10.7109375" style="585" customWidth="1"/>
    <col min="15906" max="15906" width="30.7109375" style="585" customWidth="1"/>
    <col min="15907" max="15908" width="10.7109375" style="585" customWidth="1"/>
    <col min="15909" max="15909" width="15.7109375" style="585" customWidth="1"/>
    <col min="15910" max="15911" width="12.7109375" style="585" customWidth="1"/>
    <col min="15912" max="15913" width="10.7109375" style="585" customWidth="1"/>
    <col min="15914" max="15914" width="38.7109375" style="585" customWidth="1"/>
    <col min="15915" max="15921" width="12.7109375" style="585" customWidth="1"/>
    <col min="15922" max="15922" width="40.7109375" style="585" customWidth="1"/>
    <col min="15923" max="15929" width="12.7109375" style="585" customWidth="1"/>
    <col min="15930" max="15930" width="43.28515625" style="585" customWidth="1"/>
    <col min="15931" max="15935" width="11.7109375" style="585" customWidth="1"/>
    <col min="15936" max="15939" width="10.7109375" style="585" customWidth="1"/>
    <col min="15940" max="15941" width="9.5703125" style="585" customWidth="1"/>
    <col min="15942" max="15942" width="9.140625" style="585"/>
    <col min="15943" max="15943" width="31.7109375" style="585" customWidth="1"/>
    <col min="15944" max="15944" width="12.7109375" style="585" customWidth="1"/>
    <col min="15945" max="15945" width="13.28515625" style="585" customWidth="1"/>
    <col min="15946" max="15947" width="12.7109375" style="585" customWidth="1"/>
    <col min="15948" max="15949" width="13.28515625" style="585" customWidth="1"/>
    <col min="15950" max="15950" width="12.7109375" style="585" customWidth="1"/>
    <col min="15951" max="15952" width="9.140625" style="585"/>
    <col min="15953" max="15953" width="28.7109375" style="585" customWidth="1"/>
    <col min="15954" max="15954" width="10.7109375" style="585" customWidth="1"/>
    <col min="15955" max="15955" width="12.7109375" style="585" customWidth="1"/>
    <col min="15956" max="15957" width="10.7109375" style="585" customWidth="1"/>
    <col min="15958" max="15958" width="14.7109375" style="585" customWidth="1"/>
    <col min="15959" max="15962" width="9.140625" style="585"/>
    <col min="15963" max="15963" width="22.7109375" style="585" customWidth="1"/>
    <col min="15964" max="15964" width="10.7109375" style="585" customWidth="1"/>
    <col min="15965" max="15965" width="12.7109375" style="585" customWidth="1"/>
    <col min="15966" max="15967" width="10.7109375" style="585" customWidth="1"/>
    <col min="15968" max="15968" width="12.7109375" style="585" customWidth="1"/>
    <col min="15969" max="15970" width="10.7109375" style="585" customWidth="1"/>
    <col min="15971" max="15971" width="9.140625" style="585"/>
    <col min="15972" max="15972" width="20.7109375" style="585" customWidth="1"/>
    <col min="15973" max="15973" width="10.7109375" style="585" customWidth="1"/>
    <col min="15974" max="15974" width="12.7109375" style="585" customWidth="1"/>
    <col min="15975" max="15976" width="10.7109375" style="585" customWidth="1"/>
    <col min="15977" max="15977" width="14.7109375" style="585" customWidth="1"/>
    <col min="15978" max="15978" width="10.7109375" style="585" customWidth="1"/>
    <col min="15979" max="15981" width="9.140625" style="585"/>
    <col min="15982" max="15982" width="20.7109375" style="585" customWidth="1"/>
    <col min="15983" max="15983" width="10.7109375" style="585" customWidth="1"/>
    <col min="15984" max="15985" width="11.7109375" style="585" customWidth="1"/>
    <col min="15986" max="15986" width="10.7109375" style="585" customWidth="1"/>
    <col min="15987" max="15987" width="12.7109375" style="585" customWidth="1"/>
    <col min="15988" max="15989" width="10.7109375" style="585" customWidth="1"/>
    <col min="15990" max="15991" width="9.140625" style="585"/>
    <col min="15992" max="15992" width="25.42578125" style="585" customWidth="1"/>
    <col min="15993" max="15996" width="10.7109375" style="585" customWidth="1"/>
    <col min="15997" max="15997" width="12.7109375" style="585" customWidth="1"/>
    <col min="15998" max="15999" width="10.7109375" style="585" customWidth="1"/>
    <col min="16000" max="16129" width="9.140625" style="585"/>
    <col min="16130" max="16130" width="28.7109375" style="585" customWidth="1"/>
    <col min="16131" max="16131" width="8.5703125" style="585" bestFit="1" customWidth="1"/>
    <col min="16132" max="16143" width="7.7109375" style="585" customWidth="1"/>
    <col min="16144" max="16145" width="6.5703125" style="585" customWidth="1"/>
    <col min="16146" max="16146" width="20.7109375" style="585" customWidth="1"/>
    <col min="16147" max="16153" width="12.7109375" style="585" customWidth="1"/>
    <col min="16154" max="16154" width="30.7109375" style="585" customWidth="1"/>
    <col min="16155" max="16156" width="10.7109375" style="585" customWidth="1"/>
    <col min="16157" max="16158" width="15.7109375" style="585" customWidth="1"/>
    <col min="16159" max="16160" width="12.7109375" style="585" customWidth="1"/>
    <col min="16161" max="16161" width="10.7109375" style="585" customWidth="1"/>
    <col min="16162" max="16162" width="30.7109375" style="585" customWidth="1"/>
    <col min="16163" max="16164" width="10.7109375" style="585" customWidth="1"/>
    <col min="16165" max="16165" width="15.7109375" style="585" customWidth="1"/>
    <col min="16166" max="16167" width="12.7109375" style="585" customWidth="1"/>
    <col min="16168" max="16169" width="10.7109375" style="585" customWidth="1"/>
    <col min="16170" max="16170" width="38.7109375" style="585" customWidth="1"/>
    <col min="16171" max="16177" width="12.7109375" style="585" customWidth="1"/>
    <col min="16178" max="16178" width="40.7109375" style="585" customWidth="1"/>
    <col min="16179" max="16185" width="12.7109375" style="585" customWidth="1"/>
    <col min="16186" max="16186" width="43.28515625" style="585" customWidth="1"/>
    <col min="16187" max="16191" width="11.7109375" style="585" customWidth="1"/>
    <col min="16192" max="16195" width="10.7109375" style="585" customWidth="1"/>
    <col min="16196" max="16197" width="9.5703125" style="585" customWidth="1"/>
    <col min="16198" max="16198" width="9.140625" style="585"/>
    <col min="16199" max="16199" width="31.7109375" style="585" customWidth="1"/>
    <col min="16200" max="16200" width="12.7109375" style="585" customWidth="1"/>
    <col min="16201" max="16201" width="13.28515625" style="585" customWidth="1"/>
    <col min="16202" max="16203" width="12.7109375" style="585" customWidth="1"/>
    <col min="16204" max="16205" width="13.28515625" style="585" customWidth="1"/>
    <col min="16206" max="16206" width="12.7109375" style="585" customWidth="1"/>
    <col min="16207" max="16208" width="9.140625" style="585"/>
    <col min="16209" max="16209" width="28.7109375" style="585" customWidth="1"/>
    <col min="16210" max="16210" width="10.7109375" style="585" customWidth="1"/>
    <col min="16211" max="16211" width="12.7109375" style="585" customWidth="1"/>
    <col min="16212" max="16213" width="10.7109375" style="585" customWidth="1"/>
    <col min="16214" max="16214" width="14.7109375" style="585" customWidth="1"/>
    <col min="16215" max="16218" width="9.140625" style="585"/>
    <col min="16219" max="16219" width="22.7109375" style="585" customWidth="1"/>
    <col min="16220" max="16220" width="10.7109375" style="585" customWidth="1"/>
    <col min="16221" max="16221" width="12.7109375" style="585" customWidth="1"/>
    <col min="16222" max="16223" width="10.7109375" style="585" customWidth="1"/>
    <col min="16224" max="16224" width="12.7109375" style="585" customWidth="1"/>
    <col min="16225" max="16226" width="10.7109375" style="585" customWidth="1"/>
    <col min="16227" max="16227" width="9.140625" style="585"/>
    <col min="16228" max="16228" width="20.7109375" style="585" customWidth="1"/>
    <col min="16229" max="16229" width="10.7109375" style="585" customWidth="1"/>
    <col min="16230" max="16230" width="12.7109375" style="585" customWidth="1"/>
    <col min="16231" max="16232" width="10.7109375" style="585" customWidth="1"/>
    <col min="16233" max="16233" width="14.7109375" style="585" customWidth="1"/>
    <col min="16234" max="16234" width="10.7109375" style="585" customWidth="1"/>
    <col min="16235" max="16237" width="9.140625" style="585"/>
    <col min="16238" max="16238" width="20.7109375" style="585" customWidth="1"/>
    <col min="16239" max="16239" width="10.7109375" style="585" customWidth="1"/>
    <col min="16240" max="16241" width="11.7109375" style="585" customWidth="1"/>
    <col min="16242" max="16242" width="10.7109375" style="585" customWidth="1"/>
    <col min="16243" max="16243" width="12.7109375" style="585" customWidth="1"/>
    <col min="16244" max="16245" width="10.7109375" style="585" customWidth="1"/>
    <col min="16246" max="16247" width="9.140625" style="585"/>
    <col min="16248" max="16248" width="25.42578125" style="585" customWidth="1"/>
    <col min="16249" max="16252" width="10.7109375" style="585" customWidth="1"/>
    <col min="16253" max="16253" width="12.7109375" style="585" customWidth="1"/>
    <col min="16254" max="16255" width="10.7109375" style="585" customWidth="1"/>
    <col min="16256" max="16384" width="9.140625" style="585"/>
  </cols>
  <sheetData>
    <row r="1" spans="1:127" ht="12.95" customHeight="1">
      <c r="A1" s="398" t="s">
        <v>6850</v>
      </c>
      <c r="B1" s="387"/>
      <c r="C1" s="387"/>
      <c r="D1" s="387"/>
      <c r="E1" s="387"/>
      <c r="F1" s="387"/>
      <c r="G1" s="398"/>
      <c r="H1" s="398"/>
      <c r="I1" s="398"/>
      <c r="J1" s="398"/>
      <c r="K1" s="398"/>
      <c r="L1" s="398"/>
      <c r="M1" s="398"/>
      <c r="N1" s="398"/>
      <c r="O1" s="398"/>
      <c r="P1" s="398"/>
      <c r="Q1" s="386" t="s">
        <v>6851</v>
      </c>
      <c r="R1" s="398"/>
      <c r="S1" s="398"/>
      <c r="T1" s="398"/>
      <c r="U1" s="398"/>
      <c r="V1" s="398"/>
      <c r="Y1" s="386" t="s">
        <v>6852</v>
      </c>
      <c r="AG1" s="386" t="s">
        <v>6853</v>
      </c>
      <c r="AO1" s="386" t="s">
        <v>6854</v>
      </c>
      <c r="AP1" s="386"/>
      <c r="AQ1" s="386"/>
      <c r="AR1" s="830"/>
      <c r="AS1" s="830"/>
      <c r="AT1" s="386"/>
      <c r="AU1" s="386"/>
      <c r="AV1" s="386"/>
      <c r="AX1" s="386" t="s">
        <v>6855</v>
      </c>
      <c r="AY1" s="386"/>
      <c r="AZ1" s="386"/>
      <c r="BA1" s="386"/>
      <c r="BB1" s="830"/>
      <c r="BC1" s="386"/>
      <c r="BD1" s="1512"/>
      <c r="BE1" s="1512"/>
      <c r="BF1" s="1512"/>
      <c r="BG1" s="382" t="s">
        <v>6856</v>
      </c>
      <c r="BH1" s="382"/>
      <c r="BI1" s="382"/>
      <c r="BJ1" s="439"/>
      <c r="BK1" s="439"/>
      <c r="BL1" s="439"/>
      <c r="BM1" s="439"/>
      <c r="BN1" s="439"/>
      <c r="BO1" s="439"/>
      <c r="BP1" s="439"/>
      <c r="BQ1" s="547"/>
      <c r="BR1" s="382" t="s">
        <v>6857</v>
      </c>
      <c r="BS1" s="382"/>
      <c r="BT1" s="382"/>
      <c r="BU1" s="382"/>
      <c r="BV1" s="382"/>
      <c r="BW1" s="382"/>
      <c r="BX1" s="382"/>
      <c r="BY1" s="382"/>
      <c r="BZ1" s="549"/>
      <c r="CA1" s="549"/>
      <c r="CB1" s="382" t="s">
        <v>6858</v>
      </c>
      <c r="CC1" s="382"/>
      <c r="CD1" s="382"/>
      <c r="CE1" s="382"/>
      <c r="CF1" s="382"/>
      <c r="CG1" s="382"/>
      <c r="CH1" s="382"/>
      <c r="CI1" s="382"/>
      <c r="CJ1" s="549"/>
      <c r="CK1" s="549"/>
      <c r="CL1" s="382" t="s">
        <v>6859</v>
      </c>
      <c r="CM1" s="382"/>
      <c r="CN1" s="382"/>
      <c r="CO1" s="382"/>
      <c r="CP1" s="382"/>
      <c r="CQ1" s="382"/>
      <c r="CR1" s="382"/>
      <c r="CS1" s="382"/>
      <c r="CT1" s="382"/>
      <c r="CU1" s="549"/>
      <c r="CV1" s="382" t="s">
        <v>6860</v>
      </c>
      <c r="CW1" s="382"/>
      <c r="CX1" s="382"/>
      <c r="CY1" s="382"/>
      <c r="CZ1" s="382"/>
      <c r="DA1" s="382"/>
      <c r="DB1" s="382"/>
      <c r="DC1" s="382"/>
      <c r="DD1" s="549"/>
      <c r="DE1" s="547"/>
      <c r="DF1" s="382" t="s">
        <v>6861</v>
      </c>
      <c r="DG1" s="382"/>
      <c r="DH1" s="382"/>
      <c r="DI1" s="382"/>
      <c r="DJ1" s="382"/>
      <c r="DK1" s="382"/>
      <c r="DL1" s="382"/>
      <c r="DM1" s="382"/>
      <c r="DP1" s="382" t="s">
        <v>6862</v>
      </c>
      <c r="DQ1" s="382"/>
      <c r="DR1" s="382"/>
      <c r="DS1" s="382"/>
      <c r="DT1" s="382"/>
      <c r="DU1" s="382"/>
      <c r="DV1" s="382"/>
      <c r="DW1" s="382"/>
    </row>
    <row r="2" spans="1:127" ht="12.95" customHeight="1">
      <c r="A2" s="709"/>
      <c r="B2" s="419" t="s">
        <v>6818</v>
      </c>
      <c r="C2" s="419" t="s">
        <v>6817</v>
      </c>
      <c r="D2" s="419" t="s">
        <v>6816</v>
      </c>
      <c r="E2" s="419" t="s">
        <v>6815</v>
      </c>
      <c r="F2" s="419" t="s">
        <v>6818</v>
      </c>
      <c r="G2" s="419" t="s">
        <v>6817</v>
      </c>
      <c r="H2" s="419" t="s">
        <v>6816</v>
      </c>
      <c r="I2" s="419" t="s">
        <v>6815</v>
      </c>
      <c r="J2" s="419" t="s">
        <v>6818</v>
      </c>
      <c r="K2" s="419" t="s">
        <v>6817</v>
      </c>
      <c r="L2" s="419" t="s">
        <v>6816</v>
      </c>
      <c r="M2" s="419" t="s">
        <v>6815</v>
      </c>
      <c r="N2" s="385"/>
      <c r="O2" s="385"/>
      <c r="P2" s="385"/>
      <c r="Q2" s="704"/>
      <c r="R2" s="688" t="s">
        <v>6863</v>
      </c>
      <c r="S2" s="688" t="s">
        <v>129</v>
      </c>
      <c r="T2" s="2127" t="s">
        <v>2334</v>
      </c>
      <c r="U2" s="2128"/>
      <c r="V2" s="2128"/>
      <c r="Y2" s="387" t="s">
        <v>6864</v>
      </c>
      <c r="Z2" s="1513"/>
      <c r="AA2" s="1513"/>
      <c r="AB2" s="1513"/>
      <c r="AC2" s="1513"/>
      <c r="AD2" s="1513"/>
      <c r="AG2" s="387" t="s">
        <v>6864</v>
      </c>
      <c r="AH2" s="1513"/>
      <c r="AI2" s="1513"/>
      <c r="AJ2" s="1513"/>
      <c r="AK2" s="1513"/>
      <c r="AL2" s="1513"/>
      <c r="AO2" s="398" t="s">
        <v>6865</v>
      </c>
      <c r="AP2" s="387"/>
      <c r="AQ2" s="387"/>
      <c r="AR2" s="387"/>
      <c r="AS2" s="1514"/>
      <c r="AT2" s="387"/>
      <c r="AU2" s="398"/>
      <c r="AV2" s="398"/>
      <c r="AX2" s="387" t="s">
        <v>6866</v>
      </c>
      <c r="AY2" s="387"/>
      <c r="AZ2" s="387"/>
      <c r="BA2" s="387"/>
      <c r="BB2" s="1514"/>
      <c r="BC2" s="387"/>
      <c r="BD2" s="1515"/>
      <c r="BE2" s="1515"/>
      <c r="BF2" s="1515"/>
      <c r="BG2" s="388" t="s">
        <v>1648</v>
      </c>
      <c r="BH2" s="389">
        <v>2022</v>
      </c>
      <c r="BI2" s="389">
        <v>2017</v>
      </c>
      <c r="BJ2" s="389">
        <v>2012</v>
      </c>
      <c r="BK2" s="389">
        <v>2007</v>
      </c>
      <c r="BL2" s="642">
        <v>2002</v>
      </c>
      <c r="BM2" s="642">
        <v>1997</v>
      </c>
      <c r="BN2" s="664">
        <v>1992</v>
      </c>
      <c r="BO2" s="664">
        <v>1987</v>
      </c>
      <c r="BP2" s="439"/>
      <c r="BQ2" s="547"/>
      <c r="BR2" s="597"/>
      <c r="BS2" s="404"/>
      <c r="BT2" s="404"/>
      <c r="BU2" s="404"/>
      <c r="BV2" s="404"/>
      <c r="BW2" s="404" t="s">
        <v>6867</v>
      </c>
      <c r="BX2" s="404"/>
      <c r="BY2" s="405"/>
      <c r="BZ2" s="861"/>
      <c r="CA2" s="861"/>
      <c r="CB2" s="597"/>
      <c r="CC2" s="404"/>
      <c r="CD2" s="404"/>
      <c r="CE2" s="404"/>
      <c r="CF2" s="404"/>
      <c r="CG2" s="404" t="s">
        <v>6867</v>
      </c>
      <c r="CH2" s="404"/>
      <c r="CI2" s="405"/>
      <c r="CJ2" s="861"/>
      <c r="CK2" s="861"/>
      <c r="CL2" s="597"/>
      <c r="CM2" s="404"/>
      <c r="CN2" s="404"/>
      <c r="CO2" s="404"/>
      <c r="CP2" s="404"/>
      <c r="CQ2" s="404" t="s">
        <v>6867</v>
      </c>
      <c r="CR2" s="404"/>
      <c r="CS2" s="405"/>
      <c r="CT2" s="439"/>
      <c r="CU2" s="861"/>
      <c r="CV2" s="597"/>
      <c r="CW2" s="404"/>
      <c r="CX2" s="404"/>
      <c r="CY2" s="404"/>
      <c r="CZ2" s="404"/>
      <c r="DA2" s="404" t="s">
        <v>6867</v>
      </c>
      <c r="DB2" s="404"/>
      <c r="DC2" s="405"/>
      <c r="DD2" s="861"/>
      <c r="DE2" s="547"/>
      <c r="DF2" s="597"/>
      <c r="DG2" s="404"/>
      <c r="DH2" s="404"/>
      <c r="DI2" s="404"/>
      <c r="DJ2" s="404"/>
      <c r="DK2" s="404" t="s">
        <v>6867</v>
      </c>
      <c r="DL2" s="404"/>
      <c r="DM2" s="405"/>
      <c r="DP2" s="597"/>
      <c r="DQ2" s="404"/>
      <c r="DR2" s="404"/>
      <c r="DS2" s="404"/>
      <c r="DT2" s="404"/>
      <c r="DU2" s="404" t="s">
        <v>6867</v>
      </c>
      <c r="DV2" s="404"/>
      <c r="DW2" s="405"/>
    </row>
    <row r="3" spans="1:127" ht="12.95" customHeight="1">
      <c r="A3" s="384" t="s">
        <v>6868</v>
      </c>
      <c r="B3" s="458" t="s">
        <v>6869</v>
      </c>
      <c r="C3" s="458" t="s">
        <v>6869</v>
      </c>
      <c r="D3" s="458" t="s">
        <v>6869</v>
      </c>
      <c r="E3" s="458" t="s">
        <v>6869</v>
      </c>
      <c r="F3" s="458" t="s">
        <v>6870</v>
      </c>
      <c r="G3" s="458" t="s">
        <v>6870</v>
      </c>
      <c r="H3" s="458" t="s">
        <v>6870</v>
      </c>
      <c r="I3" s="458" t="s">
        <v>6870</v>
      </c>
      <c r="J3" s="458" t="s">
        <v>6871</v>
      </c>
      <c r="K3" s="458" t="s">
        <v>6871</v>
      </c>
      <c r="L3" s="458" t="s">
        <v>6871</v>
      </c>
      <c r="M3" s="458" t="s">
        <v>6871</v>
      </c>
      <c r="N3" s="385"/>
      <c r="O3" s="385"/>
      <c r="P3" s="385"/>
      <c r="Q3" s="1516" t="s">
        <v>121</v>
      </c>
      <c r="R3" s="457" t="s">
        <v>6872</v>
      </c>
      <c r="S3" s="457" t="s">
        <v>6873</v>
      </c>
      <c r="T3" s="728" t="s">
        <v>129</v>
      </c>
      <c r="U3" s="728" t="s">
        <v>4579</v>
      </c>
      <c r="V3" s="658" t="s">
        <v>6874</v>
      </c>
      <c r="Z3" s="1517"/>
      <c r="AA3" s="787" t="s">
        <v>6875</v>
      </c>
      <c r="AB3" s="788"/>
      <c r="AC3" s="788"/>
      <c r="AD3" s="1517"/>
      <c r="AH3" s="1517"/>
      <c r="AI3" s="787" t="s">
        <v>6875</v>
      </c>
      <c r="AJ3" s="788"/>
      <c r="AK3" s="788"/>
      <c r="AL3" s="1517"/>
      <c r="AO3" s="388" t="s">
        <v>1648</v>
      </c>
      <c r="AP3" s="389">
        <v>2020</v>
      </c>
      <c r="AQ3" s="389">
        <v>2019</v>
      </c>
      <c r="AR3" s="389">
        <v>2018</v>
      </c>
      <c r="AS3" s="389">
        <v>2017</v>
      </c>
      <c r="AT3" s="389">
        <v>2016</v>
      </c>
      <c r="AU3" s="390">
        <v>2015</v>
      </c>
      <c r="AV3" s="398"/>
      <c r="AW3" s="398"/>
      <c r="AX3" s="911" t="s">
        <v>1648</v>
      </c>
      <c r="AY3" s="389">
        <v>2020</v>
      </c>
      <c r="AZ3" s="389">
        <v>2019</v>
      </c>
      <c r="BA3" s="389">
        <v>2018</v>
      </c>
      <c r="BB3" s="389">
        <v>2017</v>
      </c>
      <c r="BC3" s="390">
        <v>2016</v>
      </c>
      <c r="BD3" s="390">
        <v>2015</v>
      </c>
      <c r="BE3" s="382"/>
      <c r="BF3" s="398"/>
      <c r="BG3" s="382" t="s">
        <v>6876</v>
      </c>
      <c r="BH3" s="463">
        <v>3412</v>
      </c>
      <c r="BI3" s="463">
        <v>3508</v>
      </c>
      <c r="BJ3" s="463">
        <v>3099</v>
      </c>
      <c r="BK3" s="463">
        <v>3143</v>
      </c>
      <c r="BL3" s="435">
        <v>2926</v>
      </c>
      <c r="BM3" s="435">
        <v>2707</v>
      </c>
      <c r="BN3" s="435">
        <v>1955</v>
      </c>
      <c r="BO3" s="435">
        <v>1490</v>
      </c>
      <c r="BP3" s="435"/>
      <c r="BQ3" s="547"/>
      <c r="BR3" s="493"/>
      <c r="BS3" s="667"/>
      <c r="BT3" s="667" t="s">
        <v>6877</v>
      </c>
      <c r="BU3" s="667"/>
      <c r="BV3" s="667"/>
      <c r="BW3" s="667" t="s">
        <v>6878</v>
      </c>
      <c r="BX3" s="667" t="s">
        <v>6879</v>
      </c>
      <c r="BY3" s="465"/>
      <c r="BZ3" s="861"/>
      <c r="CA3" s="861"/>
      <c r="CB3" s="493"/>
      <c r="CC3" s="667"/>
      <c r="CD3" s="667" t="s">
        <v>6877</v>
      </c>
      <c r="CE3" s="667"/>
      <c r="CF3" s="667"/>
      <c r="CG3" s="667" t="s">
        <v>6878</v>
      </c>
      <c r="CH3" s="667" t="s">
        <v>6879</v>
      </c>
      <c r="CI3" s="465"/>
      <c r="CJ3" s="861"/>
      <c r="CK3" s="861"/>
      <c r="CL3" s="382"/>
      <c r="CM3" s="667"/>
      <c r="CN3" s="667" t="s">
        <v>6877</v>
      </c>
      <c r="CO3" s="667"/>
      <c r="CP3" s="667"/>
      <c r="CQ3" s="667" t="s">
        <v>6878</v>
      </c>
      <c r="CR3" s="667" t="s">
        <v>6879</v>
      </c>
      <c r="CS3" s="465"/>
      <c r="CT3" s="439"/>
      <c r="CU3" s="861"/>
      <c r="CV3" s="382"/>
      <c r="CW3" s="667"/>
      <c r="CX3" s="667" t="s">
        <v>6877</v>
      </c>
      <c r="CY3" s="667"/>
      <c r="CZ3" s="667"/>
      <c r="DA3" s="667" t="s">
        <v>6878</v>
      </c>
      <c r="DB3" s="667" t="s">
        <v>6879</v>
      </c>
      <c r="DC3" s="465"/>
      <c r="DD3" s="861"/>
      <c r="DE3" s="547"/>
      <c r="DF3" s="382"/>
      <c r="DG3" s="667"/>
      <c r="DH3" s="667" t="s">
        <v>6877</v>
      </c>
      <c r="DI3" s="667"/>
      <c r="DJ3" s="667"/>
      <c r="DK3" s="667" t="s">
        <v>6878</v>
      </c>
      <c r="DL3" s="667" t="s">
        <v>6879</v>
      </c>
      <c r="DM3" s="465"/>
      <c r="DP3" s="382"/>
      <c r="DQ3" s="667"/>
      <c r="DR3" s="667" t="s">
        <v>6877</v>
      </c>
      <c r="DS3" s="667"/>
      <c r="DT3" s="667"/>
      <c r="DU3" s="667" t="s">
        <v>6878</v>
      </c>
      <c r="DV3" s="667" t="s">
        <v>6879</v>
      </c>
      <c r="DW3" s="465"/>
    </row>
    <row r="4" spans="1:127" ht="12.95" customHeight="1">
      <c r="A4" s="709" t="s">
        <v>6880</v>
      </c>
      <c r="B4" s="515">
        <v>68270</v>
      </c>
      <c r="C4" s="515">
        <v>67910</v>
      </c>
      <c r="D4" s="515">
        <v>67560</v>
      </c>
      <c r="E4" s="1518">
        <v>67860</v>
      </c>
      <c r="F4" s="515">
        <v>67210</v>
      </c>
      <c r="G4" s="515">
        <f t="shared" ref="G4:M4" si="0">SUM(G5+G14)</f>
        <v>66520</v>
      </c>
      <c r="H4" s="515">
        <f t="shared" si="0"/>
        <v>64890</v>
      </c>
      <c r="I4" s="1518">
        <f t="shared" si="0"/>
        <v>66340</v>
      </c>
      <c r="J4" s="515">
        <f t="shared" si="0"/>
        <v>65380</v>
      </c>
      <c r="K4" s="515">
        <f t="shared" si="0"/>
        <v>64540</v>
      </c>
      <c r="L4" s="515">
        <f t="shared" si="0"/>
        <v>62470</v>
      </c>
      <c r="M4" s="1518">
        <f t="shared" si="0"/>
        <v>62280</v>
      </c>
      <c r="N4" s="515"/>
      <c r="O4" s="515"/>
      <c r="P4" s="515"/>
      <c r="Q4" s="386">
        <v>2024</v>
      </c>
      <c r="R4" s="754">
        <v>67860</v>
      </c>
      <c r="S4" s="754">
        <v>51800</v>
      </c>
      <c r="T4" s="754">
        <v>15940</v>
      </c>
      <c r="U4" s="754">
        <v>3990</v>
      </c>
      <c r="V4" s="754">
        <v>11950</v>
      </c>
      <c r="Z4" s="1519"/>
      <c r="AA4" s="719" t="s">
        <v>6881</v>
      </c>
      <c r="AB4" s="796"/>
      <c r="AC4" s="795"/>
      <c r="AD4" s="1519"/>
      <c r="AH4" s="1519"/>
      <c r="AI4" s="719" t="s">
        <v>6881</v>
      </c>
      <c r="AJ4" s="796"/>
      <c r="AK4" s="795"/>
      <c r="AL4" s="1519"/>
      <c r="AO4" s="439" t="s">
        <v>129</v>
      </c>
      <c r="AP4" s="439">
        <v>480</v>
      </c>
      <c r="AQ4" s="439">
        <v>700</v>
      </c>
      <c r="AR4" s="439">
        <v>730</v>
      </c>
      <c r="AS4" s="439">
        <v>700</v>
      </c>
      <c r="AT4" s="439">
        <v>720</v>
      </c>
      <c r="AU4" s="439">
        <f>SUM(AU6:AU7)</f>
        <v>730</v>
      </c>
      <c r="AV4" s="385"/>
      <c r="AW4" s="385"/>
      <c r="AX4" s="398" t="s">
        <v>6882</v>
      </c>
      <c r="AY4" s="398"/>
      <c r="AZ4" s="398"/>
      <c r="BA4" s="398"/>
      <c r="BB4" s="398"/>
      <c r="BC4" s="398"/>
      <c r="BD4" s="398"/>
      <c r="BE4" s="398"/>
      <c r="BF4" s="398"/>
      <c r="BG4" s="382" t="s">
        <v>6883</v>
      </c>
      <c r="BH4" s="463">
        <v>10348957</v>
      </c>
      <c r="BI4" s="463">
        <v>8465399</v>
      </c>
      <c r="BJ4" s="463">
        <v>7736883</v>
      </c>
      <c r="BK4" s="463">
        <v>6244465</v>
      </c>
      <c r="BL4" s="435">
        <v>4591828</v>
      </c>
      <c r="BM4" s="435">
        <v>4639812</v>
      </c>
      <c r="BN4" s="435">
        <v>3017553</v>
      </c>
      <c r="BO4" s="435">
        <v>1509589</v>
      </c>
      <c r="BP4" s="435"/>
      <c r="BQ4" s="547"/>
      <c r="BR4" s="493"/>
      <c r="BS4" s="667"/>
      <c r="BT4" s="667" t="s">
        <v>6884</v>
      </c>
      <c r="BU4" s="667"/>
      <c r="BV4" s="667" t="s">
        <v>6885</v>
      </c>
      <c r="BW4" s="667" t="s">
        <v>6886</v>
      </c>
      <c r="BX4" s="667" t="s">
        <v>6887</v>
      </c>
      <c r="BY4" s="465" t="s">
        <v>6888</v>
      </c>
      <c r="BZ4" s="861"/>
      <c r="CA4" s="861"/>
      <c r="CB4" s="493" t="s">
        <v>6889</v>
      </c>
      <c r="CC4" s="667"/>
      <c r="CD4" s="667" t="s">
        <v>6884</v>
      </c>
      <c r="CE4" s="667"/>
      <c r="CF4" s="667" t="s">
        <v>6885</v>
      </c>
      <c r="CG4" s="667" t="s">
        <v>6886</v>
      </c>
      <c r="CH4" s="667" t="s">
        <v>6887</v>
      </c>
      <c r="CI4" s="465" t="s">
        <v>6888</v>
      </c>
      <c r="CJ4" s="861"/>
      <c r="CK4" s="861"/>
      <c r="CL4" s="523"/>
      <c r="CM4" s="667"/>
      <c r="CN4" s="667" t="s">
        <v>6884</v>
      </c>
      <c r="CO4" s="667"/>
      <c r="CP4" s="667" t="s">
        <v>6885</v>
      </c>
      <c r="CQ4" s="667" t="s">
        <v>6886</v>
      </c>
      <c r="CR4" s="667" t="s">
        <v>6887</v>
      </c>
      <c r="CS4" s="465" t="s">
        <v>6888</v>
      </c>
      <c r="CT4" s="439"/>
      <c r="CU4" s="861"/>
      <c r="CV4" s="523"/>
      <c r="CW4" s="667"/>
      <c r="CX4" s="667" t="s">
        <v>6884</v>
      </c>
      <c r="CY4" s="667"/>
      <c r="CZ4" s="667" t="s">
        <v>6885</v>
      </c>
      <c r="DA4" s="667" t="s">
        <v>6886</v>
      </c>
      <c r="DB4" s="667" t="s">
        <v>6887</v>
      </c>
      <c r="DC4" s="465" t="s">
        <v>6888</v>
      </c>
      <c r="DD4" s="861"/>
      <c r="DE4" s="547"/>
      <c r="DF4" s="523"/>
      <c r="DG4" s="667"/>
      <c r="DH4" s="667" t="s">
        <v>6884</v>
      </c>
      <c r="DI4" s="667"/>
      <c r="DJ4" s="667" t="s">
        <v>6885</v>
      </c>
      <c r="DK4" s="667" t="s">
        <v>6886</v>
      </c>
      <c r="DL4" s="667" t="s">
        <v>6887</v>
      </c>
      <c r="DM4" s="465" t="s">
        <v>6888</v>
      </c>
      <c r="DP4" s="523"/>
      <c r="DQ4" s="667"/>
      <c r="DR4" s="667" t="s">
        <v>6884</v>
      </c>
      <c r="DS4" s="667"/>
      <c r="DT4" s="667" t="s">
        <v>6885</v>
      </c>
      <c r="DU4" s="667" t="s">
        <v>6886</v>
      </c>
      <c r="DV4" s="667" t="s">
        <v>6887</v>
      </c>
      <c r="DW4" s="465" t="s">
        <v>6888</v>
      </c>
    </row>
    <row r="5" spans="1:127" ht="12.95" customHeight="1">
      <c r="A5" s="398" t="s">
        <v>6890</v>
      </c>
      <c r="B5" s="515">
        <v>52240</v>
      </c>
      <c r="C5" s="515">
        <v>51880</v>
      </c>
      <c r="D5" s="515">
        <v>51620</v>
      </c>
      <c r="E5" s="1518">
        <v>51800</v>
      </c>
      <c r="F5" s="515">
        <v>51180</v>
      </c>
      <c r="G5" s="515">
        <v>50370</v>
      </c>
      <c r="H5" s="515">
        <v>49190</v>
      </c>
      <c r="I5" s="1518">
        <v>50020</v>
      </c>
      <c r="J5" s="515">
        <v>49220</v>
      </c>
      <c r="K5" s="515">
        <v>48530</v>
      </c>
      <c r="L5" s="515">
        <v>47200</v>
      </c>
      <c r="M5" s="1518">
        <v>46350</v>
      </c>
      <c r="N5" s="515"/>
      <c r="O5" s="515"/>
      <c r="P5" s="515"/>
      <c r="Q5" s="386">
        <v>2023</v>
      </c>
      <c r="R5" s="754">
        <v>66340</v>
      </c>
      <c r="S5" s="754">
        <v>50020</v>
      </c>
      <c r="T5" s="754">
        <f>SUM(U5:V5)</f>
        <v>16320</v>
      </c>
      <c r="U5" s="754">
        <v>4080</v>
      </c>
      <c r="V5" s="754">
        <v>12240</v>
      </c>
      <c r="Y5" s="398"/>
      <c r="Z5" s="438" t="s">
        <v>129</v>
      </c>
      <c r="AA5" s="1520" t="s">
        <v>129</v>
      </c>
      <c r="AB5" s="419" t="s">
        <v>6891</v>
      </c>
      <c r="AC5" s="688" t="s">
        <v>6891</v>
      </c>
      <c r="AD5" s="438" t="s">
        <v>1709</v>
      </c>
      <c r="AE5" s="385"/>
      <c r="AG5" s="398"/>
      <c r="AH5" s="438" t="s">
        <v>129</v>
      </c>
      <c r="AI5" s="1520" t="s">
        <v>129</v>
      </c>
      <c r="AJ5" s="419" t="s">
        <v>6891</v>
      </c>
      <c r="AK5" s="688" t="s">
        <v>6891</v>
      </c>
      <c r="AL5" s="438" t="s">
        <v>1709</v>
      </c>
      <c r="AO5" s="398" t="s">
        <v>3465</v>
      </c>
      <c r="AP5" s="398"/>
      <c r="AQ5" s="398"/>
      <c r="AR5" s="398"/>
      <c r="AS5" s="398"/>
      <c r="AT5" s="398"/>
      <c r="AU5" s="398"/>
      <c r="AV5" s="398"/>
      <c r="AW5" s="398"/>
      <c r="AX5" s="398" t="s">
        <v>6892</v>
      </c>
      <c r="AY5" s="398">
        <v>60</v>
      </c>
      <c r="AZ5" s="398">
        <v>100</v>
      </c>
      <c r="BA5" s="398">
        <v>120</v>
      </c>
      <c r="BB5" s="398">
        <v>130</v>
      </c>
      <c r="BC5" s="398">
        <v>130</v>
      </c>
      <c r="BD5" s="398">
        <v>110</v>
      </c>
      <c r="BE5" s="398"/>
      <c r="BF5" s="398"/>
      <c r="BG5" s="382" t="s">
        <v>6893</v>
      </c>
      <c r="BH5" s="463">
        <v>1770479</v>
      </c>
      <c r="BI5" s="463">
        <v>1630287</v>
      </c>
      <c r="BJ5" s="463">
        <v>1287327</v>
      </c>
      <c r="BK5" s="463">
        <v>1100598</v>
      </c>
      <c r="BL5" s="435">
        <v>846256</v>
      </c>
      <c r="BM5" s="435">
        <v>749859</v>
      </c>
      <c r="BN5" s="435">
        <v>567109</v>
      </c>
      <c r="BO5" s="435">
        <v>220934</v>
      </c>
      <c r="BP5" s="435"/>
      <c r="BQ5" s="547"/>
      <c r="BR5" s="493"/>
      <c r="BS5" s="667" t="s">
        <v>6894</v>
      </c>
      <c r="BT5" s="667" t="s">
        <v>6895</v>
      </c>
      <c r="BU5" s="667" t="s">
        <v>119</v>
      </c>
      <c r="BV5" s="667" t="s">
        <v>6896</v>
      </c>
      <c r="BW5" s="667" t="s">
        <v>6897</v>
      </c>
      <c r="BX5" s="667" t="s">
        <v>6898</v>
      </c>
      <c r="BY5" s="465" t="s">
        <v>6899</v>
      </c>
      <c r="BZ5" s="861"/>
      <c r="CA5" s="861"/>
      <c r="CB5" s="493" t="s">
        <v>6900</v>
      </c>
      <c r="CC5" s="667" t="s">
        <v>6894</v>
      </c>
      <c r="CD5" s="667" t="s">
        <v>6895</v>
      </c>
      <c r="CE5" s="667" t="s">
        <v>119</v>
      </c>
      <c r="CF5" s="667" t="s">
        <v>6896</v>
      </c>
      <c r="CG5" s="667" t="s">
        <v>6897</v>
      </c>
      <c r="CH5" s="667" t="s">
        <v>6898</v>
      </c>
      <c r="CI5" s="465" t="s">
        <v>6899</v>
      </c>
      <c r="CJ5" s="861"/>
      <c r="CK5" s="861"/>
      <c r="CL5" s="433" t="s">
        <v>6901</v>
      </c>
      <c r="CM5" s="667" t="s">
        <v>6894</v>
      </c>
      <c r="CN5" s="667" t="s">
        <v>6895</v>
      </c>
      <c r="CO5" s="667" t="s">
        <v>119</v>
      </c>
      <c r="CP5" s="667" t="s">
        <v>6896</v>
      </c>
      <c r="CQ5" s="667" t="s">
        <v>6897</v>
      </c>
      <c r="CR5" s="667" t="s">
        <v>6898</v>
      </c>
      <c r="CS5" s="465" t="s">
        <v>6899</v>
      </c>
      <c r="CT5" s="439"/>
      <c r="CU5" s="861"/>
      <c r="CV5" s="433"/>
      <c r="CW5" s="667" t="s">
        <v>6894</v>
      </c>
      <c r="CX5" s="667" t="s">
        <v>6895</v>
      </c>
      <c r="CY5" s="667" t="s">
        <v>119</v>
      </c>
      <c r="CZ5" s="667" t="s">
        <v>6896</v>
      </c>
      <c r="DA5" s="667" t="s">
        <v>6897</v>
      </c>
      <c r="DB5" s="667" t="s">
        <v>6898</v>
      </c>
      <c r="DC5" s="465" t="s">
        <v>6899</v>
      </c>
      <c r="DD5" s="861"/>
      <c r="DE5" s="547"/>
      <c r="DF5" s="433"/>
      <c r="DG5" s="667" t="s">
        <v>6894</v>
      </c>
      <c r="DH5" s="667" t="s">
        <v>6895</v>
      </c>
      <c r="DI5" s="667" t="s">
        <v>119</v>
      </c>
      <c r="DJ5" s="667" t="s">
        <v>6896</v>
      </c>
      <c r="DK5" s="667" t="s">
        <v>6897</v>
      </c>
      <c r="DL5" s="667" t="s">
        <v>6898</v>
      </c>
      <c r="DM5" s="465" t="s">
        <v>6899</v>
      </c>
      <c r="DP5" s="433"/>
      <c r="DQ5" s="667" t="s">
        <v>6894</v>
      </c>
      <c r="DR5" s="667" t="s">
        <v>6895</v>
      </c>
      <c r="DS5" s="667" t="s">
        <v>119</v>
      </c>
      <c r="DT5" s="667" t="s">
        <v>6896</v>
      </c>
      <c r="DU5" s="667" t="s">
        <v>6897</v>
      </c>
      <c r="DV5" s="667" t="s">
        <v>6898</v>
      </c>
      <c r="DW5" s="465" t="s">
        <v>6899</v>
      </c>
    </row>
    <row r="6" spans="1:127" ht="12.95" customHeight="1">
      <c r="A6" s="398" t="s">
        <v>6902</v>
      </c>
      <c r="B6" s="515">
        <v>270</v>
      </c>
      <c r="C6" s="515">
        <v>280</v>
      </c>
      <c r="D6" s="515">
        <v>280</v>
      </c>
      <c r="E6" s="1518">
        <v>250</v>
      </c>
      <c r="F6" s="515">
        <v>250</v>
      </c>
      <c r="G6" s="515">
        <v>250</v>
      </c>
      <c r="H6" s="515">
        <v>240</v>
      </c>
      <c r="I6" s="1518">
        <v>260</v>
      </c>
      <c r="J6" s="515">
        <v>320</v>
      </c>
      <c r="K6" s="515">
        <v>320</v>
      </c>
      <c r="L6" s="515">
        <v>330</v>
      </c>
      <c r="M6" s="1518">
        <v>270</v>
      </c>
      <c r="N6" s="515"/>
      <c r="O6" s="515"/>
      <c r="P6" s="515"/>
      <c r="Q6" s="386">
        <v>2022</v>
      </c>
      <c r="R6" s="754">
        <v>65380</v>
      </c>
      <c r="S6" s="754">
        <v>49220</v>
      </c>
      <c r="T6" s="754">
        <v>16160</v>
      </c>
      <c r="U6" s="754">
        <v>3900</v>
      </c>
      <c r="V6" s="754">
        <v>12260</v>
      </c>
      <c r="Y6" s="398"/>
      <c r="Z6" s="438" t="s">
        <v>6903</v>
      </c>
      <c r="AA6" s="1520"/>
      <c r="AB6" s="438" t="s">
        <v>6904</v>
      </c>
      <c r="AC6" s="416" t="s">
        <v>6905</v>
      </c>
      <c r="AD6" s="438" t="s">
        <v>6903</v>
      </c>
      <c r="AE6" s="385"/>
      <c r="AG6" s="398"/>
      <c r="AH6" s="438" t="s">
        <v>6903</v>
      </c>
      <c r="AI6" s="1520"/>
      <c r="AJ6" s="438" t="s">
        <v>6904</v>
      </c>
      <c r="AK6" s="416" t="s">
        <v>6905</v>
      </c>
      <c r="AL6" s="438" t="s">
        <v>6903</v>
      </c>
      <c r="AO6" s="398" t="s">
        <v>6906</v>
      </c>
      <c r="AP6" s="398">
        <v>340</v>
      </c>
      <c r="AQ6" s="398">
        <v>440</v>
      </c>
      <c r="AR6" s="398">
        <v>470</v>
      </c>
      <c r="AS6" s="398">
        <v>440</v>
      </c>
      <c r="AT6" s="398">
        <v>450</v>
      </c>
      <c r="AU6" s="398">
        <v>470</v>
      </c>
      <c r="AV6" s="398"/>
      <c r="AW6" s="398"/>
      <c r="AX6" s="398" t="s">
        <v>6907</v>
      </c>
      <c r="AY6" s="398">
        <v>40</v>
      </c>
      <c r="AZ6" s="398">
        <v>90</v>
      </c>
      <c r="BA6" s="398">
        <v>110</v>
      </c>
      <c r="BB6" s="398">
        <v>80</v>
      </c>
      <c r="BC6" s="398">
        <v>120</v>
      </c>
      <c r="BD6" s="398">
        <v>120</v>
      </c>
      <c r="BE6" s="398"/>
      <c r="BF6" s="398"/>
      <c r="BG6" s="382" t="s">
        <v>6908</v>
      </c>
      <c r="BH6" s="463">
        <v>414788</v>
      </c>
      <c r="BI6" s="463">
        <v>396677</v>
      </c>
      <c r="BJ6" s="463">
        <v>316968</v>
      </c>
      <c r="BK6" s="463">
        <v>267376</v>
      </c>
      <c r="BL6" s="435">
        <v>210512</v>
      </c>
      <c r="BM6" s="435">
        <v>189056</v>
      </c>
      <c r="BN6" s="435">
        <v>135916</v>
      </c>
      <c r="BO6" s="435">
        <v>50547</v>
      </c>
      <c r="BP6" s="435"/>
      <c r="BQ6" s="547"/>
      <c r="BR6" s="493"/>
      <c r="BS6" s="667" t="s">
        <v>6909</v>
      </c>
      <c r="BT6" s="667" t="s">
        <v>6910</v>
      </c>
      <c r="BU6" s="667" t="s">
        <v>6911</v>
      </c>
      <c r="BV6" s="667" t="s">
        <v>6911</v>
      </c>
      <c r="BW6" s="1521" t="s">
        <v>6912</v>
      </c>
      <c r="BX6" s="667" t="s">
        <v>6913</v>
      </c>
      <c r="BY6" s="465" t="s">
        <v>6914</v>
      </c>
      <c r="BZ6" s="861"/>
      <c r="CA6" s="861"/>
      <c r="CB6" s="493"/>
      <c r="CC6" s="667" t="s">
        <v>6909</v>
      </c>
      <c r="CD6" s="667" t="s">
        <v>6910</v>
      </c>
      <c r="CE6" s="667" t="s">
        <v>6911</v>
      </c>
      <c r="CF6" s="667" t="s">
        <v>6911</v>
      </c>
      <c r="CG6" s="1521" t="s">
        <v>6912</v>
      </c>
      <c r="CH6" s="667" t="s">
        <v>6913</v>
      </c>
      <c r="CI6" s="465" t="s">
        <v>6914</v>
      </c>
      <c r="CJ6" s="861"/>
      <c r="CK6" s="861"/>
      <c r="CL6" s="433" t="s">
        <v>6915</v>
      </c>
      <c r="CM6" s="667" t="s">
        <v>6909</v>
      </c>
      <c r="CN6" s="667" t="s">
        <v>6910</v>
      </c>
      <c r="CO6" s="667" t="s">
        <v>6911</v>
      </c>
      <c r="CP6" s="667" t="s">
        <v>6911</v>
      </c>
      <c r="CQ6" s="1521" t="s">
        <v>6912</v>
      </c>
      <c r="CR6" s="667" t="s">
        <v>6913</v>
      </c>
      <c r="CS6" s="465" t="s">
        <v>6914</v>
      </c>
      <c r="CT6" s="439"/>
      <c r="CU6" s="861"/>
      <c r="CV6" s="433" t="s">
        <v>3173</v>
      </c>
      <c r="CW6" s="667" t="s">
        <v>6909</v>
      </c>
      <c r="CX6" s="667" t="s">
        <v>6910</v>
      </c>
      <c r="CY6" s="667" t="s">
        <v>6911</v>
      </c>
      <c r="CZ6" s="667" t="s">
        <v>6911</v>
      </c>
      <c r="DA6" s="1521" t="s">
        <v>6912</v>
      </c>
      <c r="DB6" s="667" t="s">
        <v>6913</v>
      </c>
      <c r="DC6" s="465" t="s">
        <v>6914</v>
      </c>
      <c r="DD6" s="861"/>
      <c r="DE6" s="547"/>
      <c r="DF6" s="433" t="s">
        <v>3990</v>
      </c>
      <c r="DG6" s="667" t="s">
        <v>6909</v>
      </c>
      <c r="DH6" s="667" t="s">
        <v>6910</v>
      </c>
      <c r="DI6" s="667" t="s">
        <v>6911</v>
      </c>
      <c r="DJ6" s="667" t="s">
        <v>6911</v>
      </c>
      <c r="DK6" s="1521" t="s">
        <v>6912</v>
      </c>
      <c r="DL6" s="667" t="s">
        <v>6913</v>
      </c>
      <c r="DM6" s="465" t="s">
        <v>6914</v>
      </c>
      <c r="DP6" s="433" t="s">
        <v>6916</v>
      </c>
      <c r="DQ6" s="667" t="s">
        <v>6909</v>
      </c>
      <c r="DR6" s="667" t="s">
        <v>6910</v>
      </c>
      <c r="DS6" s="667" t="s">
        <v>6911</v>
      </c>
      <c r="DT6" s="667" t="s">
        <v>6911</v>
      </c>
      <c r="DU6" s="1521" t="s">
        <v>6912</v>
      </c>
      <c r="DV6" s="667" t="s">
        <v>6913</v>
      </c>
      <c r="DW6" s="465" t="s">
        <v>6914</v>
      </c>
    </row>
    <row r="7" spans="1:127" ht="12.95" customHeight="1">
      <c r="A7" s="398" t="s">
        <v>6917</v>
      </c>
      <c r="B7" s="515">
        <v>12870</v>
      </c>
      <c r="C7" s="515">
        <v>13010</v>
      </c>
      <c r="D7" s="515">
        <v>13060</v>
      </c>
      <c r="E7" s="1518">
        <v>13000</v>
      </c>
      <c r="F7" s="515">
        <v>12450</v>
      </c>
      <c r="G7" s="515">
        <v>12080</v>
      </c>
      <c r="H7" s="515">
        <v>11750</v>
      </c>
      <c r="I7" s="1518">
        <v>11250</v>
      </c>
      <c r="J7" s="515">
        <v>10820</v>
      </c>
      <c r="K7" s="515">
        <v>10710</v>
      </c>
      <c r="L7" s="515">
        <v>10010</v>
      </c>
      <c r="M7" s="1518">
        <v>9700</v>
      </c>
      <c r="N7" s="515"/>
      <c r="O7" s="515"/>
      <c r="P7" s="515"/>
      <c r="Q7" s="386">
        <v>2021</v>
      </c>
      <c r="R7" s="754">
        <v>60070</v>
      </c>
      <c r="S7" s="754">
        <v>44400</v>
      </c>
      <c r="T7" s="754">
        <v>15670</v>
      </c>
      <c r="U7" s="754">
        <v>3920</v>
      </c>
      <c r="V7" s="754">
        <v>11750</v>
      </c>
      <c r="Y7" s="387" t="s">
        <v>6918</v>
      </c>
      <c r="Z7" s="458" t="s">
        <v>6919</v>
      </c>
      <c r="AA7" s="719"/>
      <c r="AB7" s="458" t="s">
        <v>6920</v>
      </c>
      <c r="AC7" s="457" t="s">
        <v>6921</v>
      </c>
      <c r="AD7" s="458" t="s">
        <v>6919</v>
      </c>
      <c r="AE7" s="385"/>
      <c r="AG7" s="387" t="s">
        <v>6918</v>
      </c>
      <c r="AH7" s="458" t="s">
        <v>6919</v>
      </c>
      <c r="AI7" s="719"/>
      <c r="AJ7" s="458" t="s">
        <v>6920</v>
      </c>
      <c r="AK7" s="457" t="s">
        <v>6921</v>
      </c>
      <c r="AL7" s="458" t="s">
        <v>6919</v>
      </c>
      <c r="AO7" s="398" t="s">
        <v>6922</v>
      </c>
      <c r="AP7" s="398">
        <v>140</v>
      </c>
      <c r="AQ7" s="398">
        <v>260</v>
      </c>
      <c r="AR7" s="398">
        <v>260</v>
      </c>
      <c r="AS7" s="398">
        <v>260</v>
      </c>
      <c r="AT7" s="398">
        <v>270</v>
      </c>
      <c r="AU7" s="398">
        <v>260</v>
      </c>
      <c r="AV7" s="398"/>
      <c r="AW7" s="398"/>
      <c r="AX7" s="398" t="s">
        <v>6923</v>
      </c>
      <c r="AY7" s="398">
        <v>120</v>
      </c>
      <c r="AZ7" s="398">
        <v>180</v>
      </c>
      <c r="BA7" s="398">
        <v>220</v>
      </c>
      <c r="BB7" s="398">
        <v>230</v>
      </c>
      <c r="BC7" s="398">
        <v>180</v>
      </c>
      <c r="BD7" s="398">
        <v>180</v>
      </c>
      <c r="BE7" s="398"/>
      <c r="BF7" s="398"/>
      <c r="BG7" s="382" t="s">
        <v>6924</v>
      </c>
      <c r="BH7" s="463">
        <v>54351</v>
      </c>
      <c r="BI7" s="463">
        <v>60539</v>
      </c>
      <c r="BJ7" s="463">
        <v>53579</v>
      </c>
      <c r="BK7" s="463">
        <v>52394</v>
      </c>
      <c r="BL7" s="435">
        <v>43104</v>
      </c>
      <c r="BM7" s="435">
        <v>42477</v>
      </c>
      <c r="BN7" s="435">
        <v>33057</v>
      </c>
      <c r="BO7" s="435">
        <v>18582</v>
      </c>
      <c r="BP7" s="435"/>
      <c r="BQ7" s="547"/>
      <c r="BR7" s="610" t="s">
        <v>6925</v>
      </c>
      <c r="BS7" s="441" t="s">
        <v>6926</v>
      </c>
      <c r="BT7" s="1522">
        <v>1000</v>
      </c>
      <c r="BU7" s="1522">
        <v>1000</v>
      </c>
      <c r="BV7" s="1522">
        <v>1000</v>
      </c>
      <c r="BW7" s="441" t="s">
        <v>6926</v>
      </c>
      <c r="BX7" s="441" t="s">
        <v>6926</v>
      </c>
      <c r="BY7" s="442" t="s">
        <v>6926</v>
      </c>
      <c r="BZ7" s="861"/>
      <c r="CA7" s="861"/>
      <c r="CB7" s="610" t="s">
        <v>6927</v>
      </c>
      <c r="CC7" s="441" t="s">
        <v>6926</v>
      </c>
      <c r="CD7" s="1522">
        <v>1000</v>
      </c>
      <c r="CE7" s="1522">
        <v>1000</v>
      </c>
      <c r="CF7" s="1522">
        <v>1000</v>
      </c>
      <c r="CG7" s="441" t="s">
        <v>6926</v>
      </c>
      <c r="CH7" s="441" t="s">
        <v>6926</v>
      </c>
      <c r="CI7" s="442" t="s">
        <v>6926</v>
      </c>
      <c r="CJ7" s="861"/>
      <c r="CK7" s="861"/>
      <c r="CL7" s="610" t="s">
        <v>6928</v>
      </c>
      <c r="CM7" s="441" t="s">
        <v>6926</v>
      </c>
      <c r="CN7" s="1522">
        <v>1000</v>
      </c>
      <c r="CO7" s="1522">
        <v>1000</v>
      </c>
      <c r="CP7" s="1522">
        <v>1000</v>
      </c>
      <c r="CQ7" s="441" t="s">
        <v>6926</v>
      </c>
      <c r="CR7" s="441" t="s">
        <v>6926</v>
      </c>
      <c r="CS7" s="442" t="s">
        <v>6926</v>
      </c>
      <c r="CT7" s="439"/>
      <c r="CU7" s="861"/>
      <c r="CV7" s="610" t="s">
        <v>6928</v>
      </c>
      <c r="CW7" s="441" t="s">
        <v>6926</v>
      </c>
      <c r="CX7" s="1522">
        <v>1000</v>
      </c>
      <c r="CY7" s="1522">
        <v>1000</v>
      </c>
      <c r="CZ7" s="1522">
        <v>1000</v>
      </c>
      <c r="DA7" s="441" t="s">
        <v>6926</v>
      </c>
      <c r="DB7" s="441" t="s">
        <v>6926</v>
      </c>
      <c r="DC7" s="442" t="s">
        <v>6926</v>
      </c>
      <c r="DD7" s="861"/>
      <c r="DE7" s="547"/>
      <c r="DF7" s="610" t="s">
        <v>4020</v>
      </c>
      <c r="DG7" s="441" t="s">
        <v>6926</v>
      </c>
      <c r="DH7" s="1522">
        <v>1000</v>
      </c>
      <c r="DI7" s="1522">
        <v>1000</v>
      </c>
      <c r="DJ7" s="1522">
        <v>1000</v>
      </c>
      <c r="DK7" s="441" t="s">
        <v>6926</v>
      </c>
      <c r="DL7" s="441" t="s">
        <v>6926</v>
      </c>
      <c r="DM7" s="442" t="s">
        <v>6926</v>
      </c>
      <c r="DP7" s="610" t="s">
        <v>6929</v>
      </c>
      <c r="DQ7" s="441" t="s">
        <v>6926</v>
      </c>
      <c r="DR7" s="1522">
        <v>1000</v>
      </c>
      <c r="DS7" s="1522">
        <v>1000</v>
      </c>
      <c r="DT7" s="1522">
        <v>1000</v>
      </c>
      <c r="DU7" s="441" t="s">
        <v>6926</v>
      </c>
      <c r="DV7" s="441" t="s">
        <v>6926</v>
      </c>
      <c r="DW7" s="442" t="s">
        <v>6926</v>
      </c>
    </row>
    <row r="8" spans="1:127" ht="12.95" customHeight="1">
      <c r="A8" s="398" t="s">
        <v>6930</v>
      </c>
      <c r="B8" s="515">
        <v>1520</v>
      </c>
      <c r="C8" s="515">
        <v>1520</v>
      </c>
      <c r="D8" s="515">
        <v>1540</v>
      </c>
      <c r="E8" s="1518">
        <v>1530</v>
      </c>
      <c r="F8" s="515">
        <v>1540</v>
      </c>
      <c r="G8" s="515">
        <v>1480</v>
      </c>
      <c r="H8" s="515">
        <v>1510</v>
      </c>
      <c r="I8" s="1518">
        <v>1570</v>
      </c>
      <c r="J8" s="515">
        <v>1600</v>
      </c>
      <c r="K8" s="515">
        <v>1560</v>
      </c>
      <c r="L8" s="515">
        <v>1630</v>
      </c>
      <c r="M8" s="1518">
        <v>1610</v>
      </c>
      <c r="N8" s="515"/>
      <c r="O8" s="515"/>
      <c r="P8" s="515"/>
      <c r="Q8" s="386">
        <v>2020</v>
      </c>
      <c r="R8" s="754">
        <v>67730</v>
      </c>
      <c r="S8" s="754">
        <v>51600</v>
      </c>
      <c r="T8" s="754">
        <v>16130</v>
      </c>
      <c r="U8" s="754">
        <v>3890</v>
      </c>
      <c r="V8" s="754">
        <v>12240</v>
      </c>
      <c r="Y8" s="398" t="s">
        <v>2870</v>
      </c>
      <c r="Z8" s="1523">
        <v>29.4</v>
      </c>
      <c r="AA8" s="1523">
        <v>17.399999999999999</v>
      </c>
      <c r="AB8" s="1523">
        <v>10.8</v>
      </c>
      <c r="AC8" s="1523">
        <v>6.6</v>
      </c>
      <c r="AD8" s="1523">
        <v>11.9</v>
      </c>
      <c r="AE8" s="1524"/>
      <c r="AG8" s="398" t="s">
        <v>2870</v>
      </c>
      <c r="AH8" s="1523">
        <v>33.799999999999997</v>
      </c>
      <c r="AI8" s="1523">
        <v>21.3</v>
      </c>
      <c r="AJ8" s="1523">
        <v>14.8</v>
      </c>
      <c r="AK8" s="1523">
        <v>6.5</v>
      </c>
      <c r="AL8" s="1523">
        <v>12.5</v>
      </c>
      <c r="AO8" s="398"/>
      <c r="AP8" s="398"/>
      <c r="AQ8" s="398"/>
      <c r="AR8" s="398"/>
      <c r="AS8" s="398"/>
      <c r="AT8" s="398"/>
      <c r="AU8" s="398"/>
      <c r="AV8" s="398"/>
      <c r="AW8" s="398"/>
      <c r="AX8" s="398" t="s">
        <v>6931</v>
      </c>
      <c r="AY8" s="398">
        <v>130</v>
      </c>
      <c r="AZ8" s="398">
        <v>150</v>
      </c>
      <c r="BA8" s="398">
        <v>150</v>
      </c>
      <c r="BB8" s="398">
        <v>110</v>
      </c>
      <c r="BC8" s="398">
        <v>130</v>
      </c>
      <c r="BD8" s="398">
        <v>140</v>
      </c>
      <c r="BE8" s="398"/>
      <c r="BF8" s="398"/>
      <c r="BG8" s="382" t="s">
        <v>6932</v>
      </c>
      <c r="BH8" s="382">
        <v>537</v>
      </c>
      <c r="BI8" s="382">
        <v>673</v>
      </c>
      <c r="BJ8" s="382">
        <v>799</v>
      </c>
      <c r="BK8" s="435">
        <v>897</v>
      </c>
      <c r="BL8" s="435">
        <v>980</v>
      </c>
      <c r="BM8" s="435">
        <v>908</v>
      </c>
      <c r="BN8" s="435">
        <v>826</v>
      </c>
      <c r="BO8" s="435">
        <v>546</v>
      </c>
      <c r="BP8" s="435"/>
      <c r="BQ8" s="547"/>
      <c r="BR8" s="382" t="s">
        <v>4314</v>
      </c>
      <c r="BS8" s="463">
        <v>3412</v>
      </c>
      <c r="BT8" s="876">
        <v>10348957</v>
      </c>
      <c r="BU8" s="876">
        <v>1770479</v>
      </c>
      <c r="BV8" s="876">
        <v>414788</v>
      </c>
      <c r="BW8" s="463">
        <v>54351</v>
      </c>
      <c r="BX8" s="435">
        <v>537</v>
      </c>
      <c r="BY8" s="435" t="s">
        <v>2315</v>
      </c>
      <c r="BZ8" s="986"/>
      <c r="CA8" s="986"/>
      <c r="CB8" s="382" t="s">
        <v>6933</v>
      </c>
      <c r="CC8" s="463">
        <v>3412</v>
      </c>
      <c r="CD8" s="463">
        <v>10348957</v>
      </c>
      <c r="CE8" s="463">
        <v>1770479</v>
      </c>
      <c r="CF8" s="463">
        <v>414788</v>
      </c>
      <c r="CG8" s="463">
        <v>54351</v>
      </c>
      <c r="CH8" s="435" t="s">
        <v>2315</v>
      </c>
      <c r="CI8" s="435" t="s">
        <v>2315</v>
      </c>
      <c r="CJ8" s="986"/>
      <c r="CK8" s="986"/>
      <c r="CL8" s="382" t="s">
        <v>6933</v>
      </c>
      <c r="CM8" s="463">
        <v>3412</v>
      </c>
      <c r="CN8" s="463">
        <v>10348957</v>
      </c>
      <c r="CO8" s="463">
        <v>1770479</v>
      </c>
      <c r="CP8" s="463">
        <v>414788</v>
      </c>
      <c r="CQ8" s="463">
        <v>54351</v>
      </c>
      <c r="CR8" s="435" t="s">
        <v>2315</v>
      </c>
      <c r="CS8" s="435" t="s">
        <v>2315</v>
      </c>
      <c r="CT8" s="435"/>
      <c r="CU8" s="986"/>
      <c r="CV8" s="382" t="s">
        <v>6933</v>
      </c>
      <c r="CW8" s="876">
        <v>3412</v>
      </c>
      <c r="CX8" s="876">
        <v>10348957</v>
      </c>
      <c r="CY8" s="876">
        <v>1770479</v>
      </c>
      <c r="CZ8" s="876">
        <v>414788</v>
      </c>
      <c r="DA8" s="876">
        <v>54351</v>
      </c>
      <c r="DB8" s="435" t="s">
        <v>2315</v>
      </c>
      <c r="DC8" s="435" t="s">
        <v>2315</v>
      </c>
      <c r="DD8" s="986"/>
      <c r="DE8" s="547"/>
      <c r="DF8" s="382" t="s">
        <v>6933</v>
      </c>
      <c r="DG8" s="876">
        <v>3412</v>
      </c>
      <c r="DH8" s="876">
        <v>10348957</v>
      </c>
      <c r="DI8" s="876">
        <v>1770479</v>
      </c>
      <c r="DJ8" s="876">
        <v>414788</v>
      </c>
      <c r="DK8" s="876">
        <v>54351</v>
      </c>
      <c r="DL8" s="435" t="s">
        <v>2315</v>
      </c>
      <c r="DM8" s="435" t="s">
        <v>2315</v>
      </c>
      <c r="DP8" s="382" t="s">
        <v>6933</v>
      </c>
      <c r="DQ8" s="876">
        <f>SUM(DQ9:DQ13)</f>
        <v>3412</v>
      </c>
      <c r="DR8" s="876">
        <v>10348957</v>
      </c>
      <c r="DS8" s="876">
        <v>1770479</v>
      </c>
      <c r="DT8" s="876">
        <v>414788</v>
      </c>
      <c r="DU8" s="876">
        <v>54351</v>
      </c>
      <c r="DV8" s="435" t="s">
        <v>2315</v>
      </c>
      <c r="DW8" s="435" t="s">
        <v>2315</v>
      </c>
    </row>
    <row r="9" spans="1:127" ht="12.95" customHeight="1">
      <c r="A9" s="398" t="s">
        <v>6934</v>
      </c>
      <c r="B9" s="515">
        <v>3670</v>
      </c>
      <c r="C9" s="515">
        <v>3660</v>
      </c>
      <c r="D9" s="515">
        <v>3670</v>
      </c>
      <c r="E9" s="1518">
        <v>3670</v>
      </c>
      <c r="F9" s="515">
        <v>3670</v>
      </c>
      <c r="G9" s="515">
        <v>3720</v>
      </c>
      <c r="H9" s="515">
        <v>3620</v>
      </c>
      <c r="I9" s="1518">
        <v>3680</v>
      </c>
      <c r="J9" s="515">
        <v>3800</v>
      </c>
      <c r="K9" s="515">
        <v>3810</v>
      </c>
      <c r="L9" s="515">
        <v>3760</v>
      </c>
      <c r="M9" s="1518">
        <v>3600</v>
      </c>
      <c r="N9" s="515"/>
      <c r="O9" s="515"/>
      <c r="P9" s="515"/>
      <c r="Q9" s="386">
        <v>2019</v>
      </c>
      <c r="R9" s="754">
        <v>65220</v>
      </c>
      <c r="S9" s="754">
        <v>49920</v>
      </c>
      <c r="T9" s="754">
        <v>15300</v>
      </c>
      <c r="U9" s="754">
        <v>3780</v>
      </c>
      <c r="V9" s="754">
        <v>11520</v>
      </c>
      <c r="Y9" s="398" t="s">
        <v>2915</v>
      </c>
      <c r="Z9" s="1523">
        <v>6.4</v>
      </c>
      <c r="AA9" s="1523">
        <v>3.7</v>
      </c>
      <c r="AB9" s="1523">
        <v>2.8</v>
      </c>
      <c r="AC9" s="1523">
        <v>0.9</v>
      </c>
      <c r="AD9" s="1523">
        <v>2.8</v>
      </c>
      <c r="AE9" s="1524"/>
      <c r="AG9" s="398" t="s">
        <v>2915</v>
      </c>
      <c r="AH9" s="1523">
        <v>6.7</v>
      </c>
      <c r="AI9" s="1523">
        <v>4</v>
      </c>
      <c r="AJ9" s="1523">
        <v>3.5</v>
      </c>
      <c r="AK9" s="1523">
        <v>0.5</v>
      </c>
      <c r="AL9" s="1523">
        <v>2.6</v>
      </c>
      <c r="AO9" s="398" t="s">
        <v>2449</v>
      </c>
      <c r="AP9" s="398"/>
      <c r="AQ9" s="398"/>
      <c r="AR9" s="398"/>
      <c r="AS9" s="398"/>
      <c r="AT9" s="398"/>
      <c r="AU9" s="398"/>
      <c r="AV9" s="398"/>
      <c r="AW9" s="398"/>
      <c r="AX9" s="398" t="s">
        <v>6935</v>
      </c>
      <c r="AY9" s="398">
        <v>50</v>
      </c>
      <c r="AZ9" s="398">
        <v>80</v>
      </c>
      <c r="BA9" s="398">
        <v>60</v>
      </c>
      <c r="BB9" s="398">
        <v>60</v>
      </c>
      <c r="BC9" s="398">
        <v>80</v>
      </c>
      <c r="BD9" s="398">
        <v>80</v>
      </c>
      <c r="BE9" s="398"/>
      <c r="BF9" s="398"/>
      <c r="BG9" s="381" t="s">
        <v>6936</v>
      </c>
      <c r="BH9" s="477" t="s">
        <v>2315</v>
      </c>
      <c r="BI9" s="477" t="s">
        <v>2315</v>
      </c>
      <c r="BJ9" s="477" t="s">
        <v>2315</v>
      </c>
      <c r="BK9" s="556" t="s">
        <v>2315</v>
      </c>
      <c r="BL9" s="556">
        <v>88</v>
      </c>
      <c r="BM9" s="556">
        <v>129</v>
      </c>
      <c r="BN9" s="556">
        <v>337</v>
      </c>
      <c r="BO9" s="556">
        <v>371</v>
      </c>
      <c r="BP9" s="474"/>
      <c r="BQ9" s="547"/>
      <c r="BR9" s="382" t="s">
        <v>6937</v>
      </c>
      <c r="BS9" s="463">
        <v>7</v>
      </c>
      <c r="BT9" s="933">
        <v>576664</v>
      </c>
      <c r="BU9" s="933">
        <v>57595</v>
      </c>
      <c r="BV9" s="933">
        <v>15212</v>
      </c>
      <c r="BW9" s="435">
        <v>944</v>
      </c>
      <c r="BX9" s="435">
        <v>0</v>
      </c>
      <c r="BY9" s="435" t="s">
        <v>2315</v>
      </c>
      <c r="BZ9" s="986"/>
      <c r="CA9" s="986"/>
      <c r="CB9" s="382" t="s">
        <v>6938</v>
      </c>
      <c r="CC9" s="463">
        <v>1463</v>
      </c>
      <c r="CD9" s="435">
        <v>6590089</v>
      </c>
      <c r="CE9" s="435">
        <v>1050440</v>
      </c>
      <c r="CF9" s="435">
        <v>248570</v>
      </c>
      <c r="CG9" s="435">
        <v>30538</v>
      </c>
      <c r="CH9" s="435" t="s">
        <v>2315</v>
      </c>
      <c r="CI9" s="435" t="s">
        <v>2315</v>
      </c>
      <c r="CJ9" s="986"/>
      <c r="CK9" s="986"/>
      <c r="CL9" s="382" t="s">
        <v>6939</v>
      </c>
      <c r="CM9" s="463">
        <v>24</v>
      </c>
      <c r="CN9" s="435">
        <v>69</v>
      </c>
      <c r="CO9" s="435">
        <v>5027</v>
      </c>
      <c r="CP9" s="435">
        <v>1312</v>
      </c>
      <c r="CQ9" s="435">
        <v>150</v>
      </c>
      <c r="CR9" s="435" t="s">
        <v>2315</v>
      </c>
      <c r="CS9" s="435" t="s">
        <v>2315</v>
      </c>
      <c r="CT9" s="435"/>
      <c r="CU9" s="986"/>
      <c r="CV9" s="382" t="s">
        <v>6940</v>
      </c>
      <c r="CW9" s="876">
        <v>207</v>
      </c>
      <c r="CX9" s="933">
        <v>74862</v>
      </c>
      <c r="CY9" s="933">
        <v>9512</v>
      </c>
      <c r="CZ9" s="933">
        <v>78</v>
      </c>
      <c r="DA9" s="933">
        <v>0</v>
      </c>
      <c r="DB9" s="435" t="s">
        <v>2315</v>
      </c>
      <c r="DC9" s="435" t="s">
        <v>2315</v>
      </c>
      <c r="DD9" s="986"/>
      <c r="DE9" s="547"/>
      <c r="DF9" s="382" t="s">
        <v>2251</v>
      </c>
      <c r="DG9" s="876">
        <v>28</v>
      </c>
      <c r="DH9" s="435">
        <v>36412</v>
      </c>
      <c r="DI9" s="435">
        <v>4142</v>
      </c>
      <c r="DJ9" s="435">
        <v>1006</v>
      </c>
      <c r="DK9" s="435">
        <v>405</v>
      </c>
      <c r="DL9" s="435" t="s">
        <v>2315</v>
      </c>
      <c r="DM9" s="435" t="s">
        <v>2315</v>
      </c>
      <c r="DP9" s="382" t="s">
        <v>6941</v>
      </c>
      <c r="DQ9" s="876">
        <v>352</v>
      </c>
      <c r="DR9" s="933">
        <v>807799</v>
      </c>
      <c r="DS9" s="933">
        <v>159257</v>
      </c>
      <c r="DT9" s="933">
        <v>36948</v>
      </c>
      <c r="DU9" s="933">
        <v>5865</v>
      </c>
      <c r="DV9" s="435" t="s">
        <v>2315</v>
      </c>
      <c r="DW9" s="435" t="s">
        <v>2315</v>
      </c>
    </row>
    <row r="10" spans="1:127" ht="12.95" customHeight="1">
      <c r="A10" s="398" t="s">
        <v>6942</v>
      </c>
      <c r="B10" s="515">
        <v>14780</v>
      </c>
      <c r="C10" s="515">
        <v>14570</v>
      </c>
      <c r="D10" s="515">
        <v>14490</v>
      </c>
      <c r="E10" s="1518">
        <v>14630</v>
      </c>
      <c r="F10" s="515">
        <v>14530</v>
      </c>
      <c r="G10" s="515">
        <v>14340</v>
      </c>
      <c r="H10" s="515">
        <v>13980</v>
      </c>
      <c r="I10" s="1518">
        <v>14550</v>
      </c>
      <c r="J10" s="515">
        <v>14040</v>
      </c>
      <c r="K10" s="515">
        <v>13890</v>
      </c>
      <c r="L10" s="515">
        <v>13560</v>
      </c>
      <c r="M10" s="1518">
        <v>13570</v>
      </c>
      <c r="N10" s="515"/>
      <c r="O10" s="515"/>
      <c r="P10" s="515"/>
      <c r="Q10" s="386">
        <v>2018</v>
      </c>
      <c r="R10" s="754">
        <v>64800</v>
      </c>
      <c r="S10" s="754">
        <v>49200</v>
      </c>
      <c r="T10" s="754">
        <v>15680</v>
      </c>
      <c r="U10" s="754">
        <v>3860</v>
      </c>
      <c r="V10" s="754">
        <v>11820</v>
      </c>
      <c r="Y10" s="398" t="s">
        <v>2842</v>
      </c>
      <c r="Z10" s="1523">
        <v>55.9</v>
      </c>
      <c r="AA10" s="1523">
        <v>31</v>
      </c>
      <c r="AB10" s="1523">
        <v>14.8</v>
      </c>
      <c r="AC10" s="1523">
        <v>16.3</v>
      </c>
      <c r="AD10" s="1523">
        <v>24.8</v>
      </c>
      <c r="AE10" s="1523"/>
      <c r="AG10" s="398" t="s">
        <v>2842</v>
      </c>
      <c r="AH10" s="1523">
        <v>59.8</v>
      </c>
      <c r="AI10" s="1523">
        <v>36.6</v>
      </c>
      <c r="AJ10" s="1523">
        <v>23.1</v>
      </c>
      <c r="AK10" s="1523">
        <v>13.4</v>
      </c>
      <c r="AL10" s="1523">
        <v>23.2</v>
      </c>
      <c r="AO10" s="398" t="s">
        <v>6943</v>
      </c>
      <c r="AP10" s="519" t="s">
        <v>2835</v>
      </c>
      <c r="AQ10" s="519" t="s">
        <v>2835</v>
      </c>
      <c r="AR10" s="519">
        <v>20</v>
      </c>
      <c r="AS10" s="519">
        <v>20</v>
      </c>
      <c r="AT10" s="519">
        <v>20</v>
      </c>
      <c r="AU10" s="398">
        <v>20</v>
      </c>
      <c r="AV10" s="398"/>
      <c r="AW10" s="398"/>
      <c r="AX10" s="398" t="s">
        <v>6944</v>
      </c>
      <c r="AY10" s="398">
        <v>50</v>
      </c>
      <c r="AZ10" s="398">
        <v>20</v>
      </c>
      <c r="BA10" s="398">
        <v>20</v>
      </c>
      <c r="BB10" s="398">
        <v>30</v>
      </c>
      <c r="BC10" s="398">
        <v>30</v>
      </c>
      <c r="BD10" s="398">
        <v>30</v>
      </c>
      <c r="BE10" s="398"/>
      <c r="BF10" s="398"/>
      <c r="BG10" s="382" t="s">
        <v>6945</v>
      </c>
      <c r="BH10" s="382"/>
      <c r="BI10" s="382"/>
      <c r="BJ10" s="439"/>
      <c r="BK10" s="439"/>
      <c r="BL10" s="439"/>
      <c r="BM10" s="398"/>
      <c r="BN10" s="398"/>
      <c r="BO10" s="398"/>
      <c r="BP10" s="398"/>
      <c r="BQ10" s="547"/>
      <c r="BR10" s="382" t="s">
        <v>2310</v>
      </c>
      <c r="BS10" s="435">
        <v>394</v>
      </c>
      <c r="BT10" s="933">
        <v>1463303</v>
      </c>
      <c r="BU10" s="933">
        <v>270570</v>
      </c>
      <c r="BV10" s="933">
        <v>64016</v>
      </c>
      <c r="BW10" s="435">
        <v>6774</v>
      </c>
      <c r="BX10" s="435">
        <v>91</v>
      </c>
      <c r="BY10" s="435" t="s">
        <v>2315</v>
      </c>
      <c r="BZ10" s="986"/>
      <c r="CA10" s="986"/>
      <c r="CB10" s="382" t="s">
        <v>6946</v>
      </c>
      <c r="CC10" s="463">
        <v>14</v>
      </c>
      <c r="CD10" s="435">
        <v>69591</v>
      </c>
      <c r="CE10" s="435">
        <v>6686</v>
      </c>
      <c r="CF10" s="435">
        <v>1409</v>
      </c>
      <c r="CG10" s="435">
        <v>188</v>
      </c>
      <c r="CH10" s="435" t="s">
        <v>2315</v>
      </c>
      <c r="CI10" s="435" t="s">
        <v>2315</v>
      </c>
      <c r="CJ10" s="986"/>
      <c r="CK10" s="986"/>
      <c r="CL10" s="382" t="s">
        <v>6947</v>
      </c>
      <c r="CM10" s="435">
        <v>31</v>
      </c>
      <c r="CN10" s="435">
        <v>219</v>
      </c>
      <c r="CO10" s="435">
        <v>501</v>
      </c>
      <c r="CP10" s="435">
        <v>131</v>
      </c>
      <c r="CQ10" s="435">
        <v>40</v>
      </c>
      <c r="CR10" s="435" t="s">
        <v>2315</v>
      </c>
      <c r="CS10" s="435" t="s">
        <v>2315</v>
      </c>
      <c r="CT10" s="435"/>
      <c r="CU10" s="986"/>
      <c r="CV10" s="382" t="s">
        <v>6948</v>
      </c>
      <c r="CW10" s="933">
        <v>1245</v>
      </c>
      <c r="CX10" s="933">
        <v>648223</v>
      </c>
      <c r="CY10" s="933">
        <v>87786</v>
      </c>
      <c r="CZ10" s="933">
        <v>21180</v>
      </c>
      <c r="DA10" s="933">
        <v>2836</v>
      </c>
      <c r="DB10" s="435" t="s">
        <v>2315</v>
      </c>
      <c r="DC10" s="435" t="s">
        <v>2315</v>
      </c>
      <c r="DD10" s="986"/>
      <c r="DE10" s="547"/>
      <c r="DF10" s="386" t="s">
        <v>2381</v>
      </c>
      <c r="DG10" s="933">
        <v>35</v>
      </c>
      <c r="DH10" s="933">
        <v>115148</v>
      </c>
      <c r="DI10" s="933">
        <v>20360</v>
      </c>
      <c r="DJ10" s="933">
        <v>4808</v>
      </c>
      <c r="DK10" s="933">
        <v>1893</v>
      </c>
      <c r="DL10" s="435" t="s">
        <v>2315</v>
      </c>
      <c r="DM10" s="435" t="s">
        <v>2315</v>
      </c>
      <c r="DP10" s="382" t="s">
        <v>6949</v>
      </c>
      <c r="DQ10" s="933">
        <v>524</v>
      </c>
      <c r="DR10" s="933">
        <v>1773721</v>
      </c>
      <c r="DS10" s="933">
        <v>401940</v>
      </c>
      <c r="DT10" s="933">
        <v>93042</v>
      </c>
      <c r="DU10" s="933">
        <v>10925</v>
      </c>
      <c r="DV10" s="435" t="s">
        <v>2315</v>
      </c>
      <c r="DW10" s="435" t="s">
        <v>2315</v>
      </c>
    </row>
    <row r="11" spans="1:127" ht="12.95" customHeight="1">
      <c r="A11" s="398" t="s">
        <v>6950</v>
      </c>
      <c r="E11" s="1518"/>
      <c r="I11" s="1518"/>
      <c r="M11" s="1518"/>
      <c r="N11" s="515"/>
      <c r="O11" s="515"/>
      <c r="P11" s="398"/>
      <c r="Q11" s="386">
        <v>2017</v>
      </c>
      <c r="R11" s="754">
        <v>65000</v>
      </c>
      <c r="S11" s="754">
        <v>49300</v>
      </c>
      <c r="T11" s="754">
        <v>15700</v>
      </c>
      <c r="U11" s="754">
        <v>3950</v>
      </c>
      <c r="V11" s="754">
        <v>11750</v>
      </c>
      <c r="Y11" s="398" t="s">
        <v>2837</v>
      </c>
      <c r="Z11" s="1523">
        <v>19</v>
      </c>
      <c r="AA11" s="1523">
        <v>9.4</v>
      </c>
      <c r="AB11" s="1523">
        <v>5.8</v>
      </c>
      <c r="AC11" s="1523">
        <v>3.6</v>
      </c>
      <c r="AD11" s="1523">
        <v>9.5</v>
      </c>
      <c r="AE11" s="1523"/>
      <c r="AG11" s="398" t="s">
        <v>2837</v>
      </c>
      <c r="AH11" s="1523">
        <v>25.1</v>
      </c>
      <c r="AI11" s="1523">
        <v>16.7</v>
      </c>
      <c r="AJ11" s="1523">
        <v>13</v>
      </c>
      <c r="AK11" s="1523">
        <v>3.6</v>
      </c>
      <c r="AL11" s="1523">
        <v>8.4</v>
      </c>
      <c r="AO11" s="398" t="s">
        <v>6951</v>
      </c>
      <c r="AP11" s="519" t="s">
        <v>2835</v>
      </c>
      <c r="AQ11" s="519">
        <v>100</v>
      </c>
      <c r="AR11" s="519">
        <v>140</v>
      </c>
      <c r="AS11" s="519">
        <v>110</v>
      </c>
      <c r="AT11" s="519">
        <v>110</v>
      </c>
      <c r="AU11" s="398">
        <v>100</v>
      </c>
      <c r="AV11" s="398"/>
      <c r="AW11" s="398"/>
      <c r="AX11" s="398" t="s">
        <v>6952</v>
      </c>
      <c r="AY11" s="398">
        <v>40</v>
      </c>
      <c r="AZ11" s="398">
        <v>80</v>
      </c>
      <c r="BA11" s="398">
        <v>60</v>
      </c>
      <c r="BB11" s="398">
        <v>60</v>
      </c>
      <c r="BC11" s="398">
        <v>50</v>
      </c>
      <c r="BD11" s="398">
        <v>60</v>
      </c>
      <c r="BE11" s="398"/>
      <c r="BF11" s="398"/>
      <c r="BG11" s="382" t="s">
        <v>6953</v>
      </c>
      <c r="BH11" s="382"/>
      <c r="BI11" s="382"/>
      <c r="BJ11" s="398"/>
      <c r="BK11" s="398"/>
      <c r="BL11" s="398"/>
      <c r="BM11" s="439"/>
      <c r="BN11" s="439"/>
      <c r="BO11" s="439"/>
      <c r="BP11" s="439"/>
      <c r="BQ11" s="547"/>
      <c r="BR11" s="382" t="s">
        <v>6954</v>
      </c>
      <c r="BS11" s="435">
        <v>59</v>
      </c>
      <c r="BT11" s="933">
        <v>102641</v>
      </c>
      <c r="BU11" s="933">
        <v>25427</v>
      </c>
      <c r="BV11" s="933">
        <v>6319</v>
      </c>
      <c r="BW11" s="435">
        <v>931</v>
      </c>
      <c r="BX11" s="435">
        <v>10</v>
      </c>
      <c r="BY11" s="435" t="s">
        <v>2315</v>
      </c>
      <c r="BZ11" s="986"/>
      <c r="CA11" s="986"/>
      <c r="CB11" s="382" t="s">
        <v>6955</v>
      </c>
      <c r="CC11" s="435">
        <v>399</v>
      </c>
      <c r="CD11" s="435">
        <v>261380</v>
      </c>
      <c r="CE11" s="435">
        <v>52996</v>
      </c>
      <c r="CF11" s="435">
        <v>12756</v>
      </c>
      <c r="CG11" s="435">
        <v>2498</v>
      </c>
      <c r="CH11" s="435" t="s">
        <v>2315</v>
      </c>
      <c r="CI11" s="435" t="s">
        <v>2315</v>
      </c>
      <c r="CJ11" s="986"/>
      <c r="CK11" s="986"/>
      <c r="CL11" s="382" t="s">
        <v>6956</v>
      </c>
      <c r="CM11" s="435">
        <v>77</v>
      </c>
      <c r="CN11" s="435">
        <v>1375</v>
      </c>
      <c r="CO11" s="435">
        <v>1310</v>
      </c>
      <c r="CP11" s="435">
        <v>537</v>
      </c>
      <c r="CQ11" s="435">
        <v>108</v>
      </c>
      <c r="CR11" s="435" t="s">
        <v>2315</v>
      </c>
      <c r="CS11" s="435" t="s">
        <v>2315</v>
      </c>
      <c r="CT11" s="435"/>
      <c r="CU11" s="986"/>
      <c r="CV11" s="382" t="s">
        <v>6957</v>
      </c>
      <c r="CW11" s="933">
        <v>813</v>
      </c>
      <c r="CX11" s="933">
        <v>857066</v>
      </c>
      <c r="CY11" s="933">
        <v>142123</v>
      </c>
      <c r="CZ11" s="933">
        <v>33329</v>
      </c>
      <c r="DA11" s="933">
        <v>5464</v>
      </c>
      <c r="DB11" s="435" t="s">
        <v>2315</v>
      </c>
      <c r="DC11" s="435" t="s">
        <v>2315</v>
      </c>
      <c r="DD11" s="986"/>
      <c r="DE11" s="547"/>
      <c r="DF11" s="386" t="s">
        <v>4393</v>
      </c>
      <c r="DG11" s="933">
        <v>16</v>
      </c>
      <c r="DH11" s="933">
        <v>26617</v>
      </c>
      <c r="DI11" s="933">
        <v>7018</v>
      </c>
      <c r="DJ11" s="933">
        <v>1520</v>
      </c>
      <c r="DK11" s="933">
        <v>662</v>
      </c>
      <c r="DL11" s="435" t="s">
        <v>2315</v>
      </c>
      <c r="DM11" s="435" t="s">
        <v>2315</v>
      </c>
      <c r="DP11" s="382" t="s">
        <v>6958</v>
      </c>
      <c r="DQ11" s="933">
        <v>866</v>
      </c>
      <c r="DR11" s="933">
        <v>1407704</v>
      </c>
      <c r="DS11" s="933">
        <v>282208</v>
      </c>
      <c r="DT11" s="933">
        <v>64451</v>
      </c>
      <c r="DU11" s="933">
        <v>9767</v>
      </c>
      <c r="DV11" s="435" t="s">
        <v>2315</v>
      </c>
      <c r="DW11" s="435" t="s">
        <v>2315</v>
      </c>
    </row>
    <row r="12" spans="1:127" ht="12.95" customHeight="1">
      <c r="A12" s="398" t="s">
        <v>6959</v>
      </c>
      <c r="B12" s="515">
        <v>2370</v>
      </c>
      <c r="C12" s="515">
        <v>2370</v>
      </c>
      <c r="D12" s="515">
        <v>2360</v>
      </c>
      <c r="E12" s="1518">
        <v>2360</v>
      </c>
      <c r="F12" s="515">
        <v>2370</v>
      </c>
      <c r="G12" s="515">
        <v>2320</v>
      </c>
      <c r="H12" s="515">
        <v>2270</v>
      </c>
      <c r="I12" s="1518">
        <v>2310</v>
      </c>
      <c r="J12" s="515">
        <v>2320</v>
      </c>
      <c r="K12" s="515">
        <v>2260</v>
      </c>
      <c r="L12" s="515">
        <v>2300</v>
      </c>
      <c r="M12" s="1518">
        <v>2260</v>
      </c>
      <c r="N12" s="515"/>
      <c r="O12" s="515"/>
      <c r="P12" s="515"/>
      <c r="Q12" s="386">
        <v>2016</v>
      </c>
      <c r="R12" s="754">
        <v>63510</v>
      </c>
      <c r="S12" s="754">
        <v>47780</v>
      </c>
      <c r="T12" s="754">
        <f>SUM(U12+V12)</f>
        <v>15730</v>
      </c>
      <c r="U12" s="754">
        <v>3940</v>
      </c>
      <c r="V12" s="754">
        <v>11790</v>
      </c>
      <c r="Y12" s="398" t="s">
        <v>2817</v>
      </c>
      <c r="Z12" s="1523">
        <v>363.9</v>
      </c>
      <c r="AA12" s="1523">
        <v>236.7</v>
      </c>
      <c r="AB12" s="1523">
        <v>139</v>
      </c>
      <c r="AC12" s="1523">
        <v>97.7</v>
      </c>
      <c r="AD12" s="1523">
        <v>127.2</v>
      </c>
      <c r="AE12" s="1523"/>
      <c r="AG12" s="398" t="s">
        <v>2817</v>
      </c>
      <c r="AH12" s="1523">
        <v>355.2</v>
      </c>
      <c r="AI12" s="1523">
        <v>245.5</v>
      </c>
      <c r="AJ12" s="1523">
        <v>161.9</v>
      </c>
      <c r="AK12" s="1523">
        <v>83.6</v>
      </c>
      <c r="AL12" s="1523">
        <v>109.7</v>
      </c>
      <c r="AO12" s="398" t="s">
        <v>6960</v>
      </c>
      <c r="AP12" s="519" t="s">
        <v>2835</v>
      </c>
      <c r="AQ12" s="519">
        <v>190</v>
      </c>
      <c r="AR12" s="519">
        <v>170</v>
      </c>
      <c r="AS12" s="519">
        <v>140</v>
      </c>
      <c r="AT12" s="519">
        <v>180</v>
      </c>
      <c r="AU12" s="398">
        <v>200</v>
      </c>
      <c r="AV12" s="398"/>
      <c r="AW12" s="398"/>
      <c r="AX12" s="398" t="s">
        <v>6961</v>
      </c>
      <c r="AY12" s="398">
        <v>5</v>
      </c>
      <c r="AZ12" s="398">
        <v>5</v>
      </c>
      <c r="BA12" s="398">
        <v>5</v>
      </c>
      <c r="BB12" s="398">
        <v>5</v>
      </c>
      <c r="BC12" s="398">
        <v>5</v>
      </c>
      <c r="BD12" s="398">
        <v>5</v>
      </c>
      <c r="BE12" s="398"/>
      <c r="BF12" s="398"/>
      <c r="BG12" s="382" t="s">
        <v>6962</v>
      </c>
      <c r="BH12" s="382"/>
      <c r="BI12" s="382"/>
      <c r="BJ12" s="439"/>
      <c r="BK12" s="439"/>
      <c r="BL12" s="439"/>
      <c r="BM12" s="439"/>
      <c r="BN12" s="439"/>
      <c r="BO12" s="439"/>
      <c r="BP12" s="439"/>
      <c r="BQ12" s="547"/>
      <c r="BR12" s="382" t="s">
        <v>6963</v>
      </c>
      <c r="BS12" s="435">
        <v>212</v>
      </c>
      <c r="BT12" s="933">
        <v>1545396</v>
      </c>
      <c r="BU12" s="933">
        <v>96827</v>
      </c>
      <c r="BV12" s="933">
        <v>22355</v>
      </c>
      <c r="BW12" s="435">
        <v>2876</v>
      </c>
      <c r="BX12" s="435">
        <v>20</v>
      </c>
      <c r="BY12" s="435" t="s">
        <v>2315</v>
      </c>
      <c r="BZ12" s="986"/>
      <c r="CA12" s="986"/>
      <c r="CB12" s="382" t="s">
        <v>6964</v>
      </c>
      <c r="CC12" s="435">
        <v>138</v>
      </c>
      <c r="CD12" s="435">
        <v>373247</v>
      </c>
      <c r="CE12" s="435">
        <v>87097</v>
      </c>
      <c r="CF12" s="435">
        <v>18674</v>
      </c>
      <c r="CG12" s="435">
        <v>3377</v>
      </c>
      <c r="CH12" s="435" t="s">
        <v>2315</v>
      </c>
      <c r="CI12" s="435" t="s">
        <v>2315</v>
      </c>
      <c r="CJ12" s="986"/>
      <c r="CK12" s="986"/>
      <c r="CL12" s="382" t="s">
        <v>6965</v>
      </c>
      <c r="CM12" s="435">
        <v>148</v>
      </c>
      <c r="CN12" s="435">
        <v>5656</v>
      </c>
      <c r="CO12" s="435">
        <v>2911</v>
      </c>
      <c r="CP12" s="435">
        <v>836</v>
      </c>
      <c r="CQ12" s="435">
        <v>296</v>
      </c>
      <c r="CR12" s="435" t="s">
        <v>2315</v>
      </c>
      <c r="CS12" s="435" t="s">
        <v>2315</v>
      </c>
      <c r="CT12" s="435"/>
      <c r="CU12" s="986"/>
      <c r="CV12" s="382" t="s">
        <v>6966</v>
      </c>
      <c r="CW12" s="933">
        <v>561</v>
      </c>
      <c r="CX12" s="933">
        <v>923879</v>
      </c>
      <c r="CY12" s="933">
        <v>198548</v>
      </c>
      <c r="CZ12" s="933">
        <v>46772</v>
      </c>
      <c r="DA12" s="933">
        <v>7548</v>
      </c>
      <c r="DB12" s="435" t="s">
        <v>2315</v>
      </c>
      <c r="DC12" s="435" t="s">
        <v>2315</v>
      </c>
      <c r="DD12" s="986"/>
      <c r="DE12" s="547"/>
      <c r="DF12" s="386" t="s">
        <v>2253</v>
      </c>
      <c r="DG12" s="933">
        <v>278</v>
      </c>
      <c r="DH12" s="933">
        <v>743660</v>
      </c>
      <c r="DI12" s="933">
        <v>121608</v>
      </c>
      <c r="DJ12" s="933">
        <v>27952</v>
      </c>
      <c r="DK12" s="933">
        <v>10120</v>
      </c>
      <c r="DL12" s="435" t="s">
        <v>2315</v>
      </c>
      <c r="DM12" s="435" t="s">
        <v>2315</v>
      </c>
      <c r="DP12" s="382" t="s">
        <v>6967</v>
      </c>
      <c r="DQ12" s="933">
        <v>357</v>
      </c>
      <c r="DR12" s="933">
        <v>1349779</v>
      </c>
      <c r="DS12" s="933">
        <v>190361</v>
      </c>
      <c r="DT12" s="933">
        <v>44311</v>
      </c>
      <c r="DU12" s="933">
        <v>7080</v>
      </c>
      <c r="DV12" s="435" t="s">
        <v>2315</v>
      </c>
      <c r="DW12" s="435" t="s">
        <v>2315</v>
      </c>
    </row>
    <row r="13" spans="1:127" ht="12.95" customHeight="1">
      <c r="A13" s="398" t="s">
        <v>6968</v>
      </c>
      <c r="B13" s="515">
        <v>16760</v>
      </c>
      <c r="C13" s="515">
        <v>16470</v>
      </c>
      <c r="D13" s="515">
        <v>16220</v>
      </c>
      <c r="E13" s="1518">
        <v>16360</v>
      </c>
      <c r="F13" s="515">
        <v>16370</v>
      </c>
      <c r="G13" s="515">
        <v>16180</v>
      </c>
      <c r="H13" s="515">
        <v>15820</v>
      </c>
      <c r="I13" s="1518">
        <v>16400</v>
      </c>
      <c r="J13" s="515">
        <v>16320</v>
      </c>
      <c r="K13" s="515">
        <v>15980</v>
      </c>
      <c r="L13" s="515">
        <v>15610</v>
      </c>
      <c r="M13" s="1518">
        <v>15340</v>
      </c>
      <c r="N13" s="515"/>
      <c r="O13" s="515"/>
      <c r="P13" s="515"/>
      <c r="Q13" s="386">
        <v>2015</v>
      </c>
      <c r="R13" s="754">
        <v>62730</v>
      </c>
      <c r="S13" s="754">
        <v>46930</v>
      </c>
      <c r="T13" s="754">
        <f>U13+V13</f>
        <v>15800</v>
      </c>
      <c r="U13" s="515">
        <v>4040</v>
      </c>
      <c r="V13" s="515">
        <v>11760</v>
      </c>
      <c r="Y13" s="398" t="s">
        <v>2855</v>
      </c>
      <c r="Z13" s="1523">
        <v>52.7</v>
      </c>
      <c r="AA13" s="1523">
        <v>31.3</v>
      </c>
      <c r="AB13" s="1523">
        <v>14.8</v>
      </c>
      <c r="AC13" s="1523">
        <v>16.399999999999999</v>
      </c>
      <c r="AD13" s="1523">
        <v>21.5</v>
      </c>
      <c r="AE13" s="1523"/>
      <c r="AG13" s="398" t="s">
        <v>2932</v>
      </c>
      <c r="AH13" s="1523">
        <v>33.299999999999997</v>
      </c>
      <c r="AI13" s="1523">
        <v>22.8</v>
      </c>
      <c r="AJ13" s="1523">
        <v>16.3</v>
      </c>
      <c r="AK13" s="1523">
        <v>6.5</v>
      </c>
      <c r="AL13" s="1523">
        <v>10.6</v>
      </c>
      <c r="AO13" s="398" t="s">
        <v>6969</v>
      </c>
      <c r="AP13" s="519" t="s">
        <v>2835</v>
      </c>
      <c r="AQ13" s="519">
        <v>150</v>
      </c>
      <c r="AR13" s="519">
        <v>130</v>
      </c>
      <c r="AS13" s="519">
        <v>140</v>
      </c>
      <c r="AT13" s="519">
        <v>180</v>
      </c>
      <c r="AU13" s="398">
        <v>150</v>
      </c>
      <c r="AV13" s="398"/>
      <c r="AW13" s="398"/>
      <c r="AX13" s="398"/>
      <c r="AY13" s="398"/>
      <c r="AZ13" s="398"/>
      <c r="BA13" s="398"/>
      <c r="BB13" s="398"/>
      <c r="BC13" s="398"/>
      <c r="BD13" s="398"/>
      <c r="BE13" s="398"/>
      <c r="BF13" s="398"/>
      <c r="BG13" s="1525" t="s">
        <v>1629</v>
      </c>
      <c r="BH13" s="1525"/>
      <c r="BI13" s="1525"/>
      <c r="BJ13" s="439"/>
      <c r="BK13" s="439"/>
      <c r="BL13" s="439"/>
      <c r="BM13" s="439"/>
      <c r="BN13" s="439"/>
      <c r="BO13" s="439"/>
      <c r="BP13" s="439"/>
      <c r="BQ13" s="547"/>
      <c r="BR13" s="382" t="s">
        <v>6970</v>
      </c>
      <c r="BS13" s="435">
        <v>639</v>
      </c>
      <c r="BT13" s="933">
        <v>1815365</v>
      </c>
      <c r="BU13" s="933">
        <v>207034</v>
      </c>
      <c r="BV13" s="933">
        <v>49687</v>
      </c>
      <c r="BW13" s="435">
        <v>8447</v>
      </c>
      <c r="BX13" s="435">
        <v>100</v>
      </c>
      <c r="BY13" s="435" t="s">
        <v>2315</v>
      </c>
      <c r="BZ13" s="986"/>
      <c r="CA13" s="986"/>
      <c r="CB13" s="382" t="s">
        <v>6971</v>
      </c>
      <c r="CC13" s="435">
        <v>1093</v>
      </c>
      <c r="CD13" s="435">
        <v>1575633</v>
      </c>
      <c r="CE13" s="435">
        <v>302428</v>
      </c>
      <c r="CF13" s="435">
        <v>70164</v>
      </c>
      <c r="CG13" s="435">
        <v>11220</v>
      </c>
      <c r="CH13" s="435" t="s">
        <v>2315</v>
      </c>
      <c r="CI13" s="435" t="s">
        <v>2315</v>
      </c>
      <c r="CJ13" s="986"/>
      <c r="CK13" s="986"/>
      <c r="CL13" s="382" t="s">
        <v>6972</v>
      </c>
      <c r="CM13" s="463">
        <v>265</v>
      </c>
      <c r="CN13" s="463">
        <v>19998</v>
      </c>
      <c r="CO13" s="463">
        <v>8468</v>
      </c>
      <c r="CP13" s="463">
        <v>2173</v>
      </c>
      <c r="CQ13" s="463">
        <v>615</v>
      </c>
      <c r="CR13" s="435" t="s">
        <v>2315</v>
      </c>
      <c r="CS13" s="435" t="s">
        <v>2315</v>
      </c>
      <c r="CT13" s="435"/>
      <c r="CU13" s="986"/>
      <c r="CV13" s="381" t="s">
        <v>6973</v>
      </c>
      <c r="CW13" s="876">
        <v>586</v>
      </c>
      <c r="CX13" s="876">
        <v>7844925</v>
      </c>
      <c r="CY13" s="876">
        <v>1332511</v>
      </c>
      <c r="CZ13" s="876">
        <v>313432</v>
      </c>
      <c r="DA13" s="876">
        <v>38504</v>
      </c>
      <c r="DB13" s="435" t="s">
        <v>2315</v>
      </c>
      <c r="DC13" s="435" t="s">
        <v>2315</v>
      </c>
      <c r="DD13" s="986"/>
      <c r="DE13" s="547"/>
      <c r="DF13" s="1527" t="s">
        <v>2352</v>
      </c>
      <c r="DG13" s="876">
        <v>43</v>
      </c>
      <c r="DH13" s="876">
        <v>47404</v>
      </c>
      <c r="DI13" s="876">
        <v>8456</v>
      </c>
      <c r="DJ13" s="876">
        <v>2023</v>
      </c>
      <c r="DK13" s="876">
        <v>662</v>
      </c>
      <c r="DL13" s="435" t="s">
        <v>2315</v>
      </c>
      <c r="DM13" s="435" t="s">
        <v>2315</v>
      </c>
      <c r="DP13" s="381" t="s">
        <v>6974</v>
      </c>
      <c r="DQ13" s="876">
        <v>1313</v>
      </c>
      <c r="DR13" s="933">
        <v>5009955</v>
      </c>
      <c r="DS13" s="933">
        <v>736713</v>
      </c>
      <c r="DT13" s="933">
        <v>176036</v>
      </c>
      <c r="DU13" s="933">
        <v>20714</v>
      </c>
      <c r="DV13" s="435" t="s">
        <v>2315</v>
      </c>
      <c r="DW13" s="435" t="s">
        <v>2315</v>
      </c>
    </row>
    <row r="14" spans="1:127" ht="12.95" customHeight="1">
      <c r="A14" s="398" t="s">
        <v>6975</v>
      </c>
      <c r="B14" s="515">
        <f>SUM(B15:B16)</f>
        <v>16030</v>
      </c>
      <c r="C14" s="515">
        <f>SUM(C15:C16)</f>
        <v>16030</v>
      </c>
      <c r="D14" s="515">
        <f>SUM(D15:D16)</f>
        <v>15940</v>
      </c>
      <c r="E14" s="515">
        <f>SUM(E15:E16)</f>
        <v>16060</v>
      </c>
      <c r="F14" s="515">
        <v>16030</v>
      </c>
      <c r="G14" s="515">
        <v>16150</v>
      </c>
      <c r="H14" s="515">
        <v>15700</v>
      </c>
      <c r="I14" s="1518">
        <v>16320</v>
      </c>
      <c r="J14" s="515">
        <v>16160</v>
      </c>
      <c r="K14" s="515">
        <v>16010</v>
      </c>
      <c r="L14" s="515">
        <v>15270</v>
      </c>
      <c r="M14" s="1518">
        <v>15930</v>
      </c>
      <c r="N14" s="515"/>
      <c r="O14" s="515"/>
      <c r="P14" s="515"/>
      <c r="Q14" s="386">
        <v>2014</v>
      </c>
      <c r="R14" s="754">
        <f>S14+T14</f>
        <v>61780</v>
      </c>
      <c r="S14" s="515">
        <v>46190</v>
      </c>
      <c r="T14" s="754">
        <f>U14+V14</f>
        <v>15590</v>
      </c>
      <c r="U14" s="515">
        <v>3990</v>
      </c>
      <c r="V14" s="515">
        <v>11600</v>
      </c>
      <c r="Y14" s="398" t="s">
        <v>2932</v>
      </c>
      <c r="Z14" s="1523">
        <v>31</v>
      </c>
      <c r="AA14" s="1523">
        <v>20</v>
      </c>
      <c r="AB14" s="1523">
        <v>13.2</v>
      </c>
      <c r="AC14" s="1523">
        <v>6.7</v>
      </c>
      <c r="AD14" s="1523">
        <v>11</v>
      </c>
      <c r="AE14" s="1523"/>
      <c r="AG14" s="398" t="s">
        <v>2946</v>
      </c>
      <c r="AH14" s="1523">
        <v>6.7</v>
      </c>
      <c r="AI14" s="1523">
        <v>4.5</v>
      </c>
      <c r="AJ14" s="1523">
        <v>3.4</v>
      </c>
      <c r="AK14" s="1523">
        <v>1.1000000000000001</v>
      </c>
      <c r="AL14" s="1523">
        <v>2.2000000000000002</v>
      </c>
      <c r="AO14" s="398" t="s">
        <v>6976</v>
      </c>
      <c r="AP14" s="519" t="s">
        <v>2835</v>
      </c>
      <c r="AQ14" s="519">
        <v>110</v>
      </c>
      <c r="AR14" s="519">
        <v>130</v>
      </c>
      <c r="AS14" s="519">
        <v>140</v>
      </c>
      <c r="AT14" s="519">
        <v>130</v>
      </c>
      <c r="AU14" s="398">
        <v>160</v>
      </c>
      <c r="AV14" s="398"/>
      <c r="AW14" s="398"/>
      <c r="AX14" s="398" t="s">
        <v>6977</v>
      </c>
      <c r="AY14" s="398"/>
      <c r="AZ14" s="398"/>
      <c r="BA14" s="398"/>
      <c r="BB14" s="398"/>
      <c r="BC14" s="398"/>
      <c r="BD14" s="398"/>
      <c r="BE14" s="398"/>
      <c r="BF14" s="398"/>
      <c r="BG14" s="398" t="s">
        <v>6978</v>
      </c>
      <c r="BH14" s="398"/>
      <c r="BI14" s="398"/>
      <c r="BJ14" s="398"/>
      <c r="BK14" s="398"/>
      <c r="BL14" s="398"/>
      <c r="BM14" s="398"/>
      <c r="BN14" s="398"/>
      <c r="BO14" s="398"/>
      <c r="BP14" s="398"/>
      <c r="BQ14" s="547"/>
      <c r="BR14" s="382" t="s">
        <v>6979</v>
      </c>
      <c r="BS14" s="463">
        <v>96</v>
      </c>
      <c r="BT14" s="876">
        <v>861478</v>
      </c>
      <c r="BU14" s="876">
        <v>160740</v>
      </c>
      <c r="BV14" s="876">
        <v>38745</v>
      </c>
      <c r="BW14" s="463">
        <v>3194</v>
      </c>
      <c r="BX14" s="435">
        <v>9</v>
      </c>
      <c r="BY14" s="435" t="s">
        <v>2315</v>
      </c>
      <c r="BZ14" s="986"/>
      <c r="CA14" s="986"/>
      <c r="CB14" s="382" t="s">
        <v>6980</v>
      </c>
      <c r="CC14" s="435">
        <v>305</v>
      </c>
      <c r="CD14" s="435">
        <v>1479017</v>
      </c>
      <c r="CE14" s="435">
        <v>270831</v>
      </c>
      <c r="CF14" s="435">
        <v>63214</v>
      </c>
      <c r="CG14" s="435">
        <v>6530</v>
      </c>
      <c r="CH14" s="435" t="s">
        <v>2315</v>
      </c>
      <c r="CI14" s="435" t="s">
        <v>2315</v>
      </c>
      <c r="CJ14" s="986"/>
      <c r="CK14" s="986"/>
      <c r="CL14" s="382" t="s">
        <v>6981</v>
      </c>
      <c r="CM14" s="463">
        <v>598</v>
      </c>
      <c r="CN14" s="463">
        <v>101369</v>
      </c>
      <c r="CO14" s="463">
        <v>38082</v>
      </c>
      <c r="CP14" s="463">
        <v>8813</v>
      </c>
      <c r="CQ14" s="463">
        <v>2244</v>
      </c>
      <c r="CR14" s="435" t="s">
        <v>2315</v>
      </c>
      <c r="CS14" s="435" t="s">
        <v>2315</v>
      </c>
      <c r="CT14" s="435"/>
      <c r="CU14" s="986"/>
      <c r="CV14" s="382" t="s">
        <v>6945</v>
      </c>
      <c r="CW14" s="415"/>
      <c r="CX14" s="415"/>
      <c r="CY14" s="415"/>
      <c r="CZ14" s="415"/>
      <c r="DA14" s="415"/>
      <c r="DB14" s="415"/>
      <c r="DC14" s="415"/>
      <c r="DD14" s="986"/>
      <c r="DE14" s="547"/>
      <c r="DF14" s="386" t="s">
        <v>2177</v>
      </c>
      <c r="DG14" s="876">
        <v>501</v>
      </c>
      <c r="DH14" s="876">
        <v>1221189</v>
      </c>
      <c r="DI14" s="876">
        <v>189680</v>
      </c>
      <c r="DJ14" s="876">
        <v>43922</v>
      </c>
      <c r="DK14" s="876">
        <v>14092</v>
      </c>
      <c r="DL14" s="435" t="s">
        <v>2315</v>
      </c>
      <c r="DM14" s="435" t="s">
        <v>2315</v>
      </c>
      <c r="DP14" s="382" t="s">
        <v>6945</v>
      </c>
      <c r="DQ14" s="415"/>
      <c r="DR14" s="415"/>
      <c r="DS14" s="415"/>
      <c r="DT14" s="415"/>
      <c r="DU14" s="415"/>
      <c r="DV14" s="415"/>
      <c r="DW14" s="415"/>
    </row>
    <row r="15" spans="1:127" ht="12.95" customHeight="1">
      <c r="A15" s="398" t="s">
        <v>6982</v>
      </c>
      <c r="B15" s="515">
        <v>4050</v>
      </c>
      <c r="C15" s="515">
        <v>3820</v>
      </c>
      <c r="D15" s="515">
        <v>3990</v>
      </c>
      <c r="E15" s="1518">
        <v>3930</v>
      </c>
      <c r="F15" s="515">
        <v>4030</v>
      </c>
      <c r="G15" s="515">
        <v>4110</v>
      </c>
      <c r="H15" s="515">
        <v>4110</v>
      </c>
      <c r="I15" s="1518">
        <v>4080</v>
      </c>
      <c r="J15" s="515">
        <v>3900</v>
      </c>
      <c r="K15" s="515">
        <v>3900</v>
      </c>
      <c r="L15" s="515">
        <v>3920</v>
      </c>
      <c r="M15" s="1518">
        <v>3920</v>
      </c>
      <c r="N15" s="515"/>
      <c r="O15" s="515"/>
      <c r="P15" s="515"/>
      <c r="Q15" s="386">
        <v>2013</v>
      </c>
      <c r="R15" s="515">
        <v>61340</v>
      </c>
      <c r="S15" s="515">
        <v>45670</v>
      </c>
      <c r="T15" s="515">
        <v>15670</v>
      </c>
      <c r="U15" s="515">
        <v>4010</v>
      </c>
      <c r="V15" s="515">
        <v>11660</v>
      </c>
      <c r="Y15" s="398" t="s">
        <v>2946</v>
      </c>
      <c r="Z15" s="1523">
        <v>7.2</v>
      </c>
      <c r="AA15" s="1523">
        <v>4.5</v>
      </c>
      <c r="AB15" s="1523">
        <v>3.2</v>
      </c>
      <c r="AC15" s="1523">
        <v>1.2</v>
      </c>
      <c r="AD15" s="1523">
        <v>2.7</v>
      </c>
      <c r="AE15" s="1523"/>
      <c r="AG15" s="398" t="s">
        <v>2953</v>
      </c>
      <c r="AH15" s="1523">
        <v>4.8</v>
      </c>
      <c r="AI15" s="1523">
        <v>3.2</v>
      </c>
      <c r="AJ15" s="1523">
        <v>2.8</v>
      </c>
      <c r="AK15" s="1523">
        <v>0.3</v>
      </c>
      <c r="AL15" s="1523">
        <v>1.6</v>
      </c>
      <c r="AO15" s="398" t="s">
        <v>6983</v>
      </c>
      <c r="AP15" s="519" t="s">
        <v>2835</v>
      </c>
      <c r="AQ15" s="519">
        <v>100</v>
      </c>
      <c r="AR15" s="519">
        <v>110</v>
      </c>
      <c r="AS15" s="519">
        <v>100</v>
      </c>
      <c r="AT15" s="519">
        <v>80</v>
      </c>
      <c r="AU15" s="398">
        <v>70</v>
      </c>
      <c r="AV15" s="398"/>
      <c r="AW15" s="398"/>
      <c r="AX15" s="398" t="s">
        <v>6984</v>
      </c>
      <c r="AY15" s="398">
        <v>60</v>
      </c>
      <c r="AZ15" s="398">
        <v>110</v>
      </c>
      <c r="BA15" s="398">
        <v>130</v>
      </c>
      <c r="BB15" s="398">
        <v>100</v>
      </c>
      <c r="BC15" s="398">
        <v>160</v>
      </c>
      <c r="BD15" s="398">
        <v>130</v>
      </c>
      <c r="BE15" s="398"/>
      <c r="BF15" s="398"/>
      <c r="BG15" s="398" t="s">
        <v>6985</v>
      </c>
      <c r="BH15" s="398"/>
      <c r="BI15" s="398"/>
      <c r="BJ15" s="398"/>
      <c r="BK15" s="398"/>
      <c r="BL15" s="398"/>
      <c r="BM15" s="398"/>
      <c r="BN15" s="398"/>
      <c r="BO15" s="398"/>
      <c r="BP15" s="398"/>
      <c r="BQ15" s="547"/>
      <c r="BR15" s="382" t="s">
        <v>6986</v>
      </c>
      <c r="BS15" s="463">
        <v>57</v>
      </c>
      <c r="BT15" s="876">
        <v>277053</v>
      </c>
      <c r="BU15" s="876">
        <v>70381</v>
      </c>
      <c r="BV15" s="876">
        <v>16215</v>
      </c>
      <c r="BW15" s="463">
        <v>1702</v>
      </c>
      <c r="BX15" s="435">
        <v>3</v>
      </c>
      <c r="BY15" s="435" t="s">
        <v>2315</v>
      </c>
      <c r="BZ15" s="986"/>
      <c r="CA15" s="986"/>
      <c r="CB15" s="382"/>
      <c r="CC15" s="463"/>
      <c r="CD15" s="463"/>
      <c r="CE15" s="463"/>
      <c r="CF15" s="463"/>
      <c r="CG15" s="463"/>
      <c r="CH15" s="435"/>
      <c r="CI15" s="435"/>
      <c r="CJ15" s="986"/>
      <c r="CK15" s="986"/>
      <c r="CL15" s="382" t="s">
        <v>6987</v>
      </c>
      <c r="CM15" s="463">
        <v>583</v>
      </c>
      <c r="CN15" s="463">
        <v>211454</v>
      </c>
      <c r="CO15" s="463">
        <v>70732</v>
      </c>
      <c r="CP15" s="463">
        <v>16304</v>
      </c>
      <c r="CQ15" s="463">
        <v>3447</v>
      </c>
      <c r="CR15" s="435" t="s">
        <v>2315</v>
      </c>
      <c r="CS15" s="435" t="s">
        <v>2315</v>
      </c>
      <c r="CT15" s="435"/>
      <c r="CU15" s="986"/>
      <c r="CV15" s="382" t="s">
        <v>6988</v>
      </c>
      <c r="CW15" s="463"/>
      <c r="CX15" s="463"/>
      <c r="CY15" s="463"/>
      <c r="CZ15" s="463"/>
      <c r="DA15" s="463"/>
      <c r="DB15" s="463"/>
      <c r="DC15" s="463"/>
      <c r="DD15" s="986"/>
      <c r="DE15" s="547"/>
      <c r="DF15" s="386" t="s">
        <v>6989</v>
      </c>
      <c r="DG15" s="876">
        <v>393</v>
      </c>
      <c r="DH15" s="876">
        <v>1456519</v>
      </c>
      <c r="DI15" s="876">
        <v>214821</v>
      </c>
      <c r="DJ15" s="876">
        <v>50987</v>
      </c>
      <c r="DK15" s="876">
        <v>18886</v>
      </c>
      <c r="DL15" s="435" t="s">
        <v>2315</v>
      </c>
      <c r="DM15" s="435" t="s">
        <v>2315</v>
      </c>
      <c r="DP15" s="382" t="s">
        <v>6988</v>
      </c>
      <c r="DQ15" s="382"/>
      <c r="DR15" s="382"/>
      <c r="DS15" s="382"/>
      <c r="DT15" s="382"/>
      <c r="DU15" s="382"/>
      <c r="DV15" s="382"/>
      <c r="DW15" s="382"/>
    </row>
    <row r="16" spans="1:127" ht="12.95" customHeight="1">
      <c r="A16" s="387" t="s">
        <v>6990</v>
      </c>
      <c r="B16" s="515">
        <v>11980</v>
      </c>
      <c r="C16" s="515">
        <v>12210</v>
      </c>
      <c r="D16" s="515">
        <v>11950</v>
      </c>
      <c r="E16" s="1518">
        <v>12130</v>
      </c>
      <c r="F16" s="766">
        <v>12000</v>
      </c>
      <c r="G16" s="766">
        <v>12040</v>
      </c>
      <c r="H16" s="766">
        <v>11590</v>
      </c>
      <c r="I16" s="1528">
        <v>12240</v>
      </c>
      <c r="J16" s="766">
        <v>12260</v>
      </c>
      <c r="K16" s="766">
        <v>12110</v>
      </c>
      <c r="L16" s="766">
        <v>11350</v>
      </c>
      <c r="M16" s="1528">
        <v>12010</v>
      </c>
      <c r="N16" s="515"/>
      <c r="O16" s="515"/>
      <c r="P16" s="515"/>
      <c r="Q16" s="386">
        <v>2012</v>
      </c>
      <c r="R16" s="754">
        <v>60930</v>
      </c>
      <c r="S16" s="754">
        <v>45090</v>
      </c>
      <c r="T16" s="754">
        <v>15840</v>
      </c>
      <c r="U16" s="754">
        <v>4080</v>
      </c>
      <c r="V16" s="754">
        <v>11760</v>
      </c>
      <c r="Y16" s="398" t="s">
        <v>2953</v>
      </c>
      <c r="Z16" s="1003">
        <v>5.2</v>
      </c>
      <c r="AA16" s="1523">
        <v>2.9</v>
      </c>
      <c r="AB16" s="1523">
        <v>2.5</v>
      </c>
      <c r="AC16" s="1523">
        <v>0.4</v>
      </c>
      <c r="AD16" s="1523">
        <v>2.4</v>
      </c>
      <c r="AE16" s="1523"/>
      <c r="AG16" s="398" t="s">
        <v>2848</v>
      </c>
      <c r="AH16" s="862" t="s">
        <v>1098</v>
      </c>
      <c r="AI16" s="862" t="s">
        <v>1098</v>
      </c>
      <c r="AJ16" s="862" t="s">
        <v>1098</v>
      </c>
      <c r="AK16" s="862" t="s">
        <v>1098</v>
      </c>
      <c r="AL16" s="862" t="s">
        <v>1098</v>
      </c>
      <c r="AO16" s="398" t="s">
        <v>6991</v>
      </c>
      <c r="AP16" s="519" t="s">
        <v>2835</v>
      </c>
      <c r="AQ16" s="519">
        <v>40</v>
      </c>
      <c r="AR16" s="519">
        <v>20</v>
      </c>
      <c r="AS16" s="519">
        <v>40</v>
      </c>
      <c r="AT16" s="519">
        <v>20</v>
      </c>
      <c r="AU16" s="398">
        <v>30</v>
      </c>
      <c r="AV16" s="398"/>
      <c r="AW16" s="398"/>
      <c r="AX16" s="398" t="s">
        <v>6992</v>
      </c>
      <c r="AY16" s="519" t="s">
        <v>2835</v>
      </c>
      <c r="AZ16" s="398">
        <v>20</v>
      </c>
      <c r="BA16" s="398">
        <v>20</v>
      </c>
      <c r="BB16" s="398">
        <v>30</v>
      </c>
      <c r="BC16" s="398">
        <v>20</v>
      </c>
      <c r="BD16" s="398">
        <v>30</v>
      </c>
      <c r="BE16" s="398"/>
      <c r="BF16" s="398"/>
      <c r="BQ16" s="547"/>
      <c r="BR16" s="382" t="s">
        <v>6993</v>
      </c>
      <c r="BS16" s="463">
        <v>123</v>
      </c>
      <c r="BT16" s="876">
        <v>856921</v>
      </c>
      <c r="BU16" s="876">
        <v>101634</v>
      </c>
      <c r="BV16" s="876">
        <v>25246</v>
      </c>
      <c r="BW16" s="463">
        <v>2103</v>
      </c>
      <c r="BX16" s="435">
        <v>8</v>
      </c>
      <c r="BY16" s="435" t="s">
        <v>2315</v>
      </c>
      <c r="BZ16" s="986"/>
      <c r="CA16" s="986"/>
      <c r="CB16" s="382" t="s">
        <v>6994</v>
      </c>
      <c r="CC16" s="463">
        <v>535</v>
      </c>
      <c r="CD16" s="463">
        <v>724704</v>
      </c>
      <c r="CE16" s="463">
        <v>158320</v>
      </c>
      <c r="CF16" s="463">
        <v>37134</v>
      </c>
      <c r="CG16" s="463">
        <v>6064</v>
      </c>
      <c r="CH16" s="435" t="s">
        <v>2315</v>
      </c>
      <c r="CI16" s="435" t="s">
        <v>2315</v>
      </c>
      <c r="CJ16" s="986"/>
      <c r="CK16" s="986"/>
      <c r="CL16" s="382" t="s">
        <v>6995</v>
      </c>
      <c r="CM16" s="463">
        <v>587</v>
      </c>
      <c r="CN16" s="463">
        <v>420602</v>
      </c>
      <c r="CO16" s="463">
        <v>124262</v>
      </c>
      <c r="CP16" s="463">
        <v>29036</v>
      </c>
      <c r="CQ16" s="463">
        <v>5541</v>
      </c>
      <c r="CR16" s="435" t="s">
        <v>2315</v>
      </c>
      <c r="CS16" s="435" t="s">
        <v>2315</v>
      </c>
      <c r="CT16" s="435"/>
      <c r="CU16" s="986"/>
      <c r="CV16" s="398" t="s">
        <v>6985</v>
      </c>
      <c r="CW16" s="463"/>
      <c r="CX16" s="463"/>
      <c r="CY16" s="463"/>
      <c r="CZ16" s="463"/>
      <c r="DA16" s="463"/>
      <c r="DB16" s="463"/>
      <c r="DC16" s="463"/>
      <c r="DD16" s="986"/>
      <c r="DE16" s="547"/>
      <c r="DF16" s="386" t="s">
        <v>2276</v>
      </c>
      <c r="DG16" s="876">
        <v>9</v>
      </c>
      <c r="DH16" s="876">
        <v>5247</v>
      </c>
      <c r="DI16" s="933">
        <v>699</v>
      </c>
      <c r="DJ16" s="933">
        <v>160</v>
      </c>
      <c r="DK16" s="933">
        <v>102</v>
      </c>
      <c r="DL16" s="435" t="s">
        <v>2315</v>
      </c>
      <c r="DM16" s="435" t="s">
        <v>2315</v>
      </c>
      <c r="DP16" s="382" t="s">
        <v>6996</v>
      </c>
      <c r="DU16" s="398"/>
      <c r="DV16" s="398"/>
      <c r="DW16" s="398"/>
    </row>
    <row r="17" spans="1:127" ht="12.95" customHeight="1">
      <c r="A17" s="709" t="s">
        <v>6848</v>
      </c>
      <c r="B17" s="709"/>
      <c r="C17" s="709"/>
      <c r="D17" s="709"/>
      <c r="E17" s="709"/>
      <c r="F17" s="398"/>
      <c r="G17" s="398"/>
      <c r="H17" s="398"/>
      <c r="I17" s="398"/>
      <c r="J17" s="398"/>
      <c r="K17" s="398"/>
      <c r="L17" s="398"/>
      <c r="M17" s="398"/>
      <c r="N17" s="398"/>
      <c r="O17" s="398"/>
      <c r="P17" s="398"/>
      <c r="Q17" s="386">
        <v>2011</v>
      </c>
      <c r="R17" s="515">
        <v>61760</v>
      </c>
      <c r="S17" s="515">
        <v>45920</v>
      </c>
      <c r="T17" s="515">
        <v>15840</v>
      </c>
      <c r="U17" s="515">
        <v>3950</v>
      </c>
      <c r="V17" s="515">
        <v>11890</v>
      </c>
      <c r="Y17" s="398" t="s">
        <v>2818</v>
      </c>
      <c r="Z17" s="1523">
        <v>12.4</v>
      </c>
      <c r="AA17" s="1523">
        <v>7.5</v>
      </c>
      <c r="AB17" s="1523">
        <v>6.5</v>
      </c>
      <c r="AC17" s="1523">
        <v>1</v>
      </c>
      <c r="AD17" s="1523">
        <v>4.8</v>
      </c>
      <c r="AE17" s="1523"/>
      <c r="AG17" s="398" t="s">
        <v>2818</v>
      </c>
      <c r="AH17" s="1523">
        <v>10.9</v>
      </c>
      <c r="AI17" s="1523">
        <v>7.5</v>
      </c>
      <c r="AJ17" s="1523">
        <v>6.7</v>
      </c>
      <c r="AK17" s="1523">
        <v>0.8</v>
      </c>
      <c r="AL17" s="1523">
        <v>3.4</v>
      </c>
      <c r="AO17" s="398"/>
      <c r="AP17" s="398"/>
      <c r="AQ17" s="398"/>
      <c r="AR17" s="398"/>
      <c r="AS17" s="398"/>
      <c r="AT17" s="398"/>
      <c r="AU17" s="398"/>
      <c r="AV17" s="398"/>
      <c r="AW17" s="398"/>
      <c r="AX17" s="398" t="s">
        <v>6997</v>
      </c>
      <c r="AY17" s="398">
        <v>90</v>
      </c>
      <c r="AZ17" s="398">
        <v>120</v>
      </c>
      <c r="BA17" s="398">
        <v>120</v>
      </c>
      <c r="BB17" s="398">
        <v>140</v>
      </c>
      <c r="BC17" s="398">
        <v>120</v>
      </c>
      <c r="BD17" s="398">
        <v>140</v>
      </c>
      <c r="BE17" s="398"/>
      <c r="BF17" s="398"/>
      <c r="BQ17" s="547"/>
      <c r="BR17" s="382" t="s">
        <v>6998</v>
      </c>
      <c r="BS17" s="463">
        <v>285</v>
      </c>
      <c r="BT17" s="876">
        <v>290262</v>
      </c>
      <c r="BU17" s="876">
        <v>55776</v>
      </c>
      <c r="BV17" s="876">
        <v>13528</v>
      </c>
      <c r="BW17" s="463">
        <v>2003</v>
      </c>
      <c r="BX17" s="435">
        <v>38</v>
      </c>
      <c r="BY17" s="435" t="s">
        <v>2315</v>
      </c>
      <c r="BZ17" s="986"/>
      <c r="CA17" s="986"/>
      <c r="CB17" s="398" t="s">
        <v>6999</v>
      </c>
      <c r="CC17" s="515">
        <v>1204</v>
      </c>
      <c r="CD17" s="515">
        <v>3312137</v>
      </c>
      <c r="CE17" s="515">
        <v>613430</v>
      </c>
      <c r="CF17" s="515">
        <v>140596</v>
      </c>
      <c r="CG17" s="515">
        <v>20702</v>
      </c>
      <c r="CH17" s="435" t="s">
        <v>2315</v>
      </c>
      <c r="CI17" s="435" t="s">
        <v>2315</v>
      </c>
      <c r="CJ17" s="986"/>
      <c r="CK17" s="986"/>
      <c r="CL17" s="381" t="s">
        <v>7000</v>
      </c>
      <c r="CM17" s="463">
        <v>1099</v>
      </c>
      <c r="CN17" s="463">
        <v>9588220</v>
      </c>
      <c r="CO17" s="463">
        <v>1519189</v>
      </c>
      <c r="CP17" s="463">
        <v>355649</v>
      </c>
      <c r="CQ17" s="463">
        <v>41911</v>
      </c>
      <c r="CR17" s="435" t="s">
        <v>2315</v>
      </c>
      <c r="CS17" s="435" t="s">
        <v>2315</v>
      </c>
      <c r="CT17" s="435"/>
      <c r="CU17" s="986"/>
      <c r="CW17" s="547"/>
      <c r="CX17" s="547"/>
      <c r="CY17" s="547"/>
      <c r="CZ17" s="547"/>
      <c r="DA17" s="547"/>
      <c r="DB17" s="547"/>
      <c r="DC17" s="547"/>
      <c r="DD17" s="986"/>
      <c r="DE17" s="547"/>
      <c r="DF17" s="386" t="s">
        <v>2185</v>
      </c>
      <c r="DG17" s="876">
        <v>126</v>
      </c>
      <c r="DH17" s="876">
        <v>659226</v>
      </c>
      <c r="DI17" s="876">
        <v>81066</v>
      </c>
      <c r="DJ17" s="876">
        <v>20754</v>
      </c>
      <c r="DK17" s="876">
        <v>10256</v>
      </c>
      <c r="DL17" s="435" t="s">
        <v>2315</v>
      </c>
      <c r="DM17" s="435" t="s">
        <v>2315</v>
      </c>
      <c r="DP17" s="382" t="s">
        <v>7001</v>
      </c>
      <c r="DQ17" s="398"/>
      <c r="DR17" s="398"/>
      <c r="DS17" s="398"/>
      <c r="DT17" s="398"/>
      <c r="DU17" s="398"/>
      <c r="DV17" s="398"/>
      <c r="DW17" s="398"/>
    </row>
    <row r="18" spans="1:127" ht="12.95" customHeight="1">
      <c r="A18" s="386" t="s">
        <v>7002</v>
      </c>
      <c r="B18" s="386"/>
      <c r="C18" s="386"/>
      <c r="D18" s="386"/>
      <c r="E18" s="386"/>
      <c r="F18" s="386"/>
      <c r="G18" s="386"/>
      <c r="H18" s="386"/>
      <c r="I18" s="386"/>
      <c r="J18" s="386"/>
      <c r="K18" s="386"/>
      <c r="L18" s="386"/>
      <c r="M18" s="386"/>
      <c r="N18" s="386"/>
      <c r="O18" s="386"/>
      <c r="P18" s="398"/>
      <c r="Q18" s="386">
        <v>2010</v>
      </c>
      <c r="R18" s="515">
        <v>62200</v>
      </c>
      <c r="S18" s="515">
        <v>46320</v>
      </c>
      <c r="T18" s="515">
        <v>15880</v>
      </c>
      <c r="U18" s="515">
        <v>3820</v>
      </c>
      <c r="V18" s="515">
        <v>12060</v>
      </c>
      <c r="Y18" s="398" t="s">
        <v>2885</v>
      </c>
      <c r="Z18" s="1523">
        <v>101.4</v>
      </c>
      <c r="AA18" s="1523">
        <v>64.5</v>
      </c>
      <c r="AB18" s="1523">
        <v>42.8</v>
      </c>
      <c r="AC18" s="1523">
        <v>21.6</v>
      </c>
      <c r="AD18" s="1523">
        <v>36.9</v>
      </c>
      <c r="AE18" s="1523"/>
      <c r="AG18" s="398" t="s">
        <v>2885</v>
      </c>
      <c r="AH18" s="1523">
        <v>106.9</v>
      </c>
      <c r="AI18" s="1523">
        <v>74.099999999999994</v>
      </c>
      <c r="AJ18" s="1523">
        <v>54.4</v>
      </c>
      <c r="AK18" s="1523">
        <v>19.7</v>
      </c>
      <c r="AL18" s="1523">
        <v>32.799999999999997</v>
      </c>
      <c r="AO18" s="398" t="s">
        <v>7003</v>
      </c>
      <c r="AP18" s="398"/>
      <c r="AQ18" s="398"/>
      <c r="AR18" s="398"/>
      <c r="AS18" s="398"/>
      <c r="AT18" s="398"/>
      <c r="AU18" s="398"/>
      <c r="AV18" s="398"/>
      <c r="AW18" s="398"/>
      <c r="AX18" s="398" t="s">
        <v>7004</v>
      </c>
      <c r="AY18" s="398">
        <v>80</v>
      </c>
      <c r="AZ18" s="398">
        <v>110</v>
      </c>
      <c r="BA18" s="398">
        <v>110</v>
      </c>
      <c r="BB18" s="398">
        <v>130</v>
      </c>
      <c r="BC18" s="398">
        <v>110</v>
      </c>
      <c r="BD18" s="398">
        <v>130</v>
      </c>
      <c r="BE18" s="398"/>
      <c r="BF18" s="398"/>
      <c r="BQ18" s="547"/>
      <c r="BR18" s="382" t="s">
        <v>7005</v>
      </c>
      <c r="BS18" s="463">
        <v>249</v>
      </c>
      <c r="BT18" s="876">
        <v>400864</v>
      </c>
      <c r="BU18" s="876">
        <v>108899</v>
      </c>
      <c r="BV18" s="876">
        <v>24807</v>
      </c>
      <c r="BW18" s="463">
        <v>2324</v>
      </c>
      <c r="BX18" s="435">
        <v>41</v>
      </c>
      <c r="BY18" s="435" t="s">
        <v>2315</v>
      </c>
      <c r="BZ18" s="986"/>
      <c r="CA18" s="986"/>
      <c r="CB18" s="398" t="s">
        <v>7006</v>
      </c>
      <c r="CC18" s="515">
        <v>325</v>
      </c>
      <c r="CD18" s="515">
        <v>528078</v>
      </c>
      <c r="CE18" s="515">
        <v>102936</v>
      </c>
      <c r="CF18" s="515">
        <v>23380</v>
      </c>
      <c r="CG18" s="515">
        <v>3758</v>
      </c>
      <c r="CH18" s="435" t="s">
        <v>2315</v>
      </c>
      <c r="CI18" s="435" t="s">
        <v>2315</v>
      </c>
      <c r="CJ18" s="986"/>
      <c r="CK18" s="986"/>
      <c r="CL18" s="382" t="s">
        <v>6945</v>
      </c>
      <c r="CM18" s="415"/>
      <c r="CN18" s="415"/>
      <c r="CO18" s="415"/>
      <c r="CP18" s="415"/>
      <c r="CQ18" s="415"/>
      <c r="CR18" s="415"/>
      <c r="CS18" s="415"/>
      <c r="CT18" s="382"/>
      <c r="CU18" s="986"/>
      <c r="CW18" s="1529"/>
      <c r="DD18" s="986"/>
      <c r="DE18" s="547"/>
      <c r="DF18" s="386" t="s">
        <v>2353</v>
      </c>
      <c r="DG18" s="876">
        <v>5</v>
      </c>
      <c r="DH18" s="876">
        <v>2949</v>
      </c>
      <c r="DI18" s="933">
        <v>1175</v>
      </c>
      <c r="DJ18" s="933">
        <v>190</v>
      </c>
      <c r="DK18" s="933">
        <v>105</v>
      </c>
      <c r="DL18" s="435" t="s">
        <v>2315</v>
      </c>
      <c r="DM18" s="435" t="s">
        <v>2315</v>
      </c>
      <c r="DP18" s="398" t="s">
        <v>6985</v>
      </c>
      <c r="DQ18" s="398"/>
      <c r="DR18" s="398"/>
      <c r="DS18" s="398"/>
      <c r="DT18" s="398"/>
      <c r="DU18" s="398"/>
      <c r="DV18" s="398"/>
      <c r="DW18" s="398"/>
    </row>
    <row r="19" spans="1:127" ht="12.95" customHeight="1">
      <c r="A19" s="386" t="s">
        <v>7007</v>
      </c>
      <c r="B19" s="386"/>
      <c r="C19" s="386"/>
      <c r="D19" s="386"/>
      <c r="E19" s="386"/>
      <c r="F19" s="386"/>
      <c r="G19" s="386"/>
      <c r="H19" s="386"/>
      <c r="I19" s="386"/>
      <c r="J19" s="386"/>
      <c r="K19" s="386"/>
      <c r="L19" s="386"/>
      <c r="O19" s="1530"/>
      <c r="P19" s="398"/>
      <c r="Q19" s="386">
        <v>2009</v>
      </c>
      <c r="R19" s="515">
        <v>61210</v>
      </c>
      <c r="S19" s="515">
        <v>45900</v>
      </c>
      <c r="T19" s="515">
        <v>15310</v>
      </c>
      <c r="U19" s="515">
        <v>3680</v>
      </c>
      <c r="V19" s="515">
        <v>11630</v>
      </c>
      <c r="Y19" s="398" t="s">
        <v>2918</v>
      </c>
      <c r="Z19" s="1523">
        <v>54.6</v>
      </c>
      <c r="AA19" s="1523">
        <v>30.4</v>
      </c>
      <c r="AB19" s="1523">
        <v>15.3</v>
      </c>
      <c r="AC19" s="1523">
        <v>15.1</v>
      </c>
      <c r="AD19" s="1523">
        <v>24.2</v>
      </c>
      <c r="AE19" s="1523"/>
      <c r="AG19" s="398" t="s">
        <v>2918</v>
      </c>
      <c r="AH19" s="1523">
        <v>64.3</v>
      </c>
      <c r="AI19" s="1523">
        <v>39.299999999999997</v>
      </c>
      <c r="AJ19" s="1523">
        <v>23</v>
      </c>
      <c r="AK19" s="1523">
        <v>16.3</v>
      </c>
      <c r="AL19" s="1523">
        <v>25</v>
      </c>
      <c r="AO19" s="398" t="s">
        <v>7008</v>
      </c>
      <c r="AP19" s="519">
        <v>20</v>
      </c>
      <c r="AQ19" s="519">
        <v>20</v>
      </c>
      <c r="AR19" s="519" t="s">
        <v>2835</v>
      </c>
      <c r="AS19" s="398">
        <v>20</v>
      </c>
      <c r="AT19" s="398">
        <v>20</v>
      </c>
      <c r="AU19" s="398">
        <v>30</v>
      </c>
      <c r="AV19" s="398"/>
      <c r="AW19" s="398"/>
      <c r="AX19" s="398" t="s">
        <v>7009</v>
      </c>
      <c r="AY19" s="519" t="s">
        <v>2835</v>
      </c>
      <c r="AZ19" s="519" t="s">
        <v>2835</v>
      </c>
      <c r="BA19" s="519" t="s">
        <v>2835</v>
      </c>
      <c r="BB19" s="519" t="s">
        <v>2835</v>
      </c>
      <c r="BC19" s="519" t="s">
        <v>2835</v>
      </c>
      <c r="BD19" s="398">
        <v>20</v>
      </c>
      <c r="BE19" s="398"/>
      <c r="BF19" s="519"/>
      <c r="BG19" s="382" t="s">
        <v>7010</v>
      </c>
      <c r="BH19" s="382"/>
      <c r="BI19" s="382"/>
      <c r="BJ19" s="439"/>
      <c r="BK19" s="439"/>
      <c r="BL19" s="439"/>
      <c r="BM19" s="439"/>
      <c r="BN19" s="439"/>
      <c r="BO19" s="439"/>
      <c r="BP19" s="439"/>
      <c r="BQ19" s="547"/>
      <c r="BR19" s="382" t="s">
        <v>7011</v>
      </c>
      <c r="BS19" s="463">
        <v>13</v>
      </c>
      <c r="BT19" s="933">
        <v>19447</v>
      </c>
      <c r="BU19" s="933">
        <v>13814</v>
      </c>
      <c r="BV19" s="933">
        <v>3246</v>
      </c>
      <c r="BW19" s="435">
        <v>271</v>
      </c>
      <c r="BX19" s="435">
        <v>0</v>
      </c>
      <c r="BY19" s="435" t="s">
        <v>2315</v>
      </c>
      <c r="BZ19" s="986"/>
      <c r="CA19" s="986"/>
      <c r="CB19" s="387" t="s">
        <v>7012</v>
      </c>
      <c r="CC19" s="766">
        <v>1348</v>
      </c>
      <c r="CD19" s="766">
        <v>5784039</v>
      </c>
      <c r="CE19" s="766">
        <v>895794</v>
      </c>
      <c r="CF19" s="766">
        <v>213678</v>
      </c>
      <c r="CG19" s="766">
        <v>23827</v>
      </c>
      <c r="CH19" s="556" t="s">
        <v>2315</v>
      </c>
      <c r="CI19" s="556" t="s">
        <v>2315</v>
      </c>
      <c r="CJ19" s="986"/>
      <c r="CK19" s="986"/>
      <c r="CL19" s="382" t="s">
        <v>7013</v>
      </c>
      <c r="CM19" s="398"/>
      <c r="CN19" s="398"/>
      <c r="CO19" s="398"/>
      <c r="CP19" s="398"/>
      <c r="CQ19" s="398"/>
      <c r="CR19" s="398"/>
      <c r="CS19" s="398"/>
      <c r="CT19" s="398"/>
      <c r="CU19" s="986"/>
      <c r="DD19" s="986"/>
      <c r="DE19" s="547"/>
      <c r="DF19" s="1527" t="s">
        <v>4067</v>
      </c>
      <c r="DG19" s="876">
        <v>66</v>
      </c>
      <c r="DH19" s="876">
        <v>282060</v>
      </c>
      <c r="DI19" s="876">
        <v>35492</v>
      </c>
      <c r="DJ19" s="876">
        <v>8692</v>
      </c>
      <c r="DK19" s="876">
        <v>2815</v>
      </c>
      <c r="DL19" s="435" t="s">
        <v>2315</v>
      </c>
      <c r="DM19" s="435" t="s">
        <v>2315</v>
      </c>
      <c r="DR19" s="525"/>
      <c r="DS19" s="525"/>
      <c r="DT19" s="525"/>
      <c r="DU19" s="525"/>
    </row>
    <row r="20" spans="1:127" ht="12.95" customHeight="1">
      <c r="A20" s="386" t="s">
        <v>7014</v>
      </c>
      <c r="B20" s="386"/>
      <c r="C20" s="386"/>
      <c r="D20" s="386"/>
      <c r="E20" s="386"/>
      <c r="F20" s="386"/>
      <c r="G20" s="386"/>
      <c r="H20" s="386"/>
      <c r="I20" s="386"/>
      <c r="J20" s="386"/>
      <c r="K20" s="386"/>
      <c r="L20" s="386"/>
      <c r="P20" s="398"/>
      <c r="Q20" s="386">
        <v>2008</v>
      </c>
      <c r="R20" s="515">
        <f t="shared" ref="R20:R25" si="1">S20+T20</f>
        <v>61850</v>
      </c>
      <c r="S20" s="515">
        <v>46680</v>
      </c>
      <c r="T20" s="515">
        <f t="shared" ref="T20:T25" si="2">SUM(U20:V20)</f>
        <v>15170</v>
      </c>
      <c r="U20" s="515">
        <v>3510</v>
      </c>
      <c r="V20" s="515">
        <v>11660</v>
      </c>
      <c r="X20" s="398"/>
      <c r="Y20" s="398" t="s">
        <v>2866</v>
      </c>
      <c r="Z20" s="1523">
        <v>32.5</v>
      </c>
      <c r="AA20" s="1523">
        <v>19.100000000000001</v>
      </c>
      <c r="AB20" s="1523">
        <v>10.1</v>
      </c>
      <c r="AC20" s="1523">
        <v>9</v>
      </c>
      <c r="AD20" s="1523">
        <v>13.4</v>
      </c>
      <c r="AE20" s="1523"/>
      <c r="AG20" s="398" t="s">
        <v>2866</v>
      </c>
      <c r="AH20" s="1523">
        <v>34</v>
      </c>
      <c r="AI20" s="1523">
        <v>21.6</v>
      </c>
      <c r="AJ20" s="1523">
        <v>13.8</v>
      </c>
      <c r="AK20" s="1523">
        <v>7.8</v>
      </c>
      <c r="AL20" s="1523">
        <v>12.4</v>
      </c>
      <c r="AO20" s="398" t="s">
        <v>7015</v>
      </c>
      <c r="AP20" s="519" t="s">
        <v>2835</v>
      </c>
      <c r="AQ20" s="519" t="s">
        <v>2835</v>
      </c>
      <c r="AR20" s="519" t="s">
        <v>2835</v>
      </c>
      <c r="AS20" s="519" t="s">
        <v>2835</v>
      </c>
      <c r="AT20" s="519" t="s">
        <v>2835</v>
      </c>
      <c r="AU20" s="519" t="s">
        <v>2835</v>
      </c>
      <c r="AV20" s="519"/>
      <c r="AW20" s="519"/>
      <c r="AX20" s="398" t="s">
        <v>7016</v>
      </c>
      <c r="AY20" s="398">
        <v>30</v>
      </c>
      <c r="AZ20" s="398">
        <v>60</v>
      </c>
      <c r="BA20" s="398">
        <v>60</v>
      </c>
      <c r="BB20" s="398">
        <v>50</v>
      </c>
      <c r="BC20" s="398">
        <v>80</v>
      </c>
      <c r="BD20" s="398">
        <v>60</v>
      </c>
      <c r="BE20" s="398"/>
      <c r="BF20" s="398"/>
      <c r="BG20" s="388" t="s">
        <v>1648</v>
      </c>
      <c r="BH20" s="389">
        <v>2022</v>
      </c>
      <c r="BI20" s="389">
        <v>2017</v>
      </c>
      <c r="BJ20" s="389">
        <v>2012</v>
      </c>
      <c r="BK20" s="389">
        <v>2007</v>
      </c>
      <c r="BL20" s="642">
        <v>2002</v>
      </c>
      <c r="BM20" s="642">
        <v>1997</v>
      </c>
      <c r="BN20" s="664">
        <v>1992</v>
      </c>
      <c r="BO20" s="664">
        <v>1987</v>
      </c>
      <c r="BP20" s="439"/>
      <c r="BQ20" s="547"/>
      <c r="BR20" s="382" t="s">
        <v>7017</v>
      </c>
      <c r="BS20" s="463">
        <v>176</v>
      </c>
      <c r="BT20" s="876">
        <v>286354</v>
      </c>
      <c r="BU20" s="876">
        <v>88084</v>
      </c>
      <c r="BV20" s="876">
        <v>20972</v>
      </c>
      <c r="BW20" s="463">
        <v>3510</v>
      </c>
      <c r="BX20" s="435">
        <v>32</v>
      </c>
      <c r="BY20" s="435" t="s">
        <v>2315</v>
      </c>
      <c r="BZ20" s="986"/>
      <c r="CA20" s="986"/>
      <c r="CB20" s="382" t="s">
        <v>6945</v>
      </c>
      <c r="CC20" s="398"/>
      <c r="CD20" s="398"/>
      <c r="CE20" s="398"/>
      <c r="CF20" s="398"/>
      <c r="CG20" s="398"/>
      <c r="CH20" s="398"/>
      <c r="CI20" s="398"/>
      <c r="CJ20" s="986"/>
      <c r="CK20" s="986"/>
      <c r="CL20" s="398" t="s">
        <v>6985</v>
      </c>
      <c r="CM20" s="986"/>
      <c r="CN20" s="986"/>
      <c r="CO20" s="986"/>
      <c r="CP20" s="986"/>
      <c r="CQ20" s="986"/>
      <c r="CR20" s="986"/>
      <c r="CS20" s="986"/>
      <c r="CT20" s="986"/>
      <c r="CU20" s="986"/>
      <c r="DD20" s="986"/>
      <c r="DE20" s="547"/>
      <c r="DF20" s="386" t="s">
        <v>2195</v>
      </c>
      <c r="DG20" s="876">
        <v>42</v>
      </c>
      <c r="DH20" s="876">
        <v>139533</v>
      </c>
      <c r="DI20" s="876">
        <v>28810</v>
      </c>
      <c r="DJ20" s="876">
        <v>7600</v>
      </c>
      <c r="DK20" s="876">
        <v>2685</v>
      </c>
      <c r="DL20" s="435" t="s">
        <v>2315</v>
      </c>
      <c r="DM20" s="435" t="s">
        <v>2315</v>
      </c>
    </row>
    <row r="21" spans="1:127" ht="12.95" customHeight="1">
      <c r="A21" s="398" t="s">
        <v>7018</v>
      </c>
      <c r="Q21" s="386">
        <v>2007</v>
      </c>
      <c r="R21" s="515">
        <f t="shared" si="1"/>
        <v>59840</v>
      </c>
      <c r="S21" s="515">
        <v>44450</v>
      </c>
      <c r="T21" s="515">
        <f t="shared" si="2"/>
        <v>15390</v>
      </c>
      <c r="U21" s="515">
        <v>3420</v>
      </c>
      <c r="V21" s="515">
        <v>11970</v>
      </c>
      <c r="W21" s="398"/>
      <c r="X21" s="398"/>
      <c r="Y21" s="398" t="s">
        <v>2891</v>
      </c>
      <c r="Z21" s="1523">
        <v>24.2</v>
      </c>
      <c r="AA21" s="1523">
        <v>13.2</v>
      </c>
      <c r="AB21" s="1523">
        <v>7.1</v>
      </c>
      <c r="AC21" s="1523">
        <v>6.1</v>
      </c>
      <c r="AD21" s="1523">
        <v>11</v>
      </c>
      <c r="AE21" s="1523"/>
      <c r="AG21" s="398" t="s">
        <v>2891</v>
      </c>
      <c r="AH21" s="1523">
        <v>26.8</v>
      </c>
      <c r="AI21" s="1523">
        <v>16.5</v>
      </c>
      <c r="AJ21" s="1523">
        <v>10.9</v>
      </c>
      <c r="AK21" s="1523">
        <v>5.6</v>
      </c>
      <c r="AL21" s="1523">
        <v>10.3</v>
      </c>
      <c r="AO21" s="398" t="s">
        <v>7019</v>
      </c>
      <c r="AP21" s="398">
        <v>150</v>
      </c>
      <c r="AQ21" s="398">
        <v>290</v>
      </c>
      <c r="AR21" s="398">
        <v>320</v>
      </c>
      <c r="AS21" s="398">
        <v>250</v>
      </c>
      <c r="AT21" s="398">
        <v>290</v>
      </c>
      <c r="AU21" s="398">
        <v>280</v>
      </c>
      <c r="AV21" s="398"/>
      <c r="AW21" s="398"/>
      <c r="AX21" s="398" t="s">
        <v>7020</v>
      </c>
      <c r="AY21" s="519" t="s">
        <v>2835</v>
      </c>
      <c r="AZ21" s="519">
        <v>20</v>
      </c>
      <c r="BA21" s="519">
        <v>20</v>
      </c>
      <c r="BB21" s="519" t="s">
        <v>2835</v>
      </c>
      <c r="BC21" s="398">
        <v>40</v>
      </c>
      <c r="BD21" s="398">
        <v>20</v>
      </c>
      <c r="BE21" s="398"/>
      <c r="BF21" s="398"/>
      <c r="BG21" s="382" t="s">
        <v>7021</v>
      </c>
      <c r="BH21" s="1531">
        <v>394</v>
      </c>
      <c r="BI21" s="1531">
        <v>358</v>
      </c>
      <c r="BJ21" s="1531">
        <v>320</v>
      </c>
      <c r="BK21" s="463">
        <v>317</v>
      </c>
      <c r="BL21" s="435">
        <v>244</v>
      </c>
      <c r="BM21" s="435">
        <v>354</v>
      </c>
      <c r="BN21" s="435">
        <v>240</v>
      </c>
      <c r="BO21" s="435">
        <v>79</v>
      </c>
      <c r="BP21" s="435"/>
      <c r="BQ21" s="547"/>
      <c r="BR21" s="382" t="s">
        <v>7022</v>
      </c>
      <c r="BS21" s="463">
        <v>43</v>
      </c>
      <c r="BT21" s="933">
        <v>20679</v>
      </c>
      <c r="BU21" s="933">
        <v>7763</v>
      </c>
      <c r="BV21" s="933">
        <v>1716</v>
      </c>
      <c r="BW21" s="435">
        <v>337</v>
      </c>
      <c r="BX21" s="435">
        <v>10</v>
      </c>
      <c r="BY21" s="435" t="s">
        <v>2315</v>
      </c>
      <c r="BZ21" s="986"/>
      <c r="CA21" s="986"/>
      <c r="CB21" s="382" t="s">
        <v>7013</v>
      </c>
      <c r="CC21" s="382"/>
      <c r="CD21" s="382"/>
      <c r="CE21" s="382"/>
      <c r="CF21" s="382"/>
      <c r="CG21" s="398" t="s">
        <v>3348</v>
      </c>
      <c r="CH21" s="398"/>
      <c r="CI21" s="398"/>
      <c r="CJ21" s="986"/>
      <c r="CK21" s="986"/>
      <c r="CL21" s="398"/>
      <c r="CM21" s="986"/>
      <c r="CN21" s="986"/>
      <c r="CO21" s="986"/>
      <c r="CP21" s="986"/>
      <c r="CQ21" s="986"/>
      <c r="CR21" s="986"/>
      <c r="CS21" s="986"/>
      <c r="CT21" s="986"/>
      <c r="CU21" s="986"/>
      <c r="CV21" s="382" t="s">
        <v>7027</v>
      </c>
      <c r="CW21" s="382"/>
      <c r="CX21" s="382"/>
      <c r="CY21" s="382"/>
      <c r="CZ21" s="382"/>
      <c r="DA21" s="382"/>
      <c r="DB21" s="382"/>
      <c r="DC21" s="382"/>
      <c r="DD21" s="986"/>
      <c r="DE21" s="547"/>
      <c r="DF21" s="1527" t="s">
        <v>2198</v>
      </c>
      <c r="DG21" s="876">
        <v>25</v>
      </c>
      <c r="DH21" s="876">
        <v>81245</v>
      </c>
      <c r="DI21" s="876">
        <v>5953</v>
      </c>
      <c r="DJ21" s="876">
        <v>1434</v>
      </c>
      <c r="DK21" s="876">
        <v>493</v>
      </c>
      <c r="DL21" s="435" t="s">
        <v>2315</v>
      </c>
      <c r="DM21" s="435" t="s">
        <v>2315</v>
      </c>
    </row>
    <row r="22" spans="1:127" ht="12.95" customHeight="1">
      <c r="A22" s="398" t="s">
        <v>7023</v>
      </c>
      <c r="B22" s="1532"/>
      <c r="C22" s="1529"/>
      <c r="D22" s="1529"/>
      <c r="E22" s="1529"/>
      <c r="F22" s="1529"/>
      <c r="G22" s="1529"/>
      <c r="H22" s="1529"/>
      <c r="I22" s="1529"/>
      <c r="Q22" s="386">
        <v>2006</v>
      </c>
      <c r="R22" s="515">
        <f t="shared" si="1"/>
        <v>58730</v>
      </c>
      <c r="S22" s="515">
        <v>43580</v>
      </c>
      <c r="T22" s="515">
        <f t="shared" si="2"/>
        <v>15150</v>
      </c>
      <c r="U22" s="515">
        <v>3350</v>
      </c>
      <c r="V22" s="515">
        <v>11800</v>
      </c>
      <c r="W22" s="398"/>
      <c r="X22" s="385"/>
      <c r="Y22" s="398" t="s">
        <v>2871</v>
      </c>
      <c r="Z22" s="1523">
        <v>39.200000000000003</v>
      </c>
      <c r="AA22" s="1523">
        <v>20.8</v>
      </c>
      <c r="AB22" s="1523">
        <v>12.6</v>
      </c>
      <c r="AC22" s="1523">
        <v>8.1999999999999993</v>
      </c>
      <c r="AD22" s="1523">
        <v>18.3</v>
      </c>
      <c r="AE22" s="1523"/>
      <c r="AG22" s="398" t="s">
        <v>2871</v>
      </c>
      <c r="AH22" s="1523">
        <v>4</v>
      </c>
      <c r="AI22" s="1523">
        <v>25.5</v>
      </c>
      <c r="AJ22" s="1523">
        <v>18.399999999999999</v>
      </c>
      <c r="AK22" s="1523">
        <v>7.1</v>
      </c>
      <c r="AL22" s="1523">
        <v>14.5</v>
      </c>
      <c r="AO22" s="398" t="s">
        <v>7024</v>
      </c>
      <c r="AP22" s="519">
        <v>40</v>
      </c>
      <c r="AQ22" s="519">
        <v>50</v>
      </c>
      <c r="AR22" s="519">
        <v>30</v>
      </c>
      <c r="AS22" s="398">
        <v>30</v>
      </c>
      <c r="AT22" s="398">
        <v>20</v>
      </c>
      <c r="AU22" s="398">
        <v>30</v>
      </c>
      <c r="AV22" s="398"/>
      <c r="AW22" s="398"/>
      <c r="AX22" s="398" t="s">
        <v>7025</v>
      </c>
      <c r="AY22" s="519" t="s">
        <v>2835</v>
      </c>
      <c r="AZ22" s="519" t="s">
        <v>2835</v>
      </c>
      <c r="BA22" s="519" t="s">
        <v>2835</v>
      </c>
      <c r="BB22" s="519" t="s">
        <v>2835</v>
      </c>
      <c r="BC22" s="519" t="s">
        <v>2835</v>
      </c>
      <c r="BD22" s="519" t="s">
        <v>2835</v>
      </c>
      <c r="BE22" s="519"/>
      <c r="BF22" s="519"/>
      <c r="BG22" s="382" t="s">
        <v>6883</v>
      </c>
      <c r="BH22" s="1531">
        <v>1463303</v>
      </c>
      <c r="BI22" s="1531">
        <v>662375</v>
      </c>
      <c r="BJ22" s="1531">
        <v>750368</v>
      </c>
      <c r="BK22" s="463">
        <v>578869</v>
      </c>
      <c r="BL22" s="435">
        <v>261641</v>
      </c>
      <c r="BM22" s="435">
        <v>505646</v>
      </c>
      <c r="BN22" s="435">
        <v>708565</v>
      </c>
      <c r="BO22" s="435">
        <v>126771</v>
      </c>
      <c r="BP22" s="435"/>
      <c r="BQ22" s="547"/>
      <c r="BR22" s="382" t="s">
        <v>7026</v>
      </c>
      <c r="BS22" s="463">
        <v>215</v>
      </c>
      <c r="BT22" s="876">
        <v>834276</v>
      </c>
      <c r="BU22" s="876">
        <v>230858</v>
      </c>
      <c r="BV22" s="876">
        <v>51914</v>
      </c>
      <c r="BW22" s="463">
        <v>4633</v>
      </c>
      <c r="BX22" s="435">
        <v>33</v>
      </c>
      <c r="BY22" s="435" t="s">
        <v>2315</v>
      </c>
      <c r="BZ22" s="986"/>
      <c r="CA22" s="986"/>
      <c r="CB22" s="827"/>
      <c r="CC22" s="827"/>
      <c r="CD22" s="827"/>
      <c r="CE22" s="827"/>
      <c r="CF22" s="827"/>
      <c r="CG22" s="398"/>
      <c r="CH22" s="398"/>
      <c r="CI22" s="398"/>
      <c r="CJ22" s="986"/>
      <c r="CK22" s="986"/>
      <c r="CL22" s="986"/>
      <c r="CM22" s="986"/>
      <c r="CN22" s="986"/>
      <c r="CO22" s="986"/>
      <c r="CP22" s="986"/>
      <c r="CQ22" s="986"/>
      <c r="CR22" s="986"/>
      <c r="CS22" s="986"/>
      <c r="CT22" s="986"/>
      <c r="CU22" s="986"/>
      <c r="CV22" s="597"/>
      <c r="CW22" s="404"/>
      <c r="CX22" s="404"/>
      <c r="CY22" s="404"/>
      <c r="CZ22" s="404"/>
      <c r="DA22" s="404" t="s">
        <v>6867</v>
      </c>
      <c r="DB22" s="404"/>
      <c r="DC22" s="405"/>
      <c r="DD22" s="986"/>
      <c r="DE22" s="547"/>
      <c r="DF22" s="386" t="s">
        <v>2261</v>
      </c>
      <c r="DG22" s="876">
        <v>32</v>
      </c>
      <c r="DH22" s="876">
        <v>39371</v>
      </c>
      <c r="DI22" s="876">
        <v>8869</v>
      </c>
      <c r="DJ22" s="876">
        <v>2202</v>
      </c>
      <c r="DK22" s="876">
        <v>628</v>
      </c>
      <c r="DL22" s="435" t="s">
        <v>2315</v>
      </c>
      <c r="DM22" s="435" t="s">
        <v>2315</v>
      </c>
      <c r="DP22" s="382" t="s">
        <v>7028</v>
      </c>
      <c r="DQ22" s="382"/>
      <c r="DR22" s="382"/>
      <c r="DS22" s="382"/>
      <c r="DT22" s="382"/>
      <c r="DU22" s="382"/>
      <c r="DV22" s="382"/>
      <c r="DW22" s="382"/>
    </row>
    <row r="23" spans="1:127" ht="12.95" customHeight="1">
      <c r="A23" s="398"/>
      <c r="B23" s="1532"/>
      <c r="C23" s="1529"/>
      <c r="D23" s="1529"/>
      <c r="E23" s="1529"/>
      <c r="F23" s="1529"/>
      <c r="G23" s="1529"/>
      <c r="H23" s="1529"/>
      <c r="I23" s="1529"/>
      <c r="O23" s="398"/>
      <c r="P23" s="398"/>
      <c r="Q23" s="386">
        <v>2005</v>
      </c>
      <c r="R23" s="754">
        <f t="shared" si="1"/>
        <v>57740</v>
      </c>
      <c r="S23" s="515">
        <v>42790</v>
      </c>
      <c r="T23" s="754">
        <f t="shared" si="2"/>
        <v>14950</v>
      </c>
      <c r="U23" s="515">
        <v>3300</v>
      </c>
      <c r="V23" s="515">
        <v>11650</v>
      </c>
      <c r="W23" s="385"/>
      <c r="X23" s="1533"/>
      <c r="Y23" s="386" t="s">
        <v>2903</v>
      </c>
      <c r="Z23" s="1523">
        <v>19.399999999999999</v>
      </c>
      <c r="AA23" s="1523">
        <v>9.6</v>
      </c>
      <c r="AB23" s="1523">
        <v>7.4</v>
      </c>
      <c r="AC23" s="1523">
        <v>2.2999999999999998</v>
      </c>
      <c r="AD23" s="1523">
        <v>9.8000000000000007</v>
      </c>
      <c r="AE23" s="1523"/>
      <c r="AG23" s="386" t="s">
        <v>2903</v>
      </c>
      <c r="AH23" s="1523">
        <v>22.9</v>
      </c>
      <c r="AI23" s="1523">
        <v>13.4</v>
      </c>
      <c r="AJ23" s="1523">
        <v>10.199999999999999</v>
      </c>
      <c r="AK23" s="1523">
        <v>3.2</v>
      </c>
      <c r="AL23" s="1523">
        <v>9.5</v>
      </c>
      <c r="AO23" s="386" t="s">
        <v>7029</v>
      </c>
      <c r="AP23" s="385">
        <v>40</v>
      </c>
      <c r="AQ23" s="385">
        <v>30</v>
      </c>
      <c r="AR23" s="385">
        <v>70</v>
      </c>
      <c r="AS23" s="385">
        <v>40</v>
      </c>
      <c r="AT23" s="385">
        <v>30</v>
      </c>
      <c r="AU23" s="385">
        <v>50</v>
      </c>
      <c r="AV23" s="385"/>
      <c r="AW23" s="385"/>
      <c r="AX23" s="398" t="s">
        <v>7030</v>
      </c>
      <c r="AY23" s="519" t="s">
        <v>2835</v>
      </c>
      <c r="AZ23" s="519" t="s">
        <v>2835</v>
      </c>
      <c r="BA23" s="519" t="s">
        <v>2835</v>
      </c>
      <c r="BB23" s="519" t="s">
        <v>2835</v>
      </c>
      <c r="BC23" s="519" t="s">
        <v>2835</v>
      </c>
      <c r="BD23" s="519" t="s">
        <v>2835</v>
      </c>
      <c r="BE23" s="519"/>
      <c r="BF23" s="519"/>
      <c r="BG23" s="382" t="s">
        <v>6893</v>
      </c>
      <c r="BH23" s="1531">
        <v>270570</v>
      </c>
      <c r="BI23" s="1531">
        <v>168412</v>
      </c>
      <c r="BJ23" s="1531">
        <v>166511</v>
      </c>
      <c r="BK23" s="463">
        <v>121277</v>
      </c>
      <c r="BL23" s="435">
        <v>54131</v>
      </c>
      <c r="BM23" s="435">
        <v>138879</v>
      </c>
      <c r="BN23" s="435">
        <v>178287</v>
      </c>
      <c r="BO23" s="435">
        <v>35448</v>
      </c>
      <c r="BP23" s="435"/>
      <c r="BQ23" s="547"/>
      <c r="BR23" s="382" t="s">
        <v>7031</v>
      </c>
      <c r="BS23" s="463">
        <v>73</v>
      </c>
      <c r="BT23" s="933">
        <v>45645</v>
      </c>
      <c r="BU23" s="933">
        <v>17619</v>
      </c>
      <c r="BV23" s="933">
        <v>4247</v>
      </c>
      <c r="BW23" s="435">
        <v>969</v>
      </c>
      <c r="BX23" s="435">
        <v>10</v>
      </c>
      <c r="BY23" s="435" t="s">
        <v>2315</v>
      </c>
      <c r="BZ23" s="986"/>
      <c r="CA23" s="986"/>
      <c r="CB23" s="936"/>
      <c r="CC23" s="1534"/>
      <c r="CD23" s="827"/>
      <c r="CE23" s="827"/>
      <c r="CF23" s="827"/>
      <c r="CG23" s="398"/>
      <c r="CH23" s="398"/>
      <c r="CI23" s="398"/>
      <c r="CJ23" s="986"/>
      <c r="CK23" s="986"/>
      <c r="CL23" s="986"/>
      <c r="CM23" s="986"/>
      <c r="CN23" s="986"/>
      <c r="CO23" s="986"/>
      <c r="CP23" s="986"/>
      <c r="CQ23" s="986"/>
      <c r="CR23" s="986"/>
      <c r="CS23" s="986"/>
      <c r="CT23" s="986"/>
      <c r="CU23" s="986"/>
      <c r="CV23" s="382"/>
      <c r="CW23" s="667"/>
      <c r="CX23" s="667" t="s">
        <v>6877</v>
      </c>
      <c r="CY23" s="667"/>
      <c r="CZ23" s="667"/>
      <c r="DA23" s="667" t="s">
        <v>6878</v>
      </c>
      <c r="DB23" s="667" t="s">
        <v>6879</v>
      </c>
      <c r="DC23" s="465"/>
      <c r="DD23" s="986"/>
      <c r="DE23" s="547"/>
      <c r="DF23" s="386" t="s">
        <v>2201</v>
      </c>
      <c r="DG23" s="876">
        <v>20</v>
      </c>
      <c r="DH23" s="876">
        <v>11765</v>
      </c>
      <c r="DI23" s="876">
        <v>2519</v>
      </c>
      <c r="DJ23" s="876">
        <v>522</v>
      </c>
      <c r="DK23" s="876">
        <v>197</v>
      </c>
      <c r="DL23" s="435" t="s">
        <v>2315</v>
      </c>
      <c r="DM23" s="435" t="s">
        <v>2315</v>
      </c>
      <c r="DP23" s="597"/>
      <c r="DQ23" s="404"/>
      <c r="DR23" s="404"/>
      <c r="DS23" s="404"/>
      <c r="DT23" s="404"/>
      <c r="DU23" s="404" t="s">
        <v>6867</v>
      </c>
      <c r="DV23" s="404"/>
      <c r="DW23" s="405"/>
    </row>
    <row r="24" spans="1:127" ht="12.95" customHeight="1">
      <c r="A24" s="398"/>
      <c r="B24" s="1532"/>
      <c r="C24" s="1529"/>
      <c r="D24" s="1529"/>
      <c r="E24" s="1529"/>
      <c r="F24" s="1529"/>
      <c r="G24" s="1529"/>
      <c r="H24" s="1529"/>
      <c r="I24" s="1529"/>
      <c r="N24" s="398"/>
      <c r="O24" s="385"/>
      <c r="P24" s="385"/>
      <c r="Q24" s="386">
        <v>2004</v>
      </c>
      <c r="R24" s="754">
        <f t="shared" si="1"/>
        <v>57970</v>
      </c>
      <c r="S24" s="754">
        <v>42850</v>
      </c>
      <c r="T24" s="754">
        <f t="shared" si="2"/>
        <v>15120</v>
      </c>
      <c r="U24" s="754">
        <v>3290</v>
      </c>
      <c r="V24" s="754">
        <v>11830</v>
      </c>
      <c r="W24" s="1533"/>
      <c r="X24" s="385"/>
      <c r="Y24" s="1535" t="s">
        <v>2955</v>
      </c>
      <c r="Z24" s="1523">
        <v>17.3</v>
      </c>
      <c r="AA24" s="1523">
        <v>10.4</v>
      </c>
      <c r="AB24" s="1523">
        <v>5.6</v>
      </c>
      <c r="AC24" s="1523">
        <v>4.8</v>
      </c>
      <c r="AD24" s="1523">
        <v>6.9</v>
      </c>
      <c r="AE24" s="1523"/>
      <c r="AF24" s="398"/>
      <c r="AG24" s="1535" t="s">
        <v>2955</v>
      </c>
      <c r="AH24" s="1523">
        <v>16.7</v>
      </c>
      <c r="AI24" s="1523">
        <v>10.1</v>
      </c>
      <c r="AJ24" s="1523">
        <v>5.7</v>
      </c>
      <c r="AK24" s="1523">
        <v>4.4000000000000004</v>
      </c>
      <c r="AL24" s="1523">
        <v>6.6</v>
      </c>
      <c r="AM24" s="398"/>
      <c r="AN24" s="398"/>
      <c r="AO24" s="1535" t="s">
        <v>7033</v>
      </c>
      <c r="AP24" s="519" t="s">
        <v>2835</v>
      </c>
      <c r="AQ24" s="519" t="s">
        <v>2835</v>
      </c>
      <c r="AR24" s="519" t="s">
        <v>2835</v>
      </c>
      <c r="AS24" s="519" t="s">
        <v>2835</v>
      </c>
      <c r="AT24" s="519" t="s">
        <v>2835</v>
      </c>
      <c r="AU24" s="1536" t="s">
        <v>2835</v>
      </c>
      <c r="AV24" s="1536"/>
      <c r="AW24" s="1536"/>
      <c r="AX24" s="398" t="s">
        <v>7034</v>
      </c>
      <c r="AY24" s="519" t="s">
        <v>2835</v>
      </c>
      <c r="AZ24" s="519" t="s">
        <v>2835</v>
      </c>
      <c r="BA24" s="519" t="s">
        <v>2835</v>
      </c>
      <c r="BB24" s="519" t="s">
        <v>2835</v>
      </c>
      <c r="BC24" s="519" t="s">
        <v>2835</v>
      </c>
      <c r="BD24" s="519" t="s">
        <v>2835</v>
      </c>
      <c r="BE24" s="519"/>
      <c r="BF24" s="519"/>
      <c r="BG24" s="382" t="s">
        <v>6908</v>
      </c>
      <c r="BH24" s="1531">
        <v>64016</v>
      </c>
      <c r="BI24" s="1531">
        <v>40321</v>
      </c>
      <c r="BJ24" s="1531">
        <v>40288</v>
      </c>
      <c r="BK24" s="463">
        <v>26183</v>
      </c>
      <c r="BL24" s="435">
        <v>13329</v>
      </c>
      <c r="BM24" s="435">
        <v>35364</v>
      </c>
      <c r="BN24" s="435">
        <v>43089</v>
      </c>
      <c r="BO24" s="435">
        <v>8328</v>
      </c>
      <c r="BP24" s="435"/>
      <c r="BQ24" s="547"/>
      <c r="BR24" s="382" t="s">
        <v>7035</v>
      </c>
      <c r="BS24" s="463">
        <v>546</v>
      </c>
      <c r="BT24" s="876">
        <v>762992</v>
      </c>
      <c r="BU24" s="876">
        <v>224577</v>
      </c>
      <c r="BV24" s="876">
        <v>48929</v>
      </c>
      <c r="BW24" s="463">
        <v>11996</v>
      </c>
      <c r="BX24" s="435">
        <v>89</v>
      </c>
      <c r="BY24" s="435" t="s">
        <v>2315</v>
      </c>
      <c r="BZ24" s="986"/>
      <c r="CA24" s="986"/>
      <c r="CB24" s="1537"/>
      <c r="CC24" s="827"/>
      <c r="CD24" s="827"/>
      <c r="CE24" s="827"/>
      <c r="CF24" s="827"/>
      <c r="CG24" s="398"/>
      <c r="CH24" s="398"/>
      <c r="CI24" s="398"/>
      <c r="CJ24" s="986"/>
      <c r="CK24" s="986"/>
      <c r="CL24" s="986"/>
      <c r="CM24" s="986"/>
      <c r="CN24" s="986"/>
      <c r="CO24" s="986"/>
      <c r="CP24" s="986"/>
      <c r="CQ24" s="986"/>
      <c r="CR24" s="986"/>
      <c r="CS24" s="986"/>
      <c r="CT24" s="382"/>
      <c r="CU24" s="986"/>
      <c r="CV24" s="523"/>
      <c r="CW24" s="667"/>
      <c r="CX24" s="667" t="s">
        <v>6884</v>
      </c>
      <c r="CY24" s="667"/>
      <c r="CZ24" s="667" t="s">
        <v>6885</v>
      </c>
      <c r="DA24" s="667" t="s">
        <v>6886</v>
      </c>
      <c r="DB24" s="667" t="s">
        <v>6887</v>
      </c>
      <c r="DC24" s="465" t="s">
        <v>6888</v>
      </c>
      <c r="DD24" s="986"/>
      <c r="DE24" s="547"/>
      <c r="DF24" s="386" t="s">
        <v>2202</v>
      </c>
      <c r="DG24" s="876">
        <v>1616</v>
      </c>
      <c r="DH24" s="876">
        <v>5168059</v>
      </c>
      <c r="DI24" s="876">
        <v>985330</v>
      </c>
      <c r="DJ24" s="876">
        <v>226644</v>
      </c>
      <c r="DK24" s="876">
        <v>82508</v>
      </c>
      <c r="DL24" s="435" t="s">
        <v>2315</v>
      </c>
      <c r="DM24" s="435" t="s">
        <v>2315</v>
      </c>
      <c r="DP24" s="382"/>
      <c r="DQ24" s="667"/>
      <c r="DR24" s="667" t="s">
        <v>6877</v>
      </c>
      <c r="DS24" s="667"/>
      <c r="DT24" s="667"/>
      <c r="DU24" s="667" t="s">
        <v>6878</v>
      </c>
      <c r="DV24" s="667" t="s">
        <v>6879</v>
      </c>
      <c r="DW24" s="465"/>
    </row>
    <row r="25" spans="1:127" ht="12.95" customHeight="1">
      <c r="A25" s="398"/>
      <c r="B25" s="1532"/>
      <c r="C25" s="1529"/>
      <c r="D25" s="1529"/>
      <c r="E25" s="1529"/>
      <c r="F25" s="1529"/>
      <c r="G25" s="1529"/>
      <c r="H25" s="1529"/>
      <c r="I25" s="1529"/>
      <c r="N25" s="385"/>
      <c r="O25" s="385"/>
      <c r="P25" s="385"/>
      <c r="Q25" s="384">
        <v>2003</v>
      </c>
      <c r="R25" s="792">
        <f t="shared" si="1"/>
        <v>55780</v>
      </c>
      <c r="S25" s="792">
        <v>40630</v>
      </c>
      <c r="T25" s="792">
        <f t="shared" si="2"/>
        <v>15150</v>
      </c>
      <c r="U25" s="792">
        <v>3090</v>
      </c>
      <c r="V25" s="792">
        <v>12060</v>
      </c>
      <c r="W25" s="385"/>
      <c r="X25" s="1533"/>
      <c r="Y25" s="1538" t="s">
        <v>2875</v>
      </c>
      <c r="Z25" s="1523">
        <v>41.6</v>
      </c>
      <c r="AA25" s="1523">
        <v>25.8</v>
      </c>
      <c r="AB25" s="1523">
        <v>18.3</v>
      </c>
      <c r="AC25" s="1523">
        <v>7.5</v>
      </c>
      <c r="AD25" s="1523">
        <v>15.8</v>
      </c>
      <c r="AE25" s="1523"/>
      <c r="AF25" s="398"/>
      <c r="AG25" s="1538" t="s">
        <v>2875</v>
      </c>
      <c r="AH25" s="1523">
        <v>42.4</v>
      </c>
      <c r="AI25" s="1523">
        <v>27.5</v>
      </c>
      <c r="AJ25" s="1523">
        <v>20.7</v>
      </c>
      <c r="AK25" s="1523">
        <v>6.8</v>
      </c>
      <c r="AL25" s="1523">
        <v>15</v>
      </c>
      <c r="AM25" s="398"/>
      <c r="AN25" s="398"/>
      <c r="AO25" s="1538" t="s">
        <v>7037</v>
      </c>
      <c r="AP25" s="928">
        <v>50</v>
      </c>
      <c r="AQ25" s="928">
        <v>60</v>
      </c>
      <c r="AR25" s="928">
        <v>60</v>
      </c>
      <c r="AS25" s="928">
        <v>50</v>
      </c>
      <c r="AT25" s="928">
        <v>50</v>
      </c>
      <c r="AU25" s="928">
        <v>60</v>
      </c>
      <c r="AV25" s="928"/>
      <c r="AW25" s="928"/>
      <c r="AX25" s="398" t="s">
        <v>7038</v>
      </c>
      <c r="AY25" s="519" t="s">
        <v>2835</v>
      </c>
      <c r="AZ25" s="519" t="s">
        <v>2835</v>
      </c>
      <c r="BA25" s="519" t="s">
        <v>2835</v>
      </c>
      <c r="BB25" s="519" t="s">
        <v>2835</v>
      </c>
      <c r="BC25" s="519" t="s">
        <v>2835</v>
      </c>
      <c r="BD25" s="519" t="s">
        <v>2835</v>
      </c>
      <c r="BE25" s="519"/>
      <c r="BF25" s="519"/>
      <c r="BG25" s="382" t="s">
        <v>7039</v>
      </c>
      <c r="BH25" s="1531">
        <v>6774</v>
      </c>
      <c r="BI25" s="1531">
        <v>5501</v>
      </c>
      <c r="BJ25" s="1531">
        <v>6722</v>
      </c>
      <c r="BK25" s="463">
        <v>6011</v>
      </c>
      <c r="BL25" s="435">
        <v>3136</v>
      </c>
      <c r="BM25" s="435">
        <v>7094</v>
      </c>
      <c r="BN25" s="435">
        <v>9131</v>
      </c>
      <c r="BO25" s="435">
        <v>2705</v>
      </c>
      <c r="BP25" s="435"/>
      <c r="BQ25" s="547"/>
      <c r="BR25" s="381" t="s">
        <v>7040</v>
      </c>
      <c r="BS25" s="463">
        <v>225</v>
      </c>
      <c r="BT25" s="876">
        <v>189616</v>
      </c>
      <c r="BU25" s="876">
        <v>32880</v>
      </c>
      <c r="BV25" s="876">
        <v>7631</v>
      </c>
      <c r="BW25" s="463">
        <v>1334</v>
      </c>
      <c r="BX25" s="556">
        <v>40</v>
      </c>
      <c r="BY25" s="556" t="s">
        <v>2315</v>
      </c>
      <c r="BZ25" s="986"/>
      <c r="CA25" s="986"/>
      <c r="CC25" s="549"/>
      <c r="CD25" s="549"/>
      <c r="CE25" s="549"/>
      <c r="CF25" s="549"/>
      <c r="CG25" s="549"/>
      <c r="CH25" s="549"/>
      <c r="CI25" s="549"/>
      <c r="CJ25" s="986"/>
      <c r="CK25" s="986"/>
      <c r="CL25" s="382" t="s">
        <v>7036</v>
      </c>
      <c r="CM25" s="382"/>
      <c r="CN25" s="382"/>
      <c r="CO25" s="382"/>
      <c r="CP25" s="382"/>
      <c r="CQ25" s="382"/>
      <c r="CR25" s="382"/>
      <c r="CS25" s="382"/>
      <c r="CT25" s="439"/>
      <c r="CU25" s="986"/>
      <c r="CV25" s="433"/>
      <c r="CW25" s="667" t="s">
        <v>6894</v>
      </c>
      <c r="CX25" s="667" t="s">
        <v>6895</v>
      </c>
      <c r="CY25" s="667" t="s">
        <v>119</v>
      </c>
      <c r="CZ25" s="667" t="s">
        <v>6896</v>
      </c>
      <c r="DA25" s="667" t="s">
        <v>6897</v>
      </c>
      <c r="DB25" s="667" t="s">
        <v>6898</v>
      </c>
      <c r="DC25" s="465" t="s">
        <v>6899</v>
      </c>
      <c r="DD25" s="986"/>
      <c r="DE25" s="547"/>
      <c r="DF25" s="386" t="s">
        <v>2356</v>
      </c>
      <c r="DG25" s="1539" t="s">
        <v>2315</v>
      </c>
      <c r="DH25" s="1539" t="s">
        <v>2315</v>
      </c>
      <c r="DI25" s="1539" t="s">
        <v>2315</v>
      </c>
      <c r="DJ25" s="1539" t="s">
        <v>2315</v>
      </c>
      <c r="DK25" s="1539" t="s">
        <v>2315</v>
      </c>
      <c r="DL25" s="435" t="s">
        <v>2315</v>
      </c>
      <c r="DM25" s="435" t="s">
        <v>2315</v>
      </c>
      <c r="DP25" s="523"/>
      <c r="DQ25" s="667"/>
      <c r="DR25" s="667" t="s">
        <v>6884</v>
      </c>
      <c r="DS25" s="667"/>
      <c r="DT25" s="667" t="s">
        <v>6885</v>
      </c>
      <c r="DU25" s="667" t="s">
        <v>6886</v>
      </c>
      <c r="DV25" s="667" t="s">
        <v>6887</v>
      </c>
      <c r="DW25" s="465" t="s">
        <v>6888</v>
      </c>
    </row>
    <row r="26" spans="1:127" ht="12.95" customHeight="1">
      <c r="A26" s="398"/>
      <c r="B26" s="1532"/>
      <c r="C26" s="1529"/>
      <c r="D26" s="1529"/>
      <c r="E26" s="1529"/>
      <c r="F26" s="1529"/>
      <c r="G26" s="1529"/>
      <c r="H26" s="1529"/>
      <c r="I26" s="1529"/>
      <c r="N26" s="398"/>
      <c r="Q26" s="398" t="s">
        <v>6848</v>
      </c>
      <c r="R26" s="754"/>
      <c r="S26" s="754"/>
      <c r="T26" s="754"/>
      <c r="U26" s="754"/>
      <c r="V26" s="754"/>
      <c r="W26" s="988"/>
      <c r="X26" s="385"/>
      <c r="Y26" s="1538" t="s">
        <v>2890</v>
      </c>
      <c r="Z26" s="1523">
        <v>55.4</v>
      </c>
      <c r="AA26" s="1523">
        <v>33.700000000000003</v>
      </c>
      <c r="AB26" s="1523">
        <v>28.9</v>
      </c>
      <c r="AC26" s="1523">
        <v>4.8</v>
      </c>
      <c r="AD26" s="1523">
        <v>21.7</v>
      </c>
      <c r="AE26" s="1523"/>
      <c r="AF26" s="385"/>
      <c r="AG26" s="1538" t="s">
        <v>2890</v>
      </c>
      <c r="AH26" s="1523">
        <v>58.8</v>
      </c>
      <c r="AI26" s="1523">
        <v>40.200000000000003</v>
      </c>
      <c r="AJ26" s="1523">
        <v>35.9</v>
      </c>
      <c r="AK26" s="1523">
        <v>4.4000000000000004</v>
      </c>
      <c r="AL26" s="1523">
        <v>18.5</v>
      </c>
      <c r="AM26" s="385"/>
      <c r="AN26" s="385"/>
      <c r="AO26" s="1538" t="s">
        <v>7044</v>
      </c>
      <c r="AP26" s="928">
        <v>50</v>
      </c>
      <c r="AQ26" s="928">
        <v>70</v>
      </c>
      <c r="AR26" s="928">
        <v>80</v>
      </c>
      <c r="AS26" s="928">
        <v>60</v>
      </c>
      <c r="AT26" s="928">
        <v>60</v>
      </c>
      <c r="AU26" s="928">
        <v>70</v>
      </c>
      <c r="AV26" s="928"/>
      <c r="AW26" s="928"/>
      <c r="AX26" s="386" t="s">
        <v>7045</v>
      </c>
      <c r="AY26" s="519" t="s">
        <v>2835</v>
      </c>
      <c r="AZ26" s="519" t="s">
        <v>2835</v>
      </c>
      <c r="BA26" s="519" t="s">
        <v>2835</v>
      </c>
      <c r="BB26" s="519">
        <v>20</v>
      </c>
      <c r="BC26" s="519" t="s">
        <v>2835</v>
      </c>
      <c r="BD26" s="519" t="s">
        <v>2835</v>
      </c>
      <c r="BE26" s="519"/>
      <c r="BF26" s="385"/>
      <c r="BG26" s="382" t="s">
        <v>7046</v>
      </c>
      <c r="BH26" s="1531">
        <v>91</v>
      </c>
      <c r="BI26" s="1531">
        <v>70</v>
      </c>
      <c r="BJ26" s="1531">
        <v>95</v>
      </c>
      <c r="BK26" s="435">
        <v>97</v>
      </c>
      <c r="BL26" s="435">
        <v>90</v>
      </c>
      <c r="BM26" s="435">
        <v>100</v>
      </c>
      <c r="BN26" s="435">
        <v>60</v>
      </c>
      <c r="BO26" s="435">
        <v>7</v>
      </c>
      <c r="BP26" s="435"/>
      <c r="BQ26" s="547"/>
      <c r="BR26" s="382" t="s">
        <v>6945</v>
      </c>
      <c r="BS26" s="415"/>
      <c r="BT26" s="415"/>
      <c r="BU26" s="415"/>
      <c r="BV26" s="415"/>
      <c r="BW26" s="415"/>
      <c r="BX26" s="415"/>
      <c r="BY26" s="435"/>
      <c r="BZ26" s="986"/>
      <c r="CA26" s="986"/>
      <c r="CB26" s="382" t="s">
        <v>7047</v>
      </c>
      <c r="CC26" s="382"/>
      <c r="CD26" s="382"/>
      <c r="CE26" s="382"/>
      <c r="CF26" s="382"/>
      <c r="CG26" s="382"/>
      <c r="CH26" s="382"/>
      <c r="CI26" s="382"/>
      <c r="CJ26" s="986"/>
      <c r="CK26" s="986"/>
      <c r="CL26" s="597"/>
      <c r="CM26" s="404"/>
      <c r="CN26" s="404"/>
      <c r="CO26" s="404"/>
      <c r="CP26" s="404"/>
      <c r="CQ26" s="404" t="s">
        <v>6867</v>
      </c>
      <c r="CR26" s="404"/>
      <c r="CS26" s="405"/>
      <c r="CT26" s="439"/>
      <c r="CU26" s="986"/>
      <c r="CV26" s="433" t="s">
        <v>3173</v>
      </c>
      <c r="CW26" s="667" t="s">
        <v>6909</v>
      </c>
      <c r="CX26" s="667" t="s">
        <v>6910</v>
      </c>
      <c r="CY26" s="667" t="s">
        <v>6911</v>
      </c>
      <c r="CZ26" s="667" t="s">
        <v>6911</v>
      </c>
      <c r="DA26" s="1521" t="s">
        <v>6912</v>
      </c>
      <c r="DB26" s="667" t="s">
        <v>6913</v>
      </c>
      <c r="DC26" s="465" t="s">
        <v>6914</v>
      </c>
      <c r="DD26" s="986"/>
      <c r="DE26" s="547"/>
      <c r="DF26" s="386" t="s">
        <v>2208</v>
      </c>
      <c r="DG26" s="876">
        <v>146</v>
      </c>
      <c r="DH26" s="876">
        <v>279077</v>
      </c>
      <c r="DI26" s="876">
        <v>44565</v>
      </c>
      <c r="DJ26" s="876">
        <v>11909</v>
      </c>
      <c r="DK26" s="876">
        <v>3554</v>
      </c>
      <c r="DL26" s="435" t="s">
        <v>2315</v>
      </c>
      <c r="DM26" s="435" t="s">
        <v>2315</v>
      </c>
      <c r="DP26" s="433"/>
      <c r="DQ26" s="667" t="s">
        <v>6894</v>
      </c>
      <c r="DR26" s="667" t="s">
        <v>6895</v>
      </c>
      <c r="DS26" s="667" t="s">
        <v>119</v>
      </c>
      <c r="DT26" s="667" t="s">
        <v>6896</v>
      </c>
      <c r="DU26" s="667" t="s">
        <v>6897</v>
      </c>
      <c r="DV26" s="667" t="s">
        <v>6898</v>
      </c>
      <c r="DW26" s="465" t="s">
        <v>6899</v>
      </c>
    </row>
    <row r="27" spans="1:127" ht="12.95" customHeight="1">
      <c r="N27" s="515"/>
      <c r="Q27" s="386" t="s">
        <v>7048</v>
      </c>
      <c r="R27" s="754"/>
      <c r="S27" s="754"/>
      <c r="T27" s="754"/>
      <c r="U27" s="754"/>
      <c r="V27" s="754"/>
      <c r="W27" s="398"/>
      <c r="X27" s="385"/>
      <c r="Y27" s="1279" t="s">
        <v>2910</v>
      </c>
      <c r="Z27" s="1523">
        <v>78.900000000000006</v>
      </c>
      <c r="AA27" s="1523">
        <v>42.8</v>
      </c>
      <c r="AB27" s="1523">
        <v>22.5</v>
      </c>
      <c r="AC27" s="1523">
        <v>20.3</v>
      </c>
      <c r="AD27" s="1523">
        <v>36.1</v>
      </c>
      <c r="AE27" s="1523"/>
      <c r="AF27" s="1533"/>
      <c r="AG27" s="1279" t="s">
        <v>2910</v>
      </c>
      <c r="AH27" s="1523">
        <v>88.8</v>
      </c>
      <c r="AI27" s="1523">
        <v>58.2</v>
      </c>
      <c r="AJ27" s="1523">
        <v>41</v>
      </c>
      <c r="AK27" s="1523">
        <v>17.2</v>
      </c>
      <c r="AL27" s="1523">
        <v>30.6</v>
      </c>
      <c r="AM27" s="1533"/>
      <c r="AN27" s="1533"/>
      <c r="AO27" s="1538" t="s">
        <v>7049</v>
      </c>
      <c r="AP27" s="928">
        <v>20</v>
      </c>
      <c r="AQ27" s="928">
        <v>40</v>
      </c>
      <c r="AR27" s="928">
        <v>40</v>
      </c>
      <c r="AS27" s="928">
        <v>40</v>
      </c>
      <c r="AT27" s="928">
        <v>40</v>
      </c>
      <c r="AU27" s="928">
        <v>40</v>
      </c>
      <c r="AV27" s="928"/>
      <c r="AW27" s="928"/>
      <c r="AX27" s="1535" t="s">
        <v>7050</v>
      </c>
      <c r="AY27" s="519" t="s">
        <v>2835</v>
      </c>
      <c r="AZ27" s="519" t="s">
        <v>2835</v>
      </c>
      <c r="BA27" s="519" t="s">
        <v>2835</v>
      </c>
      <c r="BB27" s="519" t="s">
        <v>2835</v>
      </c>
      <c r="BC27" s="519" t="s">
        <v>2835</v>
      </c>
      <c r="BD27" s="1536" t="s">
        <v>2835</v>
      </c>
      <c r="BE27" s="1536"/>
      <c r="BF27" s="1536"/>
      <c r="BG27" s="381" t="s">
        <v>7051</v>
      </c>
      <c r="BH27" s="477" t="s">
        <v>2315</v>
      </c>
      <c r="BI27" s="477" t="s">
        <v>2315</v>
      </c>
      <c r="BJ27" s="477" t="s">
        <v>2315</v>
      </c>
      <c r="BK27" s="556" t="s">
        <v>2315</v>
      </c>
      <c r="BL27" s="556">
        <v>10</v>
      </c>
      <c r="BM27" s="556">
        <v>9</v>
      </c>
      <c r="BN27" s="556">
        <v>17</v>
      </c>
      <c r="BO27" s="556">
        <v>1</v>
      </c>
      <c r="BP27" s="474"/>
      <c r="BQ27" s="547"/>
      <c r="BR27" s="382" t="s">
        <v>7052</v>
      </c>
      <c r="BS27" s="382"/>
      <c r="BT27" s="382"/>
      <c r="BU27" s="382"/>
      <c r="BV27" s="382"/>
      <c r="BW27" s="382"/>
      <c r="BX27" s="382"/>
      <c r="BY27" s="382"/>
      <c r="BZ27" s="549"/>
      <c r="CA27" s="549"/>
      <c r="CB27" s="597"/>
      <c r="CC27" s="404"/>
      <c r="CD27" s="404"/>
      <c r="CE27" s="404"/>
      <c r="CF27" s="404"/>
      <c r="CG27" s="404" t="s">
        <v>6867</v>
      </c>
      <c r="CH27" s="404"/>
      <c r="CI27" s="405"/>
      <c r="CJ27" s="549"/>
      <c r="CK27" s="549"/>
      <c r="CL27" s="382"/>
      <c r="CM27" s="667"/>
      <c r="CN27" s="667" t="s">
        <v>6877</v>
      </c>
      <c r="CO27" s="667"/>
      <c r="CP27" s="667"/>
      <c r="CQ27" s="667" t="s">
        <v>6878</v>
      </c>
      <c r="CR27" s="667" t="s">
        <v>6879</v>
      </c>
      <c r="CS27" s="465"/>
      <c r="CT27" s="439"/>
      <c r="CU27" s="549"/>
      <c r="CV27" s="610" t="s">
        <v>6928</v>
      </c>
      <c r="CW27" s="441" t="s">
        <v>6926</v>
      </c>
      <c r="CX27" s="1522">
        <v>1000</v>
      </c>
      <c r="CY27" s="1522">
        <v>1000</v>
      </c>
      <c r="CZ27" s="1522">
        <v>1000</v>
      </c>
      <c r="DA27" s="441" t="s">
        <v>6926</v>
      </c>
      <c r="DB27" s="441" t="s">
        <v>6926</v>
      </c>
      <c r="DC27" s="442" t="s">
        <v>6926</v>
      </c>
      <c r="DD27" s="549"/>
      <c r="DE27" s="547"/>
      <c r="DF27" s="384" t="s">
        <v>2209</v>
      </c>
      <c r="DG27" s="876">
        <v>30</v>
      </c>
      <c r="DH27" s="876">
        <v>32098</v>
      </c>
      <c r="DI27" s="876">
        <v>9830</v>
      </c>
      <c r="DJ27" s="876">
        <v>2439</v>
      </c>
      <c r="DK27" s="876">
        <v>810</v>
      </c>
      <c r="DL27" s="435" t="s">
        <v>2315</v>
      </c>
      <c r="DM27" s="435" t="s">
        <v>2315</v>
      </c>
      <c r="DP27" s="433" t="s">
        <v>6916</v>
      </c>
      <c r="DQ27" s="667" t="s">
        <v>6909</v>
      </c>
      <c r="DR27" s="667" t="s">
        <v>6910</v>
      </c>
      <c r="DS27" s="667" t="s">
        <v>6911</v>
      </c>
      <c r="DT27" s="667" t="s">
        <v>6911</v>
      </c>
      <c r="DU27" s="1521" t="s">
        <v>6912</v>
      </c>
      <c r="DV27" s="667" t="s">
        <v>6913</v>
      </c>
      <c r="DW27" s="465" t="s">
        <v>6914</v>
      </c>
    </row>
    <row r="28" spans="1:127" ht="12.95" customHeight="1">
      <c r="A28" s="398" t="s">
        <v>7032</v>
      </c>
      <c r="B28" s="398"/>
      <c r="C28" s="398"/>
      <c r="D28" s="398"/>
      <c r="E28" s="398"/>
      <c r="F28" s="387"/>
      <c r="G28" s="398"/>
      <c r="H28" s="398"/>
      <c r="I28" s="398"/>
      <c r="J28" s="398"/>
      <c r="K28" s="398"/>
      <c r="L28" s="398"/>
      <c r="M28" s="398"/>
      <c r="N28" s="515"/>
      <c r="Q28" s="386"/>
      <c r="R28" s="754"/>
      <c r="S28" s="754"/>
      <c r="T28" s="754"/>
      <c r="U28" s="754"/>
      <c r="V28" s="754"/>
      <c r="W28" s="398"/>
      <c r="X28" s="385"/>
      <c r="Y28" s="1279" t="s">
        <v>2895</v>
      </c>
      <c r="Z28" s="1523">
        <v>56</v>
      </c>
      <c r="AA28" s="1523">
        <v>30.9</v>
      </c>
      <c r="AB28" s="1523">
        <v>19.899999999999999</v>
      </c>
      <c r="AC28" s="1523">
        <v>11.1</v>
      </c>
      <c r="AD28" s="1523">
        <v>25</v>
      </c>
      <c r="AE28" s="1523"/>
      <c r="AF28" s="1540"/>
      <c r="AG28" s="1279" t="s">
        <v>2895</v>
      </c>
      <c r="AH28" s="1523">
        <v>66.900000000000006</v>
      </c>
      <c r="AI28" s="1523">
        <v>40.5</v>
      </c>
      <c r="AJ28" s="1523">
        <v>30.1</v>
      </c>
      <c r="AK28" s="1523">
        <v>10.4</v>
      </c>
      <c r="AL28" s="1523">
        <v>26.4</v>
      </c>
      <c r="AM28" s="1540"/>
      <c r="AN28" s="1540"/>
      <c r="AO28" s="1538" t="s">
        <v>7053</v>
      </c>
      <c r="AP28" s="928">
        <v>90</v>
      </c>
      <c r="AQ28" s="928">
        <v>120</v>
      </c>
      <c r="AR28" s="928">
        <v>100</v>
      </c>
      <c r="AS28" s="928">
        <v>170</v>
      </c>
      <c r="AT28" s="928">
        <v>170</v>
      </c>
      <c r="AU28" s="928">
        <v>160</v>
      </c>
      <c r="AV28" s="928"/>
      <c r="AW28" s="928"/>
      <c r="AX28" s="1538" t="s">
        <v>7054</v>
      </c>
      <c r="AY28" s="519" t="s">
        <v>2835</v>
      </c>
      <c r="AZ28" s="519" t="s">
        <v>2835</v>
      </c>
      <c r="BA28" s="519" t="s">
        <v>2835</v>
      </c>
      <c r="BB28" s="519" t="s">
        <v>2835</v>
      </c>
      <c r="BC28" s="519" t="s">
        <v>2835</v>
      </c>
      <c r="BD28" s="1541" t="s">
        <v>2835</v>
      </c>
      <c r="BE28" s="1541"/>
      <c r="BF28" s="1541"/>
      <c r="BG28" s="382" t="s">
        <v>6945</v>
      </c>
      <c r="BH28" s="382"/>
      <c r="BI28" s="382"/>
      <c r="BJ28" s="398"/>
      <c r="BK28" s="398"/>
      <c r="BL28" s="398"/>
      <c r="BM28" s="398"/>
      <c r="BN28" s="398"/>
      <c r="BO28" s="398"/>
      <c r="BP28" s="398"/>
      <c r="BQ28" s="547"/>
      <c r="BR28" s="398" t="s">
        <v>6985</v>
      </c>
      <c r="BS28" s="382"/>
      <c r="BT28" s="382"/>
      <c r="BU28" s="382"/>
      <c r="BV28" s="382"/>
      <c r="BW28" s="382"/>
      <c r="BX28" s="463"/>
      <c r="BY28" s="382"/>
      <c r="BZ28" s="549"/>
      <c r="CA28" s="549"/>
      <c r="CB28" s="493"/>
      <c r="CC28" s="667"/>
      <c r="CD28" s="667" t="s">
        <v>6877</v>
      </c>
      <c r="CE28" s="667"/>
      <c r="CF28" s="667"/>
      <c r="CG28" s="667" t="s">
        <v>6878</v>
      </c>
      <c r="CH28" s="667" t="s">
        <v>6879</v>
      </c>
      <c r="CI28" s="465"/>
      <c r="CJ28" s="549"/>
      <c r="CK28" s="549"/>
      <c r="CL28" s="523"/>
      <c r="CM28" s="667"/>
      <c r="CN28" s="667" t="s">
        <v>6884</v>
      </c>
      <c r="CO28" s="667"/>
      <c r="CP28" s="667" t="s">
        <v>6885</v>
      </c>
      <c r="CQ28" s="667" t="s">
        <v>6886</v>
      </c>
      <c r="CR28" s="667" t="s">
        <v>6887</v>
      </c>
      <c r="CS28" s="465" t="s">
        <v>6888</v>
      </c>
      <c r="CT28" s="439"/>
      <c r="CU28" s="549"/>
      <c r="CV28" s="382" t="s">
        <v>6933</v>
      </c>
      <c r="CW28" s="876">
        <v>3508</v>
      </c>
      <c r="CX28" s="876">
        <v>8465399</v>
      </c>
      <c r="CY28" s="876">
        <v>1630287</v>
      </c>
      <c r="CZ28" s="876">
        <v>396677</v>
      </c>
      <c r="DA28" s="876">
        <v>60539</v>
      </c>
      <c r="DB28" s="435" t="s">
        <v>2315</v>
      </c>
      <c r="DC28" s="435" t="s">
        <v>2315</v>
      </c>
      <c r="DD28" s="549"/>
      <c r="DE28" s="547"/>
      <c r="DF28" s="382" t="s">
        <v>6945</v>
      </c>
      <c r="DG28" s="415"/>
      <c r="DH28" s="415"/>
      <c r="DI28" s="415"/>
      <c r="DJ28" s="415"/>
      <c r="DK28" s="415"/>
      <c r="DL28" s="415"/>
      <c r="DM28" s="415"/>
      <c r="DP28" s="610" t="s">
        <v>6929</v>
      </c>
      <c r="DQ28" s="441" t="s">
        <v>6926</v>
      </c>
      <c r="DR28" s="1522">
        <v>1000</v>
      </c>
      <c r="DS28" s="1522">
        <v>1000</v>
      </c>
      <c r="DT28" s="1522">
        <v>1000</v>
      </c>
      <c r="DU28" s="441" t="s">
        <v>6926</v>
      </c>
      <c r="DV28" s="441" t="s">
        <v>6926</v>
      </c>
      <c r="DW28" s="442" t="s">
        <v>6926</v>
      </c>
    </row>
    <row r="29" spans="1:127" ht="12.95" customHeight="1">
      <c r="A29" s="709"/>
      <c r="B29" s="419" t="s">
        <v>6818</v>
      </c>
      <c r="C29" s="419" t="s">
        <v>6817</v>
      </c>
      <c r="D29" s="419" t="s">
        <v>6816</v>
      </c>
      <c r="E29" s="419" t="s">
        <v>6815</v>
      </c>
      <c r="F29" s="419" t="s">
        <v>6818</v>
      </c>
      <c r="G29" s="419" t="s">
        <v>6817</v>
      </c>
      <c r="H29" s="419" t="s">
        <v>6816</v>
      </c>
      <c r="I29" s="419" t="s">
        <v>6815</v>
      </c>
      <c r="J29" s="419" t="s">
        <v>6818</v>
      </c>
      <c r="K29" s="419" t="s">
        <v>6817</v>
      </c>
      <c r="L29" s="419" t="s">
        <v>6816</v>
      </c>
      <c r="M29" s="419" t="s">
        <v>6815</v>
      </c>
      <c r="N29" s="515"/>
      <c r="W29" s="398"/>
      <c r="X29" s="385"/>
      <c r="Y29" s="1279" t="s">
        <v>2862</v>
      </c>
      <c r="Z29" s="1523">
        <v>52</v>
      </c>
      <c r="AA29" s="1523">
        <v>28.3</v>
      </c>
      <c r="AB29" s="1523">
        <v>15.9</v>
      </c>
      <c r="AC29" s="1523">
        <v>12.4</v>
      </c>
      <c r="AD29" s="1523">
        <v>23.7</v>
      </c>
      <c r="AE29" s="1523"/>
      <c r="AF29" s="1540"/>
      <c r="AG29" s="1279" t="s">
        <v>2862</v>
      </c>
      <c r="AH29" s="1523">
        <v>11.7</v>
      </c>
      <c r="AI29" s="1523">
        <v>7.9</v>
      </c>
      <c r="AJ29" s="1523">
        <v>4.7</v>
      </c>
      <c r="AK29" s="1523">
        <v>3.2</v>
      </c>
      <c r="AL29" s="1523">
        <v>3.8</v>
      </c>
      <c r="AM29" s="1540"/>
      <c r="AN29" s="1540"/>
      <c r="AO29" s="1540"/>
      <c r="AP29" s="1540"/>
      <c r="AQ29" s="1540"/>
      <c r="AR29" s="1540"/>
      <c r="AS29" s="1540"/>
      <c r="AT29" s="1540"/>
      <c r="AU29" s="1540"/>
      <c r="AV29" s="1540"/>
      <c r="AW29" s="1540"/>
      <c r="AX29" s="1538" t="s">
        <v>7055</v>
      </c>
      <c r="AY29" s="1543">
        <v>140</v>
      </c>
      <c r="AZ29" s="1543">
        <v>220</v>
      </c>
      <c r="BA29" s="1543">
        <v>240</v>
      </c>
      <c r="BB29" s="1543">
        <v>170</v>
      </c>
      <c r="BC29" s="1543">
        <v>170</v>
      </c>
      <c r="BD29" s="1543">
        <v>210</v>
      </c>
      <c r="BE29" s="1543"/>
      <c r="BF29" s="515"/>
      <c r="BG29" s="382" t="s">
        <v>6953</v>
      </c>
      <c r="BH29" s="382"/>
      <c r="BI29" s="382"/>
      <c r="BJ29" s="398"/>
      <c r="BK29" s="398"/>
      <c r="BL29" s="439"/>
      <c r="BM29" s="439"/>
      <c r="BN29" s="439"/>
      <c r="BO29" s="439"/>
      <c r="BP29" s="439"/>
      <c r="BQ29" s="547"/>
      <c r="BR29" s="398"/>
      <c r="BS29" s="382"/>
      <c r="BT29" s="382"/>
      <c r="BU29" s="382"/>
      <c r="BV29" s="382"/>
      <c r="BW29" s="382"/>
      <c r="BX29" s="463"/>
      <c r="BY29" s="382"/>
      <c r="CB29" s="493" t="s">
        <v>6889</v>
      </c>
      <c r="CC29" s="667"/>
      <c r="CD29" s="667" t="s">
        <v>6884</v>
      </c>
      <c r="CE29" s="667"/>
      <c r="CF29" s="667" t="s">
        <v>6885</v>
      </c>
      <c r="CG29" s="667" t="s">
        <v>6886</v>
      </c>
      <c r="CH29" s="667" t="s">
        <v>6887</v>
      </c>
      <c r="CI29" s="465" t="s">
        <v>6888</v>
      </c>
      <c r="CL29" s="433" t="s">
        <v>6901</v>
      </c>
      <c r="CM29" s="667" t="s">
        <v>6894</v>
      </c>
      <c r="CN29" s="667" t="s">
        <v>6895</v>
      </c>
      <c r="CO29" s="667" t="s">
        <v>119</v>
      </c>
      <c r="CP29" s="667" t="s">
        <v>6896</v>
      </c>
      <c r="CQ29" s="667" t="s">
        <v>6897</v>
      </c>
      <c r="CR29" s="667" t="s">
        <v>6898</v>
      </c>
      <c r="CS29" s="465" t="s">
        <v>6899</v>
      </c>
      <c r="CT29" s="439"/>
      <c r="CV29" s="382" t="s">
        <v>6940</v>
      </c>
      <c r="CW29" s="876">
        <v>141</v>
      </c>
      <c r="CX29" s="933">
        <v>26875</v>
      </c>
      <c r="CY29" s="933">
        <v>5333</v>
      </c>
      <c r="CZ29" s="933">
        <v>30</v>
      </c>
      <c r="DA29" s="933">
        <v>1</v>
      </c>
      <c r="DB29" s="435" t="s">
        <v>2315</v>
      </c>
      <c r="DC29" s="435" t="s">
        <v>2315</v>
      </c>
      <c r="DE29" s="547"/>
      <c r="DF29" s="382" t="s">
        <v>6988</v>
      </c>
      <c r="DG29" s="382"/>
      <c r="DH29" s="382"/>
      <c r="DI29" s="382"/>
      <c r="DJ29" s="382"/>
      <c r="DK29" s="382"/>
      <c r="DL29" s="382"/>
      <c r="DM29" s="382"/>
      <c r="DP29" s="382" t="s">
        <v>6933</v>
      </c>
      <c r="DQ29" s="876">
        <f>SUM(DQ30:DQ34)</f>
        <v>3508</v>
      </c>
      <c r="DR29" s="876">
        <v>8465399</v>
      </c>
      <c r="DS29" s="876">
        <v>1630287</v>
      </c>
      <c r="DT29" s="876">
        <v>396677</v>
      </c>
      <c r="DU29" s="876">
        <v>60539</v>
      </c>
      <c r="DV29" s="435" t="s">
        <v>2315</v>
      </c>
      <c r="DW29" s="435" t="s">
        <v>2315</v>
      </c>
    </row>
    <row r="30" spans="1:127" ht="12.95" customHeight="1">
      <c r="A30" s="384" t="s">
        <v>6868</v>
      </c>
      <c r="B30" s="458" t="s">
        <v>7041</v>
      </c>
      <c r="C30" s="458" t="s">
        <v>7041</v>
      </c>
      <c r="D30" s="458" t="s">
        <v>7041</v>
      </c>
      <c r="E30" s="458" t="s">
        <v>7041</v>
      </c>
      <c r="F30" s="458" t="s">
        <v>7042</v>
      </c>
      <c r="G30" s="458" t="s">
        <v>7042</v>
      </c>
      <c r="H30" s="458" t="s">
        <v>7042</v>
      </c>
      <c r="I30" s="458" t="s">
        <v>7042</v>
      </c>
      <c r="J30" s="458" t="s">
        <v>7043</v>
      </c>
      <c r="K30" s="458" t="s">
        <v>7043</v>
      </c>
      <c r="L30" s="458" t="s">
        <v>7043</v>
      </c>
      <c r="M30" s="458" t="s">
        <v>7043</v>
      </c>
      <c r="N30" s="515"/>
      <c r="W30" s="398"/>
      <c r="X30" s="385"/>
      <c r="Y30" s="1279" t="s">
        <v>2947</v>
      </c>
      <c r="Z30" s="1523">
        <v>11.5</v>
      </c>
      <c r="AA30" s="1523">
        <v>6.3</v>
      </c>
      <c r="AB30" s="1523">
        <v>4.2</v>
      </c>
      <c r="AC30" s="1523">
        <v>2.1</v>
      </c>
      <c r="AD30" s="1523">
        <v>5.2</v>
      </c>
      <c r="AE30" s="1523"/>
      <c r="AF30" s="1540"/>
      <c r="AG30" s="1279" t="s">
        <v>2947</v>
      </c>
      <c r="AH30" s="1523">
        <v>10.199999999999999</v>
      </c>
      <c r="AI30" s="1523">
        <v>5.0999999999999996</v>
      </c>
      <c r="AJ30" s="1523">
        <v>3.6</v>
      </c>
      <c r="AK30" s="1523">
        <v>1.5</v>
      </c>
      <c r="AL30" s="1523">
        <v>5</v>
      </c>
      <c r="AM30" s="1540"/>
      <c r="AN30" s="1540"/>
      <c r="AO30" s="1538" t="s">
        <v>7056</v>
      </c>
      <c r="AP30" s="1538"/>
      <c r="AQ30" s="1538"/>
      <c r="AR30" s="1538"/>
      <c r="AS30" s="1538"/>
      <c r="AT30" s="1538"/>
      <c r="AU30" s="1538"/>
      <c r="AV30" s="1538"/>
      <c r="AW30" s="1538"/>
      <c r="AX30" s="1538" t="s">
        <v>7057</v>
      </c>
      <c r="AY30" s="519" t="s">
        <v>2835</v>
      </c>
      <c r="AZ30" s="757" t="s">
        <v>2835</v>
      </c>
      <c r="BA30" s="757" t="s">
        <v>2835</v>
      </c>
      <c r="BB30" s="757" t="s">
        <v>2835</v>
      </c>
      <c r="BC30" s="757" t="s">
        <v>2835</v>
      </c>
      <c r="BD30" s="757" t="s">
        <v>2835</v>
      </c>
      <c r="BE30" s="757"/>
      <c r="BF30" s="757"/>
      <c r="BG30" s="382" t="s">
        <v>6962</v>
      </c>
      <c r="BH30" s="382"/>
      <c r="BI30" s="382"/>
      <c r="BJ30" s="439"/>
      <c r="BK30" s="439"/>
      <c r="BL30" s="439"/>
      <c r="BM30" s="439"/>
      <c r="BN30" s="439"/>
      <c r="BO30" s="439"/>
      <c r="BP30" s="439"/>
      <c r="BQ30" s="547"/>
      <c r="BV30" s="1529"/>
      <c r="BX30" s="1529"/>
      <c r="CB30" s="493" t="s">
        <v>6900</v>
      </c>
      <c r="CC30" s="667" t="s">
        <v>6894</v>
      </c>
      <c r="CD30" s="667" t="s">
        <v>6895</v>
      </c>
      <c r="CE30" s="667" t="s">
        <v>119</v>
      </c>
      <c r="CF30" s="667" t="s">
        <v>6896</v>
      </c>
      <c r="CG30" s="667" t="s">
        <v>6897</v>
      </c>
      <c r="CH30" s="667" t="s">
        <v>6898</v>
      </c>
      <c r="CI30" s="465" t="s">
        <v>6899</v>
      </c>
      <c r="CL30" s="433" t="s">
        <v>6915</v>
      </c>
      <c r="CM30" s="667" t="s">
        <v>6909</v>
      </c>
      <c r="CN30" s="667" t="s">
        <v>6910</v>
      </c>
      <c r="CO30" s="667" t="s">
        <v>6911</v>
      </c>
      <c r="CP30" s="667" t="s">
        <v>6911</v>
      </c>
      <c r="CQ30" s="1521" t="s">
        <v>6912</v>
      </c>
      <c r="CR30" s="667" t="s">
        <v>6913</v>
      </c>
      <c r="CS30" s="465" t="s">
        <v>6914</v>
      </c>
      <c r="CT30" s="439"/>
      <c r="CV30" s="382" t="s">
        <v>6948</v>
      </c>
      <c r="CW30" s="933">
        <v>1302</v>
      </c>
      <c r="CX30" s="933">
        <v>401481</v>
      </c>
      <c r="CY30" s="933">
        <v>72815</v>
      </c>
      <c r="CZ30" s="933">
        <v>17661</v>
      </c>
      <c r="DA30" s="933">
        <v>2995</v>
      </c>
      <c r="DB30" s="435" t="s">
        <v>2315</v>
      </c>
      <c r="DC30" s="435" t="s">
        <v>2315</v>
      </c>
      <c r="DE30" s="547"/>
      <c r="DF30" s="398" t="s">
        <v>6985</v>
      </c>
      <c r="DG30" s="382"/>
      <c r="DH30" s="382"/>
      <c r="DI30" s="382"/>
      <c r="DJ30" s="382"/>
      <c r="DK30" s="463"/>
      <c r="DL30" s="382"/>
      <c r="DM30" s="382"/>
      <c r="DP30" s="382" t="s">
        <v>6941</v>
      </c>
      <c r="DQ30" s="876">
        <v>391</v>
      </c>
      <c r="DR30" s="933">
        <v>856315</v>
      </c>
      <c r="DS30" s="933">
        <v>195405</v>
      </c>
      <c r="DT30" s="933">
        <v>46531</v>
      </c>
      <c r="DU30" s="933">
        <v>7538</v>
      </c>
      <c r="DV30" s="435" t="s">
        <v>2315</v>
      </c>
      <c r="DW30" s="435" t="s">
        <v>2315</v>
      </c>
    </row>
    <row r="31" spans="1:127" ht="12.95" customHeight="1">
      <c r="A31" s="709" t="s">
        <v>6880</v>
      </c>
      <c r="B31" s="515">
        <v>62190</v>
      </c>
      <c r="C31" s="515">
        <v>61760</v>
      </c>
      <c r="D31" s="515">
        <v>30340</v>
      </c>
      <c r="E31" s="1518">
        <v>60070</v>
      </c>
      <c r="F31" s="515">
        <v>59950</v>
      </c>
      <c r="G31" s="515">
        <v>59000</v>
      </c>
      <c r="H31" s="515">
        <v>60840</v>
      </c>
      <c r="I31" s="515">
        <v>67730</v>
      </c>
      <c r="J31" s="515">
        <v>67580</v>
      </c>
      <c r="K31" s="515">
        <v>66810</v>
      </c>
      <c r="L31" s="515">
        <v>65640</v>
      </c>
      <c r="M31" s="515">
        <v>65910</v>
      </c>
      <c r="N31" s="515"/>
      <c r="Q31" s="398" t="s">
        <v>7058</v>
      </c>
      <c r="R31" s="398"/>
      <c r="S31" s="398"/>
      <c r="T31" s="398"/>
      <c r="U31" s="398"/>
      <c r="V31" s="398"/>
      <c r="W31" s="398"/>
      <c r="X31" s="385"/>
      <c r="Y31" s="1279" t="s">
        <v>2914</v>
      </c>
      <c r="Z31" s="1523">
        <v>17.100000000000001</v>
      </c>
      <c r="AA31" s="1523">
        <v>9.1</v>
      </c>
      <c r="AB31" s="1523">
        <v>5.7</v>
      </c>
      <c r="AC31" s="1523">
        <v>3.5</v>
      </c>
      <c r="AD31" s="1523">
        <v>7.9</v>
      </c>
      <c r="AE31" s="1523"/>
      <c r="AF31" s="1540"/>
      <c r="AG31" s="1279" t="s">
        <v>2914</v>
      </c>
      <c r="AH31" s="1523">
        <v>19.3</v>
      </c>
      <c r="AI31" s="1523">
        <v>11.6</v>
      </c>
      <c r="AJ31" s="1523">
        <v>8</v>
      </c>
      <c r="AK31" s="1523">
        <v>3.5</v>
      </c>
      <c r="AL31" s="1523">
        <v>7.7</v>
      </c>
      <c r="AM31" s="1540"/>
      <c r="AN31" s="1540"/>
      <c r="AO31" s="1538" t="s">
        <v>7059</v>
      </c>
      <c r="AP31" s="928">
        <v>50</v>
      </c>
      <c r="AQ31" s="928">
        <v>80</v>
      </c>
      <c r="AR31" s="928">
        <v>90</v>
      </c>
      <c r="AS31" s="928">
        <v>90</v>
      </c>
      <c r="AT31" s="928">
        <v>80</v>
      </c>
      <c r="AU31" s="928">
        <v>60</v>
      </c>
      <c r="AV31" s="928"/>
      <c r="AW31" s="928"/>
      <c r="AX31" s="1538" t="s">
        <v>7060</v>
      </c>
      <c r="AY31" s="928">
        <v>130</v>
      </c>
      <c r="AZ31" s="928">
        <v>130</v>
      </c>
      <c r="BA31" s="928">
        <v>130</v>
      </c>
      <c r="BB31" s="928">
        <v>160</v>
      </c>
      <c r="BC31" s="928">
        <v>110</v>
      </c>
      <c r="BD31" s="928">
        <v>110</v>
      </c>
      <c r="BE31" s="928"/>
      <c r="BF31" s="515"/>
      <c r="BG31" s="1525" t="s">
        <v>1629</v>
      </c>
      <c r="BH31" s="1525"/>
      <c r="BI31" s="1525"/>
      <c r="BJ31" s="398"/>
      <c r="BK31" s="398"/>
      <c r="BL31" s="398"/>
      <c r="BM31" s="398"/>
      <c r="BN31" s="398"/>
      <c r="BO31" s="398"/>
      <c r="BP31" s="398"/>
      <c r="BQ31" s="547"/>
      <c r="CB31" s="493"/>
      <c r="CC31" s="667" t="s">
        <v>6909</v>
      </c>
      <c r="CD31" s="667" t="s">
        <v>6910</v>
      </c>
      <c r="CE31" s="667" t="s">
        <v>6911</v>
      </c>
      <c r="CF31" s="667" t="s">
        <v>6911</v>
      </c>
      <c r="CG31" s="1521" t="s">
        <v>6912</v>
      </c>
      <c r="CH31" s="667" t="s">
        <v>6913</v>
      </c>
      <c r="CI31" s="465" t="s">
        <v>6914</v>
      </c>
      <c r="CL31" s="610" t="s">
        <v>6928</v>
      </c>
      <c r="CM31" s="441" t="s">
        <v>6926</v>
      </c>
      <c r="CN31" s="1522">
        <v>1000</v>
      </c>
      <c r="CO31" s="1522">
        <v>1000</v>
      </c>
      <c r="CP31" s="1522">
        <v>1000</v>
      </c>
      <c r="CQ31" s="441" t="s">
        <v>6926</v>
      </c>
      <c r="CR31" s="441" t="s">
        <v>6926</v>
      </c>
      <c r="CS31" s="442" t="s">
        <v>6926</v>
      </c>
      <c r="CT31" s="435"/>
      <c r="CV31" s="382" t="s">
        <v>6957</v>
      </c>
      <c r="CW31" s="933">
        <v>817</v>
      </c>
      <c r="CX31" s="933">
        <v>664905</v>
      </c>
      <c r="CY31" s="933">
        <v>129662</v>
      </c>
      <c r="CZ31" s="933">
        <v>31679</v>
      </c>
      <c r="DA31" s="933">
        <v>5493</v>
      </c>
      <c r="DB31" s="435" t="s">
        <v>2315</v>
      </c>
      <c r="DC31" s="435" t="s">
        <v>2315</v>
      </c>
      <c r="DE31" s="547"/>
      <c r="DF31" s="398"/>
      <c r="DG31" s="382"/>
      <c r="DH31" s="382"/>
      <c r="DI31" s="382"/>
      <c r="DJ31" s="382"/>
      <c r="DK31" s="463"/>
      <c r="DL31" s="382"/>
      <c r="DM31" s="382"/>
      <c r="DP31" s="382" t="s">
        <v>6949</v>
      </c>
      <c r="DQ31" s="933">
        <v>593</v>
      </c>
      <c r="DR31" s="933">
        <v>1554513</v>
      </c>
      <c r="DS31" s="933">
        <v>313760</v>
      </c>
      <c r="DT31" s="933">
        <v>76744</v>
      </c>
      <c r="DU31" s="933">
        <v>11300</v>
      </c>
      <c r="DV31" s="435" t="s">
        <v>2315</v>
      </c>
      <c r="DW31" s="435" t="s">
        <v>2315</v>
      </c>
    </row>
    <row r="32" spans="1:127" ht="12.95" customHeight="1">
      <c r="A32" s="398" t="s">
        <v>6890</v>
      </c>
      <c r="B32" s="515">
        <v>46210</v>
      </c>
      <c r="C32" s="515">
        <v>45900</v>
      </c>
      <c r="D32" s="515">
        <v>45320</v>
      </c>
      <c r="E32" s="1518">
        <v>44400</v>
      </c>
      <c r="F32" s="515">
        <v>44150</v>
      </c>
      <c r="G32" s="515">
        <v>43460</v>
      </c>
      <c r="H32" s="515">
        <v>45730</v>
      </c>
      <c r="I32" s="515">
        <v>51600</v>
      </c>
      <c r="J32" s="515">
        <v>51960</v>
      </c>
      <c r="K32" s="515">
        <v>51430</v>
      </c>
      <c r="L32" s="515">
        <v>51020</v>
      </c>
      <c r="M32" s="515">
        <v>50500</v>
      </c>
      <c r="N32" s="515"/>
      <c r="Q32" s="386" t="s">
        <v>4437</v>
      </c>
      <c r="R32" s="387"/>
      <c r="S32" s="398"/>
      <c r="T32" s="398"/>
      <c r="U32" s="398"/>
      <c r="V32" s="398"/>
      <c r="W32" s="398"/>
      <c r="X32" s="385"/>
      <c r="Y32" s="1279" t="s">
        <v>2831</v>
      </c>
      <c r="Z32" s="1523">
        <v>36.6</v>
      </c>
      <c r="AA32" s="1523">
        <v>22.5</v>
      </c>
      <c r="AB32" s="1523">
        <v>10.4</v>
      </c>
      <c r="AC32" s="1523">
        <v>12</v>
      </c>
      <c r="AD32" s="1523">
        <v>14.2</v>
      </c>
      <c r="AE32" s="1523"/>
      <c r="AF32" s="1540"/>
      <c r="AG32" s="1279" t="s">
        <v>2831</v>
      </c>
      <c r="AH32" s="1523">
        <v>29.8</v>
      </c>
      <c r="AI32" s="1523">
        <v>18.5</v>
      </c>
      <c r="AJ32" s="1523">
        <v>11</v>
      </c>
      <c r="AK32" s="1523">
        <v>7.5</v>
      </c>
      <c r="AL32" s="1523">
        <v>11.3</v>
      </c>
      <c r="AM32" s="1540"/>
      <c r="AN32" s="1540"/>
      <c r="AO32" s="1538" t="s">
        <v>7063</v>
      </c>
      <c r="AP32" s="928">
        <v>80</v>
      </c>
      <c r="AQ32" s="928">
        <v>150</v>
      </c>
      <c r="AR32" s="928">
        <v>160</v>
      </c>
      <c r="AS32" s="928">
        <v>130</v>
      </c>
      <c r="AT32" s="928">
        <v>170</v>
      </c>
      <c r="AU32" s="928">
        <v>150</v>
      </c>
      <c r="AV32" s="928"/>
      <c r="AW32" s="928"/>
      <c r="AX32" s="1540"/>
      <c r="AY32" s="1540"/>
      <c r="AZ32" s="1540"/>
      <c r="BA32" s="1540"/>
      <c r="BB32" s="1540"/>
      <c r="BC32" s="1540"/>
      <c r="BD32" s="1540"/>
      <c r="BE32" s="1540"/>
      <c r="BF32" s="515"/>
      <c r="BG32" s="398" t="s">
        <v>6985</v>
      </c>
      <c r="BH32" s="398"/>
      <c r="BI32" s="398"/>
      <c r="BJ32" s="398"/>
      <c r="BK32" s="398"/>
      <c r="BL32" s="398"/>
      <c r="BM32" s="398"/>
      <c r="BN32" s="398"/>
      <c r="BO32" s="398"/>
      <c r="BP32" s="398"/>
      <c r="BQ32" s="547"/>
      <c r="BR32" s="382" t="s">
        <v>7061</v>
      </c>
      <c r="BS32" s="382"/>
      <c r="BT32" s="382"/>
      <c r="BU32" s="382"/>
      <c r="BV32" s="382"/>
      <c r="BW32" s="382"/>
      <c r="BX32" s="382"/>
      <c r="BY32" s="382"/>
      <c r="CB32" s="610" t="s">
        <v>6927</v>
      </c>
      <c r="CC32" s="441" t="s">
        <v>6926</v>
      </c>
      <c r="CD32" s="1522">
        <v>1000</v>
      </c>
      <c r="CE32" s="1522">
        <v>1000</v>
      </c>
      <c r="CF32" s="1522">
        <v>1000</v>
      </c>
      <c r="CG32" s="441" t="s">
        <v>6926</v>
      </c>
      <c r="CH32" s="441" t="s">
        <v>6926</v>
      </c>
      <c r="CI32" s="442" t="s">
        <v>6926</v>
      </c>
      <c r="CL32" s="382" t="s">
        <v>6933</v>
      </c>
      <c r="CM32" s="463">
        <v>3508</v>
      </c>
      <c r="CN32" s="463">
        <v>8465399</v>
      </c>
      <c r="CO32" s="463">
        <v>1630287</v>
      </c>
      <c r="CP32" s="463">
        <v>396677</v>
      </c>
      <c r="CQ32" s="463">
        <v>60539</v>
      </c>
      <c r="CR32" s="435" t="s">
        <v>2315</v>
      </c>
      <c r="CS32" s="435" t="s">
        <v>2315</v>
      </c>
      <c r="CT32" s="435"/>
      <c r="CV32" s="382" t="s">
        <v>6966</v>
      </c>
      <c r="CW32" s="933">
        <v>623</v>
      </c>
      <c r="CX32" s="933">
        <v>991597</v>
      </c>
      <c r="CY32" s="933">
        <v>206979</v>
      </c>
      <c r="CZ32" s="933">
        <v>50635</v>
      </c>
      <c r="DA32" s="933">
        <v>8563</v>
      </c>
      <c r="DB32" s="435" t="s">
        <v>2315</v>
      </c>
      <c r="DC32" s="435" t="s">
        <v>2315</v>
      </c>
      <c r="DE32" s="547"/>
      <c r="DF32" s="827"/>
      <c r="DG32" s="515"/>
      <c r="DH32" s="398"/>
      <c r="DI32" s="398"/>
      <c r="DJ32" s="398"/>
      <c r="DK32" s="398"/>
      <c r="DL32" s="398"/>
      <c r="DM32" s="398"/>
      <c r="DP32" s="382" t="s">
        <v>6958</v>
      </c>
      <c r="DQ32" s="933">
        <v>1017</v>
      </c>
      <c r="DR32" s="933">
        <v>1155565</v>
      </c>
      <c r="DS32" s="933">
        <v>240330</v>
      </c>
      <c r="DT32" s="933">
        <v>58367</v>
      </c>
      <c r="DU32" s="933">
        <v>10640</v>
      </c>
      <c r="DV32" s="435" t="s">
        <v>2315</v>
      </c>
      <c r="DW32" s="435" t="s">
        <v>2315</v>
      </c>
    </row>
    <row r="33" spans="1:127" ht="12.95" customHeight="1">
      <c r="A33" s="398" t="s">
        <v>6902</v>
      </c>
      <c r="B33" s="515">
        <v>310</v>
      </c>
      <c r="C33" s="515">
        <v>290</v>
      </c>
      <c r="D33" s="515">
        <v>300</v>
      </c>
      <c r="E33" s="1518">
        <v>300</v>
      </c>
      <c r="F33" s="515">
        <v>300</v>
      </c>
      <c r="G33" s="515">
        <v>270</v>
      </c>
      <c r="H33" s="515">
        <v>250</v>
      </c>
      <c r="I33" s="515">
        <v>210</v>
      </c>
      <c r="J33" s="515">
        <v>230</v>
      </c>
      <c r="K33" s="515">
        <v>320</v>
      </c>
      <c r="L33" s="515">
        <v>320</v>
      </c>
      <c r="M33" s="515">
        <v>330</v>
      </c>
      <c r="N33" s="515"/>
      <c r="Q33" s="911" t="s">
        <v>7064</v>
      </c>
      <c r="R33" s="728">
        <v>2024</v>
      </c>
      <c r="S33" s="728">
        <v>2023</v>
      </c>
      <c r="T33" s="728">
        <v>2022</v>
      </c>
      <c r="U33" s="728">
        <v>2021</v>
      </c>
      <c r="V33" s="729">
        <v>2020</v>
      </c>
      <c r="W33" s="398"/>
      <c r="X33" s="385"/>
      <c r="Y33" s="1279" t="s">
        <v>2887</v>
      </c>
      <c r="Z33" s="1523">
        <v>66.8</v>
      </c>
      <c r="AA33" s="1523">
        <v>43.7</v>
      </c>
      <c r="AB33" s="1523">
        <v>29.3</v>
      </c>
      <c r="AC33" s="1523">
        <v>14.4</v>
      </c>
      <c r="AD33" s="1523">
        <v>23</v>
      </c>
      <c r="AE33" s="1523"/>
      <c r="AF33" s="1540"/>
      <c r="AG33" s="1279" t="s">
        <v>2887</v>
      </c>
      <c r="AH33" s="1523">
        <v>75.8</v>
      </c>
      <c r="AI33" s="1523">
        <v>54.2</v>
      </c>
      <c r="AJ33" s="1523">
        <v>41.9</v>
      </c>
      <c r="AK33" s="1523">
        <v>12.3</v>
      </c>
      <c r="AL33" s="1523">
        <v>21.5</v>
      </c>
      <c r="AM33" s="1540"/>
      <c r="AN33" s="1540"/>
      <c r="AO33" s="398" t="s">
        <v>7065</v>
      </c>
      <c r="AP33" s="398">
        <v>180</v>
      </c>
      <c r="AQ33" s="398">
        <v>250</v>
      </c>
      <c r="AR33" s="398">
        <v>260</v>
      </c>
      <c r="AS33" s="398">
        <v>240</v>
      </c>
      <c r="AT33" s="398">
        <v>290</v>
      </c>
      <c r="AU33" s="398">
        <v>290</v>
      </c>
      <c r="AV33" s="398"/>
      <c r="AW33" s="928"/>
      <c r="AX33" s="1538" t="s">
        <v>7066</v>
      </c>
      <c r="AY33" s="1538"/>
      <c r="AZ33" s="1538"/>
      <c r="BA33" s="1538"/>
      <c r="BB33" s="1538"/>
      <c r="BC33" s="1538"/>
      <c r="BD33" s="1538"/>
      <c r="BE33" s="1538"/>
      <c r="BF33" s="515"/>
      <c r="BQ33" s="547"/>
      <c r="BR33" s="597"/>
      <c r="BS33" s="404"/>
      <c r="BT33" s="404"/>
      <c r="BU33" s="404"/>
      <c r="BV33" s="404"/>
      <c r="BW33" s="404" t="s">
        <v>6867</v>
      </c>
      <c r="BX33" s="404"/>
      <c r="BY33" s="405"/>
      <c r="BZ33" s="549"/>
      <c r="CA33" s="549"/>
      <c r="CB33" s="382" t="s">
        <v>6933</v>
      </c>
      <c r="CC33" s="463">
        <v>3508</v>
      </c>
      <c r="CD33" s="463">
        <v>8465399</v>
      </c>
      <c r="CE33" s="463">
        <v>1630287</v>
      </c>
      <c r="CF33" s="463">
        <v>396677</v>
      </c>
      <c r="CG33" s="463">
        <v>60539</v>
      </c>
      <c r="CH33" s="435" t="s">
        <v>2315</v>
      </c>
      <c r="CI33" s="435" t="s">
        <v>2315</v>
      </c>
      <c r="CJ33" s="549"/>
      <c r="CK33" s="549"/>
      <c r="CL33" s="382" t="s">
        <v>6939</v>
      </c>
      <c r="CM33" s="463">
        <v>38</v>
      </c>
      <c r="CN33" s="435">
        <v>59</v>
      </c>
      <c r="CO33" s="435">
        <v>9332</v>
      </c>
      <c r="CP33" s="435">
        <v>1987</v>
      </c>
      <c r="CQ33" s="435">
        <v>271</v>
      </c>
      <c r="CR33" s="435" t="s">
        <v>2315</v>
      </c>
      <c r="CS33" s="435" t="s">
        <v>2315</v>
      </c>
      <c r="CT33" s="435"/>
      <c r="CU33" s="549"/>
      <c r="CV33" s="381" t="s">
        <v>6973</v>
      </c>
      <c r="CW33" s="876">
        <v>625</v>
      </c>
      <c r="CX33" s="876">
        <v>6380543</v>
      </c>
      <c r="CY33" s="876">
        <v>1215500</v>
      </c>
      <c r="CZ33" s="876">
        <v>296672</v>
      </c>
      <c r="DA33" s="876">
        <v>43487</v>
      </c>
      <c r="DB33" s="435" t="s">
        <v>2315</v>
      </c>
      <c r="DC33" s="435" t="s">
        <v>2315</v>
      </c>
      <c r="DD33" s="549"/>
      <c r="DE33" s="547"/>
      <c r="DG33" s="515"/>
      <c r="DH33" s="398"/>
      <c r="DI33" s="398"/>
      <c r="DJ33" s="515"/>
      <c r="DK33" s="515"/>
      <c r="DL33" s="398"/>
      <c r="DM33" s="398"/>
      <c r="DP33" s="382" t="s">
        <v>6967</v>
      </c>
      <c r="DQ33" s="933">
        <v>384</v>
      </c>
      <c r="DR33" s="933">
        <v>1384321</v>
      </c>
      <c r="DS33" s="933">
        <v>263434</v>
      </c>
      <c r="DT33" s="933">
        <v>63604</v>
      </c>
      <c r="DU33" s="933">
        <v>10052</v>
      </c>
      <c r="DV33" s="435" t="s">
        <v>2315</v>
      </c>
      <c r="DW33" s="435" t="s">
        <v>2315</v>
      </c>
    </row>
    <row r="34" spans="1:127" ht="12.95" customHeight="1">
      <c r="A34" s="398" t="s">
        <v>6917</v>
      </c>
      <c r="B34" s="515">
        <v>9480</v>
      </c>
      <c r="C34" s="515">
        <v>9020</v>
      </c>
      <c r="D34" s="515">
        <v>8900</v>
      </c>
      <c r="E34" s="1518">
        <v>8590</v>
      </c>
      <c r="F34" s="515">
        <v>8330</v>
      </c>
      <c r="G34" s="515">
        <v>7860</v>
      </c>
      <c r="H34" s="515">
        <v>7980</v>
      </c>
      <c r="I34" s="515">
        <v>7850</v>
      </c>
      <c r="J34" s="515">
        <v>7350</v>
      </c>
      <c r="K34" s="515">
        <v>6820</v>
      </c>
      <c r="L34" s="515">
        <v>6540</v>
      </c>
      <c r="M34" s="515">
        <v>6200</v>
      </c>
      <c r="N34" s="515"/>
      <c r="Q34" s="398" t="s">
        <v>3502</v>
      </c>
      <c r="R34" s="1544">
        <v>18.52</v>
      </c>
      <c r="S34" s="1544">
        <v>17.95</v>
      </c>
      <c r="T34" s="1544">
        <v>16.93</v>
      </c>
      <c r="U34" s="1544">
        <v>16.350000000000001</v>
      </c>
      <c r="V34" s="1544">
        <v>16.61</v>
      </c>
      <c r="X34" s="385"/>
      <c r="Y34" s="398" t="s">
        <v>2906</v>
      </c>
      <c r="Z34" s="862" t="s">
        <v>1098</v>
      </c>
      <c r="AA34" s="862" t="s">
        <v>1098</v>
      </c>
      <c r="AB34" s="862" t="s">
        <v>1098</v>
      </c>
      <c r="AC34" s="862" t="s">
        <v>1098</v>
      </c>
      <c r="AD34" s="862" t="s">
        <v>1098</v>
      </c>
      <c r="AE34" s="1523"/>
      <c r="AF34" s="1540"/>
      <c r="AG34" s="398" t="s">
        <v>2906</v>
      </c>
      <c r="AH34" s="1523">
        <v>13.2</v>
      </c>
      <c r="AI34" s="1523">
        <v>8</v>
      </c>
      <c r="AJ34" s="1523">
        <v>6</v>
      </c>
      <c r="AK34" s="1523">
        <v>2</v>
      </c>
      <c r="AL34" s="1523">
        <v>5.2</v>
      </c>
      <c r="AM34" s="1540"/>
      <c r="AN34" s="1540"/>
      <c r="AO34" s="398" t="s">
        <v>7067</v>
      </c>
      <c r="AP34" s="398">
        <v>160</v>
      </c>
      <c r="AQ34" s="398">
        <v>230</v>
      </c>
      <c r="AR34" s="398">
        <v>220</v>
      </c>
      <c r="AS34" s="398">
        <v>240</v>
      </c>
      <c r="AT34" s="398">
        <v>180</v>
      </c>
      <c r="AU34" s="398">
        <v>230</v>
      </c>
      <c r="AV34" s="398"/>
      <c r="AW34" s="928"/>
      <c r="AX34" s="1538" t="s">
        <v>7068</v>
      </c>
      <c r="AY34" s="385">
        <v>50</v>
      </c>
      <c r="AZ34" s="385">
        <v>60</v>
      </c>
      <c r="BA34" s="385">
        <v>90</v>
      </c>
      <c r="BB34" s="385">
        <v>60</v>
      </c>
      <c r="BC34" s="385">
        <v>70</v>
      </c>
      <c r="BD34" s="385">
        <v>70</v>
      </c>
      <c r="BE34" s="385"/>
      <c r="BF34" s="515"/>
      <c r="BQ34" s="547"/>
      <c r="BR34" s="493"/>
      <c r="BS34" s="667"/>
      <c r="BT34" s="667" t="s">
        <v>6877</v>
      </c>
      <c r="BU34" s="667"/>
      <c r="BV34" s="667"/>
      <c r="BW34" s="667" t="s">
        <v>6878</v>
      </c>
      <c r="BX34" s="667" t="s">
        <v>6879</v>
      </c>
      <c r="BY34" s="465"/>
      <c r="BZ34" s="861"/>
      <c r="CA34" s="861"/>
      <c r="CB34" s="382" t="s">
        <v>6938</v>
      </c>
      <c r="CC34" s="463">
        <v>1649</v>
      </c>
      <c r="CD34" s="435">
        <v>5112826</v>
      </c>
      <c r="CE34" s="435">
        <v>1793709</v>
      </c>
      <c r="CF34" s="435">
        <v>437515</v>
      </c>
      <c r="CG34" s="435">
        <v>64543</v>
      </c>
      <c r="CH34" s="435" t="s">
        <v>2315</v>
      </c>
      <c r="CI34" s="435" t="s">
        <v>2315</v>
      </c>
      <c r="CJ34" s="861"/>
      <c r="CK34" s="861"/>
      <c r="CL34" s="382" t="s">
        <v>6947</v>
      </c>
      <c r="CM34" s="435">
        <v>24</v>
      </c>
      <c r="CN34" s="435">
        <v>178</v>
      </c>
      <c r="CO34" s="435">
        <v>88</v>
      </c>
      <c r="CP34" s="435">
        <v>24</v>
      </c>
      <c r="CQ34" s="435">
        <v>14</v>
      </c>
      <c r="CR34" s="435" t="s">
        <v>2315</v>
      </c>
      <c r="CS34" s="435" t="s">
        <v>2315</v>
      </c>
      <c r="CT34" s="435"/>
      <c r="CU34" s="861"/>
      <c r="CV34" s="382" t="s">
        <v>6945</v>
      </c>
      <c r="CW34" s="415"/>
      <c r="CX34" s="415"/>
      <c r="CY34" s="415"/>
      <c r="CZ34" s="415"/>
      <c r="DA34" s="415"/>
      <c r="DB34" s="415"/>
      <c r="DC34" s="415"/>
      <c r="DD34" s="861"/>
      <c r="DE34" s="547"/>
      <c r="DP34" s="381" t="s">
        <v>6974</v>
      </c>
      <c r="DQ34" s="876">
        <v>1123</v>
      </c>
      <c r="DR34" s="933">
        <v>3514684</v>
      </c>
      <c r="DS34" s="933">
        <v>617358</v>
      </c>
      <c r="DT34" s="933">
        <v>151431</v>
      </c>
      <c r="DU34" s="933">
        <v>21009</v>
      </c>
      <c r="DV34" s="435" t="s">
        <v>2315</v>
      </c>
      <c r="DW34" s="435" t="s">
        <v>2315</v>
      </c>
    </row>
    <row r="35" spans="1:127" ht="12.95" customHeight="1">
      <c r="A35" s="398" t="s">
        <v>6930</v>
      </c>
      <c r="B35" s="515">
        <v>1590</v>
      </c>
      <c r="C35" s="515">
        <v>1530</v>
      </c>
      <c r="D35" s="515">
        <v>1490</v>
      </c>
      <c r="E35" s="1518">
        <v>1460</v>
      </c>
      <c r="F35" s="515">
        <v>1430</v>
      </c>
      <c r="G35" s="515">
        <v>1360</v>
      </c>
      <c r="H35" s="515">
        <v>1410</v>
      </c>
      <c r="I35" s="515">
        <v>1450</v>
      </c>
      <c r="J35" s="515">
        <v>1460</v>
      </c>
      <c r="K35" s="515">
        <v>1450</v>
      </c>
      <c r="L35" s="515">
        <v>1440</v>
      </c>
      <c r="M35" s="515">
        <v>1450</v>
      </c>
      <c r="N35" s="515"/>
      <c r="Q35" s="398" t="s">
        <v>7070</v>
      </c>
      <c r="R35" s="988">
        <v>15.82</v>
      </c>
      <c r="S35" s="988">
        <v>12.71</v>
      </c>
      <c r="T35" s="988">
        <v>13.37</v>
      </c>
      <c r="U35" s="988">
        <v>12.73</v>
      </c>
      <c r="V35" s="988">
        <v>12.54</v>
      </c>
      <c r="Y35" s="398" t="s">
        <v>2861</v>
      </c>
      <c r="Z35" s="1523">
        <v>136.19999999999999</v>
      </c>
      <c r="AA35" s="1523">
        <v>85</v>
      </c>
      <c r="AB35" s="1523">
        <v>76.400000000000006</v>
      </c>
      <c r="AC35" s="1523">
        <v>8.5</v>
      </c>
      <c r="AD35" s="1523">
        <v>51.3</v>
      </c>
      <c r="AE35" s="1523"/>
      <c r="AF35" s="1540"/>
      <c r="AG35" s="398" t="s">
        <v>2861</v>
      </c>
      <c r="AH35" s="1523">
        <v>129</v>
      </c>
      <c r="AI35" s="1523">
        <v>90.1</v>
      </c>
      <c r="AJ35" s="1523">
        <v>83</v>
      </c>
      <c r="AK35" s="1523">
        <v>7</v>
      </c>
      <c r="AL35" s="1523">
        <v>38.9</v>
      </c>
      <c r="AM35" s="1540"/>
      <c r="AN35" s="1540"/>
      <c r="AO35" s="398"/>
      <c r="AP35" s="398"/>
      <c r="AQ35" s="398"/>
      <c r="AR35" s="398"/>
      <c r="AS35" s="398"/>
      <c r="AT35" s="398"/>
      <c r="AU35" s="398"/>
      <c r="AV35" s="398"/>
      <c r="AW35" s="398"/>
      <c r="AX35" s="1538" t="s">
        <v>7071</v>
      </c>
      <c r="AY35" s="385">
        <v>30</v>
      </c>
      <c r="AZ35" s="385">
        <v>30</v>
      </c>
      <c r="BA35" s="385">
        <v>30</v>
      </c>
      <c r="BB35" s="385">
        <v>30</v>
      </c>
      <c r="BC35" s="385">
        <v>30</v>
      </c>
      <c r="BD35" s="385">
        <v>20</v>
      </c>
      <c r="BE35" s="385"/>
      <c r="BF35" s="757"/>
      <c r="BQ35" s="547"/>
      <c r="BR35" s="493"/>
      <c r="BS35" s="667"/>
      <c r="BT35" s="667" t="s">
        <v>6884</v>
      </c>
      <c r="BU35" s="667"/>
      <c r="BV35" s="667" t="s">
        <v>6885</v>
      </c>
      <c r="BW35" s="667" t="s">
        <v>6886</v>
      </c>
      <c r="BX35" s="667" t="s">
        <v>6887</v>
      </c>
      <c r="BY35" s="465" t="s">
        <v>6888</v>
      </c>
      <c r="BZ35" s="861"/>
      <c r="CA35" s="861"/>
      <c r="CB35" s="382" t="s">
        <v>6946</v>
      </c>
      <c r="CC35" s="463">
        <v>32</v>
      </c>
      <c r="CD35" s="435">
        <v>66658</v>
      </c>
      <c r="CE35" s="435">
        <v>30693</v>
      </c>
      <c r="CF35" s="435">
        <v>5932</v>
      </c>
      <c r="CG35" s="435">
        <v>741</v>
      </c>
      <c r="CH35" s="435" t="s">
        <v>2315</v>
      </c>
      <c r="CI35" s="435" t="s">
        <v>2315</v>
      </c>
      <c r="CJ35" s="861"/>
      <c r="CK35" s="861"/>
      <c r="CL35" s="382" t="s">
        <v>6956</v>
      </c>
      <c r="CM35" s="435">
        <v>65</v>
      </c>
      <c r="CN35" s="435">
        <v>1110</v>
      </c>
      <c r="CO35" s="435">
        <v>729</v>
      </c>
      <c r="CP35" s="435">
        <v>250</v>
      </c>
      <c r="CQ35" s="435">
        <v>94</v>
      </c>
      <c r="CR35" s="435" t="s">
        <v>2315</v>
      </c>
      <c r="CS35" s="435" t="s">
        <v>2315</v>
      </c>
      <c r="CT35" s="435"/>
      <c r="CU35" s="861"/>
      <c r="CV35" s="382" t="s">
        <v>7075</v>
      </c>
      <c r="CW35" s="463"/>
      <c r="CX35" s="463"/>
      <c r="CY35" s="463"/>
      <c r="CZ35" s="463"/>
      <c r="DA35" s="463"/>
      <c r="DB35" s="463"/>
      <c r="DC35" s="463"/>
      <c r="DD35" s="861"/>
      <c r="DE35" s="547"/>
      <c r="DF35" s="382" t="s">
        <v>7069</v>
      </c>
      <c r="DG35" s="382"/>
      <c r="DH35" s="382"/>
      <c r="DI35" s="382"/>
      <c r="DJ35" s="382"/>
      <c r="DK35" s="382"/>
      <c r="DL35" s="382"/>
      <c r="DM35" s="382"/>
      <c r="DP35" s="382" t="s">
        <v>6945</v>
      </c>
      <c r="DQ35" s="415"/>
      <c r="DR35" s="415"/>
      <c r="DS35" s="415"/>
      <c r="DT35" s="415"/>
      <c r="DU35" s="415"/>
      <c r="DV35" s="415"/>
      <c r="DW35" s="415"/>
    </row>
    <row r="36" spans="1:127" ht="12.95" customHeight="1">
      <c r="A36" s="398" t="s">
        <v>7062</v>
      </c>
      <c r="B36" s="515">
        <v>3660</v>
      </c>
      <c r="C36" s="515">
        <v>3610</v>
      </c>
      <c r="D36" s="515">
        <v>3530</v>
      </c>
      <c r="E36" s="1518">
        <v>3540</v>
      </c>
      <c r="F36" s="515">
        <v>3600</v>
      </c>
      <c r="G36" s="515">
        <v>3800</v>
      </c>
      <c r="H36" s="515">
        <v>3940</v>
      </c>
      <c r="I36" s="515">
        <v>4480</v>
      </c>
      <c r="J36" s="515">
        <v>4700</v>
      </c>
      <c r="K36" s="515">
        <v>4660</v>
      </c>
      <c r="L36" s="515">
        <v>4680</v>
      </c>
      <c r="M36" s="515">
        <v>4650</v>
      </c>
      <c r="N36" s="515"/>
      <c r="Q36" s="398" t="s">
        <v>2310</v>
      </c>
      <c r="R36" s="1279">
        <v>19.54</v>
      </c>
      <c r="S36" s="1279">
        <v>18.09</v>
      </c>
      <c r="T36" s="1279">
        <v>18.11</v>
      </c>
      <c r="U36" s="1279">
        <v>17.440000000000001</v>
      </c>
      <c r="V36" s="1279">
        <v>17.760000000000002</v>
      </c>
      <c r="Y36" s="398" t="s">
        <v>2841</v>
      </c>
      <c r="Z36" s="1523">
        <v>68.599999999999994</v>
      </c>
      <c r="AA36" s="1523">
        <v>40.9</v>
      </c>
      <c r="AB36" s="1523">
        <v>24.1</v>
      </c>
      <c r="AC36" s="1523">
        <v>16.8</v>
      </c>
      <c r="AD36" s="1523">
        <v>27.7</v>
      </c>
      <c r="AE36" s="1523"/>
      <c r="AF36" s="1540"/>
      <c r="AG36" s="398" t="s">
        <v>2841</v>
      </c>
      <c r="AH36" s="1523">
        <v>64.900000000000006</v>
      </c>
      <c r="AI36" s="1523">
        <v>38.299999999999997</v>
      </c>
      <c r="AJ36" s="1523">
        <v>23.3</v>
      </c>
      <c r="AK36" s="1523">
        <v>15</v>
      </c>
      <c r="AL36" s="1523">
        <v>26.6</v>
      </c>
      <c r="AM36" s="1540"/>
      <c r="AN36" s="1540"/>
      <c r="AO36" s="398" t="s">
        <v>7072</v>
      </c>
      <c r="AP36" s="398"/>
      <c r="AQ36" s="398"/>
      <c r="AR36" s="398"/>
      <c r="AS36" s="398"/>
      <c r="AT36" s="398"/>
      <c r="AU36" s="398"/>
      <c r="AV36" s="398"/>
      <c r="AW36" s="398"/>
      <c r="AX36" s="1538" t="s">
        <v>7073</v>
      </c>
      <c r="AY36" s="519" t="s">
        <v>2835</v>
      </c>
      <c r="AZ36" s="757" t="s">
        <v>2835</v>
      </c>
      <c r="BA36" s="757" t="s">
        <v>2835</v>
      </c>
      <c r="BB36" s="757" t="s">
        <v>2835</v>
      </c>
      <c r="BC36" s="757" t="s">
        <v>2835</v>
      </c>
      <c r="BD36" s="757" t="s">
        <v>2835</v>
      </c>
      <c r="BE36" s="757"/>
      <c r="BF36" s="757"/>
      <c r="BG36" s="382" t="s">
        <v>7074</v>
      </c>
      <c r="BH36" s="382"/>
      <c r="BI36" s="382"/>
      <c r="BJ36" s="439"/>
      <c r="BK36" s="439"/>
      <c r="BL36" s="439"/>
      <c r="BM36" s="439"/>
      <c r="BN36" s="439"/>
      <c r="BO36" s="439"/>
      <c r="BP36" s="439"/>
      <c r="BQ36" s="547"/>
      <c r="BR36" s="493"/>
      <c r="BS36" s="667" t="s">
        <v>6894</v>
      </c>
      <c r="BT36" s="667" t="s">
        <v>6895</v>
      </c>
      <c r="BU36" s="667" t="s">
        <v>119</v>
      </c>
      <c r="BV36" s="667" t="s">
        <v>6896</v>
      </c>
      <c r="BW36" s="667" t="s">
        <v>6897</v>
      </c>
      <c r="BX36" s="667" t="s">
        <v>6898</v>
      </c>
      <c r="BY36" s="465" t="s">
        <v>6899</v>
      </c>
      <c r="BZ36" s="861"/>
      <c r="CA36" s="861"/>
      <c r="CB36" s="382" t="s">
        <v>6955</v>
      </c>
      <c r="CC36" s="435">
        <v>506</v>
      </c>
      <c r="CD36" s="435">
        <v>279007</v>
      </c>
      <c r="CE36" s="435">
        <v>57891</v>
      </c>
      <c r="CF36" s="435">
        <v>13975</v>
      </c>
      <c r="CG36" s="435">
        <v>3432</v>
      </c>
      <c r="CH36" s="435" t="s">
        <v>2315</v>
      </c>
      <c r="CI36" s="435" t="s">
        <v>2315</v>
      </c>
      <c r="CJ36" s="861"/>
      <c r="CK36" s="861"/>
      <c r="CL36" s="382" t="s">
        <v>6965</v>
      </c>
      <c r="CM36" s="435">
        <v>125</v>
      </c>
      <c r="CN36" s="435">
        <v>4646</v>
      </c>
      <c r="CO36" s="435">
        <v>2267</v>
      </c>
      <c r="CP36" s="435">
        <v>654</v>
      </c>
      <c r="CQ36" s="435">
        <v>252</v>
      </c>
      <c r="CR36" s="435" t="s">
        <v>2315</v>
      </c>
      <c r="CS36" s="435" t="s">
        <v>2315</v>
      </c>
      <c r="CT36" s="435"/>
      <c r="CU36" s="861"/>
      <c r="CV36" s="398" t="s">
        <v>6985</v>
      </c>
      <c r="CW36" s="463"/>
      <c r="CX36" s="463"/>
      <c r="CY36" s="463"/>
      <c r="CZ36" s="463"/>
      <c r="DA36" s="463"/>
      <c r="DB36" s="463"/>
      <c r="DC36" s="463"/>
      <c r="DD36" s="861"/>
      <c r="DE36" s="547"/>
      <c r="DF36" s="597"/>
      <c r="DG36" s="404"/>
      <c r="DH36" s="404"/>
      <c r="DI36" s="404"/>
      <c r="DJ36" s="404"/>
      <c r="DK36" s="404" t="s">
        <v>6867</v>
      </c>
      <c r="DL36" s="404"/>
      <c r="DM36" s="405"/>
      <c r="DP36" s="382" t="s">
        <v>7075</v>
      </c>
      <c r="DQ36" s="382"/>
      <c r="DR36" s="382"/>
      <c r="DS36" s="382"/>
      <c r="DT36" s="382"/>
      <c r="DU36" s="382"/>
      <c r="DV36" s="382"/>
      <c r="DW36" s="382"/>
    </row>
    <row r="37" spans="1:127" ht="12.95" customHeight="1">
      <c r="A37" s="398" t="s">
        <v>6942</v>
      </c>
      <c r="B37" s="515">
        <v>13680</v>
      </c>
      <c r="C37" s="515">
        <v>13840</v>
      </c>
      <c r="D37" s="515">
        <v>13430</v>
      </c>
      <c r="E37" s="1518">
        <v>13420</v>
      </c>
      <c r="F37" s="515">
        <v>13330</v>
      </c>
      <c r="G37" s="515">
        <v>13130</v>
      </c>
      <c r="H37" s="515">
        <v>14140</v>
      </c>
      <c r="I37" s="515">
        <v>16410</v>
      </c>
      <c r="J37" s="515">
        <v>16680</v>
      </c>
      <c r="K37" s="515">
        <v>16590</v>
      </c>
      <c r="L37" s="515">
        <v>16600</v>
      </c>
      <c r="M37" s="515">
        <v>16500</v>
      </c>
      <c r="N37" s="515"/>
      <c r="Q37" s="398" t="s">
        <v>6954</v>
      </c>
      <c r="R37" s="1279">
        <v>21.22</v>
      </c>
      <c r="S37" s="1279">
        <v>22.25</v>
      </c>
      <c r="T37" s="1279">
        <v>19.95</v>
      </c>
      <c r="U37" s="1279">
        <v>17.62</v>
      </c>
      <c r="V37" s="1279">
        <v>16.28</v>
      </c>
      <c r="W37" s="385"/>
      <c r="Y37" s="398" t="s">
        <v>2886</v>
      </c>
      <c r="Z37" s="1523">
        <v>84.8</v>
      </c>
      <c r="AA37" s="398">
        <v>48.2</v>
      </c>
      <c r="AB37" s="771">
        <v>32.9</v>
      </c>
      <c r="AC37" s="398">
        <v>15.2</v>
      </c>
      <c r="AD37" s="398">
        <v>36.700000000000003</v>
      </c>
      <c r="AE37" s="1523"/>
      <c r="AF37" s="398"/>
      <c r="AG37" s="398" t="s">
        <v>2886</v>
      </c>
      <c r="AH37" s="1523">
        <v>85.3</v>
      </c>
      <c r="AI37" s="1523">
        <v>49.7</v>
      </c>
      <c r="AJ37" s="1523">
        <v>36.9</v>
      </c>
      <c r="AK37" s="1523">
        <v>12.9</v>
      </c>
      <c r="AL37" s="1523">
        <v>35.5</v>
      </c>
      <c r="AM37" s="398"/>
      <c r="AN37" s="398"/>
      <c r="AO37" s="398" t="s">
        <v>7076</v>
      </c>
      <c r="AP37" s="519" t="s">
        <v>2835</v>
      </c>
      <c r="AQ37" s="519" t="s">
        <v>2835</v>
      </c>
      <c r="AR37" s="519" t="s">
        <v>2835</v>
      </c>
      <c r="AS37" s="519" t="s">
        <v>2835</v>
      </c>
      <c r="AT37" s="519" t="s">
        <v>2835</v>
      </c>
      <c r="AU37" s="398">
        <v>20</v>
      </c>
      <c r="AV37" s="398"/>
      <c r="AW37" s="519"/>
      <c r="AX37" s="386" t="s">
        <v>7077</v>
      </c>
      <c r="AY37" s="385">
        <v>70</v>
      </c>
      <c r="AZ37" s="385">
        <v>140</v>
      </c>
      <c r="BA37" s="385">
        <v>140</v>
      </c>
      <c r="BB37" s="385">
        <v>130</v>
      </c>
      <c r="BC37" s="385">
        <v>140</v>
      </c>
      <c r="BD37" s="385">
        <v>160</v>
      </c>
      <c r="BE37" s="385"/>
      <c r="BF37" s="757"/>
      <c r="BG37" s="388" t="s">
        <v>1648</v>
      </c>
      <c r="BH37" s="389">
        <v>2022</v>
      </c>
      <c r="BI37" s="389">
        <v>2017</v>
      </c>
      <c r="BJ37" s="389">
        <v>2012</v>
      </c>
      <c r="BK37" s="389">
        <v>2007</v>
      </c>
      <c r="BL37" s="642">
        <v>2002</v>
      </c>
      <c r="BM37" s="642">
        <v>1997</v>
      </c>
      <c r="BN37" s="664">
        <v>1992</v>
      </c>
      <c r="BO37" s="664">
        <v>1987</v>
      </c>
      <c r="BP37" s="439"/>
      <c r="BQ37" s="547"/>
      <c r="BR37" s="493"/>
      <c r="BS37" s="667" t="s">
        <v>6909</v>
      </c>
      <c r="BT37" s="667" t="s">
        <v>6910</v>
      </c>
      <c r="BU37" s="667" t="s">
        <v>6911</v>
      </c>
      <c r="BV37" s="667" t="s">
        <v>6911</v>
      </c>
      <c r="BW37" s="1521" t="s">
        <v>6912</v>
      </c>
      <c r="BX37" s="667" t="s">
        <v>6913</v>
      </c>
      <c r="BY37" s="465" t="s">
        <v>6914</v>
      </c>
      <c r="BZ37" s="861"/>
      <c r="CA37" s="861"/>
      <c r="CB37" s="382" t="s">
        <v>6964</v>
      </c>
      <c r="CC37" s="435">
        <v>167</v>
      </c>
      <c r="CD37" s="435">
        <v>410920</v>
      </c>
      <c r="CE37" s="435">
        <v>99700</v>
      </c>
      <c r="CF37" s="435">
        <v>25487</v>
      </c>
      <c r="CG37" s="435">
        <v>4257</v>
      </c>
      <c r="CH37" s="435" t="s">
        <v>2315</v>
      </c>
      <c r="CI37" s="435" t="s">
        <v>2315</v>
      </c>
      <c r="CJ37" s="861"/>
      <c r="CK37" s="861"/>
      <c r="CL37" s="382" t="s">
        <v>6972</v>
      </c>
      <c r="CM37" s="463">
        <v>289</v>
      </c>
      <c r="CN37" s="463">
        <v>21726</v>
      </c>
      <c r="CO37" s="463">
        <v>9381</v>
      </c>
      <c r="CP37" s="463">
        <v>2420</v>
      </c>
      <c r="CQ37" s="463">
        <v>784</v>
      </c>
      <c r="CR37" s="435" t="s">
        <v>2315</v>
      </c>
      <c r="CS37" s="435" t="s">
        <v>2315</v>
      </c>
      <c r="CT37" s="435"/>
      <c r="CU37" s="861"/>
      <c r="DD37" s="861"/>
      <c r="DE37" s="547"/>
      <c r="DF37" s="382"/>
      <c r="DG37" s="667"/>
      <c r="DH37" s="667" t="s">
        <v>6877</v>
      </c>
      <c r="DI37" s="667"/>
      <c r="DJ37" s="667"/>
      <c r="DK37" s="667" t="s">
        <v>6878</v>
      </c>
      <c r="DL37" s="667" t="s">
        <v>6879</v>
      </c>
      <c r="DM37" s="465"/>
      <c r="DP37" s="382" t="s">
        <v>6996</v>
      </c>
      <c r="DU37" s="398"/>
      <c r="DV37" s="398"/>
      <c r="DW37" s="398"/>
    </row>
    <row r="38" spans="1:127" ht="12.95" customHeight="1">
      <c r="A38" s="398" t="s">
        <v>6950</v>
      </c>
      <c r="E38" s="1518"/>
      <c r="K38" s="515"/>
      <c r="L38" s="515"/>
      <c r="M38" s="515"/>
      <c r="N38" s="515"/>
      <c r="Q38" s="398" t="s">
        <v>15</v>
      </c>
      <c r="R38" s="1279">
        <v>27.39</v>
      </c>
      <c r="S38" s="1279">
        <v>26.56</v>
      </c>
      <c r="T38" s="1279">
        <v>23.69</v>
      </c>
      <c r="U38" s="1279">
        <v>21.43</v>
      </c>
      <c r="V38" s="1279">
        <v>21.98</v>
      </c>
      <c r="W38" s="1533"/>
      <c r="X38" s="385"/>
      <c r="Y38" s="398" t="s">
        <v>2852</v>
      </c>
      <c r="Z38" s="1523">
        <v>28.1</v>
      </c>
      <c r="AA38" s="1523">
        <v>16.2</v>
      </c>
      <c r="AB38" s="1523">
        <v>9.6</v>
      </c>
      <c r="AC38" s="1523">
        <v>6.6</v>
      </c>
      <c r="AD38" s="1523">
        <v>11.9</v>
      </c>
      <c r="AE38" s="1523"/>
      <c r="AF38" s="398"/>
      <c r="AG38" s="398" t="s">
        <v>2843</v>
      </c>
      <c r="AH38" s="1523">
        <v>43.4</v>
      </c>
      <c r="AI38" s="1523">
        <v>27.9</v>
      </c>
      <c r="AJ38" s="1523">
        <v>19</v>
      </c>
      <c r="AK38" s="1523">
        <v>8.9</v>
      </c>
      <c r="AL38" s="1523">
        <v>15.4</v>
      </c>
      <c r="AM38" s="398"/>
      <c r="AN38" s="398"/>
      <c r="AO38" s="398" t="s">
        <v>7078</v>
      </c>
      <c r="AP38" s="519" t="s">
        <v>2835</v>
      </c>
      <c r="AQ38" s="519" t="s">
        <v>2835</v>
      </c>
      <c r="AR38" s="519" t="s">
        <v>2835</v>
      </c>
      <c r="AS38" s="519" t="s">
        <v>2835</v>
      </c>
      <c r="AT38" s="519" t="s">
        <v>2835</v>
      </c>
      <c r="AU38" s="519" t="s">
        <v>2835</v>
      </c>
      <c r="AV38" s="519"/>
      <c r="AW38" s="519"/>
      <c r="AX38" s="386" t="s">
        <v>7079</v>
      </c>
      <c r="AY38" s="385">
        <v>60</v>
      </c>
      <c r="AZ38" s="385">
        <v>100</v>
      </c>
      <c r="BA38" s="385">
        <v>120</v>
      </c>
      <c r="BB38" s="385">
        <v>100</v>
      </c>
      <c r="BC38" s="385">
        <v>120</v>
      </c>
      <c r="BD38" s="385">
        <v>130</v>
      </c>
      <c r="BE38" s="385"/>
      <c r="BF38" s="757"/>
      <c r="BG38" s="382" t="s">
        <v>6876</v>
      </c>
      <c r="BH38" s="463">
        <v>59</v>
      </c>
      <c r="BI38" s="463">
        <v>58</v>
      </c>
      <c r="BJ38" s="463">
        <v>54</v>
      </c>
      <c r="BK38" s="463">
        <v>63</v>
      </c>
      <c r="BL38" s="435">
        <v>49</v>
      </c>
      <c r="BM38" s="435">
        <v>60</v>
      </c>
      <c r="BN38" s="435">
        <v>48</v>
      </c>
      <c r="BO38" s="435">
        <v>38</v>
      </c>
      <c r="BP38" s="435"/>
      <c r="BQ38" s="547"/>
      <c r="BR38" s="610" t="s">
        <v>6925</v>
      </c>
      <c r="BS38" s="441" t="s">
        <v>6926</v>
      </c>
      <c r="BT38" s="1522">
        <v>1000</v>
      </c>
      <c r="BU38" s="1522">
        <v>1000</v>
      </c>
      <c r="BV38" s="1522">
        <v>1000</v>
      </c>
      <c r="BW38" s="441" t="s">
        <v>6926</v>
      </c>
      <c r="BX38" s="441" t="s">
        <v>6926</v>
      </c>
      <c r="BY38" s="442" t="s">
        <v>6926</v>
      </c>
      <c r="BZ38" s="861"/>
      <c r="CA38" s="861"/>
      <c r="CB38" s="382" t="s">
        <v>6971</v>
      </c>
      <c r="CC38" s="435">
        <v>904</v>
      </c>
      <c r="CD38" s="435">
        <v>2019052</v>
      </c>
      <c r="CE38" s="435">
        <v>391979</v>
      </c>
      <c r="CF38" s="435">
        <v>94884</v>
      </c>
      <c r="CG38" s="435">
        <v>14259</v>
      </c>
      <c r="CH38" s="435" t="s">
        <v>2315</v>
      </c>
      <c r="CI38" s="435" t="s">
        <v>2315</v>
      </c>
      <c r="CJ38" s="861"/>
      <c r="CK38" s="861"/>
      <c r="CL38" s="382" t="s">
        <v>6981</v>
      </c>
      <c r="CM38" s="463">
        <v>679</v>
      </c>
      <c r="CN38" s="463">
        <v>115876</v>
      </c>
      <c r="CO38" s="463">
        <v>38235</v>
      </c>
      <c r="CP38" s="463">
        <v>9658</v>
      </c>
      <c r="CQ38" s="463">
        <v>2602</v>
      </c>
      <c r="CR38" s="435" t="s">
        <v>2315</v>
      </c>
      <c r="CS38" s="435" t="s">
        <v>2315</v>
      </c>
      <c r="CT38" s="435"/>
      <c r="CU38" s="861"/>
      <c r="DD38" s="861"/>
      <c r="DE38" s="547"/>
      <c r="DF38" s="523"/>
      <c r="DG38" s="667"/>
      <c r="DH38" s="667" t="s">
        <v>6884</v>
      </c>
      <c r="DI38" s="667"/>
      <c r="DJ38" s="667" t="s">
        <v>6885</v>
      </c>
      <c r="DK38" s="667" t="s">
        <v>6886</v>
      </c>
      <c r="DL38" s="667" t="s">
        <v>6887</v>
      </c>
      <c r="DM38" s="465" t="s">
        <v>6888</v>
      </c>
      <c r="DP38" s="382" t="s">
        <v>7001</v>
      </c>
      <c r="DQ38" s="398"/>
      <c r="DR38" s="398"/>
      <c r="DS38" s="398"/>
      <c r="DT38" s="398"/>
      <c r="DU38" s="398"/>
      <c r="DV38" s="398"/>
      <c r="DW38" s="398"/>
    </row>
    <row r="39" spans="1:127" ht="12.95" customHeight="1">
      <c r="A39" s="398" t="s">
        <v>6959</v>
      </c>
      <c r="B39" s="515">
        <v>2370</v>
      </c>
      <c r="C39" s="515">
        <v>2430</v>
      </c>
      <c r="D39" s="515">
        <v>2440</v>
      </c>
      <c r="E39" s="1518">
        <v>2440</v>
      </c>
      <c r="F39" s="515">
        <v>2510</v>
      </c>
      <c r="G39" s="515">
        <v>2480</v>
      </c>
      <c r="H39" s="515">
        <v>2540</v>
      </c>
      <c r="I39" s="515">
        <v>2660</v>
      </c>
      <c r="J39" s="515">
        <v>2650</v>
      </c>
      <c r="K39" s="515">
        <v>2660</v>
      </c>
      <c r="L39" s="515">
        <v>2670</v>
      </c>
      <c r="M39" s="515">
        <v>2660</v>
      </c>
      <c r="N39" s="515"/>
      <c r="O39" s="398"/>
      <c r="P39" s="398"/>
      <c r="Q39" s="398" t="s">
        <v>6963</v>
      </c>
      <c r="R39" s="1279">
        <v>13.72</v>
      </c>
      <c r="S39" s="1279">
        <v>14.43</v>
      </c>
      <c r="T39" s="1279">
        <v>13.82</v>
      </c>
      <c r="U39" s="1279">
        <v>13.15</v>
      </c>
      <c r="V39" s="1279">
        <v>12.92</v>
      </c>
      <c r="W39" s="385"/>
      <c r="X39" s="1533"/>
      <c r="Y39" s="398" t="s">
        <v>2843</v>
      </c>
      <c r="Z39" s="1523">
        <v>45.4</v>
      </c>
      <c r="AA39" s="1523">
        <v>28.7</v>
      </c>
      <c r="AB39" s="1523">
        <v>20</v>
      </c>
      <c r="AC39" s="1523">
        <v>8.6</v>
      </c>
      <c r="AD39" s="1523">
        <v>16.8</v>
      </c>
      <c r="AE39" s="1523"/>
      <c r="AG39" s="398" t="s">
        <v>2899</v>
      </c>
      <c r="AH39" s="1523">
        <v>122.7</v>
      </c>
      <c r="AI39" s="1523">
        <v>77.099999999999994</v>
      </c>
      <c r="AJ39" s="1523">
        <v>51.5</v>
      </c>
      <c r="AK39" s="1523">
        <v>25.6</v>
      </c>
      <c r="AL39" s="1523">
        <v>45.6</v>
      </c>
      <c r="AO39" s="398" t="s">
        <v>7080</v>
      </c>
      <c r="AP39" s="519" t="s">
        <v>2835</v>
      </c>
      <c r="AQ39" s="519" t="s">
        <v>2835</v>
      </c>
      <c r="AR39" s="519" t="s">
        <v>2835</v>
      </c>
      <c r="AS39" s="519" t="s">
        <v>2835</v>
      </c>
      <c r="AT39" s="519" t="s">
        <v>2835</v>
      </c>
      <c r="AU39" s="519" t="s">
        <v>2835</v>
      </c>
      <c r="AV39" s="519"/>
      <c r="AW39" s="519"/>
      <c r="AX39" s="386" t="s">
        <v>7081</v>
      </c>
      <c r="AY39" s="1543">
        <v>40</v>
      </c>
      <c r="AZ39" s="1543">
        <v>30</v>
      </c>
      <c r="BA39" s="1543">
        <v>30</v>
      </c>
      <c r="BB39" s="1543" t="s">
        <v>2835</v>
      </c>
      <c r="BC39" s="385">
        <v>20</v>
      </c>
      <c r="BD39" s="385">
        <v>20</v>
      </c>
      <c r="BE39" s="385"/>
      <c r="BF39" s="757"/>
      <c r="BG39" s="382" t="s">
        <v>7082</v>
      </c>
      <c r="BH39" s="463">
        <v>102641</v>
      </c>
      <c r="BI39" s="463">
        <v>95565</v>
      </c>
      <c r="BJ39" s="463">
        <v>122589</v>
      </c>
      <c r="BK39" s="463">
        <v>166790</v>
      </c>
      <c r="BL39" s="435">
        <v>116410</v>
      </c>
      <c r="BM39" s="435">
        <v>164907</v>
      </c>
      <c r="BN39" s="435">
        <v>110488</v>
      </c>
      <c r="BO39" s="435">
        <v>80901</v>
      </c>
      <c r="BP39" s="435"/>
      <c r="BQ39" s="547"/>
      <c r="BR39" s="382" t="s">
        <v>4314</v>
      </c>
      <c r="BS39" s="463">
        <v>3099</v>
      </c>
      <c r="BT39" s="876">
        <v>8465399</v>
      </c>
      <c r="BU39" s="876">
        <v>1630287</v>
      </c>
      <c r="BV39" s="876">
        <v>396677</v>
      </c>
      <c r="BW39" s="463">
        <v>60539</v>
      </c>
      <c r="BX39" s="435">
        <v>673</v>
      </c>
      <c r="BY39" s="435" t="s">
        <v>2315</v>
      </c>
      <c r="BZ39" s="861"/>
      <c r="CA39" s="861"/>
      <c r="CB39" s="382" t="s">
        <v>6980</v>
      </c>
      <c r="CC39" s="435">
        <v>250</v>
      </c>
      <c r="CD39" s="435">
        <v>576937</v>
      </c>
      <c r="CE39" s="435">
        <v>132530</v>
      </c>
      <c r="CF39" s="435">
        <v>32502</v>
      </c>
      <c r="CG39" s="435">
        <v>4754</v>
      </c>
      <c r="CH39" s="435" t="s">
        <v>2315</v>
      </c>
      <c r="CI39" s="435" t="s">
        <v>2315</v>
      </c>
      <c r="CJ39" s="861"/>
      <c r="CK39" s="861"/>
      <c r="CL39" s="382" t="s">
        <v>6987</v>
      </c>
      <c r="CM39" s="463">
        <v>640</v>
      </c>
      <c r="CN39" s="463">
        <v>225653</v>
      </c>
      <c r="CO39" s="463">
        <v>69240</v>
      </c>
      <c r="CP39" s="463">
        <v>17064</v>
      </c>
      <c r="CQ39" s="463">
        <v>4079</v>
      </c>
      <c r="CR39" s="435" t="s">
        <v>2315</v>
      </c>
      <c r="CS39" s="435" t="s">
        <v>2315</v>
      </c>
      <c r="CT39" s="435"/>
      <c r="CU39" s="861"/>
      <c r="DD39" s="861"/>
      <c r="DE39" s="547"/>
      <c r="DF39" s="433"/>
      <c r="DG39" s="667" t="s">
        <v>6894</v>
      </c>
      <c r="DH39" s="667" t="s">
        <v>6895</v>
      </c>
      <c r="DI39" s="667" t="s">
        <v>119</v>
      </c>
      <c r="DJ39" s="667" t="s">
        <v>6896</v>
      </c>
      <c r="DK39" s="667" t="s">
        <v>6897</v>
      </c>
      <c r="DL39" s="667" t="s">
        <v>6898</v>
      </c>
      <c r="DM39" s="465" t="s">
        <v>6899</v>
      </c>
      <c r="DP39" s="398" t="s">
        <v>6985</v>
      </c>
      <c r="DQ39" s="398"/>
      <c r="DR39" s="398"/>
      <c r="DS39" s="398"/>
      <c r="DT39" s="398"/>
      <c r="DU39" s="398"/>
      <c r="DV39" s="398"/>
      <c r="DW39" s="398"/>
    </row>
    <row r="40" spans="1:127" ht="12.95" customHeight="1">
      <c r="A40" s="398" t="s">
        <v>6968</v>
      </c>
      <c r="B40" s="515">
        <v>15120</v>
      </c>
      <c r="C40" s="515">
        <v>15180</v>
      </c>
      <c r="D40" s="515">
        <v>15230</v>
      </c>
      <c r="E40" s="1518">
        <v>14650</v>
      </c>
      <c r="F40" s="515">
        <v>14650</v>
      </c>
      <c r="G40" s="515">
        <v>14560</v>
      </c>
      <c r="H40" s="515">
        <v>15470</v>
      </c>
      <c r="I40" s="515">
        <v>18540</v>
      </c>
      <c r="J40" s="515">
        <v>18890</v>
      </c>
      <c r="K40" s="515">
        <v>18930</v>
      </c>
      <c r="L40" s="515">
        <v>18770</v>
      </c>
      <c r="M40" s="515">
        <v>18890</v>
      </c>
      <c r="N40" s="398"/>
      <c r="O40" s="386"/>
      <c r="P40" s="398"/>
      <c r="Q40" s="398" t="s">
        <v>6970</v>
      </c>
      <c r="R40" s="1279">
        <v>14.65</v>
      </c>
      <c r="S40" s="1279">
        <v>14.46</v>
      </c>
      <c r="T40" s="1279">
        <v>13.12</v>
      </c>
      <c r="U40" s="1279">
        <v>12.64</v>
      </c>
      <c r="V40" s="1279">
        <v>11.98</v>
      </c>
      <c r="X40" s="385"/>
      <c r="Y40" s="398" t="s">
        <v>2899</v>
      </c>
      <c r="Z40" s="1523">
        <v>115.2</v>
      </c>
      <c r="AA40" s="1523">
        <v>64.3</v>
      </c>
      <c r="AB40" s="1523">
        <v>38.9</v>
      </c>
      <c r="AC40" s="435">
        <v>25.4</v>
      </c>
      <c r="AD40" s="1523">
        <v>50.9</v>
      </c>
      <c r="AE40" s="1523"/>
      <c r="AG40" s="398" t="s">
        <v>2963</v>
      </c>
      <c r="AH40" s="1523">
        <v>14.1</v>
      </c>
      <c r="AI40" s="1523">
        <v>10</v>
      </c>
      <c r="AJ40" s="1523">
        <v>9.9</v>
      </c>
      <c r="AK40" s="435" t="s">
        <v>7083</v>
      </c>
      <c r="AL40" s="1523">
        <v>4.0999999999999996</v>
      </c>
      <c r="AO40" s="386" t="s">
        <v>7084</v>
      </c>
      <c r="AP40" s="519">
        <v>160</v>
      </c>
      <c r="AQ40" s="519">
        <v>250</v>
      </c>
      <c r="AR40" s="519">
        <v>240</v>
      </c>
      <c r="AS40" s="519">
        <v>160</v>
      </c>
      <c r="AT40" s="519">
        <v>190</v>
      </c>
      <c r="AU40" s="385">
        <v>210</v>
      </c>
      <c r="AV40" s="385"/>
      <c r="AW40" s="385"/>
      <c r="AX40" s="386" t="s">
        <v>7085</v>
      </c>
      <c r="AY40" s="385">
        <v>150</v>
      </c>
      <c r="AZ40" s="385">
        <v>220</v>
      </c>
      <c r="BA40" s="385">
        <v>250</v>
      </c>
      <c r="BB40" s="385">
        <v>220</v>
      </c>
      <c r="BC40" s="385">
        <v>250</v>
      </c>
      <c r="BD40" s="385">
        <v>240</v>
      </c>
      <c r="BE40" s="385"/>
      <c r="BF40" s="515"/>
      <c r="BG40" s="382" t="s">
        <v>6893</v>
      </c>
      <c r="BH40" s="463">
        <v>25427</v>
      </c>
      <c r="BI40" s="463">
        <v>24957</v>
      </c>
      <c r="BJ40" s="463">
        <v>28020</v>
      </c>
      <c r="BK40" s="463">
        <v>38623</v>
      </c>
      <c r="BL40" s="435">
        <v>32183</v>
      </c>
      <c r="BM40" s="435">
        <v>33044</v>
      </c>
      <c r="BN40" s="435">
        <v>22973</v>
      </c>
      <c r="BO40" s="435">
        <v>17470</v>
      </c>
      <c r="BP40" s="435"/>
      <c r="BQ40" s="547"/>
      <c r="BR40" s="382" t="s">
        <v>6937</v>
      </c>
      <c r="BS40" s="463">
        <v>3</v>
      </c>
      <c r="BT40" s="933">
        <v>445082</v>
      </c>
      <c r="BU40" s="933">
        <v>44076</v>
      </c>
      <c r="BV40" s="933">
        <v>10007</v>
      </c>
      <c r="BW40" s="435">
        <v>709</v>
      </c>
      <c r="BX40" s="435">
        <v>0</v>
      </c>
      <c r="BY40" s="435" t="s">
        <v>2315</v>
      </c>
      <c r="BZ40" s="562"/>
      <c r="CA40" s="562"/>
      <c r="CB40" s="382"/>
      <c r="CC40" s="463"/>
      <c r="CD40" s="463"/>
      <c r="CE40" s="463"/>
      <c r="CF40" s="463"/>
      <c r="CG40" s="463"/>
      <c r="CH40" s="435"/>
      <c r="CI40" s="435"/>
      <c r="CJ40" s="562"/>
      <c r="CK40" s="562"/>
      <c r="CL40" s="382" t="s">
        <v>6995</v>
      </c>
      <c r="CM40" s="463">
        <v>573</v>
      </c>
      <c r="CN40" s="463">
        <v>411055</v>
      </c>
      <c r="CO40" s="463">
        <v>112156</v>
      </c>
      <c r="CP40" s="463">
        <v>27742</v>
      </c>
      <c r="CQ40" s="463">
        <v>5836</v>
      </c>
      <c r="CR40" s="435" t="s">
        <v>2315</v>
      </c>
      <c r="CS40" s="435" t="s">
        <v>2315</v>
      </c>
      <c r="CT40" s="435"/>
      <c r="CU40" s="562"/>
      <c r="CV40" s="382"/>
      <c r="CW40" s="382"/>
      <c r="CX40" s="382"/>
      <c r="CY40" s="382"/>
      <c r="CZ40" s="382"/>
      <c r="DA40" s="382"/>
      <c r="DB40" s="382"/>
      <c r="DC40" s="382"/>
      <c r="DD40" s="562"/>
      <c r="DE40" s="547"/>
      <c r="DF40" s="433" t="s">
        <v>3990</v>
      </c>
      <c r="DG40" s="667" t="s">
        <v>6909</v>
      </c>
      <c r="DH40" s="667" t="s">
        <v>6910</v>
      </c>
      <c r="DI40" s="667" t="s">
        <v>6911</v>
      </c>
      <c r="DJ40" s="667" t="s">
        <v>6911</v>
      </c>
      <c r="DK40" s="1521" t="s">
        <v>6912</v>
      </c>
      <c r="DL40" s="667" t="s">
        <v>6913</v>
      </c>
      <c r="DM40" s="465" t="s">
        <v>6914</v>
      </c>
    </row>
    <row r="41" spans="1:127" ht="12.95" customHeight="1">
      <c r="A41" s="398" t="s">
        <v>6975</v>
      </c>
      <c r="B41" s="515">
        <v>15980</v>
      </c>
      <c r="C41" s="515">
        <v>15860</v>
      </c>
      <c r="D41" s="515">
        <v>15020</v>
      </c>
      <c r="E41" s="1518">
        <v>15670</v>
      </c>
      <c r="F41" s="515">
        <v>15800</v>
      </c>
      <c r="G41" s="515">
        <v>15540</v>
      </c>
      <c r="H41" s="515">
        <v>15110</v>
      </c>
      <c r="I41" s="515">
        <v>16130</v>
      </c>
      <c r="J41" s="515">
        <v>15620</v>
      </c>
      <c r="K41" s="515">
        <v>15380</v>
      </c>
      <c r="L41" s="515">
        <v>14620</v>
      </c>
      <c r="M41" s="515">
        <v>15410</v>
      </c>
      <c r="N41" s="386"/>
      <c r="O41" s="386"/>
      <c r="P41" s="398"/>
      <c r="Q41" s="398" t="s">
        <v>7086</v>
      </c>
      <c r="R41" s="398"/>
      <c r="S41" s="398"/>
      <c r="T41" s="398"/>
      <c r="U41" s="398"/>
      <c r="V41" s="398"/>
      <c r="W41" s="385"/>
      <c r="Y41" s="398" t="s">
        <v>2963</v>
      </c>
      <c r="Z41" s="1523">
        <v>15.4</v>
      </c>
      <c r="AA41" s="1523">
        <v>11.4</v>
      </c>
      <c r="AB41" s="1523">
        <v>11.3</v>
      </c>
      <c r="AC41" s="1523">
        <v>0.1</v>
      </c>
      <c r="AD41" s="1523">
        <v>4</v>
      </c>
      <c r="AE41" s="1523"/>
      <c r="AG41" s="386" t="s">
        <v>2876</v>
      </c>
      <c r="AH41" s="1523">
        <v>29.1</v>
      </c>
      <c r="AI41" s="1523">
        <v>19.399999999999999</v>
      </c>
      <c r="AJ41" s="1523">
        <v>12.3</v>
      </c>
      <c r="AK41" s="1523">
        <v>7.1</v>
      </c>
      <c r="AL41" s="1523">
        <v>9.6999999999999993</v>
      </c>
      <c r="AO41" s="386" t="s">
        <v>7087</v>
      </c>
      <c r="AP41" s="519">
        <v>250</v>
      </c>
      <c r="AQ41" s="519">
        <v>360</v>
      </c>
      <c r="AR41" s="519">
        <v>390</v>
      </c>
      <c r="AS41" s="519">
        <v>430</v>
      </c>
      <c r="AT41" s="519">
        <v>420</v>
      </c>
      <c r="AU41" s="385">
        <v>420</v>
      </c>
      <c r="AV41" s="385"/>
      <c r="AW41" s="385"/>
      <c r="AX41" s="386" t="s">
        <v>7088</v>
      </c>
      <c r="AY41" s="385">
        <v>30</v>
      </c>
      <c r="AZ41" s="385">
        <v>20</v>
      </c>
      <c r="BA41" s="385">
        <v>20</v>
      </c>
      <c r="BB41" s="385">
        <v>30</v>
      </c>
      <c r="BC41" s="385">
        <v>40</v>
      </c>
      <c r="BD41" s="385">
        <v>50</v>
      </c>
      <c r="BE41" s="385"/>
      <c r="BF41" s="515"/>
      <c r="BG41" s="382" t="s">
        <v>6908</v>
      </c>
      <c r="BH41" s="463">
        <v>6319</v>
      </c>
      <c r="BI41" s="463">
        <v>5669</v>
      </c>
      <c r="BJ41" s="463">
        <v>6548</v>
      </c>
      <c r="BK41" s="463">
        <v>10415</v>
      </c>
      <c r="BL41" s="435">
        <v>7740</v>
      </c>
      <c r="BM41" s="435">
        <v>8313</v>
      </c>
      <c r="BN41" s="435">
        <v>5753</v>
      </c>
      <c r="BO41" s="435">
        <v>3795</v>
      </c>
      <c r="BP41" s="435"/>
      <c r="BQ41" s="547"/>
      <c r="BR41" s="382" t="s">
        <v>2310</v>
      </c>
      <c r="BS41" s="435">
        <v>358</v>
      </c>
      <c r="BT41" s="933">
        <v>662375</v>
      </c>
      <c r="BU41" s="933">
        <v>168412</v>
      </c>
      <c r="BV41" s="933">
        <v>40321</v>
      </c>
      <c r="BW41" s="435">
        <v>5501</v>
      </c>
      <c r="BX41" s="435">
        <v>70</v>
      </c>
      <c r="BY41" s="435" t="s">
        <v>2315</v>
      </c>
      <c r="BZ41" s="986"/>
      <c r="CA41" s="986"/>
      <c r="CB41" s="382" t="s">
        <v>6994</v>
      </c>
      <c r="CC41" s="463">
        <v>592</v>
      </c>
      <c r="CD41" s="463">
        <v>649970</v>
      </c>
      <c r="CE41" s="463">
        <v>144516</v>
      </c>
      <c r="CF41" s="463">
        <v>35595</v>
      </c>
      <c r="CG41" s="463">
        <v>6866</v>
      </c>
      <c r="CH41" s="435" t="s">
        <v>2315</v>
      </c>
      <c r="CI41" s="435" t="s">
        <v>2315</v>
      </c>
      <c r="CJ41" s="986"/>
      <c r="CK41" s="986"/>
      <c r="CL41" s="381" t="s">
        <v>7000</v>
      </c>
      <c r="CM41" s="463">
        <v>1075</v>
      </c>
      <c r="CN41" s="463">
        <v>7685094</v>
      </c>
      <c r="CO41" s="463">
        <v>1388859</v>
      </c>
      <c r="CP41" s="463">
        <v>366878</v>
      </c>
      <c r="CQ41" s="463">
        <v>46605</v>
      </c>
      <c r="CR41" s="435" t="s">
        <v>2315</v>
      </c>
      <c r="CS41" s="435" t="s">
        <v>2315</v>
      </c>
      <c r="CT41" s="382"/>
      <c r="CU41" s="986"/>
      <c r="CV41" s="382" t="s">
        <v>7089</v>
      </c>
      <c r="CW41" s="382"/>
      <c r="CX41" s="382"/>
      <c r="CY41" s="382"/>
      <c r="CZ41" s="382"/>
      <c r="DA41" s="382"/>
      <c r="DB41" s="382"/>
      <c r="DC41" s="382"/>
      <c r="DD41" s="986"/>
      <c r="DF41" s="610" t="s">
        <v>4020</v>
      </c>
      <c r="DG41" s="441" t="s">
        <v>6926</v>
      </c>
      <c r="DH41" s="1522">
        <v>1000</v>
      </c>
      <c r="DI41" s="1522">
        <v>1000</v>
      </c>
      <c r="DJ41" s="1522">
        <v>1000</v>
      </c>
      <c r="DK41" s="441" t="s">
        <v>6926</v>
      </c>
      <c r="DL41" s="441" t="s">
        <v>6926</v>
      </c>
      <c r="DM41" s="442" t="s">
        <v>6926</v>
      </c>
    </row>
    <row r="42" spans="1:127" ht="12.95" customHeight="1">
      <c r="A42" s="398" t="s">
        <v>6982</v>
      </c>
      <c r="B42" s="515">
        <v>3970</v>
      </c>
      <c r="C42" s="515">
        <v>3940</v>
      </c>
      <c r="D42" s="515">
        <v>3940</v>
      </c>
      <c r="E42" s="1518">
        <v>3920</v>
      </c>
      <c r="F42" s="515">
        <v>3890</v>
      </c>
      <c r="G42" s="515">
        <v>3810</v>
      </c>
      <c r="H42" s="515">
        <v>3870</v>
      </c>
      <c r="I42" s="515">
        <v>3890</v>
      </c>
      <c r="J42" s="515">
        <v>3910</v>
      </c>
      <c r="K42" s="515">
        <v>3880</v>
      </c>
      <c r="L42" s="515">
        <v>3880</v>
      </c>
      <c r="M42" s="515">
        <v>3860</v>
      </c>
      <c r="N42" s="386"/>
      <c r="O42" s="386"/>
      <c r="P42" s="398"/>
      <c r="Q42" s="398" t="s">
        <v>6959</v>
      </c>
      <c r="R42" s="398">
        <v>17.420000000000002</v>
      </c>
      <c r="S42" s="398">
        <v>16.77</v>
      </c>
      <c r="T42" s="398">
        <v>16.27</v>
      </c>
      <c r="U42" s="398">
        <v>15.52</v>
      </c>
      <c r="V42" s="398">
        <v>14.83</v>
      </c>
      <c r="W42" s="385"/>
      <c r="X42" s="385"/>
      <c r="Y42" s="386" t="s">
        <v>2876</v>
      </c>
      <c r="Z42" s="1523">
        <v>30.1</v>
      </c>
      <c r="AA42" s="1523">
        <v>19</v>
      </c>
      <c r="AB42" s="1523">
        <v>12.2</v>
      </c>
      <c r="AC42" s="1523">
        <v>6.8</v>
      </c>
      <c r="AD42" s="1523">
        <v>11.1</v>
      </c>
      <c r="AE42" s="1523"/>
      <c r="AF42" s="398"/>
      <c r="AG42" s="398" t="s">
        <v>2880</v>
      </c>
      <c r="AH42" s="1523">
        <v>57.5</v>
      </c>
      <c r="AI42" s="1523">
        <v>35.5</v>
      </c>
      <c r="AJ42" s="1523">
        <v>22.7</v>
      </c>
      <c r="AK42" s="1523">
        <v>12.8</v>
      </c>
      <c r="AL42" s="1523">
        <v>22</v>
      </c>
      <c r="AM42" s="398"/>
      <c r="AN42" s="398"/>
      <c r="AO42" s="386" t="s">
        <v>7090</v>
      </c>
      <c r="AP42" s="519" t="s">
        <v>2835</v>
      </c>
      <c r="AQ42" s="519" t="s">
        <v>2835</v>
      </c>
      <c r="AR42" s="519" t="s">
        <v>2835</v>
      </c>
      <c r="AS42" s="519" t="s">
        <v>2835</v>
      </c>
      <c r="AT42" s="519" t="s">
        <v>2835</v>
      </c>
      <c r="AU42" s="519" t="s">
        <v>2835</v>
      </c>
      <c r="AV42" s="519"/>
      <c r="AW42" s="519"/>
      <c r="AX42" s="386" t="s">
        <v>7091</v>
      </c>
      <c r="AY42" s="385">
        <v>50</v>
      </c>
      <c r="AZ42" s="385">
        <v>90</v>
      </c>
      <c r="BA42" s="385">
        <v>110</v>
      </c>
      <c r="BB42" s="385">
        <v>110</v>
      </c>
      <c r="BC42" s="385">
        <v>100</v>
      </c>
      <c r="BD42" s="385">
        <v>100</v>
      </c>
      <c r="BE42" s="385"/>
      <c r="BF42" s="515"/>
      <c r="BG42" s="382" t="s">
        <v>7039</v>
      </c>
      <c r="BH42" s="463">
        <v>931</v>
      </c>
      <c r="BI42" s="463">
        <v>942</v>
      </c>
      <c r="BJ42" s="463">
        <v>1282</v>
      </c>
      <c r="BK42" s="463">
        <v>1495</v>
      </c>
      <c r="BL42" s="435">
        <v>1155</v>
      </c>
      <c r="BM42" s="435">
        <v>1320</v>
      </c>
      <c r="BN42" s="435">
        <v>1130</v>
      </c>
      <c r="BO42" s="435">
        <v>1320</v>
      </c>
      <c r="BP42" s="435"/>
      <c r="BQ42" s="547"/>
      <c r="BR42" s="382" t="s">
        <v>6954</v>
      </c>
      <c r="BS42" s="435">
        <v>58</v>
      </c>
      <c r="BT42" s="933">
        <v>95565</v>
      </c>
      <c r="BU42" s="933">
        <v>24957</v>
      </c>
      <c r="BV42" s="933">
        <v>5669</v>
      </c>
      <c r="BW42" s="435">
        <v>942</v>
      </c>
      <c r="BX42" s="435">
        <v>6</v>
      </c>
      <c r="BY42" s="435" t="s">
        <v>2315</v>
      </c>
      <c r="BZ42" s="986"/>
      <c r="CA42" s="986"/>
      <c r="CB42" s="398" t="s">
        <v>6999</v>
      </c>
      <c r="CC42" s="515">
        <v>1325</v>
      </c>
      <c r="CD42" s="515">
        <v>2682329</v>
      </c>
      <c r="CE42" s="515">
        <v>580636</v>
      </c>
      <c r="CF42" s="515">
        <v>141654</v>
      </c>
      <c r="CG42" s="515">
        <v>22832</v>
      </c>
      <c r="CH42" s="435" t="s">
        <v>2315</v>
      </c>
      <c r="CI42" s="435" t="s">
        <v>2315</v>
      </c>
      <c r="CJ42" s="986"/>
      <c r="CK42" s="986"/>
      <c r="CL42" s="382" t="s">
        <v>6945</v>
      </c>
      <c r="CM42" s="415"/>
      <c r="CN42" s="415"/>
      <c r="CO42" s="415"/>
      <c r="CP42" s="415"/>
      <c r="CQ42" s="415"/>
      <c r="CR42" s="415"/>
      <c r="CS42" s="415"/>
      <c r="CT42" s="398"/>
      <c r="CU42" s="986"/>
      <c r="CV42" s="597"/>
      <c r="CW42" s="404"/>
      <c r="CX42" s="404"/>
      <c r="CY42" s="404"/>
      <c r="CZ42" s="404"/>
      <c r="DA42" s="404" t="s">
        <v>6867</v>
      </c>
      <c r="DB42" s="404"/>
      <c r="DC42" s="405"/>
      <c r="DD42" s="986"/>
      <c r="DF42" s="382" t="s">
        <v>6933</v>
      </c>
      <c r="DG42" s="876">
        <v>3508</v>
      </c>
      <c r="DH42" s="876">
        <v>8465399</v>
      </c>
      <c r="DI42" s="876">
        <v>1630287</v>
      </c>
      <c r="DJ42" s="876">
        <v>396677</v>
      </c>
      <c r="DK42" s="876">
        <v>60539</v>
      </c>
      <c r="DL42" s="435" t="s">
        <v>2315</v>
      </c>
      <c r="DM42" s="435" t="s">
        <v>2315</v>
      </c>
    </row>
    <row r="43" spans="1:127" ht="12.95" customHeight="1">
      <c r="A43" s="387" t="s">
        <v>6990</v>
      </c>
      <c r="B43" s="766">
        <v>12010</v>
      </c>
      <c r="C43" s="766">
        <v>11920</v>
      </c>
      <c r="D43" s="766">
        <v>11080</v>
      </c>
      <c r="E43" s="1528">
        <v>11750</v>
      </c>
      <c r="F43" s="766">
        <v>11910</v>
      </c>
      <c r="G43" s="766">
        <v>11730</v>
      </c>
      <c r="H43" s="766">
        <v>11240</v>
      </c>
      <c r="I43" s="766">
        <v>12240</v>
      </c>
      <c r="J43" s="766">
        <v>11710</v>
      </c>
      <c r="K43" s="766">
        <v>11500</v>
      </c>
      <c r="L43" s="766">
        <v>10740</v>
      </c>
      <c r="M43" s="766">
        <v>11550</v>
      </c>
      <c r="N43" s="386"/>
      <c r="Q43" s="387" t="s">
        <v>25</v>
      </c>
      <c r="R43" s="398">
        <v>17.87</v>
      </c>
      <c r="S43" s="398">
        <v>17.12</v>
      </c>
      <c r="T43" s="398">
        <v>16.23</v>
      </c>
      <c r="U43" s="398">
        <v>16.170000000000002</v>
      </c>
      <c r="V43" s="398">
        <v>17.38</v>
      </c>
      <c r="W43" s="1533"/>
      <c r="X43" s="1533"/>
      <c r="Y43" s="398" t="s">
        <v>2880</v>
      </c>
      <c r="Z43" s="1523">
        <v>53.3</v>
      </c>
      <c r="AA43" s="1523">
        <v>31.1</v>
      </c>
      <c r="AB43" s="1523">
        <v>17.899999999999999</v>
      </c>
      <c r="AC43" s="1523">
        <v>13.2</v>
      </c>
      <c r="AD43" s="1523">
        <v>22.2</v>
      </c>
      <c r="AE43" s="1523"/>
      <c r="AF43" s="398"/>
      <c r="AG43" s="398" t="s">
        <v>2828</v>
      </c>
      <c r="AH43" s="1523">
        <v>178.6</v>
      </c>
      <c r="AI43" s="1523">
        <v>117.1</v>
      </c>
      <c r="AJ43" s="1523">
        <v>68.8</v>
      </c>
      <c r="AK43" s="1523">
        <v>48.4</v>
      </c>
      <c r="AL43" s="1523">
        <v>61.5</v>
      </c>
      <c r="AM43" s="398"/>
      <c r="AN43" s="398"/>
      <c r="AO43" s="386" t="s">
        <v>7093</v>
      </c>
      <c r="AP43" s="519" t="s">
        <v>2835</v>
      </c>
      <c r="AQ43" s="519" t="s">
        <v>2835</v>
      </c>
      <c r="AR43" s="519" t="s">
        <v>2835</v>
      </c>
      <c r="AS43" s="519" t="s">
        <v>2835</v>
      </c>
      <c r="AT43" s="519" t="s">
        <v>2835</v>
      </c>
      <c r="AU43" s="519" t="s">
        <v>2835</v>
      </c>
      <c r="AV43" s="519"/>
      <c r="AW43" s="519"/>
      <c r="AX43" s="386" t="s">
        <v>7094</v>
      </c>
      <c r="AY43" s="385">
        <v>70</v>
      </c>
      <c r="AZ43" s="385">
        <v>130</v>
      </c>
      <c r="BA43" s="385">
        <v>150</v>
      </c>
      <c r="BB43" s="385">
        <v>150</v>
      </c>
      <c r="BC43" s="385">
        <v>150</v>
      </c>
      <c r="BD43" s="385">
        <v>130</v>
      </c>
      <c r="BE43" s="385"/>
      <c r="BF43" s="515"/>
      <c r="BG43" s="382" t="s">
        <v>7046</v>
      </c>
      <c r="BH43" s="463">
        <v>10</v>
      </c>
      <c r="BI43" s="463">
        <v>6</v>
      </c>
      <c r="BJ43" s="463">
        <v>10</v>
      </c>
      <c r="BK43" s="435">
        <v>12</v>
      </c>
      <c r="BL43" s="435">
        <v>10</v>
      </c>
      <c r="BM43" s="435">
        <v>25</v>
      </c>
      <c r="BN43" s="435">
        <v>15</v>
      </c>
      <c r="BO43" s="435">
        <v>3</v>
      </c>
      <c r="BP43" s="435"/>
      <c r="BQ43" s="547"/>
      <c r="BR43" s="382" t="s">
        <v>6963</v>
      </c>
      <c r="BS43" s="435">
        <v>228</v>
      </c>
      <c r="BT43" s="933">
        <v>1016175</v>
      </c>
      <c r="BU43" s="933">
        <v>87524</v>
      </c>
      <c r="BV43" s="933">
        <v>20955</v>
      </c>
      <c r="BW43" s="435">
        <v>3074</v>
      </c>
      <c r="BX43" s="435">
        <v>30</v>
      </c>
      <c r="BY43" s="435" t="s">
        <v>2315</v>
      </c>
      <c r="BZ43" s="986"/>
      <c r="CA43" s="986"/>
      <c r="CB43" s="398" t="s">
        <v>7006</v>
      </c>
      <c r="CC43" s="515">
        <v>429</v>
      </c>
      <c r="CD43" s="515">
        <v>977533</v>
      </c>
      <c r="CE43" s="515">
        <v>164497</v>
      </c>
      <c r="CF43" s="515">
        <v>39114</v>
      </c>
      <c r="CG43" s="515">
        <v>6692</v>
      </c>
      <c r="CH43" s="435" t="s">
        <v>2315</v>
      </c>
      <c r="CI43" s="435" t="s">
        <v>2315</v>
      </c>
      <c r="CJ43" s="986"/>
      <c r="CK43" s="986"/>
      <c r="CL43" s="382" t="s">
        <v>7092</v>
      </c>
      <c r="CM43" s="398"/>
      <c r="CN43" s="398"/>
      <c r="CO43" s="398"/>
      <c r="CP43" s="398"/>
      <c r="CQ43" s="398"/>
      <c r="CR43" s="398"/>
      <c r="CS43" s="398"/>
      <c r="CT43" s="986"/>
      <c r="CU43" s="986"/>
      <c r="CV43" s="382"/>
      <c r="CW43" s="667"/>
      <c r="CX43" s="667" t="s">
        <v>6877</v>
      </c>
      <c r="CY43" s="667"/>
      <c r="CZ43" s="667"/>
      <c r="DA43" s="667" t="s">
        <v>6878</v>
      </c>
      <c r="DB43" s="667" t="s">
        <v>6879</v>
      </c>
      <c r="DC43" s="465"/>
      <c r="DD43" s="986"/>
      <c r="DF43" s="382" t="s">
        <v>2251</v>
      </c>
      <c r="DG43" s="876">
        <v>30</v>
      </c>
      <c r="DH43" s="435">
        <v>11477</v>
      </c>
      <c r="DI43" s="435">
        <v>5166</v>
      </c>
      <c r="DJ43" s="435">
        <v>1374</v>
      </c>
      <c r="DK43" s="435">
        <v>161</v>
      </c>
      <c r="DL43" s="435" t="s">
        <v>2315</v>
      </c>
      <c r="DM43" s="435" t="s">
        <v>2315</v>
      </c>
      <c r="DP43" s="382" t="s">
        <v>7095</v>
      </c>
      <c r="DQ43" s="382"/>
      <c r="DR43" s="382"/>
      <c r="DS43" s="382"/>
      <c r="DT43" s="382"/>
      <c r="DU43" s="382"/>
      <c r="DV43" s="382"/>
      <c r="DW43" s="382"/>
    </row>
    <row r="44" spans="1:127" ht="12.95" customHeight="1">
      <c r="A44" s="709" t="s">
        <v>6848</v>
      </c>
      <c r="B44" s="709"/>
      <c r="C44" s="709"/>
      <c r="D44" s="709"/>
      <c r="E44" s="709"/>
      <c r="F44" s="709"/>
      <c r="G44" s="709"/>
      <c r="H44" s="709"/>
      <c r="I44" s="709"/>
      <c r="J44" s="398"/>
      <c r="K44" s="398"/>
      <c r="L44" s="398"/>
      <c r="M44" s="398"/>
      <c r="Q44" s="709" t="s">
        <v>6848</v>
      </c>
      <c r="R44" s="709"/>
      <c r="S44" s="709"/>
      <c r="T44" s="709"/>
      <c r="U44" s="709"/>
      <c r="V44" s="709"/>
      <c r="W44" s="1540"/>
      <c r="X44" s="385"/>
      <c r="Y44" s="398" t="s">
        <v>2828</v>
      </c>
      <c r="Z44" s="1523">
        <v>175.9</v>
      </c>
      <c r="AA44" s="1523">
        <v>107.9</v>
      </c>
      <c r="AB44" s="1523">
        <v>55.6</v>
      </c>
      <c r="AC44" s="1523">
        <v>52.3</v>
      </c>
      <c r="AD44" s="1523">
        <v>68</v>
      </c>
      <c r="AE44" s="1523"/>
      <c r="AF44" s="385"/>
      <c r="AG44" s="398" t="s">
        <v>2877</v>
      </c>
      <c r="AH44" s="1523">
        <v>26.3</v>
      </c>
      <c r="AI44" s="1523">
        <v>12.8</v>
      </c>
      <c r="AJ44" s="1523">
        <v>6.4</v>
      </c>
      <c r="AK44" s="1523">
        <v>6.5</v>
      </c>
      <c r="AL44" s="1523">
        <v>13.5</v>
      </c>
      <c r="AM44" s="385"/>
      <c r="AN44" s="385"/>
      <c r="AO44" s="398" t="s">
        <v>7096</v>
      </c>
      <c r="AP44" s="519" t="s">
        <v>2835</v>
      </c>
      <c r="AQ44" s="519" t="s">
        <v>2835</v>
      </c>
      <c r="AR44" s="519" t="s">
        <v>2835</v>
      </c>
      <c r="AS44" s="519" t="s">
        <v>2835</v>
      </c>
      <c r="AT44" s="519" t="s">
        <v>2835</v>
      </c>
      <c r="AU44" s="519" t="s">
        <v>2835</v>
      </c>
      <c r="AV44" s="519"/>
      <c r="AW44" s="519"/>
      <c r="AX44" s="386" t="s">
        <v>7097</v>
      </c>
      <c r="AY44" s="757" t="s">
        <v>2835</v>
      </c>
      <c r="AZ44" s="757">
        <v>30</v>
      </c>
      <c r="BA44" s="757">
        <v>30</v>
      </c>
      <c r="BB44" s="757" t="s">
        <v>2835</v>
      </c>
      <c r="BC44" s="385">
        <v>20</v>
      </c>
      <c r="BD44" s="385">
        <v>30</v>
      </c>
      <c r="BE44" s="385"/>
      <c r="BF44" s="515"/>
      <c r="BG44" s="381" t="s">
        <v>7051</v>
      </c>
      <c r="BH44" s="477" t="s">
        <v>2315</v>
      </c>
      <c r="BI44" s="477" t="s">
        <v>2315</v>
      </c>
      <c r="BJ44" s="477" t="s">
        <v>2315</v>
      </c>
      <c r="BK44" s="556" t="s">
        <v>2315</v>
      </c>
      <c r="BL44" s="435">
        <v>1</v>
      </c>
      <c r="BM44" s="435">
        <v>4</v>
      </c>
      <c r="BN44" s="435">
        <v>8</v>
      </c>
      <c r="BO44" s="435">
        <v>1</v>
      </c>
      <c r="BP44" s="435"/>
      <c r="BQ44" s="547"/>
      <c r="BR44" s="382" t="s">
        <v>6970</v>
      </c>
      <c r="BS44" s="435">
        <v>680</v>
      </c>
      <c r="BT44" s="933">
        <v>2063574</v>
      </c>
      <c r="BU44" s="933">
        <v>222916</v>
      </c>
      <c r="BV44" s="933">
        <v>55444</v>
      </c>
      <c r="BW44" s="435">
        <v>10073</v>
      </c>
      <c r="BX44" s="435">
        <v>137</v>
      </c>
      <c r="BY44" s="435" t="s">
        <v>2315</v>
      </c>
      <c r="BZ44" s="986"/>
      <c r="CA44" s="986"/>
      <c r="CB44" s="387" t="s">
        <v>7012</v>
      </c>
      <c r="CC44" s="766">
        <v>1162</v>
      </c>
      <c r="CD44" s="766">
        <v>4155569</v>
      </c>
      <c r="CE44" s="766">
        <v>740639</v>
      </c>
      <c r="CF44" s="766">
        <v>180312</v>
      </c>
      <c r="CG44" s="766">
        <v>24149</v>
      </c>
      <c r="CH44" s="556" t="s">
        <v>2315</v>
      </c>
      <c r="CI44" s="556" t="s">
        <v>2315</v>
      </c>
      <c r="CJ44" s="986"/>
      <c r="CK44" s="986"/>
      <c r="CL44" s="398" t="s">
        <v>6985</v>
      </c>
      <c r="CM44" s="986"/>
      <c r="CN44" s="986"/>
      <c r="CO44" s="986"/>
      <c r="CP44" s="986"/>
      <c r="CQ44" s="986"/>
      <c r="CR44" s="986"/>
      <c r="CS44" s="986"/>
      <c r="CU44" s="986"/>
      <c r="CV44" s="523"/>
      <c r="CW44" s="667"/>
      <c r="CX44" s="667" t="s">
        <v>6884</v>
      </c>
      <c r="CY44" s="667"/>
      <c r="CZ44" s="667" t="s">
        <v>6885</v>
      </c>
      <c r="DA44" s="667" t="s">
        <v>6886</v>
      </c>
      <c r="DB44" s="667" t="s">
        <v>6887</v>
      </c>
      <c r="DC44" s="465" t="s">
        <v>6888</v>
      </c>
      <c r="DD44" s="986"/>
      <c r="DF44" s="386" t="s">
        <v>2381</v>
      </c>
      <c r="DG44" s="933">
        <v>38</v>
      </c>
      <c r="DH44" s="933">
        <v>58252</v>
      </c>
      <c r="DI44" s="933">
        <v>11041</v>
      </c>
      <c r="DJ44" s="933">
        <v>2721</v>
      </c>
      <c r="DK44" s="933">
        <v>395</v>
      </c>
      <c r="DL44" s="435" t="s">
        <v>2315</v>
      </c>
      <c r="DM44" s="435" t="s">
        <v>2315</v>
      </c>
      <c r="DP44" s="597"/>
      <c r="DQ44" s="404"/>
      <c r="DR44" s="404"/>
      <c r="DS44" s="404"/>
      <c r="DT44" s="404"/>
      <c r="DU44" s="404" t="s">
        <v>6867</v>
      </c>
      <c r="DV44" s="404"/>
      <c r="DW44" s="405"/>
    </row>
    <row r="45" spans="1:127" ht="12.95" customHeight="1">
      <c r="A45" s="386" t="s">
        <v>7002</v>
      </c>
      <c r="B45" s="386"/>
      <c r="C45" s="386"/>
      <c r="D45" s="386"/>
      <c r="E45" s="386"/>
      <c r="F45" s="386"/>
      <c r="G45" s="386"/>
      <c r="H45" s="386"/>
      <c r="I45" s="386"/>
      <c r="J45" s="386"/>
      <c r="K45" s="386"/>
      <c r="L45" s="386"/>
      <c r="M45" s="386"/>
      <c r="Q45" s="398" t="s">
        <v>7098</v>
      </c>
      <c r="R45" s="402"/>
      <c r="S45" s="402"/>
      <c r="T45" s="402"/>
      <c r="U45" s="402"/>
      <c r="V45" s="398"/>
      <c r="W45" s="1540"/>
      <c r="X45" s="385"/>
      <c r="Y45" s="398" t="s">
        <v>2877</v>
      </c>
      <c r="Z45" s="1523">
        <v>28.8</v>
      </c>
      <c r="AA45" s="1523">
        <v>13.2</v>
      </c>
      <c r="AB45" s="1523">
        <v>6.4</v>
      </c>
      <c r="AC45" s="1523">
        <v>6.8</v>
      </c>
      <c r="AD45" s="1523">
        <v>15.6</v>
      </c>
      <c r="AE45" s="1523"/>
      <c r="AG45" s="398" t="s">
        <v>2962</v>
      </c>
      <c r="AH45" s="1523">
        <v>6.9</v>
      </c>
      <c r="AI45" s="1523">
        <v>3.7</v>
      </c>
      <c r="AJ45" s="1523">
        <v>2.5</v>
      </c>
      <c r="AK45" s="1523">
        <v>1.2</v>
      </c>
      <c r="AL45" s="1523">
        <v>3.2</v>
      </c>
      <c r="AO45" s="387" t="s">
        <v>7099</v>
      </c>
      <c r="AP45" s="1545">
        <v>60</v>
      </c>
      <c r="AQ45" s="1545">
        <v>90</v>
      </c>
      <c r="AR45" s="1545">
        <v>90</v>
      </c>
      <c r="AS45" s="1545">
        <v>70</v>
      </c>
      <c r="AT45" s="1545">
        <v>100</v>
      </c>
      <c r="AU45" s="387">
        <v>80</v>
      </c>
      <c r="AV45" s="398"/>
      <c r="AW45" s="385"/>
      <c r="AX45" s="386" t="s">
        <v>7100</v>
      </c>
      <c r="AY45" s="385">
        <v>80</v>
      </c>
      <c r="AZ45" s="385">
        <v>160</v>
      </c>
      <c r="BA45" s="385">
        <v>140</v>
      </c>
      <c r="BB45" s="385">
        <v>150</v>
      </c>
      <c r="BC45" s="385">
        <v>150</v>
      </c>
      <c r="BD45" s="385">
        <v>130</v>
      </c>
      <c r="BE45" s="385"/>
      <c r="BF45" s="515"/>
      <c r="BG45" s="382" t="s">
        <v>6945</v>
      </c>
      <c r="BH45" s="382"/>
      <c r="BI45" s="382"/>
      <c r="BJ45" s="942"/>
      <c r="BK45" s="942"/>
      <c r="BL45" s="942"/>
      <c r="BM45" s="942"/>
      <c r="BN45" s="942"/>
      <c r="BO45" s="942"/>
      <c r="BP45" s="439"/>
      <c r="BQ45" s="547"/>
      <c r="BR45" s="382" t="s">
        <v>6979</v>
      </c>
      <c r="BS45" s="463">
        <v>95</v>
      </c>
      <c r="BT45" s="876">
        <v>378143</v>
      </c>
      <c r="BU45" s="876">
        <v>102658</v>
      </c>
      <c r="BV45" s="876">
        <v>24843</v>
      </c>
      <c r="BW45" s="463">
        <v>2885</v>
      </c>
      <c r="BX45" s="435">
        <v>15</v>
      </c>
      <c r="BY45" s="435" t="s">
        <v>2315</v>
      </c>
      <c r="BZ45" s="986"/>
      <c r="CA45" s="986"/>
      <c r="CB45" s="382" t="s">
        <v>6945</v>
      </c>
      <c r="CC45" s="398"/>
      <c r="CD45" s="398"/>
      <c r="CE45" s="398"/>
      <c r="CF45" s="398"/>
      <c r="CG45" s="398"/>
      <c r="CH45" s="398"/>
      <c r="CI45" s="398"/>
      <c r="CJ45" s="986"/>
      <c r="CK45" s="986"/>
      <c r="CU45" s="986"/>
      <c r="CV45" s="433"/>
      <c r="CW45" s="667" t="s">
        <v>6894</v>
      </c>
      <c r="CX45" s="667" t="s">
        <v>6895</v>
      </c>
      <c r="CY45" s="667" t="s">
        <v>119</v>
      </c>
      <c r="CZ45" s="667" t="s">
        <v>6896</v>
      </c>
      <c r="DA45" s="667" t="s">
        <v>6897</v>
      </c>
      <c r="DB45" s="667" t="s">
        <v>6898</v>
      </c>
      <c r="DC45" s="465" t="s">
        <v>6899</v>
      </c>
      <c r="DD45" s="986"/>
      <c r="DF45" s="386" t="s">
        <v>4393</v>
      </c>
      <c r="DG45" s="933">
        <v>16</v>
      </c>
      <c r="DH45" s="933">
        <v>56618</v>
      </c>
      <c r="DI45" s="933">
        <v>7800</v>
      </c>
      <c r="DJ45" s="933">
        <v>2175</v>
      </c>
      <c r="DK45" s="933">
        <v>292</v>
      </c>
      <c r="DL45" s="435" t="s">
        <v>2315</v>
      </c>
      <c r="DM45" s="435" t="s">
        <v>2315</v>
      </c>
      <c r="DP45" s="382"/>
      <c r="DQ45" s="667"/>
      <c r="DR45" s="667" t="s">
        <v>6877</v>
      </c>
      <c r="DS45" s="667"/>
      <c r="DT45" s="667"/>
      <c r="DU45" s="667" t="s">
        <v>6878</v>
      </c>
      <c r="DV45" s="667" t="s">
        <v>6879</v>
      </c>
      <c r="DW45" s="465"/>
    </row>
    <row r="46" spans="1:127" ht="12.95" customHeight="1">
      <c r="A46" s="386" t="s">
        <v>7007</v>
      </c>
      <c r="B46" s="386"/>
      <c r="C46" s="386"/>
      <c r="D46" s="386"/>
      <c r="E46" s="386"/>
      <c r="F46" s="386"/>
      <c r="G46" s="386"/>
      <c r="H46" s="386"/>
      <c r="I46" s="386"/>
      <c r="J46" s="386"/>
      <c r="K46" s="386"/>
      <c r="L46" s="386"/>
      <c r="M46" s="386"/>
      <c r="W46" s="1540"/>
      <c r="X46" s="385"/>
      <c r="Y46" s="398" t="s">
        <v>2962</v>
      </c>
      <c r="Z46" s="1546">
        <v>7.9</v>
      </c>
      <c r="AA46" s="1523">
        <v>4.0999999999999996</v>
      </c>
      <c r="AB46" s="1523">
        <v>2.9</v>
      </c>
      <c r="AC46" s="1523">
        <v>1.2</v>
      </c>
      <c r="AD46" s="1523">
        <v>3.8</v>
      </c>
      <c r="AE46" s="1523"/>
      <c r="AG46" s="398" t="s">
        <v>1968</v>
      </c>
      <c r="AH46" s="1523">
        <v>0.2</v>
      </c>
      <c r="AI46" s="1523">
        <v>0.1</v>
      </c>
      <c r="AJ46" s="1523">
        <v>0.1</v>
      </c>
      <c r="AK46" s="862" t="s">
        <v>1098</v>
      </c>
      <c r="AL46" s="1523">
        <v>0.1</v>
      </c>
      <c r="AO46" s="398" t="s">
        <v>8728</v>
      </c>
      <c r="AP46" s="398"/>
      <c r="AQ46" s="398"/>
      <c r="AR46" s="398"/>
      <c r="AS46" s="398"/>
      <c r="AT46" s="398"/>
      <c r="AU46" s="398"/>
      <c r="AV46" s="398"/>
      <c r="AX46" s="386" t="s">
        <v>7101</v>
      </c>
      <c r="AY46" s="757" t="s">
        <v>2835</v>
      </c>
      <c r="AZ46" s="385">
        <v>50</v>
      </c>
      <c r="BA46" s="385">
        <v>30</v>
      </c>
      <c r="BB46" s="385">
        <v>50</v>
      </c>
      <c r="BC46" s="385">
        <v>40</v>
      </c>
      <c r="BD46" s="385">
        <v>30</v>
      </c>
      <c r="BE46" s="385"/>
      <c r="BF46" s="515"/>
      <c r="BG46" s="382" t="s">
        <v>6953</v>
      </c>
      <c r="BH46" s="382"/>
      <c r="BI46" s="382"/>
      <c r="BJ46" s="398"/>
      <c r="BK46" s="398"/>
      <c r="BL46" s="439"/>
      <c r="BM46" s="439"/>
      <c r="BN46" s="439"/>
      <c r="BO46" s="439"/>
      <c r="BP46" s="439"/>
      <c r="BQ46" s="547"/>
      <c r="BR46" s="382" t="s">
        <v>6986</v>
      </c>
      <c r="BS46" s="463">
        <v>64</v>
      </c>
      <c r="BT46" s="876">
        <v>332409</v>
      </c>
      <c r="BU46" s="876">
        <v>77611</v>
      </c>
      <c r="BV46" s="876">
        <v>19281</v>
      </c>
      <c r="BW46" s="463">
        <v>1998</v>
      </c>
      <c r="BX46" s="435">
        <v>11</v>
      </c>
      <c r="BY46" s="435" t="s">
        <v>2315</v>
      </c>
      <c r="BZ46" s="562"/>
      <c r="CA46" s="562"/>
      <c r="CB46" s="382" t="s">
        <v>7092</v>
      </c>
      <c r="CC46" s="382"/>
      <c r="CD46" s="382"/>
      <c r="CE46" s="382"/>
      <c r="CF46" s="382"/>
      <c r="CG46" s="398" t="s">
        <v>3348</v>
      </c>
      <c r="CH46" s="398"/>
      <c r="CI46" s="398"/>
      <c r="CJ46" s="562"/>
      <c r="CK46" s="562"/>
      <c r="CL46" s="562"/>
      <c r="CM46" s="562"/>
      <c r="CN46" s="562"/>
      <c r="CO46" s="562"/>
      <c r="CP46" s="562"/>
      <c r="CQ46" s="562"/>
      <c r="CR46" s="562"/>
      <c r="CS46" s="562"/>
      <c r="CT46" s="562"/>
      <c r="CU46" s="562"/>
      <c r="CV46" s="433" t="s">
        <v>3173</v>
      </c>
      <c r="CW46" s="667" t="s">
        <v>6909</v>
      </c>
      <c r="CX46" s="667" t="s">
        <v>6910</v>
      </c>
      <c r="CY46" s="667" t="s">
        <v>6911</v>
      </c>
      <c r="CZ46" s="667" t="s">
        <v>6911</v>
      </c>
      <c r="DA46" s="1521" t="s">
        <v>6912</v>
      </c>
      <c r="DB46" s="667" t="s">
        <v>6913</v>
      </c>
      <c r="DC46" s="465" t="s">
        <v>6914</v>
      </c>
      <c r="DD46" s="562"/>
      <c r="DF46" s="386" t="s">
        <v>2253</v>
      </c>
      <c r="DG46" s="933">
        <v>286</v>
      </c>
      <c r="DH46" s="933">
        <v>548698</v>
      </c>
      <c r="DI46" s="933">
        <v>92491</v>
      </c>
      <c r="DJ46" s="933">
        <v>21921</v>
      </c>
      <c r="DK46" s="933">
        <v>3757</v>
      </c>
      <c r="DL46" s="435" t="s">
        <v>2315</v>
      </c>
      <c r="DM46" s="435" t="s">
        <v>2315</v>
      </c>
      <c r="DP46" s="523"/>
      <c r="DQ46" s="667"/>
      <c r="DR46" s="667" t="s">
        <v>6884</v>
      </c>
      <c r="DS46" s="667"/>
      <c r="DT46" s="667" t="s">
        <v>6885</v>
      </c>
      <c r="DU46" s="667" t="s">
        <v>6886</v>
      </c>
      <c r="DV46" s="667" t="s">
        <v>6887</v>
      </c>
      <c r="DW46" s="465" t="s">
        <v>6888</v>
      </c>
    </row>
    <row r="47" spans="1:127" ht="12.95" customHeight="1">
      <c r="A47" s="386" t="s">
        <v>7014</v>
      </c>
      <c r="B47" s="386"/>
      <c r="C47" s="386"/>
      <c r="D47" s="386"/>
      <c r="E47" s="386"/>
      <c r="F47" s="386"/>
      <c r="G47" s="386"/>
      <c r="H47" s="386"/>
      <c r="I47" s="386"/>
      <c r="J47" s="386"/>
      <c r="K47" s="386"/>
      <c r="L47" s="386"/>
      <c r="M47" s="386"/>
      <c r="N47" s="398"/>
      <c r="Q47" s="398"/>
      <c r="R47" s="398"/>
      <c r="S47" s="398"/>
      <c r="T47" s="398"/>
      <c r="U47" s="398"/>
      <c r="V47" s="398"/>
      <c r="W47" s="1540"/>
      <c r="X47" s="385"/>
      <c r="Y47" s="398" t="s">
        <v>1968</v>
      </c>
      <c r="Z47" s="1523">
        <v>0.2</v>
      </c>
      <c r="AA47" s="1546">
        <v>0.2</v>
      </c>
      <c r="AB47" s="1546">
        <v>0.1</v>
      </c>
      <c r="AC47" s="757" t="s">
        <v>7083</v>
      </c>
      <c r="AD47" s="1546">
        <v>0.1</v>
      </c>
      <c r="AE47" s="1523"/>
      <c r="AG47" s="398" t="s">
        <v>2858</v>
      </c>
      <c r="AH47" s="1546">
        <v>52.6</v>
      </c>
      <c r="AI47" s="1546">
        <v>32.299999999999997</v>
      </c>
      <c r="AJ47" s="1546">
        <v>22.3</v>
      </c>
      <c r="AK47" s="1546">
        <v>10</v>
      </c>
      <c r="AL47" s="1546">
        <v>20.3</v>
      </c>
      <c r="AO47" s="398" t="s">
        <v>7103</v>
      </c>
      <c r="AP47" s="398"/>
      <c r="AQ47" s="398"/>
      <c r="AR47" s="398"/>
      <c r="AS47" s="398"/>
      <c r="AT47" s="398"/>
      <c r="AU47" s="398"/>
      <c r="AV47" s="398"/>
      <c r="AX47" s="386" t="s">
        <v>7102</v>
      </c>
      <c r="AY47" s="385">
        <v>20</v>
      </c>
      <c r="AZ47" s="385">
        <v>40</v>
      </c>
      <c r="BA47" s="385">
        <v>30</v>
      </c>
      <c r="BB47" s="385">
        <v>30</v>
      </c>
      <c r="BC47" s="385">
        <v>30</v>
      </c>
      <c r="BD47" s="385">
        <v>30</v>
      </c>
      <c r="BE47" s="385"/>
      <c r="BF47" s="515"/>
      <c r="BG47" s="382" t="s">
        <v>6962</v>
      </c>
      <c r="BH47" s="382"/>
      <c r="BI47" s="382"/>
      <c r="BJ47" s="439"/>
      <c r="BK47" s="439"/>
      <c r="BL47" s="439"/>
      <c r="BM47" s="439"/>
      <c r="BN47" s="439"/>
      <c r="BO47" s="439"/>
      <c r="BP47" s="439"/>
      <c r="BQ47" s="547"/>
      <c r="BR47" s="382" t="s">
        <v>6993</v>
      </c>
      <c r="BS47" s="463">
        <v>130</v>
      </c>
      <c r="BT47" s="876">
        <v>647256</v>
      </c>
      <c r="BU47" s="876">
        <v>99828</v>
      </c>
      <c r="BV47" s="876">
        <v>23091</v>
      </c>
      <c r="BW47" s="463">
        <v>2270</v>
      </c>
      <c r="BX47" s="435">
        <v>6</v>
      </c>
      <c r="BY47" s="435" t="s">
        <v>2315</v>
      </c>
      <c r="BZ47" s="562"/>
      <c r="CA47" s="562"/>
      <c r="CB47" s="382"/>
      <c r="CC47" s="398"/>
      <c r="CD47" s="398"/>
      <c r="CE47" s="398"/>
      <c r="CF47" s="398"/>
      <c r="CG47" s="398"/>
      <c r="CH47" s="398"/>
      <c r="CI47" s="398"/>
      <c r="CJ47" s="562"/>
      <c r="CK47" s="562"/>
      <c r="CL47" s="562"/>
      <c r="CM47" s="562"/>
      <c r="CN47" s="562"/>
      <c r="CO47" s="562"/>
      <c r="CP47" s="562"/>
      <c r="CQ47" s="562"/>
      <c r="CR47" s="562"/>
      <c r="CS47" s="562"/>
      <c r="CT47" s="562"/>
      <c r="CU47" s="562"/>
      <c r="CV47" s="610" t="s">
        <v>6928</v>
      </c>
      <c r="CW47" s="441" t="s">
        <v>6926</v>
      </c>
      <c r="CX47" s="1522">
        <v>1000</v>
      </c>
      <c r="CY47" s="1522">
        <v>1000</v>
      </c>
      <c r="CZ47" s="1522">
        <v>1000</v>
      </c>
      <c r="DA47" s="441" t="s">
        <v>6926</v>
      </c>
      <c r="DB47" s="441" t="s">
        <v>6926</v>
      </c>
      <c r="DC47" s="442" t="s">
        <v>6926</v>
      </c>
      <c r="DD47" s="562"/>
      <c r="DF47" s="1527" t="s">
        <v>2352</v>
      </c>
      <c r="DG47" s="876">
        <v>37</v>
      </c>
      <c r="DH47" s="876">
        <v>31136</v>
      </c>
      <c r="DI47" s="876">
        <v>8805</v>
      </c>
      <c r="DJ47" s="876">
        <v>2110</v>
      </c>
      <c r="DK47" s="876">
        <v>403</v>
      </c>
      <c r="DL47" s="435" t="s">
        <v>2315</v>
      </c>
      <c r="DM47" s="435" t="s">
        <v>2315</v>
      </c>
      <c r="DP47" s="433"/>
      <c r="DQ47" s="667" t="s">
        <v>6894</v>
      </c>
      <c r="DR47" s="667" t="s">
        <v>6895</v>
      </c>
      <c r="DS47" s="667" t="s">
        <v>119</v>
      </c>
      <c r="DT47" s="667" t="s">
        <v>6896</v>
      </c>
      <c r="DU47" s="667" t="s">
        <v>6897</v>
      </c>
      <c r="DV47" s="667" t="s">
        <v>6898</v>
      </c>
      <c r="DW47" s="465" t="s">
        <v>6899</v>
      </c>
    </row>
    <row r="48" spans="1:127" ht="12.95" customHeight="1">
      <c r="N48" s="385"/>
      <c r="Q48" s="386"/>
      <c r="R48" s="398"/>
      <c r="S48" s="398"/>
      <c r="T48" s="398"/>
      <c r="U48" s="398"/>
      <c r="V48" s="398"/>
      <c r="W48" s="1540"/>
      <c r="X48" s="385"/>
      <c r="Y48" s="398" t="s">
        <v>2858</v>
      </c>
      <c r="Z48" s="1523">
        <v>58.3</v>
      </c>
      <c r="AA48" s="1523">
        <v>32.6</v>
      </c>
      <c r="AB48" s="1523">
        <v>21.7</v>
      </c>
      <c r="AC48" s="1523">
        <v>10.9</v>
      </c>
      <c r="AD48" s="1523">
        <v>25.7</v>
      </c>
      <c r="AE48" s="1523"/>
      <c r="AG48" s="398" t="s">
        <v>2826</v>
      </c>
      <c r="AH48" s="1523">
        <v>78.2</v>
      </c>
      <c r="AI48" s="1523">
        <v>50.6</v>
      </c>
      <c r="AJ48" s="1523">
        <v>32</v>
      </c>
      <c r="AK48" s="1523">
        <v>18.7</v>
      </c>
      <c r="AL48" s="1523">
        <v>27.6</v>
      </c>
      <c r="AO48" s="398" t="s">
        <v>7105</v>
      </c>
      <c r="AP48" s="398"/>
      <c r="AQ48" s="398"/>
      <c r="AR48" s="398"/>
      <c r="AS48" s="398"/>
      <c r="AT48" s="398"/>
      <c r="AU48" s="398"/>
      <c r="AV48" s="398"/>
      <c r="AX48" s="386" t="s">
        <v>7104</v>
      </c>
      <c r="AY48" s="385">
        <v>30</v>
      </c>
      <c r="AZ48" s="385">
        <v>40</v>
      </c>
      <c r="BA48" s="385">
        <v>40</v>
      </c>
      <c r="BB48" s="385">
        <v>40</v>
      </c>
      <c r="BC48" s="385">
        <v>60</v>
      </c>
      <c r="BD48" s="385">
        <v>50</v>
      </c>
      <c r="BE48" s="385"/>
      <c r="BF48" s="515"/>
      <c r="BG48" s="398" t="s">
        <v>6985</v>
      </c>
      <c r="BH48" s="398"/>
      <c r="BI48" s="398"/>
      <c r="BJ48" s="398"/>
      <c r="BK48" s="398"/>
      <c r="BL48" s="398"/>
      <c r="BM48" s="398"/>
      <c r="BN48" s="398"/>
      <c r="BO48" s="398"/>
      <c r="BP48" s="398"/>
      <c r="BQ48" s="547"/>
      <c r="BR48" s="382" t="s">
        <v>6998</v>
      </c>
      <c r="BS48" s="463">
        <v>308</v>
      </c>
      <c r="BT48" s="876">
        <v>296727</v>
      </c>
      <c r="BU48" s="876">
        <v>55051</v>
      </c>
      <c r="BV48" s="876">
        <v>13315</v>
      </c>
      <c r="BW48" s="463">
        <v>2620</v>
      </c>
      <c r="BX48" s="435">
        <v>56</v>
      </c>
      <c r="BY48" s="435" t="s">
        <v>2315</v>
      </c>
      <c r="BZ48" s="562"/>
      <c r="CA48" s="562"/>
      <c r="CB48" s="382"/>
      <c r="CC48" s="398"/>
      <c r="CD48" s="398"/>
      <c r="CE48" s="398"/>
      <c r="CF48" s="398"/>
      <c r="CG48" s="398"/>
      <c r="CH48" s="398"/>
      <c r="CI48" s="398"/>
      <c r="CJ48" s="562"/>
      <c r="CK48" s="562"/>
      <c r="CL48" s="562"/>
      <c r="CM48" s="562"/>
      <c r="CN48" s="562"/>
      <c r="CO48" s="562"/>
      <c r="CP48" s="562"/>
      <c r="CQ48" s="562"/>
      <c r="CR48" s="562"/>
      <c r="CS48" s="562"/>
      <c r="CT48" s="562"/>
      <c r="CU48" s="562"/>
      <c r="CV48" s="382" t="s">
        <v>6933</v>
      </c>
      <c r="CW48" s="876">
        <v>3099</v>
      </c>
      <c r="CX48" s="876">
        <v>7736883</v>
      </c>
      <c r="CY48" s="876">
        <v>1287327</v>
      </c>
      <c r="CZ48" s="876">
        <v>316968</v>
      </c>
      <c r="DA48" s="876">
        <v>53579</v>
      </c>
      <c r="DB48" s="435" t="s">
        <v>2315</v>
      </c>
      <c r="DC48" s="435" t="s">
        <v>2315</v>
      </c>
      <c r="DD48" s="562"/>
      <c r="DF48" s="386" t="s">
        <v>2177</v>
      </c>
      <c r="DG48" s="876">
        <v>503</v>
      </c>
      <c r="DH48" s="876">
        <v>1156350</v>
      </c>
      <c r="DI48" s="876">
        <v>207743</v>
      </c>
      <c r="DJ48" s="876">
        <v>49489</v>
      </c>
      <c r="DK48" s="876">
        <v>8040</v>
      </c>
      <c r="DL48" s="435" t="s">
        <v>2315</v>
      </c>
      <c r="DM48" s="435" t="s">
        <v>2315</v>
      </c>
      <c r="DP48" s="433" t="s">
        <v>6916</v>
      </c>
      <c r="DQ48" s="667" t="s">
        <v>6909</v>
      </c>
      <c r="DR48" s="667" t="s">
        <v>6910</v>
      </c>
      <c r="DS48" s="667" t="s">
        <v>6911</v>
      </c>
      <c r="DT48" s="667" t="s">
        <v>6911</v>
      </c>
      <c r="DU48" s="1521" t="s">
        <v>6912</v>
      </c>
      <c r="DV48" s="667" t="s">
        <v>6913</v>
      </c>
      <c r="DW48" s="465" t="s">
        <v>6914</v>
      </c>
    </row>
    <row r="49" spans="1:127" ht="12.95" customHeight="1">
      <c r="N49" s="385"/>
      <c r="Q49" s="398"/>
      <c r="R49" s="398"/>
      <c r="S49" s="398"/>
      <c r="T49" s="398"/>
      <c r="U49" s="398"/>
      <c r="V49" s="398"/>
      <c r="W49" s="1540"/>
      <c r="X49" s="385"/>
      <c r="Y49" s="398" t="s">
        <v>2826</v>
      </c>
      <c r="Z49" s="1523">
        <v>81.599999999999994</v>
      </c>
      <c r="AA49" s="1523">
        <v>50.6</v>
      </c>
      <c r="AB49" s="1523">
        <v>31.6</v>
      </c>
      <c r="AC49" s="1523">
        <v>19</v>
      </c>
      <c r="AD49" s="1523">
        <v>31</v>
      </c>
      <c r="AE49" s="1523"/>
      <c r="AG49" s="398" t="s">
        <v>2959</v>
      </c>
      <c r="AH49" s="1523">
        <v>12.9</v>
      </c>
      <c r="AI49" s="1523">
        <v>8</v>
      </c>
      <c r="AJ49" s="1523">
        <v>6.4</v>
      </c>
      <c r="AK49" s="1523">
        <v>1.6</v>
      </c>
      <c r="AL49" s="1523">
        <v>4.9000000000000004</v>
      </c>
      <c r="AO49" s="398" t="s">
        <v>7108</v>
      </c>
      <c r="AP49" s="398"/>
      <c r="AQ49" s="398"/>
      <c r="AR49" s="398"/>
      <c r="AS49" s="398"/>
      <c r="AT49" s="398"/>
      <c r="AU49" s="398"/>
      <c r="AV49" s="398"/>
      <c r="AX49" s="386" t="s">
        <v>7106</v>
      </c>
      <c r="AY49" s="757" t="s">
        <v>2835</v>
      </c>
      <c r="AZ49" s="757">
        <v>20</v>
      </c>
      <c r="BA49" s="757" t="s">
        <v>2835</v>
      </c>
      <c r="BB49" s="385">
        <v>20</v>
      </c>
      <c r="BC49" s="385">
        <v>40</v>
      </c>
      <c r="BD49" s="385">
        <v>20</v>
      </c>
      <c r="BE49" s="385"/>
      <c r="BF49" s="757"/>
      <c r="BQ49" s="547"/>
      <c r="BR49" s="382" t="s">
        <v>7005</v>
      </c>
      <c r="BS49" s="463">
        <v>256</v>
      </c>
      <c r="BT49" s="876">
        <v>336474</v>
      </c>
      <c r="BU49" s="876">
        <v>115619</v>
      </c>
      <c r="BV49" s="876">
        <v>28216</v>
      </c>
      <c r="BW49" s="463">
        <v>2723</v>
      </c>
      <c r="BX49" s="435">
        <v>47</v>
      </c>
      <c r="BY49" s="435" t="s">
        <v>2315</v>
      </c>
      <c r="BZ49" s="562"/>
      <c r="CA49" s="562"/>
      <c r="CB49" s="1068"/>
      <c r="CC49" s="398"/>
      <c r="CD49" s="398"/>
      <c r="CE49" s="398"/>
      <c r="CF49" s="398"/>
      <c r="CG49" s="398"/>
      <c r="CH49" s="398"/>
      <c r="CI49" s="398"/>
      <c r="CJ49" s="562"/>
      <c r="CK49" s="562"/>
      <c r="CL49" s="382" t="s">
        <v>7107</v>
      </c>
      <c r="CM49" s="382"/>
      <c r="CN49" s="382"/>
      <c r="CO49" s="382"/>
      <c r="CP49" s="382"/>
      <c r="CQ49" s="382"/>
      <c r="CR49" s="382"/>
      <c r="CS49" s="382"/>
      <c r="CT49" s="382"/>
      <c r="CU49" s="562"/>
      <c r="CV49" s="382" t="s">
        <v>6940</v>
      </c>
      <c r="CW49" s="876">
        <v>75</v>
      </c>
      <c r="CX49" s="933">
        <v>15183</v>
      </c>
      <c r="CY49" s="933">
        <v>2956</v>
      </c>
      <c r="CZ49" s="933">
        <v>0</v>
      </c>
      <c r="DA49" s="933">
        <v>0</v>
      </c>
      <c r="DB49" s="435" t="s">
        <v>2315</v>
      </c>
      <c r="DC49" s="435" t="s">
        <v>2315</v>
      </c>
      <c r="DD49" s="562"/>
      <c r="DF49" s="386" t="s">
        <v>6989</v>
      </c>
      <c r="DG49" s="876">
        <v>370</v>
      </c>
      <c r="DH49" s="876">
        <v>771439</v>
      </c>
      <c r="DI49" s="876">
        <v>149050</v>
      </c>
      <c r="DJ49" s="876">
        <v>34623</v>
      </c>
      <c r="DK49" s="876">
        <v>5040</v>
      </c>
      <c r="DL49" s="435" t="s">
        <v>2315</v>
      </c>
      <c r="DM49" s="435" t="s">
        <v>2315</v>
      </c>
      <c r="DP49" s="610" t="s">
        <v>6929</v>
      </c>
      <c r="DQ49" s="441" t="s">
        <v>6926</v>
      </c>
      <c r="DR49" s="1522">
        <v>1000</v>
      </c>
      <c r="DS49" s="1522">
        <v>1000</v>
      </c>
      <c r="DT49" s="1522">
        <v>1000</v>
      </c>
      <c r="DU49" s="441" t="s">
        <v>6926</v>
      </c>
      <c r="DV49" s="441" t="s">
        <v>6926</v>
      </c>
      <c r="DW49" s="442" t="s">
        <v>6926</v>
      </c>
    </row>
    <row r="50" spans="1:127" ht="12.95" customHeight="1">
      <c r="N50" s="515"/>
      <c r="Q50" s="386"/>
      <c r="R50" s="398"/>
      <c r="S50" s="398"/>
      <c r="T50" s="398"/>
      <c r="U50" s="398"/>
      <c r="V50" s="398"/>
      <c r="W50" s="385"/>
      <c r="X50" s="385"/>
      <c r="Y50" s="398" t="s">
        <v>2959</v>
      </c>
      <c r="Z50" s="1523">
        <v>12.3</v>
      </c>
      <c r="AA50" s="1523">
        <v>6.7</v>
      </c>
      <c r="AB50" s="1523">
        <v>5.2</v>
      </c>
      <c r="AC50" s="1523">
        <v>1.4</v>
      </c>
      <c r="AD50" s="1523">
        <v>5.6</v>
      </c>
      <c r="AE50" s="1523"/>
      <c r="AG50" s="398" t="s">
        <v>2917</v>
      </c>
      <c r="AH50" s="1523">
        <v>59.9</v>
      </c>
      <c r="AI50" s="1523">
        <v>33</v>
      </c>
      <c r="AJ50" s="1523">
        <v>20.399999999999999</v>
      </c>
      <c r="AK50" s="1523">
        <v>12.5</v>
      </c>
      <c r="AL50" s="1523">
        <v>27</v>
      </c>
      <c r="AU50" s="398"/>
      <c r="AV50" s="398"/>
      <c r="AX50" s="386" t="s">
        <v>7109</v>
      </c>
      <c r="AY50" s="385">
        <v>60</v>
      </c>
      <c r="AZ50" s="385">
        <v>30</v>
      </c>
      <c r="BA50" s="385">
        <v>20</v>
      </c>
      <c r="BB50" s="385">
        <v>30</v>
      </c>
      <c r="BC50" s="385">
        <v>20</v>
      </c>
      <c r="BD50" s="385">
        <v>40</v>
      </c>
      <c r="BE50" s="385"/>
      <c r="BF50" s="515"/>
      <c r="BQ50" s="547"/>
      <c r="BR50" s="382" t="s">
        <v>7011</v>
      </c>
      <c r="BS50" s="463">
        <v>9</v>
      </c>
      <c r="BT50" s="933">
        <v>6953</v>
      </c>
      <c r="BU50" s="933">
        <v>12532</v>
      </c>
      <c r="BV50" s="933">
        <v>2629</v>
      </c>
      <c r="BW50" s="435">
        <v>299</v>
      </c>
      <c r="BX50" s="435">
        <v>0</v>
      </c>
      <c r="BY50" s="435" t="s">
        <v>2315</v>
      </c>
      <c r="BZ50" s="562"/>
      <c r="CA50" s="562"/>
      <c r="CJ50" s="562"/>
      <c r="CK50" s="562"/>
      <c r="CL50" s="597"/>
      <c r="CM50" s="404"/>
      <c r="CN50" s="404"/>
      <c r="CO50" s="404"/>
      <c r="CP50" s="404"/>
      <c r="CQ50" s="404" t="s">
        <v>6867</v>
      </c>
      <c r="CR50" s="404"/>
      <c r="CS50" s="405"/>
      <c r="CT50" s="439"/>
      <c r="CU50" s="562"/>
      <c r="CV50" s="382" t="s">
        <v>6948</v>
      </c>
      <c r="CW50" s="933">
        <v>1122</v>
      </c>
      <c r="CX50" s="933">
        <v>382150</v>
      </c>
      <c r="CY50" s="933">
        <v>60624</v>
      </c>
      <c r="CZ50" s="933">
        <v>14703</v>
      </c>
      <c r="DA50" s="933">
        <v>2580</v>
      </c>
      <c r="DB50" s="435" t="s">
        <v>2315</v>
      </c>
      <c r="DC50" s="435" t="s">
        <v>2315</v>
      </c>
      <c r="DD50" s="562"/>
      <c r="DE50" s="547"/>
      <c r="DF50" s="386" t="s">
        <v>2276</v>
      </c>
      <c r="DG50" s="876">
        <v>12</v>
      </c>
      <c r="DH50" s="876">
        <v>6938</v>
      </c>
      <c r="DI50" s="933">
        <v>1345</v>
      </c>
      <c r="DJ50" s="933">
        <v>301</v>
      </c>
      <c r="DK50" s="933">
        <v>91</v>
      </c>
      <c r="DL50" s="435" t="s">
        <v>2315</v>
      </c>
      <c r="DM50" s="435" t="s">
        <v>2315</v>
      </c>
      <c r="DP50" s="382" t="s">
        <v>6933</v>
      </c>
      <c r="DQ50" s="876">
        <v>3099</v>
      </c>
      <c r="DR50" s="876">
        <v>7736883</v>
      </c>
      <c r="DS50" s="876">
        <v>1287327</v>
      </c>
      <c r="DT50" s="876">
        <v>316968</v>
      </c>
      <c r="DU50" s="876">
        <v>53579</v>
      </c>
      <c r="DV50" s="435" t="s">
        <v>2315</v>
      </c>
      <c r="DW50" s="435" t="s">
        <v>2315</v>
      </c>
    </row>
    <row r="51" spans="1:127" ht="12.95" customHeight="1">
      <c r="A51" s="398"/>
      <c r="B51" s="398"/>
      <c r="C51" s="398"/>
      <c r="D51" s="398"/>
      <c r="E51" s="398"/>
      <c r="F51" s="398"/>
      <c r="G51" s="398"/>
      <c r="H51" s="398"/>
      <c r="I51" s="398"/>
      <c r="J51" s="398"/>
      <c r="K51" s="398"/>
      <c r="L51" s="398"/>
      <c r="M51" s="398"/>
      <c r="N51" s="515"/>
      <c r="Q51" s="398"/>
      <c r="R51" s="385"/>
      <c r="S51" s="385"/>
      <c r="T51" s="385"/>
      <c r="U51" s="385"/>
      <c r="V51" s="385"/>
      <c r="W51" s="385"/>
      <c r="X51" s="385"/>
      <c r="Y51" s="398" t="s">
        <v>2917</v>
      </c>
      <c r="Z51" s="1524">
        <v>56.2</v>
      </c>
      <c r="AA51" s="1523">
        <v>30.6</v>
      </c>
      <c r="AB51" s="1523">
        <v>17.399999999999999</v>
      </c>
      <c r="AC51" s="1523">
        <v>13.1</v>
      </c>
      <c r="AD51" s="1523">
        <v>25.6</v>
      </c>
      <c r="AE51" s="1523"/>
      <c r="AG51" s="398" t="s">
        <v>2952</v>
      </c>
      <c r="AH51" s="1523">
        <v>5</v>
      </c>
      <c r="AI51" s="1523">
        <v>3</v>
      </c>
      <c r="AJ51" s="1523">
        <v>2.2999999999999998</v>
      </c>
      <c r="AK51" s="1523">
        <v>0.7</v>
      </c>
      <c r="AL51" s="1523">
        <v>2</v>
      </c>
      <c r="AO51" s="398"/>
      <c r="AP51" s="398"/>
      <c r="AQ51" s="398"/>
      <c r="AR51" s="398"/>
      <c r="AS51" s="398"/>
      <c r="AT51" s="398"/>
      <c r="AW51" s="398"/>
      <c r="AX51" s="386" t="s">
        <v>7111</v>
      </c>
      <c r="AY51" s="385">
        <v>60</v>
      </c>
      <c r="AZ51" s="385">
        <v>90</v>
      </c>
      <c r="BA51" s="385">
        <v>80</v>
      </c>
      <c r="BB51" s="385">
        <v>100</v>
      </c>
      <c r="BC51" s="385">
        <v>80</v>
      </c>
      <c r="BD51" s="385">
        <v>90</v>
      </c>
      <c r="BE51" s="385"/>
      <c r="BF51" s="515"/>
      <c r="BQ51" s="547"/>
      <c r="BR51" s="382" t="s">
        <v>7017</v>
      </c>
      <c r="BS51" s="463">
        <v>174</v>
      </c>
      <c r="BT51" s="876">
        <v>295323</v>
      </c>
      <c r="BU51" s="876">
        <v>83261</v>
      </c>
      <c r="BV51" s="876">
        <v>21284</v>
      </c>
      <c r="BW51" s="463">
        <v>4109</v>
      </c>
      <c r="BX51" s="435">
        <v>30</v>
      </c>
      <c r="BY51" s="435" t="s">
        <v>2315</v>
      </c>
      <c r="BZ51" s="986"/>
      <c r="CA51" s="986"/>
      <c r="CB51" s="382" t="s">
        <v>7110</v>
      </c>
      <c r="CC51" s="382"/>
      <c r="CD51" s="382"/>
      <c r="CE51" s="382"/>
      <c r="CF51" s="382"/>
      <c r="CG51" s="382"/>
      <c r="CH51" s="382"/>
      <c r="CI51" s="382"/>
      <c r="CJ51" s="986"/>
      <c r="CK51" s="986"/>
      <c r="CL51" s="382"/>
      <c r="CM51" s="667"/>
      <c r="CN51" s="667" t="s">
        <v>6877</v>
      </c>
      <c r="CO51" s="667"/>
      <c r="CP51" s="667"/>
      <c r="CQ51" s="667" t="s">
        <v>6878</v>
      </c>
      <c r="CR51" s="667" t="s">
        <v>6879</v>
      </c>
      <c r="CS51" s="465"/>
      <c r="CT51" s="439"/>
      <c r="CU51" s="986"/>
      <c r="CV51" s="382" t="s">
        <v>6957</v>
      </c>
      <c r="CW51" s="933">
        <v>756</v>
      </c>
      <c r="CX51" s="933">
        <v>628393</v>
      </c>
      <c r="CY51" s="933">
        <v>109097</v>
      </c>
      <c r="CZ51" s="933">
        <v>26476</v>
      </c>
      <c r="DA51" s="933">
        <v>5086</v>
      </c>
      <c r="DB51" s="435" t="s">
        <v>2315</v>
      </c>
      <c r="DC51" s="435" t="s">
        <v>2315</v>
      </c>
      <c r="DD51" s="986"/>
      <c r="DE51" s="547"/>
      <c r="DF51" s="386" t="s">
        <v>2185</v>
      </c>
      <c r="DG51" s="876">
        <v>115</v>
      </c>
      <c r="DH51" s="876">
        <v>157186</v>
      </c>
      <c r="DI51" s="876">
        <v>37945</v>
      </c>
      <c r="DJ51" s="876">
        <v>10016</v>
      </c>
      <c r="DK51" s="876">
        <v>1490</v>
      </c>
      <c r="DL51" s="435" t="s">
        <v>2315</v>
      </c>
      <c r="DM51" s="435" t="s">
        <v>2315</v>
      </c>
      <c r="DP51" s="382" t="s">
        <v>6941</v>
      </c>
      <c r="DQ51" s="876">
        <v>480</v>
      </c>
      <c r="DR51" s="933">
        <v>993918</v>
      </c>
      <c r="DS51" s="933">
        <v>207933</v>
      </c>
      <c r="DT51" s="933">
        <v>50135</v>
      </c>
      <c r="DU51" s="933">
        <v>9120</v>
      </c>
      <c r="DV51" s="435" t="s">
        <v>2315</v>
      </c>
      <c r="DW51" s="435" t="s">
        <v>2315</v>
      </c>
    </row>
    <row r="52" spans="1:127" ht="12.95" customHeight="1">
      <c r="A52" s="398"/>
      <c r="B52" s="385"/>
      <c r="C52" s="385"/>
      <c r="D52" s="385"/>
      <c r="E52" s="385"/>
      <c r="F52" s="385"/>
      <c r="G52" s="385"/>
      <c r="H52" s="385"/>
      <c r="I52" s="385"/>
      <c r="J52" s="385"/>
      <c r="K52" s="385"/>
      <c r="L52" s="385"/>
      <c r="M52" s="385"/>
      <c r="N52" s="515"/>
      <c r="Q52" s="398"/>
      <c r="R52" s="1544"/>
      <c r="S52" s="1544"/>
      <c r="T52" s="1544"/>
      <c r="U52" s="1544"/>
      <c r="V52" s="1544"/>
      <c r="W52" s="385"/>
      <c r="X52" s="385"/>
      <c r="Y52" s="398" t="s">
        <v>2952</v>
      </c>
      <c r="Z52" s="1524">
        <v>4.5999999999999996</v>
      </c>
      <c r="AA52" s="1524">
        <v>2.6</v>
      </c>
      <c r="AB52" s="1524">
        <v>1.8</v>
      </c>
      <c r="AC52" s="1524">
        <v>0.8</v>
      </c>
      <c r="AD52" s="1524">
        <v>2</v>
      </c>
      <c r="AE52" s="1523"/>
      <c r="AG52" s="398"/>
      <c r="AH52" s="1524"/>
      <c r="AI52" s="1524"/>
      <c r="AJ52" s="1524"/>
      <c r="AK52" s="1524"/>
      <c r="AL52" s="1524"/>
      <c r="AU52" s="398"/>
      <c r="AV52" s="398"/>
      <c r="AW52" s="398"/>
      <c r="AX52" s="384" t="s">
        <v>7060</v>
      </c>
      <c r="AY52" s="786" t="s">
        <v>2835</v>
      </c>
      <c r="AZ52" s="786" t="s">
        <v>2835</v>
      </c>
      <c r="BA52" s="786" t="s">
        <v>2835</v>
      </c>
      <c r="BB52" s="786" t="s">
        <v>2835</v>
      </c>
      <c r="BC52" s="786" t="s">
        <v>2835</v>
      </c>
      <c r="BD52" s="786" t="s">
        <v>2835</v>
      </c>
      <c r="BE52" s="757"/>
      <c r="BF52" s="757"/>
      <c r="BG52" s="382" t="s">
        <v>7112</v>
      </c>
      <c r="BH52" s="382"/>
      <c r="BI52" s="382"/>
      <c r="BJ52" s="398"/>
      <c r="BK52" s="398"/>
      <c r="BL52" s="398"/>
      <c r="BM52" s="398"/>
      <c r="BN52" s="398"/>
      <c r="BO52" s="398"/>
      <c r="BP52" s="398"/>
      <c r="BQ52" s="547"/>
      <c r="BR52" s="382" t="s">
        <v>7022</v>
      </c>
      <c r="BS52" s="463">
        <v>45</v>
      </c>
      <c r="BT52" s="933">
        <v>27228</v>
      </c>
      <c r="BU52" s="933">
        <v>10666</v>
      </c>
      <c r="BV52" s="933">
        <v>2706</v>
      </c>
      <c r="BW52" s="435">
        <v>496</v>
      </c>
      <c r="BX52" s="435">
        <v>7</v>
      </c>
      <c r="BY52" s="435" t="s">
        <v>2315</v>
      </c>
      <c r="BZ52" s="562"/>
      <c r="CA52" s="562"/>
      <c r="CB52" s="597"/>
      <c r="CC52" s="404"/>
      <c r="CD52" s="404"/>
      <c r="CE52" s="404"/>
      <c r="CF52" s="404"/>
      <c r="CG52" s="404" t="s">
        <v>6867</v>
      </c>
      <c r="CH52" s="404"/>
      <c r="CI52" s="405"/>
      <c r="CJ52" s="562"/>
      <c r="CK52" s="562"/>
      <c r="CL52" s="523"/>
      <c r="CM52" s="667"/>
      <c r="CN52" s="667" t="s">
        <v>6884</v>
      </c>
      <c r="CO52" s="667"/>
      <c r="CP52" s="667" t="s">
        <v>6885</v>
      </c>
      <c r="CQ52" s="667" t="s">
        <v>6886</v>
      </c>
      <c r="CR52" s="667" t="s">
        <v>6887</v>
      </c>
      <c r="CS52" s="465" t="s">
        <v>6888</v>
      </c>
      <c r="CT52" s="439"/>
      <c r="CU52" s="562"/>
      <c r="CV52" s="382" t="s">
        <v>6966</v>
      </c>
      <c r="CW52" s="933">
        <v>556</v>
      </c>
      <c r="CX52" s="933">
        <v>1055517</v>
      </c>
      <c r="CY52" s="933">
        <v>161326</v>
      </c>
      <c r="CZ52" s="933">
        <v>39030</v>
      </c>
      <c r="DA52" s="933">
        <v>7427</v>
      </c>
      <c r="DB52" s="435" t="s">
        <v>2315</v>
      </c>
      <c r="DC52" s="435" t="s">
        <v>2315</v>
      </c>
      <c r="DD52" s="562"/>
      <c r="DE52" s="547"/>
      <c r="DF52" s="386" t="s">
        <v>2353</v>
      </c>
      <c r="DG52" s="876">
        <v>15</v>
      </c>
      <c r="DH52" s="876">
        <v>6271</v>
      </c>
      <c r="DI52" s="933">
        <v>2699</v>
      </c>
      <c r="DJ52" s="933">
        <v>679</v>
      </c>
      <c r="DK52" s="933">
        <v>163</v>
      </c>
      <c r="DL52" s="435" t="s">
        <v>2315</v>
      </c>
      <c r="DM52" s="435" t="s">
        <v>2315</v>
      </c>
      <c r="DP52" s="382" t="s">
        <v>388</v>
      </c>
      <c r="DQ52" s="933">
        <v>1306</v>
      </c>
      <c r="DR52" s="933">
        <v>2018299</v>
      </c>
      <c r="DS52" s="933">
        <v>409749</v>
      </c>
      <c r="DT52" s="933">
        <v>97220</v>
      </c>
      <c r="DU52" s="933">
        <v>17811</v>
      </c>
      <c r="DV52" s="435" t="s">
        <v>2315</v>
      </c>
      <c r="DW52" s="435" t="s">
        <v>2315</v>
      </c>
    </row>
    <row r="53" spans="1:127" ht="12.95" customHeight="1">
      <c r="A53" s="386"/>
      <c r="B53" s="385"/>
      <c r="C53" s="385"/>
      <c r="D53" s="385"/>
      <c r="E53" s="385"/>
      <c r="F53" s="385"/>
      <c r="G53" s="385"/>
      <c r="H53" s="385"/>
      <c r="I53" s="385"/>
      <c r="J53" s="385"/>
      <c r="K53" s="385"/>
      <c r="L53" s="385"/>
      <c r="M53" s="385"/>
      <c r="N53" s="515"/>
      <c r="Q53" s="398"/>
      <c r="R53" s="988"/>
      <c r="S53" s="988"/>
      <c r="T53" s="988"/>
      <c r="U53" s="988"/>
      <c r="V53" s="988"/>
      <c r="Y53" s="398"/>
      <c r="Z53" s="1524"/>
      <c r="AA53" s="1524"/>
      <c r="AB53" s="1524"/>
      <c r="AC53" s="1524"/>
      <c r="AD53" s="1524"/>
      <c r="AE53" s="1523"/>
      <c r="AG53" s="387" t="s">
        <v>1967</v>
      </c>
      <c r="AH53" s="1547">
        <v>0.9</v>
      </c>
      <c r="AI53" s="1547">
        <v>0.5</v>
      </c>
      <c r="AJ53" s="1547">
        <v>0.5</v>
      </c>
      <c r="AK53" s="1548">
        <v>0</v>
      </c>
      <c r="AL53" s="1547">
        <v>0.4</v>
      </c>
      <c r="AX53" s="398" t="s">
        <v>8728</v>
      </c>
      <c r="AY53" s="398"/>
      <c r="AZ53" s="398"/>
      <c r="BA53" s="398"/>
      <c r="BB53" s="398"/>
      <c r="BC53" s="398"/>
      <c r="BD53" s="398"/>
      <c r="BE53" s="398"/>
      <c r="BF53" s="398"/>
      <c r="BG53" s="388" t="s">
        <v>1648</v>
      </c>
      <c r="BH53" s="389">
        <v>2022</v>
      </c>
      <c r="BI53" s="389">
        <v>2017</v>
      </c>
      <c r="BJ53" s="389">
        <v>2012</v>
      </c>
      <c r="BK53" s="389">
        <v>2007</v>
      </c>
      <c r="BL53" s="642">
        <v>2002</v>
      </c>
      <c r="BM53" s="642">
        <v>1997</v>
      </c>
      <c r="BN53" s="664">
        <v>1992</v>
      </c>
      <c r="BO53" s="664">
        <v>1987</v>
      </c>
      <c r="BP53" s="439"/>
      <c r="BQ53" s="547"/>
      <c r="BR53" s="382" t="s">
        <v>7026</v>
      </c>
      <c r="BS53" s="463">
        <v>226</v>
      </c>
      <c r="BT53" s="876">
        <v>545313</v>
      </c>
      <c r="BU53" s="876">
        <v>195257</v>
      </c>
      <c r="BV53" s="876">
        <v>46106</v>
      </c>
      <c r="BW53" s="463">
        <v>4623</v>
      </c>
      <c r="BX53" s="435">
        <v>56</v>
      </c>
      <c r="BY53" s="435" t="s">
        <v>2315</v>
      </c>
      <c r="BZ53" s="986"/>
      <c r="CA53" s="986"/>
      <c r="CB53" s="493"/>
      <c r="CC53" s="667"/>
      <c r="CD53" s="667" t="s">
        <v>6877</v>
      </c>
      <c r="CE53" s="667"/>
      <c r="CF53" s="667"/>
      <c r="CG53" s="667" t="s">
        <v>6878</v>
      </c>
      <c r="CH53" s="667" t="s">
        <v>6879</v>
      </c>
      <c r="CI53" s="465"/>
      <c r="CJ53" s="986"/>
      <c r="CK53" s="986"/>
      <c r="CL53" s="433" t="s">
        <v>6901</v>
      </c>
      <c r="CM53" s="667" t="s">
        <v>6894</v>
      </c>
      <c r="CN53" s="667" t="s">
        <v>6895</v>
      </c>
      <c r="CO53" s="667" t="s">
        <v>119</v>
      </c>
      <c r="CP53" s="667" t="s">
        <v>6896</v>
      </c>
      <c r="CQ53" s="667" t="s">
        <v>6897</v>
      </c>
      <c r="CR53" s="667" t="s">
        <v>6898</v>
      </c>
      <c r="CS53" s="465" t="s">
        <v>6899</v>
      </c>
      <c r="CT53" s="439"/>
      <c r="CU53" s="986"/>
      <c r="CV53" s="382" t="s">
        <v>7113</v>
      </c>
      <c r="CW53" s="876">
        <v>390</v>
      </c>
      <c r="CX53" s="876">
        <v>1405388</v>
      </c>
      <c r="CY53" s="876">
        <v>258273</v>
      </c>
      <c r="CZ53" s="876">
        <v>62254</v>
      </c>
      <c r="DA53" s="876">
        <v>11694</v>
      </c>
      <c r="DB53" s="435" t="s">
        <v>2315</v>
      </c>
      <c r="DC53" s="435" t="s">
        <v>2315</v>
      </c>
      <c r="DD53" s="986"/>
      <c r="DE53" s="547"/>
      <c r="DF53" s="1527" t="s">
        <v>4067</v>
      </c>
      <c r="DG53" s="876">
        <v>63</v>
      </c>
      <c r="DH53" s="876">
        <v>203621</v>
      </c>
      <c r="DI53" s="876">
        <v>34890</v>
      </c>
      <c r="DJ53" s="876">
        <v>9159</v>
      </c>
      <c r="DK53" s="876">
        <v>1228</v>
      </c>
      <c r="DL53" s="435" t="s">
        <v>2315</v>
      </c>
      <c r="DM53" s="435" t="s">
        <v>2315</v>
      </c>
      <c r="DP53" s="382" t="s">
        <v>392</v>
      </c>
      <c r="DQ53" s="933">
        <v>151</v>
      </c>
      <c r="DR53" s="933">
        <v>843507</v>
      </c>
      <c r="DS53" s="933">
        <v>151652</v>
      </c>
      <c r="DT53" s="933">
        <v>38131</v>
      </c>
      <c r="DU53" s="933">
        <v>6701</v>
      </c>
      <c r="DV53" s="435" t="s">
        <v>2315</v>
      </c>
      <c r="DW53" s="435" t="s">
        <v>2315</v>
      </c>
    </row>
    <row r="54" spans="1:127" ht="12.95" customHeight="1">
      <c r="A54" s="398"/>
      <c r="B54" s="515"/>
      <c r="C54" s="515"/>
      <c r="D54" s="515"/>
      <c r="E54" s="515"/>
      <c r="F54" s="515"/>
      <c r="G54" s="515"/>
      <c r="H54" s="515"/>
      <c r="I54" s="515"/>
      <c r="J54" s="515"/>
      <c r="K54" s="515"/>
      <c r="L54" s="515"/>
      <c r="M54" s="515"/>
      <c r="N54" s="515"/>
      <c r="Q54" s="398"/>
      <c r="R54" s="1279"/>
      <c r="S54" s="1279"/>
      <c r="T54" s="1279"/>
      <c r="U54" s="1279"/>
      <c r="V54" s="1279"/>
      <c r="W54" s="385"/>
      <c r="Y54" s="387" t="s">
        <v>1967</v>
      </c>
      <c r="Z54" s="1547">
        <v>0.9</v>
      </c>
      <c r="AA54" s="1547">
        <v>0.6</v>
      </c>
      <c r="AB54" s="1547">
        <v>0.5</v>
      </c>
      <c r="AC54" s="1548">
        <v>0.1</v>
      </c>
      <c r="AD54" s="1548">
        <v>0.4</v>
      </c>
      <c r="AE54" s="1524"/>
      <c r="AG54" s="398" t="s">
        <v>8728</v>
      </c>
      <c r="AX54" s="398" t="s">
        <v>7115</v>
      </c>
      <c r="AY54" s="398"/>
      <c r="AZ54" s="398"/>
      <c r="BA54" s="398"/>
      <c r="BB54" s="398"/>
      <c r="BC54" s="398"/>
      <c r="BD54" s="398"/>
      <c r="BE54" s="398"/>
      <c r="BF54" s="398"/>
      <c r="BG54" s="382" t="s">
        <v>6876</v>
      </c>
      <c r="BH54" s="463">
        <v>212</v>
      </c>
      <c r="BI54" s="463">
        <v>228</v>
      </c>
      <c r="BJ54" s="463">
        <v>177</v>
      </c>
      <c r="BK54" s="463">
        <v>191</v>
      </c>
      <c r="BL54" s="435">
        <v>187</v>
      </c>
      <c r="BM54" s="435">
        <v>270</v>
      </c>
      <c r="BN54" s="435">
        <v>154</v>
      </c>
      <c r="BO54" s="435">
        <v>94</v>
      </c>
      <c r="BP54" s="435"/>
      <c r="BQ54" s="547"/>
      <c r="BR54" s="382" t="s">
        <v>7031</v>
      </c>
      <c r="BS54" s="463">
        <v>90</v>
      </c>
      <c r="BT54" s="933">
        <v>94110</v>
      </c>
      <c r="BU54" s="933">
        <v>26441</v>
      </c>
      <c r="BV54" s="933">
        <v>6548</v>
      </c>
      <c r="BW54" s="435">
        <v>1407</v>
      </c>
      <c r="BX54" s="435">
        <v>15</v>
      </c>
      <c r="BY54" s="435" t="s">
        <v>2315</v>
      </c>
      <c r="BZ54" s="562"/>
      <c r="CA54" s="562"/>
      <c r="CB54" s="493" t="s">
        <v>6889</v>
      </c>
      <c r="CC54" s="667"/>
      <c r="CD54" s="667" t="s">
        <v>6884</v>
      </c>
      <c r="CE54" s="667"/>
      <c r="CF54" s="667" t="s">
        <v>6885</v>
      </c>
      <c r="CG54" s="667" t="s">
        <v>6886</v>
      </c>
      <c r="CH54" s="667" t="s">
        <v>6887</v>
      </c>
      <c r="CI54" s="465" t="s">
        <v>6888</v>
      </c>
      <c r="CJ54" s="562"/>
      <c r="CK54" s="562"/>
      <c r="CL54" s="433" t="s">
        <v>6915</v>
      </c>
      <c r="CM54" s="667" t="s">
        <v>6909</v>
      </c>
      <c r="CN54" s="667" t="s">
        <v>6910</v>
      </c>
      <c r="CO54" s="667" t="s">
        <v>6911</v>
      </c>
      <c r="CP54" s="667" t="s">
        <v>6911</v>
      </c>
      <c r="CQ54" s="1521" t="s">
        <v>6912</v>
      </c>
      <c r="CR54" s="667" t="s">
        <v>6913</v>
      </c>
      <c r="CS54" s="465" t="s">
        <v>6914</v>
      </c>
      <c r="CT54" s="439"/>
      <c r="CU54" s="562"/>
      <c r="CV54" s="381" t="s">
        <v>7114</v>
      </c>
      <c r="CW54" s="876">
        <v>200</v>
      </c>
      <c r="CX54" s="876">
        <v>4250253</v>
      </c>
      <c r="CY54" s="876">
        <v>695051</v>
      </c>
      <c r="CZ54" s="876">
        <v>174506</v>
      </c>
      <c r="DA54" s="876">
        <v>26792</v>
      </c>
      <c r="DB54" s="435" t="s">
        <v>2315</v>
      </c>
      <c r="DC54" s="435" t="s">
        <v>2315</v>
      </c>
      <c r="DD54" s="562"/>
      <c r="DE54" s="547"/>
      <c r="DF54" s="386" t="s">
        <v>2195</v>
      </c>
      <c r="DG54" s="876">
        <v>40</v>
      </c>
      <c r="DH54" s="876">
        <v>187464</v>
      </c>
      <c r="DI54" s="876">
        <v>44533</v>
      </c>
      <c r="DJ54" s="876">
        <v>10958</v>
      </c>
      <c r="DK54" s="876">
        <v>1135</v>
      </c>
      <c r="DL54" s="435" t="s">
        <v>2315</v>
      </c>
      <c r="DM54" s="435" t="s">
        <v>2315</v>
      </c>
      <c r="DP54" s="382" t="s">
        <v>397</v>
      </c>
      <c r="DQ54" s="933">
        <v>27</v>
      </c>
      <c r="DR54" s="933">
        <v>22041</v>
      </c>
      <c r="DS54" s="933">
        <v>5233</v>
      </c>
      <c r="DT54" s="933">
        <v>1083</v>
      </c>
      <c r="DU54" s="933">
        <v>259</v>
      </c>
      <c r="DV54" s="435" t="s">
        <v>2315</v>
      </c>
      <c r="DW54" s="435" t="s">
        <v>2315</v>
      </c>
    </row>
    <row r="55" spans="1:127" ht="12.95" customHeight="1">
      <c r="A55" s="398"/>
      <c r="B55" s="515"/>
      <c r="C55" s="515"/>
      <c r="D55" s="515"/>
      <c r="E55" s="515"/>
      <c r="F55" s="515"/>
      <c r="G55" s="515"/>
      <c r="H55" s="515"/>
      <c r="I55" s="515"/>
      <c r="J55" s="515"/>
      <c r="K55" s="515"/>
      <c r="L55" s="515"/>
      <c r="M55" s="515"/>
      <c r="N55" s="515"/>
      <c r="Q55" s="398"/>
      <c r="R55" s="1279"/>
      <c r="S55" s="1279"/>
      <c r="T55" s="1279"/>
      <c r="U55" s="1279"/>
      <c r="V55" s="1279"/>
      <c r="W55" s="1533"/>
      <c r="Y55" s="398" t="s">
        <v>8727</v>
      </c>
      <c r="AE55" s="1523"/>
      <c r="AF55" s="398"/>
      <c r="AG55" s="398" t="s">
        <v>7117</v>
      </c>
      <c r="AM55" s="398"/>
      <c r="AN55" s="398"/>
      <c r="AX55" s="398" t="s">
        <v>7118</v>
      </c>
      <c r="AY55" s="398"/>
      <c r="AZ55" s="398"/>
      <c r="BA55" s="398"/>
      <c r="BB55" s="398"/>
      <c r="BC55" s="398"/>
      <c r="BD55" s="398"/>
      <c r="BE55" s="398"/>
      <c r="BF55" s="398"/>
      <c r="BG55" s="382" t="s">
        <v>7082</v>
      </c>
      <c r="BH55" s="463">
        <v>1545396</v>
      </c>
      <c r="BI55" s="463">
        <v>1016175</v>
      </c>
      <c r="BJ55" s="463">
        <v>982335</v>
      </c>
      <c r="BK55" s="463">
        <v>799845</v>
      </c>
      <c r="BL55" s="435">
        <v>515868</v>
      </c>
      <c r="BM55" s="435">
        <v>940542</v>
      </c>
      <c r="BN55" s="435">
        <v>427746</v>
      </c>
      <c r="BO55" s="435">
        <v>244650</v>
      </c>
      <c r="BP55" s="435"/>
      <c r="BQ55" s="547"/>
      <c r="BR55" s="382" t="s">
        <v>7035</v>
      </c>
      <c r="BS55" s="463">
        <v>557</v>
      </c>
      <c r="BT55" s="876">
        <v>1082696</v>
      </c>
      <c r="BU55" s="876">
        <v>266998</v>
      </c>
      <c r="BV55" s="876">
        <v>67350</v>
      </c>
      <c r="BW55" s="463">
        <v>15121</v>
      </c>
      <c r="BX55" s="435">
        <v>124</v>
      </c>
      <c r="BY55" s="435" t="s">
        <v>2315</v>
      </c>
      <c r="BZ55" s="986"/>
      <c r="CA55" s="986"/>
      <c r="CB55" s="493" t="s">
        <v>6900</v>
      </c>
      <c r="CC55" s="667" t="s">
        <v>6894</v>
      </c>
      <c r="CD55" s="667" t="s">
        <v>6895</v>
      </c>
      <c r="CE55" s="667" t="s">
        <v>119</v>
      </c>
      <c r="CF55" s="667" t="s">
        <v>6896</v>
      </c>
      <c r="CG55" s="667" t="s">
        <v>6897</v>
      </c>
      <c r="CH55" s="667" t="s">
        <v>6898</v>
      </c>
      <c r="CI55" s="465" t="s">
        <v>6899</v>
      </c>
      <c r="CJ55" s="986"/>
      <c r="CK55" s="986"/>
      <c r="CL55" s="610" t="s">
        <v>6928</v>
      </c>
      <c r="CM55" s="441" t="s">
        <v>6926</v>
      </c>
      <c r="CN55" s="1522">
        <v>1000</v>
      </c>
      <c r="CO55" s="1522">
        <v>1000</v>
      </c>
      <c r="CP55" s="1522">
        <v>1000</v>
      </c>
      <c r="CQ55" s="441" t="s">
        <v>6926</v>
      </c>
      <c r="CR55" s="441" t="s">
        <v>6926</v>
      </c>
      <c r="CS55" s="442" t="s">
        <v>6926</v>
      </c>
      <c r="CT55" s="439"/>
      <c r="CU55" s="986"/>
      <c r="CV55" s="382" t="s">
        <v>6945</v>
      </c>
      <c r="CW55" s="415"/>
      <c r="CX55" s="415"/>
      <c r="CY55" s="415"/>
      <c r="CZ55" s="415"/>
      <c r="DA55" s="415"/>
      <c r="DB55" s="415"/>
      <c r="DC55" s="415"/>
      <c r="DD55" s="986"/>
      <c r="DE55" s="547"/>
      <c r="DF55" s="1527" t="s">
        <v>2198</v>
      </c>
      <c r="DG55" s="876">
        <v>37</v>
      </c>
      <c r="DH55" s="876">
        <v>168388</v>
      </c>
      <c r="DI55" s="876">
        <v>52759</v>
      </c>
      <c r="DJ55" s="876">
        <v>13033</v>
      </c>
      <c r="DK55" s="876">
        <v>1139</v>
      </c>
      <c r="DL55" s="435" t="s">
        <v>2315</v>
      </c>
      <c r="DM55" s="435" t="s">
        <v>2315</v>
      </c>
      <c r="DP55" s="382" t="s">
        <v>390</v>
      </c>
      <c r="DQ55" s="876">
        <v>149</v>
      </c>
      <c r="DR55" s="876">
        <v>178151</v>
      </c>
      <c r="DS55" s="876">
        <v>17707</v>
      </c>
      <c r="DT55" s="876">
        <v>4308</v>
      </c>
      <c r="DU55" s="876">
        <v>1063</v>
      </c>
      <c r="DV55" s="435" t="s">
        <v>2315</v>
      </c>
      <c r="DW55" s="435" t="s">
        <v>2315</v>
      </c>
    </row>
    <row r="56" spans="1:127" ht="12.95" customHeight="1">
      <c r="A56" s="398"/>
      <c r="B56" s="515"/>
      <c r="C56" s="515"/>
      <c r="D56" s="515"/>
      <c r="E56" s="515"/>
      <c r="F56" s="515"/>
      <c r="G56" s="515"/>
      <c r="H56" s="515"/>
      <c r="I56" s="515"/>
      <c r="J56" s="515"/>
      <c r="K56" s="515"/>
      <c r="L56" s="515"/>
      <c r="M56" s="515"/>
      <c r="N56" s="515"/>
      <c r="Q56" s="398"/>
      <c r="R56" s="398"/>
      <c r="S56" s="398"/>
      <c r="T56" s="398"/>
      <c r="U56" s="398"/>
      <c r="V56" s="398"/>
      <c r="W56" s="385"/>
      <c r="Y56" s="398" t="s">
        <v>7117</v>
      </c>
      <c r="AF56" s="398"/>
      <c r="AG56" s="398" t="s">
        <v>7121</v>
      </c>
      <c r="AM56" s="398"/>
      <c r="AN56" s="398"/>
      <c r="AX56" s="398" t="s">
        <v>7122</v>
      </c>
      <c r="AY56" s="398"/>
      <c r="AZ56" s="398"/>
      <c r="BA56" s="398"/>
      <c r="BB56" s="398"/>
      <c r="BC56" s="398"/>
      <c r="BD56" s="398"/>
      <c r="BE56" s="398"/>
      <c r="BF56" s="398"/>
      <c r="BG56" s="382" t="s">
        <v>6893</v>
      </c>
      <c r="BH56" s="463">
        <v>96827</v>
      </c>
      <c r="BI56" s="463">
        <v>87524</v>
      </c>
      <c r="BJ56" s="463">
        <v>65863</v>
      </c>
      <c r="BK56" s="463">
        <v>55709</v>
      </c>
      <c r="BL56" s="435">
        <v>42522</v>
      </c>
      <c r="BM56" s="435">
        <v>77335</v>
      </c>
      <c r="BN56" s="435">
        <v>31985</v>
      </c>
      <c r="BO56" s="435">
        <v>18507</v>
      </c>
      <c r="BP56" s="435"/>
      <c r="BQ56" s="547"/>
      <c r="BR56" s="381" t="s">
        <v>7116</v>
      </c>
      <c r="BS56" s="463">
        <v>227</v>
      </c>
      <c r="BT56" s="876">
        <v>139994</v>
      </c>
      <c r="BU56" s="876">
        <v>36475</v>
      </c>
      <c r="BV56" s="876">
        <v>9008</v>
      </c>
      <c r="BW56" s="463">
        <v>1688</v>
      </c>
      <c r="BX56" s="435">
        <v>60</v>
      </c>
      <c r="BY56" s="556" t="s">
        <v>2315</v>
      </c>
      <c r="BZ56" s="562"/>
      <c r="CA56" s="562"/>
      <c r="CB56" s="493"/>
      <c r="CC56" s="667" t="s">
        <v>6909</v>
      </c>
      <c r="CD56" s="667" t="s">
        <v>6910</v>
      </c>
      <c r="CE56" s="667" t="s">
        <v>6911</v>
      </c>
      <c r="CF56" s="667" t="s">
        <v>6911</v>
      </c>
      <c r="CG56" s="1521" t="s">
        <v>6912</v>
      </c>
      <c r="CH56" s="667" t="s">
        <v>6913</v>
      </c>
      <c r="CI56" s="465" t="s">
        <v>6914</v>
      </c>
      <c r="CJ56" s="562"/>
      <c r="CK56" s="562"/>
      <c r="CL56" s="382" t="s">
        <v>6933</v>
      </c>
      <c r="CM56" s="463">
        <v>3099</v>
      </c>
      <c r="CN56" s="463">
        <v>7736883</v>
      </c>
      <c r="CO56" s="463">
        <v>1287327</v>
      </c>
      <c r="CP56" s="463">
        <v>316968</v>
      </c>
      <c r="CQ56" s="463">
        <v>53579</v>
      </c>
      <c r="CR56" s="435" t="s">
        <v>2315</v>
      </c>
      <c r="CS56" s="435" t="s">
        <v>2315</v>
      </c>
      <c r="CT56" s="435"/>
      <c r="CU56" s="562"/>
      <c r="CV56" s="382" t="s">
        <v>7119</v>
      </c>
      <c r="CW56" s="463"/>
      <c r="CX56" s="463"/>
      <c r="CY56" s="463"/>
      <c r="CZ56" s="463"/>
      <c r="DA56" s="463"/>
      <c r="DB56" s="463"/>
      <c r="DC56" s="463"/>
      <c r="DD56" s="562"/>
      <c r="DE56" s="547"/>
      <c r="DF56" s="386" t="s">
        <v>2261</v>
      </c>
      <c r="DG56" s="876">
        <v>32</v>
      </c>
      <c r="DH56" s="876">
        <v>26926</v>
      </c>
      <c r="DI56" s="876">
        <v>5730</v>
      </c>
      <c r="DJ56" s="876">
        <v>1406</v>
      </c>
      <c r="DK56" s="876">
        <v>236</v>
      </c>
      <c r="DL56" s="435" t="s">
        <v>2315</v>
      </c>
      <c r="DM56" s="435" t="s">
        <v>2315</v>
      </c>
      <c r="DP56" s="382" t="s">
        <v>7120</v>
      </c>
      <c r="DQ56" s="876">
        <v>92</v>
      </c>
      <c r="DR56" s="876">
        <v>329899</v>
      </c>
      <c r="DS56" s="876">
        <v>47300</v>
      </c>
      <c r="DT56" s="876">
        <v>11151</v>
      </c>
      <c r="DU56" s="876">
        <v>1870</v>
      </c>
      <c r="DV56" s="435" t="s">
        <v>2315</v>
      </c>
      <c r="DW56" s="435" t="s">
        <v>2315</v>
      </c>
    </row>
    <row r="57" spans="1:127" ht="12.95" customHeight="1">
      <c r="A57" s="398"/>
      <c r="B57" s="515"/>
      <c r="C57" s="515"/>
      <c r="D57" s="515"/>
      <c r="E57" s="515"/>
      <c r="F57" s="515"/>
      <c r="G57" s="515"/>
      <c r="H57" s="515"/>
      <c r="I57" s="515"/>
      <c r="J57" s="515"/>
      <c r="K57" s="515"/>
      <c r="L57" s="515"/>
      <c r="M57" s="515"/>
      <c r="N57" s="515"/>
      <c r="Q57" s="398"/>
      <c r="R57" s="1279"/>
      <c r="S57" s="1279"/>
      <c r="T57" s="1279"/>
      <c r="U57" s="1279"/>
      <c r="V57" s="1279"/>
      <c r="W57" s="385"/>
      <c r="Y57" s="398" t="s">
        <v>7121</v>
      </c>
      <c r="AG57" s="398" t="s">
        <v>7125</v>
      </c>
      <c r="AX57" s="398" t="s">
        <v>7126</v>
      </c>
      <c r="AY57" s="398"/>
      <c r="AZ57" s="398"/>
      <c r="BA57" s="398"/>
      <c r="BB57" s="398"/>
      <c r="BC57" s="398"/>
      <c r="BD57" s="398"/>
      <c r="BE57" s="398"/>
      <c r="BF57" s="398"/>
      <c r="BG57" s="382" t="s">
        <v>6908</v>
      </c>
      <c r="BH57" s="463">
        <v>22355</v>
      </c>
      <c r="BI57" s="463">
        <v>20955</v>
      </c>
      <c r="BJ57" s="463">
        <v>16219</v>
      </c>
      <c r="BK57" s="463">
        <v>14189</v>
      </c>
      <c r="BL57" s="435">
        <v>10485</v>
      </c>
      <c r="BM57" s="435">
        <v>19139</v>
      </c>
      <c r="BN57" s="435">
        <v>7749</v>
      </c>
      <c r="BO57" s="435">
        <v>4593</v>
      </c>
      <c r="BP57" s="435"/>
      <c r="BQ57" s="547"/>
      <c r="BR57" s="382" t="s">
        <v>6945</v>
      </c>
      <c r="BS57" s="415"/>
      <c r="BT57" s="415"/>
      <c r="BU57" s="415"/>
      <c r="BV57" s="415"/>
      <c r="BW57" s="415"/>
      <c r="BX57" s="415"/>
      <c r="BY57" s="435"/>
      <c r="BZ57" s="562"/>
      <c r="CA57" s="562"/>
      <c r="CB57" s="610" t="s">
        <v>6927</v>
      </c>
      <c r="CC57" s="441" t="s">
        <v>6926</v>
      </c>
      <c r="CD57" s="1522">
        <v>1000</v>
      </c>
      <c r="CE57" s="1522">
        <v>1000</v>
      </c>
      <c r="CF57" s="1522">
        <v>1000</v>
      </c>
      <c r="CG57" s="441" t="s">
        <v>6926</v>
      </c>
      <c r="CH57" s="441" t="s">
        <v>6926</v>
      </c>
      <c r="CI57" s="442" t="s">
        <v>6926</v>
      </c>
      <c r="CJ57" s="562"/>
      <c r="CK57" s="562"/>
      <c r="CL57" s="382" t="s">
        <v>6939</v>
      </c>
      <c r="CM57" s="463">
        <v>39</v>
      </c>
      <c r="CN57" s="435">
        <v>17</v>
      </c>
      <c r="CO57" s="435">
        <v>11102</v>
      </c>
      <c r="CP57" s="435">
        <v>2665</v>
      </c>
      <c r="CQ57" s="435">
        <v>368</v>
      </c>
      <c r="CR57" s="435" t="s">
        <v>2315</v>
      </c>
      <c r="CS57" s="435" t="s">
        <v>2315</v>
      </c>
      <c r="CT57" s="435"/>
      <c r="CU57" s="562"/>
      <c r="CV57" s="398" t="s">
        <v>6985</v>
      </c>
      <c r="CW57" s="463"/>
      <c r="CX57" s="463"/>
      <c r="CY57" s="463"/>
      <c r="CZ57" s="463"/>
      <c r="DA57" s="463"/>
      <c r="DB57" s="463"/>
      <c r="DC57" s="463"/>
      <c r="DD57" s="562"/>
      <c r="DE57" s="547"/>
      <c r="DF57" s="386" t="s">
        <v>2201</v>
      </c>
      <c r="DG57" s="876">
        <v>24</v>
      </c>
      <c r="DH57" s="876">
        <v>11892</v>
      </c>
      <c r="DI57" s="876">
        <v>2893</v>
      </c>
      <c r="DJ57" s="876">
        <v>678</v>
      </c>
      <c r="DK57" s="876">
        <v>258</v>
      </c>
      <c r="DL57" s="435" t="s">
        <v>2315</v>
      </c>
      <c r="DM57" s="435" t="s">
        <v>2315</v>
      </c>
      <c r="DP57" s="381" t="s">
        <v>7124</v>
      </c>
      <c r="DQ57" s="876">
        <v>894</v>
      </c>
      <c r="DR57" s="876">
        <v>3351066</v>
      </c>
      <c r="DS57" s="876">
        <v>447751</v>
      </c>
      <c r="DT57" s="876">
        <v>114940</v>
      </c>
      <c r="DU57" s="876">
        <v>16755</v>
      </c>
      <c r="DV57" s="435" t="s">
        <v>2315</v>
      </c>
      <c r="DW57" s="435" t="s">
        <v>2315</v>
      </c>
    </row>
    <row r="58" spans="1:127" ht="12.95" customHeight="1">
      <c r="A58" s="398"/>
      <c r="B58" s="515"/>
      <c r="C58" s="515"/>
      <c r="D58" s="515"/>
      <c r="E58" s="515"/>
      <c r="F58" s="515"/>
      <c r="G58" s="515"/>
      <c r="H58" s="515"/>
      <c r="I58" s="515"/>
      <c r="J58" s="515"/>
      <c r="K58" s="515"/>
      <c r="L58" s="515"/>
      <c r="M58" s="515"/>
      <c r="N58" s="515"/>
      <c r="Q58" s="398"/>
      <c r="R58" s="1279"/>
      <c r="S58" s="1279"/>
      <c r="T58" s="1279"/>
      <c r="U58" s="1279"/>
      <c r="V58" s="1279"/>
      <c r="W58" s="385"/>
      <c r="Y58" s="398" t="s">
        <v>7125</v>
      </c>
      <c r="AG58" s="398" t="s">
        <v>7127</v>
      </c>
      <c r="AX58" s="398" t="s">
        <v>7128</v>
      </c>
      <c r="AY58" s="398"/>
      <c r="AZ58" s="398"/>
      <c r="BA58" s="398"/>
      <c r="BB58" s="398"/>
      <c r="BC58" s="398"/>
      <c r="BD58" s="398"/>
      <c r="BE58" s="398"/>
      <c r="BF58" s="398"/>
      <c r="BG58" s="382" t="s">
        <v>7039</v>
      </c>
      <c r="BH58" s="463">
        <v>2876</v>
      </c>
      <c r="BI58" s="463">
        <v>3074</v>
      </c>
      <c r="BJ58" s="463">
        <v>2505</v>
      </c>
      <c r="BK58" s="463">
        <v>2394</v>
      </c>
      <c r="BL58" s="435">
        <v>1920</v>
      </c>
      <c r="BM58" s="435">
        <v>3393</v>
      </c>
      <c r="BN58" s="435">
        <v>1715</v>
      </c>
      <c r="BO58" s="435">
        <v>1392</v>
      </c>
      <c r="BP58" s="435"/>
      <c r="BQ58" s="547"/>
      <c r="BR58" s="382" t="s">
        <v>7123</v>
      </c>
      <c r="BS58" s="382"/>
      <c r="BT58" s="382"/>
      <c r="BU58" s="382"/>
      <c r="BV58" s="382"/>
      <c r="BW58" s="382"/>
      <c r="BX58" s="382"/>
      <c r="BY58" s="382"/>
      <c r="BZ58" s="549"/>
      <c r="CA58" s="549"/>
      <c r="CB58" s="382" t="s">
        <v>6933</v>
      </c>
      <c r="CC58" s="463">
        <v>3099</v>
      </c>
      <c r="CD58" s="463">
        <v>7736883</v>
      </c>
      <c r="CE58" s="463">
        <v>1287327</v>
      </c>
      <c r="CF58" s="463">
        <v>316968</v>
      </c>
      <c r="CG58" s="463">
        <v>53579</v>
      </c>
      <c r="CH58" s="435" t="s">
        <v>2315</v>
      </c>
      <c r="CI58" s="435" t="s">
        <v>2315</v>
      </c>
      <c r="CJ58" s="549"/>
      <c r="CK58" s="549"/>
      <c r="CL58" s="382" t="s">
        <v>6947</v>
      </c>
      <c r="CM58" s="435">
        <v>11</v>
      </c>
      <c r="CN58" s="435">
        <v>79</v>
      </c>
      <c r="CO58" s="435">
        <v>746</v>
      </c>
      <c r="CP58" s="435">
        <v>235</v>
      </c>
      <c r="CQ58" s="435">
        <v>38</v>
      </c>
      <c r="CR58" s="435" t="s">
        <v>2315</v>
      </c>
      <c r="CS58" s="435" t="s">
        <v>2315</v>
      </c>
      <c r="CT58" s="435"/>
      <c r="CU58" s="549"/>
      <c r="DD58" s="549"/>
      <c r="DE58" s="547"/>
      <c r="DF58" s="386" t="s">
        <v>2202</v>
      </c>
      <c r="DG58" s="876">
        <v>1751</v>
      </c>
      <c r="DH58" s="876">
        <v>4841862</v>
      </c>
      <c r="DI58" s="876">
        <v>919862</v>
      </c>
      <c r="DJ58" s="876">
        <v>224671</v>
      </c>
      <c r="DK58" s="876">
        <v>34876</v>
      </c>
      <c r="DL58" s="435" t="s">
        <v>2315</v>
      </c>
      <c r="DM58" s="435" t="s">
        <v>2315</v>
      </c>
      <c r="DP58" s="382" t="s">
        <v>6945</v>
      </c>
      <c r="DQ58" s="415"/>
      <c r="DR58" s="415"/>
      <c r="DS58" s="415"/>
      <c r="DT58" s="415"/>
      <c r="DU58" s="415"/>
      <c r="DV58" s="415"/>
      <c r="DW58" s="415"/>
    </row>
    <row r="59" spans="1:127" ht="12.95" customHeight="1">
      <c r="A59" s="398"/>
      <c r="B59" s="515"/>
      <c r="C59" s="515"/>
      <c r="D59" s="515"/>
      <c r="E59" s="515"/>
      <c r="F59" s="515"/>
      <c r="G59" s="515"/>
      <c r="H59" s="515"/>
      <c r="I59" s="515"/>
      <c r="J59" s="515"/>
      <c r="K59" s="515"/>
      <c r="L59" s="515"/>
      <c r="M59" s="515"/>
      <c r="N59" s="515"/>
      <c r="Q59" s="398"/>
      <c r="R59" s="398"/>
      <c r="S59" s="398"/>
      <c r="T59" s="398"/>
      <c r="U59" s="398"/>
      <c r="V59" s="398"/>
      <c r="W59" s="1540"/>
      <c r="X59" s="385"/>
      <c r="Y59" s="398" t="s">
        <v>7127</v>
      </c>
      <c r="AG59" s="398" t="s">
        <v>7129</v>
      </c>
      <c r="AX59" s="398" t="s">
        <v>7130</v>
      </c>
      <c r="AY59" s="398"/>
      <c r="AZ59" s="398"/>
      <c r="BA59" s="398"/>
      <c r="BB59" s="398"/>
      <c r="BC59" s="398"/>
      <c r="BD59" s="398"/>
      <c r="BE59" s="398"/>
      <c r="BF59" s="398"/>
      <c r="BG59" s="382" t="s">
        <v>7046</v>
      </c>
      <c r="BH59" s="463">
        <v>20</v>
      </c>
      <c r="BI59" s="463">
        <v>30</v>
      </c>
      <c r="BJ59" s="463">
        <v>22</v>
      </c>
      <c r="BK59" s="435">
        <v>25</v>
      </c>
      <c r="BL59" s="435">
        <v>28</v>
      </c>
      <c r="BM59" s="435">
        <v>28</v>
      </c>
      <c r="BN59" s="435">
        <v>23</v>
      </c>
      <c r="BO59" s="435">
        <v>10</v>
      </c>
      <c r="BP59" s="435"/>
      <c r="BQ59" s="547"/>
      <c r="BR59" s="398" t="s">
        <v>6985</v>
      </c>
      <c r="BS59" s="382"/>
      <c r="BT59" s="382"/>
      <c r="BU59" s="382"/>
      <c r="BV59" s="382"/>
      <c r="BW59" s="382"/>
      <c r="BX59" s="463"/>
      <c r="BY59" s="382"/>
      <c r="BZ59" s="549"/>
      <c r="CA59" s="549"/>
      <c r="CB59" s="382" t="s">
        <v>6938</v>
      </c>
      <c r="CC59" s="463">
        <v>2096</v>
      </c>
      <c r="CD59" s="435">
        <v>5981637</v>
      </c>
      <c r="CE59" s="435">
        <v>933169</v>
      </c>
      <c r="CF59" s="435">
        <v>227549</v>
      </c>
      <c r="CG59" s="435">
        <v>39699</v>
      </c>
      <c r="CH59" s="435" t="s">
        <v>2315</v>
      </c>
      <c r="CI59" s="435" t="s">
        <v>2315</v>
      </c>
      <c r="CJ59" s="549"/>
      <c r="CK59" s="549"/>
      <c r="CL59" s="382" t="s">
        <v>6956</v>
      </c>
      <c r="CM59" s="435">
        <v>50</v>
      </c>
      <c r="CN59" s="435">
        <v>858</v>
      </c>
      <c r="CO59" s="435">
        <v>704</v>
      </c>
      <c r="CP59" s="435">
        <v>201</v>
      </c>
      <c r="CQ59" s="435">
        <v>96</v>
      </c>
      <c r="CR59" s="435" t="s">
        <v>2315</v>
      </c>
      <c r="CS59" s="435" t="s">
        <v>2315</v>
      </c>
      <c r="CT59" s="435"/>
      <c r="CU59" s="549"/>
      <c r="DD59" s="549"/>
      <c r="DE59" s="547"/>
      <c r="DF59" s="386" t="s">
        <v>2356</v>
      </c>
      <c r="DG59" s="1539" t="s">
        <v>2315</v>
      </c>
      <c r="DH59" s="1539" t="s">
        <v>2315</v>
      </c>
      <c r="DI59" s="1539" t="s">
        <v>2315</v>
      </c>
      <c r="DJ59" s="1539" t="s">
        <v>2315</v>
      </c>
      <c r="DK59" s="1539" t="s">
        <v>2315</v>
      </c>
      <c r="DL59" s="435" t="s">
        <v>2315</v>
      </c>
      <c r="DM59" s="435" t="s">
        <v>2315</v>
      </c>
      <c r="DP59" s="382" t="s">
        <v>7119</v>
      </c>
      <c r="DQ59" s="382"/>
      <c r="DR59" s="382"/>
      <c r="DS59" s="382"/>
      <c r="DT59" s="382"/>
      <c r="DU59" s="382"/>
      <c r="DV59" s="382"/>
      <c r="DW59" s="382"/>
    </row>
    <row r="60" spans="1:127" ht="12.95" customHeight="1">
      <c r="A60" s="398"/>
      <c r="B60" s="515"/>
      <c r="C60" s="515"/>
      <c r="D60" s="515"/>
      <c r="E60" s="515"/>
      <c r="F60" s="515"/>
      <c r="G60" s="515"/>
      <c r="H60" s="515"/>
      <c r="I60" s="515"/>
      <c r="J60" s="515"/>
      <c r="K60" s="515"/>
      <c r="L60" s="515"/>
      <c r="M60" s="515"/>
      <c r="N60" s="515"/>
      <c r="Q60" s="398"/>
      <c r="R60" s="398"/>
      <c r="S60" s="398"/>
      <c r="T60" s="398"/>
      <c r="U60" s="398"/>
      <c r="V60" s="398"/>
      <c r="W60" s="385"/>
      <c r="Y60" s="398" t="s">
        <v>7129</v>
      </c>
      <c r="AG60" s="398"/>
      <c r="AX60" s="398" t="s">
        <v>7129</v>
      </c>
      <c r="AY60" s="398"/>
      <c r="AZ60" s="398"/>
      <c r="BA60" s="398"/>
      <c r="BB60" s="398"/>
      <c r="BC60" s="398"/>
      <c r="BD60" s="398"/>
      <c r="BE60" s="398"/>
      <c r="BF60" s="398"/>
      <c r="BG60" s="381" t="s">
        <v>7051</v>
      </c>
      <c r="BH60" s="477" t="s">
        <v>2315</v>
      </c>
      <c r="BI60" s="477" t="s">
        <v>2315</v>
      </c>
      <c r="BJ60" s="477" t="s">
        <v>2315</v>
      </c>
      <c r="BK60" s="556" t="s">
        <v>2315</v>
      </c>
      <c r="BL60" s="435">
        <v>0</v>
      </c>
      <c r="BM60" s="435">
        <v>0</v>
      </c>
      <c r="BN60" s="435">
        <v>4</v>
      </c>
      <c r="BO60" s="435">
        <v>6</v>
      </c>
      <c r="BP60" s="435"/>
      <c r="BQ60" s="547"/>
      <c r="BZ60" s="549"/>
      <c r="CA60" s="549"/>
      <c r="CB60" s="382" t="s">
        <v>6955</v>
      </c>
      <c r="CC60" s="435">
        <v>616</v>
      </c>
      <c r="CD60" s="435">
        <v>239243</v>
      </c>
      <c r="CE60" s="435">
        <v>54146</v>
      </c>
      <c r="CF60" s="435">
        <v>13216</v>
      </c>
      <c r="CG60" s="435">
        <v>3773</v>
      </c>
      <c r="CH60" s="435" t="s">
        <v>2315</v>
      </c>
      <c r="CI60" s="435" t="s">
        <v>2315</v>
      </c>
      <c r="CJ60" s="549"/>
      <c r="CK60" s="549"/>
      <c r="CL60" s="382" t="s">
        <v>6965</v>
      </c>
      <c r="CM60" s="435">
        <v>107</v>
      </c>
      <c r="CN60" s="435">
        <v>4028</v>
      </c>
      <c r="CO60" s="435">
        <v>2518</v>
      </c>
      <c r="CP60" s="435">
        <v>696</v>
      </c>
      <c r="CQ60" s="435">
        <v>219</v>
      </c>
      <c r="CR60" s="435" t="s">
        <v>2315</v>
      </c>
      <c r="CS60" s="435" t="s">
        <v>2315</v>
      </c>
      <c r="CT60" s="435"/>
      <c r="CU60" s="549"/>
      <c r="DD60" s="549"/>
      <c r="DF60" s="386" t="s">
        <v>2208</v>
      </c>
      <c r="DG60" s="876">
        <v>117</v>
      </c>
      <c r="DH60" s="876">
        <v>145945</v>
      </c>
      <c r="DI60" s="876">
        <v>28539</v>
      </c>
      <c r="DJ60" s="876">
        <v>7152</v>
      </c>
      <c r="DK60" s="876">
        <v>1116</v>
      </c>
      <c r="DL60" s="435" t="s">
        <v>2315</v>
      </c>
      <c r="DM60" s="435" t="s">
        <v>2315</v>
      </c>
      <c r="DP60" s="382" t="s">
        <v>7131</v>
      </c>
      <c r="DQ60" s="398"/>
      <c r="DR60" s="398"/>
      <c r="DS60" s="398"/>
      <c r="DT60" s="398"/>
      <c r="DU60" s="398"/>
      <c r="DV60" s="398"/>
      <c r="DW60" s="398"/>
    </row>
    <row r="61" spans="1:127" ht="12.95" customHeight="1">
      <c r="A61" s="398"/>
      <c r="B61" s="515"/>
      <c r="C61" s="515"/>
      <c r="D61" s="515"/>
      <c r="E61" s="515"/>
      <c r="F61" s="515"/>
      <c r="G61" s="515"/>
      <c r="H61" s="515"/>
      <c r="I61" s="515"/>
      <c r="J61" s="515"/>
      <c r="K61" s="515"/>
      <c r="L61" s="515"/>
      <c r="M61" s="515"/>
      <c r="N61" s="515"/>
      <c r="Q61" s="398"/>
      <c r="R61" s="398"/>
      <c r="S61" s="398"/>
      <c r="T61" s="398"/>
      <c r="U61" s="398"/>
      <c r="V61" s="398"/>
      <c r="W61" s="385"/>
      <c r="X61" s="385"/>
      <c r="AG61" s="398"/>
      <c r="BD61" s="398"/>
      <c r="BE61" s="398"/>
      <c r="BF61" s="398"/>
      <c r="BG61" s="382" t="s">
        <v>6945</v>
      </c>
      <c r="BH61" s="382"/>
      <c r="BI61" s="382"/>
      <c r="BJ61" s="942"/>
      <c r="BK61" s="942"/>
      <c r="BL61" s="942"/>
      <c r="BM61" s="942"/>
      <c r="BN61" s="942"/>
      <c r="BO61" s="942"/>
      <c r="BP61" s="439"/>
      <c r="BQ61" s="547"/>
      <c r="CB61" s="382" t="s">
        <v>6964</v>
      </c>
      <c r="CC61" s="435">
        <v>183</v>
      </c>
      <c r="CD61" s="435">
        <v>595847</v>
      </c>
      <c r="CE61" s="435">
        <v>94051</v>
      </c>
      <c r="CF61" s="435">
        <v>24552</v>
      </c>
      <c r="CG61" s="435">
        <v>3469</v>
      </c>
      <c r="CH61" s="435" t="s">
        <v>2315</v>
      </c>
      <c r="CI61" s="435" t="s">
        <v>2315</v>
      </c>
      <c r="CL61" s="382" t="s">
        <v>6972</v>
      </c>
      <c r="CM61" s="463">
        <v>247</v>
      </c>
      <c r="CN61" s="463">
        <v>18335</v>
      </c>
      <c r="CO61" s="463">
        <v>6808</v>
      </c>
      <c r="CP61" s="463">
        <v>1739</v>
      </c>
      <c r="CQ61" s="463">
        <v>591</v>
      </c>
      <c r="CR61" s="435" t="s">
        <v>2315</v>
      </c>
      <c r="CS61" s="435" t="s">
        <v>2315</v>
      </c>
      <c r="CT61" s="435"/>
      <c r="CW61" s="1529"/>
      <c r="DF61" s="384" t="s">
        <v>2209</v>
      </c>
      <c r="DG61" s="876">
        <v>21</v>
      </c>
      <c r="DH61" s="876">
        <v>73870</v>
      </c>
      <c r="DI61" s="876">
        <v>16889</v>
      </c>
      <c r="DJ61" s="876">
        <v>4184</v>
      </c>
      <c r="DK61" s="876">
        <v>719</v>
      </c>
      <c r="DL61" s="435" t="s">
        <v>2315</v>
      </c>
      <c r="DM61" s="435" t="s">
        <v>2315</v>
      </c>
      <c r="DP61" s="398" t="s">
        <v>6985</v>
      </c>
      <c r="DQ61" s="398"/>
      <c r="DR61" s="398"/>
      <c r="DS61" s="398"/>
      <c r="DT61" s="398"/>
      <c r="DU61" s="398"/>
      <c r="DV61" s="398"/>
      <c r="DW61" s="398"/>
    </row>
    <row r="62" spans="1:127" ht="12.95" customHeight="1">
      <c r="A62" s="398"/>
      <c r="B62" s="515"/>
      <c r="C62" s="515"/>
      <c r="D62" s="515"/>
      <c r="E62" s="515"/>
      <c r="F62" s="515"/>
      <c r="G62" s="515"/>
      <c r="H62" s="515"/>
      <c r="I62" s="515"/>
      <c r="J62" s="515"/>
      <c r="K62" s="515"/>
      <c r="L62" s="515"/>
      <c r="M62" s="515"/>
      <c r="N62" s="515"/>
      <c r="Q62" s="398"/>
      <c r="R62" s="398"/>
      <c r="S62" s="398"/>
      <c r="T62" s="398"/>
      <c r="U62" s="398"/>
      <c r="V62" s="398"/>
      <c r="W62" s="385"/>
      <c r="X62" s="1533"/>
      <c r="AG62" s="398"/>
      <c r="BG62" s="382" t="s">
        <v>6953</v>
      </c>
      <c r="BH62" s="382"/>
      <c r="BI62" s="382"/>
      <c r="BJ62" s="398"/>
      <c r="BK62" s="398"/>
      <c r="BL62" s="439"/>
      <c r="BM62" s="439"/>
      <c r="BN62" s="439"/>
      <c r="BO62" s="439"/>
      <c r="BP62" s="439"/>
      <c r="BQ62" s="547"/>
      <c r="CB62" s="382" t="s">
        <v>6980</v>
      </c>
      <c r="CC62" s="435">
        <v>204</v>
      </c>
      <c r="CD62" s="435">
        <v>920155</v>
      </c>
      <c r="CE62" s="435">
        <v>205960</v>
      </c>
      <c r="CF62" s="435">
        <v>51651</v>
      </c>
      <c r="CG62" s="435">
        <v>6639</v>
      </c>
      <c r="CH62" s="435" t="s">
        <v>2315</v>
      </c>
      <c r="CI62" s="435" t="s">
        <v>2315</v>
      </c>
      <c r="CL62" s="382" t="s">
        <v>6981</v>
      </c>
      <c r="CM62" s="463">
        <v>604</v>
      </c>
      <c r="CN62" s="463">
        <v>100031</v>
      </c>
      <c r="CO62" s="463">
        <v>34440</v>
      </c>
      <c r="CP62" s="463">
        <v>8512</v>
      </c>
      <c r="CQ62" s="463">
        <v>2401</v>
      </c>
      <c r="CR62" s="435" t="s">
        <v>2315</v>
      </c>
      <c r="CS62" s="435" t="s">
        <v>2315</v>
      </c>
      <c r="CT62" s="435"/>
      <c r="DF62" s="382" t="s">
        <v>6945</v>
      </c>
      <c r="DG62" s="415"/>
      <c r="DH62" s="415"/>
      <c r="DI62" s="415"/>
      <c r="DJ62" s="415"/>
      <c r="DK62" s="415"/>
      <c r="DL62" s="415"/>
      <c r="DM62" s="415"/>
      <c r="DP62" s="382"/>
      <c r="DQ62" s="398"/>
      <c r="DR62" s="398"/>
      <c r="DS62" s="398"/>
      <c r="DT62" s="398"/>
      <c r="DU62" s="398"/>
      <c r="DV62" s="398"/>
      <c r="DW62" s="398"/>
    </row>
    <row r="63" spans="1:127" ht="12.95" customHeight="1">
      <c r="A63" s="398"/>
      <c r="B63" s="515"/>
      <c r="C63" s="515"/>
      <c r="D63" s="515"/>
      <c r="E63" s="515"/>
      <c r="F63" s="515"/>
      <c r="G63" s="515"/>
      <c r="H63" s="515"/>
      <c r="I63" s="515"/>
      <c r="J63" s="515"/>
      <c r="K63" s="515"/>
      <c r="L63" s="515"/>
      <c r="M63" s="515"/>
      <c r="N63" s="398"/>
      <c r="Q63" s="398"/>
      <c r="R63" s="402"/>
      <c r="S63" s="402"/>
      <c r="T63" s="402"/>
      <c r="U63" s="402"/>
      <c r="V63" s="398"/>
      <c r="W63" s="385"/>
      <c r="X63" s="385"/>
      <c r="AB63" s="585"/>
      <c r="AC63" s="585"/>
      <c r="AD63" s="585"/>
      <c r="AE63" s="385"/>
      <c r="AG63" s="386"/>
      <c r="BG63" s="382" t="s">
        <v>6962</v>
      </c>
      <c r="BH63" s="382"/>
      <c r="BI63" s="382"/>
      <c r="BJ63" s="398"/>
      <c r="BK63" s="398"/>
      <c r="BL63" s="398"/>
      <c r="BM63" s="398"/>
      <c r="BN63" s="398"/>
      <c r="BO63" s="398"/>
      <c r="BP63" s="398"/>
      <c r="BQ63" s="547"/>
      <c r="CB63" s="382"/>
      <c r="CC63" s="463"/>
      <c r="CD63" s="463"/>
      <c r="CE63" s="463"/>
      <c r="CF63" s="463"/>
      <c r="CG63" s="463"/>
      <c r="CH63" s="435" t="s">
        <v>2315</v>
      </c>
      <c r="CI63" s="435" t="s">
        <v>2315</v>
      </c>
      <c r="CL63" s="382" t="s">
        <v>6987</v>
      </c>
      <c r="CM63" s="463">
        <v>517</v>
      </c>
      <c r="CN63" s="463">
        <v>184542</v>
      </c>
      <c r="CO63" s="463">
        <v>53565</v>
      </c>
      <c r="CP63" s="463">
        <v>12966</v>
      </c>
      <c r="CQ63" s="463">
        <v>3365</v>
      </c>
      <c r="CR63" s="435" t="s">
        <v>2315</v>
      </c>
      <c r="CS63" s="435" t="s">
        <v>2315</v>
      </c>
      <c r="CT63" s="435"/>
      <c r="DF63" s="382" t="s">
        <v>7075</v>
      </c>
      <c r="DG63" s="382"/>
      <c r="DH63" s="382"/>
      <c r="DI63" s="382"/>
      <c r="DJ63" s="382"/>
      <c r="DK63" s="382"/>
      <c r="DL63" s="382"/>
      <c r="DM63" s="382"/>
      <c r="DP63" s="382"/>
      <c r="DQ63" s="382"/>
      <c r="DR63" s="382"/>
      <c r="DS63" s="382"/>
      <c r="DT63" s="382"/>
      <c r="DU63" s="382"/>
      <c r="DV63" s="382"/>
      <c r="DW63" s="382"/>
    </row>
    <row r="64" spans="1:127" ht="12.95" customHeight="1">
      <c r="A64" s="398"/>
      <c r="B64" s="515"/>
      <c r="C64" s="515"/>
      <c r="D64" s="515"/>
      <c r="E64" s="515"/>
      <c r="F64" s="515"/>
      <c r="G64" s="515"/>
      <c r="H64" s="515"/>
      <c r="I64" s="515"/>
      <c r="J64" s="515"/>
      <c r="K64" s="515"/>
      <c r="L64" s="515"/>
      <c r="M64" s="515"/>
      <c r="N64" s="386"/>
      <c r="S64" s="385"/>
      <c r="T64" s="385"/>
      <c r="U64" s="385"/>
      <c r="V64" s="385"/>
      <c r="W64" s="385"/>
      <c r="X64" s="385"/>
      <c r="AE64" s="585"/>
      <c r="AG64" s="386" t="s">
        <v>7137</v>
      </c>
      <c r="BG64" s="398" t="s">
        <v>6985</v>
      </c>
      <c r="BH64" s="398"/>
      <c r="BI64" s="398"/>
      <c r="BJ64" s="398"/>
      <c r="BK64" s="398"/>
      <c r="BL64" s="398"/>
      <c r="BM64" s="398"/>
      <c r="BN64" s="398"/>
      <c r="BO64" s="398"/>
      <c r="BP64" s="398"/>
      <c r="BQ64" s="547"/>
      <c r="BR64" s="382" t="s">
        <v>7132</v>
      </c>
      <c r="BS64" s="382"/>
      <c r="BT64" s="382"/>
      <c r="BU64" s="382"/>
      <c r="BV64" s="382"/>
      <c r="BW64" s="382"/>
      <c r="BX64" s="382"/>
      <c r="BY64" s="382"/>
      <c r="CB64" s="382" t="s">
        <v>6994</v>
      </c>
      <c r="CC64" s="463">
        <v>527</v>
      </c>
      <c r="CD64" s="463">
        <v>464715</v>
      </c>
      <c r="CE64" s="463">
        <v>100642</v>
      </c>
      <c r="CF64" s="463">
        <v>24356</v>
      </c>
      <c r="CG64" s="463">
        <v>5219</v>
      </c>
      <c r="CH64" s="435" t="s">
        <v>2315</v>
      </c>
      <c r="CI64" s="435" t="s">
        <v>2315</v>
      </c>
      <c r="CL64" s="382" t="s">
        <v>6995</v>
      </c>
      <c r="CM64" s="463">
        <v>563</v>
      </c>
      <c r="CN64" s="463">
        <v>406543</v>
      </c>
      <c r="CO64" s="463">
        <v>107548</v>
      </c>
      <c r="CP64" s="463">
        <v>26132</v>
      </c>
      <c r="CQ64" s="463">
        <v>5727</v>
      </c>
      <c r="CR64" s="435" t="s">
        <v>2315</v>
      </c>
      <c r="CS64" s="435" t="s">
        <v>2315</v>
      </c>
      <c r="CT64" s="435"/>
      <c r="DF64" s="398" t="s">
        <v>6985</v>
      </c>
      <c r="DG64" s="382"/>
      <c r="DH64" s="382"/>
      <c r="DI64" s="382"/>
      <c r="DJ64" s="382"/>
      <c r="DK64" s="463"/>
      <c r="DL64" s="382"/>
      <c r="DM64" s="382"/>
    </row>
    <row r="65" spans="1:117" ht="12.95" customHeight="1">
      <c r="A65" s="398"/>
      <c r="B65" s="515"/>
      <c r="C65" s="515"/>
      <c r="D65" s="515"/>
      <c r="E65" s="515"/>
      <c r="F65" s="515"/>
      <c r="G65" s="515"/>
      <c r="H65" s="515"/>
      <c r="I65" s="515"/>
      <c r="J65" s="515"/>
      <c r="K65" s="515"/>
      <c r="L65" s="515"/>
      <c r="M65" s="515"/>
      <c r="N65" s="386"/>
      <c r="S65" s="1533"/>
      <c r="T65" s="1533"/>
      <c r="U65" s="1544"/>
      <c r="V65" s="1533"/>
      <c r="W65" s="385"/>
      <c r="X65" s="385"/>
      <c r="Y65" s="386" t="s">
        <v>7135</v>
      </c>
      <c r="AE65" s="585"/>
      <c r="AG65" s="387" t="s">
        <v>6864</v>
      </c>
      <c r="AH65" s="1513"/>
      <c r="AI65" s="1513"/>
      <c r="AJ65" s="1513"/>
      <c r="AK65" s="1513"/>
      <c r="AL65" s="1513"/>
      <c r="BQ65" s="547"/>
      <c r="BR65" s="597"/>
      <c r="BS65" s="404"/>
      <c r="BT65" s="404"/>
      <c r="BU65" s="404"/>
      <c r="BV65" s="404"/>
      <c r="BW65" s="404" t="s">
        <v>6867</v>
      </c>
      <c r="BX65" s="404"/>
      <c r="BY65" s="405"/>
      <c r="CB65" s="398" t="s">
        <v>6999</v>
      </c>
      <c r="CC65" s="515">
        <v>1246</v>
      </c>
      <c r="CD65" s="515">
        <v>2616004</v>
      </c>
      <c r="CE65" s="515">
        <v>545875</v>
      </c>
      <c r="CF65" s="515">
        <v>130825</v>
      </c>
      <c r="CG65" s="515">
        <v>23094</v>
      </c>
      <c r="CH65" s="435" t="s">
        <v>2315</v>
      </c>
      <c r="CI65" s="435" t="s">
        <v>2315</v>
      </c>
      <c r="CL65" s="381" t="s">
        <v>7000</v>
      </c>
      <c r="CM65" s="463">
        <v>961</v>
      </c>
      <c r="CN65" s="463">
        <v>7022447</v>
      </c>
      <c r="CO65" s="463">
        <v>1069895</v>
      </c>
      <c r="CP65" s="463">
        <v>263823</v>
      </c>
      <c r="CQ65" s="463">
        <v>40773</v>
      </c>
      <c r="CR65" s="435" t="s">
        <v>2315</v>
      </c>
      <c r="CS65" s="435" t="s">
        <v>2315</v>
      </c>
      <c r="CT65" s="435"/>
    </row>
    <row r="66" spans="1:117" ht="15">
      <c r="A66" s="398"/>
      <c r="B66" s="515"/>
      <c r="C66" s="515"/>
      <c r="D66" s="515"/>
      <c r="E66" s="515"/>
      <c r="F66" s="515"/>
      <c r="G66" s="515"/>
      <c r="H66" s="515"/>
      <c r="I66" s="515"/>
      <c r="J66" s="515"/>
      <c r="K66" s="398"/>
      <c r="L66" s="515"/>
      <c r="M66" s="515"/>
      <c r="N66" s="386"/>
      <c r="S66" s="1540"/>
      <c r="T66" s="385"/>
      <c r="U66" s="988"/>
      <c r="V66" s="1540"/>
      <c r="W66" s="385"/>
      <c r="X66" s="385"/>
      <c r="Y66" s="387" t="s">
        <v>6864</v>
      </c>
      <c r="Z66" s="1513"/>
      <c r="AA66" s="1513"/>
      <c r="AB66" s="1513"/>
      <c r="AC66" s="1513"/>
      <c r="AD66" s="1513"/>
      <c r="AH66" s="1517"/>
      <c r="AI66" s="787" t="s">
        <v>6875</v>
      </c>
      <c r="AJ66" s="788"/>
      <c r="AK66" s="788"/>
      <c r="AL66" s="1517"/>
      <c r="AX66" s="1857"/>
      <c r="AY66" s="585"/>
      <c r="BQ66" s="547"/>
      <c r="BR66" s="493"/>
      <c r="BS66" s="667"/>
      <c r="BT66" s="667" t="s">
        <v>6877</v>
      </c>
      <c r="BU66" s="667"/>
      <c r="BV66" s="667"/>
      <c r="BW66" s="667" t="s">
        <v>6878</v>
      </c>
      <c r="BX66" s="667" t="s">
        <v>6879</v>
      </c>
      <c r="BY66" s="465"/>
      <c r="CB66" s="398" t="s">
        <v>7006</v>
      </c>
      <c r="CC66" s="515">
        <v>281</v>
      </c>
      <c r="CD66" s="515">
        <v>361267</v>
      </c>
      <c r="CE66" s="515">
        <v>86797</v>
      </c>
      <c r="CF66" s="515">
        <v>21185</v>
      </c>
      <c r="CG66" s="515">
        <v>4012</v>
      </c>
      <c r="CH66" s="435" t="s">
        <v>2315</v>
      </c>
      <c r="CI66" s="435" t="s">
        <v>2315</v>
      </c>
      <c r="CL66" s="382" t="s">
        <v>6945</v>
      </c>
      <c r="CM66" s="415"/>
      <c r="CN66" s="415"/>
      <c r="CO66" s="415"/>
      <c r="CP66" s="415"/>
      <c r="CQ66" s="415"/>
      <c r="CR66" s="415"/>
      <c r="CS66" s="415"/>
      <c r="CT66" s="382"/>
    </row>
    <row r="67" spans="1:117" ht="15">
      <c r="A67" s="398"/>
      <c r="B67" s="398"/>
      <c r="C67" s="398"/>
      <c r="D67" s="398"/>
      <c r="E67" s="398"/>
      <c r="F67" s="398"/>
      <c r="G67" s="398"/>
      <c r="H67" s="398"/>
      <c r="I67" s="398"/>
      <c r="J67" s="398"/>
      <c r="L67" s="398"/>
      <c r="M67" s="398"/>
      <c r="N67" s="1530"/>
      <c r="S67" s="1540"/>
      <c r="T67" s="385"/>
      <c r="U67" s="1279"/>
      <c r="V67" s="1540"/>
      <c r="W67" s="385"/>
      <c r="X67" s="385"/>
      <c r="Z67" s="1517"/>
      <c r="AA67" s="787" t="s">
        <v>6875</v>
      </c>
      <c r="AB67" s="788"/>
      <c r="AC67" s="788"/>
      <c r="AD67" s="1517"/>
      <c r="AH67" s="1519"/>
      <c r="AI67" s="719" t="s">
        <v>6881</v>
      </c>
      <c r="AJ67" s="796"/>
      <c r="AK67" s="795"/>
      <c r="AL67" s="1519"/>
      <c r="AX67" s="1857"/>
      <c r="AY67" s="585"/>
      <c r="BQ67" s="547"/>
      <c r="BR67" s="493"/>
      <c r="BS67" s="667"/>
      <c r="BT67" s="667" t="s">
        <v>6884</v>
      </c>
      <c r="BU67" s="667"/>
      <c r="BV67" s="667" t="s">
        <v>6885</v>
      </c>
      <c r="BW67" s="667" t="s">
        <v>6886</v>
      </c>
      <c r="BX67" s="667" t="s">
        <v>6887</v>
      </c>
      <c r="BY67" s="465" t="s">
        <v>6888</v>
      </c>
      <c r="CB67" s="387" t="s">
        <v>7012</v>
      </c>
      <c r="CC67" s="766">
        <v>1045</v>
      </c>
      <c r="CD67" s="766">
        <v>4294897</v>
      </c>
      <c r="CE67" s="766">
        <v>554014</v>
      </c>
      <c r="CF67" s="766">
        <v>140603</v>
      </c>
      <c r="CG67" s="766">
        <v>21254</v>
      </c>
      <c r="CH67" s="556" t="s">
        <v>2315</v>
      </c>
      <c r="CI67" s="556" t="s">
        <v>2315</v>
      </c>
      <c r="CL67" s="382" t="s">
        <v>7133</v>
      </c>
      <c r="CM67" s="398"/>
      <c r="CN67" s="398"/>
      <c r="CO67" s="398"/>
      <c r="CP67" s="398"/>
      <c r="CQ67" s="398"/>
      <c r="CR67" s="398"/>
      <c r="CS67" s="398"/>
      <c r="CT67" s="398"/>
    </row>
    <row r="68" spans="1:117" ht="15">
      <c r="A68" s="386"/>
      <c r="B68" s="386"/>
      <c r="C68" s="386"/>
      <c r="D68" s="386"/>
      <c r="E68" s="386"/>
      <c r="F68" s="386"/>
      <c r="G68" s="386"/>
      <c r="H68" s="386"/>
      <c r="I68" s="386"/>
      <c r="J68" s="386"/>
      <c r="K68" s="386"/>
      <c r="L68" s="386"/>
      <c r="M68" s="386"/>
      <c r="Q68" s="398"/>
      <c r="R68" s="398"/>
      <c r="S68" s="1540"/>
      <c r="T68" s="385"/>
      <c r="U68" s="398"/>
      <c r="V68" s="1540"/>
      <c r="W68" s="385"/>
      <c r="X68" s="385"/>
      <c r="Z68" s="1519"/>
      <c r="AA68" s="719" t="s">
        <v>6881</v>
      </c>
      <c r="AB68" s="796"/>
      <c r="AC68" s="795"/>
      <c r="AD68" s="1519"/>
      <c r="AG68" s="398"/>
      <c r="AH68" s="438" t="s">
        <v>129</v>
      </c>
      <c r="AI68" s="1520" t="s">
        <v>129</v>
      </c>
      <c r="AJ68" s="419" t="s">
        <v>6891</v>
      </c>
      <c r="AK68" s="688" t="s">
        <v>6891</v>
      </c>
      <c r="AL68" s="438" t="s">
        <v>1709</v>
      </c>
      <c r="AX68" s="1858"/>
      <c r="AY68" s="1858"/>
      <c r="BG68" s="382" t="s">
        <v>7136</v>
      </c>
      <c r="BH68" s="382"/>
      <c r="BI68" s="382"/>
      <c r="BJ68" s="439"/>
      <c r="BK68" s="439"/>
      <c r="BL68" s="439"/>
      <c r="BM68" s="439"/>
      <c r="BN68" s="439"/>
      <c r="BO68" s="439"/>
      <c r="BP68" s="439"/>
      <c r="BR68" s="493"/>
      <c r="BS68" s="667" t="s">
        <v>6894</v>
      </c>
      <c r="BT68" s="667" t="s">
        <v>6895</v>
      </c>
      <c r="BU68" s="667" t="s">
        <v>119</v>
      </c>
      <c r="BV68" s="667" t="s">
        <v>6896</v>
      </c>
      <c r="BW68" s="667" t="s">
        <v>6897</v>
      </c>
      <c r="BX68" s="667" t="s">
        <v>6898</v>
      </c>
      <c r="BY68" s="465" t="s">
        <v>6899</v>
      </c>
      <c r="CB68" s="382" t="s">
        <v>6945</v>
      </c>
      <c r="CC68" s="398"/>
      <c r="CD68" s="398"/>
      <c r="CE68" s="398"/>
      <c r="CF68" s="398"/>
      <c r="CG68" s="398"/>
      <c r="CH68" s="398"/>
      <c r="CI68" s="398"/>
      <c r="CL68" s="398" t="s">
        <v>6985</v>
      </c>
      <c r="CM68" s="986"/>
      <c r="CN68" s="986"/>
      <c r="CO68" s="986"/>
      <c r="CP68" s="986"/>
      <c r="CQ68" s="986"/>
      <c r="CR68" s="986"/>
      <c r="CS68" s="986"/>
      <c r="CT68" s="986"/>
      <c r="DF68" s="382" t="s">
        <v>7134</v>
      </c>
      <c r="DG68" s="382"/>
      <c r="DH68" s="382"/>
      <c r="DI68" s="382"/>
      <c r="DJ68" s="382"/>
      <c r="DK68" s="382"/>
      <c r="DL68" s="382"/>
      <c r="DM68" s="382"/>
    </row>
    <row r="69" spans="1:117" ht="15">
      <c r="A69" s="386"/>
      <c r="B69" s="386"/>
      <c r="C69" s="386"/>
      <c r="D69" s="386"/>
      <c r="E69" s="386"/>
      <c r="F69" s="386"/>
      <c r="G69" s="386"/>
      <c r="H69" s="386"/>
      <c r="I69" s="386"/>
      <c r="J69" s="386"/>
      <c r="K69" s="386"/>
      <c r="L69" s="386"/>
      <c r="M69" s="386"/>
      <c r="N69" s="398"/>
      <c r="Q69" s="386"/>
      <c r="R69" s="398"/>
      <c r="S69" s="1540"/>
      <c r="T69" s="385"/>
      <c r="U69" s="398"/>
      <c r="V69" s="1540"/>
      <c r="W69" s="385"/>
      <c r="X69" s="385"/>
      <c r="Y69" s="398"/>
      <c r="Z69" s="438" t="s">
        <v>129</v>
      </c>
      <c r="AA69" s="1520" t="s">
        <v>129</v>
      </c>
      <c r="AB69" s="419" t="s">
        <v>6891</v>
      </c>
      <c r="AC69" s="688" t="s">
        <v>6891</v>
      </c>
      <c r="AD69" s="438" t="s">
        <v>1709</v>
      </c>
      <c r="AE69" s="385"/>
      <c r="AG69" s="398"/>
      <c r="AH69" s="438" t="s">
        <v>6903</v>
      </c>
      <c r="AI69" s="1520"/>
      <c r="AJ69" s="438" t="s">
        <v>6904</v>
      </c>
      <c r="AK69" s="416" t="s">
        <v>6905</v>
      </c>
      <c r="AL69" s="438" t="s">
        <v>6903</v>
      </c>
      <c r="AX69" s="1859"/>
      <c r="AY69" s="1860"/>
      <c r="BG69" s="388" t="s">
        <v>1648</v>
      </c>
      <c r="BH69" s="389">
        <v>2022</v>
      </c>
      <c r="BI69" s="389">
        <v>2017</v>
      </c>
      <c r="BJ69" s="389">
        <v>2012</v>
      </c>
      <c r="BK69" s="389">
        <v>2007</v>
      </c>
      <c r="BL69" s="642">
        <v>2002</v>
      </c>
      <c r="BM69" s="642">
        <v>1997</v>
      </c>
      <c r="BN69" s="664">
        <v>1992</v>
      </c>
      <c r="BO69" s="664">
        <v>1987</v>
      </c>
      <c r="BP69" s="439"/>
      <c r="BR69" s="493"/>
      <c r="BS69" s="667" t="s">
        <v>6909</v>
      </c>
      <c r="BT69" s="667" t="s">
        <v>6910</v>
      </c>
      <c r="BU69" s="667" t="s">
        <v>6911</v>
      </c>
      <c r="BV69" s="667" t="s">
        <v>6911</v>
      </c>
      <c r="BW69" s="1521" t="s">
        <v>6912</v>
      </c>
      <c r="BX69" s="667" t="s">
        <v>6913</v>
      </c>
      <c r="BY69" s="465" t="s">
        <v>6914</v>
      </c>
      <c r="CB69" s="382" t="s">
        <v>7133</v>
      </c>
      <c r="CC69" s="382"/>
      <c r="CD69" s="382"/>
      <c r="CE69" s="382"/>
      <c r="CF69" s="382"/>
      <c r="CG69" s="398" t="s">
        <v>3348</v>
      </c>
      <c r="CH69" s="398"/>
      <c r="CI69" s="398"/>
      <c r="DF69" s="597"/>
      <c r="DG69" s="404"/>
      <c r="DH69" s="404"/>
      <c r="DI69" s="404"/>
      <c r="DJ69" s="404"/>
      <c r="DK69" s="404" t="s">
        <v>6867</v>
      </c>
      <c r="DL69" s="404"/>
      <c r="DM69" s="405"/>
    </row>
    <row r="70" spans="1:117" ht="15">
      <c r="A70" s="386"/>
      <c r="B70" s="386"/>
      <c r="C70" s="386"/>
      <c r="D70" s="386"/>
      <c r="E70" s="386"/>
      <c r="F70" s="386"/>
      <c r="G70" s="386"/>
      <c r="H70" s="386"/>
      <c r="I70" s="386"/>
      <c r="J70" s="386"/>
      <c r="K70" s="386"/>
      <c r="L70" s="386"/>
      <c r="M70" s="386"/>
      <c r="N70" s="385"/>
      <c r="Q70" s="398"/>
      <c r="R70" s="385"/>
      <c r="S70" s="1540"/>
      <c r="T70" s="385"/>
      <c r="U70" s="398"/>
      <c r="V70" s="1540"/>
      <c r="W70" s="385"/>
      <c r="X70" s="385"/>
      <c r="Y70" s="398"/>
      <c r="Z70" s="438" t="s">
        <v>6903</v>
      </c>
      <c r="AA70" s="1520"/>
      <c r="AB70" s="438" t="s">
        <v>6904</v>
      </c>
      <c r="AC70" s="416" t="s">
        <v>6905</v>
      </c>
      <c r="AD70" s="438" t="s">
        <v>6903</v>
      </c>
      <c r="AE70" s="385"/>
      <c r="AG70" s="387" t="s">
        <v>6918</v>
      </c>
      <c r="AH70" s="458" t="s">
        <v>6919</v>
      </c>
      <c r="AI70" s="719"/>
      <c r="AJ70" s="458" t="s">
        <v>6920</v>
      </c>
      <c r="AK70" s="457" t="s">
        <v>6921</v>
      </c>
      <c r="AL70" s="458" t="s">
        <v>6919</v>
      </c>
      <c r="AX70" s="1859"/>
      <c r="AY70" s="1860"/>
      <c r="BG70" s="382" t="s">
        <v>6876</v>
      </c>
      <c r="BH70" s="463">
        <v>639</v>
      </c>
      <c r="BI70" s="463">
        <v>680</v>
      </c>
      <c r="BJ70" s="463">
        <v>630</v>
      </c>
      <c r="BK70" s="463">
        <v>660</v>
      </c>
      <c r="BL70" s="435">
        <v>632</v>
      </c>
      <c r="BM70" s="435">
        <v>1091</v>
      </c>
      <c r="BN70" s="435">
        <v>886</v>
      </c>
      <c r="BO70" s="435">
        <v>804</v>
      </c>
      <c r="BP70" s="435"/>
      <c r="BR70" s="610" t="s">
        <v>6925</v>
      </c>
      <c r="BS70" s="441" t="s">
        <v>6926</v>
      </c>
      <c r="BT70" s="1522">
        <v>1000</v>
      </c>
      <c r="BU70" s="1522">
        <v>1000</v>
      </c>
      <c r="BV70" s="1522">
        <v>1000</v>
      </c>
      <c r="BW70" s="441" t="s">
        <v>6926</v>
      </c>
      <c r="BX70" s="441" t="s">
        <v>6926</v>
      </c>
      <c r="BY70" s="442" t="s">
        <v>6926</v>
      </c>
      <c r="CB70" s="398"/>
      <c r="CC70" s="398"/>
      <c r="CD70" s="398"/>
      <c r="CE70" s="398"/>
      <c r="CF70" s="398"/>
      <c r="CG70" s="398"/>
      <c r="CH70" s="398"/>
      <c r="CI70" s="398"/>
      <c r="DF70" s="382"/>
      <c r="DG70" s="667"/>
      <c r="DH70" s="667" t="s">
        <v>6877</v>
      </c>
      <c r="DI70" s="667"/>
      <c r="DJ70" s="667"/>
      <c r="DK70" s="667" t="s">
        <v>6878</v>
      </c>
      <c r="DL70" s="667" t="s">
        <v>6879</v>
      </c>
      <c r="DM70" s="465"/>
    </row>
    <row r="71" spans="1:117" ht="15">
      <c r="K71" s="1530"/>
      <c r="L71" s="1530"/>
      <c r="M71" s="1530"/>
      <c r="N71" s="385"/>
      <c r="Q71" s="398"/>
      <c r="R71" s="1533"/>
      <c r="S71" s="1540"/>
      <c r="T71" s="385"/>
      <c r="U71" s="398"/>
      <c r="V71" s="1540"/>
      <c r="X71" s="385"/>
      <c r="Y71" s="387" t="s">
        <v>6918</v>
      </c>
      <c r="Z71" s="458" t="s">
        <v>6919</v>
      </c>
      <c r="AA71" s="719"/>
      <c r="AB71" s="458" t="s">
        <v>6920</v>
      </c>
      <c r="AC71" s="457" t="s">
        <v>6921</v>
      </c>
      <c r="AD71" s="458" t="s">
        <v>6919</v>
      </c>
      <c r="AE71" s="385"/>
      <c r="AG71" s="385" t="s">
        <v>7138</v>
      </c>
      <c r="AH71" s="1524">
        <v>2814</v>
      </c>
      <c r="AI71" s="1524">
        <v>1558.2</v>
      </c>
      <c r="AJ71" s="1524">
        <v>888.2</v>
      </c>
      <c r="AK71" s="1524">
        <v>670</v>
      </c>
      <c r="AL71" s="1524">
        <v>1255.7</v>
      </c>
      <c r="AX71" s="1859"/>
      <c r="AY71" s="1860"/>
      <c r="BG71" s="382" t="s">
        <v>7082</v>
      </c>
      <c r="BH71" s="463">
        <v>1815365</v>
      </c>
      <c r="BI71" s="463">
        <v>2063574</v>
      </c>
      <c r="BJ71" s="463">
        <v>1980280</v>
      </c>
      <c r="BK71" s="463">
        <v>1618402</v>
      </c>
      <c r="BL71" s="435">
        <v>1250439</v>
      </c>
      <c r="BM71" s="435">
        <v>1840348</v>
      </c>
      <c r="BN71" s="435">
        <v>1114322</v>
      </c>
      <c r="BO71" s="435">
        <v>786169</v>
      </c>
      <c r="BP71" s="435"/>
      <c r="BR71" s="382" t="s">
        <v>4314</v>
      </c>
      <c r="BS71" s="463">
        <v>3099</v>
      </c>
      <c r="BT71" s="876">
        <v>7736883</v>
      </c>
      <c r="BU71" s="876">
        <v>1287327</v>
      </c>
      <c r="BV71" s="876">
        <v>316968</v>
      </c>
      <c r="BW71" s="463">
        <v>53579</v>
      </c>
      <c r="BX71" s="435">
        <v>799</v>
      </c>
      <c r="BY71" s="435" t="s">
        <v>2315</v>
      </c>
      <c r="DF71" s="523"/>
      <c r="DG71" s="667"/>
      <c r="DH71" s="667" t="s">
        <v>6884</v>
      </c>
      <c r="DI71" s="667"/>
      <c r="DJ71" s="667" t="s">
        <v>6885</v>
      </c>
      <c r="DK71" s="667" t="s">
        <v>6886</v>
      </c>
      <c r="DL71" s="667" t="s">
        <v>6887</v>
      </c>
      <c r="DM71" s="465" t="s">
        <v>6888</v>
      </c>
    </row>
    <row r="72" spans="1:117" ht="15">
      <c r="N72" s="515"/>
      <c r="Q72" s="398"/>
      <c r="R72" s="1540"/>
      <c r="S72" s="385"/>
      <c r="T72" s="385"/>
      <c r="U72" s="398"/>
      <c r="V72" s="385"/>
      <c r="Y72" s="398" t="s">
        <v>2870</v>
      </c>
      <c r="Z72" s="1523">
        <v>33.5</v>
      </c>
      <c r="AA72" s="1523">
        <v>22.1</v>
      </c>
      <c r="AB72" s="1523">
        <v>14.9</v>
      </c>
      <c r="AC72" s="1523">
        <v>7.3</v>
      </c>
      <c r="AD72" s="1523">
        <v>11.3</v>
      </c>
      <c r="AE72" s="1524"/>
      <c r="AG72" s="398"/>
      <c r="AH72" s="1524"/>
      <c r="AI72" s="1524"/>
      <c r="AJ72" s="1524"/>
      <c r="AK72" s="1524"/>
      <c r="AL72" s="1524"/>
      <c r="AX72" s="1859"/>
      <c r="AY72" s="1860"/>
      <c r="BG72" s="382" t="s">
        <v>6893</v>
      </c>
      <c r="BH72" s="463">
        <v>207034</v>
      </c>
      <c r="BI72" s="463">
        <v>222916</v>
      </c>
      <c r="BJ72" s="463">
        <v>183983</v>
      </c>
      <c r="BK72" s="463">
        <v>149716</v>
      </c>
      <c r="BL72" s="435">
        <v>122655</v>
      </c>
      <c r="BM72" s="435">
        <v>220744</v>
      </c>
      <c r="BN72" s="435">
        <v>141085</v>
      </c>
      <c r="BO72" s="435">
        <v>78733</v>
      </c>
      <c r="BP72" s="435"/>
      <c r="BR72" s="382" t="s">
        <v>6937</v>
      </c>
      <c r="BS72" s="463">
        <v>7</v>
      </c>
      <c r="BT72" s="933">
        <v>567874</v>
      </c>
      <c r="BU72" s="933">
        <v>47251</v>
      </c>
      <c r="BV72" s="933">
        <v>12234</v>
      </c>
      <c r="BW72" s="435">
        <v>934</v>
      </c>
      <c r="BX72" s="435">
        <v>0</v>
      </c>
      <c r="BY72" s="435" t="s">
        <v>2315</v>
      </c>
      <c r="DF72" s="433"/>
      <c r="DG72" s="667" t="s">
        <v>6894</v>
      </c>
      <c r="DH72" s="667" t="s">
        <v>6895</v>
      </c>
      <c r="DI72" s="667" t="s">
        <v>119</v>
      </c>
      <c r="DJ72" s="667" t="s">
        <v>6896</v>
      </c>
      <c r="DK72" s="667" t="s">
        <v>6897</v>
      </c>
      <c r="DL72" s="667" t="s">
        <v>6898</v>
      </c>
      <c r="DM72" s="465" t="s">
        <v>6899</v>
      </c>
    </row>
    <row r="73" spans="1:117" ht="15">
      <c r="A73" s="398"/>
      <c r="B73" s="398"/>
      <c r="C73" s="398"/>
      <c r="D73" s="398"/>
      <c r="E73" s="398"/>
      <c r="F73" s="398"/>
      <c r="G73" s="398"/>
      <c r="H73" s="398"/>
      <c r="I73" s="398"/>
      <c r="J73" s="398"/>
      <c r="K73" s="398"/>
      <c r="L73" s="398"/>
      <c r="M73" s="398"/>
      <c r="N73" s="515"/>
      <c r="Q73" s="398"/>
      <c r="R73" s="1540"/>
      <c r="S73" s="385"/>
      <c r="T73" s="385"/>
      <c r="U73" s="398"/>
      <c r="V73" s="385"/>
      <c r="Y73" s="398" t="s">
        <v>2915</v>
      </c>
      <c r="Z73" s="1523">
        <v>6.5</v>
      </c>
      <c r="AA73" s="1523">
        <v>3.9</v>
      </c>
      <c r="AB73" s="1523">
        <v>3.2</v>
      </c>
      <c r="AC73" s="1523">
        <v>0.7</v>
      </c>
      <c r="AD73" s="1523">
        <v>2.6</v>
      </c>
      <c r="AE73" s="1524"/>
      <c r="AG73" s="398" t="s">
        <v>2870</v>
      </c>
      <c r="AH73" s="1523">
        <v>33.299999999999997</v>
      </c>
      <c r="AI73" s="1523">
        <v>16.8</v>
      </c>
      <c r="AJ73" s="1523">
        <v>9</v>
      </c>
      <c r="AK73" s="1523">
        <v>7.8</v>
      </c>
      <c r="AL73" s="1523">
        <v>16.5</v>
      </c>
      <c r="AX73" s="1859"/>
      <c r="AY73" s="1860"/>
      <c r="BG73" s="382" t="s">
        <v>6908</v>
      </c>
      <c r="BH73" s="463">
        <v>49687</v>
      </c>
      <c r="BI73" s="463">
        <v>55444</v>
      </c>
      <c r="BJ73" s="463">
        <v>45748</v>
      </c>
      <c r="BK73" s="463">
        <v>37536</v>
      </c>
      <c r="BL73" s="435">
        <v>31343</v>
      </c>
      <c r="BM73" s="435">
        <v>55789</v>
      </c>
      <c r="BN73" s="435">
        <v>33486</v>
      </c>
      <c r="BO73" s="435">
        <v>18314</v>
      </c>
      <c r="BP73" s="435"/>
      <c r="BR73" s="382" t="s">
        <v>2310</v>
      </c>
      <c r="BS73" s="435">
        <v>320</v>
      </c>
      <c r="BT73" s="933">
        <v>750368</v>
      </c>
      <c r="BU73" s="933">
        <v>166511</v>
      </c>
      <c r="BV73" s="933">
        <v>40288</v>
      </c>
      <c r="BW73" s="435">
        <v>6722</v>
      </c>
      <c r="BX73" s="435">
        <v>95</v>
      </c>
      <c r="BY73" s="435" t="s">
        <v>2315</v>
      </c>
      <c r="DF73" s="433" t="s">
        <v>3990</v>
      </c>
      <c r="DG73" s="667" t="s">
        <v>6909</v>
      </c>
      <c r="DH73" s="667" t="s">
        <v>6910</v>
      </c>
      <c r="DI73" s="667" t="s">
        <v>6911</v>
      </c>
      <c r="DJ73" s="667" t="s">
        <v>6911</v>
      </c>
      <c r="DK73" s="1521" t="s">
        <v>6912</v>
      </c>
      <c r="DL73" s="667" t="s">
        <v>6913</v>
      </c>
      <c r="DM73" s="465" t="s">
        <v>6914</v>
      </c>
    </row>
    <row r="74" spans="1:117" ht="15">
      <c r="A74" s="398"/>
      <c r="B74" s="385"/>
      <c r="C74" s="385"/>
      <c r="D74" s="385"/>
      <c r="E74" s="385"/>
      <c r="F74" s="385"/>
      <c r="G74" s="385"/>
      <c r="H74" s="385"/>
      <c r="I74" s="385"/>
      <c r="J74" s="385"/>
      <c r="K74" s="385"/>
      <c r="L74" s="385"/>
      <c r="M74" s="385"/>
      <c r="N74" s="515"/>
      <c r="Q74" s="398"/>
      <c r="R74" s="1540"/>
      <c r="S74" s="385"/>
      <c r="T74" s="385"/>
      <c r="U74" s="398"/>
      <c r="V74" s="385"/>
      <c r="Y74" s="398" t="s">
        <v>2842</v>
      </c>
      <c r="Z74" s="1523">
        <v>69.5</v>
      </c>
      <c r="AA74" s="1523">
        <v>40.299999999999997</v>
      </c>
      <c r="AB74" s="1523">
        <v>24.2</v>
      </c>
      <c r="AC74" s="1523">
        <v>16.100000000000001</v>
      </c>
      <c r="AD74" s="1523">
        <v>29.2</v>
      </c>
      <c r="AE74" s="1524"/>
      <c r="AG74" s="398" t="s">
        <v>2915</v>
      </c>
      <c r="AH74" s="1523">
        <v>7.2</v>
      </c>
      <c r="AI74" s="1523">
        <v>3.6</v>
      </c>
      <c r="AJ74" s="1523">
        <v>2.7</v>
      </c>
      <c r="AK74" s="1523">
        <v>0.9</v>
      </c>
      <c r="AL74" s="1523">
        <v>3.6</v>
      </c>
      <c r="AX74" s="1859"/>
      <c r="AY74" s="1860"/>
      <c r="BG74" s="382" t="s">
        <v>7039</v>
      </c>
      <c r="BH74" s="463">
        <v>8447</v>
      </c>
      <c r="BI74" s="463">
        <v>10073</v>
      </c>
      <c r="BJ74" s="463">
        <v>8879</v>
      </c>
      <c r="BK74" s="463">
        <v>8219</v>
      </c>
      <c r="BL74" s="435">
        <v>7402</v>
      </c>
      <c r="BM74" s="435">
        <v>15334</v>
      </c>
      <c r="BN74" s="435">
        <v>9565</v>
      </c>
      <c r="BO74" s="435">
        <v>7344</v>
      </c>
      <c r="BP74" s="435"/>
      <c r="BR74" s="382" t="s">
        <v>6954</v>
      </c>
      <c r="BS74" s="435">
        <v>54</v>
      </c>
      <c r="BT74" s="933">
        <v>122589</v>
      </c>
      <c r="BU74" s="933">
        <v>28020</v>
      </c>
      <c r="BV74" s="933">
        <v>6548</v>
      </c>
      <c r="BW74" s="435">
        <v>1282</v>
      </c>
      <c r="BX74" s="435">
        <v>10</v>
      </c>
      <c r="BY74" s="435" t="s">
        <v>2315</v>
      </c>
      <c r="DF74" s="610" t="s">
        <v>4020</v>
      </c>
      <c r="DG74" s="441" t="s">
        <v>6926</v>
      </c>
      <c r="DH74" s="1522">
        <v>1000</v>
      </c>
      <c r="DI74" s="1522">
        <v>1000</v>
      </c>
      <c r="DJ74" s="1522">
        <v>1000</v>
      </c>
      <c r="DK74" s="441" t="s">
        <v>6926</v>
      </c>
      <c r="DL74" s="441" t="s">
        <v>6926</v>
      </c>
      <c r="DM74" s="442" t="s">
        <v>6926</v>
      </c>
    </row>
    <row r="75" spans="1:117" ht="15">
      <c r="A75" s="386"/>
      <c r="B75" s="385"/>
      <c r="C75" s="385"/>
      <c r="D75" s="385"/>
      <c r="E75" s="385"/>
      <c r="F75" s="385"/>
      <c r="G75" s="385"/>
      <c r="H75" s="385"/>
      <c r="I75" s="385"/>
      <c r="J75" s="385"/>
      <c r="K75" s="385"/>
      <c r="L75" s="385"/>
      <c r="M75" s="385"/>
      <c r="N75" s="515"/>
      <c r="Q75" s="398"/>
      <c r="R75" s="1540"/>
      <c r="S75" s="385"/>
      <c r="T75" s="398"/>
      <c r="U75" s="1540"/>
      <c r="V75" s="1540"/>
      <c r="Y75" s="398" t="s">
        <v>2837</v>
      </c>
      <c r="Z75" s="1523">
        <v>23.2</v>
      </c>
      <c r="AA75" s="1523">
        <v>14.9</v>
      </c>
      <c r="AB75" s="1523">
        <v>11.1</v>
      </c>
      <c r="AC75" s="1523">
        <v>3.8</v>
      </c>
      <c r="AD75" s="1523">
        <v>8.1999999999999993</v>
      </c>
      <c r="AE75" s="1524"/>
      <c r="AG75" s="398" t="s">
        <v>2842</v>
      </c>
      <c r="AH75" s="1523">
        <v>62.9</v>
      </c>
      <c r="AI75" s="1523">
        <v>32.6</v>
      </c>
      <c r="AJ75" s="1523">
        <v>16.2</v>
      </c>
      <c r="AK75" s="1523">
        <v>16.399999999999999</v>
      </c>
      <c r="AL75" s="1523">
        <v>30.3</v>
      </c>
      <c r="AX75" s="1859"/>
      <c r="AY75" s="1860"/>
      <c r="BG75" s="382" t="s">
        <v>7046</v>
      </c>
      <c r="BH75" s="463">
        <v>100</v>
      </c>
      <c r="BI75" s="463">
        <v>137</v>
      </c>
      <c r="BJ75" s="463">
        <v>161</v>
      </c>
      <c r="BK75" s="435">
        <v>188</v>
      </c>
      <c r="BL75" s="435">
        <v>177</v>
      </c>
      <c r="BM75" s="435">
        <v>399</v>
      </c>
      <c r="BN75" s="435">
        <v>453</v>
      </c>
      <c r="BO75" s="435">
        <v>329</v>
      </c>
      <c r="BP75" s="435"/>
      <c r="BR75" s="382" t="s">
        <v>6963</v>
      </c>
      <c r="BS75" s="435">
        <v>177</v>
      </c>
      <c r="BT75" s="933">
        <v>982335</v>
      </c>
      <c r="BU75" s="933">
        <v>65863</v>
      </c>
      <c r="BV75" s="933">
        <v>16219</v>
      </c>
      <c r="BW75" s="435">
        <v>2505</v>
      </c>
      <c r="BX75" s="435">
        <v>22</v>
      </c>
      <c r="BY75" s="435" t="s">
        <v>2315</v>
      </c>
      <c r="CC75" s="1529"/>
      <c r="CM75" s="1529"/>
      <c r="DF75" s="382" t="s">
        <v>6933</v>
      </c>
      <c r="DG75" s="876">
        <v>3099</v>
      </c>
      <c r="DH75" s="876">
        <v>7736883</v>
      </c>
      <c r="DI75" s="876">
        <v>1287327</v>
      </c>
      <c r="DJ75" s="876">
        <v>316968</v>
      </c>
      <c r="DK75" s="876">
        <v>53579</v>
      </c>
      <c r="DL75" s="435" t="s">
        <v>2315</v>
      </c>
      <c r="DM75" s="435" t="s">
        <v>2315</v>
      </c>
    </row>
    <row r="76" spans="1:117" ht="15">
      <c r="A76" s="398"/>
      <c r="B76" s="515"/>
      <c r="C76" s="515"/>
      <c r="D76" s="515"/>
      <c r="E76" s="515"/>
      <c r="F76" s="515"/>
      <c r="G76" s="515"/>
      <c r="H76" s="515"/>
      <c r="I76" s="515"/>
      <c r="J76" s="515"/>
      <c r="K76" s="515"/>
      <c r="L76" s="515"/>
      <c r="M76" s="515"/>
      <c r="N76" s="515"/>
      <c r="Q76" s="398"/>
      <c r="R76" s="1540"/>
      <c r="S76" s="385"/>
      <c r="T76" s="398"/>
      <c r="U76" s="1540"/>
      <c r="V76" s="385"/>
      <c r="Y76" s="398" t="s">
        <v>2817</v>
      </c>
      <c r="Z76" s="1523">
        <v>419.3</v>
      </c>
      <c r="AA76" s="1523">
        <v>295.2</v>
      </c>
      <c r="AB76" s="1523">
        <v>196.9</v>
      </c>
      <c r="AC76" s="1523">
        <v>98.3</v>
      </c>
      <c r="AD76" s="1523">
        <v>124.1</v>
      </c>
      <c r="AE76" s="1524"/>
      <c r="AG76" s="398" t="s">
        <v>2837</v>
      </c>
      <c r="AH76" s="1523">
        <v>19.100000000000001</v>
      </c>
      <c r="AI76" s="1523">
        <v>8.5</v>
      </c>
      <c r="AJ76" s="1523">
        <v>4.5</v>
      </c>
      <c r="AK76" s="1523">
        <v>4.0999999999999996</v>
      </c>
      <c r="AL76" s="1523">
        <v>10.5</v>
      </c>
      <c r="AX76" s="1859"/>
      <c r="AY76" s="1860"/>
      <c r="BG76" s="381" t="s">
        <v>7051</v>
      </c>
      <c r="BH76" s="477" t="s">
        <v>2315</v>
      </c>
      <c r="BI76" s="477" t="s">
        <v>2315</v>
      </c>
      <c r="BJ76" s="477" t="s">
        <v>2315</v>
      </c>
      <c r="BK76" s="556" t="s">
        <v>2315</v>
      </c>
      <c r="BL76" s="435">
        <v>34</v>
      </c>
      <c r="BM76" s="435">
        <v>74</v>
      </c>
      <c r="BN76" s="435">
        <v>237</v>
      </c>
      <c r="BO76" s="435">
        <v>273</v>
      </c>
      <c r="BP76" s="435"/>
      <c r="BR76" s="382" t="s">
        <v>6970</v>
      </c>
      <c r="BS76" s="435">
        <v>630</v>
      </c>
      <c r="BT76" s="933">
        <v>1980280</v>
      </c>
      <c r="BU76" s="933">
        <v>183983</v>
      </c>
      <c r="BV76" s="933">
        <v>45748</v>
      </c>
      <c r="BW76" s="435">
        <v>8879</v>
      </c>
      <c r="BX76" s="435">
        <v>161</v>
      </c>
      <c r="BY76" s="435" t="s">
        <v>2315</v>
      </c>
      <c r="DF76" s="382" t="s">
        <v>2251</v>
      </c>
      <c r="DG76" s="876">
        <v>22</v>
      </c>
      <c r="DH76" s="435">
        <v>15131</v>
      </c>
      <c r="DI76" s="435">
        <v>4325</v>
      </c>
      <c r="DJ76" s="435">
        <v>980</v>
      </c>
      <c r="DK76" s="435">
        <v>178</v>
      </c>
      <c r="DL76" s="435" t="s">
        <v>2315</v>
      </c>
      <c r="DM76" s="435" t="s">
        <v>2315</v>
      </c>
    </row>
    <row r="77" spans="1:117" ht="15">
      <c r="A77" s="398"/>
      <c r="B77" s="515"/>
      <c r="C77" s="515"/>
      <c r="D77" s="515"/>
      <c r="E77" s="515"/>
      <c r="F77" s="515"/>
      <c r="G77" s="515"/>
      <c r="H77" s="515"/>
      <c r="I77" s="515"/>
      <c r="J77" s="515"/>
      <c r="K77" s="515"/>
      <c r="L77" s="515"/>
      <c r="M77" s="515"/>
      <c r="N77" s="515"/>
      <c r="Q77" s="398"/>
      <c r="R77" s="1540"/>
      <c r="S77" s="385"/>
      <c r="T77" s="398"/>
      <c r="U77" s="1540"/>
      <c r="V77" s="385"/>
      <c r="Y77" s="398" t="s">
        <v>2855</v>
      </c>
      <c r="Z77" s="1523">
        <v>54.8</v>
      </c>
      <c r="AA77" s="1523">
        <v>34.6</v>
      </c>
      <c r="AB77" s="1523">
        <v>22.4</v>
      </c>
      <c r="AC77" s="1523">
        <v>12.2</v>
      </c>
      <c r="AD77" s="1523">
        <v>20.2</v>
      </c>
      <c r="AE77" s="1524"/>
      <c r="AG77" s="398" t="s">
        <v>2817</v>
      </c>
      <c r="AH77" s="1523">
        <v>379.9</v>
      </c>
      <c r="AI77" s="1523">
        <v>236</v>
      </c>
      <c r="AJ77" s="1523">
        <v>119.5</v>
      </c>
      <c r="AK77" s="1523">
        <v>116.5</v>
      </c>
      <c r="AL77" s="1523">
        <v>144</v>
      </c>
      <c r="AX77" s="1859"/>
      <c r="AY77" s="1860"/>
      <c r="BG77" s="382" t="s">
        <v>6945</v>
      </c>
      <c r="BH77" s="382"/>
      <c r="BI77" s="382"/>
      <c r="BJ77" s="942"/>
      <c r="BK77" s="942"/>
      <c r="BL77" s="942"/>
      <c r="BM77" s="942"/>
      <c r="BN77" s="942"/>
      <c r="BO77" s="942"/>
      <c r="BP77" s="439"/>
      <c r="BR77" s="382" t="s">
        <v>6979</v>
      </c>
      <c r="BS77" s="463">
        <v>85</v>
      </c>
      <c r="BT77" s="876">
        <v>196853</v>
      </c>
      <c r="BU77" s="876">
        <v>54580</v>
      </c>
      <c r="BV77" s="876">
        <v>13074</v>
      </c>
      <c r="BW77" s="463">
        <v>1916</v>
      </c>
      <c r="BX77" s="435">
        <v>17</v>
      </c>
      <c r="BY77" s="435" t="s">
        <v>2315</v>
      </c>
      <c r="CB77" s="382"/>
      <c r="CC77" s="382"/>
      <c r="CD77" s="382"/>
      <c r="CE77" s="382"/>
      <c r="CF77" s="382"/>
      <c r="CG77" s="382"/>
      <c r="CH77" s="382"/>
      <c r="CI77" s="382"/>
      <c r="DF77" s="386" t="s">
        <v>2381</v>
      </c>
      <c r="DG77" s="933">
        <v>39</v>
      </c>
      <c r="DH77" s="933">
        <v>73833</v>
      </c>
      <c r="DI77" s="933">
        <v>9529</v>
      </c>
      <c r="DJ77" s="933">
        <v>2274</v>
      </c>
      <c r="DK77" s="933">
        <v>435</v>
      </c>
      <c r="DL77" s="435" t="s">
        <v>2315</v>
      </c>
      <c r="DM77" s="435" t="s">
        <v>2315</v>
      </c>
    </row>
    <row r="78" spans="1:117">
      <c r="A78" s="398"/>
      <c r="B78" s="515"/>
      <c r="C78" s="515"/>
      <c r="D78" s="515"/>
      <c r="E78" s="515"/>
      <c r="F78" s="515"/>
      <c r="G78" s="515"/>
      <c r="H78" s="515"/>
      <c r="I78" s="515"/>
      <c r="J78" s="515"/>
      <c r="K78" s="515"/>
      <c r="L78" s="515"/>
      <c r="M78" s="515"/>
      <c r="N78" s="515"/>
      <c r="Q78" s="398"/>
      <c r="R78" s="385"/>
      <c r="S78" s="385"/>
      <c r="T78" s="398"/>
      <c r="U78" s="385"/>
      <c r="V78" s="385"/>
      <c r="Y78" s="398" t="s">
        <v>2932</v>
      </c>
      <c r="Z78" s="1523">
        <v>35.700000000000003</v>
      </c>
      <c r="AA78" s="1523">
        <v>23.4</v>
      </c>
      <c r="AB78" s="1523">
        <v>16.5</v>
      </c>
      <c r="AC78" s="1523">
        <v>6.9</v>
      </c>
      <c r="AD78" s="1523">
        <v>12.4</v>
      </c>
      <c r="AE78" s="1524"/>
      <c r="AG78" s="398" t="s">
        <v>2932</v>
      </c>
      <c r="AH78" s="1523">
        <v>35.700000000000003</v>
      </c>
      <c r="AI78" s="1523">
        <v>21.6</v>
      </c>
      <c r="AJ78" s="1523">
        <v>12.7</v>
      </c>
      <c r="AK78" s="1523">
        <v>8.9</v>
      </c>
      <c r="AL78" s="1523">
        <v>14.1</v>
      </c>
      <c r="AM78" s="1549"/>
      <c r="BG78" s="382" t="s">
        <v>6953</v>
      </c>
      <c r="BH78" s="382"/>
      <c r="BI78" s="382"/>
      <c r="BJ78" s="398"/>
      <c r="BK78" s="398"/>
      <c r="BL78" s="439"/>
      <c r="BM78" s="439"/>
      <c r="BN78" s="439"/>
      <c r="BO78" s="439"/>
      <c r="BP78" s="439"/>
      <c r="BR78" s="382" t="s">
        <v>6986</v>
      </c>
      <c r="BS78" s="463">
        <v>61</v>
      </c>
      <c r="BT78" s="876">
        <v>300969</v>
      </c>
      <c r="BU78" s="876">
        <v>58523</v>
      </c>
      <c r="BV78" s="876">
        <v>14986</v>
      </c>
      <c r="BW78" s="463">
        <v>1722</v>
      </c>
      <c r="BX78" s="435">
        <v>12</v>
      </c>
      <c r="BY78" s="435" t="s">
        <v>2315</v>
      </c>
      <c r="CB78" s="382"/>
      <c r="CC78" s="439"/>
      <c r="CD78" s="439"/>
      <c r="CE78" s="439"/>
      <c r="CF78" s="439"/>
      <c r="CG78" s="439"/>
      <c r="CH78" s="439"/>
      <c r="CI78" s="439"/>
      <c r="DF78" s="386" t="s">
        <v>4393</v>
      </c>
      <c r="DG78" s="933">
        <v>19</v>
      </c>
      <c r="DH78" s="933">
        <v>27526</v>
      </c>
      <c r="DI78" s="933">
        <v>3204</v>
      </c>
      <c r="DJ78" s="933">
        <v>769</v>
      </c>
      <c r="DK78" s="933">
        <v>187</v>
      </c>
      <c r="DL78" s="435" t="s">
        <v>2315</v>
      </c>
      <c r="DM78" s="435" t="s">
        <v>2315</v>
      </c>
    </row>
    <row r="79" spans="1:117">
      <c r="A79" s="398"/>
      <c r="B79" s="515"/>
      <c r="C79" s="515"/>
      <c r="D79" s="515"/>
      <c r="E79" s="515"/>
      <c r="F79" s="515"/>
      <c r="G79" s="515"/>
      <c r="H79" s="515"/>
      <c r="I79" s="515"/>
      <c r="J79" s="515"/>
      <c r="K79" s="515"/>
      <c r="L79" s="515"/>
      <c r="M79" s="515"/>
      <c r="N79" s="515"/>
      <c r="Q79" s="398"/>
      <c r="R79" s="385"/>
      <c r="S79" s="385"/>
      <c r="T79" s="398"/>
      <c r="U79" s="385"/>
      <c r="V79" s="385"/>
      <c r="Y79" s="398" t="s">
        <v>2946</v>
      </c>
      <c r="Z79" s="1523">
        <v>8.3000000000000007</v>
      </c>
      <c r="AA79" s="1523">
        <v>5.3</v>
      </c>
      <c r="AB79" s="1523">
        <v>3.9</v>
      </c>
      <c r="AC79" s="1523">
        <v>1.4</v>
      </c>
      <c r="AD79" s="1523">
        <v>3</v>
      </c>
      <c r="AE79" s="1524"/>
      <c r="AG79" s="398" t="s">
        <v>2946</v>
      </c>
      <c r="AH79" s="1523">
        <v>7</v>
      </c>
      <c r="AI79" s="1523" t="s">
        <v>7139</v>
      </c>
      <c r="AJ79" s="1523" t="s">
        <v>7140</v>
      </c>
      <c r="AK79" s="1523" t="s">
        <v>7141</v>
      </c>
      <c r="AL79" s="1523" t="s">
        <v>7142</v>
      </c>
      <c r="AM79" s="1549"/>
      <c r="BG79" s="382" t="s">
        <v>6962</v>
      </c>
      <c r="BH79" s="382"/>
      <c r="BI79" s="382"/>
      <c r="BJ79" s="398"/>
      <c r="BK79" s="398"/>
      <c r="BL79" s="398"/>
      <c r="BM79" s="398"/>
      <c r="BN79" s="398"/>
      <c r="BO79" s="398"/>
      <c r="BP79" s="398"/>
      <c r="BR79" s="382" t="s">
        <v>6993</v>
      </c>
      <c r="BS79" s="463">
        <v>127</v>
      </c>
      <c r="BT79" s="876">
        <v>679668</v>
      </c>
      <c r="BU79" s="876">
        <v>78913</v>
      </c>
      <c r="BV79" s="876">
        <v>20269</v>
      </c>
      <c r="BW79" s="463">
        <v>1983</v>
      </c>
      <c r="BX79" s="435">
        <v>12</v>
      </c>
      <c r="BY79" s="435" t="s">
        <v>2315</v>
      </c>
      <c r="CB79" s="382"/>
      <c r="CC79" s="439"/>
      <c r="CD79" s="439"/>
      <c r="CE79" s="439"/>
      <c r="CF79" s="439"/>
      <c r="CG79" s="439"/>
      <c r="CH79" s="439"/>
      <c r="CI79" s="439"/>
      <c r="DF79" s="386" t="s">
        <v>2253</v>
      </c>
      <c r="DG79" s="933">
        <v>249</v>
      </c>
      <c r="DH79" s="933">
        <v>482808</v>
      </c>
      <c r="DI79" s="933">
        <v>74980</v>
      </c>
      <c r="DJ79" s="933">
        <v>18126</v>
      </c>
      <c r="DK79" s="933">
        <v>3455</v>
      </c>
      <c r="DL79" s="435" t="s">
        <v>2315</v>
      </c>
      <c r="DM79" s="435" t="s">
        <v>2315</v>
      </c>
    </row>
    <row r="80" spans="1:117">
      <c r="A80" s="398"/>
      <c r="B80" s="515"/>
      <c r="C80" s="515"/>
      <c r="D80" s="515"/>
      <c r="E80" s="515"/>
      <c r="F80" s="515"/>
      <c r="G80" s="515"/>
      <c r="H80" s="515"/>
      <c r="I80" s="515"/>
      <c r="J80" s="515"/>
      <c r="K80" s="515"/>
      <c r="L80" s="515"/>
      <c r="M80" s="515"/>
      <c r="N80" s="515"/>
      <c r="Q80" s="398"/>
      <c r="R80" s="385"/>
      <c r="S80" s="385"/>
      <c r="T80" s="398"/>
      <c r="U80" s="385"/>
      <c r="V80" s="385"/>
      <c r="Y80" s="398" t="s">
        <v>2953</v>
      </c>
      <c r="Z80" s="1003">
        <v>4.8</v>
      </c>
      <c r="AA80" s="1523">
        <v>2.6</v>
      </c>
      <c r="AB80" s="1523">
        <v>2.2999999999999998</v>
      </c>
      <c r="AC80" s="1523">
        <v>0.3</v>
      </c>
      <c r="AD80" s="1523">
        <v>2.2000000000000002</v>
      </c>
      <c r="AE80" s="1524"/>
      <c r="AG80" s="398" t="s">
        <v>2953</v>
      </c>
      <c r="AH80" s="1523">
        <v>6.4</v>
      </c>
      <c r="AI80" s="1523" t="s">
        <v>7142</v>
      </c>
      <c r="AJ80" s="1523" t="s">
        <v>7140</v>
      </c>
      <c r="AK80" s="1523" t="s">
        <v>7143</v>
      </c>
      <c r="AL80" s="1523" t="s">
        <v>7144</v>
      </c>
      <c r="AM80" s="1549"/>
      <c r="BG80" s="398" t="s">
        <v>6985</v>
      </c>
      <c r="BH80" s="398"/>
      <c r="BI80" s="398"/>
      <c r="BJ80" s="398"/>
      <c r="BK80" s="398"/>
      <c r="BL80" s="398"/>
      <c r="BM80" s="398"/>
      <c r="BN80" s="398"/>
      <c r="BO80" s="398"/>
      <c r="BP80" s="398"/>
      <c r="BR80" s="382" t="s">
        <v>6998</v>
      </c>
      <c r="BS80" s="463">
        <v>265</v>
      </c>
      <c r="BT80" s="876">
        <v>226042</v>
      </c>
      <c r="BU80" s="876">
        <v>42688</v>
      </c>
      <c r="BV80" s="876">
        <v>10279</v>
      </c>
      <c r="BW80" s="463">
        <v>1912</v>
      </c>
      <c r="BX80" s="435">
        <v>57</v>
      </c>
      <c r="BY80" s="435" t="s">
        <v>2315</v>
      </c>
      <c r="CB80" s="382"/>
      <c r="CC80" s="439"/>
      <c r="CD80" s="439"/>
      <c r="CE80" s="439"/>
      <c r="CF80" s="439"/>
      <c r="CG80" s="439"/>
      <c r="CH80" s="439"/>
      <c r="CI80" s="439"/>
      <c r="DF80" s="1527" t="s">
        <v>2352</v>
      </c>
      <c r="DG80" s="876">
        <v>23</v>
      </c>
      <c r="DH80" s="876">
        <v>21801</v>
      </c>
      <c r="DI80" s="876">
        <v>5090</v>
      </c>
      <c r="DJ80" s="876">
        <v>1192</v>
      </c>
      <c r="DK80" s="876">
        <v>297</v>
      </c>
      <c r="DL80" s="435" t="s">
        <v>2315</v>
      </c>
      <c r="DM80" s="435" t="s">
        <v>2315</v>
      </c>
    </row>
    <row r="81" spans="1:117">
      <c r="A81" s="398"/>
      <c r="B81" s="515"/>
      <c r="C81" s="515"/>
      <c r="D81" s="515"/>
      <c r="E81" s="515"/>
      <c r="F81" s="515"/>
      <c r="G81" s="515"/>
      <c r="H81" s="515"/>
      <c r="I81" s="515"/>
      <c r="J81" s="515"/>
      <c r="K81" s="515"/>
      <c r="L81" s="515"/>
      <c r="M81" s="515"/>
      <c r="N81" s="515"/>
      <c r="Q81" s="398"/>
      <c r="R81" s="398"/>
      <c r="S81" s="398"/>
      <c r="T81" s="398"/>
      <c r="U81" s="398"/>
      <c r="V81" s="398"/>
      <c r="Y81" s="398" t="s">
        <v>2818</v>
      </c>
      <c r="Z81" s="1523">
        <v>12.2</v>
      </c>
      <c r="AA81" s="1523">
        <v>8</v>
      </c>
      <c r="AB81" s="1523">
        <v>7</v>
      </c>
      <c r="AC81" s="1523">
        <v>1</v>
      </c>
      <c r="AD81" s="1523">
        <v>4.2</v>
      </c>
      <c r="AE81" s="1524"/>
      <c r="AG81" s="398" t="s">
        <v>2848</v>
      </c>
      <c r="AH81" s="1523">
        <v>78.099999999999994</v>
      </c>
      <c r="AI81" s="1523" t="s">
        <v>7145</v>
      </c>
      <c r="AJ81" s="1523" t="s">
        <v>7146</v>
      </c>
      <c r="AK81" s="1523" t="s">
        <v>7147</v>
      </c>
      <c r="AL81" s="1523" t="s">
        <v>7148</v>
      </c>
      <c r="AM81" s="1549"/>
      <c r="BR81" s="382" t="s">
        <v>7005</v>
      </c>
      <c r="BS81" s="463">
        <v>241</v>
      </c>
      <c r="BT81" s="876">
        <v>294211</v>
      </c>
      <c r="BU81" s="876">
        <v>104528</v>
      </c>
      <c r="BV81" s="876">
        <v>24560</v>
      </c>
      <c r="BW81" s="463">
        <v>2737</v>
      </c>
      <c r="BX81" s="435">
        <v>69</v>
      </c>
      <c r="BY81" s="435" t="s">
        <v>2315</v>
      </c>
      <c r="CB81" s="382"/>
      <c r="CC81" s="439"/>
      <c r="CD81" s="439"/>
      <c r="CE81" s="439"/>
      <c r="CF81" s="439"/>
      <c r="CG81" s="439"/>
      <c r="CH81" s="439"/>
      <c r="CI81" s="439"/>
      <c r="DF81" s="386" t="s">
        <v>2177</v>
      </c>
      <c r="DG81" s="876">
        <v>461</v>
      </c>
      <c r="DH81" s="876">
        <v>893755</v>
      </c>
      <c r="DI81" s="876">
        <v>143940</v>
      </c>
      <c r="DJ81" s="876">
        <v>34992</v>
      </c>
      <c r="DK81" s="876">
        <v>7230</v>
      </c>
      <c r="DL81" s="435" t="s">
        <v>2315</v>
      </c>
      <c r="DM81" s="435" t="s">
        <v>2315</v>
      </c>
    </row>
    <row r="82" spans="1:117">
      <c r="A82" s="398"/>
      <c r="B82" s="515"/>
      <c r="C82" s="515"/>
      <c r="D82" s="515"/>
      <c r="E82" s="515"/>
      <c r="F82" s="515"/>
      <c r="G82" s="515"/>
      <c r="H82" s="515"/>
      <c r="I82" s="515"/>
      <c r="J82" s="515"/>
      <c r="K82" s="515"/>
      <c r="L82" s="515"/>
      <c r="M82" s="515"/>
      <c r="N82" s="515"/>
      <c r="Q82" s="398"/>
      <c r="R82" s="402"/>
      <c r="S82" s="402"/>
      <c r="T82" s="402"/>
      <c r="U82" s="402"/>
      <c r="V82" s="398"/>
      <c r="Y82" s="398" t="s">
        <v>2885</v>
      </c>
      <c r="Z82" s="1523">
        <v>112.5</v>
      </c>
      <c r="AA82" s="1523">
        <v>73.5</v>
      </c>
      <c r="AB82" s="1523">
        <v>51.7</v>
      </c>
      <c r="AC82" s="1523">
        <v>21.7</v>
      </c>
      <c r="AD82" s="1523">
        <v>39</v>
      </c>
      <c r="AE82" s="1524"/>
      <c r="AG82" s="398" t="s">
        <v>2818</v>
      </c>
      <c r="AH82" s="1523">
        <v>13.5</v>
      </c>
      <c r="AI82" s="1523" t="s">
        <v>7149</v>
      </c>
      <c r="AJ82" s="1523" t="s">
        <v>7150</v>
      </c>
      <c r="AK82" s="1523" t="s">
        <v>7141</v>
      </c>
      <c r="AL82" s="1523" t="s">
        <v>7151</v>
      </c>
      <c r="AM82" s="1549"/>
      <c r="BR82" s="382" t="s">
        <v>7011</v>
      </c>
      <c r="BS82" s="463">
        <v>8</v>
      </c>
      <c r="BT82" s="933">
        <v>3732</v>
      </c>
      <c r="BU82" s="933">
        <v>7618</v>
      </c>
      <c r="BV82" s="933">
        <v>1689</v>
      </c>
      <c r="BW82" s="435">
        <v>182</v>
      </c>
      <c r="BX82" s="435">
        <v>0</v>
      </c>
      <c r="BY82" s="435" t="s">
        <v>2315</v>
      </c>
      <c r="CB82" s="382"/>
      <c r="CC82" s="439"/>
      <c r="CD82" s="439"/>
      <c r="CE82" s="439"/>
      <c r="CF82" s="439"/>
      <c r="CG82" s="1550"/>
      <c r="CH82" s="439"/>
      <c r="CI82" s="439"/>
      <c r="DF82" s="386" t="s">
        <v>6989</v>
      </c>
      <c r="DG82" s="876">
        <v>387</v>
      </c>
      <c r="DH82" s="876">
        <v>741987</v>
      </c>
      <c r="DI82" s="876">
        <v>144226</v>
      </c>
      <c r="DJ82" s="876">
        <v>35474</v>
      </c>
      <c r="DK82" s="876">
        <v>5212</v>
      </c>
      <c r="DL82" s="435" t="s">
        <v>2315</v>
      </c>
      <c r="DM82" s="435" t="s">
        <v>2315</v>
      </c>
    </row>
    <row r="83" spans="1:117">
      <c r="A83" s="398"/>
      <c r="B83" s="515"/>
      <c r="C83" s="515"/>
      <c r="D83" s="515"/>
      <c r="E83" s="515"/>
      <c r="F83" s="515"/>
      <c r="G83" s="515"/>
      <c r="H83" s="515"/>
      <c r="I83" s="515"/>
      <c r="J83" s="515"/>
      <c r="K83" s="515"/>
      <c r="L83" s="515"/>
      <c r="M83" s="515"/>
      <c r="N83" s="515"/>
      <c r="Y83" s="398" t="s">
        <v>2918</v>
      </c>
      <c r="Z83" s="1523">
        <v>62.4</v>
      </c>
      <c r="AA83" s="1523">
        <v>35.299999999999997</v>
      </c>
      <c r="AB83" s="1523">
        <v>19.600000000000001</v>
      </c>
      <c r="AC83" s="1523">
        <v>15.7</v>
      </c>
      <c r="AD83" s="1523">
        <v>27.1</v>
      </c>
      <c r="AE83" s="1524"/>
      <c r="AG83" s="398" t="s">
        <v>2885</v>
      </c>
      <c r="AH83" s="1523">
        <v>104.8</v>
      </c>
      <c r="AI83" s="1523" t="s">
        <v>7152</v>
      </c>
      <c r="AJ83" s="1523" t="s">
        <v>7153</v>
      </c>
      <c r="AK83" s="1523" t="s">
        <v>7154</v>
      </c>
      <c r="AL83" s="1523" t="s">
        <v>7155</v>
      </c>
      <c r="AM83" s="1549"/>
      <c r="BG83" s="547"/>
      <c r="BH83" s="547"/>
      <c r="BI83" s="547"/>
      <c r="BJ83" s="1526"/>
      <c r="BK83" s="1526"/>
      <c r="BL83" s="1526"/>
      <c r="BM83" s="1526"/>
      <c r="BN83" s="1526"/>
      <c r="BO83" s="1526"/>
      <c r="BP83" s="1526"/>
      <c r="BR83" s="382" t="s">
        <v>7017</v>
      </c>
      <c r="BS83" s="463">
        <v>156</v>
      </c>
      <c r="BT83" s="876">
        <v>171003</v>
      </c>
      <c r="BU83" s="876">
        <v>67669</v>
      </c>
      <c r="BV83" s="876">
        <v>16635</v>
      </c>
      <c r="BW83" s="463">
        <v>3205</v>
      </c>
      <c r="BX83" s="435">
        <v>44</v>
      </c>
      <c r="BY83" s="435" t="s">
        <v>2315</v>
      </c>
      <c r="CB83" s="382"/>
      <c r="CC83" s="439"/>
      <c r="CD83" s="644"/>
      <c r="CE83" s="644"/>
      <c r="CF83" s="644"/>
      <c r="CG83" s="439"/>
      <c r="CH83" s="439"/>
      <c r="CI83" s="439"/>
      <c r="DF83" s="386" t="s">
        <v>2276</v>
      </c>
      <c r="DG83" s="876">
        <v>11</v>
      </c>
      <c r="DH83" s="876">
        <v>6835</v>
      </c>
      <c r="DI83" s="933">
        <v>933</v>
      </c>
      <c r="DJ83" s="933">
        <v>230</v>
      </c>
      <c r="DK83" s="933">
        <v>63</v>
      </c>
      <c r="DL83" s="435" t="s">
        <v>2315</v>
      </c>
      <c r="DM83" s="435" t="s">
        <v>2315</v>
      </c>
    </row>
    <row r="84" spans="1:117">
      <c r="A84" s="398"/>
      <c r="B84" s="515"/>
      <c r="C84" s="515"/>
      <c r="D84" s="515"/>
      <c r="E84" s="515"/>
      <c r="F84" s="515"/>
      <c r="G84" s="515"/>
      <c r="H84" s="515"/>
      <c r="I84" s="515"/>
      <c r="J84" s="515"/>
      <c r="K84" s="515"/>
      <c r="L84" s="515"/>
      <c r="M84" s="515"/>
      <c r="N84" s="515"/>
      <c r="Y84" s="398" t="s">
        <v>2866</v>
      </c>
      <c r="Z84" s="1523">
        <v>35.5</v>
      </c>
      <c r="AA84" s="1523">
        <v>21.9</v>
      </c>
      <c r="AB84" s="1523">
        <v>13.1</v>
      </c>
      <c r="AC84" s="1523">
        <v>8.8000000000000007</v>
      </c>
      <c r="AD84" s="1523">
        <v>13.2</v>
      </c>
      <c r="AE84" s="1524"/>
      <c r="AG84" s="398" t="s">
        <v>2918</v>
      </c>
      <c r="AH84" s="1523">
        <v>70.900000000000006</v>
      </c>
      <c r="AI84" s="1523" t="s">
        <v>7156</v>
      </c>
      <c r="AJ84" s="1523" t="s">
        <v>7157</v>
      </c>
      <c r="AK84" s="1523" t="s">
        <v>7158</v>
      </c>
      <c r="AL84" s="1523" t="s">
        <v>7159</v>
      </c>
      <c r="AM84" s="1549"/>
      <c r="BJ84" s="1526"/>
      <c r="BK84" s="1526"/>
      <c r="BL84" s="1526"/>
      <c r="BM84" s="1526"/>
      <c r="BN84" s="1526"/>
      <c r="BO84" s="1526"/>
      <c r="BP84" s="1526"/>
      <c r="BR84" s="382" t="s">
        <v>7022</v>
      </c>
      <c r="BS84" s="463">
        <v>36</v>
      </c>
      <c r="BT84" s="933">
        <v>24788</v>
      </c>
      <c r="BU84" s="933">
        <v>8696</v>
      </c>
      <c r="BV84" s="933">
        <v>2230</v>
      </c>
      <c r="BW84" s="435">
        <v>435</v>
      </c>
      <c r="BX84" s="435">
        <v>7</v>
      </c>
      <c r="BY84" s="435" t="s">
        <v>2315</v>
      </c>
      <c r="CB84" s="382"/>
      <c r="CC84" s="463"/>
      <c r="CD84" s="463"/>
      <c r="CE84" s="463"/>
      <c r="CF84" s="463"/>
      <c r="CG84" s="463"/>
      <c r="CH84" s="435"/>
      <c r="CI84" s="435"/>
      <c r="DF84" s="386" t="s">
        <v>2185</v>
      </c>
      <c r="DG84" s="876">
        <v>65</v>
      </c>
      <c r="DH84" s="876">
        <v>164490</v>
      </c>
      <c r="DI84" s="876">
        <v>31676</v>
      </c>
      <c r="DJ84" s="876">
        <v>8262</v>
      </c>
      <c r="DK84" s="876">
        <v>1133</v>
      </c>
      <c r="DL84" s="435" t="s">
        <v>2315</v>
      </c>
      <c r="DM84" s="435" t="s">
        <v>2315</v>
      </c>
    </row>
    <row r="85" spans="1:117">
      <c r="A85" s="398"/>
      <c r="B85" s="515"/>
      <c r="C85" s="515"/>
      <c r="D85" s="515"/>
      <c r="E85" s="515"/>
      <c r="F85" s="515"/>
      <c r="G85" s="515"/>
      <c r="H85" s="515"/>
      <c r="I85" s="515"/>
      <c r="J85" s="515"/>
      <c r="K85" s="515"/>
      <c r="L85" s="515"/>
      <c r="M85" s="515"/>
      <c r="N85" s="398"/>
      <c r="Y85" s="398" t="s">
        <v>2891</v>
      </c>
      <c r="Z85" s="1523">
        <v>27.8</v>
      </c>
      <c r="AA85" s="1523">
        <v>16.600000000000001</v>
      </c>
      <c r="AB85" s="1523">
        <v>10.3</v>
      </c>
      <c r="AC85" s="1523">
        <v>6.3</v>
      </c>
      <c r="AD85" s="1523">
        <v>11.2</v>
      </c>
      <c r="AE85" s="1524"/>
      <c r="AG85" s="398" t="s">
        <v>2866</v>
      </c>
      <c r="AH85" s="1523">
        <v>35.1</v>
      </c>
      <c r="AI85" s="1523" t="s">
        <v>7161</v>
      </c>
      <c r="AJ85" s="1523" t="s">
        <v>7162</v>
      </c>
      <c r="AK85" s="1523" t="s">
        <v>7163</v>
      </c>
      <c r="AL85" s="1523" t="s">
        <v>7164</v>
      </c>
      <c r="AM85" s="1549"/>
      <c r="BR85" s="382" t="s">
        <v>7026</v>
      </c>
      <c r="BS85" s="463">
        <v>200</v>
      </c>
      <c r="BT85" s="876">
        <v>364966</v>
      </c>
      <c r="BU85" s="876">
        <v>119346</v>
      </c>
      <c r="BV85" s="876">
        <v>29581</v>
      </c>
      <c r="BW85" s="463">
        <v>3475</v>
      </c>
      <c r="BX85" s="435">
        <v>65</v>
      </c>
      <c r="BY85" s="435" t="s">
        <v>2315</v>
      </c>
      <c r="CB85" s="382"/>
      <c r="CC85" s="463"/>
      <c r="CD85" s="435"/>
      <c r="CE85" s="435"/>
      <c r="CF85" s="435"/>
      <c r="CG85" s="435"/>
      <c r="CH85" s="435"/>
      <c r="CI85" s="435"/>
      <c r="DF85" s="386" t="s">
        <v>2353</v>
      </c>
      <c r="DG85" s="876">
        <v>15</v>
      </c>
      <c r="DH85" s="876">
        <v>9330</v>
      </c>
      <c r="DI85" s="933">
        <v>3260</v>
      </c>
      <c r="DJ85" s="933">
        <v>783</v>
      </c>
      <c r="DK85" s="933">
        <v>148</v>
      </c>
      <c r="DL85" s="435" t="s">
        <v>2315</v>
      </c>
      <c r="DM85" s="435" t="s">
        <v>2315</v>
      </c>
    </row>
    <row r="86" spans="1:117">
      <c r="A86" s="398"/>
      <c r="B86" s="515"/>
      <c r="C86" s="515"/>
      <c r="D86" s="515"/>
      <c r="E86" s="515"/>
      <c r="F86" s="515"/>
      <c r="G86" s="515"/>
      <c r="H86" s="515"/>
      <c r="I86" s="515"/>
      <c r="J86" s="515"/>
      <c r="K86" s="515"/>
      <c r="L86" s="515"/>
      <c r="M86" s="515"/>
      <c r="N86" s="386"/>
      <c r="Y86" s="398" t="s">
        <v>2871</v>
      </c>
      <c r="Z86" s="1523">
        <v>40.6</v>
      </c>
      <c r="AA86" s="1523">
        <v>24.7</v>
      </c>
      <c r="AB86" s="1523">
        <v>16.899999999999999</v>
      </c>
      <c r="AC86" s="1523">
        <v>7.8</v>
      </c>
      <c r="AD86" s="1523">
        <v>15.9</v>
      </c>
      <c r="AE86" s="1524"/>
      <c r="AG86" s="398" t="s">
        <v>2891</v>
      </c>
      <c r="AH86" s="1523">
        <v>28.6</v>
      </c>
      <c r="AI86" s="1523" t="s">
        <v>7165</v>
      </c>
      <c r="AJ86" s="1523" t="s">
        <v>7166</v>
      </c>
      <c r="AK86" s="1523" t="s">
        <v>7150</v>
      </c>
      <c r="AL86" s="1523" t="s">
        <v>7167</v>
      </c>
      <c r="AM86" s="1549"/>
      <c r="BR86" s="382" t="s">
        <v>7031</v>
      </c>
      <c r="BS86" s="463">
        <v>58</v>
      </c>
      <c r="BT86" s="933">
        <v>73151</v>
      </c>
      <c r="BU86" s="933">
        <v>19842</v>
      </c>
      <c r="BV86" s="933">
        <v>4854</v>
      </c>
      <c r="BW86" s="435">
        <v>1074</v>
      </c>
      <c r="BX86" s="435">
        <v>17</v>
      </c>
      <c r="BY86" s="435" t="s">
        <v>2315</v>
      </c>
      <c r="CB86" s="382"/>
      <c r="CC86" s="435"/>
      <c r="CD86" s="435"/>
      <c r="CE86" s="435"/>
      <c r="CF86" s="435"/>
      <c r="CG86" s="435"/>
      <c r="CH86" s="435"/>
      <c r="CI86" s="435"/>
      <c r="DF86" s="1527" t="s">
        <v>4067</v>
      </c>
      <c r="DG86" s="876">
        <v>50</v>
      </c>
      <c r="DH86" s="876">
        <v>274793</v>
      </c>
      <c r="DI86" s="876">
        <v>24367</v>
      </c>
      <c r="DJ86" s="876">
        <v>5744</v>
      </c>
      <c r="DK86" s="876">
        <v>1046</v>
      </c>
      <c r="DL86" s="435" t="s">
        <v>2315</v>
      </c>
      <c r="DM86" s="435" t="s">
        <v>2315</v>
      </c>
    </row>
    <row r="87" spans="1:117">
      <c r="A87" s="398"/>
      <c r="B87" s="515"/>
      <c r="C87" s="515"/>
      <c r="D87" s="515"/>
      <c r="E87" s="515"/>
      <c r="F87" s="515"/>
      <c r="G87" s="515"/>
      <c r="H87" s="515"/>
      <c r="I87" s="515"/>
      <c r="J87" s="515"/>
      <c r="K87" s="515"/>
      <c r="L87" s="515"/>
      <c r="M87" s="515"/>
      <c r="N87" s="386"/>
      <c r="Y87" s="386" t="s">
        <v>2903</v>
      </c>
      <c r="Z87" s="1523">
        <v>21.4</v>
      </c>
      <c r="AA87" s="1523">
        <v>11.8</v>
      </c>
      <c r="AB87" s="1523">
        <v>9.1999999999999993</v>
      </c>
      <c r="AC87" s="1523">
        <v>2.6</v>
      </c>
      <c r="AD87" s="1523">
        <v>9.6</v>
      </c>
      <c r="AE87" s="1524"/>
      <c r="AG87" s="398" t="s">
        <v>2871</v>
      </c>
      <c r="AH87" s="1523">
        <v>38.6</v>
      </c>
      <c r="AI87" s="1523" t="s">
        <v>7168</v>
      </c>
      <c r="AJ87" s="1523" t="s">
        <v>7169</v>
      </c>
      <c r="AK87" s="1523" t="s">
        <v>7170</v>
      </c>
      <c r="AL87" s="1523" t="s">
        <v>7171</v>
      </c>
      <c r="AM87" s="1549"/>
      <c r="BR87" s="382" t="s">
        <v>7035</v>
      </c>
      <c r="BS87" s="463">
        <v>450</v>
      </c>
      <c r="BT87" s="876">
        <v>789844</v>
      </c>
      <c r="BU87" s="876">
        <v>189446</v>
      </c>
      <c r="BV87" s="876">
        <v>47021</v>
      </c>
      <c r="BW87" s="463">
        <v>12575</v>
      </c>
      <c r="BX87" s="435">
        <v>139</v>
      </c>
      <c r="BY87" s="435" t="s">
        <v>2315</v>
      </c>
      <c r="CB87" s="382"/>
      <c r="CC87" s="435"/>
      <c r="CD87" s="435"/>
      <c r="CE87" s="435"/>
      <c r="CF87" s="435"/>
      <c r="CG87" s="435"/>
      <c r="CH87" s="435"/>
      <c r="CI87" s="435"/>
      <c r="DF87" s="386" t="s">
        <v>2195</v>
      </c>
      <c r="DG87" s="876">
        <v>37</v>
      </c>
      <c r="DH87" s="876">
        <v>89822</v>
      </c>
      <c r="DI87" s="876">
        <v>16276</v>
      </c>
      <c r="DJ87" s="876">
        <v>3811</v>
      </c>
      <c r="DK87" s="876">
        <v>538</v>
      </c>
      <c r="DL87" s="435" t="s">
        <v>2315</v>
      </c>
      <c r="DM87" s="435" t="s">
        <v>2315</v>
      </c>
    </row>
    <row r="88" spans="1:117">
      <c r="A88" s="398"/>
      <c r="B88" s="515"/>
      <c r="C88" s="515"/>
      <c r="D88" s="515"/>
      <c r="E88" s="515"/>
      <c r="F88" s="515"/>
      <c r="G88" s="515"/>
      <c r="H88" s="515"/>
      <c r="I88" s="515"/>
      <c r="J88" s="515"/>
      <c r="K88" s="515"/>
      <c r="L88" s="515"/>
      <c r="M88" s="515"/>
      <c r="N88" s="386"/>
      <c r="Y88" s="1535" t="s">
        <v>2955</v>
      </c>
      <c r="Z88" s="1523">
        <v>19.899999999999999</v>
      </c>
      <c r="AA88" s="1523">
        <v>12.5</v>
      </c>
      <c r="AB88" s="1523">
        <v>6.8</v>
      </c>
      <c r="AC88" s="1523">
        <v>5.7</v>
      </c>
      <c r="AD88" s="1523">
        <v>7.4</v>
      </c>
      <c r="AE88" s="1524"/>
      <c r="AG88" s="386" t="s">
        <v>2903</v>
      </c>
      <c r="AH88" s="1523">
        <v>24.1</v>
      </c>
      <c r="AI88" s="1523" t="s">
        <v>7172</v>
      </c>
      <c r="AJ88" s="1523" t="s">
        <v>7173</v>
      </c>
      <c r="AK88" s="1523" t="s">
        <v>7174</v>
      </c>
      <c r="AL88" s="1523" t="s">
        <v>7175</v>
      </c>
      <c r="AM88" s="1549"/>
      <c r="BR88" s="381" t="s">
        <v>7116</v>
      </c>
      <c r="BS88" s="463">
        <v>224</v>
      </c>
      <c r="BT88" s="876">
        <v>208209</v>
      </c>
      <c r="BU88" s="876">
        <v>43848</v>
      </c>
      <c r="BV88" s="876">
        <v>10754</v>
      </c>
      <c r="BW88" s="463">
        <v>2038</v>
      </c>
      <c r="BX88" s="435">
        <v>72</v>
      </c>
      <c r="BY88" s="556" t="s">
        <v>2315</v>
      </c>
      <c r="CB88" s="382"/>
      <c r="CC88" s="435"/>
      <c r="CD88" s="435"/>
      <c r="CE88" s="435"/>
      <c r="CF88" s="435"/>
      <c r="CG88" s="435"/>
      <c r="CH88" s="435"/>
      <c r="CI88" s="435"/>
      <c r="DF88" s="1527" t="s">
        <v>2198</v>
      </c>
      <c r="DG88" s="876">
        <v>26</v>
      </c>
      <c r="DH88" s="876">
        <v>156810</v>
      </c>
      <c r="DI88" s="876">
        <v>54975</v>
      </c>
      <c r="DJ88" s="876">
        <v>13158</v>
      </c>
      <c r="DK88" s="876">
        <v>1462</v>
      </c>
      <c r="DL88" s="435" t="s">
        <v>2315</v>
      </c>
      <c r="DM88" s="435" t="s">
        <v>2315</v>
      </c>
    </row>
    <row r="89" spans="1:117">
      <c r="A89" s="398"/>
      <c r="B89" s="398"/>
      <c r="C89" s="398"/>
      <c r="D89" s="398"/>
      <c r="E89" s="398"/>
      <c r="F89" s="398"/>
      <c r="G89" s="398"/>
      <c r="H89" s="398"/>
      <c r="I89" s="398"/>
      <c r="J89" s="398"/>
      <c r="K89" s="398"/>
      <c r="L89" s="398"/>
      <c r="M89" s="398"/>
      <c r="Y89" s="1538" t="s">
        <v>2875</v>
      </c>
      <c r="Z89" s="1523">
        <v>42.6</v>
      </c>
      <c r="AA89" s="1523">
        <v>27.6</v>
      </c>
      <c r="AB89" s="1523">
        <v>21</v>
      </c>
      <c r="AC89" s="1523">
        <v>6.6</v>
      </c>
      <c r="AD89" s="1523">
        <v>15</v>
      </c>
      <c r="AE89" s="1551"/>
      <c r="AG89" s="1535" t="s">
        <v>2955</v>
      </c>
      <c r="AH89" s="1523">
        <v>19.5</v>
      </c>
      <c r="AI89" s="1523" t="s">
        <v>7176</v>
      </c>
      <c r="AJ89" s="1523" t="s">
        <v>7151</v>
      </c>
      <c r="AK89" s="1523" t="s">
        <v>7177</v>
      </c>
      <c r="AL89" s="1523" t="s">
        <v>7170</v>
      </c>
      <c r="AM89" s="1549"/>
      <c r="BR89" s="382" t="s">
        <v>6945</v>
      </c>
      <c r="BS89" s="415"/>
      <c r="BT89" s="415"/>
      <c r="BU89" s="415"/>
      <c r="BV89" s="415"/>
      <c r="BW89" s="415"/>
      <c r="BX89" s="415"/>
      <c r="BY89" s="435"/>
      <c r="CB89" s="382"/>
      <c r="CC89" s="382"/>
      <c r="CD89" s="382"/>
      <c r="CE89" s="382"/>
      <c r="CF89" s="382"/>
      <c r="CG89" s="382"/>
      <c r="CH89" s="382"/>
      <c r="CI89" s="382"/>
      <c r="DF89" s="386" t="s">
        <v>2261</v>
      </c>
      <c r="DG89" s="876">
        <v>19</v>
      </c>
      <c r="DH89" s="876">
        <v>19244</v>
      </c>
      <c r="DI89" s="876">
        <v>4207</v>
      </c>
      <c r="DJ89" s="876">
        <v>985</v>
      </c>
      <c r="DK89" s="876">
        <v>221</v>
      </c>
      <c r="DL89" s="435" t="s">
        <v>2315</v>
      </c>
      <c r="DM89" s="435" t="s">
        <v>2315</v>
      </c>
    </row>
    <row r="90" spans="1:117">
      <c r="A90" s="386"/>
      <c r="B90" s="386"/>
      <c r="C90" s="386"/>
      <c r="D90" s="386"/>
      <c r="E90" s="386"/>
      <c r="F90" s="386"/>
      <c r="G90" s="386"/>
      <c r="H90" s="386"/>
      <c r="I90" s="386"/>
      <c r="J90" s="386"/>
      <c r="K90" s="386"/>
      <c r="L90" s="386"/>
      <c r="M90" s="386"/>
      <c r="Y90" s="1538" t="s">
        <v>2890</v>
      </c>
      <c r="Z90" s="1523">
        <v>67.400000000000006</v>
      </c>
      <c r="AA90" s="1523">
        <v>43.1</v>
      </c>
      <c r="AB90" s="1523">
        <v>37.6</v>
      </c>
      <c r="AC90" s="1523">
        <v>5.5</v>
      </c>
      <c r="AD90" s="1523">
        <v>24.3</v>
      </c>
      <c r="AE90" s="1551"/>
      <c r="AG90" s="1538" t="s">
        <v>2875</v>
      </c>
      <c r="AH90" s="1523">
        <v>47.5</v>
      </c>
      <c r="AI90" s="1523" t="s">
        <v>7178</v>
      </c>
      <c r="AJ90" s="1523" t="s">
        <v>7179</v>
      </c>
      <c r="AK90" s="1523" t="s">
        <v>7180</v>
      </c>
      <c r="AL90" s="1523" t="s">
        <v>7181</v>
      </c>
      <c r="AM90" s="1549"/>
      <c r="BR90" s="382" t="s">
        <v>7160</v>
      </c>
      <c r="BS90" s="382"/>
      <c r="BT90" s="382"/>
      <c r="BU90" s="382"/>
      <c r="BV90" s="382"/>
      <c r="BW90" s="382"/>
      <c r="BX90" s="382"/>
      <c r="BY90" s="382"/>
      <c r="CB90" s="382"/>
      <c r="CC90" s="382"/>
      <c r="CD90" s="463"/>
      <c r="CE90" s="463"/>
      <c r="CF90" s="463"/>
      <c r="CG90" s="463"/>
      <c r="CH90" s="435"/>
      <c r="CI90" s="435"/>
      <c r="DF90" s="386" t="s">
        <v>2201</v>
      </c>
      <c r="DG90" s="876">
        <v>16</v>
      </c>
      <c r="DH90" s="876">
        <v>12992</v>
      </c>
      <c r="DI90" s="876">
        <v>2905</v>
      </c>
      <c r="DJ90" s="876">
        <v>701</v>
      </c>
      <c r="DK90" s="876">
        <v>168</v>
      </c>
      <c r="DL90" s="435" t="s">
        <v>2315</v>
      </c>
      <c r="DM90" s="435" t="s">
        <v>2315</v>
      </c>
    </row>
    <row r="91" spans="1:117">
      <c r="A91" s="386"/>
      <c r="B91" s="386"/>
      <c r="C91" s="386"/>
      <c r="D91" s="386"/>
      <c r="E91" s="386"/>
      <c r="F91" s="386"/>
      <c r="G91" s="386"/>
      <c r="H91" s="386"/>
      <c r="I91" s="386"/>
      <c r="J91" s="386"/>
      <c r="K91" s="386"/>
      <c r="L91" s="386"/>
      <c r="M91" s="386"/>
      <c r="Y91" s="1279" t="s">
        <v>2910</v>
      </c>
      <c r="Z91" s="1523">
        <v>83.6</v>
      </c>
      <c r="AA91" s="1523">
        <v>48.2</v>
      </c>
      <c r="AB91" s="1523">
        <v>28.5</v>
      </c>
      <c r="AC91" s="1523">
        <v>19.7</v>
      </c>
      <c r="AD91" s="1523">
        <v>35.4</v>
      </c>
      <c r="AE91" s="1551"/>
      <c r="AG91" s="1538" t="s">
        <v>2890</v>
      </c>
      <c r="AH91" s="1523">
        <v>64.7</v>
      </c>
      <c r="AI91" s="1523" t="s">
        <v>7182</v>
      </c>
      <c r="AJ91" s="1523" t="s">
        <v>7183</v>
      </c>
      <c r="AK91" s="1523" t="s">
        <v>7184</v>
      </c>
      <c r="AL91" s="1523" t="s">
        <v>7185</v>
      </c>
      <c r="AM91" s="1549"/>
      <c r="BR91" s="398" t="s">
        <v>6985</v>
      </c>
      <c r="BS91" s="382"/>
      <c r="BT91" s="382"/>
      <c r="BU91" s="382"/>
      <c r="BV91" s="382"/>
      <c r="BW91" s="382"/>
      <c r="BX91" s="463"/>
      <c r="BY91" s="382"/>
      <c r="CB91" s="398"/>
      <c r="CC91" s="515"/>
      <c r="CD91" s="515"/>
      <c r="CE91" s="515"/>
      <c r="CF91" s="515"/>
      <c r="CG91" s="515"/>
      <c r="CH91" s="435"/>
      <c r="CI91" s="435"/>
      <c r="DF91" s="386" t="s">
        <v>2202</v>
      </c>
      <c r="DG91" s="876">
        <v>1535</v>
      </c>
      <c r="DH91" s="876">
        <v>4570148</v>
      </c>
      <c r="DI91" s="876">
        <v>731938</v>
      </c>
      <c r="DJ91" s="876">
        <v>181248</v>
      </c>
      <c r="DK91" s="876">
        <v>30095</v>
      </c>
      <c r="DL91" s="435" t="s">
        <v>2315</v>
      </c>
      <c r="DM91" s="435" t="s">
        <v>2315</v>
      </c>
    </row>
    <row r="92" spans="1:117">
      <c r="A92" s="386"/>
      <c r="B92" s="386"/>
      <c r="C92" s="386"/>
      <c r="D92" s="386"/>
      <c r="E92" s="386"/>
      <c r="F92" s="386"/>
      <c r="G92" s="386"/>
      <c r="H92" s="386"/>
      <c r="I92" s="386"/>
      <c r="J92" s="386"/>
      <c r="K92" s="386"/>
      <c r="L92" s="386"/>
      <c r="M92" s="386"/>
      <c r="Y92" s="1279" t="s">
        <v>2895</v>
      </c>
      <c r="Z92" s="1523">
        <v>73.099999999999994</v>
      </c>
      <c r="AA92" s="1523">
        <v>44.4</v>
      </c>
      <c r="AB92" s="1523">
        <v>31.2</v>
      </c>
      <c r="AC92" s="1523">
        <v>13.2</v>
      </c>
      <c r="AD92" s="1523">
        <v>28.7</v>
      </c>
      <c r="AE92" s="1551"/>
      <c r="AG92" s="1279" t="s">
        <v>2910</v>
      </c>
      <c r="AH92" s="1523">
        <v>86.2</v>
      </c>
      <c r="AI92" s="1523" t="s">
        <v>7186</v>
      </c>
      <c r="AJ92" s="1523" t="s">
        <v>7187</v>
      </c>
      <c r="AK92" s="1523" t="s">
        <v>7188</v>
      </c>
      <c r="AL92" s="1523" t="s">
        <v>7189</v>
      </c>
      <c r="AM92" s="1549"/>
      <c r="BR92" s="382"/>
      <c r="BS92" s="382"/>
      <c r="BT92" s="382"/>
      <c r="BU92" s="382"/>
      <c r="BV92" s="382"/>
      <c r="BW92" s="382"/>
      <c r="BX92" s="382"/>
      <c r="BY92" s="382"/>
      <c r="CB92" s="398"/>
      <c r="CC92" s="515"/>
      <c r="CD92" s="515"/>
      <c r="CE92" s="515"/>
      <c r="CF92" s="515"/>
      <c r="CG92" s="515"/>
      <c r="CH92" s="435"/>
      <c r="CI92" s="435"/>
      <c r="DF92" s="386" t="s">
        <v>2356</v>
      </c>
      <c r="DG92" s="1539" t="s">
        <v>2315</v>
      </c>
      <c r="DH92" s="1539" t="s">
        <v>2315</v>
      </c>
      <c r="DI92" s="1539" t="s">
        <v>2315</v>
      </c>
      <c r="DJ92" s="1539" t="s">
        <v>2315</v>
      </c>
      <c r="DK92" s="1539" t="s">
        <v>2315</v>
      </c>
      <c r="DL92" s="435" t="s">
        <v>2315</v>
      </c>
      <c r="DM92" s="435" t="s">
        <v>2315</v>
      </c>
    </row>
    <row r="93" spans="1:117">
      <c r="Y93" s="1279" t="s">
        <v>2862</v>
      </c>
      <c r="Z93" s="1523">
        <v>55.9</v>
      </c>
      <c r="AA93" s="1523">
        <v>31.2</v>
      </c>
      <c r="AB93" s="1523">
        <v>18.899999999999999</v>
      </c>
      <c r="AC93" s="1523">
        <v>12.3</v>
      </c>
      <c r="AD93" s="1523">
        <v>24.7</v>
      </c>
      <c r="AE93" s="1551"/>
      <c r="AG93" s="1279" t="s">
        <v>2895</v>
      </c>
      <c r="AH93" s="1523">
        <v>63.6</v>
      </c>
      <c r="AI93" s="1523" t="s">
        <v>7191</v>
      </c>
      <c r="AJ93" s="1523" t="s">
        <v>7192</v>
      </c>
      <c r="AK93" s="1523" t="s">
        <v>7193</v>
      </c>
      <c r="AL93" s="1523" t="s">
        <v>7194</v>
      </c>
      <c r="AM93" s="1549"/>
      <c r="BR93" s="382"/>
      <c r="BS93" s="463"/>
      <c r="BT93" s="382"/>
      <c r="BU93" s="382"/>
      <c r="BV93" s="382"/>
      <c r="BW93" s="382"/>
      <c r="BX93" s="382"/>
      <c r="BY93" s="382"/>
      <c r="CB93" s="398"/>
      <c r="CC93" s="515"/>
      <c r="CD93" s="515"/>
      <c r="CE93" s="515"/>
      <c r="CF93" s="515"/>
      <c r="CG93" s="515"/>
      <c r="CH93" s="435"/>
      <c r="CI93" s="435"/>
      <c r="DF93" s="386" t="s">
        <v>2208</v>
      </c>
      <c r="DG93" s="876">
        <v>106</v>
      </c>
      <c r="DH93" s="876">
        <v>116202</v>
      </c>
      <c r="DI93" s="876">
        <v>21422</v>
      </c>
      <c r="DJ93" s="876">
        <v>5145</v>
      </c>
      <c r="DK93" s="876">
        <v>1158</v>
      </c>
      <c r="DL93" s="435" t="s">
        <v>2315</v>
      </c>
      <c r="DM93" s="435" t="s">
        <v>2315</v>
      </c>
    </row>
    <row r="94" spans="1:117">
      <c r="Y94" s="1279" t="s">
        <v>2947</v>
      </c>
      <c r="Z94" s="1523">
        <v>11.8</v>
      </c>
      <c r="AA94" s="1523">
        <v>6.6</v>
      </c>
      <c r="AB94" s="1523">
        <v>4.5999999999999996</v>
      </c>
      <c r="AC94" s="1523">
        <v>2.1</v>
      </c>
      <c r="AD94" s="1523">
        <v>5.0999999999999996</v>
      </c>
      <c r="AE94" s="1551"/>
      <c r="AG94" s="1279" t="s">
        <v>2862</v>
      </c>
      <c r="AH94" s="1523">
        <v>54.2</v>
      </c>
      <c r="AI94" s="1523" t="s">
        <v>7195</v>
      </c>
      <c r="AJ94" s="1523" t="s">
        <v>7196</v>
      </c>
      <c r="AK94" s="1523" t="s">
        <v>7197</v>
      </c>
      <c r="AL94" s="1523" t="s">
        <v>7198</v>
      </c>
      <c r="AM94" s="1549"/>
      <c r="CB94" s="382"/>
      <c r="CC94" s="398"/>
      <c r="CD94" s="398"/>
      <c r="CE94" s="398"/>
      <c r="CF94" s="398"/>
      <c r="CG94" s="398"/>
      <c r="CH94" s="398"/>
      <c r="CI94" s="398"/>
      <c r="DF94" s="384" t="s">
        <v>2209</v>
      </c>
      <c r="DG94" s="876">
        <v>19</v>
      </c>
      <c r="DH94" s="876">
        <v>59373</v>
      </c>
      <c r="DI94" s="876">
        <v>10073</v>
      </c>
      <c r="DJ94" s="876">
        <v>3092</v>
      </c>
      <c r="DK94" s="876">
        <v>552</v>
      </c>
      <c r="DL94" s="435" t="s">
        <v>2315</v>
      </c>
      <c r="DM94" s="435" t="s">
        <v>2315</v>
      </c>
    </row>
    <row r="95" spans="1:117">
      <c r="Y95" s="1279" t="s">
        <v>2914</v>
      </c>
      <c r="Z95" s="1523">
        <v>20.2</v>
      </c>
      <c r="AA95" s="1523">
        <v>11.6</v>
      </c>
      <c r="AB95" s="1523">
        <v>8.1999999999999993</v>
      </c>
      <c r="AC95" s="1523">
        <v>3.4</v>
      </c>
      <c r="AD95" s="1523">
        <v>8.6</v>
      </c>
      <c r="AE95" s="1551"/>
      <c r="AG95" s="1279" t="s">
        <v>2947</v>
      </c>
      <c r="AH95" s="1523">
        <v>11.5</v>
      </c>
      <c r="AI95" s="1523" t="s">
        <v>7199</v>
      </c>
      <c r="AJ95" s="1523" t="s">
        <v>7200</v>
      </c>
      <c r="AK95" s="1523" t="s">
        <v>7201</v>
      </c>
      <c r="AL95" s="1523" t="s">
        <v>7202</v>
      </c>
      <c r="AM95" s="1549"/>
      <c r="BR95" s="382"/>
      <c r="BS95" s="382"/>
      <c r="BT95" s="382"/>
      <c r="BU95" s="382"/>
      <c r="BV95" s="382"/>
      <c r="BW95" s="382"/>
      <c r="BX95" s="382"/>
      <c r="BY95" s="382"/>
      <c r="CB95" s="382"/>
      <c r="CC95" s="382"/>
      <c r="CD95" s="382"/>
      <c r="CE95" s="382"/>
      <c r="CF95" s="382"/>
      <c r="CG95" s="398"/>
      <c r="CH95" s="398"/>
      <c r="CI95" s="398"/>
      <c r="DF95" s="382" t="s">
        <v>6945</v>
      </c>
      <c r="DG95" s="415"/>
      <c r="DH95" s="415"/>
      <c r="DI95" s="415"/>
      <c r="DJ95" s="415"/>
      <c r="DK95" s="415"/>
      <c r="DL95" s="415"/>
      <c r="DM95" s="415"/>
    </row>
    <row r="96" spans="1:117">
      <c r="Y96" s="1279" t="s">
        <v>2831</v>
      </c>
      <c r="Z96" s="1523">
        <v>34.6</v>
      </c>
      <c r="AA96" s="1523">
        <v>22.5</v>
      </c>
      <c r="AB96" s="1523">
        <v>11.3</v>
      </c>
      <c r="AC96" s="1523">
        <v>11.2</v>
      </c>
      <c r="AD96" s="1523">
        <v>12.1</v>
      </c>
      <c r="AE96" s="1551"/>
      <c r="AG96" s="1279" t="s">
        <v>2914</v>
      </c>
      <c r="AH96" s="1523">
        <v>20.399999999999999</v>
      </c>
      <c r="AI96" s="1523" t="s">
        <v>7176</v>
      </c>
      <c r="AJ96" s="1523" t="s">
        <v>7184</v>
      </c>
      <c r="AK96" s="1523" t="s">
        <v>7203</v>
      </c>
      <c r="AL96" s="1523" t="s">
        <v>7204</v>
      </c>
      <c r="AM96" s="1549"/>
      <c r="BR96" s="382"/>
      <c r="BS96" s="439"/>
      <c r="BT96" s="439"/>
      <c r="BU96" s="439"/>
      <c r="BV96" s="439"/>
      <c r="BW96" s="439"/>
      <c r="BX96" s="439"/>
      <c r="BY96" s="439"/>
      <c r="CB96" s="398"/>
      <c r="CC96" s="398"/>
      <c r="CD96" s="398"/>
      <c r="CE96" s="398"/>
      <c r="CF96" s="398"/>
      <c r="CG96" s="398"/>
      <c r="CH96" s="398"/>
      <c r="CI96" s="398"/>
      <c r="DF96" s="382" t="s">
        <v>7119</v>
      </c>
      <c r="DG96" s="382"/>
      <c r="DH96" s="382"/>
      <c r="DI96" s="382"/>
      <c r="DJ96" s="382"/>
      <c r="DK96" s="382"/>
      <c r="DL96" s="382"/>
      <c r="DM96" s="382"/>
    </row>
    <row r="97" spans="25:117">
      <c r="Y97" s="1279" t="s">
        <v>2887</v>
      </c>
      <c r="Z97" s="1523">
        <v>69.2</v>
      </c>
      <c r="AA97" s="1523">
        <v>45.6</v>
      </c>
      <c r="AB97" s="1523">
        <v>31.8</v>
      </c>
      <c r="AC97" s="1523">
        <v>13.7</v>
      </c>
      <c r="AD97" s="1523">
        <v>23.7</v>
      </c>
      <c r="AE97" s="1551"/>
      <c r="AG97" s="1279" t="s">
        <v>2831</v>
      </c>
      <c r="AH97" s="1523">
        <v>35.700000000000003</v>
      </c>
      <c r="AI97" s="1523" t="s">
        <v>7205</v>
      </c>
      <c r="AJ97" s="1523" t="s">
        <v>7206</v>
      </c>
      <c r="AK97" s="1523" t="s">
        <v>7207</v>
      </c>
      <c r="AL97" s="1523" t="s">
        <v>7208</v>
      </c>
      <c r="AM97" s="1549"/>
      <c r="BR97" s="382"/>
      <c r="BS97" s="439"/>
      <c r="BT97" s="439"/>
      <c r="BU97" s="439"/>
      <c r="BV97" s="439"/>
      <c r="BW97" s="439"/>
      <c r="BX97" s="439"/>
      <c r="BY97" s="439"/>
      <c r="CB97" s="382"/>
      <c r="CC97" s="398"/>
      <c r="CD97" s="398"/>
      <c r="CE97" s="398"/>
      <c r="CF97" s="398"/>
      <c r="CG97" s="398"/>
      <c r="CH97" s="398"/>
      <c r="CI97" s="398"/>
      <c r="DF97" s="398" t="s">
        <v>6985</v>
      </c>
      <c r="DG97" s="382"/>
      <c r="DH97" s="382"/>
      <c r="DI97" s="382"/>
      <c r="DJ97" s="382"/>
      <c r="DK97" s="463"/>
      <c r="DL97" s="382"/>
      <c r="DM97" s="382"/>
    </row>
    <row r="98" spans="25:117">
      <c r="Y98" s="398" t="s">
        <v>2906</v>
      </c>
      <c r="Z98" s="1523">
        <v>12.4</v>
      </c>
      <c r="AA98" s="1523">
        <v>6.7</v>
      </c>
      <c r="AB98" s="1523">
        <v>4.9000000000000004</v>
      </c>
      <c r="AC98" s="1523">
        <v>1.9</v>
      </c>
      <c r="AD98" s="1523">
        <v>5.7</v>
      </c>
      <c r="AE98" s="1551"/>
      <c r="AG98" s="1279" t="s">
        <v>2887</v>
      </c>
      <c r="AH98" s="1523">
        <v>69</v>
      </c>
      <c r="AI98" s="1523" t="s">
        <v>7209</v>
      </c>
      <c r="AJ98" s="1523" t="s">
        <v>7210</v>
      </c>
      <c r="AK98" s="1523" t="s">
        <v>7196</v>
      </c>
      <c r="AL98" s="1523" t="s">
        <v>7195</v>
      </c>
      <c r="AM98" s="1549"/>
      <c r="BR98" s="382"/>
      <c r="BS98" s="439"/>
      <c r="BT98" s="439"/>
      <c r="BU98" s="439"/>
      <c r="BV98" s="439"/>
      <c r="BW98" s="439"/>
      <c r="BX98" s="439"/>
      <c r="BY98" s="439"/>
      <c r="CB98" s="1068"/>
      <c r="CC98" s="398"/>
      <c r="CD98" s="398"/>
      <c r="CE98" s="398"/>
      <c r="CF98" s="398"/>
      <c r="CG98" s="398"/>
      <c r="CH98" s="398"/>
      <c r="CI98" s="398"/>
      <c r="DF98" s="398" t="s">
        <v>7190</v>
      </c>
      <c r="DG98" s="382"/>
      <c r="DH98" s="382"/>
      <c r="DI98" s="382"/>
      <c r="DJ98" s="382"/>
      <c r="DK98" s="382"/>
      <c r="DL98" s="382"/>
      <c r="DM98" s="382"/>
    </row>
    <row r="99" spans="25:117">
      <c r="Y99" s="398" t="s">
        <v>2861</v>
      </c>
      <c r="Z99" s="1523">
        <v>138.9</v>
      </c>
      <c r="AA99" s="1523">
        <v>91.6</v>
      </c>
      <c r="AB99" s="1523">
        <v>83</v>
      </c>
      <c r="AC99" s="1523">
        <v>8.6</v>
      </c>
      <c r="AD99" s="1523">
        <v>47.3</v>
      </c>
      <c r="AE99" s="1551"/>
      <c r="AG99" s="398" t="s">
        <v>2906</v>
      </c>
      <c r="AH99" s="1523">
        <v>14.2</v>
      </c>
      <c r="AI99" s="1523" t="s">
        <v>7211</v>
      </c>
      <c r="AJ99" s="1523" t="s">
        <v>7212</v>
      </c>
      <c r="AK99" s="1523" t="s">
        <v>7213</v>
      </c>
      <c r="AL99" s="1523" t="s">
        <v>7214</v>
      </c>
      <c r="AM99" s="1549"/>
      <c r="BR99" s="382"/>
      <c r="BS99" s="439"/>
      <c r="BT99" s="439"/>
      <c r="BU99" s="439"/>
      <c r="BV99" s="439"/>
      <c r="BW99" s="439"/>
      <c r="BX99" s="439"/>
      <c r="BY99" s="439"/>
      <c r="CB99" s="861"/>
      <c r="CC99" s="861"/>
      <c r="CD99" s="861"/>
      <c r="CE99" s="861"/>
      <c r="CF99" s="861"/>
      <c r="CG99" s="861"/>
      <c r="CH99" s="861"/>
      <c r="CI99" s="861"/>
      <c r="DF99" s="398" t="s">
        <v>6985</v>
      </c>
    </row>
    <row r="100" spans="25:117">
      <c r="Y100" s="398" t="s">
        <v>2841</v>
      </c>
      <c r="Z100" s="1523">
        <v>74.3</v>
      </c>
      <c r="AA100" s="1523">
        <v>46.4</v>
      </c>
      <c r="AB100" s="1523">
        <v>29.5</v>
      </c>
      <c r="AC100" s="1523">
        <v>16.899999999999999</v>
      </c>
      <c r="AD100" s="1523">
        <v>28</v>
      </c>
      <c r="AE100" s="1524"/>
      <c r="AG100" s="398" t="s">
        <v>2861</v>
      </c>
      <c r="AH100" s="1523">
        <v>140.5</v>
      </c>
      <c r="AI100" s="1523" t="s">
        <v>7215</v>
      </c>
      <c r="AJ100" s="1523" t="s">
        <v>7216</v>
      </c>
      <c r="AK100" s="1523" t="s">
        <v>7217</v>
      </c>
      <c r="AL100" s="1523" t="s">
        <v>7218</v>
      </c>
      <c r="AM100" s="1549"/>
      <c r="BR100" s="382"/>
      <c r="BS100" s="439"/>
      <c r="BT100" s="439"/>
      <c r="BU100" s="439"/>
      <c r="BV100" s="439"/>
      <c r="BW100" s="1550"/>
      <c r="BX100" s="439"/>
      <c r="BY100" s="439"/>
      <c r="CB100" s="861"/>
      <c r="CC100" s="861"/>
      <c r="CD100" s="861"/>
      <c r="CE100" s="861"/>
      <c r="CF100" s="861"/>
      <c r="CG100" s="861"/>
      <c r="CH100" s="861"/>
      <c r="CI100" s="861"/>
    </row>
    <row r="101" spans="25:117">
      <c r="Y101" s="398" t="s">
        <v>2886</v>
      </c>
      <c r="Z101" s="1523">
        <v>88.6</v>
      </c>
      <c r="AA101" s="398">
        <v>50.9</v>
      </c>
      <c r="AB101" s="771">
        <v>35</v>
      </c>
      <c r="AC101" s="398">
        <v>15.9</v>
      </c>
      <c r="AD101" s="398">
        <v>37.700000000000003</v>
      </c>
      <c r="AE101" s="1524"/>
      <c r="AG101" s="398" t="s">
        <v>2841</v>
      </c>
      <c r="AH101" s="1523">
        <v>69.400000000000006</v>
      </c>
      <c r="AI101" s="1523" t="s">
        <v>7219</v>
      </c>
      <c r="AJ101" s="1523" t="s">
        <v>7220</v>
      </c>
      <c r="AK101" s="1523" t="s">
        <v>7221</v>
      </c>
      <c r="AL101" s="1523" t="s">
        <v>7222</v>
      </c>
      <c r="AM101" s="1549"/>
      <c r="BR101" s="382"/>
      <c r="BS101" s="439"/>
      <c r="BT101" s="644"/>
      <c r="BU101" s="644"/>
      <c r="BV101" s="644"/>
      <c r="BW101" s="439"/>
      <c r="BX101" s="439"/>
      <c r="BY101" s="439"/>
      <c r="CB101" s="861"/>
      <c r="CC101" s="861"/>
      <c r="CD101" s="861"/>
      <c r="CE101" s="861"/>
      <c r="CF101" s="861"/>
      <c r="CG101" s="861"/>
      <c r="CH101" s="861"/>
      <c r="CI101" s="861"/>
    </row>
    <row r="102" spans="25:117">
      <c r="Y102" s="398" t="s">
        <v>2852</v>
      </c>
      <c r="Z102" s="1523">
        <v>30.5</v>
      </c>
      <c r="AA102" s="1523">
        <v>18.399999999999999</v>
      </c>
      <c r="AB102" s="1523">
        <v>11.7</v>
      </c>
      <c r="AC102" s="1523">
        <v>6.6</v>
      </c>
      <c r="AD102" s="1523">
        <v>12.1</v>
      </c>
      <c r="AE102" s="1524"/>
      <c r="AG102" s="398" t="s">
        <v>2886</v>
      </c>
      <c r="AH102" s="1523">
        <v>91.8</v>
      </c>
      <c r="AI102" s="1523" t="s">
        <v>7223</v>
      </c>
      <c r="AJ102" s="1523" t="s">
        <v>7224</v>
      </c>
      <c r="AK102" s="1523" t="s">
        <v>7225</v>
      </c>
      <c r="AL102" s="1523" t="s">
        <v>7226</v>
      </c>
      <c r="AM102" s="1549"/>
      <c r="BR102" s="382"/>
      <c r="BS102" s="463"/>
      <c r="BT102" s="463"/>
      <c r="BU102" s="463"/>
      <c r="BV102" s="463"/>
      <c r="BW102" s="463"/>
      <c r="BX102" s="435"/>
      <c r="BY102" s="435"/>
      <c r="BZ102" s="547"/>
      <c r="CA102" s="547"/>
      <c r="CB102" s="861"/>
      <c r="CC102" s="861"/>
      <c r="CD102" s="861"/>
      <c r="CE102" s="861"/>
      <c r="CF102" s="861"/>
      <c r="CG102" s="861"/>
      <c r="CH102" s="861"/>
      <c r="CI102" s="861"/>
      <c r="CJ102" s="547"/>
      <c r="CK102" s="547"/>
      <c r="CL102" s="547"/>
      <c r="CM102" s="547"/>
      <c r="CN102" s="547"/>
      <c r="CO102" s="547"/>
      <c r="CP102" s="547"/>
      <c r="CQ102" s="547"/>
      <c r="CR102" s="547"/>
      <c r="CS102" s="547"/>
      <c r="CT102" s="547"/>
      <c r="CU102" s="547"/>
      <c r="DD102" s="547"/>
      <c r="DG102" s="1529"/>
    </row>
    <row r="103" spans="25:117">
      <c r="Y103" s="398" t="s">
        <v>2843</v>
      </c>
      <c r="Z103" s="1523">
        <v>50.6</v>
      </c>
      <c r="AA103" s="1523">
        <v>33</v>
      </c>
      <c r="AB103" s="1523">
        <v>23.9</v>
      </c>
      <c r="AC103" s="1523">
        <v>9.1</v>
      </c>
      <c r="AD103" s="1523">
        <v>17.7</v>
      </c>
      <c r="AE103" s="1552"/>
      <c r="AG103" s="398" t="s">
        <v>2843</v>
      </c>
      <c r="AH103" s="1523">
        <v>51.3</v>
      </c>
      <c r="AI103" s="1523" t="s">
        <v>7227</v>
      </c>
      <c r="AJ103" s="1523" t="s">
        <v>7228</v>
      </c>
      <c r="AK103" s="1523" t="s">
        <v>7207</v>
      </c>
      <c r="AL103" s="1523" t="s">
        <v>7229</v>
      </c>
      <c r="AM103" s="1549"/>
      <c r="BR103" s="382"/>
      <c r="BS103" s="463"/>
      <c r="BT103" s="435"/>
      <c r="BU103" s="435"/>
      <c r="BV103" s="435"/>
      <c r="BW103" s="435"/>
      <c r="BX103" s="435"/>
      <c r="BY103" s="435"/>
      <c r="BZ103" s="547"/>
      <c r="CA103" s="547"/>
      <c r="CB103" s="861"/>
      <c r="CC103" s="861"/>
      <c r="CD103" s="861"/>
      <c r="CE103" s="861"/>
      <c r="CF103" s="861"/>
      <c r="CG103" s="861"/>
      <c r="CH103" s="861"/>
      <c r="CI103" s="861"/>
      <c r="CJ103" s="547"/>
      <c r="CK103" s="547"/>
      <c r="CL103" s="547"/>
      <c r="CM103" s="547"/>
      <c r="CN103" s="547"/>
      <c r="CO103" s="547"/>
      <c r="CP103" s="547"/>
      <c r="CQ103" s="547"/>
      <c r="CR103" s="547"/>
      <c r="CS103" s="547"/>
      <c r="CT103" s="547"/>
      <c r="CU103" s="547"/>
      <c r="DD103" s="547"/>
    </row>
    <row r="104" spans="25:117">
      <c r="Y104" s="398" t="s">
        <v>2899</v>
      </c>
      <c r="Z104" s="1523">
        <v>123.4</v>
      </c>
      <c r="AA104" s="1523">
        <v>74.2</v>
      </c>
      <c r="AB104" s="1523">
        <v>48.5</v>
      </c>
      <c r="AC104" s="435">
        <v>25.7</v>
      </c>
      <c r="AD104" s="1523">
        <v>49.2</v>
      </c>
      <c r="AE104" s="1524"/>
      <c r="AG104" s="398" t="s">
        <v>2899</v>
      </c>
      <c r="AH104" s="1523">
        <v>137</v>
      </c>
      <c r="AI104" s="1523" t="s">
        <v>7230</v>
      </c>
      <c r="AJ104" s="1523" t="s">
        <v>7231</v>
      </c>
      <c r="AK104" s="1523" t="s">
        <v>7232</v>
      </c>
      <c r="AL104" s="1523" t="s">
        <v>7233</v>
      </c>
      <c r="AM104" s="1549"/>
      <c r="BR104" s="382"/>
      <c r="BS104" s="435"/>
      <c r="BT104" s="435"/>
      <c r="BU104" s="435"/>
      <c r="BV104" s="435"/>
      <c r="BW104" s="435"/>
      <c r="BX104" s="435"/>
      <c r="BY104" s="435"/>
      <c r="CB104" s="861"/>
      <c r="CC104" s="861"/>
      <c r="CD104" s="861"/>
      <c r="CE104" s="861"/>
      <c r="CF104" s="861"/>
      <c r="CG104" s="861"/>
      <c r="CH104" s="861"/>
      <c r="CI104" s="861"/>
    </row>
    <row r="105" spans="25:117">
      <c r="Y105" s="398" t="s">
        <v>2963</v>
      </c>
      <c r="Z105" s="1523">
        <v>16.2</v>
      </c>
      <c r="AA105" s="1523">
        <v>11.8</v>
      </c>
      <c r="AB105" s="1523">
        <v>11.6</v>
      </c>
      <c r="AC105" s="1523">
        <v>0.2</v>
      </c>
      <c r="AD105" s="1523">
        <v>4.4000000000000004</v>
      </c>
      <c r="AE105" s="1524"/>
      <c r="AG105" s="398" t="s">
        <v>2963</v>
      </c>
      <c r="AH105" s="1523">
        <v>17.7</v>
      </c>
      <c r="AI105" s="1523" t="s">
        <v>7234</v>
      </c>
      <c r="AJ105" s="1523" t="s">
        <v>7235</v>
      </c>
      <c r="AK105" s="1523" t="s">
        <v>7236</v>
      </c>
      <c r="AL105" s="1523" t="s">
        <v>7237</v>
      </c>
      <c r="AM105" s="1549"/>
      <c r="BR105" s="382"/>
      <c r="BS105" s="435"/>
      <c r="BT105" s="435"/>
      <c r="BU105" s="435"/>
      <c r="BV105" s="435"/>
      <c r="BW105" s="435"/>
      <c r="BX105" s="435"/>
      <c r="BY105" s="435"/>
      <c r="BZ105" s="549"/>
      <c r="CA105" s="549"/>
      <c r="CB105" s="562"/>
      <c r="CC105" s="562"/>
      <c r="CD105" s="562"/>
      <c r="CE105" s="562"/>
      <c r="CF105" s="562"/>
      <c r="CG105" s="562"/>
      <c r="CH105" s="562"/>
      <c r="CI105" s="562"/>
      <c r="CJ105" s="549"/>
      <c r="CK105" s="549"/>
      <c r="CL105" s="549"/>
      <c r="CM105" s="549"/>
      <c r="CN105" s="549"/>
      <c r="CO105" s="549"/>
      <c r="CP105" s="549"/>
      <c r="CQ105" s="549"/>
      <c r="CR105" s="549"/>
      <c r="CS105" s="549"/>
      <c r="CT105" s="549"/>
      <c r="CU105" s="549"/>
      <c r="DD105" s="549"/>
    </row>
    <row r="106" spans="25:117">
      <c r="Y106" s="386" t="s">
        <v>2876</v>
      </c>
      <c r="Z106" s="1523">
        <v>34.1</v>
      </c>
      <c r="AA106" s="1523">
        <v>20.9</v>
      </c>
      <c r="AB106" s="1523">
        <v>12.9</v>
      </c>
      <c r="AC106" s="1523">
        <v>8</v>
      </c>
      <c r="AD106" s="1523">
        <v>13.3</v>
      </c>
      <c r="AE106" s="1524"/>
      <c r="AG106" s="386" t="s">
        <v>2876</v>
      </c>
      <c r="AH106" s="1523">
        <v>34.1</v>
      </c>
      <c r="AI106" s="1523" t="s">
        <v>7238</v>
      </c>
      <c r="AJ106" s="1523" t="s">
        <v>7239</v>
      </c>
      <c r="AK106" s="1523" t="s">
        <v>7240</v>
      </c>
      <c r="AL106" s="1523" t="s">
        <v>7197</v>
      </c>
      <c r="AM106" s="1549"/>
      <c r="BR106" s="382"/>
      <c r="BS106" s="435"/>
      <c r="BT106" s="435"/>
      <c r="BU106" s="435"/>
      <c r="BV106" s="435"/>
      <c r="BW106" s="435"/>
      <c r="BX106" s="435"/>
      <c r="BY106" s="435"/>
      <c r="BZ106" s="861"/>
      <c r="CA106" s="861"/>
      <c r="CB106" s="986"/>
      <c r="CC106" s="986"/>
      <c r="CD106" s="986"/>
      <c r="CE106" s="986"/>
      <c r="CF106" s="986"/>
      <c r="CG106" s="986"/>
      <c r="CH106" s="986"/>
      <c r="CI106" s="986"/>
      <c r="CJ106" s="861"/>
      <c r="CK106" s="861"/>
      <c r="CL106" s="861"/>
      <c r="CM106" s="861"/>
      <c r="CN106" s="861"/>
      <c r="CO106" s="861"/>
      <c r="CP106" s="861"/>
      <c r="CQ106" s="861"/>
      <c r="CR106" s="861"/>
      <c r="CS106" s="861"/>
      <c r="CT106" s="861"/>
      <c r="CU106" s="861"/>
      <c r="DD106" s="861"/>
    </row>
    <row r="107" spans="25:117">
      <c r="Y107" s="398" t="s">
        <v>2880</v>
      </c>
      <c r="Z107" s="1523">
        <v>55.4</v>
      </c>
      <c r="AA107" s="1523">
        <v>33.5</v>
      </c>
      <c r="AB107" s="1523">
        <v>20.6</v>
      </c>
      <c r="AC107" s="1523">
        <v>12.9</v>
      </c>
      <c r="AD107" s="1523">
        <v>21.9</v>
      </c>
      <c r="AE107" s="1551"/>
      <c r="AG107" s="398" t="s">
        <v>2880</v>
      </c>
      <c r="AH107" s="1523">
        <v>58.2</v>
      </c>
      <c r="AI107" s="1523" t="s">
        <v>7241</v>
      </c>
      <c r="AJ107" s="1523" t="s">
        <v>7242</v>
      </c>
      <c r="AK107" s="1523" t="s">
        <v>7243</v>
      </c>
      <c r="AL107" s="1523" t="s">
        <v>7244</v>
      </c>
      <c r="AM107" s="1549"/>
      <c r="BR107" s="382"/>
      <c r="BS107" s="435"/>
      <c r="BT107" s="435"/>
      <c r="BU107" s="435"/>
      <c r="BV107" s="435"/>
      <c r="BW107" s="435"/>
      <c r="BX107" s="435"/>
      <c r="BY107" s="435"/>
      <c r="BZ107" s="861"/>
      <c r="CA107" s="861"/>
      <c r="CB107" s="986"/>
      <c r="CC107" s="986"/>
      <c r="CD107" s="986"/>
      <c r="CE107" s="986"/>
      <c r="CF107" s="986"/>
      <c r="CG107" s="986"/>
      <c r="CH107" s="986"/>
      <c r="CI107" s="986"/>
      <c r="CJ107" s="861"/>
      <c r="CK107" s="861"/>
      <c r="CL107" s="861"/>
      <c r="CM107" s="861"/>
      <c r="CN107" s="861"/>
      <c r="CO107" s="861"/>
      <c r="CP107" s="861"/>
      <c r="CQ107" s="861"/>
      <c r="CR107" s="861"/>
      <c r="CS107" s="861"/>
      <c r="CT107" s="861"/>
      <c r="CU107" s="861"/>
      <c r="DD107" s="861"/>
    </row>
    <row r="108" spans="25:117">
      <c r="Y108" s="398" t="s">
        <v>2828</v>
      </c>
      <c r="Z108" s="1523">
        <v>178.8</v>
      </c>
      <c r="AA108" s="1523">
        <v>114.5</v>
      </c>
      <c r="AB108" s="1523">
        <v>65.099999999999994</v>
      </c>
      <c r="AC108" s="1523">
        <v>49.3</v>
      </c>
      <c r="AD108" s="1523">
        <v>64.400000000000006</v>
      </c>
      <c r="AE108" s="1524"/>
      <c r="AG108" s="398" t="s">
        <v>2828</v>
      </c>
      <c r="AH108" s="1523">
        <v>187.6</v>
      </c>
      <c r="AI108" s="1523" t="s">
        <v>7245</v>
      </c>
      <c r="AJ108" s="1523" t="s">
        <v>7246</v>
      </c>
      <c r="AK108" s="1523" t="s">
        <v>7247</v>
      </c>
      <c r="AL108" s="1523" t="s">
        <v>7248</v>
      </c>
      <c r="AM108" s="1549"/>
      <c r="BR108" s="382"/>
      <c r="BS108" s="463"/>
      <c r="BT108" s="463"/>
      <c r="BU108" s="463"/>
      <c r="BV108" s="463"/>
      <c r="BW108" s="463"/>
      <c r="BX108" s="435"/>
      <c r="BY108" s="435"/>
      <c r="BZ108" s="861"/>
      <c r="CA108" s="861"/>
      <c r="CB108" s="986"/>
      <c r="CC108" s="986"/>
      <c r="CD108" s="986"/>
      <c r="CE108" s="986"/>
      <c r="CF108" s="986"/>
      <c r="CG108" s="986"/>
      <c r="CH108" s="986"/>
      <c r="CI108" s="986"/>
      <c r="CJ108" s="861"/>
      <c r="CK108" s="861"/>
      <c r="CL108" s="861"/>
      <c r="CM108" s="861"/>
      <c r="CN108" s="861"/>
      <c r="CO108" s="861"/>
      <c r="CP108" s="861"/>
      <c r="CQ108" s="861"/>
      <c r="CR108" s="861"/>
      <c r="CS108" s="861"/>
      <c r="CT108" s="861"/>
      <c r="CU108" s="861"/>
      <c r="DD108" s="861"/>
    </row>
    <row r="109" spans="25:117">
      <c r="Y109" s="398" t="s">
        <v>2877</v>
      </c>
      <c r="Z109" s="1523">
        <v>27.5</v>
      </c>
      <c r="AA109" s="1523">
        <v>13</v>
      </c>
      <c r="AB109" s="1523">
        <v>6.7</v>
      </c>
      <c r="AC109" s="1523">
        <v>6.3</v>
      </c>
      <c r="AD109" s="1523">
        <v>14.5</v>
      </c>
      <c r="AE109" s="1524"/>
      <c r="AG109" s="398" t="s">
        <v>2877</v>
      </c>
      <c r="AH109" s="1523">
        <v>30.5</v>
      </c>
      <c r="AI109" s="1523" t="s">
        <v>7249</v>
      </c>
      <c r="AJ109" s="1523" t="s">
        <v>7250</v>
      </c>
      <c r="AK109" s="1523" t="s">
        <v>7251</v>
      </c>
      <c r="AL109" s="1523" t="s">
        <v>7252</v>
      </c>
      <c r="AM109" s="1549"/>
      <c r="BR109" s="382"/>
      <c r="BS109" s="463"/>
      <c r="BT109" s="463"/>
      <c r="BU109" s="463"/>
      <c r="BV109" s="463"/>
      <c r="BW109" s="463"/>
      <c r="BX109" s="435"/>
      <c r="BY109" s="435"/>
      <c r="BZ109" s="861"/>
      <c r="CA109" s="861"/>
      <c r="CB109" s="986"/>
      <c r="CC109" s="986"/>
      <c r="CD109" s="986"/>
      <c r="CE109" s="986"/>
      <c r="CF109" s="986"/>
      <c r="CG109" s="986"/>
      <c r="CH109" s="986"/>
      <c r="CI109" s="986"/>
      <c r="CJ109" s="861"/>
      <c r="CK109" s="861"/>
      <c r="CL109" s="861"/>
      <c r="CM109" s="861"/>
      <c r="CN109" s="861"/>
      <c r="CO109" s="861"/>
      <c r="CP109" s="861"/>
      <c r="CQ109" s="861"/>
      <c r="CR109" s="861"/>
      <c r="CS109" s="861"/>
      <c r="CT109" s="861"/>
      <c r="CU109" s="861"/>
      <c r="DD109" s="861"/>
    </row>
    <row r="110" spans="25:117">
      <c r="Y110" s="398" t="s">
        <v>2962</v>
      </c>
      <c r="Z110" s="1546">
        <v>7.4</v>
      </c>
      <c r="AA110" s="1523">
        <v>4.0999999999999996</v>
      </c>
      <c r="AB110" s="1523">
        <v>2.9</v>
      </c>
      <c r="AC110" s="1523">
        <v>1.2</v>
      </c>
      <c r="AD110" s="1523">
        <v>3.3</v>
      </c>
      <c r="AE110" s="1524"/>
      <c r="AG110" s="398" t="s">
        <v>2962</v>
      </c>
      <c r="AH110" s="1523">
        <v>9.1999999999999993</v>
      </c>
      <c r="AI110" s="1523" t="s">
        <v>7253</v>
      </c>
      <c r="AJ110" s="1523" t="s">
        <v>7254</v>
      </c>
      <c r="AK110" s="1523" t="s">
        <v>7201</v>
      </c>
      <c r="AL110" s="1523" t="s">
        <v>7255</v>
      </c>
      <c r="AM110" s="1549"/>
      <c r="BR110" s="382"/>
      <c r="BS110" s="463"/>
      <c r="BT110" s="463"/>
      <c r="BU110" s="463"/>
      <c r="BV110" s="463"/>
      <c r="BW110" s="463"/>
      <c r="BX110" s="435"/>
      <c r="BY110" s="435"/>
      <c r="BZ110" s="861"/>
      <c r="CA110" s="861"/>
      <c r="CB110" s="549"/>
      <c r="CC110" s="549"/>
      <c r="CD110" s="549"/>
      <c r="CE110" s="549"/>
      <c r="CF110" s="549"/>
      <c r="CG110" s="549"/>
      <c r="CH110" s="549"/>
      <c r="CI110" s="549"/>
      <c r="CJ110" s="861"/>
      <c r="CK110" s="861"/>
      <c r="CL110" s="861"/>
      <c r="CM110" s="861"/>
      <c r="CN110" s="861"/>
      <c r="CO110" s="861"/>
      <c r="CP110" s="861"/>
      <c r="CQ110" s="861"/>
      <c r="CR110" s="861"/>
      <c r="CS110" s="861"/>
      <c r="CT110" s="861"/>
      <c r="CU110" s="861"/>
      <c r="DD110" s="861"/>
    </row>
    <row r="111" spans="25:117">
      <c r="Y111" s="398" t="s">
        <v>1968</v>
      </c>
      <c r="Z111" s="1523">
        <v>0.2</v>
      </c>
      <c r="AA111" s="1546">
        <v>0.1</v>
      </c>
      <c r="AB111" s="1546">
        <v>0.1</v>
      </c>
      <c r="AC111" s="757" t="s">
        <v>2835</v>
      </c>
      <c r="AD111" s="1546">
        <v>0.1</v>
      </c>
      <c r="AE111" s="1524"/>
      <c r="AG111" s="398" t="s">
        <v>1968</v>
      </c>
      <c r="AH111" s="1523">
        <v>0.3</v>
      </c>
      <c r="AI111" s="1523">
        <v>0.2</v>
      </c>
      <c r="AJ111" s="1523">
        <v>0.2</v>
      </c>
      <c r="AK111" s="757" t="s">
        <v>2835</v>
      </c>
      <c r="AL111" s="1523">
        <v>0.1</v>
      </c>
      <c r="AM111" s="1549"/>
      <c r="BR111" s="382"/>
      <c r="BS111" s="463"/>
      <c r="BT111" s="463"/>
      <c r="BU111" s="463"/>
      <c r="BV111" s="463"/>
      <c r="BW111" s="463"/>
      <c r="BX111" s="435"/>
      <c r="BY111" s="435"/>
      <c r="BZ111" s="861"/>
      <c r="CA111" s="861"/>
      <c r="CB111" s="562"/>
      <c r="CC111" s="562"/>
      <c r="CD111" s="562"/>
      <c r="CE111" s="562"/>
      <c r="CF111" s="562"/>
      <c r="CG111" s="562"/>
      <c r="CH111" s="562"/>
      <c r="CI111" s="562"/>
      <c r="CJ111" s="861"/>
      <c r="CK111" s="861"/>
      <c r="CL111" s="861"/>
      <c r="CM111" s="861"/>
      <c r="CN111" s="861"/>
      <c r="CO111" s="861"/>
      <c r="CP111" s="861"/>
      <c r="CQ111" s="861"/>
      <c r="CR111" s="861"/>
      <c r="CS111" s="861"/>
      <c r="CT111" s="861"/>
      <c r="CU111" s="861"/>
      <c r="DD111" s="861"/>
    </row>
    <row r="112" spans="25:117">
      <c r="Y112" s="398" t="s">
        <v>2858</v>
      </c>
      <c r="Z112" s="1523">
        <v>61.2</v>
      </c>
      <c r="AA112" s="1523">
        <v>38.799999999999997</v>
      </c>
      <c r="AB112" s="1523">
        <v>27.3</v>
      </c>
      <c r="AC112" s="1523">
        <v>11.4</v>
      </c>
      <c r="AD112" s="1523">
        <v>22.4</v>
      </c>
      <c r="AE112" s="1524"/>
      <c r="AG112" s="398" t="s">
        <v>2858</v>
      </c>
      <c r="AH112" s="1546">
        <v>58.5</v>
      </c>
      <c r="AI112" s="1546">
        <v>31.7</v>
      </c>
      <c r="AJ112" s="1546">
        <v>19.5</v>
      </c>
      <c r="AK112" s="1546">
        <v>12.2</v>
      </c>
      <c r="AL112" s="1546">
        <v>26.8</v>
      </c>
      <c r="AM112" s="1549"/>
      <c r="BR112" s="382"/>
      <c r="BS112" s="463"/>
      <c r="BT112" s="463"/>
      <c r="BU112" s="463"/>
      <c r="BV112" s="463"/>
      <c r="BW112" s="463"/>
      <c r="BX112" s="435"/>
      <c r="BY112" s="435"/>
      <c r="BZ112" s="562"/>
      <c r="CA112" s="562"/>
      <c r="CB112" s="562"/>
      <c r="CC112" s="562"/>
      <c r="CD112" s="562"/>
      <c r="CE112" s="562"/>
      <c r="CF112" s="562"/>
      <c r="CG112" s="562"/>
      <c r="CH112" s="562"/>
      <c r="CI112" s="562"/>
      <c r="CJ112" s="562"/>
      <c r="CK112" s="562"/>
      <c r="CL112" s="562"/>
      <c r="CM112" s="562"/>
      <c r="CN112" s="562"/>
      <c r="CO112" s="562"/>
      <c r="CP112" s="562"/>
      <c r="CQ112" s="562"/>
      <c r="CR112" s="562"/>
      <c r="CS112" s="562"/>
      <c r="CT112" s="562"/>
      <c r="CU112" s="562"/>
      <c r="DD112" s="562"/>
    </row>
    <row r="113" spans="25:108">
      <c r="Y113" s="398" t="s">
        <v>2826</v>
      </c>
      <c r="Z113" s="1523">
        <v>89.6</v>
      </c>
      <c r="AA113" s="1523">
        <v>59.5</v>
      </c>
      <c r="AB113" s="1523">
        <v>39.6</v>
      </c>
      <c r="AC113" s="1523">
        <v>19.899999999999999</v>
      </c>
      <c r="AD113" s="1523">
        <v>30.1</v>
      </c>
      <c r="AE113" s="1524"/>
      <c r="AG113" s="398" t="s">
        <v>2826</v>
      </c>
      <c r="AH113" s="1523">
        <v>88.6</v>
      </c>
      <c r="AI113" s="1523">
        <v>50.4</v>
      </c>
      <c r="AJ113" s="1523">
        <v>28</v>
      </c>
      <c r="AK113" s="1523">
        <v>22.4</v>
      </c>
      <c r="AL113" s="1523">
        <v>38.200000000000003</v>
      </c>
      <c r="AM113" s="1549"/>
      <c r="BJ113" s="1526"/>
      <c r="BK113" s="1526"/>
      <c r="BL113" s="1526"/>
      <c r="BM113" s="1526"/>
      <c r="BN113" s="1526"/>
      <c r="BO113" s="1526"/>
      <c r="BP113" s="1526"/>
      <c r="BR113" s="382"/>
      <c r="BS113" s="463"/>
      <c r="BT113" s="435"/>
      <c r="BU113" s="435"/>
      <c r="BV113" s="435"/>
      <c r="BW113" s="435"/>
      <c r="BX113" s="435"/>
      <c r="BY113" s="435"/>
      <c r="BZ113" s="986"/>
      <c r="CA113" s="986"/>
      <c r="CB113" s="549"/>
      <c r="CC113" s="549"/>
      <c r="CD113" s="549"/>
      <c r="CE113" s="549"/>
      <c r="CF113" s="549"/>
      <c r="CG113" s="549"/>
      <c r="CH113" s="549"/>
      <c r="CI113" s="549"/>
      <c r="CJ113" s="986"/>
      <c r="CK113" s="986"/>
      <c r="CL113" s="986"/>
      <c r="CM113" s="986"/>
      <c r="CN113" s="986"/>
      <c r="CO113" s="986"/>
      <c r="CP113" s="986"/>
      <c r="CQ113" s="986"/>
      <c r="CR113" s="986"/>
      <c r="CS113" s="986"/>
      <c r="CT113" s="986"/>
      <c r="CU113" s="986"/>
      <c r="DD113" s="986"/>
    </row>
    <row r="114" spans="25:108">
      <c r="Y114" s="398" t="s">
        <v>2959</v>
      </c>
      <c r="Z114" s="1523">
        <v>14.8</v>
      </c>
      <c r="AA114" s="1523">
        <v>9.1</v>
      </c>
      <c r="AB114" s="1523">
        <v>7.5</v>
      </c>
      <c r="AC114" s="1523">
        <v>1.6</v>
      </c>
      <c r="AD114" s="1523">
        <v>5.7</v>
      </c>
      <c r="AE114" s="1524"/>
      <c r="AG114" s="398" t="s">
        <v>2959</v>
      </c>
      <c r="AH114" s="1523">
        <v>12.8</v>
      </c>
      <c r="AI114" s="1523">
        <v>6.7</v>
      </c>
      <c r="AJ114" s="1523">
        <v>4.5999999999999996</v>
      </c>
      <c r="AK114" s="1523">
        <v>2</v>
      </c>
      <c r="AL114" s="1523">
        <v>6.2</v>
      </c>
      <c r="AM114" s="1549"/>
      <c r="BJ114" s="1526"/>
      <c r="BK114" s="1526"/>
      <c r="BL114" s="1526"/>
      <c r="BM114" s="1526"/>
      <c r="BN114" s="1526"/>
      <c r="BO114" s="1526"/>
      <c r="BP114" s="1526"/>
      <c r="BR114" s="382"/>
      <c r="BS114" s="463"/>
      <c r="BT114" s="463"/>
      <c r="BU114" s="463"/>
      <c r="BV114" s="463"/>
      <c r="BW114" s="463"/>
      <c r="BX114" s="435"/>
      <c r="BY114" s="435"/>
      <c r="BZ114" s="986"/>
      <c r="CA114" s="986"/>
      <c r="CB114" s="549"/>
      <c r="CC114" s="549"/>
      <c r="CD114" s="549"/>
      <c r="CE114" s="549"/>
      <c r="CF114" s="549"/>
      <c r="CG114" s="549"/>
      <c r="CH114" s="549"/>
      <c r="CI114" s="549"/>
      <c r="CJ114" s="986"/>
      <c r="CK114" s="986"/>
      <c r="CL114" s="986"/>
      <c r="CM114" s="986"/>
      <c r="CN114" s="986"/>
      <c r="CO114" s="986"/>
      <c r="CP114" s="986"/>
      <c r="CQ114" s="986"/>
      <c r="CR114" s="986"/>
      <c r="CS114" s="986"/>
      <c r="CT114" s="986"/>
      <c r="CU114" s="986"/>
      <c r="DD114" s="986"/>
    </row>
    <row r="115" spans="25:108">
      <c r="Y115" s="398" t="s">
        <v>2917</v>
      </c>
      <c r="Z115" s="1524">
        <v>58.9</v>
      </c>
      <c r="AA115" s="1523">
        <v>32.9</v>
      </c>
      <c r="AB115" s="1523">
        <v>19.5</v>
      </c>
      <c r="AC115" s="1523">
        <v>13.4</v>
      </c>
      <c r="AD115" s="1523">
        <v>26</v>
      </c>
      <c r="AE115" s="1524"/>
      <c r="AG115" s="398" t="s">
        <v>2917</v>
      </c>
      <c r="AH115" s="1523">
        <v>65.5</v>
      </c>
      <c r="AI115" s="1523">
        <v>32.799999999999997</v>
      </c>
      <c r="AJ115" s="1523">
        <v>17.100000000000001</v>
      </c>
      <c r="AK115" s="1523">
        <v>15.7</v>
      </c>
      <c r="AL115" s="1523">
        <v>32.6</v>
      </c>
      <c r="AM115" s="1549"/>
      <c r="BR115" s="382"/>
      <c r="BS115" s="463"/>
      <c r="BT115" s="435"/>
      <c r="BU115" s="435"/>
      <c r="BV115" s="435"/>
      <c r="BW115" s="435"/>
      <c r="BX115" s="435"/>
      <c r="BY115" s="435"/>
      <c r="BZ115" s="986"/>
      <c r="CA115" s="986"/>
      <c r="CJ115" s="986"/>
      <c r="CK115" s="986"/>
      <c r="CL115" s="986"/>
      <c r="CM115" s="986"/>
      <c r="CN115" s="986"/>
      <c r="CO115" s="986"/>
      <c r="CP115" s="986"/>
      <c r="CQ115" s="986"/>
      <c r="CR115" s="986"/>
      <c r="CS115" s="986"/>
      <c r="CT115" s="986"/>
      <c r="CU115" s="986"/>
      <c r="DD115" s="986"/>
    </row>
    <row r="116" spans="25:108">
      <c r="Y116" s="398" t="s">
        <v>2952</v>
      </c>
      <c r="Z116" s="1524">
        <v>5.0999999999999996</v>
      </c>
      <c r="AA116" s="1524">
        <v>2.7</v>
      </c>
      <c r="AB116" s="1524">
        <v>2.1</v>
      </c>
      <c r="AC116" s="1524">
        <v>0.6</v>
      </c>
      <c r="AD116" s="1524">
        <v>2.4</v>
      </c>
      <c r="AE116" s="1524"/>
      <c r="AG116" s="398" t="s">
        <v>2952</v>
      </c>
      <c r="AH116" s="1523">
        <v>5.5</v>
      </c>
      <c r="AI116" s="1523">
        <v>2.6</v>
      </c>
      <c r="AJ116" s="1523">
        <v>2</v>
      </c>
      <c r="AK116" s="1523">
        <v>0.6</v>
      </c>
      <c r="AL116" s="1523">
        <v>3</v>
      </c>
      <c r="AM116" s="1549"/>
      <c r="BR116" s="382"/>
      <c r="BS116" s="463"/>
      <c r="BT116" s="463"/>
      <c r="BU116" s="463"/>
      <c r="BV116" s="463"/>
      <c r="BW116" s="463"/>
      <c r="BX116" s="435"/>
      <c r="BY116" s="435"/>
      <c r="BZ116" s="986"/>
      <c r="CA116" s="986"/>
      <c r="CJ116" s="986"/>
      <c r="CK116" s="986"/>
      <c r="CL116" s="986"/>
      <c r="CM116" s="986"/>
      <c r="CN116" s="986"/>
      <c r="CO116" s="986"/>
      <c r="CP116" s="986"/>
      <c r="CQ116" s="986"/>
      <c r="CR116" s="986"/>
      <c r="CS116" s="986"/>
      <c r="CT116" s="986"/>
      <c r="CU116" s="986"/>
      <c r="DD116" s="986"/>
    </row>
    <row r="117" spans="25:108">
      <c r="Y117" s="398"/>
      <c r="Z117" s="1524"/>
      <c r="AA117" s="1524"/>
      <c r="AB117" s="1524"/>
      <c r="AC117" s="1524"/>
      <c r="AD117" s="1524"/>
      <c r="AE117" s="1524"/>
      <c r="AG117" s="398"/>
      <c r="AH117" s="1524"/>
      <c r="AI117" s="1524"/>
      <c r="AJ117" s="1524"/>
      <c r="AK117" s="1524"/>
      <c r="AL117" s="1524"/>
      <c r="AM117" s="1549"/>
      <c r="BR117" s="382"/>
      <c r="BS117" s="463"/>
      <c r="BT117" s="435"/>
      <c r="BU117" s="435"/>
      <c r="BV117" s="435"/>
      <c r="BW117" s="435"/>
      <c r="BX117" s="435"/>
      <c r="BY117" s="435"/>
      <c r="BZ117" s="549"/>
      <c r="CA117" s="549"/>
      <c r="CJ117" s="549"/>
      <c r="CK117" s="549"/>
      <c r="CL117" s="549"/>
      <c r="CM117" s="549"/>
      <c r="CN117" s="549"/>
      <c r="CO117" s="549"/>
      <c r="CP117" s="549"/>
      <c r="CQ117" s="549"/>
      <c r="CR117" s="549"/>
      <c r="CS117" s="549"/>
      <c r="CT117" s="549"/>
      <c r="CU117" s="549"/>
      <c r="DD117" s="549"/>
    </row>
    <row r="118" spans="25:108">
      <c r="Y118" s="387" t="s">
        <v>1967</v>
      </c>
      <c r="Z118" s="1547">
        <v>1</v>
      </c>
      <c r="AA118" s="1547">
        <v>0.5</v>
      </c>
      <c r="AB118" s="1547">
        <v>0.4</v>
      </c>
      <c r="AC118" s="1548">
        <v>0.1</v>
      </c>
      <c r="AD118" s="786" t="s">
        <v>2835</v>
      </c>
      <c r="AE118" s="1524"/>
      <c r="AG118" s="387" t="s">
        <v>1967</v>
      </c>
      <c r="AH118" s="1547">
        <v>1.5</v>
      </c>
      <c r="AI118" s="1547">
        <v>0.8</v>
      </c>
      <c r="AJ118" s="1547">
        <v>0.7</v>
      </c>
      <c r="AK118" s="1548">
        <v>0.1</v>
      </c>
      <c r="AL118" s="1547">
        <v>0.7</v>
      </c>
      <c r="AM118" s="1549"/>
      <c r="BR118" s="382"/>
      <c r="BS118" s="463"/>
      <c r="BT118" s="463"/>
      <c r="BU118" s="463"/>
      <c r="BV118" s="463"/>
      <c r="BW118" s="463"/>
      <c r="BX118" s="435"/>
      <c r="BY118" s="435"/>
      <c r="BZ118" s="562"/>
      <c r="CA118" s="562"/>
      <c r="CB118" s="549"/>
      <c r="CC118" s="549"/>
      <c r="CD118" s="549"/>
      <c r="CE118" s="549"/>
      <c r="CF118" s="549"/>
      <c r="CG118" s="549"/>
      <c r="CH118" s="549"/>
      <c r="CI118" s="549"/>
      <c r="CJ118" s="562"/>
      <c r="CK118" s="562"/>
      <c r="CL118" s="562"/>
      <c r="CM118" s="562"/>
      <c r="CN118" s="562"/>
      <c r="CO118" s="562"/>
      <c r="CP118" s="562"/>
      <c r="CQ118" s="562"/>
      <c r="CR118" s="562"/>
      <c r="CS118" s="562"/>
      <c r="CT118" s="562"/>
      <c r="CU118" s="562"/>
      <c r="DD118" s="562"/>
    </row>
    <row r="119" spans="25:108">
      <c r="Y119" s="398" t="s">
        <v>8728</v>
      </c>
      <c r="AE119" s="1524"/>
      <c r="AG119" s="398" t="s">
        <v>8728</v>
      </c>
      <c r="AM119" s="1549"/>
      <c r="BR119" s="382"/>
      <c r="BS119" s="463"/>
      <c r="BT119" s="463"/>
      <c r="BU119" s="463"/>
      <c r="BV119" s="463"/>
      <c r="BW119" s="463"/>
      <c r="BX119" s="435"/>
      <c r="BY119" s="435"/>
      <c r="BZ119" s="562"/>
      <c r="CA119" s="562"/>
      <c r="CB119" s="861"/>
      <c r="CC119" s="861"/>
      <c r="CD119" s="861"/>
      <c r="CE119" s="861"/>
      <c r="CF119" s="861"/>
      <c r="CG119" s="861"/>
      <c r="CH119" s="861"/>
      <c r="CI119" s="861"/>
      <c r="CJ119" s="562"/>
      <c r="CK119" s="562"/>
      <c r="CL119" s="562"/>
      <c r="CM119" s="562"/>
      <c r="CN119" s="562"/>
      <c r="CO119" s="562"/>
      <c r="CP119" s="562"/>
      <c r="CQ119" s="562"/>
      <c r="CR119" s="562"/>
      <c r="CS119" s="562"/>
      <c r="CT119" s="562"/>
      <c r="CU119" s="562"/>
      <c r="DD119" s="562"/>
    </row>
    <row r="120" spans="25:108">
      <c r="Y120" s="398" t="s">
        <v>7117</v>
      </c>
      <c r="AG120" s="398" t="s">
        <v>7117</v>
      </c>
      <c r="AM120" s="1549"/>
      <c r="BR120" s="382"/>
      <c r="BS120" s="382"/>
      <c r="BT120" s="382"/>
      <c r="BU120" s="382"/>
      <c r="BV120" s="382"/>
      <c r="BW120" s="382"/>
      <c r="BX120" s="382"/>
      <c r="BY120" s="435"/>
      <c r="BZ120" s="549"/>
      <c r="CA120" s="549"/>
      <c r="CB120" s="861"/>
      <c r="CC120" s="861"/>
      <c r="CD120" s="861"/>
      <c r="CE120" s="861"/>
      <c r="CF120" s="861"/>
      <c r="CG120" s="861"/>
      <c r="CH120" s="861"/>
      <c r="CI120" s="861"/>
      <c r="CJ120" s="549"/>
      <c r="CK120" s="549"/>
      <c r="CL120" s="549"/>
      <c r="CM120" s="549"/>
      <c r="CN120" s="549"/>
      <c r="CO120" s="549"/>
      <c r="CP120" s="549"/>
      <c r="CQ120" s="549"/>
      <c r="CR120" s="549"/>
      <c r="CS120" s="549"/>
      <c r="CT120" s="549"/>
      <c r="CU120" s="549"/>
      <c r="DD120" s="549"/>
    </row>
    <row r="121" spans="25:108">
      <c r="Y121" s="398" t="s">
        <v>7121</v>
      </c>
      <c r="AG121" s="398" t="s">
        <v>7121</v>
      </c>
      <c r="AM121" s="1549"/>
      <c r="BR121" s="382"/>
      <c r="BS121" s="382"/>
      <c r="BT121" s="382"/>
      <c r="BU121" s="382"/>
      <c r="BV121" s="382"/>
      <c r="BW121" s="382"/>
      <c r="BX121" s="382"/>
      <c r="BY121" s="382"/>
      <c r="BZ121" s="549"/>
      <c r="CA121" s="549"/>
      <c r="CB121" s="861"/>
      <c r="CC121" s="861"/>
      <c r="CD121" s="861"/>
      <c r="CE121" s="861"/>
      <c r="CF121" s="861"/>
      <c r="CG121" s="861"/>
      <c r="CH121" s="861"/>
      <c r="CI121" s="861"/>
      <c r="CJ121" s="549"/>
      <c r="CK121" s="549"/>
      <c r="CL121" s="549"/>
      <c r="CM121" s="549"/>
      <c r="CN121" s="549"/>
      <c r="CO121" s="549"/>
      <c r="CP121" s="549"/>
      <c r="CQ121" s="549"/>
      <c r="CR121" s="549"/>
      <c r="CS121" s="549"/>
      <c r="CT121" s="549"/>
      <c r="CU121" s="549"/>
      <c r="DD121" s="549"/>
    </row>
    <row r="122" spans="25:108">
      <c r="Y122" s="398" t="s">
        <v>7125</v>
      </c>
      <c r="AG122" s="398" t="s">
        <v>7125</v>
      </c>
      <c r="BR122" s="398"/>
      <c r="BS122" s="382"/>
      <c r="BT122" s="382"/>
      <c r="BU122" s="382"/>
      <c r="BV122" s="382"/>
      <c r="BW122" s="382"/>
      <c r="BX122" s="463"/>
      <c r="BY122" s="382"/>
      <c r="CB122" s="861"/>
      <c r="CC122" s="861"/>
      <c r="CD122" s="861"/>
      <c r="CE122" s="861"/>
      <c r="CF122" s="861"/>
      <c r="CG122" s="861"/>
      <c r="CH122" s="861"/>
      <c r="CI122" s="861"/>
    </row>
    <row r="123" spans="25:108">
      <c r="Y123" s="398" t="s">
        <v>7127</v>
      </c>
      <c r="AG123" s="398" t="s">
        <v>7127</v>
      </c>
      <c r="BR123" s="382"/>
      <c r="BS123" s="382"/>
      <c r="BT123" s="382"/>
      <c r="BU123" s="382"/>
      <c r="BV123" s="382"/>
      <c r="BW123" s="382"/>
      <c r="BX123" s="382"/>
      <c r="BY123" s="382"/>
      <c r="CB123" s="861"/>
      <c r="CC123" s="861"/>
      <c r="CD123" s="861"/>
      <c r="CE123" s="861"/>
      <c r="CF123" s="861"/>
      <c r="CG123" s="861"/>
      <c r="CH123" s="861"/>
      <c r="CI123" s="861"/>
    </row>
    <row r="124" spans="25:108">
      <c r="Y124" s="398" t="s">
        <v>7129</v>
      </c>
      <c r="AG124" s="398" t="s">
        <v>7129</v>
      </c>
      <c r="BR124" s="382"/>
      <c r="BS124" s="439"/>
      <c r="BT124" s="439"/>
      <c r="BU124" s="439"/>
      <c r="BV124" s="439"/>
      <c r="BW124" s="439"/>
      <c r="BX124" s="439"/>
      <c r="BY124" s="439"/>
      <c r="CB124" s="861"/>
      <c r="CC124" s="861"/>
      <c r="CD124" s="861"/>
      <c r="CE124" s="861"/>
      <c r="CF124" s="861"/>
      <c r="CG124" s="861"/>
      <c r="CH124" s="861"/>
      <c r="CI124" s="861"/>
      <c r="CV124" s="549"/>
      <c r="CW124" s="549"/>
      <c r="CX124" s="549"/>
      <c r="CY124" s="549"/>
      <c r="CZ124" s="549"/>
      <c r="DA124" s="549"/>
      <c r="DB124" s="549"/>
      <c r="DC124" s="549"/>
    </row>
    <row r="125" spans="25:108">
      <c r="Y125" s="398"/>
      <c r="AG125" s="386"/>
      <c r="BR125" s="382"/>
      <c r="BS125" s="439"/>
      <c r="BT125" s="439"/>
      <c r="BU125" s="439"/>
      <c r="BV125" s="439"/>
      <c r="BW125" s="439"/>
      <c r="BX125" s="439"/>
      <c r="BY125" s="439"/>
      <c r="BZ125" s="549"/>
      <c r="CA125" s="549"/>
      <c r="CB125" s="562"/>
      <c r="CC125" s="562"/>
      <c r="CD125" s="562"/>
      <c r="CE125" s="562"/>
      <c r="CF125" s="562"/>
      <c r="CG125" s="562"/>
      <c r="CH125" s="562"/>
      <c r="CI125" s="562"/>
      <c r="CJ125" s="549"/>
      <c r="CK125" s="549"/>
      <c r="CL125" s="549"/>
      <c r="CM125" s="549"/>
      <c r="CN125" s="549"/>
      <c r="CO125" s="549"/>
      <c r="CP125" s="549"/>
      <c r="CQ125" s="549"/>
      <c r="CR125" s="549"/>
      <c r="CS125" s="549"/>
      <c r="CT125" s="549"/>
      <c r="CU125" s="549"/>
      <c r="CV125" s="861"/>
      <c r="CW125" s="861"/>
      <c r="CX125" s="861"/>
      <c r="CY125" s="861"/>
      <c r="CZ125" s="861"/>
      <c r="DA125" s="861"/>
      <c r="DB125" s="861"/>
      <c r="DC125" s="861"/>
      <c r="DD125" s="549"/>
    </row>
    <row r="126" spans="25:108">
      <c r="AG126" s="386"/>
      <c r="BR126" s="382"/>
      <c r="BS126" s="439"/>
      <c r="BT126" s="439"/>
      <c r="BU126" s="439"/>
      <c r="BV126" s="439"/>
      <c r="BW126" s="439"/>
      <c r="BX126" s="439"/>
      <c r="BY126" s="439"/>
      <c r="BZ126" s="861"/>
      <c r="CA126" s="861"/>
      <c r="CB126" s="986"/>
      <c r="CC126" s="986"/>
      <c r="CD126" s="986"/>
      <c r="CE126" s="986"/>
      <c r="CF126" s="986"/>
      <c r="CG126" s="986"/>
      <c r="CH126" s="986"/>
      <c r="CI126" s="986"/>
      <c r="CJ126" s="861"/>
      <c r="CK126" s="861"/>
      <c r="CL126" s="861"/>
      <c r="CM126" s="861"/>
      <c r="CN126" s="861"/>
      <c r="CO126" s="861"/>
      <c r="CP126" s="861"/>
      <c r="CQ126" s="861"/>
      <c r="CR126" s="861"/>
      <c r="CS126" s="861"/>
      <c r="CT126" s="861"/>
      <c r="CU126" s="861"/>
      <c r="CV126" s="861"/>
      <c r="CW126" s="861"/>
      <c r="CX126" s="861"/>
      <c r="CY126" s="861"/>
      <c r="CZ126" s="861"/>
      <c r="DA126" s="861"/>
      <c r="DB126" s="861"/>
      <c r="DC126" s="861"/>
      <c r="DD126" s="861"/>
    </row>
    <row r="127" spans="25:108">
      <c r="AG127" s="386"/>
      <c r="BR127" s="382"/>
      <c r="BS127" s="439"/>
      <c r="BT127" s="439"/>
      <c r="BU127" s="439"/>
      <c r="BV127" s="439"/>
      <c r="BW127" s="439"/>
      <c r="BX127" s="439"/>
      <c r="BY127" s="439"/>
      <c r="BZ127" s="861"/>
      <c r="CA127" s="861"/>
      <c r="CB127" s="986"/>
      <c r="CC127" s="986"/>
      <c r="CD127" s="986"/>
      <c r="CE127" s="986"/>
      <c r="CF127" s="986"/>
      <c r="CG127" s="986"/>
      <c r="CH127" s="986"/>
      <c r="CI127" s="986"/>
      <c r="CJ127" s="861"/>
      <c r="CK127" s="861"/>
      <c r="CL127" s="861"/>
      <c r="CM127" s="861"/>
      <c r="CN127" s="861"/>
      <c r="CO127" s="861"/>
      <c r="CP127" s="861"/>
      <c r="CQ127" s="861"/>
      <c r="CR127" s="861"/>
      <c r="CS127" s="861"/>
      <c r="CT127" s="861"/>
      <c r="CU127" s="861"/>
      <c r="CV127" s="861"/>
      <c r="CW127" s="861"/>
      <c r="CX127" s="861"/>
      <c r="CY127" s="861"/>
      <c r="CZ127" s="861"/>
      <c r="DA127" s="861"/>
      <c r="DB127" s="861"/>
      <c r="DC127" s="861"/>
      <c r="DD127" s="861"/>
    </row>
    <row r="128" spans="25:108">
      <c r="AG128" s="398"/>
      <c r="BR128" s="382"/>
      <c r="BS128" s="439"/>
      <c r="BT128" s="439"/>
      <c r="BU128" s="439"/>
      <c r="BV128" s="439"/>
      <c r="BW128" s="1550"/>
      <c r="BX128" s="439"/>
      <c r="BY128" s="439"/>
      <c r="BZ128" s="861"/>
      <c r="CA128" s="861"/>
      <c r="CB128" s="986"/>
      <c r="CC128" s="986"/>
      <c r="CD128" s="986"/>
      <c r="CE128" s="986"/>
      <c r="CF128" s="986"/>
      <c r="CG128" s="986"/>
      <c r="CH128" s="986"/>
      <c r="CI128" s="986"/>
      <c r="CJ128" s="861"/>
      <c r="CK128" s="861"/>
      <c r="CL128" s="861"/>
      <c r="CM128" s="861"/>
      <c r="CN128" s="861"/>
      <c r="CO128" s="861"/>
      <c r="CP128" s="861"/>
      <c r="CQ128" s="861"/>
      <c r="CR128" s="861"/>
      <c r="CS128" s="861"/>
      <c r="CT128" s="861"/>
      <c r="CU128" s="861"/>
      <c r="CV128" s="861"/>
      <c r="CW128" s="861"/>
      <c r="CX128" s="861"/>
      <c r="CY128" s="861"/>
      <c r="CZ128" s="861"/>
      <c r="DA128" s="861"/>
      <c r="DB128" s="861"/>
      <c r="DC128" s="861"/>
      <c r="DD128" s="861"/>
    </row>
    <row r="129" spans="25:108">
      <c r="Y129" s="386" t="s">
        <v>7256</v>
      </c>
      <c r="AI129" s="2094"/>
      <c r="AJ129" s="2094"/>
      <c r="AK129" s="2094"/>
      <c r="BR129" s="382"/>
      <c r="BS129" s="439"/>
      <c r="BT129" s="644"/>
      <c r="BU129" s="644"/>
      <c r="BV129" s="644"/>
      <c r="BW129" s="439"/>
      <c r="BX129" s="439"/>
      <c r="BY129" s="439"/>
      <c r="BZ129" s="861"/>
      <c r="CA129" s="861"/>
      <c r="CB129" s="986"/>
      <c r="CC129" s="986"/>
      <c r="CD129" s="986"/>
      <c r="CE129" s="986"/>
      <c r="CF129" s="986"/>
      <c r="CG129" s="986"/>
      <c r="CH129" s="986"/>
      <c r="CI129" s="986"/>
      <c r="CJ129" s="861"/>
      <c r="CK129" s="861"/>
      <c r="CL129" s="861"/>
      <c r="CM129" s="861"/>
      <c r="CN129" s="861"/>
      <c r="CO129" s="861"/>
      <c r="CP129" s="861"/>
      <c r="CQ129" s="861"/>
      <c r="CR129" s="861"/>
      <c r="CS129" s="861"/>
      <c r="CT129" s="861"/>
      <c r="CU129" s="861"/>
      <c r="CV129" s="861"/>
      <c r="CW129" s="861"/>
      <c r="CX129" s="861"/>
      <c r="CY129" s="861"/>
      <c r="CZ129" s="861"/>
      <c r="DA129" s="861"/>
      <c r="DB129" s="861"/>
      <c r="DC129" s="861"/>
      <c r="DD129" s="861"/>
    </row>
    <row r="130" spans="25:108">
      <c r="Y130" s="387" t="s">
        <v>6864</v>
      </c>
      <c r="Z130" s="1513"/>
      <c r="AA130" s="1513"/>
      <c r="AB130" s="1513"/>
      <c r="AC130" s="1513"/>
      <c r="AD130" s="1513"/>
      <c r="AI130" s="2094"/>
      <c r="AJ130" s="2094"/>
      <c r="AK130" s="2094"/>
      <c r="BR130" s="382"/>
      <c r="BS130" s="463"/>
      <c r="BT130" s="463"/>
      <c r="BU130" s="463"/>
      <c r="BV130" s="463"/>
      <c r="BW130" s="463"/>
      <c r="BX130" s="463"/>
      <c r="BY130" s="463"/>
      <c r="BZ130" s="861"/>
      <c r="CA130" s="861"/>
      <c r="CB130" s="562"/>
      <c r="CC130" s="562"/>
      <c r="CD130" s="562"/>
      <c r="CE130" s="562"/>
      <c r="CF130" s="562"/>
      <c r="CG130" s="562"/>
      <c r="CH130" s="562"/>
      <c r="CI130" s="562"/>
      <c r="CJ130" s="861"/>
      <c r="CK130" s="861"/>
      <c r="CL130" s="861"/>
      <c r="CM130" s="861"/>
      <c r="CN130" s="861"/>
      <c r="CO130" s="861"/>
      <c r="CP130" s="861"/>
      <c r="CQ130" s="861"/>
      <c r="CR130" s="861"/>
      <c r="CS130" s="861"/>
      <c r="CT130" s="861"/>
      <c r="CU130" s="861"/>
      <c r="CV130" s="861"/>
      <c r="CW130" s="861"/>
      <c r="CX130" s="861"/>
      <c r="CY130" s="861"/>
      <c r="CZ130" s="861"/>
      <c r="DA130" s="861"/>
      <c r="DB130" s="861"/>
      <c r="DC130" s="861"/>
      <c r="DD130" s="861"/>
    </row>
    <row r="131" spans="25:108">
      <c r="Z131" s="1517"/>
      <c r="AA131" s="787" t="s">
        <v>6875</v>
      </c>
      <c r="AB131" s="788"/>
      <c r="AC131" s="788"/>
      <c r="AD131" s="1517"/>
      <c r="AG131" s="398"/>
      <c r="AH131" s="385"/>
      <c r="AI131" s="2094"/>
      <c r="AJ131" s="385"/>
      <c r="AK131" s="385"/>
      <c r="AL131" s="385"/>
      <c r="BR131" s="382"/>
      <c r="BS131" s="463"/>
      <c r="BT131" s="435"/>
      <c r="BU131" s="435"/>
      <c r="BV131" s="435"/>
      <c r="BW131" s="435"/>
      <c r="BX131" s="435"/>
      <c r="BY131" s="435"/>
      <c r="BZ131" s="861"/>
      <c r="CA131" s="861"/>
      <c r="CB131" s="562"/>
      <c r="CC131" s="562"/>
      <c r="CD131" s="562"/>
      <c r="CE131" s="562"/>
      <c r="CF131" s="562"/>
      <c r="CG131" s="562"/>
      <c r="CH131" s="562"/>
      <c r="CI131" s="562"/>
      <c r="CJ131" s="861"/>
      <c r="CK131" s="861"/>
      <c r="CL131" s="861"/>
      <c r="CM131" s="861"/>
      <c r="CN131" s="861"/>
      <c r="CO131" s="861"/>
      <c r="CP131" s="861"/>
      <c r="CQ131" s="861"/>
      <c r="CR131" s="861"/>
      <c r="CS131" s="861"/>
      <c r="CT131" s="861"/>
      <c r="CU131" s="861"/>
      <c r="CV131" s="562"/>
      <c r="CW131" s="562"/>
      <c r="CX131" s="562"/>
      <c r="CY131" s="562"/>
      <c r="CZ131" s="562"/>
      <c r="DA131" s="562"/>
      <c r="DB131" s="562"/>
      <c r="DC131" s="562"/>
      <c r="DD131" s="861"/>
    </row>
    <row r="132" spans="25:108">
      <c r="Z132" s="1519"/>
      <c r="AA132" s="719" t="s">
        <v>6881</v>
      </c>
      <c r="AB132" s="796"/>
      <c r="AC132" s="795"/>
      <c r="AD132" s="1519"/>
      <c r="AG132" s="398"/>
      <c r="AH132" s="385"/>
      <c r="AI132" s="2094"/>
      <c r="AJ132" s="385"/>
      <c r="AK132" s="385"/>
      <c r="AL132" s="385"/>
      <c r="BR132" s="382"/>
      <c r="BS132" s="435"/>
      <c r="BT132" s="435"/>
      <c r="BU132" s="435"/>
      <c r="BV132" s="435"/>
      <c r="BW132" s="435"/>
      <c r="BX132" s="435"/>
      <c r="BY132" s="435"/>
      <c r="BZ132" s="562"/>
      <c r="CA132" s="562"/>
      <c r="CB132" s="562"/>
      <c r="CC132" s="562"/>
      <c r="CD132" s="562"/>
      <c r="CE132" s="562"/>
      <c r="CF132" s="562"/>
      <c r="CG132" s="562"/>
      <c r="CH132" s="562"/>
      <c r="CI132" s="562"/>
      <c r="CJ132" s="562"/>
      <c r="CK132" s="562"/>
      <c r="CL132" s="562"/>
      <c r="CM132" s="562"/>
      <c r="CN132" s="562"/>
      <c r="CO132" s="562"/>
      <c r="CP132" s="562"/>
      <c r="CQ132" s="562"/>
      <c r="CR132" s="562"/>
      <c r="CS132" s="562"/>
      <c r="CT132" s="562"/>
      <c r="CU132" s="562"/>
      <c r="CV132" s="986"/>
      <c r="CW132" s="986"/>
      <c r="CX132" s="986"/>
      <c r="CY132" s="986"/>
      <c r="CZ132" s="986"/>
      <c r="DA132" s="986"/>
      <c r="DB132" s="986"/>
      <c r="DC132" s="986"/>
      <c r="DD132" s="562"/>
    </row>
    <row r="133" spans="25:108">
      <c r="Y133" s="398"/>
      <c r="Z133" s="438" t="s">
        <v>129</v>
      </c>
      <c r="AA133" s="1520" t="s">
        <v>129</v>
      </c>
      <c r="AB133" s="419" t="s">
        <v>6891</v>
      </c>
      <c r="AC133" s="688" t="s">
        <v>6891</v>
      </c>
      <c r="AD133" s="438" t="s">
        <v>1709</v>
      </c>
      <c r="AG133" s="398"/>
      <c r="AH133" s="385"/>
      <c r="AI133" s="2094"/>
      <c r="AJ133" s="385"/>
      <c r="AK133" s="385"/>
      <c r="AL133" s="385"/>
      <c r="BR133" s="382"/>
      <c r="BS133" s="435"/>
      <c r="BT133" s="435"/>
      <c r="BU133" s="435"/>
      <c r="BV133" s="435"/>
      <c r="BW133" s="435"/>
      <c r="BX133" s="435"/>
      <c r="BY133" s="435"/>
      <c r="BZ133" s="986"/>
      <c r="CA133" s="986"/>
      <c r="CB133" s="562"/>
      <c r="CC133" s="562"/>
      <c r="CD133" s="562"/>
      <c r="CE133" s="562"/>
      <c r="CF133" s="562"/>
      <c r="CG133" s="562"/>
      <c r="CH133" s="562"/>
      <c r="CI133" s="562"/>
      <c r="CJ133" s="986"/>
      <c r="CK133" s="986"/>
      <c r="CL133" s="986"/>
      <c r="CM133" s="986"/>
      <c r="CN133" s="986"/>
      <c r="CO133" s="986"/>
      <c r="CP133" s="986"/>
      <c r="CQ133" s="986"/>
      <c r="CR133" s="986"/>
      <c r="CS133" s="986"/>
      <c r="CT133" s="986"/>
      <c r="CU133" s="986"/>
      <c r="CV133" s="986"/>
      <c r="CW133" s="986"/>
      <c r="CX133" s="986"/>
      <c r="CY133" s="986"/>
      <c r="CZ133" s="986"/>
      <c r="DA133" s="986"/>
      <c r="DB133" s="986"/>
      <c r="DC133" s="986"/>
      <c r="DD133" s="986"/>
    </row>
    <row r="134" spans="25:108">
      <c r="Y134" s="398"/>
      <c r="Z134" s="438" t="s">
        <v>6903</v>
      </c>
      <c r="AA134" s="1520"/>
      <c r="AB134" s="438" t="s">
        <v>6904</v>
      </c>
      <c r="AC134" s="416" t="s">
        <v>6905</v>
      </c>
      <c r="AD134" s="438" t="s">
        <v>6903</v>
      </c>
      <c r="AG134" s="385"/>
      <c r="AH134" s="1524"/>
      <c r="AI134" s="1524"/>
      <c r="AJ134" s="1524"/>
      <c r="AK134" s="1524"/>
      <c r="AL134" s="1524"/>
      <c r="BR134" s="382"/>
      <c r="BS134" s="435"/>
      <c r="BT134" s="435"/>
      <c r="BU134" s="435"/>
      <c r="BV134" s="435"/>
      <c r="BW134" s="435"/>
      <c r="BX134" s="435"/>
      <c r="BY134" s="435"/>
      <c r="BZ134" s="986"/>
      <c r="CA134" s="986"/>
      <c r="CB134" s="562"/>
      <c r="CC134" s="562"/>
      <c r="CD134" s="562"/>
      <c r="CE134" s="562"/>
      <c r="CF134" s="562"/>
      <c r="CG134" s="562"/>
      <c r="CH134" s="562"/>
      <c r="CI134" s="562"/>
      <c r="CJ134" s="986"/>
      <c r="CK134" s="986"/>
      <c r="CL134" s="986"/>
      <c r="CM134" s="986"/>
      <c r="CN134" s="986"/>
      <c r="CO134" s="986"/>
      <c r="CP134" s="986"/>
      <c r="CQ134" s="986"/>
      <c r="CR134" s="986"/>
      <c r="CS134" s="986"/>
      <c r="CT134" s="986"/>
      <c r="CU134" s="986"/>
      <c r="CV134" s="986"/>
      <c r="CW134" s="986"/>
      <c r="CX134" s="986"/>
      <c r="CY134" s="986"/>
      <c r="CZ134" s="986"/>
      <c r="DA134" s="986"/>
      <c r="DB134" s="986"/>
      <c r="DC134" s="986"/>
      <c r="DD134" s="986"/>
    </row>
    <row r="135" spans="25:108">
      <c r="Y135" s="387" t="s">
        <v>6918</v>
      </c>
      <c r="Z135" s="458" t="s">
        <v>6919</v>
      </c>
      <c r="AA135" s="719"/>
      <c r="AB135" s="458" t="s">
        <v>6920</v>
      </c>
      <c r="AC135" s="457" t="s">
        <v>6921</v>
      </c>
      <c r="AD135" s="458" t="s">
        <v>6919</v>
      </c>
      <c r="AG135" s="398"/>
      <c r="AH135" s="1524"/>
      <c r="AI135" s="1524"/>
      <c r="AJ135" s="1524"/>
      <c r="AK135" s="1524"/>
      <c r="AL135" s="1524"/>
      <c r="BR135" s="382"/>
      <c r="BS135" s="382"/>
      <c r="BT135" s="382"/>
      <c r="BU135" s="382"/>
      <c r="BV135" s="382"/>
      <c r="BW135" s="382"/>
      <c r="BX135" s="382"/>
      <c r="BY135" s="382"/>
      <c r="BZ135" s="986"/>
      <c r="CA135" s="986"/>
      <c r="CB135" s="549"/>
      <c r="CC135" s="549"/>
      <c r="CD135" s="549"/>
      <c r="CE135" s="549"/>
      <c r="CF135" s="549"/>
      <c r="CG135" s="549"/>
      <c r="CH135" s="549"/>
      <c r="CI135" s="549"/>
      <c r="CJ135" s="986"/>
      <c r="CK135" s="986"/>
      <c r="CL135" s="986"/>
      <c r="CM135" s="986"/>
      <c r="CN135" s="986"/>
      <c r="CO135" s="986"/>
      <c r="CP135" s="986"/>
      <c r="CQ135" s="986"/>
      <c r="CR135" s="986"/>
      <c r="CS135" s="986"/>
      <c r="CT135" s="986"/>
      <c r="CU135" s="986"/>
      <c r="CV135" s="986"/>
      <c r="CW135" s="986"/>
      <c r="CX135" s="986"/>
      <c r="CY135" s="986"/>
      <c r="CZ135" s="986"/>
      <c r="DA135" s="986"/>
      <c r="DB135" s="986"/>
      <c r="DC135" s="986"/>
      <c r="DD135" s="986"/>
    </row>
    <row r="136" spans="25:108">
      <c r="Y136" s="398" t="s">
        <v>2870</v>
      </c>
      <c r="Z136" s="1523">
        <v>20.100000000000001</v>
      </c>
      <c r="AA136" s="1523">
        <v>32.6</v>
      </c>
      <c r="AB136" s="1523">
        <v>13.8</v>
      </c>
      <c r="AC136" s="1523">
        <v>6.2</v>
      </c>
      <c r="AD136" s="1523">
        <v>12.5</v>
      </c>
      <c r="AG136" s="398"/>
      <c r="AH136" s="1524"/>
      <c r="AI136" s="1524"/>
      <c r="AJ136" s="1524"/>
      <c r="AK136" s="1524"/>
      <c r="AL136" s="1524"/>
      <c r="BR136" s="382"/>
      <c r="BS136" s="382"/>
      <c r="BT136" s="463"/>
      <c r="BU136" s="463"/>
      <c r="BV136" s="463"/>
      <c r="BW136" s="463"/>
      <c r="BX136" s="463"/>
      <c r="BY136" s="463"/>
      <c r="BZ136" s="986"/>
      <c r="CA136" s="986"/>
      <c r="CB136" s="571"/>
      <c r="CC136" s="571"/>
      <c r="CD136" s="571"/>
      <c r="CE136" s="571"/>
      <c r="CF136" s="571"/>
      <c r="CG136" s="571"/>
      <c r="CH136" s="571"/>
      <c r="CI136" s="571"/>
      <c r="CJ136" s="986"/>
      <c r="CK136" s="986"/>
      <c r="CL136" s="986"/>
      <c r="CM136" s="986"/>
      <c r="CN136" s="986"/>
      <c r="CO136" s="986"/>
      <c r="CP136" s="986"/>
      <c r="CQ136" s="986"/>
      <c r="CR136" s="986"/>
      <c r="CS136" s="986"/>
      <c r="CT136" s="986"/>
      <c r="CU136" s="986"/>
      <c r="CV136" s="562"/>
      <c r="CW136" s="562"/>
      <c r="CX136" s="562"/>
      <c r="CY136" s="562"/>
      <c r="CZ136" s="562"/>
      <c r="DA136" s="562"/>
      <c r="DB136" s="562"/>
      <c r="DC136" s="562"/>
      <c r="DD136" s="986"/>
    </row>
    <row r="137" spans="25:108">
      <c r="Y137" s="398" t="s">
        <v>2915</v>
      </c>
      <c r="Z137" s="1523">
        <v>3.8</v>
      </c>
      <c r="AA137" s="1523">
        <v>6.2</v>
      </c>
      <c r="AB137" s="1523">
        <v>3.2</v>
      </c>
      <c r="AC137" s="1523">
        <v>0.6</v>
      </c>
      <c r="AD137" s="1523">
        <v>2.4</v>
      </c>
      <c r="AG137" s="398"/>
      <c r="AH137" s="1524"/>
      <c r="AI137" s="1524"/>
      <c r="AJ137" s="1524"/>
      <c r="AK137" s="1524"/>
      <c r="AL137" s="1524"/>
      <c r="BR137" s="382"/>
      <c r="BS137" s="463"/>
      <c r="BT137" s="463"/>
      <c r="BU137" s="463"/>
      <c r="BV137" s="463"/>
      <c r="BW137" s="463"/>
      <c r="BX137" s="463"/>
      <c r="BY137" s="463"/>
      <c r="BZ137" s="562"/>
      <c r="CA137" s="562"/>
      <c r="CJ137" s="562"/>
      <c r="CK137" s="562"/>
      <c r="CL137" s="562"/>
      <c r="CM137" s="562"/>
      <c r="CN137" s="562"/>
      <c r="CO137" s="562"/>
      <c r="CP137" s="562"/>
      <c r="CQ137" s="562"/>
      <c r="CR137" s="562"/>
      <c r="CS137" s="562"/>
      <c r="CT137" s="562"/>
      <c r="CU137" s="562"/>
      <c r="CV137" s="562"/>
      <c r="CW137" s="562"/>
      <c r="CX137" s="562"/>
      <c r="CY137" s="562"/>
      <c r="CZ137" s="562"/>
      <c r="DA137" s="562"/>
      <c r="DB137" s="562"/>
      <c r="DC137" s="562"/>
      <c r="DD137" s="562"/>
    </row>
    <row r="138" spans="25:108">
      <c r="Y138" s="398" t="s">
        <v>2842</v>
      </c>
      <c r="Z138" s="1523">
        <v>34.700000000000003</v>
      </c>
      <c r="AA138" s="1523">
        <v>57.1</v>
      </c>
      <c r="AB138" s="1523">
        <v>20</v>
      </c>
      <c r="AC138" s="1523">
        <v>14.7</v>
      </c>
      <c r="AD138" s="1523">
        <v>22.4</v>
      </c>
      <c r="AG138" s="398"/>
      <c r="AH138" s="1524"/>
      <c r="AI138" s="1524"/>
      <c r="AJ138" s="1524"/>
      <c r="AK138" s="1524"/>
      <c r="AL138" s="1524"/>
      <c r="BR138" s="382"/>
      <c r="BS138" s="382"/>
      <c r="BT138" s="382"/>
      <c r="BU138" s="382"/>
      <c r="BV138" s="382"/>
      <c r="BW138" s="382"/>
      <c r="BX138" s="382"/>
      <c r="BY138" s="382"/>
      <c r="BZ138" s="562"/>
      <c r="CA138" s="562"/>
      <c r="CJ138" s="562"/>
      <c r="CK138" s="562"/>
      <c r="CL138" s="562"/>
      <c r="CM138" s="562"/>
      <c r="CN138" s="562"/>
      <c r="CO138" s="562"/>
      <c r="CP138" s="562"/>
      <c r="CQ138" s="562"/>
      <c r="CR138" s="562"/>
      <c r="CS138" s="562"/>
      <c r="CT138" s="562"/>
      <c r="CU138" s="562"/>
      <c r="CV138" s="562"/>
      <c r="CW138" s="562"/>
      <c r="CX138" s="562"/>
      <c r="CY138" s="562"/>
      <c r="CZ138" s="562"/>
      <c r="DA138" s="562"/>
      <c r="DB138" s="562"/>
      <c r="DC138" s="562"/>
      <c r="DD138" s="562"/>
    </row>
    <row r="139" spans="25:108">
      <c r="Y139" s="398" t="s">
        <v>2837</v>
      </c>
      <c r="Z139" s="1523">
        <v>13.2</v>
      </c>
      <c r="AA139" s="1523">
        <v>21.1</v>
      </c>
      <c r="AB139" s="1523">
        <v>9.9</v>
      </c>
      <c r="AC139" s="1523">
        <v>3.3</v>
      </c>
      <c r="AD139" s="1523">
        <v>7.9</v>
      </c>
      <c r="AG139" s="398"/>
      <c r="AH139" s="1524"/>
      <c r="AI139" s="1524"/>
      <c r="AJ139" s="1524"/>
      <c r="AK139" s="1524"/>
      <c r="AL139" s="1524"/>
      <c r="BR139" s="382"/>
      <c r="BS139" s="382"/>
      <c r="BT139" s="382"/>
      <c r="BU139" s="382"/>
      <c r="BV139" s="382"/>
      <c r="BW139" s="382"/>
      <c r="BX139" s="382"/>
      <c r="BY139" s="382"/>
      <c r="BZ139" s="562"/>
      <c r="CA139" s="562"/>
      <c r="CJ139" s="562"/>
      <c r="CK139" s="562"/>
      <c r="CL139" s="562"/>
      <c r="CM139" s="562"/>
      <c r="CN139" s="562"/>
      <c r="CO139" s="562"/>
      <c r="CP139" s="562"/>
      <c r="CQ139" s="562"/>
      <c r="CR139" s="562"/>
      <c r="CS139" s="562"/>
      <c r="CT139" s="562"/>
      <c r="CU139" s="562"/>
      <c r="CV139" s="562"/>
      <c r="CW139" s="562"/>
      <c r="CX139" s="562"/>
      <c r="CY139" s="562"/>
      <c r="CZ139" s="562"/>
      <c r="DA139" s="562"/>
      <c r="DB139" s="562"/>
      <c r="DC139" s="562"/>
      <c r="DD139" s="562"/>
    </row>
    <row r="140" spans="25:108">
      <c r="Y140" s="398" t="s">
        <v>2817</v>
      </c>
      <c r="Z140" s="1523">
        <v>239.5</v>
      </c>
      <c r="AA140" s="1523">
        <v>349.1</v>
      </c>
      <c r="AB140" s="1523">
        <v>148.9</v>
      </c>
      <c r="AC140" s="1523">
        <v>90.6</v>
      </c>
      <c r="AD140" s="1523">
        <v>109.6</v>
      </c>
      <c r="AG140" s="398"/>
      <c r="AH140" s="1524"/>
      <c r="AI140" s="1524"/>
      <c r="AJ140" s="1524"/>
      <c r="AK140" s="1524"/>
      <c r="AL140" s="1524"/>
      <c r="BZ140" s="562"/>
      <c r="CA140" s="562"/>
      <c r="CJ140" s="562"/>
      <c r="CK140" s="562"/>
      <c r="CL140" s="562"/>
      <c r="CM140" s="562"/>
      <c r="CN140" s="562"/>
      <c r="CO140" s="562"/>
      <c r="CP140" s="562"/>
      <c r="CQ140" s="562"/>
      <c r="CR140" s="562"/>
      <c r="CS140" s="562"/>
      <c r="CT140" s="562"/>
      <c r="CU140" s="562"/>
      <c r="CV140" s="562"/>
      <c r="CW140" s="562"/>
      <c r="CX140" s="562"/>
      <c r="CY140" s="562"/>
      <c r="CZ140" s="562"/>
      <c r="DA140" s="562"/>
      <c r="DB140" s="562"/>
      <c r="DC140" s="562"/>
      <c r="DD140" s="562"/>
    </row>
    <row r="141" spans="25:108">
      <c r="Y141" s="398" t="s">
        <v>2932</v>
      </c>
      <c r="Z141" s="1523">
        <v>21.7</v>
      </c>
      <c r="AA141" s="1523">
        <v>32.700000000000003</v>
      </c>
      <c r="AB141" s="1523">
        <v>14.9</v>
      </c>
      <c r="AC141" s="1523">
        <v>6.9</v>
      </c>
      <c r="AD141" s="1523">
        <v>10.9</v>
      </c>
      <c r="AG141" s="398"/>
      <c r="AH141" s="1524"/>
      <c r="AI141" s="1524"/>
      <c r="AJ141" s="1524"/>
      <c r="AK141" s="1524"/>
      <c r="AL141" s="1524"/>
      <c r="BZ141" s="562"/>
      <c r="CA141" s="562"/>
      <c r="CJ141" s="562"/>
      <c r="CK141" s="562"/>
      <c r="CL141" s="562"/>
      <c r="CM141" s="562"/>
      <c r="CN141" s="562"/>
      <c r="CO141" s="562"/>
      <c r="CP141" s="562"/>
      <c r="CQ141" s="562"/>
      <c r="CR141" s="562"/>
      <c r="CS141" s="562"/>
      <c r="CT141" s="562"/>
      <c r="CU141" s="562"/>
      <c r="CV141" s="549"/>
      <c r="CW141" s="549"/>
      <c r="CX141" s="549"/>
      <c r="CY141" s="549"/>
      <c r="CZ141" s="549"/>
      <c r="DA141" s="549"/>
      <c r="DB141" s="549"/>
      <c r="DC141" s="549"/>
      <c r="DD141" s="562"/>
    </row>
    <row r="142" spans="25:108">
      <c r="Y142" s="398" t="s">
        <v>2946</v>
      </c>
      <c r="Z142" s="1523">
        <v>4.3</v>
      </c>
      <c r="AA142" s="1523">
        <v>6.9</v>
      </c>
      <c r="AB142" s="1523">
        <v>3.2</v>
      </c>
      <c r="AC142" s="1523">
        <v>1.1000000000000001</v>
      </c>
      <c r="AD142" s="1523">
        <v>2.6</v>
      </c>
      <c r="AG142" s="398"/>
      <c r="AH142" s="1524"/>
      <c r="AI142" s="1524"/>
      <c r="AJ142" s="1524"/>
      <c r="AK142" s="1524"/>
      <c r="AL142" s="1524"/>
      <c r="BZ142" s="549"/>
      <c r="CA142" s="549"/>
      <c r="CJ142" s="549"/>
      <c r="CK142" s="549"/>
      <c r="CL142" s="549"/>
      <c r="CM142" s="549"/>
      <c r="CN142" s="549"/>
      <c r="CO142" s="549"/>
      <c r="CP142" s="549"/>
      <c r="CQ142" s="549"/>
      <c r="CR142" s="549"/>
      <c r="CS142" s="549"/>
      <c r="CT142" s="549"/>
      <c r="CU142" s="549"/>
      <c r="CV142" s="571"/>
      <c r="CW142" s="571"/>
      <c r="CX142" s="571"/>
      <c r="CY142" s="571"/>
      <c r="CZ142" s="571"/>
      <c r="DA142" s="571"/>
      <c r="DB142" s="571"/>
      <c r="DC142" s="571"/>
      <c r="DD142" s="549"/>
    </row>
    <row r="143" spans="25:108">
      <c r="Y143" s="398" t="s">
        <v>2953</v>
      </c>
      <c r="Z143" s="1523">
        <v>2.2999999999999998</v>
      </c>
      <c r="AA143" s="1523">
        <v>3.9</v>
      </c>
      <c r="AB143" s="1523">
        <v>2</v>
      </c>
      <c r="AC143" s="1523">
        <v>0.3</v>
      </c>
      <c r="AD143" s="1523">
        <v>1.5</v>
      </c>
      <c r="AG143" s="398"/>
      <c r="AH143" s="1524"/>
      <c r="AI143" s="1524"/>
      <c r="AJ143" s="1524"/>
      <c r="AK143" s="1524"/>
      <c r="AL143" s="1524"/>
      <c r="BZ143" s="571"/>
      <c r="CA143" s="571"/>
      <c r="CJ143" s="571"/>
      <c r="CK143" s="571"/>
      <c r="CL143" s="571"/>
      <c r="CM143" s="571"/>
      <c r="CN143" s="571"/>
      <c r="CO143" s="571"/>
      <c r="CP143" s="571"/>
      <c r="CQ143" s="571"/>
      <c r="CR143" s="571"/>
      <c r="CS143" s="571"/>
      <c r="CT143" s="571"/>
      <c r="CU143" s="571"/>
      <c r="DD143" s="571"/>
    </row>
    <row r="144" spans="25:108">
      <c r="Y144" s="398" t="s">
        <v>2818</v>
      </c>
      <c r="Z144" s="1003">
        <v>7</v>
      </c>
      <c r="AA144" s="1523">
        <v>11</v>
      </c>
      <c r="AB144" s="1523">
        <v>6.2</v>
      </c>
      <c r="AC144" s="1523">
        <v>0.8</v>
      </c>
      <c r="AD144" s="1523">
        <v>4</v>
      </c>
      <c r="AG144" s="398"/>
      <c r="AH144" s="1524"/>
      <c r="AI144" s="1524"/>
      <c r="AJ144" s="1524"/>
      <c r="AK144" s="1524"/>
      <c r="AL144" s="1524"/>
    </row>
    <row r="145" spans="25:77">
      <c r="Y145" s="398" t="s">
        <v>2885</v>
      </c>
      <c r="Z145" s="1523">
        <v>67.2</v>
      </c>
      <c r="AA145" s="1523">
        <v>102</v>
      </c>
      <c r="AB145" s="1523">
        <v>46.1</v>
      </c>
      <c r="AC145" s="1523">
        <v>21.2</v>
      </c>
      <c r="AD145" s="1523">
        <v>34.799999999999997</v>
      </c>
      <c r="AG145" s="398"/>
      <c r="AH145" s="1524"/>
      <c r="AI145" s="1524"/>
      <c r="AJ145" s="1524"/>
      <c r="AK145" s="1524"/>
      <c r="AL145" s="1524"/>
    </row>
    <row r="146" spans="25:77">
      <c r="Y146" s="398" t="s">
        <v>2918</v>
      </c>
      <c r="Z146" s="1523">
        <v>36.200000000000003</v>
      </c>
      <c r="AA146" s="1523">
        <v>65.400000000000006</v>
      </c>
      <c r="AB146" s="1523">
        <v>18.7</v>
      </c>
      <c r="AC146" s="1523">
        <v>17.5</v>
      </c>
      <c r="AD146" s="1523">
        <v>29.2</v>
      </c>
      <c r="AG146" s="398"/>
      <c r="AH146" s="1524"/>
      <c r="AI146" s="1524"/>
      <c r="AJ146" s="1524"/>
      <c r="AK146" s="1524"/>
      <c r="AL146" s="1524"/>
    </row>
    <row r="147" spans="25:77">
      <c r="Y147" s="398" t="s">
        <v>2866</v>
      </c>
      <c r="Z147" s="1523">
        <v>20.6</v>
      </c>
      <c r="AA147" s="1523">
        <v>34.9</v>
      </c>
      <c r="AB147" s="1523">
        <v>12.3</v>
      </c>
      <c r="AC147" s="1523">
        <v>8.3000000000000007</v>
      </c>
      <c r="AD147" s="1523">
        <v>14.3</v>
      </c>
      <c r="AG147" s="398"/>
      <c r="AH147" s="1524"/>
      <c r="AI147" s="1524"/>
      <c r="AJ147" s="1524"/>
      <c r="AK147" s="1524"/>
      <c r="AL147" s="1524"/>
    </row>
    <row r="148" spans="25:77">
      <c r="Y148" s="398" t="s">
        <v>2891</v>
      </c>
      <c r="Z148" s="1523">
        <v>14.8</v>
      </c>
      <c r="AA148" s="1523">
        <v>24.7</v>
      </c>
      <c r="AB148" s="1523">
        <v>8.1999999999999993</v>
      </c>
      <c r="AC148" s="1523">
        <v>6.6</v>
      </c>
      <c r="AD148" s="1523">
        <v>9.9</v>
      </c>
      <c r="AG148" s="398"/>
      <c r="AH148" s="1524"/>
      <c r="AI148" s="1524"/>
      <c r="AJ148" s="1524"/>
      <c r="AK148" s="1524"/>
      <c r="AL148" s="1524"/>
    </row>
    <row r="149" spans="25:77">
      <c r="Y149" s="398" t="s">
        <v>2871</v>
      </c>
      <c r="Z149" s="1523">
        <v>23.1</v>
      </c>
      <c r="AA149" s="1523">
        <v>38.6</v>
      </c>
      <c r="AB149" s="1523">
        <v>15.8</v>
      </c>
      <c r="AC149" s="1523">
        <v>7.3</v>
      </c>
      <c r="AD149" s="1523">
        <v>15.5</v>
      </c>
      <c r="AG149" s="398"/>
      <c r="AH149" s="1524"/>
      <c r="AI149" s="1524"/>
      <c r="AJ149" s="1524"/>
      <c r="AK149" s="1524"/>
      <c r="AL149" s="1524"/>
      <c r="BR149" s="549"/>
      <c r="BS149" s="549"/>
      <c r="BT149" s="549"/>
      <c r="BU149" s="549"/>
      <c r="BV149" s="549"/>
      <c r="BW149" s="549"/>
      <c r="BX149" s="549"/>
      <c r="BY149" s="549"/>
    </row>
    <row r="150" spans="25:77">
      <c r="Y150" s="386" t="s">
        <v>2903</v>
      </c>
      <c r="Z150" s="1523">
        <v>13.6</v>
      </c>
      <c r="AA150" s="1523">
        <v>23.7</v>
      </c>
      <c r="AB150" s="1523">
        <v>10.7</v>
      </c>
      <c r="AC150" s="1523">
        <v>2.9</v>
      </c>
      <c r="AD150" s="1523">
        <v>10.1</v>
      </c>
      <c r="AG150" s="398"/>
      <c r="AH150" s="1524"/>
      <c r="AI150" s="1524"/>
      <c r="AJ150" s="1524"/>
      <c r="AK150" s="1524"/>
      <c r="AL150" s="1524"/>
      <c r="BR150" s="549"/>
      <c r="BS150" s="861"/>
      <c r="BT150" s="861"/>
      <c r="BU150" s="861"/>
      <c r="BV150" s="861"/>
      <c r="BW150" s="861"/>
      <c r="BX150" s="861"/>
      <c r="BY150" s="861"/>
    </row>
    <row r="151" spans="25:77">
      <c r="Y151" s="1535" t="s">
        <v>2955</v>
      </c>
      <c r="Z151" s="1523">
        <v>11.8</v>
      </c>
      <c r="AA151" s="1523">
        <v>18.5</v>
      </c>
      <c r="AB151" s="1523">
        <v>6.1</v>
      </c>
      <c r="AC151" s="1523">
        <v>5.7</v>
      </c>
      <c r="AD151" s="1523">
        <v>6.7</v>
      </c>
      <c r="AG151" s="386"/>
      <c r="AH151" s="1551"/>
      <c r="AI151" s="1551"/>
      <c r="AJ151" s="1551"/>
      <c r="AK151" s="1551"/>
      <c r="AL151" s="1551"/>
      <c r="BR151" s="549"/>
      <c r="BS151" s="861"/>
      <c r="BT151" s="861"/>
      <c r="BU151" s="861"/>
      <c r="BV151" s="861"/>
      <c r="BW151" s="861"/>
      <c r="BX151" s="861"/>
      <c r="BY151" s="861"/>
    </row>
    <row r="152" spans="25:77">
      <c r="Y152" s="1538" t="s">
        <v>2875</v>
      </c>
      <c r="Z152" s="1523">
        <v>29.3</v>
      </c>
      <c r="AA152" s="1523">
        <v>45.8</v>
      </c>
      <c r="AB152" s="1523">
        <v>22.7</v>
      </c>
      <c r="AC152" s="1523">
        <v>6.7</v>
      </c>
      <c r="AD152" s="1523">
        <v>16.5</v>
      </c>
      <c r="AG152" s="1535"/>
      <c r="AH152" s="1551"/>
      <c r="AI152" s="1551"/>
      <c r="AJ152" s="1551"/>
      <c r="AK152" s="1551"/>
      <c r="AL152" s="1551"/>
      <c r="BR152" s="861"/>
      <c r="BS152" s="861"/>
      <c r="BT152" s="861"/>
      <c r="BU152" s="861"/>
      <c r="BV152" s="861"/>
      <c r="BW152" s="861"/>
      <c r="BX152" s="861"/>
      <c r="BY152" s="861"/>
    </row>
    <row r="153" spans="25:77">
      <c r="Y153" s="1538" t="s">
        <v>2890</v>
      </c>
      <c r="Z153" s="1523">
        <v>37.700000000000003</v>
      </c>
      <c r="AA153" s="1523">
        <v>57.9</v>
      </c>
      <c r="AB153" s="1523">
        <v>32.6</v>
      </c>
      <c r="AC153" s="1523">
        <v>5.0999999999999996</v>
      </c>
      <c r="AD153" s="1523">
        <v>20.2</v>
      </c>
      <c r="AG153" s="1538"/>
      <c r="AH153" s="1551"/>
      <c r="AI153" s="1551"/>
      <c r="AJ153" s="1551"/>
      <c r="AK153" s="1551"/>
      <c r="AL153" s="1551"/>
      <c r="BR153" s="583"/>
      <c r="BS153" s="861"/>
      <c r="BT153" s="861"/>
      <c r="BU153" s="861"/>
      <c r="BV153" s="861"/>
      <c r="BW153" s="861"/>
      <c r="BX153" s="861"/>
      <c r="BY153" s="861"/>
    </row>
    <row r="154" spans="25:77">
      <c r="Y154" s="1279" t="s">
        <v>2910</v>
      </c>
      <c r="Z154" s="1523">
        <v>51.5</v>
      </c>
      <c r="AA154" s="1523">
        <v>86.7</v>
      </c>
      <c r="AB154" s="1523">
        <v>33</v>
      </c>
      <c r="AC154" s="1523">
        <v>18.5</v>
      </c>
      <c r="AD154" s="1523">
        <v>35.200000000000003</v>
      </c>
      <c r="AG154" s="1538"/>
      <c r="AH154" s="1551"/>
      <c r="AI154" s="1551"/>
      <c r="AJ154" s="1551"/>
      <c r="AK154" s="1551"/>
      <c r="AL154" s="1551"/>
      <c r="BR154" s="583"/>
      <c r="BS154" s="861"/>
      <c r="BT154" s="861"/>
      <c r="BU154" s="861"/>
      <c r="BV154" s="861"/>
      <c r="BW154" s="1553"/>
      <c r="BX154" s="861"/>
      <c r="BY154" s="861"/>
    </row>
    <row r="155" spans="25:77">
      <c r="Y155" s="1279" t="s">
        <v>2895</v>
      </c>
      <c r="Z155" s="1523">
        <v>38.5</v>
      </c>
      <c r="AA155" s="1523">
        <v>63.8</v>
      </c>
      <c r="AB155" s="1523">
        <v>28.2</v>
      </c>
      <c r="AC155" s="1523">
        <v>10.3</v>
      </c>
      <c r="AD155" s="1523">
        <v>25.4</v>
      </c>
      <c r="AG155" s="1279"/>
      <c r="AH155" s="1551"/>
      <c r="AI155" s="1551"/>
      <c r="AJ155" s="1551"/>
      <c r="AK155" s="1551"/>
      <c r="AL155" s="1551"/>
      <c r="BR155" s="549"/>
      <c r="BS155" s="861"/>
      <c r="BT155" s="1554"/>
      <c r="BU155" s="1554"/>
      <c r="BV155" s="1554"/>
      <c r="BW155" s="861"/>
      <c r="BX155" s="861"/>
      <c r="BY155" s="861"/>
    </row>
    <row r="156" spans="25:77">
      <c r="Y156" s="1279" t="s">
        <v>2862</v>
      </c>
      <c r="Z156" s="1523">
        <v>27.6</v>
      </c>
      <c r="AA156" s="1523">
        <v>50.6</v>
      </c>
      <c r="AB156" s="1523">
        <v>15.8</v>
      </c>
      <c r="AC156" s="1523">
        <v>11.8</v>
      </c>
      <c r="AD156" s="1523">
        <v>23</v>
      </c>
      <c r="AG156" s="1279"/>
      <c r="AH156" s="1551"/>
      <c r="AI156" s="1551"/>
      <c r="AJ156" s="1551"/>
      <c r="AK156" s="1551"/>
      <c r="AL156" s="1551"/>
      <c r="BR156" s="549"/>
      <c r="BS156" s="562"/>
      <c r="BT156" s="562"/>
      <c r="BU156" s="562"/>
      <c r="BV156" s="562"/>
      <c r="BW156" s="562"/>
      <c r="BX156" s="562"/>
      <c r="BY156" s="562"/>
    </row>
    <row r="157" spans="25:77">
      <c r="Y157" s="1279" t="s">
        <v>2947</v>
      </c>
      <c r="Z157" s="1523">
        <v>5.6</v>
      </c>
      <c r="AA157" s="1523">
        <v>10.4</v>
      </c>
      <c r="AB157" s="1523">
        <v>3.8</v>
      </c>
      <c r="AC157" s="1523">
        <v>1.7</v>
      </c>
      <c r="AD157" s="1523">
        <v>4.8</v>
      </c>
      <c r="AG157" s="1279"/>
      <c r="AH157" s="1551"/>
      <c r="AI157" s="1551"/>
      <c r="AJ157" s="1551"/>
      <c r="AK157" s="1551"/>
      <c r="AL157" s="1551"/>
      <c r="BR157" s="549"/>
      <c r="BS157" s="562"/>
      <c r="BT157" s="986"/>
      <c r="BU157" s="986"/>
      <c r="BV157" s="986"/>
      <c r="BW157" s="986"/>
      <c r="BX157" s="986"/>
      <c r="BY157" s="986"/>
    </row>
    <row r="158" spans="25:77">
      <c r="Y158" s="1279" t="s">
        <v>2914</v>
      </c>
      <c r="Z158" s="1523">
        <v>10.3</v>
      </c>
      <c r="AA158" s="1523">
        <v>19.600000000000001</v>
      </c>
      <c r="AB158" s="1523">
        <v>6.9</v>
      </c>
      <c r="AC158" s="1523">
        <v>3.5</v>
      </c>
      <c r="AD158" s="1523">
        <v>9.1999999999999993</v>
      </c>
      <c r="AG158" s="1279"/>
      <c r="AH158" s="1551"/>
      <c r="AI158" s="1551"/>
      <c r="AJ158" s="1551"/>
      <c r="AK158" s="1551"/>
      <c r="AL158" s="1551"/>
      <c r="BR158" s="549"/>
      <c r="BS158" s="986"/>
      <c r="BT158" s="986"/>
      <c r="BU158" s="986"/>
      <c r="BV158" s="986"/>
      <c r="BW158" s="986"/>
      <c r="BX158" s="986"/>
      <c r="BY158" s="986"/>
    </row>
    <row r="159" spans="25:77">
      <c r="Y159" s="1279" t="s">
        <v>2831</v>
      </c>
      <c r="Z159" s="1523">
        <v>18.7</v>
      </c>
      <c r="AA159" s="1523">
        <v>29.8</v>
      </c>
      <c r="AB159" s="1523">
        <v>9.6999999999999993</v>
      </c>
      <c r="AC159" s="1523">
        <v>9</v>
      </c>
      <c r="AD159" s="1523">
        <v>11.1</v>
      </c>
      <c r="AG159" s="1279"/>
      <c r="AH159" s="1551"/>
      <c r="AI159" s="1551"/>
      <c r="AJ159" s="1551"/>
      <c r="AK159" s="1551"/>
      <c r="AL159" s="1551"/>
      <c r="BR159" s="549"/>
      <c r="BS159" s="986"/>
      <c r="BT159" s="986"/>
      <c r="BU159" s="986"/>
      <c r="BV159" s="986"/>
      <c r="BW159" s="986"/>
      <c r="BX159" s="986"/>
      <c r="BY159" s="986"/>
    </row>
    <row r="160" spans="25:77">
      <c r="Y160" s="1279" t="s">
        <v>2887</v>
      </c>
      <c r="Z160" s="1523">
        <v>46.5</v>
      </c>
      <c r="AA160" s="1523">
        <v>70.5</v>
      </c>
      <c r="AB160" s="1523">
        <v>32.6</v>
      </c>
      <c r="AC160" s="1523">
        <v>13.9</v>
      </c>
      <c r="AD160" s="1523">
        <v>24.1</v>
      </c>
      <c r="AG160" s="1279"/>
      <c r="AH160" s="1551"/>
      <c r="AI160" s="1551"/>
      <c r="AJ160" s="1551"/>
      <c r="AK160" s="1551"/>
      <c r="AL160" s="1551"/>
      <c r="BR160" s="549"/>
      <c r="BS160" s="986"/>
      <c r="BT160" s="986"/>
      <c r="BU160" s="986"/>
      <c r="BV160" s="986"/>
      <c r="BW160" s="986"/>
      <c r="BX160" s="986"/>
      <c r="BY160" s="986"/>
    </row>
    <row r="161" spans="25:117">
      <c r="Y161" s="398" t="s">
        <v>2906</v>
      </c>
      <c r="Z161" s="1523">
        <v>7</v>
      </c>
      <c r="AA161" s="1523">
        <v>13.5</v>
      </c>
      <c r="AB161" s="1523">
        <v>4.9000000000000004</v>
      </c>
      <c r="AC161" s="1523">
        <v>2.2000000000000002</v>
      </c>
      <c r="AD161" s="1523">
        <v>6.5</v>
      </c>
      <c r="AG161" s="1279"/>
      <c r="AH161" s="1551"/>
      <c r="AI161" s="1551"/>
      <c r="AJ161" s="1551"/>
      <c r="AK161" s="1551"/>
      <c r="AL161" s="1551"/>
      <c r="BR161" s="549"/>
      <c r="BS161" s="562"/>
      <c r="BT161" s="562"/>
      <c r="BU161" s="562"/>
      <c r="BV161" s="562"/>
      <c r="BW161" s="562"/>
      <c r="BX161" s="562"/>
      <c r="BY161" s="562"/>
      <c r="DG161" s="547"/>
      <c r="DH161" s="547"/>
      <c r="DI161" s="547"/>
      <c r="DJ161" s="547"/>
      <c r="DK161" s="547"/>
      <c r="DL161" s="547"/>
      <c r="DM161" s="547"/>
    </row>
    <row r="162" spans="25:117">
      <c r="Y162" s="398" t="s">
        <v>2861</v>
      </c>
      <c r="Z162" s="1523">
        <v>81.599999999999994</v>
      </c>
      <c r="AA162" s="1523">
        <v>125.5</v>
      </c>
      <c r="AB162" s="1523">
        <v>75</v>
      </c>
      <c r="AC162" s="1523">
        <v>6.5</v>
      </c>
      <c r="AD162" s="1523">
        <v>43.9</v>
      </c>
      <c r="AG162" s="398"/>
      <c r="AH162" s="1524"/>
      <c r="AI162" s="1524"/>
      <c r="AJ162" s="1524"/>
      <c r="AK162" s="1524"/>
      <c r="AL162" s="1524"/>
      <c r="BR162" s="549"/>
      <c r="BS162" s="562"/>
      <c r="BT162" s="562"/>
      <c r="BU162" s="562"/>
      <c r="BV162" s="562"/>
      <c r="BW162" s="562"/>
      <c r="BX162" s="562"/>
      <c r="BY162" s="562"/>
    </row>
    <row r="163" spans="25:117">
      <c r="Y163" s="398" t="s">
        <v>2841</v>
      </c>
      <c r="Z163" s="1523">
        <v>40.5</v>
      </c>
      <c r="AA163" s="1523">
        <v>67.7</v>
      </c>
      <c r="AB163" s="1523">
        <v>224.6</v>
      </c>
      <c r="AC163" s="1523">
        <v>15.9</v>
      </c>
      <c r="AD163" s="1523">
        <v>27.2</v>
      </c>
      <c r="AG163" s="398"/>
      <c r="AH163" s="1524"/>
      <c r="AI163" s="1524"/>
      <c r="AJ163" s="1524"/>
      <c r="AK163" s="1524"/>
      <c r="AL163" s="1524"/>
      <c r="BR163" s="549"/>
      <c r="BS163" s="562"/>
      <c r="BT163" s="562"/>
      <c r="BU163" s="562"/>
      <c r="BV163" s="562"/>
      <c r="BW163" s="562"/>
      <c r="BX163" s="562"/>
      <c r="BY163" s="562"/>
    </row>
    <row r="164" spans="25:117">
      <c r="Y164" s="398" t="s">
        <v>2886</v>
      </c>
      <c r="Z164" s="1523">
        <v>41.2</v>
      </c>
      <c r="AA164" s="1523">
        <v>78</v>
      </c>
      <c r="AB164" s="1523">
        <v>29</v>
      </c>
      <c r="AC164" s="1523">
        <v>12.2</v>
      </c>
      <c r="AD164" s="1523">
        <v>36.799999999999997</v>
      </c>
      <c r="AG164" s="398"/>
      <c r="AH164" s="1524"/>
      <c r="AI164" s="1524"/>
      <c r="AJ164" s="1524"/>
      <c r="AK164" s="1524"/>
      <c r="AL164" s="1524"/>
      <c r="BR164" s="549"/>
      <c r="BS164" s="562"/>
      <c r="BT164" s="562"/>
      <c r="BU164" s="562"/>
      <c r="BV164" s="562"/>
      <c r="BW164" s="562"/>
      <c r="BX164" s="562"/>
      <c r="BY164" s="562"/>
    </row>
    <row r="165" spans="25:117">
      <c r="Y165" s="398" t="s">
        <v>2852</v>
      </c>
      <c r="Z165" s="1523">
        <v>17.8</v>
      </c>
      <c r="AA165" s="398">
        <v>30.2</v>
      </c>
      <c r="AB165" s="771">
        <v>12</v>
      </c>
      <c r="AC165" s="398">
        <v>5.8</v>
      </c>
      <c r="AD165" s="398">
        <v>12.4</v>
      </c>
      <c r="AG165" s="398"/>
      <c r="AH165" s="1552"/>
      <c r="AI165" s="1555"/>
      <c r="AJ165" s="1552"/>
      <c r="AK165" s="1555"/>
      <c r="AL165" s="1552"/>
      <c r="BR165" s="549"/>
      <c r="BS165" s="562"/>
      <c r="BT165" s="562"/>
      <c r="BU165" s="562"/>
      <c r="BV165" s="562"/>
      <c r="BW165" s="562"/>
      <c r="BX165" s="562"/>
      <c r="BY165" s="562"/>
    </row>
    <row r="166" spans="25:117">
      <c r="Y166" s="398" t="s">
        <v>2843</v>
      </c>
      <c r="Z166" s="1523">
        <v>31</v>
      </c>
      <c r="AA166" s="1523">
        <v>47.8</v>
      </c>
      <c r="AB166" s="1523">
        <v>21.6</v>
      </c>
      <c r="AC166" s="1523">
        <v>9.4</v>
      </c>
      <c r="AD166" s="1523">
        <v>16.7</v>
      </c>
      <c r="AG166" s="398"/>
      <c r="AH166" s="1524"/>
      <c r="AI166" s="1524"/>
      <c r="AJ166" s="1524"/>
      <c r="AK166" s="1524"/>
      <c r="AL166" s="1524"/>
      <c r="BR166" s="549"/>
      <c r="BS166" s="549"/>
      <c r="BT166" s="549"/>
      <c r="BU166" s="549"/>
      <c r="BV166" s="549"/>
      <c r="BW166" s="549"/>
      <c r="BX166" s="549"/>
      <c r="BY166" s="549"/>
    </row>
    <row r="167" spans="25:117">
      <c r="Y167" s="398" t="s">
        <v>2899</v>
      </c>
      <c r="Z167" s="1523">
        <v>72.599999999999994</v>
      </c>
      <c r="AA167" s="1523">
        <v>117.1</v>
      </c>
      <c r="AB167" s="1523">
        <v>46.9</v>
      </c>
      <c r="AC167" s="1523">
        <v>25.7</v>
      </c>
      <c r="AD167" s="1523">
        <v>44.6</v>
      </c>
      <c r="AG167" s="398"/>
      <c r="AH167" s="1524"/>
      <c r="AI167" s="1524"/>
      <c r="AJ167" s="1524"/>
      <c r="AK167" s="1524"/>
      <c r="AL167" s="1524"/>
      <c r="BR167" s="549"/>
      <c r="BS167" s="571"/>
      <c r="BT167" s="571"/>
      <c r="BU167" s="571"/>
      <c r="BV167" s="571"/>
      <c r="BW167" s="571"/>
      <c r="BX167" s="571"/>
      <c r="BY167" s="571"/>
    </row>
    <row r="168" spans="25:117">
      <c r="Y168" s="398" t="s">
        <v>2963</v>
      </c>
      <c r="Z168" s="1523">
        <v>11.8</v>
      </c>
      <c r="AA168" s="1523">
        <v>16</v>
      </c>
      <c r="AB168" s="1523">
        <v>11.8</v>
      </c>
      <c r="AC168" s="435">
        <v>0.1</v>
      </c>
      <c r="AD168" s="1523">
        <v>4.2</v>
      </c>
      <c r="AG168" s="398"/>
      <c r="AH168" s="1524"/>
      <c r="AI168" s="1524"/>
      <c r="AJ168" s="1524"/>
      <c r="AK168" s="1524"/>
      <c r="AL168" s="1524"/>
    </row>
    <row r="169" spans="25:117">
      <c r="Y169" s="386" t="s">
        <v>2876</v>
      </c>
      <c r="Z169" s="1523">
        <v>19.899999999999999</v>
      </c>
      <c r="AA169" s="1523">
        <v>30.3</v>
      </c>
      <c r="AB169" s="1523">
        <v>11.8</v>
      </c>
      <c r="AC169" s="1523">
        <v>8.1999999999999993</v>
      </c>
      <c r="AD169" s="1523">
        <v>10.4</v>
      </c>
      <c r="AG169" s="386"/>
      <c r="AH169" s="1551"/>
      <c r="AI169" s="1551"/>
      <c r="AJ169" s="1551"/>
      <c r="AK169" s="1551"/>
      <c r="AL169" s="1551"/>
    </row>
    <row r="170" spans="25:117">
      <c r="Y170" s="398" t="s">
        <v>2880</v>
      </c>
      <c r="Z170" s="1523">
        <v>32.9</v>
      </c>
      <c r="AA170" s="1523">
        <v>53.4</v>
      </c>
      <c r="AB170" s="1523">
        <v>19.600000000000001</v>
      </c>
      <c r="AC170" s="1523">
        <v>13.3</v>
      </c>
      <c r="AD170" s="1523">
        <v>20.5</v>
      </c>
      <c r="AG170" s="398"/>
      <c r="AH170" s="1524"/>
      <c r="AI170" s="1524"/>
      <c r="AJ170" s="1524"/>
      <c r="AK170" s="1524"/>
      <c r="AL170" s="1524"/>
    </row>
    <row r="171" spans="25:117">
      <c r="Y171" s="398" t="s">
        <v>2828</v>
      </c>
      <c r="Z171" s="1523">
        <v>114.5</v>
      </c>
      <c r="AA171" s="1523">
        <v>178.9</v>
      </c>
      <c r="AB171" s="1523">
        <v>61.9</v>
      </c>
      <c r="AC171" s="1523">
        <v>52.6</v>
      </c>
      <c r="AD171" s="1523">
        <v>64.400000000000006</v>
      </c>
      <c r="AG171" s="398"/>
      <c r="AH171" s="1524"/>
      <c r="AI171" s="1524"/>
      <c r="AJ171" s="1524"/>
      <c r="AK171" s="1524"/>
      <c r="AL171" s="1524"/>
    </row>
    <row r="172" spans="25:117">
      <c r="Y172" s="398" t="s">
        <v>2877</v>
      </c>
      <c r="Z172" s="1523">
        <v>13.9</v>
      </c>
      <c r="AA172" s="1523">
        <v>27.8</v>
      </c>
      <c r="AB172" s="1523">
        <v>7.5</v>
      </c>
      <c r="AC172" s="1523">
        <v>6.5</v>
      </c>
      <c r="AD172" s="1523">
        <v>13.9</v>
      </c>
      <c r="AG172" s="398"/>
      <c r="AH172" s="1524"/>
      <c r="AI172" s="1524"/>
      <c r="AJ172" s="1524"/>
      <c r="AK172" s="1524"/>
      <c r="AL172" s="1524"/>
    </row>
    <row r="173" spans="25:117">
      <c r="Y173" s="398" t="s">
        <v>2962</v>
      </c>
      <c r="Z173" s="1523">
        <v>3.9</v>
      </c>
      <c r="AA173" s="1523">
        <v>7.2</v>
      </c>
      <c r="AB173" s="1523">
        <v>2.7</v>
      </c>
      <c r="AC173" s="1523">
        <v>1.1000000000000001</v>
      </c>
      <c r="AD173" s="1523">
        <v>3.4</v>
      </c>
      <c r="AG173" s="398"/>
      <c r="AH173" s="1524"/>
      <c r="AI173" s="1524"/>
      <c r="AJ173" s="1524"/>
      <c r="AK173" s="1524"/>
      <c r="AL173" s="1524"/>
    </row>
    <row r="174" spans="25:117">
      <c r="Y174" s="398" t="s">
        <v>1968</v>
      </c>
      <c r="Z174" s="1546">
        <v>0.2</v>
      </c>
      <c r="AA174" s="1523">
        <v>0.3</v>
      </c>
      <c r="AB174" s="1523">
        <v>0.2</v>
      </c>
      <c r="AC174" s="435" t="s">
        <v>7083</v>
      </c>
      <c r="AD174" s="1523">
        <v>0.1</v>
      </c>
      <c r="AG174" s="398"/>
      <c r="AH174" s="1524"/>
      <c r="AI174" s="1524"/>
      <c r="AJ174" s="1524"/>
      <c r="AK174" s="519"/>
      <c r="AL174" s="1524"/>
    </row>
    <row r="175" spans="25:117">
      <c r="Y175" s="398" t="s">
        <v>2858</v>
      </c>
      <c r="Z175" s="1523">
        <v>33.299999999999997</v>
      </c>
      <c r="AA175" s="1546">
        <v>54.4</v>
      </c>
      <c r="AB175" s="1546">
        <v>22.9</v>
      </c>
      <c r="AC175" s="1546">
        <v>10.4</v>
      </c>
      <c r="AD175" s="1546">
        <v>21</v>
      </c>
      <c r="AG175" s="398"/>
      <c r="AH175" s="1524"/>
      <c r="AI175" s="1524"/>
      <c r="AJ175" s="1524"/>
      <c r="AK175" s="1524"/>
      <c r="AL175" s="1524"/>
    </row>
    <row r="176" spans="25:117">
      <c r="Y176" s="398" t="s">
        <v>2826</v>
      </c>
      <c r="Z176" s="1523">
        <v>51</v>
      </c>
      <c r="AA176" s="1523">
        <v>77.599999999999994</v>
      </c>
      <c r="AB176" s="1523">
        <v>33.1</v>
      </c>
      <c r="AC176" s="1523">
        <v>17.899999999999999</v>
      </c>
      <c r="AD176" s="1523">
        <v>26.6</v>
      </c>
      <c r="AG176" s="398"/>
      <c r="AH176" s="1524"/>
      <c r="AI176" s="1524"/>
      <c r="AJ176" s="1524"/>
      <c r="AK176" s="1524"/>
      <c r="AL176" s="1524"/>
    </row>
    <row r="177" spans="25:38">
      <c r="Y177" s="398" t="s">
        <v>2959</v>
      </c>
      <c r="Z177" s="1523">
        <v>7.6</v>
      </c>
      <c r="AA177" s="1523">
        <v>12.6</v>
      </c>
      <c r="AB177" s="1523">
        <v>6.1</v>
      </c>
      <c r="AC177" s="1523">
        <v>1.6</v>
      </c>
      <c r="AD177" s="1523">
        <v>5</v>
      </c>
      <c r="AG177" s="398"/>
      <c r="AH177" s="1524"/>
      <c r="AI177" s="1524"/>
      <c r="AJ177" s="1524"/>
      <c r="AK177" s="1524"/>
      <c r="AL177" s="1524"/>
    </row>
    <row r="178" spans="25:38">
      <c r="Y178" s="398" t="s">
        <v>2917</v>
      </c>
      <c r="Z178" s="1523">
        <v>33.799999999999997</v>
      </c>
      <c r="AA178" s="1523">
        <v>61.2</v>
      </c>
      <c r="AB178" s="1523">
        <v>20</v>
      </c>
      <c r="AC178" s="1523">
        <v>13.8</v>
      </c>
      <c r="AD178" s="1523">
        <v>27.4</v>
      </c>
      <c r="AG178" s="398"/>
      <c r="AH178" s="1524"/>
      <c r="AI178" s="1524"/>
      <c r="AJ178" s="1524"/>
      <c r="AK178" s="1524"/>
      <c r="AL178" s="1524"/>
    </row>
    <row r="179" spans="25:38">
      <c r="Y179" s="398" t="s">
        <v>2952</v>
      </c>
      <c r="Z179" s="1524">
        <v>2.7</v>
      </c>
      <c r="AA179" s="1523">
        <v>4.7</v>
      </c>
      <c r="AB179" s="1523">
        <v>2.1</v>
      </c>
      <c r="AC179" s="1523" t="s">
        <v>7257</v>
      </c>
      <c r="AD179" s="1523">
        <v>2</v>
      </c>
      <c r="AG179" s="398"/>
      <c r="AH179" s="1524"/>
      <c r="AI179" s="1524"/>
      <c r="AJ179" s="1524"/>
      <c r="AK179" s="1524"/>
      <c r="AL179" s="1524"/>
    </row>
    <row r="180" spans="25:38">
      <c r="Y180" s="398"/>
      <c r="AA180" s="1524"/>
      <c r="AB180" s="1524"/>
      <c r="AC180" s="1524"/>
      <c r="AD180" s="1524"/>
      <c r="AG180" s="398"/>
      <c r="AH180" s="1524"/>
      <c r="AI180" s="1524"/>
      <c r="AJ180" s="1524"/>
      <c r="AK180" s="1524"/>
      <c r="AL180" s="1524"/>
    </row>
    <row r="181" spans="25:38">
      <c r="Y181" s="387" t="s">
        <v>1967</v>
      </c>
      <c r="Z181" s="1547">
        <v>1</v>
      </c>
      <c r="AA181" s="1547">
        <v>0.6</v>
      </c>
      <c r="AB181" s="1547">
        <v>0.5</v>
      </c>
      <c r="AC181" s="1548">
        <v>0.1</v>
      </c>
      <c r="AD181" s="1547">
        <v>0.4</v>
      </c>
      <c r="AG181" s="398"/>
      <c r="AH181" s="1524"/>
      <c r="AI181" s="1524"/>
      <c r="AJ181" s="1524"/>
      <c r="AK181" s="1551"/>
      <c r="AL181" s="1524"/>
    </row>
    <row r="182" spans="25:38">
      <c r="Y182" s="398" t="s">
        <v>8728</v>
      </c>
      <c r="AG182" s="398"/>
    </row>
    <row r="183" spans="25:38">
      <c r="Y183" s="398" t="s">
        <v>7117</v>
      </c>
      <c r="AG183" s="398"/>
    </row>
    <row r="184" spans="25:38">
      <c r="Y184" s="398" t="s">
        <v>7121</v>
      </c>
      <c r="AG184" s="398"/>
    </row>
    <row r="185" spans="25:38">
      <c r="Y185" s="398" t="s">
        <v>7125</v>
      </c>
      <c r="AG185" s="398"/>
    </row>
    <row r="186" spans="25:38">
      <c r="Y186" s="398" t="s">
        <v>7127</v>
      </c>
      <c r="AG186" s="398"/>
    </row>
    <row r="187" spans="25:38">
      <c r="Y187" s="398" t="s">
        <v>7129</v>
      </c>
      <c r="AG187" s="398"/>
    </row>
    <row r="188" spans="25:38">
      <c r="AG188" s="398"/>
    </row>
    <row r="189" spans="25:38">
      <c r="AG189" s="398"/>
    </row>
    <row r="190" spans="25:38">
      <c r="AI190" s="2094"/>
      <c r="AJ190" s="2094"/>
      <c r="AK190" s="2094"/>
    </row>
    <row r="191" spans="25:38">
      <c r="AI191" s="2094"/>
      <c r="AJ191" s="2094"/>
      <c r="AK191" s="2094"/>
    </row>
    <row r="192" spans="25:38">
      <c r="AG192" s="398"/>
      <c r="AH192" s="385"/>
      <c r="AI192" s="2094"/>
      <c r="AJ192" s="385"/>
      <c r="AK192" s="385"/>
      <c r="AL192" s="385"/>
    </row>
    <row r="193" spans="33:38">
      <c r="AG193" s="398"/>
      <c r="AH193" s="385"/>
      <c r="AI193" s="2094"/>
      <c r="AJ193" s="385"/>
      <c r="AK193" s="385"/>
      <c r="AL193" s="385"/>
    </row>
    <row r="194" spans="33:38">
      <c r="AG194" s="398"/>
      <c r="AH194" s="385"/>
      <c r="AI194" s="2094"/>
      <c r="AJ194" s="385"/>
      <c r="AK194" s="385"/>
      <c r="AL194" s="385"/>
    </row>
    <row r="195" spans="33:38">
      <c r="AG195" s="385"/>
      <c r="AH195" s="762"/>
      <c r="AI195" s="762"/>
      <c r="AJ195" s="762"/>
      <c r="AK195" s="762"/>
      <c r="AL195" s="762"/>
    </row>
    <row r="196" spans="33:38">
      <c r="AG196" s="398"/>
      <c r="AH196" s="771"/>
      <c r="AI196" s="771"/>
      <c r="AJ196" s="771"/>
      <c r="AK196" s="771"/>
      <c r="AL196" s="771"/>
    </row>
    <row r="197" spans="33:38">
      <c r="AG197" s="398"/>
      <c r="AH197" s="771"/>
      <c r="AI197" s="771"/>
      <c r="AJ197" s="771"/>
      <c r="AK197" s="771"/>
      <c r="AL197" s="771"/>
    </row>
    <row r="198" spans="33:38">
      <c r="AG198" s="398"/>
      <c r="AH198" s="771"/>
      <c r="AI198" s="771"/>
      <c r="AJ198" s="771"/>
      <c r="AK198" s="771"/>
      <c r="AL198" s="771"/>
    </row>
    <row r="199" spans="33:38">
      <c r="AG199" s="398"/>
      <c r="AH199" s="771"/>
      <c r="AI199" s="771"/>
      <c r="AJ199" s="771"/>
      <c r="AK199" s="771"/>
      <c r="AL199" s="771"/>
    </row>
    <row r="200" spans="33:38">
      <c r="AG200" s="398"/>
      <c r="AH200" s="771"/>
      <c r="AI200" s="771"/>
      <c r="AJ200" s="771"/>
      <c r="AK200" s="771"/>
      <c r="AL200" s="771"/>
    </row>
    <row r="201" spans="33:38">
      <c r="AG201" s="398"/>
      <c r="AH201" s="771"/>
      <c r="AI201" s="771"/>
      <c r="AJ201" s="771"/>
      <c r="AK201" s="771"/>
      <c r="AL201" s="771"/>
    </row>
    <row r="202" spans="33:38">
      <c r="AG202" s="398"/>
      <c r="AH202" s="771"/>
      <c r="AI202" s="771"/>
      <c r="AJ202" s="771"/>
      <c r="AK202" s="771"/>
      <c r="AL202" s="771"/>
    </row>
    <row r="203" spans="33:38">
      <c r="AG203" s="398"/>
      <c r="AH203" s="771"/>
      <c r="AI203" s="771"/>
      <c r="AJ203" s="771"/>
      <c r="AK203" s="771"/>
      <c r="AL203" s="771"/>
    </row>
    <row r="204" spans="33:38">
      <c r="AG204" s="398"/>
      <c r="AH204" s="771"/>
      <c r="AI204" s="771"/>
      <c r="AJ204" s="771"/>
      <c r="AK204" s="771"/>
      <c r="AL204" s="771"/>
    </row>
    <row r="205" spans="33:38">
      <c r="AG205" s="398"/>
      <c r="AH205" s="771"/>
      <c r="AI205" s="771"/>
      <c r="AJ205" s="771"/>
      <c r="AK205" s="771"/>
      <c r="AL205" s="771"/>
    </row>
    <row r="206" spans="33:38">
      <c r="AG206" s="398"/>
      <c r="AH206" s="771"/>
      <c r="AI206" s="771"/>
      <c r="AJ206" s="771"/>
      <c r="AK206" s="771"/>
      <c r="AL206" s="771"/>
    </row>
    <row r="207" spans="33:38">
      <c r="AG207" s="398"/>
      <c r="AH207" s="771"/>
      <c r="AI207" s="771"/>
      <c r="AJ207" s="771"/>
      <c r="AK207" s="771"/>
      <c r="AL207" s="771"/>
    </row>
    <row r="208" spans="33:38">
      <c r="AG208" s="398"/>
      <c r="AH208" s="771"/>
      <c r="AI208" s="771"/>
      <c r="AJ208" s="771"/>
      <c r="AK208" s="771"/>
      <c r="AL208" s="771"/>
    </row>
    <row r="209" spans="33:107">
      <c r="AG209" s="398"/>
      <c r="AH209" s="771"/>
      <c r="AI209" s="771"/>
      <c r="AJ209" s="771"/>
      <c r="AK209" s="771"/>
      <c r="AL209" s="771"/>
    </row>
    <row r="210" spans="33:107">
      <c r="AG210" s="398"/>
      <c r="AH210" s="771"/>
      <c r="AI210" s="771"/>
      <c r="AJ210" s="771"/>
      <c r="AK210" s="771"/>
      <c r="AL210" s="771"/>
    </row>
    <row r="211" spans="33:107">
      <c r="AG211" s="398"/>
      <c r="AH211" s="771"/>
      <c r="AI211" s="771"/>
      <c r="AJ211" s="771"/>
      <c r="AK211" s="771"/>
      <c r="AL211" s="771"/>
    </row>
    <row r="212" spans="33:107">
      <c r="AG212" s="398"/>
      <c r="AH212" s="398"/>
      <c r="AI212" s="771"/>
      <c r="AJ212" s="398"/>
      <c r="AK212" s="398"/>
      <c r="AL212" s="398"/>
    </row>
    <row r="213" spans="33:107">
      <c r="AG213" s="386"/>
      <c r="AH213" s="771"/>
      <c r="AI213" s="771"/>
      <c r="AJ213" s="771"/>
      <c r="AK213" s="771"/>
      <c r="AL213" s="771"/>
    </row>
    <row r="214" spans="33:107">
      <c r="AG214" s="1535"/>
      <c r="AH214" s="772"/>
      <c r="AI214" s="772"/>
      <c r="AJ214" s="772"/>
      <c r="AK214" s="772"/>
      <c r="AL214" s="772"/>
    </row>
    <row r="215" spans="33:107">
      <c r="AG215" s="1538"/>
      <c r="AH215" s="772"/>
      <c r="AI215" s="772"/>
      <c r="AJ215" s="772"/>
      <c r="AK215" s="772"/>
      <c r="AL215" s="772"/>
    </row>
    <row r="216" spans="33:107">
      <c r="AG216" s="1279"/>
      <c r="AH216" s="772"/>
      <c r="AI216" s="772"/>
      <c r="AJ216" s="772"/>
      <c r="AK216" s="772"/>
      <c r="AL216" s="772"/>
    </row>
    <row r="217" spans="33:107">
      <c r="AG217" s="1279"/>
      <c r="AH217" s="772"/>
      <c r="AI217" s="772"/>
      <c r="AJ217" s="772"/>
      <c r="AK217" s="772"/>
      <c r="AL217" s="772"/>
    </row>
    <row r="218" spans="33:107">
      <c r="AG218" s="1279"/>
      <c r="AH218" s="772"/>
      <c r="AI218" s="772"/>
      <c r="AJ218" s="772"/>
      <c r="AK218" s="772"/>
      <c r="AL218" s="772"/>
    </row>
    <row r="219" spans="33:107">
      <c r="AG219" s="1279"/>
      <c r="AH219" s="772"/>
      <c r="AI219" s="772"/>
      <c r="AJ219" s="772"/>
      <c r="AK219" s="772"/>
      <c r="AL219" s="772"/>
    </row>
    <row r="220" spans="33:107">
      <c r="AG220" s="1279"/>
      <c r="AH220" s="772"/>
      <c r="AI220" s="772"/>
      <c r="AJ220" s="772"/>
      <c r="AK220" s="772"/>
      <c r="AL220" s="772"/>
    </row>
    <row r="221" spans="33:107">
      <c r="AG221" s="1279"/>
      <c r="AH221" s="772"/>
      <c r="AI221" s="772"/>
      <c r="AJ221" s="772"/>
      <c r="AK221" s="772"/>
      <c r="AL221" s="772"/>
    </row>
    <row r="222" spans="33:107">
      <c r="AG222" s="1279"/>
      <c r="AH222" s="772"/>
      <c r="AI222" s="772"/>
      <c r="AJ222" s="772"/>
      <c r="AK222" s="772"/>
      <c r="AL222" s="772"/>
    </row>
    <row r="223" spans="33:107">
      <c r="AG223" s="1279"/>
      <c r="AH223" s="772"/>
      <c r="AI223" s="772"/>
      <c r="AJ223" s="772"/>
      <c r="AK223" s="772"/>
      <c r="AL223" s="772"/>
    </row>
    <row r="224" spans="33:107">
      <c r="AG224" s="398"/>
      <c r="AH224" s="771"/>
      <c r="AI224" s="771"/>
      <c r="AJ224" s="771"/>
      <c r="AK224" s="771"/>
      <c r="AL224" s="771"/>
      <c r="CW224" s="547"/>
      <c r="CX224" s="547"/>
      <c r="CY224" s="1556"/>
      <c r="CZ224" s="547"/>
      <c r="DA224" s="547"/>
      <c r="DB224" s="547"/>
      <c r="DC224" s="547"/>
    </row>
    <row r="225" spans="33:38">
      <c r="AG225" s="398"/>
      <c r="AH225" s="771"/>
      <c r="AI225" s="771"/>
      <c r="AJ225" s="771"/>
      <c r="AK225" s="771"/>
      <c r="AL225" s="771"/>
    </row>
    <row r="226" spans="33:38">
      <c r="AG226" s="398"/>
      <c r="AH226" s="771"/>
      <c r="AI226" s="771"/>
      <c r="AJ226" s="771"/>
      <c r="AK226" s="771"/>
      <c r="AL226" s="771"/>
    </row>
    <row r="227" spans="33:38">
      <c r="AG227" s="398"/>
      <c r="AH227" s="771"/>
      <c r="AI227" s="771"/>
      <c r="AJ227" s="771"/>
      <c r="AK227" s="771"/>
      <c r="AL227" s="771"/>
    </row>
    <row r="228" spans="33:38">
      <c r="AG228" s="398"/>
      <c r="AH228" s="771"/>
      <c r="AI228" s="771"/>
      <c r="AJ228" s="771"/>
      <c r="AK228" s="771"/>
      <c r="AL228" s="771"/>
    </row>
    <row r="229" spans="33:38">
      <c r="AG229" s="398"/>
      <c r="AH229" s="771"/>
      <c r="AI229" s="771"/>
      <c r="AJ229" s="771"/>
      <c r="AK229" s="771"/>
      <c r="AL229" s="771"/>
    </row>
    <row r="230" spans="33:38">
      <c r="AG230" s="386"/>
      <c r="AH230" s="772"/>
      <c r="AI230" s="772"/>
      <c r="AJ230" s="772"/>
      <c r="AK230" s="772"/>
      <c r="AL230" s="772"/>
    </row>
    <row r="231" spans="33:38">
      <c r="AG231" s="398"/>
      <c r="AH231" s="771"/>
      <c r="AI231" s="771"/>
      <c r="AJ231" s="771"/>
      <c r="AK231" s="771"/>
      <c r="AL231" s="771"/>
    </row>
    <row r="232" spans="33:38">
      <c r="AG232" s="398"/>
      <c r="AH232" s="771"/>
      <c r="AI232" s="771"/>
      <c r="AJ232" s="771"/>
      <c r="AK232" s="771"/>
      <c r="AL232" s="771"/>
    </row>
    <row r="233" spans="33:38">
      <c r="AG233" s="398"/>
      <c r="AH233" s="771"/>
      <c r="AI233" s="771"/>
      <c r="AJ233" s="771"/>
      <c r="AK233" s="771"/>
      <c r="AL233" s="771"/>
    </row>
    <row r="234" spans="33:38">
      <c r="AG234" s="398"/>
      <c r="AH234" s="771"/>
      <c r="AI234" s="771"/>
      <c r="AJ234" s="771"/>
      <c r="AK234" s="771"/>
      <c r="AL234" s="771"/>
    </row>
    <row r="235" spans="33:38">
      <c r="AG235" s="398"/>
      <c r="AH235" s="771"/>
      <c r="AI235" s="771"/>
      <c r="AJ235" s="771"/>
      <c r="AK235" s="771"/>
      <c r="AL235" s="771"/>
    </row>
    <row r="236" spans="33:38">
      <c r="AG236" s="398"/>
      <c r="AH236" s="771"/>
      <c r="AI236" s="771"/>
      <c r="AJ236" s="771"/>
      <c r="AK236" s="834"/>
      <c r="AL236" s="771"/>
    </row>
    <row r="237" spans="33:38">
      <c r="AG237" s="398"/>
      <c r="AH237" s="771"/>
      <c r="AI237" s="771"/>
      <c r="AJ237" s="771"/>
      <c r="AK237" s="771"/>
      <c r="AL237" s="771"/>
    </row>
    <row r="238" spans="33:38">
      <c r="AG238" s="398"/>
      <c r="AH238" s="771"/>
      <c r="AI238" s="771"/>
      <c r="AJ238" s="771"/>
      <c r="AK238" s="771"/>
      <c r="AL238" s="771"/>
    </row>
    <row r="239" spans="33:38">
      <c r="AG239" s="398"/>
      <c r="AH239" s="771"/>
      <c r="AI239" s="771"/>
      <c r="AJ239" s="771"/>
      <c r="AK239" s="771"/>
      <c r="AL239" s="771"/>
    </row>
    <row r="240" spans="33:38">
      <c r="AG240" s="398"/>
      <c r="AH240" s="771"/>
      <c r="AI240" s="771"/>
      <c r="AJ240" s="771"/>
      <c r="AK240" s="771"/>
      <c r="AL240" s="771"/>
    </row>
    <row r="241" spans="33:38">
      <c r="AG241" s="398"/>
      <c r="AH241" s="771"/>
      <c r="AI241" s="771"/>
      <c r="AJ241" s="771"/>
      <c r="AK241" s="771"/>
      <c r="AL241" s="771"/>
    </row>
    <row r="242" spans="33:38">
      <c r="AG242" s="398"/>
      <c r="AH242" s="771"/>
      <c r="AI242" s="771"/>
      <c r="AJ242" s="771"/>
      <c r="AK242" s="771"/>
      <c r="AL242" s="771"/>
    </row>
    <row r="243" spans="33:38">
      <c r="AG243" s="398"/>
    </row>
    <row r="244" spans="33:38">
      <c r="AG244" s="398"/>
    </row>
    <row r="245" spans="33:38">
      <c r="AG245" s="398"/>
    </row>
    <row r="246" spans="33:38">
      <c r="AG246" s="398"/>
    </row>
    <row r="247" spans="33:38">
      <c r="AG247" s="398"/>
    </row>
    <row r="248" spans="33:38">
      <c r="AG248" s="398"/>
    </row>
    <row r="252" spans="33:38">
      <c r="AG252" s="386"/>
    </row>
    <row r="253" spans="33:38">
      <c r="AG253" s="398"/>
    </row>
    <row r="254" spans="33:38">
      <c r="AI254" s="2094"/>
      <c r="AJ254" s="2094"/>
      <c r="AK254" s="2094"/>
    </row>
    <row r="255" spans="33:38">
      <c r="AI255" s="2094"/>
      <c r="AJ255" s="2094"/>
      <c r="AK255" s="2094"/>
    </row>
    <row r="256" spans="33:38">
      <c r="AG256" s="398"/>
      <c r="AH256" s="385"/>
      <c r="AI256" s="2094"/>
      <c r="AJ256" s="385"/>
      <c r="AK256" s="385"/>
      <c r="AL256" s="385"/>
    </row>
    <row r="257" spans="33:38">
      <c r="AG257" s="398"/>
      <c r="AH257" s="385"/>
      <c r="AI257" s="2094"/>
      <c r="AJ257" s="385"/>
      <c r="AK257" s="385"/>
      <c r="AL257" s="385"/>
    </row>
    <row r="258" spans="33:38">
      <c r="AG258" s="398"/>
      <c r="AH258" s="385"/>
      <c r="AI258" s="2094"/>
      <c r="AJ258" s="385"/>
      <c r="AK258" s="385"/>
      <c r="AL258" s="385"/>
    </row>
    <row r="259" spans="33:38">
      <c r="AG259" s="385"/>
      <c r="AH259" s="762"/>
      <c r="AI259" s="762"/>
      <c r="AJ259" s="762"/>
      <c r="AK259" s="762"/>
      <c r="AL259" s="762"/>
    </row>
    <row r="260" spans="33:38">
      <c r="AG260" s="398"/>
      <c r="AH260" s="771"/>
      <c r="AI260" s="771"/>
      <c r="AJ260" s="771"/>
      <c r="AK260" s="771"/>
      <c r="AL260" s="771"/>
    </row>
    <row r="261" spans="33:38">
      <c r="AG261" s="398"/>
      <c r="AH261" s="771"/>
      <c r="AI261" s="771"/>
      <c r="AJ261" s="771"/>
      <c r="AK261" s="771"/>
      <c r="AL261" s="771"/>
    </row>
    <row r="262" spans="33:38">
      <c r="AG262" s="398"/>
      <c r="AH262" s="771"/>
      <c r="AI262" s="771"/>
      <c r="AJ262" s="771"/>
      <c r="AK262" s="771"/>
      <c r="AL262" s="771"/>
    </row>
    <row r="263" spans="33:38">
      <c r="AG263" s="398"/>
      <c r="AH263" s="771"/>
      <c r="AI263" s="771"/>
      <c r="AJ263" s="771"/>
      <c r="AK263" s="771"/>
      <c r="AL263" s="771"/>
    </row>
    <row r="264" spans="33:38">
      <c r="AG264" s="398"/>
      <c r="AH264" s="771"/>
      <c r="AI264" s="771"/>
      <c r="AJ264" s="771"/>
      <c r="AK264" s="771"/>
      <c r="AL264" s="771"/>
    </row>
    <row r="265" spans="33:38">
      <c r="AG265" s="398"/>
      <c r="AH265" s="771"/>
      <c r="AI265" s="771"/>
      <c r="AJ265" s="771"/>
      <c r="AK265" s="771"/>
      <c r="AL265" s="771"/>
    </row>
    <row r="266" spans="33:38">
      <c r="AG266" s="398"/>
      <c r="AH266" s="771"/>
      <c r="AI266" s="771"/>
      <c r="AJ266" s="771"/>
      <c r="AK266" s="771"/>
      <c r="AL266" s="771"/>
    </row>
    <row r="267" spans="33:38">
      <c r="AG267" s="398"/>
      <c r="AH267" s="771"/>
      <c r="AI267" s="771"/>
      <c r="AJ267" s="771"/>
      <c r="AK267" s="771"/>
      <c r="AL267" s="771"/>
    </row>
    <row r="268" spans="33:38">
      <c r="AG268" s="398"/>
      <c r="AH268" s="771"/>
      <c r="AI268" s="771"/>
      <c r="AJ268" s="771"/>
      <c r="AK268" s="771"/>
      <c r="AL268" s="771"/>
    </row>
    <row r="269" spans="33:38">
      <c r="AG269" s="398"/>
      <c r="AH269" s="771"/>
      <c r="AI269" s="771"/>
      <c r="AJ269" s="771"/>
      <c r="AK269" s="771"/>
      <c r="AL269" s="771"/>
    </row>
    <row r="270" spans="33:38">
      <c r="AG270" s="398"/>
      <c r="AH270" s="771"/>
      <c r="AI270" s="771"/>
      <c r="AJ270" s="771"/>
      <c r="AK270" s="771"/>
      <c r="AL270" s="771"/>
    </row>
    <row r="271" spans="33:38">
      <c r="AG271" s="398"/>
      <c r="AH271" s="771"/>
      <c r="AI271" s="771"/>
      <c r="AJ271" s="771"/>
      <c r="AK271" s="771"/>
      <c r="AL271" s="771"/>
    </row>
    <row r="272" spans="33:38">
      <c r="AG272" s="398"/>
      <c r="AH272" s="771"/>
      <c r="AI272" s="771"/>
      <c r="AJ272" s="771"/>
      <c r="AK272" s="771"/>
      <c r="AL272" s="771"/>
    </row>
    <row r="273" spans="33:38">
      <c r="AG273" s="398"/>
      <c r="AH273" s="771"/>
      <c r="AI273" s="771"/>
      <c r="AJ273" s="771"/>
      <c r="AK273" s="771"/>
      <c r="AL273" s="771"/>
    </row>
    <row r="274" spans="33:38">
      <c r="AG274" s="398"/>
      <c r="AH274" s="771"/>
      <c r="AI274" s="771"/>
      <c r="AJ274" s="771"/>
      <c r="AK274" s="771"/>
      <c r="AL274" s="771"/>
    </row>
    <row r="275" spans="33:38">
      <c r="AG275" s="398"/>
      <c r="AH275" s="771"/>
      <c r="AI275" s="771"/>
      <c r="AJ275" s="771"/>
      <c r="AK275" s="771"/>
      <c r="AL275" s="771"/>
    </row>
    <row r="276" spans="33:38">
      <c r="AG276" s="398"/>
      <c r="AH276" s="771"/>
      <c r="AI276" s="771"/>
      <c r="AJ276" s="771"/>
      <c r="AK276" s="771"/>
      <c r="AL276" s="771"/>
    </row>
    <row r="277" spans="33:38">
      <c r="AG277" s="386"/>
      <c r="AH277" s="772"/>
      <c r="AI277" s="772"/>
      <c r="AJ277" s="772"/>
      <c r="AK277" s="772"/>
      <c r="AL277" s="772"/>
    </row>
    <row r="278" spans="33:38">
      <c r="AG278" s="1535"/>
      <c r="AH278" s="772"/>
      <c r="AI278" s="772"/>
      <c r="AJ278" s="772"/>
      <c r="AK278" s="772"/>
      <c r="AL278" s="772"/>
    </row>
    <row r="279" spans="33:38">
      <c r="AG279" s="1538"/>
      <c r="AH279" s="772"/>
      <c r="AI279" s="772"/>
      <c r="AJ279" s="772"/>
      <c r="AK279" s="772"/>
      <c r="AL279" s="772"/>
    </row>
    <row r="280" spans="33:38">
      <c r="AG280" s="1279"/>
      <c r="AH280" s="772"/>
      <c r="AI280" s="772"/>
      <c r="AJ280" s="772"/>
      <c r="AK280" s="772"/>
      <c r="AL280" s="772"/>
    </row>
    <row r="281" spans="33:38">
      <c r="AG281" s="1279"/>
      <c r="AH281" s="772"/>
      <c r="AI281" s="772"/>
      <c r="AJ281" s="772"/>
      <c r="AK281" s="772"/>
      <c r="AL281" s="772"/>
    </row>
    <row r="282" spans="33:38">
      <c r="AG282" s="1279"/>
      <c r="AH282" s="772"/>
      <c r="AI282" s="772"/>
      <c r="AJ282" s="772"/>
      <c r="AK282" s="772"/>
      <c r="AL282" s="772"/>
    </row>
    <row r="283" spans="33:38">
      <c r="AG283" s="1279"/>
      <c r="AH283" s="772"/>
      <c r="AI283" s="772"/>
      <c r="AJ283" s="772"/>
      <c r="AK283" s="772"/>
      <c r="AL283" s="772"/>
    </row>
    <row r="284" spans="33:38">
      <c r="AG284" s="1279"/>
      <c r="AH284" s="772"/>
      <c r="AI284" s="772"/>
      <c r="AJ284" s="772"/>
      <c r="AK284" s="772"/>
      <c r="AL284" s="772"/>
    </row>
    <row r="285" spans="33:38">
      <c r="AG285" s="1279"/>
      <c r="AH285" s="772"/>
      <c r="AI285" s="772"/>
      <c r="AJ285" s="772"/>
      <c r="AK285" s="772"/>
      <c r="AL285" s="772"/>
    </row>
    <row r="286" spans="33:38">
      <c r="AG286" s="1279"/>
      <c r="AH286" s="772"/>
      <c r="AI286" s="772"/>
      <c r="AJ286" s="772"/>
      <c r="AK286" s="772"/>
      <c r="AL286" s="772"/>
    </row>
    <row r="287" spans="33:38">
      <c r="AG287" s="1279"/>
      <c r="AH287" s="772"/>
      <c r="AI287" s="772"/>
      <c r="AJ287" s="772"/>
      <c r="AK287" s="772"/>
      <c r="AL287" s="772"/>
    </row>
    <row r="288" spans="33:38">
      <c r="AG288" s="398"/>
      <c r="AH288" s="771"/>
      <c r="AI288" s="771"/>
      <c r="AJ288" s="771"/>
      <c r="AK288" s="771"/>
      <c r="AL288" s="771"/>
    </row>
    <row r="289" spans="33:38">
      <c r="AG289" s="398"/>
      <c r="AH289" s="771"/>
      <c r="AI289" s="771"/>
      <c r="AJ289" s="771"/>
      <c r="AK289" s="771"/>
      <c r="AL289" s="771"/>
    </row>
    <row r="290" spans="33:38">
      <c r="AG290" s="398"/>
      <c r="AH290" s="771"/>
      <c r="AI290" s="771"/>
      <c r="AJ290" s="771"/>
      <c r="AK290" s="771"/>
      <c r="AL290" s="771"/>
    </row>
    <row r="291" spans="33:38">
      <c r="AG291" s="398"/>
      <c r="AH291" s="771"/>
      <c r="AI291" s="771"/>
      <c r="AJ291" s="771"/>
      <c r="AK291" s="771"/>
      <c r="AL291" s="771"/>
    </row>
    <row r="292" spans="33:38">
      <c r="AG292" s="398"/>
      <c r="AH292" s="771"/>
      <c r="AI292" s="771"/>
      <c r="AJ292" s="771"/>
      <c r="AK292" s="771"/>
      <c r="AL292" s="771"/>
    </row>
    <row r="293" spans="33:38">
      <c r="AG293" s="398"/>
      <c r="AH293" s="771"/>
      <c r="AI293" s="771"/>
      <c r="AJ293" s="771"/>
      <c r="AK293" s="771"/>
      <c r="AL293" s="771"/>
    </row>
    <row r="294" spans="33:38">
      <c r="AG294" s="398"/>
      <c r="AH294" s="771"/>
      <c r="AI294" s="771"/>
      <c r="AJ294" s="771"/>
      <c r="AK294" s="771"/>
      <c r="AL294" s="771"/>
    </row>
    <row r="295" spans="33:38">
      <c r="AG295" s="386"/>
      <c r="AH295" s="772"/>
      <c r="AI295" s="772"/>
      <c r="AJ295" s="772"/>
      <c r="AK295" s="772"/>
      <c r="AL295" s="772"/>
    </row>
    <row r="296" spans="33:38">
      <c r="AG296" s="398"/>
      <c r="AH296" s="771"/>
      <c r="AI296" s="771"/>
      <c r="AJ296" s="771"/>
      <c r="AK296" s="771"/>
      <c r="AL296" s="771"/>
    </row>
    <row r="297" spans="33:38">
      <c r="AG297" s="398"/>
      <c r="AH297" s="771"/>
      <c r="AI297" s="771"/>
      <c r="AJ297" s="771"/>
      <c r="AK297" s="771"/>
      <c r="AL297" s="771"/>
    </row>
    <row r="298" spans="33:38">
      <c r="AG298" s="398"/>
      <c r="AH298" s="771"/>
      <c r="AI298" s="771"/>
      <c r="AJ298" s="771"/>
      <c r="AK298" s="771"/>
      <c r="AL298" s="771"/>
    </row>
    <row r="299" spans="33:38">
      <c r="AG299" s="398"/>
      <c r="AH299" s="771"/>
      <c r="AI299" s="771"/>
      <c r="AJ299" s="771"/>
      <c r="AK299" s="771"/>
      <c r="AL299" s="771"/>
    </row>
    <row r="300" spans="33:38">
      <c r="AG300" s="398"/>
      <c r="AH300" s="771"/>
      <c r="AI300" s="771"/>
      <c r="AJ300" s="771"/>
      <c r="AK300" s="771"/>
      <c r="AL300" s="771"/>
    </row>
    <row r="301" spans="33:38">
      <c r="AG301" s="398"/>
      <c r="AH301" s="771"/>
      <c r="AI301" s="771"/>
      <c r="AJ301" s="771"/>
      <c r="AK301" s="834"/>
      <c r="AL301" s="771"/>
    </row>
    <row r="302" spans="33:38">
      <c r="AG302" s="398"/>
      <c r="AH302" s="771"/>
      <c r="AI302" s="771"/>
      <c r="AJ302" s="771"/>
      <c r="AK302" s="771"/>
      <c r="AL302" s="771"/>
    </row>
    <row r="303" spans="33:38">
      <c r="AG303" s="398"/>
      <c r="AH303" s="771"/>
      <c r="AI303" s="771"/>
      <c r="AJ303" s="771"/>
      <c r="AK303" s="771"/>
      <c r="AL303" s="771"/>
    </row>
    <row r="304" spans="33:38">
      <c r="AG304" s="398"/>
      <c r="AH304" s="771"/>
      <c r="AI304" s="771"/>
      <c r="AJ304" s="771"/>
      <c r="AK304" s="771"/>
      <c r="AL304" s="771"/>
    </row>
    <row r="305" spans="33:38">
      <c r="AG305" s="398"/>
      <c r="AH305" s="771"/>
      <c r="AI305" s="771"/>
      <c r="AJ305" s="771"/>
      <c r="AK305" s="771"/>
      <c r="AL305" s="771"/>
    </row>
    <row r="306" spans="33:38">
      <c r="AG306" s="398"/>
      <c r="AH306" s="771"/>
      <c r="AI306" s="771"/>
      <c r="AJ306" s="771"/>
      <c r="AK306" s="771"/>
      <c r="AL306" s="771"/>
    </row>
    <row r="307" spans="33:38">
      <c r="AG307" s="398"/>
      <c r="AH307" s="771"/>
      <c r="AI307" s="771"/>
      <c r="AJ307" s="771"/>
      <c r="AK307" s="771"/>
      <c r="AL307" s="771"/>
    </row>
    <row r="308" spans="33:38">
      <c r="AG308" s="398"/>
    </row>
    <row r="309" spans="33:38">
      <c r="AG309" s="398"/>
    </row>
    <row r="310" spans="33:38">
      <c r="AG310" s="398"/>
    </row>
    <row r="311" spans="33:38">
      <c r="AG311" s="398"/>
    </row>
    <row r="312" spans="33:38">
      <c r="AG312" s="398"/>
    </row>
    <row r="313" spans="33:38">
      <c r="AG313" s="398"/>
    </row>
  </sheetData>
  <mergeCells count="10">
    <mergeCell ref="AI192:AI194"/>
    <mergeCell ref="AI254:AK254"/>
    <mergeCell ref="AI255:AK255"/>
    <mergeCell ref="AI256:AI258"/>
    <mergeCell ref="T2:V2"/>
    <mergeCell ref="AI129:AK129"/>
    <mergeCell ref="AI130:AK130"/>
    <mergeCell ref="AI131:AI133"/>
    <mergeCell ref="AI190:AK190"/>
    <mergeCell ref="AI191:AK191"/>
  </mergeCells>
  <pageMargins left="0.5" right="0.5" top="0.75" bottom="0.75" header="0.5" footer="0.5"/>
  <pageSetup scale="70" orientation="portrait" r:id="rId1"/>
  <headerFooter alignWithMargins="0"/>
  <ignoredErrors>
    <ignoredError sqref="AI79:AL105 AI106:AL110"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00CD-F2FC-44C7-AE23-135CEB126973}">
  <sheetPr>
    <tabColor theme="7" tint="0.59999389629810485"/>
    <pageSetUpPr fitToPage="1"/>
  </sheetPr>
  <dimension ref="A1:BQ63"/>
  <sheetViews>
    <sheetView showGridLines="0" zoomScale="90" zoomScaleNormal="90" workbookViewId="0">
      <selection activeCell="AW48" sqref="AW48"/>
    </sheetView>
  </sheetViews>
  <sheetFormatPr defaultRowHeight="12.75" customHeight="1"/>
  <cols>
    <col min="1" max="1" width="11.5703125" style="1558" customWidth="1"/>
    <col min="2" max="2" width="61.140625" style="1558" customWidth="1"/>
    <col min="3" max="6" width="12.7109375" style="1558" customWidth="1"/>
    <col min="7" max="7" width="11.28515625" style="585" customWidth="1"/>
    <col min="8" max="8" width="11" style="585" customWidth="1"/>
    <col min="9" max="9" width="11.7109375" style="1558" customWidth="1"/>
    <col min="10" max="10" width="71.85546875" style="1558" customWidth="1"/>
    <col min="11" max="14" width="12.7109375" style="1558" customWidth="1"/>
    <col min="15" max="15" width="11" style="1558" customWidth="1"/>
    <col min="16" max="16" width="10.7109375" style="1558" customWidth="1"/>
    <col min="17" max="17" width="11.7109375" style="1558" customWidth="1"/>
    <col min="18" max="18" width="68.7109375" style="1558" customWidth="1"/>
    <col min="19" max="22" width="12.7109375" style="1558" customWidth="1"/>
    <col min="23" max="23" width="10.5703125" style="1558" customWidth="1"/>
    <col min="24" max="24" width="9.140625" style="1558"/>
    <col min="25" max="25" width="11.7109375" style="1558" customWidth="1"/>
    <col min="26" max="26" width="88" style="1558" customWidth="1"/>
    <col min="27" max="30" width="12.7109375" style="1558" customWidth="1"/>
    <col min="31" max="31" width="10.42578125" style="1558" customWidth="1"/>
    <col min="32" max="32" width="9.7109375" style="1558" customWidth="1"/>
    <col min="33" max="33" width="11.7109375" style="1558" customWidth="1"/>
    <col min="34" max="34" width="75" style="1558" customWidth="1"/>
    <col min="35" max="38" width="12.7109375" style="1558" customWidth="1"/>
    <col min="39" max="40" width="9.140625" style="1558"/>
    <col min="41" max="41" width="11.7109375" style="1558" customWidth="1"/>
    <col min="42" max="42" width="66.85546875" style="1558" customWidth="1"/>
    <col min="43" max="46" width="13.7109375" style="1558" customWidth="1"/>
    <col min="47" max="47" width="10.140625" style="1558" customWidth="1"/>
    <col min="48" max="48" width="9.140625" style="1558"/>
    <col min="49" max="49" width="11.7109375" style="1558" customWidth="1"/>
    <col min="50" max="50" width="102.85546875" style="585" customWidth="1"/>
    <col min="51" max="54" width="12.7109375" style="585" customWidth="1"/>
    <col min="55" max="55" width="9.85546875" style="585" customWidth="1"/>
    <col min="56" max="56" width="9.140625" style="585"/>
    <col min="57" max="57" width="11.7109375" style="585" customWidth="1"/>
    <col min="58" max="58" width="95.140625" style="585" customWidth="1"/>
    <col min="59" max="62" width="11.7109375" style="585" customWidth="1"/>
    <col min="63" max="63" width="11.5703125" style="585" customWidth="1"/>
    <col min="64" max="64" width="11.7109375" style="585" customWidth="1"/>
    <col min="65" max="65" width="95.140625" style="585" customWidth="1"/>
    <col min="66" max="69" width="11.7109375" style="585" customWidth="1"/>
    <col min="70" max="258" width="9.140625" style="585"/>
    <col min="259" max="259" width="11.5703125" style="585" customWidth="1"/>
    <col min="260" max="260" width="103.140625" style="585" customWidth="1"/>
    <col min="261" max="264" width="11.7109375" style="585" customWidth="1"/>
    <col min="265" max="266" width="9.140625" style="585"/>
    <col min="267" max="267" width="11.7109375" style="585" customWidth="1"/>
    <col min="268" max="268" width="78.5703125" style="585" customWidth="1"/>
    <col min="269" max="272" width="11.7109375" style="585" customWidth="1"/>
    <col min="273" max="274" width="9.140625" style="585"/>
    <col min="275" max="275" width="11.7109375" style="585" customWidth="1"/>
    <col min="276" max="276" width="88.42578125" style="585" customWidth="1"/>
    <col min="277" max="280" width="11.7109375" style="585" customWidth="1"/>
    <col min="281" max="282" width="9.140625" style="585"/>
    <col min="283" max="283" width="11.7109375" style="585" customWidth="1"/>
    <col min="284" max="284" width="75.5703125" style="585" customWidth="1"/>
    <col min="285" max="288" width="11.7109375" style="585" customWidth="1"/>
    <col min="289" max="290" width="9.140625" style="585"/>
    <col min="291" max="291" width="11.7109375" style="585" customWidth="1"/>
    <col min="292" max="292" width="80.42578125" style="585" customWidth="1"/>
    <col min="293" max="296" width="11.7109375" style="585" customWidth="1"/>
    <col min="297" max="298" width="9.140625" style="585"/>
    <col min="299" max="299" width="11.7109375" style="585" customWidth="1"/>
    <col min="300" max="300" width="69.85546875" style="585" customWidth="1"/>
    <col min="301" max="304" width="11.7109375" style="585" customWidth="1"/>
    <col min="305" max="305" width="9.140625" style="585"/>
    <col min="306" max="306" width="11.7109375" style="585" customWidth="1"/>
    <col min="307" max="307" width="95.140625" style="585" customWidth="1"/>
    <col min="308" max="311" width="11.7109375" style="585" customWidth="1"/>
    <col min="312" max="312" width="9.140625" style="585"/>
    <col min="313" max="313" width="11.7109375" style="585" customWidth="1"/>
    <col min="314" max="314" width="95.140625" style="585" customWidth="1"/>
    <col min="315" max="318" width="11.7109375" style="585" customWidth="1"/>
    <col min="319" max="319" width="11.5703125" style="585" customWidth="1"/>
    <col min="320" max="320" width="11.7109375" style="585" customWidth="1"/>
    <col min="321" max="321" width="95.140625" style="585" customWidth="1"/>
    <col min="322" max="325" width="11.7109375" style="585" customWidth="1"/>
    <col min="326" max="514" width="9.140625" style="585"/>
    <col min="515" max="515" width="11.5703125" style="585" customWidth="1"/>
    <col min="516" max="516" width="103.140625" style="585" customWidth="1"/>
    <col min="517" max="520" width="11.7109375" style="585" customWidth="1"/>
    <col min="521" max="522" width="9.140625" style="585"/>
    <col min="523" max="523" width="11.7109375" style="585" customWidth="1"/>
    <col min="524" max="524" width="78.5703125" style="585" customWidth="1"/>
    <col min="525" max="528" width="11.7109375" style="585" customWidth="1"/>
    <col min="529" max="530" width="9.140625" style="585"/>
    <col min="531" max="531" width="11.7109375" style="585" customWidth="1"/>
    <col min="532" max="532" width="88.42578125" style="585" customWidth="1"/>
    <col min="533" max="536" width="11.7109375" style="585" customWidth="1"/>
    <col min="537" max="538" width="9.140625" style="585"/>
    <col min="539" max="539" width="11.7109375" style="585" customWidth="1"/>
    <col min="540" max="540" width="75.5703125" style="585" customWidth="1"/>
    <col min="541" max="544" width="11.7109375" style="585" customWidth="1"/>
    <col min="545" max="546" width="9.140625" style="585"/>
    <col min="547" max="547" width="11.7109375" style="585" customWidth="1"/>
    <col min="548" max="548" width="80.42578125" style="585" customWidth="1"/>
    <col min="549" max="552" width="11.7109375" style="585" customWidth="1"/>
    <col min="553" max="554" width="9.140625" style="585"/>
    <col min="555" max="555" width="11.7109375" style="585" customWidth="1"/>
    <col min="556" max="556" width="69.85546875" style="585" customWidth="1"/>
    <col min="557" max="560" width="11.7109375" style="585" customWidth="1"/>
    <col min="561" max="561" width="9.140625" style="585"/>
    <col min="562" max="562" width="11.7109375" style="585" customWidth="1"/>
    <col min="563" max="563" width="95.140625" style="585" customWidth="1"/>
    <col min="564" max="567" width="11.7109375" style="585" customWidth="1"/>
    <col min="568" max="568" width="9.140625" style="585"/>
    <col min="569" max="569" width="11.7109375" style="585" customWidth="1"/>
    <col min="570" max="570" width="95.140625" style="585" customWidth="1"/>
    <col min="571" max="574" width="11.7109375" style="585" customWidth="1"/>
    <col min="575" max="575" width="11.5703125" style="585" customWidth="1"/>
    <col min="576" max="576" width="11.7109375" style="585" customWidth="1"/>
    <col min="577" max="577" width="95.140625" style="585" customWidth="1"/>
    <col min="578" max="581" width="11.7109375" style="585" customWidth="1"/>
    <col min="582" max="770" width="9.140625" style="585"/>
    <col min="771" max="771" width="11.5703125" style="585" customWidth="1"/>
    <col min="772" max="772" width="103.140625" style="585" customWidth="1"/>
    <col min="773" max="776" width="11.7109375" style="585" customWidth="1"/>
    <col min="777" max="778" width="9.140625" style="585"/>
    <col min="779" max="779" width="11.7109375" style="585" customWidth="1"/>
    <col min="780" max="780" width="78.5703125" style="585" customWidth="1"/>
    <col min="781" max="784" width="11.7109375" style="585" customWidth="1"/>
    <col min="785" max="786" width="9.140625" style="585"/>
    <col min="787" max="787" width="11.7109375" style="585" customWidth="1"/>
    <col min="788" max="788" width="88.42578125" style="585" customWidth="1"/>
    <col min="789" max="792" width="11.7109375" style="585" customWidth="1"/>
    <col min="793" max="794" width="9.140625" style="585"/>
    <col min="795" max="795" width="11.7109375" style="585" customWidth="1"/>
    <col min="796" max="796" width="75.5703125" style="585" customWidth="1"/>
    <col min="797" max="800" width="11.7109375" style="585" customWidth="1"/>
    <col min="801" max="802" width="9.140625" style="585"/>
    <col min="803" max="803" width="11.7109375" style="585" customWidth="1"/>
    <col min="804" max="804" width="80.42578125" style="585" customWidth="1"/>
    <col min="805" max="808" width="11.7109375" style="585" customWidth="1"/>
    <col min="809" max="810" width="9.140625" style="585"/>
    <col min="811" max="811" width="11.7109375" style="585" customWidth="1"/>
    <col min="812" max="812" width="69.85546875" style="585" customWidth="1"/>
    <col min="813" max="816" width="11.7109375" style="585" customWidth="1"/>
    <col min="817" max="817" width="9.140625" style="585"/>
    <col min="818" max="818" width="11.7109375" style="585" customWidth="1"/>
    <col min="819" max="819" width="95.140625" style="585" customWidth="1"/>
    <col min="820" max="823" width="11.7109375" style="585" customWidth="1"/>
    <col min="824" max="824" width="9.140625" style="585"/>
    <col min="825" max="825" width="11.7109375" style="585" customWidth="1"/>
    <col min="826" max="826" width="95.140625" style="585" customWidth="1"/>
    <col min="827" max="830" width="11.7109375" style="585" customWidth="1"/>
    <col min="831" max="831" width="11.5703125" style="585" customWidth="1"/>
    <col min="832" max="832" width="11.7109375" style="585" customWidth="1"/>
    <col min="833" max="833" width="95.140625" style="585" customWidth="1"/>
    <col min="834" max="837" width="11.7109375" style="585" customWidth="1"/>
    <col min="838" max="1026" width="9.140625" style="585"/>
    <col min="1027" max="1027" width="11.5703125" style="585" customWidth="1"/>
    <col min="1028" max="1028" width="103.140625" style="585" customWidth="1"/>
    <col min="1029" max="1032" width="11.7109375" style="585" customWidth="1"/>
    <col min="1033" max="1034" width="9.140625" style="585"/>
    <col min="1035" max="1035" width="11.7109375" style="585" customWidth="1"/>
    <col min="1036" max="1036" width="78.5703125" style="585" customWidth="1"/>
    <col min="1037" max="1040" width="11.7109375" style="585" customWidth="1"/>
    <col min="1041" max="1042" width="9.140625" style="585"/>
    <col min="1043" max="1043" width="11.7109375" style="585" customWidth="1"/>
    <col min="1044" max="1044" width="88.42578125" style="585" customWidth="1"/>
    <col min="1045" max="1048" width="11.7109375" style="585" customWidth="1"/>
    <col min="1049" max="1050" width="9.140625" style="585"/>
    <col min="1051" max="1051" width="11.7109375" style="585" customWidth="1"/>
    <col min="1052" max="1052" width="75.5703125" style="585" customWidth="1"/>
    <col min="1053" max="1056" width="11.7109375" style="585" customWidth="1"/>
    <col min="1057" max="1058" width="9.140625" style="585"/>
    <col min="1059" max="1059" width="11.7109375" style="585" customWidth="1"/>
    <col min="1060" max="1060" width="80.42578125" style="585" customWidth="1"/>
    <col min="1061" max="1064" width="11.7109375" style="585" customWidth="1"/>
    <col min="1065" max="1066" width="9.140625" style="585"/>
    <col min="1067" max="1067" width="11.7109375" style="585" customWidth="1"/>
    <col min="1068" max="1068" width="69.85546875" style="585" customWidth="1"/>
    <col min="1069" max="1072" width="11.7109375" style="585" customWidth="1"/>
    <col min="1073" max="1073" width="9.140625" style="585"/>
    <col min="1074" max="1074" width="11.7109375" style="585" customWidth="1"/>
    <col min="1075" max="1075" width="95.140625" style="585" customWidth="1"/>
    <col min="1076" max="1079" width="11.7109375" style="585" customWidth="1"/>
    <col min="1080" max="1080" width="9.140625" style="585"/>
    <col min="1081" max="1081" width="11.7109375" style="585" customWidth="1"/>
    <col min="1082" max="1082" width="95.140625" style="585" customWidth="1"/>
    <col min="1083" max="1086" width="11.7109375" style="585" customWidth="1"/>
    <col min="1087" max="1087" width="11.5703125" style="585" customWidth="1"/>
    <col min="1088" max="1088" width="11.7109375" style="585" customWidth="1"/>
    <col min="1089" max="1089" width="95.140625" style="585" customWidth="1"/>
    <col min="1090" max="1093" width="11.7109375" style="585" customWidth="1"/>
    <col min="1094" max="1282" width="9.140625" style="585"/>
    <col min="1283" max="1283" width="11.5703125" style="585" customWidth="1"/>
    <col min="1284" max="1284" width="103.140625" style="585" customWidth="1"/>
    <col min="1285" max="1288" width="11.7109375" style="585" customWidth="1"/>
    <col min="1289" max="1290" width="9.140625" style="585"/>
    <col min="1291" max="1291" width="11.7109375" style="585" customWidth="1"/>
    <col min="1292" max="1292" width="78.5703125" style="585" customWidth="1"/>
    <col min="1293" max="1296" width="11.7109375" style="585" customWidth="1"/>
    <col min="1297" max="1298" width="9.140625" style="585"/>
    <col min="1299" max="1299" width="11.7109375" style="585" customWidth="1"/>
    <col min="1300" max="1300" width="88.42578125" style="585" customWidth="1"/>
    <col min="1301" max="1304" width="11.7109375" style="585" customWidth="1"/>
    <col min="1305" max="1306" width="9.140625" style="585"/>
    <col min="1307" max="1307" width="11.7109375" style="585" customWidth="1"/>
    <col min="1308" max="1308" width="75.5703125" style="585" customWidth="1"/>
    <col min="1309" max="1312" width="11.7109375" style="585" customWidth="1"/>
    <col min="1313" max="1314" width="9.140625" style="585"/>
    <col min="1315" max="1315" width="11.7109375" style="585" customWidth="1"/>
    <col min="1316" max="1316" width="80.42578125" style="585" customWidth="1"/>
    <col min="1317" max="1320" width="11.7109375" style="585" customWidth="1"/>
    <col min="1321" max="1322" width="9.140625" style="585"/>
    <col min="1323" max="1323" width="11.7109375" style="585" customWidth="1"/>
    <col min="1324" max="1324" width="69.85546875" style="585" customWidth="1"/>
    <col min="1325" max="1328" width="11.7109375" style="585" customWidth="1"/>
    <col min="1329" max="1329" width="9.140625" style="585"/>
    <col min="1330" max="1330" width="11.7109375" style="585" customWidth="1"/>
    <col min="1331" max="1331" width="95.140625" style="585" customWidth="1"/>
    <col min="1332" max="1335" width="11.7109375" style="585" customWidth="1"/>
    <col min="1336" max="1336" width="9.140625" style="585"/>
    <col min="1337" max="1337" width="11.7109375" style="585" customWidth="1"/>
    <col min="1338" max="1338" width="95.140625" style="585" customWidth="1"/>
    <col min="1339" max="1342" width="11.7109375" style="585" customWidth="1"/>
    <col min="1343" max="1343" width="11.5703125" style="585" customWidth="1"/>
    <col min="1344" max="1344" width="11.7109375" style="585" customWidth="1"/>
    <col min="1345" max="1345" width="95.140625" style="585" customWidth="1"/>
    <col min="1346" max="1349" width="11.7109375" style="585" customWidth="1"/>
    <col min="1350" max="1538" width="9.140625" style="585"/>
    <col min="1539" max="1539" width="11.5703125" style="585" customWidth="1"/>
    <col min="1540" max="1540" width="103.140625" style="585" customWidth="1"/>
    <col min="1541" max="1544" width="11.7109375" style="585" customWidth="1"/>
    <col min="1545" max="1546" width="9.140625" style="585"/>
    <col min="1547" max="1547" width="11.7109375" style="585" customWidth="1"/>
    <col min="1548" max="1548" width="78.5703125" style="585" customWidth="1"/>
    <col min="1549" max="1552" width="11.7109375" style="585" customWidth="1"/>
    <col min="1553" max="1554" width="9.140625" style="585"/>
    <col min="1555" max="1555" width="11.7109375" style="585" customWidth="1"/>
    <col min="1556" max="1556" width="88.42578125" style="585" customWidth="1"/>
    <col min="1557" max="1560" width="11.7109375" style="585" customWidth="1"/>
    <col min="1561" max="1562" width="9.140625" style="585"/>
    <col min="1563" max="1563" width="11.7109375" style="585" customWidth="1"/>
    <col min="1564" max="1564" width="75.5703125" style="585" customWidth="1"/>
    <col min="1565" max="1568" width="11.7109375" style="585" customWidth="1"/>
    <col min="1569" max="1570" width="9.140625" style="585"/>
    <col min="1571" max="1571" width="11.7109375" style="585" customWidth="1"/>
    <col min="1572" max="1572" width="80.42578125" style="585" customWidth="1"/>
    <col min="1573" max="1576" width="11.7109375" style="585" customWidth="1"/>
    <col min="1577" max="1578" width="9.140625" style="585"/>
    <col min="1579" max="1579" width="11.7109375" style="585" customWidth="1"/>
    <col min="1580" max="1580" width="69.85546875" style="585" customWidth="1"/>
    <col min="1581" max="1584" width="11.7109375" style="585" customWidth="1"/>
    <col min="1585" max="1585" width="9.140625" style="585"/>
    <col min="1586" max="1586" width="11.7109375" style="585" customWidth="1"/>
    <col min="1587" max="1587" width="95.140625" style="585" customWidth="1"/>
    <col min="1588" max="1591" width="11.7109375" style="585" customWidth="1"/>
    <col min="1592" max="1592" width="9.140625" style="585"/>
    <col min="1593" max="1593" width="11.7109375" style="585" customWidth="1"/>
    <col min="1594" max="1594" width="95.140625" style="585" customWidth="1"/>
    <col min="1595" max="1598" width="11.7109375" style="585" customWidth="1"/>
    <col min="1599" max="1599" width="11.5703125" style="585" customWidth="1"/>
    <col min="1600" max="1600" width="11.7109375" style="585" customWidth="1"/>
    <col min="1601" max="1601" width="95.140625" style="585" customWidth="1"/>
    <col min="1602" max="1605" width="11.7109375" style="585" customWidth="1"/>
    <col min="1606" max="1794" width="9.140625" style="585"/>
    <col min="1795" max="1795" width="11.5703125" style="585" customWidth="1"/>
    <col min="1796" max="1796" width="103.140625" style="585" customWidth="1"/>
    <col min="1797" max="1800" width="11.7109375" style="585" customWidth="1"/>
    <col min="1801" max="1802" width="9.140625" style="585"/>
    <col min="1803" max="1803" width="11.7109375" style="585" customWidth="1"/>
    <col min="1804" max="1804" width="78.5703125" style="585" customWidth="1"/>
    <col min="1805" max="1808" width="11.7109375" style="585" customWidth="1"/>
    <col min="1809" max="1810" width="9.140625" style="585"/>
    <col min="1811" max="1811" width="11.7109375" style="585" customWidth="1"/>
    <col min="1812" max="1812" width="88.42578125" style="585" customWidth="1"/>
    <col min="1813" max="1816" width="11.7109375" style="585" customWidth="1"/>
    <col min="1817" max="1818" width="9.140625" style="585"/>
    <col min="1819" max="1819" width="11.7109375" style="585" customWidth="1"/>
    <col min="1820" max="1820" width="75.5703125" style="585" customWidth="1"/>
    <col min="1821" max="1824" width="11.7109375" style="585" customWidth="1"/>
    <col min="1825" max="1826" width="9.140625" style="585"/>
    <col min="1827" max="1827" width="11.7109375" style="585" customWidth="1"/>
    <col min="1828" max="1828" width="80.42578125" style="585" customWidth="1"/>
    <col min="1829" max="1832" width="11.7109375" style="585" customWidth="1"/>
    <col min="1833" max="1834" width="9.140625" style="585"/>
    <col min="1835" max="1835" width="11.7109375" style="585" customWidth="1"/>
    <col min="1836" max="1836" width="69.85546875" style="585" customWidth="1"/>
    <col min="1837" max="1840" width="11.7109375" style="585" customWidth="1"/>
    <col min="1841" max="1841" width="9.140625" style="585"/>
    <col min="1842" max="1842" width="11.7109375" style="585" customWidth="1"/>
    <col min="1843" max="1843" width="95.140625" style="585" customWidth="1"/>
    <col min="1844" max="1847" width="11.7109375" style="585" customWidth="1"/>
    <col min="1848" max="1848" width="9.140625" style="585"/>
    <col min="1849" max="1849" width="11.7109375" style="585" customWidth="1"/>
    <col min="1850" max="1850" width="95.140625" style="585" customWidth="1"/>
    <col min="1851" max="1854" width="11.7109375" style="585" customWidth="1"/>
    <col min="1855" max="1855" width="11.5703125" style="585" customWidth="1"/>
    <col min="1856" max="1856" width="11.7109375" style="585" customWidth="1"/>
    <col min="1857" max="1857" width="95.140625" style="585" customWidth="1"/>
    <col min="1858" max="1861" width="11.7109375" style="585" customWidth="1"/>
    <col min="1862" max="2050" width="9.140625" style="585"/>
    <col min="2051" max="2051" width="11.5703125" style="585" customWidth="1"/>
    <col min="2052" max="2052" width="103.140625" style="585" customWidth="1"/>
    <col min="2053" max="2056" width="11.7109375" style="585" customWidth="1"/>
    <col min="2057" max="2058" width="9.140625" style="585"/>
    <col min="2059" max="2059" width="11.7109375" style="585" customWidth="1"/>
    <col min="2060" max="2060" width="78.5703125" style="585" customWidth="1"/>
    <col min="2061" max="2064" width="11.7109375" style="585" customWidth="1"/>
    <col min="2065" max="2066" width="9.140625" style="585"/>
    <col min="2067" max="2067" width="11.7109375" style="585" customWidth="1"/>
    <col min="2068" max="2068" width="88.42578125" style="585" customWidth="1"/>
    <col min="2069" max="2072" width="11.7109375" style="585" customWidth="1"/>
    <col min="2073" max="2074" width="9.140625" style="585"/>
    <col min="2075" max="2075" width="11.7109375" style="585" customWidth="1"/>
    <col min="2076" max="2076" width="75.5703125" style="585" customWidth="1"/>
    <col min="2077" max="2080" width="11.7109375" style="585" customWidth="1"/>
    <col min="2081" max="2082" width="9.140625" style="585"/>
    <col min="2083" max="2083" width="11.7109375" style="585" customWidth="1"/>
    <col min="2084" max="2084" width="80.42578125" style="585" customWidth="1"/>
    <col min="2085" max="2088" width="11.7109375" style="585" customWidth="1"/>
    <col min="2089" max="2090" width="9.140625" style="585"/>
    <col min="2091" max="2091" width="11.7109375" style="585" customWidth="1"/>
    <col min="2092" max="2092" width="69.85546875" style="585" customWidth="1"/>
    <col min="2093" max="2096" width="11.7109375" style="585" customWidth="1"/>
    <col min="2097" max="2097" width="9.140625" style="585"/>
    <col min="2098" max="2098" width="11.7109375" style="585" customWidth="1"/>
    <col min="2099" max="2099" width="95.140625" style="585" customWidth="1"/>
    <col min="2100" max="2103" width="11.7109375" style="585" customWidth="1"/>
    <col min="2104" max="2104" width="9.140625" style="585"/>
    <col min="2105" max="2105" width="11.7109375" style="585" customWidth="1"/>
    <col min="2106" max="2106" width="95.140625" style="585" customWidth="1"/>
    <col min="2107" max="2110" width="11.7109375" style="585" customWidth="1"/>
    <col min="2111" max="2111" width="11.5703125" style="585" customWidth="1"/>
    <col min="2112" max="2112" width="11.7109375" style="585" customWidth="1"/>
    <col min="2113" max="2113" width="95.140625" style="585" customWidth="1"/>
    <col min="2114" max="2117" width="11.7109375" style="585" customWidth="1"/>
    <col min="2118" max="2306" width="9.140625" style="585"/>
    <col min="2307" max="2307" width="11.5703125" style="585" customWidth="1"/>
    <col min="2308" max="2308" width="103.140625" style="585" customWidth="1"/>
    <col min="2309" max="2312" width="11.7109375" style="585" customWidth="1"/>
    <col min="2313" max="2314" width="9.140625" style="585"/>
    <col min="2315" max="2315" width="11.7109375" style="585" customWidth="1"/>
    <col min="2316" max="2316" width="78.5703125" style="585" customWidth="1"/>
    <col min="2317" max="2320" width="11.7109375" style="585" customWidth="1"/>
    <col min="2321" max="2322" width="9.140625" style="585"/>
    <col min="2323" max="2323" width="11.7109375" style="585" customWidth="1"/>
    <col min="2324" max="2324" width="88.42578125" style="585" customWidth="1"/>
    <col min="2325" max="2328" width="11.7109375" style="585" customWidth="1"/>
    <col min="2329" max="2330" width="9.140625" style="585"/>
    <col min="2331" max="2331" width="11.7109375" style="585" customWidth="1"/>
    <col min="2332" max="2332" width="75.5703125" style="585" customWidth="1"/>
    <col min="2333" max="2336" width="11.7109375" style="585" customWidth="1"/>
    <col min="2337" max="2338" width="9.140625" style="585"/>
    <col min="2339" max="2339" width="11.7109375" style="585" customWidth="1"/>
    <col min="2340" max="2340" width="80.42578125" style="585" customWidth="1"/>
    <col min="2341" max="2344" width="11.7109375" style="585" customWidth="1"/>
    <col min="2345" max="2346" width="9.140625" style="585"/>
    <col min="2347" max="2347" width="11.7109375" style="585" customWidth="1"/>
    <col min="2348" max="2348" width="69.85546875" style="585" customWidth="1"/>
    <col min="2349" max="2352" width="11.7109375" style="585" customWidth="1"/>
    <col min="2353" max="2353" width="9.140625" style="585"/>
    <col min="2354" max="2354" width="11.7109375" style="585" customWidth="1"/>
    <col min="2355" max="2355" width="95.140625" style="585" customWidth="1"/>
    <col min="2356" max="2359" width="11.7109375" style="585" customWidth="1"/>
    <col min="2360" max="2360" width="9.140625" style="585"/>
    <col min="2361" max="2361" width="11.7109375" style="585" customWidth="1"/>
    <col min="2362" max="2362" width="95.140625" style="585" customWidth="1"/>
    <col min="2363" max="2366" width="11.7109375" style="585" customWidth="1"/>
    <col min="2367" max="2367" width="11.5703125" style="585" customWidth="1"/>
    <col min="2368" max="2368" width="11.7109375" style="585" customWidth="1"/>
    <col min="2369" max="2369" width="95.140625" style="585" customWidth="1"/>
    <col min="2370" max="2373" width="11.7109375" style="585" customWidth="1"/>
    <col min="2374" max="2562" width="9.140625" style="585"/>
    <col min="2563" max="2563" width="11.5703125" style="585" customWidth="1"/>
    <col min="2564" max="2564" width="103.140625" style="585" customWidth="1"/>
    <col min="2565" max="2568" width="11.7109375" style="585" customWidth="1"/>
    <col min="2569" max="2570" width="9.140625" style="585"/>
    <col min="2571" max="2571" width="11.7109375" style="585" customWidth="1"/>
    <col min="2572" max="2572" width="78.5703125" style="585" customWidth="1"/>
    <col min="2573" max="2576" width="11.7109375" style="585" customWidth="1"/>
    <col min="2577" max="2578" width="9.140625" style="585"/>
    <col min="2579" max="2579" width="11.7109375" style="585" customWidth="1"/>
    <col min="2580" max="2580" width="88.42578125" style="585" customWidth="1"/>
    <col min="2581" max="2584" width="11.7109375" style="585" customWidth="1"/>
    <col min="2585" max="2586" width="9.140625" style="585"/>
    <col min="2587" max="2587" width="11.7109375" style="585" customWidth="1"/>
    <col min="2588" max="2588" width="75.5703125" style="585" customWidth="1"/>
    <col min="2589" max="2592" width="11.7109375" style="585" customWidth="1"/>
    <col min="2593" max="2594" width="9.140625" style="585"/>
    <col min="2595" max="2595" width="11.7109375" style="585" customWidth="1"/>
    <col min="2596" max="2596" width="80.42578125" style="585" customWidth="1"/>
    <col min="2597" max="2600" width="11.7109375" style="585" customWidth="1"/>
    <col min="2601" max="2602" width="9.140625" style="585"/>
    <col min="2603" max="2603" width="11.7109375" style="585" customWidth="1"/>
    <col min="2604" max="2604" width="69.85546875" style="585" customWidth="1"/>
    <col min="2605" max="2608" width="11.7109375" style="585" customWidth="1"/>
    <col min="2609" max="2609" width="9.140625" style="585"/>
    <col min="2610" max="2610" width="11.7109375" style="585" customWidth="1"/>
    <col min="2611" max="2611" width="95.140625" style="585" customWidth="1"/>
    <col min="2612" max="2615" width="11.7109375" style="585" customWidth="1"/>
    <col min="2616" max="2616" width="9.140625" style="585"/>
    <col min="2617" max="2617" width="11.7109375" style="585" customWidth="1"/>
    <col min="2618" max="2618" width="95.140625" style="585" customWidth="1"/>
    <col min="2619" max="2622" width="11.7109375" style="585" customWidth="1"/>
    <col min="2623" max="2623" width="11.5703125" style="585" customWidth="1"/>
    <col min="2624" max="2624" width="11.7109375" style="585" customWidth="1"/>
    <col min="2625" max="2625" width="95.140625" style="585" customWidth="1"/>
    <col min="2626" max="2629" width="11.7109375" style="585" customWidth="1"/>
    <col min="2630" max="2818" width="9.140625" style="585"/>
    <col min="2819" max="2819" width="11.5703125" style="585" customWidth="1"/>
    <col min="2820" max="2820" width="103.140625" style="585" customWidth="1"/>
    <col min="2821" max="2824" width="11.7109375" style="585" customWidth="1"/>
    <col min="2825" max="2826" width="9.140625" style="585"/>
    <col min="2827" max="2827" width="11.7109375" style="585" customWidth="1"/>
    <col min="2828" max="2828" width="78.5703125" style="585" customWidth="1"/>
    <col min="2829" max="2832" width="11.7109375" style="585" customWidth="1"/>
    <col min="2833" max="2834" width="9.140625" style="585"/>
    <col min="2835" max="2835" width="11.7109375" style="585" customWidth="1"/>
    <col min="2836" max="2836" width="88.42578125" style="585" customWidth="1"/>
    <col min="2837" max="2840" width="11.7109375" style="585" customWidth="1"/>
    <col min="2841" max="2842" width="9.140625" style="585"/>
    <col min="2843" max="2843" width="11.7109375" style="585" customWidth="1"/>
    <col min="2844" max="2844" width="75.5703125" style="585" customWidth="1"/>
    <col min="2845" max="2848" width="11.7109375" style="585" customWidth="1"/>
    <col min="2849" max="2850" width="9.140625" style="585"/>
    <col min="2851" max="2851" width="11.7109375" style="585" customWidth="1"/>
    <col min="2852" max="2852" width="80.42578125" style="585" customWidth="1"/>
    <col min="2853" max="2856" width="11.7109375" style="585" customWidth="1"/>
    <col min="2857" max="2858" width="9.140625" style="585"/>
    <col min="2859" max="2859" width="11.7109375" style="585" customWidth="1"/>
    <col min="2860" max="2860" width="69.85546875" style="585" customWidth="1"/>
    <col min="2861" max="2864" width="11.7109375" style="585" customWidth="1"/>
    <col min="2865" max="2865" width="9.140625" style="585"/>
    <col min="2866" max="2866" width="11.7109375" style="585" customWidth="1"/>
    <col min="2867" max="2867" width="95.140625" style="585" customWidth="1"/>
    <col min="2868" max="2871" width="11.7109375" style="585" customWidth="1"/>
    <col min="2872" max="2872" width="9.140625" style="585"/>
    <col min="2873" max="2873" width="11.7109375" style="585" customWidth="1"/>
    <col min="2874" max="2874" width="95.140625" style="585" customWidth="1"/>
    <col min="2875" max="2878" width="11.7109375" style="585" customWidth="1"/>
    <col min="2879" max="2879" width="11.5703125" style="585" customWidth="1"/>
    <col min="2880" max="2880" width="11.7109375" style="585" customWidth="1"/>
    <col min="2881" max="2881" width="95.140625" style="585" customWidth="1"/>
    <col min="2882" max="2885" width="11.7109375" style="585" customWidth="1"/>
    <col min="2886" max="3074" width="9.140625" style="585"/>
    <col min="3075" max="3075" width="11.5703125" style="585" customWidth="1"/>
    <col min="3076" max="3076" width="103.140625" style="585" customWidth="1"/>
    <col min="3077" max="3080" width="11.7109375" style="585" customWidth="1"/>
    <col min="3081" max="3082" width="9.140625" style="585"/>
    <col min="3083" max="3083" width="11.7109375" style="585" customWidth="1"/>
    <col min="3084" max="3084" width="78.5703125" style="585" customWidth="1"/>
    <col min="3085" max="3088" width="11.7109375" style="585" customWidth="1"/>
    <col min="3089" max="3090" width="9.140625" style="585"/>
    <col min="3091" max="3091" width="11.7109375" style="585" customWidth="1"/>
    <col min="3092" max="3092" width="88.42578125" style="585" customWidth="1"/>
    <col min="3093" max="3096" width="11.7109375" style="585" customWidth="1"/>
    <col min="3097" max="3098" width="9.140625" style="585"/>
    <col min="3099" max="3099" width="11.7109375" style="585" customWidth="1"/>
    <col min="3100" max="3100" width="75.5703125" style="585" customWidth="1"/>
    <col min="3101" max="3104" width="11.7109375" style="585" customWidth="1"/>
    <col min="3105" max="3106" width="9.140625" style="585"/>
    <col min="3107" max="3107" width="11.7109375" style="585" customWidth="1"/>
    <col min="3108" max="3108" width="80.42578125" style="585" customWidth="1"/>
    <col min="3109" max="3112" width="11.7109375" style="585" customWidth="1"/>
    <col min="3113" max="3114" width="9.140625" style="585"/>
    <col min="3115" max="3115" width="11.7109375" style="585" customWidth="1"/>
    <col min="3116" max="3116" width="69.85546875" style="585" customWidth="1"/>
    <col min="3117" max="3120" width="11.7109375" style="585" customWidth="1"/>
    <col min="3121" max="3121" width="9.140625" style="585"/>
    <col min="3122" max="3122" width="11.7109375" style="585" customWidth="1"/>
    <col min="3123" max="3123" width="95.140625" style="585" customWidth="1"/>
    <col min="3124" max="3127" width="11.7109375" style="585" customWidth="1"/>
    <col min="3128" max="3128" width="9.140625" style="585"/>
    <col min="3129" max="3129" width="11.7109375" style="585" customWidth="1"/>
    <col min="3130" max="3130" width="95.140625" style="585" customWidth="1"/>
    <col min="3131" max="3134" width="11.7109375" style="585" customWidth="1"/>
    <col min="3135" max="3135" width="11.5703125" style="585" customWidth="1"/>
    <col min="3136" max="3136" width="11.7109375" style="585" customWidth="1"/>
    <col min="3137" max="3137" width="95.140625" style="585" customWidth="1"/>
    <col min="3138" max="3141" width="11.7109375" style="585" customWidth="1"/>
    <col min="3142" max="3330" width="9.140625" style="585"/>
    <col min="3331" max="3331" width="11.5703125" style="585" customWidth="1"/>
    <col min="3332" max="3332" width="103.140625" style="585" customWidth="1"/>
    <col min="3333" max="3336" width="11.7109375" style="585" customWidth="1"/>
    <col min="3337" max="3338" width="9.140625" style="585"/>
    <col min="3339" max="3339" width="11.7109375" style="585" customWidth="1"/>
    <col min="3340" max="3340" width="78.5703125" style="585" customWidth="1"/>
    <col min="3341" max="3344" width="11.7109375" style="585" customWidth="1"/>
    <col min="3345" max="3346" width="9.140625" style="585"/>
    <col min="3347" max="3347" width="11.7109375" style="585" customWidth="1"/>
    <col min="3348" max="3348" width="88.42578125" style="585" customWidth="1"/>
    <col min="3349" max="3352" width="11.7109375" style="585" customWidth="1"/>
    <col min="3353" max="3354" width="9.140625" style="585"/>
    <col min="3355" max="3355" width="11.7109375" style="585" customWidth="1"/>
    <col min="3356" max="3356" width="75.5703125" style="585" customWidth="1"/>
    <col min="3357" max="3360" width="11.7109375" style="585" customWidth="1"/>
    <col min="3361" max="3362" width="9.140625" style="585"/>
    <col min="3363" max="3363" width="11.7109375" style="585" customWidth="1"/>
    <col min="3364" max="3364" width="80.42578125" style="585" customWidth="1"/>
    <col min="3365" max="3368" width="11.7109375" style="585" customWidth="1"/>
    <col min="3369" max="3370" width="9.140625" style="585"/>
    <col min="3371" max="3371" width="11.7109375" style="585" customWidth="1"/>
    <col min="3372" max="3372" width="69.85546875" style="585" customWidth="1"/>
    <col min="3373" max="3376" width="11.7109375" style="585" customWidth="1"/>
    <col min="3377" max="3377" width="9.140625" style="585"/>
    <col min="3378" max="3378" width="11.7109375" style="585" customWidth="1"/>
    <col min="3379" max="3379" width="95.140625" style="585" customWidth="1"/>
    <col min="3380" max="3383" width="11.7109375" style="585" customWidth="1"/>
    <col min="3384" max="3384" width="9.140625" style="585"/>
    <col min="3385" max="3385" width="11.7109375" style="585" customWidth="1"/>
    <col min="3386" max="3386" width="95.140625" style="585" customWidth="1"/>
    <col min="3387" max="3390" width="11.7109375" style="585" customWidth="1"/>
    <col min="3391" max="3391" width="11.5703125" style="585" customWidth="1"/>
    <col min="3392" max="3392" width="11.7109375" style="585" customWidth="1"/>
    <col min="3393" max="3393" width="95.140625" style="585" customWidth="1"/>
    <col min="3394" max="3397" width="11.7109375" style="585" customWidth="1"/>
    <col min="3398" max="3586" width="9.140625" style="585"/>
    <col min="3587" max="3587" width="11.5703125" style="585" customWidth="1"/>
    <col min="3588" max="3588" width="103.140625" style="585" customWidth="1"/>
    <col min="3589" max="3592" width="11.7109375" style="585" customWidth="1"/>
    <col min="3593" max="3594" width="9.140625" style="585"/>
    <col min="3595" max="3595" width="11.7109375" style="585" customWidth="1"/>
    <col min="3596" max="3596" width="78.5703125" style="585" customWidth="1"/>
    <col min="3597" max="3600" width="11.7109375" style="585" customWidth="1"/>
    <col min="3601" max="3602" width="9.140625" style="585"/>
    <col min="3603" max="3603" width="11.7109375" style="585" customWidth="1"/>
    <col min="3604" max="3604" width="88.42578125" style="585" customWidth="1"/>
    <col min="3605" max="3608" width="11.7109375" style="585" customWidth="1"/>
    <col min="3609" max="3610" width="9.140625" style="585"/>
    <col min="3611" max="3611" width="11.7109375" style="585" customWidth="1"/>
    <col min="3612" max="3612" width="75.5703125" style="585" customWidth="1"/>
    <col min="3613" max="3616" width="11.7109375" style="585" customWidth="1"/>
    <col min="3617" max="3618" width="9.140625" style="585"/>
    <col min="3619" max="3619" width="11.7109375" style="585" customWidth="1"/>
    <col min="3620" max="3620" width="80.42578125" style="585" customWidth="1"/>
    <col min="3621" max="3624" width="11.7109375" style="585" customWidth="1"/>
    <col min="3625" max="3626" width="9.140625" style="585"/>
    <col min="3627" max="3627" width="11.7109375" style="585" customWidth="1"/>
    <col min="3628" max="3628" width="69.85546875" style="585" customWidth="1"/>
    <col min="3629" max="3632" width="11.7109375" style="585" customWidth="1"/>
    <col min="3633" max="3633" width="9.140625" style="585"/>
    <col min="3634" max="3634" width="11.7109375" style="585" customWidth="1"/>
    <col min="3635" max="3635" width="95.140625" style="585" customWidth="1"/>
    <col min="3636" max="3639" width="11.7109375" style="585" customWidth="1"/>
    <col min="3640" max="3640" width="9.140625" style="585"/>
    <col min="3641" max="3641" width="11.7109375" style="585" customWidth="1"/>
    <col min="3642" max="3642" width="95.140625" style="585" customWidth="1"/>
    <col min="3643" max="3646" width="11.7109375" style="585" customWidth="1"/>
    <col min="3647" max="3647" width="11.5703125" style="585" customWidth="1"/>
    <col min="3648" max="3648" width="11.7109375" style="585" customWidth="1"/>
    <col min="3649" max="3649" width="95.140625" style="585" customWidth="1"/>
    <col min="3650" max="3653" width="11.7109375" style="585" customWidth="1"/>
    <col min="3654" max="3842" width="9.140625" style="585"/>
    <col min="3843" max="3843" width="11.5703125" style="585" customWidth="1"/>
    <col min="3844" max="3844" width="103.140625" style="585" customWidth="1"/>
    <col min="3845" max="3848" width="11.7109375" style="585" customWidth="1"/>
    <col min="3849" max="3850" width="9.140625" style="585"/>
    <col min="3851" max="3851" width="11.7109375" style="585" customWidth="1"/>
    <col min="3852" max="3852" width="78.5703125" style="585" customWidth="1"/>
    <col min="3853" max="3856" width="11.7109375" style="585" customWidth="1"/>
    <col min="3857" max="3858" width="9.140625" style="585"/>
    <col min="3859" max="3859" width="11.7109375" style="585" customWidth="1"/>
    <col min="3860" max="3860" width="88.42578125" style="585" customWidth="1"/>
    <col min="3861" max="3864" width="11.7109375" style="585" customWidth="1"/>
    <col min="3865" max="3866" width="9.140625" style="585"/>
    <col min="3867" max="3867" width="11.7109375" style="585" customWidth="1"/>
    <col min="3868" max="3868" width="75.5703125" style="585" customWidth="1"/>
    <col min="3869" max="3872" width="11.7109375" style="585" customWidth="1"/>
    <col min="3873" max="3874" width="9.140625" style="585"/>
    <col min="3875" max="3875" width="11.7109375" style="585" customWidth="1"/>
    <col min="3876" max="3876" width="80.42578125" style="585" customWidth="1"/>
    <col min="3877" max="3880" width="11.7109375" style="585" customWidth="1"/>
    <col min="3881" max="3882" width="9.140625" style="585"/>
    <col min="3883" max="3883" width="11.7109375" style="585" customWidth="1"/>
    <col min="3884" max="3884" width="69.85546875" style="585" customWidth="1"/>
    <col min="3885" max="3888" width="11.7109375" style="585" customWidth="1"/>
    <col min="3889" max="3889" width="9.140625" style="585"/>
    <col min="3890" max="3890" width="11.7109375" style="585" customWidth="1"/>
    <col min="3891" max="3891" width="95.140625" style="585" customWidth="1"/>
    <col min="3892" max="3895" width="11.7109375" style="585" customWidth="1"/>
    <col min="3896" max="3896" width="9.140625" style="585"/>
    <col min="3897" max="3897" width="11.7109375" style="585" customWidth="1"/>
    <col min="3898" max="3898" width="95.140625" style="585" customWidth="1"/>
    <col min="3899" max="3902" width="11.7109375" style="585" customWidth="1"/>
    <col min="3903" max="3903" width="11.5703125" style="585" customWidth="1"/>
    <col min="3904" max="3904" width="11.7109375" style="585" customWidth="1"/>
    <col min="3905" max="3905" width="95.140625" style="585" customWidth="1"/>
    <col min="3906" max="3909" width="11.7109375" style="585" customWidth="1"/>
    <col min="3910" max="4098" width="9.140625" style="585"/>
    <col min="4099" max="4099" width="11.5703125" style="585" customWidth="1"/>
    <col min="4100" max="4100" width="103.140625" style="585" customWidth="1"/>
    <col min="4101" max="4104" width="11.7109375" style="585" customWidth="1"/>
    <col min="4105" max="4106" width="9.140625" style="585"/>
    <col min="4107" max="4107" width="11.7109375" style="585" customWidth="1"/>
    <col min="4108" max="4108" width="78.5703125" style="585" customWidth="1"/>
    <col min="4109" max="4112" width="11.7109375" style="585" customWidth="1"/>
    <col min="4113" max="4114" width="9.140625" style="585"/>
    <col min="4115" max="4115" width="11.7109375" style="585" customWidth="1"/>
    <col min="4116" max="4116" width="88.42578125" style="585" customWidth="1"/>
    <col min="4117" max="4120" width="11.7109375" style="585" customWidth="1"/>
    <col min="4121" max="4122" width="9.140625" style="585"/>
    <col min="4123" max="4123" width="11.7109375" style="585" customWidth="1"/>
    <col min="4124" max="4124" width="75.5703125" style="585" customWidth="1"/>
    <col min="4125" max="4128" width="11.7109375" style="585" customWidth="1"/>
    <col min="4129" max="4130" width="9.140625" style="585"/>
    <col min="4131" max="4131" width="11.7109375" style="585" customWidth="1"/>
    <col min="4132" max="4132" width="80.42578125" style="585" customWidth="1"/>
    <col min="4133" max="4136" width="11.7109375" style="585" customWidth="1"/>
    <col min="4137" max="4138" width="9.140625" style="585"/>
    <col min="4139" max="4139" width="11.7109375" style="585" customWidth="1"/>
    <col min="4140" max="4140" width="69.85546875" style="585" customWidth="1"/>
    <col min="4141" max="4144" width="11.7109375" style="585" customWidth="1"/>
    <col min="4145" max="4145" width="9.140625" style="585"/>
    <col min="4146" max="4146" width="11.7109375" style="585" customWidth="1"/>
    <col min="4147" max="4147" width="95.140625" style="585" customWidth="1"/>
    <col min="4148" max="4151" width="11.7109375" style="585" customWidth="1"/>
    <col min="4152" max="4152" width="9.140625" style="585"/>
    <col min="4153" max="4153" width="11.7109375" style="585" customWidth="1"/>
    <col min="4154" max="4154" width="95.140625" style="585" customWidth="1"/>
    <col min="4155" max="4158" width="11.7109375" style="585" customWidth="1"/>
    <col min="4159" max="4159" width="11.5703125" style="585" customWidth="1"/>
    <col min="4160" max="4160" width="11.7109375" style="585" customWidth="1"/>
    <col min="4161" max="4161" width="95.140625" style="585" customWidth="1"/>
    <col min="4162" max="4165" width="11.7109375" style="585" customWidth="1"/>
    <col min="4166" max="4354" width="9.140625" style="585"/>
    <col min="4355" max="4355" width="11.5703125" style="585" customWidth="1"/>
    <col min="4356" max="4356" width="103.140625" style="585" customWidth="1"/>
    <col min="4357" max="4360" width="11.7109375" style="585" customWidth="1"/>
    <col min="4361" max="4362" width="9.140625" style="585"/>
    <col min="4363" max="4363" width="11.7109375" style="585" customWidth="1"/>
    <col min="4364" max="4364" width="78.5703125" style="585" customWidth="1"/>
    <col min="4365" max="4368" width="11.7109375" style="585" customWidth="1"/>
    <col min="4369" max="4370" width="9.140625" style="585"/>
    <col min="4371" max="4371" width="11.7109375" style="585" customWidth="1"/>
    <col min="4372" max="4372" width="88.42578125" style="585" customWidth="1"/>
    <col min="4373" max="4376" width="11.7109375" style="585" customWidth="1"/>
    <col min="4377" max="4378" width="9.140625" style="585"/>
    <col min="4379" max="4379" width="11.7109375" style="585" customWidth="1"/>
    <col min="4380" max="4380" width="75.5703125" style="585" customWidth="1"/>
    <col min="4381" max="4384" width="11.7109375" style="585" customWidth="1"/>
    <col min="4385" max="4386" width="9.140625" style="585"/>
    <col min="4387" max="4387" width="11.7109375" style="585" customWidth="1"/>
    <col min="4388" max="4388" width="80.42578125" style="585" customWidth="1"/>
    <col min="4389" max="4392" width="11.7109375" style="585" customWidth="1"/>
    <col min="4393" max="4394" width="9.140625" style="585"/>
    <col min="4395" max="4395" width="11.7109375" style="585" customWidth="1"/>
    <col min="4396" max="4396" width="69.85546875" style="585" customWidth="1"/>
    <col min="4397" max="4400" width="11.7109375" style="585" customWidth="1"/>
    <col min="4401" max="4401" width="9.140625" style="585"/>
    <col min="4402" max="4402" width="11.7109375" style="585" customWidth="1"/>
    <col min="4403" max="4403" width="95.140625" style="585" customWidth="1"/>
    <col min="4404" max="4407" width="11.7109375" style="585" customWidth="1"/>
    <col min="4408" max="4408" width="9.140625" style="585"/>
    <col min="4409" max="4409" width="11.7109375" style="585" customWidth="1"/>
    <col min="4410" max="4410" width="95.140625" style="585" customWidth="1"/>
    <col min="4411" max="4414" width="11.7109375" style="585" customWidth="1"/>
    <col min="4415" max="4415" width="11.5703125" style="585" customWidth="1"/>
    <col min="4416" max="4416" width="11.7109375" style="585" customWidth="1"/>
    <col min="4417" max="4417" width="95.140625" style="585" customWidth="1"/>
    <col min="4418" max="4421" width="11.7109375" style="585" customWidth="1"/>
    <col min="4422" max="4610" width="9.140625" style="585"/>
    <col min="4611" max="4611" width="11.5703125" style="585" customWidth="1"/>
    <col min="4612" max="4612" width="103.140625" style="585" customWidth="1"/>
    <col min="4613" max="4616" width="11.7109375" style="585" customWidth="1"/>
    <col min="4617" max="4618" width="9.140625" style="585"/>
    <col min="4619" max="4619" width="11.7109375" style="585" customWidth="1"/>
    <col min="4620" max="4620" width="78.5703125" style="585" customWidth="1"/>
    <col min="4621" max="4624" width="11.7109375" style="585" customWidth="1"/>
    <col min="4625" max="4626" width="9.140625" style="585"/>
    <col min="4627" max="4627" width="11.7109375" style="585" customWidth="1"/>
    <col min="4628" max="4628" width="88.42578125" style="585" customWidth="1"/>
    <col min="4629" max="4632" width="11.7109375" style="585" customWidth="1"/>
    <col min="4633" max="4634" width="9.140625" style="585"/>
    <col min="4635" max="4635" width="11.7109375" style="585" customWidth="1"/>
    <col min="4636" max="4636" width="75.5703125" style="585" customWidth="1"/>
    <col min="4637" max="4640" width="11.7109375" style="585" customWidth="1"/>
    <col min="4641" max="4642" width="9.140625" style="585"/>
    <col min="4643" max="4643" width="11.7109375" style="585" customWidth="1"/>
    <col min="4644" max="4644" width="80.42578125" style="585" customWidth="1"/>
    <col min="4645" max="4648" width="11.7109375" style="585" customWidth="1"/>
    <col min="4649" max="4650" width="9.140625" style="585"/>
    <col min="4651" max="4651" width="11.7109375" style="585" customWidth="1"/>
    <col min="4652" max="4652" width="69.85546875" style="585" customWidth="1"/>
    <col min="4653" max="4656" width="11.7109375" style="585" customWidth="1"/>
    <col min="4657" max="4657" width="9.140625" style="585"/>
    <col min="4658" max="4658" width="11.7109375" style="585" customWidth="1"/>
    <col min="4659" max="4659" width="95.140625" style="585" customWidth="1"/>
    <col min="4660" max="4663" width="11.7109375" style="585" customWidth="1"/>
    <col min="4664" max="4664" width="9.140625" style="585"/>
    <col min="4665" max="4665" width="11.7109375" style="585" customWidth="1"/>
    <col min="4666" max="4666" width="95.140625" style="585" customWidth="1"/>
    <col min="4667" max="4670" width="11.7109375" style="585" customWidth="1"/>
    <col min="4671" max="4671" width="11.5703125" style="585" customWidth="1"/>
    <col min="4672" max="4672" width="11.7109375" style="585" customWidth="1"/>
    <col min="4673" max="4673" width="95.140625" style="585" customWidth="1"/>
    <col min="4674" max="4677" width="11.7109375" style="585" customWidth="1"/>
    <col min="4678" max="4866" width="9.140625" style="585"/>
    <col min="4867" max="4867" width="11.5703125" style="585" customWidth="1"/>
    <col min="4868" max="4868" width="103.140625" style="585" customWidth="1"/>
    <col min="4869" max="4872" width="11.7109375" style="585" customWidth="1"/>
    <col min="4873" max="4874" width="9.140625" style="585"/>
    <col min="4875" max="4875" width="11.7109375" style="585" customWidth="1"/>
    <col min="4876" max="4876" width="78.5703125" style="585" customWidth="1"/>
    <col min="4877" max="4880" width="11.7109375" style="585" customWidth="1"/>
    <col min="4881" max="4882" width="9.140625" style="585"/>
    <col min="4883" max="4883" width="11.7109375" style="585" customWidth="1"/>
    <col min="4884" max="4884" width="88.42578125" style="585" customWidth="1"/>
    <col min="4885" max="4888" width="11.7109375" style="585" customWidth="1"/>
    <col min="4889" max="4890" width="9.140625" style="585"/>
    <col min="4891" max="4891" width="11.7109375" style="585" customWidth="1"/>
    <col min="4892" max="4892" width="75.5703125" style="585" customWidth="1"/>
    <col min="4893" max="4896" width="11.7109375" style="585" customWidth="1"/>
    <col min="4897" max="4898" width="9.140625" style="585"/>
    <col min="4899" max="4899" width="11.7109375" style="585" customWidth="1"/>
    <col min="4900" max="4900" width="80.42578125" style="585" customWidth="1"/>
    <col min="4901" max="4904" width="11.7109375" style="585" customWidth="1"/>
    <col min="4905" max="4906" width="9.140625" style="585"/>
    <col min="4907" max="4907" width="11.7109375" style="585" customWidth="1"/>
    <col min="4908" max="4908" width="69.85546875" style="585" customWidth="1"/>
    <col min="4909" max="4912" width="11.7109375" style="585" customWidth="1"/>
    <col min="4913" max="4913" width="9.140625" style="585"/>
    <col min="4914" max="4914" width="11.7109375" style="585" customWidth="1"/>
    <col min="4915" max="4915" width="95.140625" style="585" customWidth="1"/>
    <col min="4916" max="4919" width="11.7109375" style="585" customWidth="1"/>
    <col min="4920" max="4920" width="9.140625" style="585"/>
    <col min="4921" max="4921" width="11.7109375" style="585" customWidth="1"/>
    <col min="4922" max="4922" width="95.140625" style="585" customWidth="1"/>
    <col min="4923" max="4926" width="11.7109375" style="585" customWidth="1"/>
    <col min="4927" max="4927" width="11.5703125" style="585" customWidth="1"/>
    <col min="4928" max="4928" width="11.7109375" style="585" customWidth="1"/>
    <col min="4929" max="4929" width="95.140625" style="585" customWidth="1"/>
    <col min="4930" max="4933" width="11.7109375" style="585" customWidth="1"/>
    <col min="4934" max="5122" width="9.140625" style="585"/>
    <col min="5123" max="5123" width="11.5703125" style="585" customWidth="1"/>
    <col min="5124" max="5124" width="103.140625" style="585" customWidth="1"/>
    <col min="5125" max="5128" width="11.7109375" style="585" customWidth="1"/>
    <col min="5129" max="5130" width="9.140625" style="585"/>
    <col min="5131" max="5131" width="11.7109375" style="585" customWidth="1"/>
    <col min="5132" max="5132" width="78.5703125" style="585" customWidth="1"/>
    <col min="5133" max="5136" width="11.7109375" style="585" customWidth="1"/>
    <col min="5137" max="5138" width="9.140625" style="585"/>
    <col min="5139" max="5139" width="11.7109375" style="585" customWidth="1"/>
    <col min="5140" max="5140" width="88.42578125" style="585" customWidth="1"/>
    <col min="5141" max="5144" width="11.7109375" style="585" customWidth="1"/>
    <col min="5145" max="5146" width="9.140625" style="585"/>
    <col min="5147" max="5147" width="11.7109375" style="585" customWidth="1"/>
    <col min="5148" max="5148" width="75.5703125" style="585" customWidth="1"/>
    <col min="5149" max="5152" width="11.7109375" style="585" customWidth="1"/>
    <col min="5153" max="5154" width="9.140625" style="585"/>
    <col min="5155" max="5155" width="11.7109375" style="585" customWidth="1"/>
    <col min="5156" max="5156" width="80.42578125" style="585" customWidth="1"/>
    <col min="5157" max="5160" width="11.7109375" style="585" customWidth="1"/>
    <col min="5161" max="5162" width="9.140625" style="585"/>
    <col min="5163" max="5163" width="11.7109375" style="585" customWidth="1"/>
    <col min="5164" max="5164" width="69.85546875" style="585" customWidth="1"/>
    <col min="5165" max="5168" width="11.7109375" style="585" customWidth="1"/>
    <col min="5169" max="5169" width="9.140625" style="585"/>
    <col min="5170" max="5170" width="11.7109375" style="585" customWidth="1"/>
    <col min="5171" max="5171" width="95.140625" style="585" customWidth="1"/>
    <col min="5172" max="5175" width="11.7109375" style="585" customWidth="1"/>
    <col min="5176" max="5176" width="9.140625" style="585"/>
    <col min="5177" max="5177" width="11.7109375" style="585" customWidth="1"/>
    <col min="5178" max="5178" width="95.140625" style="585" customWidth="1"/>
    <col min="5179" max="5182" width="11.7109375" style="585" customWidth="1"/>
    <col min="5183" max="5183" width="11.5703125" style="585" customWidth="1"/>
    <col min="5184" max="5184" width="11.7109375" style="585" customWidth="1"/>
    <col min="5185" max="5185" width="95.140625" style="585" customWidth="1"/>
    <col min="5186" max="5189" width="11.7109375" style="585" customWidth="1"/>
    <col min="5190" max="5378" width="9.140625" style="585"/>
    <col min="5379" max="5379" width="11.5703125" style="585" customWidth="1"/>
    <col min="5380" max="5380" width="103.140625" style="585" customWidth="1"/>
    <col min="5381" max="5384" width="11.7109375" style="585" customWidth="1"/>
    <col min="5385" max="5386" width="9.140625" style="585"/>
    <col min="5387" max="5387" width="11.7109375" style="585" customWidth="1"/>
    <col min="5388" max="5388" width="78.5703125" style="585" customWidth="1"/>
    <col min="5389" max="5392" width="11.7109375" style="585" customWidth="1"/>
    <col min="5393" max="5394" width="9.140625" style="585"/>
    <col min="5395" max="5395" width="11.7109375" style="585" customWidth="1"/>
    <col min="5396" max="5396" width="88.42578125" style="585" customWidth="1"/>
    <col min="5397" max="5400" width="11.7109375" style="585" customWidth="1"/>
    <col min="5401" max="5402" width="9.140625" style="585"/>
    <col min="5403" max="5403" width="11.7109375" style="585" customWidth="1"/>
    <col min="5404" max="5404" width="75.5703125" style="585" customWidth="1"/>
    <col min="5405" max="5408" width="11.7109375" style="585" customWidth="1"/>
    <col min="5409" max="5410" width="9.140625" style="585"/>
    <col min="5411" max="5411" width="11.7109375" style="585" customWidth="1"/>
    <col min="5412" max="5412" width="80.42578125" style="585" customWidth="1"/>
    <col min="5413" max="5416" width="11.7109375" style="585" customWidth="1"/>
    <col min="5417" max="5418" width="9.140625" style="585"/>
    <col min="5419" max="5419" width="11.7109375" style="585" customWidth="1"/>
    <col min="5420" max="5420" width="69.85546875" style="585" customWidth="1"/>
    <col min="5421" max="5424" width="11.7109375" style="585" customWidth="1"/>
    <col min="5425" max="5425" width="9.140625" style="585"/>
    <col min="5426" max="5426" width="11.7109375" style="585" customWidth="1"/>
    <col min="5427" max="5427" width="95.140625" style="585" customWidth="1"/>
    <col min="5428" max="5431" width="11.7109375" style="585" customWidth="1"/>
    <col min="5432" max="5432" width="9.140625" style="585"/>
    <col min="5433" max="5433" width="11.7109375" style="585" customWidth="1"/>
    <col min="5434" max="5434" width="95.140625" style="585" customWidth="1"/>
    <col min="5435" max="5438" width="11.7109375" style="585" customWidth="1"/>
    <col min="5439" max="5439" width="11.5703125" style="585" customWidth="1"/>
    <col min="5440" max="5440" width="11.7109375" style="585" customWidth="1"/>
    <col min="5441" max="5441" width="95.140625" style="585" customWidth="1"/>
    <col min="5442" max="5445" width="11.7109375" style="585" customWidth="1"/>
    <col min="5446" max="5634" width="9.140625" style="585"/>
    <col min="5635" max="5635" width="11.5703125" style="585" customWidth="1"/>
    <col min="5636" max="5636" width="103.140625" style="585" customWidth="1"/>
    <col min="5637" max="5640" width="11.7109375" style="585" customWidth="1"/>
    <col min="5641" max="5642" width="9.140625" style="585"/>
    <col min="5643" max="5643" width="11.7109375" style="585" customWidth="1"/>
    <col min="5644" max="5644" width="78.5703125" style="585" customWidth="1"/>
    <col min="5645" max="5648" width="11.7109375" style="585" customWidth="1"/>
    <col min="5649" max="5650" width="9.140625" style="585"/>
    <col min="5651" max="5651" width="11.7109375" style="585" customWidth="1"/>
    <col min="5652" max="5652" width="88.42578125" style="585" customWidth="1"/>
    <col min="5653" max="5656" width="11.7109375" style="585" customWidth="1"/>
    <col min="5657" max="5658" width="9.140625" style="585"/>
    <col min="5659" max="5659" width="11.7109375" style="585" customWidth="1"/>
    <col min="5660" max="5660" width="75.5703125" style="585" customWidth="1"/>
    <col min="5661" max="5664" width="11.7109375" style="585" customWidth="1"/>
    <col min="5665" max="5666" width="9.140625" style="585"/>
    <col min="5667" max="5667" width="11.7109375" style="585" customWidth="1"/>
    <col min="5668" max="5668" width="80.42578125" style="585" customWidth="1"/>
    <col min="5669" max="5672" width="11.7109375" style="585" customWidth="1"/>
    <col min="5673" max="5674" width="9.140625" style="585"/>
    <col min="5675" max="5675" width="11.7109375" style="585" customWidth="1"/>
    <col min="5676" max="5676" width="69.85546875" style="585" customWidth="1"/>
    <col min="5677" max="5680" width="11.7109375" style="585" customWidth="1"/>
    <col min="5681" max="5681" width="9.140625" style="585"/>
    <col min="5682" max="5682" width="11.7109375" style="585" customWidth="1"/>
    <col min="5683" max="5683" width="95.140625" style="585" customWidth="1"/>
    <col min="5684" max="5687" width="11.7109375" style="585" customWidth="1"/>
    <col min="5688" max="5688" width="9.140625" style="585"/>
    <col min="5689" max="5689" width="11.7109375" style="585" customWidth="1"/>
    <col min="5690" max="5690" width="95.140625" style="585" customWidth="1"/>
    <col min="5691" max="5694" width="11.7109375" style="585" customWidth="1"/>
    <col min="5695" max="5695" width="11.5703125" style="585" customWidth="1"/>
    <col min="5696" max="5696" width="11.7109375" style="585" customWidth="1"/>
    <col min="5697" max="5697" width="95.140625" style="585" customWidth="1"/>
    <col min="5698" max="5701" width="11.7109375" style="585" customWidth="1"/>
    <col min="5702" max="5890" width="9.140625" style="585"/>
    <col min="5891" max="5891" width="11.5703125" style="585" customWidth="1"/>
    <col min="5892" max="5892" width="103.140625" style="585" customWidth="1"/>
    <col min="5893" max="5896" width="11.7109375" style="585" customWidth="1"/>
    <col min="5897" max="5898" width="9.140625" style="585"/>
    <col min="5899" max="5899" width="11.7109375" style="585" customWidth="1"/>
    <col min="5900" max="5900" width="78.5703125" style="585" customWidth="1"/>
    <col min="5901" max="5904" width="11.7109375" style="585" customWidth="1"/>
    <col min="5905" max="5906" width="9.140625" style="585"/>
    <col min="5907" max="5907" width="11.7109375" style="585" customWidth="1"/>
    <col min="5908" max="5908" width="88.42578125" style="585" customWidth="1"/>
    <col min="5909" max="5912" width="11.7109375" style="585" customWidth="1"/>
    <col min="5913" max="5914" width="9.140625" style="585"/>
    <col min="5915" max="5915" width="11.7109375" style="585" customWidth="1"/>
    <col min="5916" max="5916" width="75.5703125" style="585" customWidth="1"/>
    <col min="5917" max="5920" width="11.7109375" style="585" customWidth="1"/>
    <col min="5921" max="5922" width="9.140625" style="585"/>
    <col min="5923" max="5923" width="11.7109375" style="585" customWidth="1"/>
    <col min="5924" max="5924" width="80.42578125" style="585" customWidth="1"/>
    <col min="5925" max="5928" width="11.7109375" style="585" customWidth="1"/>
    <col min="5929" max="5930" width="9.140625" style="585"/>
    <col min="5931" max="5931" width="11.7109375" style="585" customWidth="1"/>
    <col min="5932" max="5932" width="69.85546875" style="585" customWidth="1"/>
    <col min="5933" max="5936" width="11.7109375" style="585" customWidth="1"/>
    <col min="5937" max="5937" width="9.140625" style="585"/>
    <col min="5938" max="5938" width="11.7109375" style="585" customWidth="1"/>
    <col min="5939" max="5939" width="95.140625" style="585" customWidth="1"/>
    <col min="5940" max="5943" width="11.7109375" style="585" customWidth="1"/>
    <col min="5944" max="5944" width="9.140625" style="585"/>
    <col min="5945" max="5945" width="11.7109375" style="585" customWidth="1"/>
    <col min="5946" max="5946" width="95.140625" style="585" customWidth="1"/>
    <col min="5947" max="5950" width="11.7109375" style="585" customWidth="1"/>
    <col min="5951" max="5951" width="11.5703125" style="585" customWidth="1"/>
    <col min="5952" max="5952" width="11.7109375" style="585" customWidth="1"/>
    <col min="5953" max="5953" width="95.140625" style="585" customWidth="1"/>
    <col min="5954" max="5957" width="11.7109375" style="585" customWidth="1"/>
    <col min="5958" max="6146" width="9.140625" style="585"/>
    <col min="6147" max="6147" width="11.5703125" style="585" customWidth="1"/>
    <col min="6148" max="6148" width="103.140625" style="585" customWidth="1"/>
    <col min="6149" max="6152" width="11.7109375" style="585" customWidth="1"/>
    <col min="6153" max="6154" width="9.140625" style="585"/>
    <col min="6155" max="6155" width="11.7109375" style="585" customWidth="1"/>
    <col min="6156" max="6156" width="78.5703125" style="585" customWidth="1"/>
    <col min="6157" max="6160" width="11.7109375" style="585" customWidth="1"/>
    <col min="6161" max="6162" width="9.140625" style="585"/>
    <col min="6163" max="6163" width="11.7109375" style="585" customWidth="1"/>
    <col min="6164" max="6164" width="88.42578125" style="585" customWidth="1"/>
    <col min="6165" max="6168" width="11.7109375" style="585" customWidth="1"/>
    <col min="6169" max="6170" width="9.140625" style="585"/>
    <col min="6171" max="6171" width="11.7109375" style="585" customWidth="1"/>
    <col min="6172" max="6172" width="75.5703125" style="585" customWidth="1"/>
    <col min="6173" max="6176" width="11.7109375" style="585" customWidth="1"/>
    <col min="6177" max="6178" width="9.140625" style="585"/>
    <col min="6179" max="6179" width="11.7109375" style="585" customWidth="1"/>
    <col min="6180" max="6180" width="80.42578125" style="585" customWidth="1"/>
    <col min="6181" max="6184" width="11.7109375" style="585" customWidth="1"/>
    <col min="6185" max="6186" width="9.140625" style="585"/>
    <col min="6187" max="6187" width="11.7109375" style="585" customWidth="1"/>
    <col min="6188" max="6188" width="69.85546875" style="585" customWidth="1"/>
    <col min="6189" max="6192" width="11.7109375" style="585" customWidth="1"/>
    <col min="6193" max="6193" width="9.140625" style="585"/>
    <col min="6194" max="6194" width="11.7109375" style="585" customWidth="1"/>
    <col min="6195" max="6195" width="95.140625" style="585" customWidth="1"/>
    <col min="6196" max="6199" width="11.7109375" style="585" customWidth="1"/>
    <col min="6200" max="6200" width="9.140625" style="585"/>
    <col min="6201" max="6201" width="11.7109375" style="585" customWidth="1"/>
    <col min="6202" max="6202" width="95.140625" style="585" customWidth="1"/>
    <col min="6203" max="6206" width="11.7109375" style="585" customWidth="1"/>
    <col min="6207" max="6207" width="11.5703125" style="585" customWidth="1"/>
    <col min="6208" max="6208" width="11.7109375" style="585" customWidth="1"/>
    <col min="6209" max="6209" width="95.140625" style="585" customWidth="1"/>
    <col min="6210" max="6213" width="11.7109375" style="585" customWidth="1"/>
    <col min="6214" max="6402" width="9.140625" style="585"/>
    <col min="6403" max="6403" width="11.5703125" style="585" customWidth="1"/>
    <col min="6404" max="6404" width="103.140625" style="585" customWidth="1"/>
    <col min="6405" max="6408" width="11.7109375" style="585" customWidth="1"/>
    <col min="6409" max="6410" width="9.140625" style="585"/>
    <col min="6411" max="6411" width="11.7109375" style="585" customWidth="1"/>
    <col min="6412" max="6412" width="78.5703125" style="585" customWidth="1"/>
    <col min="6413" max="6416" width="11.7109375" style="585" customWidth="1"/>
    <col min="6417" max="6418" width="9.140625" style="585"/>
    <col min="6419" max="6419" width="11.7109375" style="585" customWidth="1"/>
    <col min="6420" max="6420" width="88.42578125" style="585" customWidth="1"/>
    <col min="6421" max="6424" width="11.7109375" style="585" customWidth="1"/>
    <col min="6425" max="6426" width="9.140625" style="585"/>
    <col min="6427" max="6427" width="11.7109375" style="585" customWidth="1"/>
    <col min="6428" max="6428" width="75.5703125" style="585" customWidth="1"/>
    <col min="6429" max="6432" width="11.7109375" style="585" customWidth="1"/>
    <col min="6433" max="6434" width="9.140625" style="585"/>
    <col min="6435" max="6435" width="11.7109375" style="585" customWidth="1"/>
    <col min="6436" max="6436" width="80.42578125" style="585" customWidth="1"/>
    <col min="6437" max="6440" width="11.7109375" style="585" customWidth="1"/>
    <col min="6441" max="6442" width="9.140625" style="585"/>
    <col min="6443" max="6443" width="11.7109375" style="585" customWidth="1"/>
    <col min="6444" max="6444" width="69.85546875" style="585" customWidth="1"/>
    <col min="6445" max="6448" width="11.7109375" style="585" customWidth="1"/>
    <col min="6449" max="6449" width="9.140625" style="585"/>
    <col min="6450" max="6450" width="11.7109375" style="585" customWidth="1"/>
    <col min="6451" max="6451" width="95.140625" style="585" customWidth="1"/>
    <col min="6452" max="6455" width="11.7109375" style="585" customWidth="1"/>
    <col min="6456" max="6456" width="9.140625" style="585"/>
    <col min="6457" max="6457" width="11.7109375" style="585" customWidth="1"/>
    <col min="6458" max="6458" width="95.140625" style="585" customWidth="1"/>
    <col min="6459" max="6462" width="11.7109375" style="585" customWidth="1"/>
    <col min="6463" max="6463" width="11.5703125" style="585" customWidth="1"/>
    <col min="6464" max="6464" width="11.7109375" style="585" customWidth="1"/>
    <col min="6465" max="6465" width="95.140625" style="585" customWidth="1"/>
    <col min="6466" max="6469" width="11.7109375" style="585" customWidth="1"/>
    <col min="6470" max="6658" width="9.140625" style="585"/>
    <col min="6659" max="6659" width="11.5703125" style="585" customWidth="1"/>
    <col min="6660" max="6660" width="103.140625" style="585" customWidth="1"/>
    <col min="6661" max="6664" width="11.7109375" style="585" customWidth="1"/>
    <col min="6665" max="6666" width="9.140625" style="585"/>
    <col min="6667" max="6667" width="11.7109375" style="585" customWidth="1"/>
    <col min="6668" max="6668" width="78.5703125" style="585" customWidth="1"/>
    <col min="6669" max="6672" width="11.7109375" style="585" customWidth="1"/>
    <col min="6673" max="6674" width="9.140625" style="585"/>
    <col min="6675" max="6675" width="11.7109375" style="585" customWidth="1"/>
    <col min="6676" max="6676" width="88.42578125" style="585" customWidth="1"/>
    <col min="6677" max="6680" width="11.7109375" style="585" customWidth="1"/>
    <col min="6681" max="6682" width="9.140625" style="585"/>
    <col min="6683" max="6683" width="11.7109375" style="585" customWidth="1"/>
    <col min="6684" max="6684" width="75.5703125" style="585" customWidth="1"/>
    <col min="6685" max="6688" width="11.7109375" style="585" customWidth="1"/>
    <col min="6689" max="6690" width="9.140625" style="585"/>
    <col min="6691" max="6691" width="11.7109375" style="585" customWidth="1"/>
    <col min="6692" max="6692" width="80.42578125" style="585" customWidth="1"/>
    <col min="6693" max="6696" width="11.7109375" style="585" customWidth="1"/>
    <col min="6697" max="6698" width="9.140625" style="585"/>
    <col min="6699" max="6699" width="11.7109375" style="585" customWidth="1"/>
    <col min="6700" max="6700" width="69.85546875" style="585" customWidth="1"/>
    <col min="6701" max="6704" width="11.7109375" style="585" customWidth="1"/>
    <col min="6705" max="6705" width="9.140625" style="585"/>
    <col min="6706" max="6706" width="11.7109375" style="585" customWidth="1"/>
    <col min="6707" max="6707" width="95.140625" style="585" customWidth="1"/>
    <col min="6708" max="6711" width="11.7109375" style="585" customWidth="1"/>
    <col min="6712" max="6712" width="9.140625" style="585"/>
    <col min="6713" max="6713" width="11.7109375" style="585" customWidth="1"/>
    <col min="6714" max="6714" width="95.140625" style="585" customWidth="1"/>
    <col min="6715" max="6718" width="11.7109375" style="585" customWidth="1"/>
    <col min="6719" max="6719" width="11.5703125" style="585" customWidth="1"/>
    <col min="6720" max="6720" width="11.7109375" style="585" customWidth="1"/>
    <col min="6721" max="6721" width="95.140625" style="585" customWidth="1"/>
    <col min="6722" max="6725" width="11.7109375" style="585" customWidth="1"/>
    <col min="6726" max="6914" width="9.140625" style="585"/>
    <col min="6915" max="6915" width="11.5703125" style="585" customWidth="1"/>
    <col min="6916" max="6916" width="103.140625" style="585" customWidth="1"/>
    <col min="6917" max="6920" width="11.7109375" style="585" customWidth="1"/>
    <col min="6921" max="6922" width="9.140625" style="585"/>
    <col min="6923" max="6923" width="11.7109375" style="585" customWidth="1"/>
    <col min="6924" max="6924" width="78.5703125" style="585" customWidth="1"/>
    <col min="6925" max="6928" width="11.7109375" style="585" customWidth="1"/>
    <col min="6929" max="6930" width="9.140625" style="585"/>
    <col min="6931" max="6931" width="11.7109375" style="585" customWidth="1"/>
    <col min="6932" max="6932" width="88.42578125" style="585" customWidth="1"/>
    <col min="6933" max="6936" width="11.7109375" style="585" customWidth="1"/>
    <col min="6937" max="6938" width="9.140625" style="585"/>
    <col min="6939" max="6939" width="11.7109375" style="585" customWidth="1"/>
    <col min="6940" max="6940" width="75.5703125" style="585" customWidth="1"/>
    <col min="6941" max="6944" width="11.7109375" style="585" customWidth="1"/>
    <col min="6945" max="6946" width="9.140625" style="585"/>
    <col min="6947" max="6947" width="11.7109375" style="585" customWidth="1"/>
    <col min="6948" max="6948" width="80.42578125" style="585" customWidth="1"/>
    <col min="6949" max="6952" width="11.7109375" style="585" customWidth="1"/>
    <col min="6953" max="6954" width="9.140625" style="585"/>
    <col min="6955" max="6955" width="11.7109375" style="585" customWidth="1"/>
    <col min="6956" max="6956" width="69.85546875" style="585" customWidth="1"/>
    <col min="6957" max="6960" width="11.7109375" style="585" customWidth="1"/>
    <col min="6961" max="6961" width="9.140625" style="585"/>
    <col min="6962" max="6962" width="11.7109375" style="585" customWidth="1"/>
    <col min="6963" max="6963" width="95.140625" style="585" customWidth="1"/>
    <col min="6964" max="6967" width="11.7109375" style="585" customWidth="1"/>
    <col min="6968" max="6968" width="9.140625" style="585"/>
    <col min="6969" max="6969" width="11.7109375" style="585" customWidth="1"/>
    <col min="6970" max="6970" width="95.140625" style="585" customWidth="1"/>
    <col min="6971" max="6974" width="11.7109375" style="585" customWidth="1"/>
    <col min="6975" max="6975" width="11.5703125" style="585" customWidth="1"/>
    <col min="6976" max="6976" width="11.7109375" style="585" customWidth="1"/>
    <col min="6977" max="6977" width="95.140625" style="585" customWidth="1"/>
    <col min="6978" max="6981" width="11.7109375" style="585" customWidth="1"/>
    <col min="6982" max="7170" width="9.140625" style="585"/>
    <col min="7171" max="7171" width="11.5703125" style="585" customWidth="1"/>
    <col min="7172" max="7172" width="103.140625" style="585" customWidth="1"/>
    <col min="7173" max="7176" width="11.7109375" style="585" customWidth="1"/>
    <col min="7177" max="7178" width="9.140625" style="585"/>
    <col min="7179" max="7179" width="11.7109375" style="585" customWidth="1"/>
    <col min="7180" max="7180" width="78.5703125" style="585" customWidth="1"/>
    <col min="7181" max="7184" width="11.7109375" style="585" customWidth="1"/>
    <col min="7185" max="7186" width="9.140625" style="585"/>
    <col min="7187" max="7187" width="11.7109375" style="585" customWidth="1"/>
    <col min="7188" max="7188" width="88.42578125" style="585" customWidth="1"/>
    <col min="7189" max="7192" width="11.7109375" style="585" customWidth="1"/>
    <col min="7193" max="7194" width="9.140625" style="585"/>
    <col min="7195" max="7195" width="11.7109375" style="585" customWidth="1"/>
    <col min="7196" max="7196" width="75.5703125" style="585" customWidth="1"/>
    <col min="7197" max="7200" width="11.7109375" style="585" customWidth="1"/>
    <col min="7201" max="7202" width="9.140625" style="585"/>
    <col min="7203" max="7203" width="11.7109375" style="585" customWidth="1"/>
    <col min="7204" max="7204" width="80.42578125" style="585" customWidth="1"/>
    <col min="7205" max="7208" width="11.7109375" style="585" customWidth="1"/>
    <col min="7209" max="7210" width="9.140625" style="585"/>
    <col min="7211" max="7211" width="11.7109375" style="585" customWidth="1"/>
    <col min="7212" max="7212" width="69.85546875" style="585" customWidth="1"/>
    <col min="7213" max="7216" width="11.7109375" style="585" customWidth="1"/>
    <col min="7217" max="7217" width="9.140625" style="585"/>
    <col min="7218" max="7218" width="11.7109375" style="585" customWidth="1"/>
    <col min="7219" max="7219" width="95.140625" style="585" customWidth="1"/>
    <col min="7220" max="7223" width="11.7109375" style="585" customWidth="1"/>
    <col min="7224" max="7224" width="9.140625" style="585"/>
    <col min="7225" max="7225" width="11.7109375" style="585" customWidth="1"/>
    <col min="7226" max="7226" width="95.140625" style="585" customWidth="1"/>
    <col min="7227" max="7230" width="11.7109375" style="585" customWidth="1"/>
    <col min="7231" max="7231" width="11.5703125" style="585" customWidth="1"/>
    <col min="7232" max="7232" width="11.7109375" style="585" customWidth="1"/>
    <col min="7233" max="7233" width="95.140625" style="585" customWidth="1"/>
    <col min="7234" max="7237" width="11.7109375" style="585" customWidth="1"/>
    <col min="7238" max="7426" width="9.140625" style="585"/>
    <col min="7427" max="7427" width="11.5703125" style="585" customWidth="1"/>
    <col min="7428" max="7428" width="103.140625" style="585" customWidth="1"/>
    <col min="7429" max="7432" width="11.7109375" style="585" customWidth="1"/>
    <col min="7433" max="7434" width="9.140625" style="585"/>
    <col min="7435" max="7435" width="11.7109375" style="585" customWidth="1"/>
    <col min="7436" max="7436" width="78.5703125" style="585" customWidth="1"/>
    <col min="7437" max="7440" width="11.7109375" style="585" customWidth="1"/>
    <col min="7441" max="7442" width="9.140625" style="585"/>
    <col min="7443" max="7443" width="11.7109375" style="585" customWidth="1"/>
    <col min="7444" max="7444" width="88.42578125" style="585" customWidth="1"/>
    <col min="7445" max="7448" width="11.7109375" style="585" customWidth="1"/>
    <col min="7449" max="7450" width="9.140625" style="585"/>
    <col min="7451" max="7451" width="11.7109375" style="585" customWidth="1"/>
    <col min="7452" max="7452" width="75.5703125" style="585" customWidth="1"/>
    <col min="7453" max="7456" width="11.7109375" style="585" customWidth="1"/>
    <col min="7457" max="7458" width="9.140625" style="585"/>
    <col min="7459" max="7459" width="11.7109375" style="585" customWidth="1"/>
    <col min="7460" max="7460" width="80.42578125" style="585" customWidth="1"/>
    <col min="7461" max="7464" width="11.7109375" style="585" customWidth="1"/>
    <col min="7465" max="7466" width="9.140625" style="585"/>
    <col min="7467" max="7467" width="11.7109375" style="585" customWidth="1"/>
    <col min="7468" max="7468" width="69.85546875" style="585" customWidth="1"/>
    <col min="7469" max="7472" width="11.7109375" style="585" customWidth="1"/>
    <col min="7473" max="7473" width="9.140625" style="585"/>
    <col min="7474" max="7474" width="11.7109375" style="585" customWidth="1"/>
    <col min="7475" max="7475" width="95.140625" style="585" customWidth="1"/>
    <col min="7476" max="7479" width="11.7109375" style="585" customWidth="1"/>
    <col min="7480" max="7480" width="9.140625" style="585"/>
    <col min="7481" max="7481" width="11.7109375" style="585" customWidth="1"/>
    <col min="7482" max="7482" width="95.140625" style="585" customWidth="1"/>
    <col min="7483" max="7486" width="11.7109375" style="585" customWidth="1"/>
    <col min="7487" max="7487" width="11.5703125" style="585" customWidth="1"/>
    <col min="7488" max="7488" width="11.7109375" style="585" customWidth="1"/>
    <col min="7489" max="7489" width="95.140625" style="585" customWidth="1"/>
    <col min="7490" max="7493" width="11.7109375" style="585" customWidth="1"/>
    <col min="7494" max="7682" width="9.140625" style="585"/>
    <col min="7683" max="7683" width="11.5703125" style="585" customWidth="1"/>
    <col min="7684" max="7684" width="103.140625" style="585" customWidth="1"/>
    <col min="7685" max="7688" width="11.7109375" style="585" customWidth="1"/>
    <col min="7689" max="7690" width="9.140625" style="585"/>
    <col min="7691" max="7691" width="11.7109375" style="585" customWidth="1"/>
    <col min="7692" max="7692" width="78.5703125" style="585" customWidth="1"/>
    <col min="7693" max="7696" width="11.7109375" style="585" customWidth="1"/>
    <col min="7697" max="7698" width="9.140625" style="585"/>
    <col min="7699" max="7699" width="11.7109375" style="585" customWidth="1"/>
    <col min="7700" max="7700" width="88.42578125" style="585" customWidth="1"/>
    <col min="7701" max="7704" width="11.7109375" style="585" customWidth="1"/>
    <col min="7705" max="7706" width="9.140625" style="585"/>
    <col min="7707" max="7707" width="11.7109375" style="585" customWidth="1"/>
    <col min="7708" max="7708" width="75.5703125" style="585" customWidth="1"/>
    <col min="7709" max="7712" width="11.7109375" style="585" customWidth="1"/>
    <col min="7713" max="7714" width="9.140625" style="585"/>
    <col min="7715" max="7715" width="11.7109375" style="585" customWidth="1"/>
    <col min="7716" max="7716" width="80.42578125" style="585" customWidth="1"/>
    <col min="7717" max="7720" width="11.7109375" style="585" customWidth="1"/>
    <col min="7721" max="7722" width="9.140625" style="585"/>
    <col min="7723" max="7723" width="11.7109375" style="585" customWidth="1"/>
    <col min="7724" max="7724" width="69.85546875" style="585" customWidth="1"/>
    <col min="7725" max="7728" width="11.7109375" style="585" customWidth="1"/>
    <col min="7729" max="7729" width="9.140625" style="585"/>
    <col min="7730" max="7730" width="11.7109375" style="585" customWidth="1"/>
    <col min="7731" max="7731" width="95.140625" style="585" customWidth="1"/>
    <col min="7732" max="7735" width="11.7109375" style="585" customWidth="1"/>
    <col min="7736" max="7736" width="9.140625" style="585"/>
    <col min="7737" max="7737" width="11.7109375" style="585" customWidth="1"/>
    <col min="7738" max="7738" width="95.140625" style="585" customWidth="1"/>
    <col min="7739" max="7742" width="11.7109375" style="585" customWidth="1"/>
    <col min="7743" max="7743" width="11.5703125" style="585" customWidth="1"/>
    <col min="7744" max="7744" width="11.7109375" style="585" customWidth="1"/>
    <col min="7745" max="7745" width="95.140625" style="585" customWidth="1"/>
    <col min="7746" max="7749" width="11.7109375" style="585" customWidth="1"/>
    <col min="7750" max="7938" width="9.140625" style="585"/>
    <col min="7939" max="7939" width="11.5703125" style="585" customWidth="1"/>
    <col min="7940" max="7940" width="103.140625" style="585" customWidth="1"/>
    <col min="7941" max="7944" width="11.7109375" style="585" customWidth="1"/>
    <col min="7945" max="7946" width="9.140625" style="585"/>
    <col min="7947" max="7947" width="11.7109375" style="585" customWidth="1"/>
    <col min="7948" max="7948" width="78.5703125" style="585" customWidth="1"/>
    <col min="7949" max="7952" width="11.7109375" style="585" customWidth="1"/>
    <col min="7953" max="7954" width="9.140625" style="585"/>
    <col min="7955" max="7955" width="11.7109375" style="585" customWidth="1"/>
    <col min="7956" max="7956" width="88.42578125" style="585" customWidth="1"/>
    <col min="7957" max="7960" width="11.7109375" style="585" customWidth="1"/>
    <col min="7961" max="7962" width="9.140625" style="585"/>
    <col min="7963" max="7963" width="11.7109375" style="585" customWidth="1"/>
    <col min="7964" max="7964" width="75.5703125" style="585" customWidth="1"/>
    <col min="7965" max="7968" width="11.7109375" style="585" customWidth="1"/>
    <col min="7969" max="7970" width="9.140625" style="585"/>
    <col min="7971" max="7971" width="11.7109375" style="585" customWidth="1"/>
    <col min="7972" max="7972" width="80.42578125" style="585" customWidth="1"/>
    <col min="7973" max="7976" width="11.7109375" style="585" customWidth="1"/>
    <col min="7977" max="7978" width="9.140625" style="585"/>
    <col min="7979" max="7979" width="11.7109375" style="585" customWidth="1"/>
    <col min="7980" max="7980" width="69.85546875" style="585" customWidth="1"/>
    <col min="7981" max="7984" width="11.7109375" style="585" customWidth="1"/>
    <col min="7985" max="7985" width="9.140625" style="585"/>
    <col min="7986" max="7986" width="11.7109375" style="585" customWidth="1"/>
    <col min="7987" max="7987" width="95.140625" style="585" customWidth="1"/>
    <col min="7988" max="7991" width="11.7109375" style="585" customWidth="1"/>
    <col min="7992" max="7992" width="9.140625" style="585"/>
    <col min="7993" max="7993" width="11.7109375" style="585" customWidth="1"/>
    <col min="7994" max="7994" width="95.140625" style="585" customWidth="1"/>
    <col min="7995" max="7998" width="11.7109375" style="585" customWidth="1"/>
    <col min="7999" max="7999" width="11.5703125" style="585" customWidth="1"/>
    <col min="8000" max="8000" width="11.7109375" style="585" customWidth="1"/>
    <col min="8001" max="8001" width="95.140625" style="585" customWidth="1"/>
    <col min="8002" max="8005" width="11.7109375" style="585" customWidth="1"/>
    <col min="8006" max="8194" width="9.140625" style="585"/>
    <col min="8195" max="8195" width="11.5703125" style="585" customWidth="1"/>
    <col min="8196" max="8196" width="103.140625" style="585" customWidth="1"/>
    <col min="8197" max="8200" width="11.7109375" style="585" customWidth="1"/>
    <col min="8201" max="8202" width="9.140625" style="585"/>
    <col min="8203" max="8203" width="11.7109375" style="585" customWidth="1"/>
    <col min="8204" max="8204" width="78.5703125" style="585" customWidth="1"/>
    <col min="8205" max="8208" width="11.7109375" style="585" customWidth="1"/>
    <col min="8209" max="8210" width="9.140625" style="585"/>
    <col min="8211" max="8211" width="11.7109375" style="585" customWidth="1"/>
    <col min="8212" max="8212" width="88.42578125" style="585" customWidth="1"/>
    <col min="8213" max="8216" width="11.7109375" style="585" customWidth="1"/>
    <col min="8217" max="8218" width="9.140625" style="585"/>
    <col min="8219" max="8219" width="11.7109375" style="585" customWidth="1"/>
    <col min="8220" max="8220" width="75.5703125" style="585" customWidth="1"/>
    <col min="8221" max="8224" width="11.7109375" style="585" customWidth="1"/>
    <col min="8225" max="8226" width="9.140625" style="585"/>
    <col min="8227" max="8227" width="11.7109375" style="585" customWidth="1"/>
    <col min="8228" max="8228" width="80.42578125" style="585" customWidth="1"/>
    <col min="8229" max="8232" width="11.7109375" style="585" customWidth="1"/>
    <col min="8233" max="8234" width="9.140625" style="585"/>
    <col min="8235" max="8235" width="11.7109375" style="585" customWidth="1"/>
    <col min="8236" max="8236" width="69.85546875" style="585" customWidth="1"/>
    <col min="8237" max="8240" width="11.7109375" style="585" customWidth="1"/>
    <col min="8241" max="8241" width="9.140625" style="585"/>
    <col min="8242" max="8242" width="11.7109375" style="585" customWidth="1"/>
    <col min="8243" max="8243" width="95.140625" style="585" customWidth="1"/>
    <col min="8244" max="8247" width="11.7109375" style="585" customWidth="1"/>
    <col min="8248" max="8248" width="9.140625" style="585"/>
    <col min="8249" max="8249" width="11.7109375" style="585" customWidth="1"/>
    <col min="8250" max="8250" width="95.140625" style="585" customWidth="1"/>
    <col min="8251" max="8254" width="11.7109375" style="585" customWidth="1"/>
    <col min="8255" max="8255" width="11.5703125" style="585" customWidth="1"/>
    <col min="8256" max="8256" width="11.7109375" style="585" customWidth="1"/>
    <col min="8257" max="8257" width="95.140625" style="585" customWidth="1"/>
    <col min="8258" max="8261" width="11.7109375" style="585" customWidth="1"/>
    <col min="8262" max="8450" width="9.140625" style="585"/>
    <col min="8451" max="8451" width="11.5703125" style="585" customWidth="1"/>
    <col min="8452" max="8452" width="103.140625" style="585" customWidth="1"/>
    <col min="8453" max="8456" width="11.7109375" style="585" customWidth="1"/>
    <col min="8457" max="8458" width="9.140625" style="585"/>
    <col min="8459" max="8459" width="11.7109375" style="585" customWidth="1"/>
    <col min="8460" max="8460" width="78.5703125" style="585" customWidth="1"/>
    <col min="8461" max="8464" width="11.7109375" style="585" customWidth="1"/>
    <col min="8465" max="8466" width="9.140625" style="585"/>
    <col min="8467" max="8467" width="11.7109375" style="585" customWidth="1"/>
    <col min="8468" max="8468" width="88.42578125" style="585" customWidth="1"/>
    <col min="8469" max="8472" width="11.7109375" style="585" customWidth="1"/>
    <col min="8473" max="8474" width="9.140625" style="585"/>
    <col min="8475" max="8475" width="11.7109375" style="585" customWidth="1"/>
    <col min="8476" max="8476" width="75.5703125" style="585" customWidth="1"/>
    <col min="8477" max="8480" width="11.7109375" style="585" customWidth="1"/>
    <col min="8481" max="8482" width="9.140625" style="585"/>
    <col min="8483" max="8483" width="11.7109375" style="585" customWidth="1"/>
    <col min="8484" max="8484" width="80.42578125" style="585" customWidth="1"/>
    <col min="8485" max="8488" width="11.7109375" style="585" customWidth="1"/>
    <col min="8489" max="8490" width="9.140625" style="585"/>
    <col min="8491" max="8491" width="11.7109375" style="585" customWidth="1"/>
    <col min="8492" max="8492" width="69.85546875" style="585" customWidth="1"/>
    <col min="8493" max="8496" width="11.7109375" style="585" customWidth="1"/>
    <col min="8497" max="8497" width="9.140625" style="585"/>
    <col min="8498" max="8498" width="11.7109375" style="585" customWidth="1"/>
    <col min="8499" max="8499" width="95.140625" style="585" customWidth="1"/>
    <col min="8500" max="8503" width="11.7109375" style="585" customWidth="1"/>
    <col min="8504" max="8504" width="9.140625" style="585"/>
    <col min="8505" max="8505" width="11.7109375" style="585" customWidth="1"/>
    <col min="8506" max="8506" width="95.140625" style="585" customWidth="1"/>
    <col min="8507" max="8510" width="11.7109375" style="585" customWidth="1"/>
    <col min="8511" max="8511" width="11.5703125" style="585" customWidth="1"/>
    <col min="8512" max="8512" width="11.7109375" style="585" customWidth="1"/>
    <col min="8513" max="8513" width="95.140625" style="585" customWidth="1"/>
    <col min="8514" max="8517" width="11.7109375" style="585" customWidth="1"/>
    <col min="8518" max="8706" width="9.140625" style="585"/>
    <col min="8707" max="8707" width="11.5703125" style="585" customWidth="1"/>
    <col min="8708" max="8708" width="103.140625" style="585" customWidth="1"/>
    <col min="8709" max="8712" width="11.7109375" style="585" customWidth="1"/>
    <col min="8713" max="8714" width="9.140625" style="585"/>
    <col min="8715" max="8715" width="11.7109375" style="585" customWidth="1"/>
    <col min="8716" max="8716" width="78.5703125" style="585" customWidth="1"/>
    <col min="8717" max="8720" width="11.7109375" style="585" customWidth="1"/>
    <col min="8721" max="8722" width="9.140625" style="585"/>
    <col min="8723" max="8723" width="11.7109375" style="585" customWidth="1"/>
    <col min="8724" max="8724" width="88.42578125" style="585" customWidth="1"/>
    <col min="8725" max="8728" width="11.7109375" style="585" customWidth="1"/>
    <col min="8729" max="8730" width="9.140625" style="585"/>
    <col min="8731" max="8731" width="11.7109375" style="585" customWidth="1"/>
    <col min="8732" max="8732" width="75.5703125" style="585" customWidth="1"/>
    <col min="8733" max="8736" width="11.7109375" style="585" customWidth="1"/>
    <col min="8737" max="8738" width="9.140625" style="585"/>
    <col min="8739" max="8739" width="11.7109375" style="585" customWidth="1"/>
    <col min="8740" max="8740" width="80.42578125" style="585" customWidth="1"/>
    <col min="8741" max="8744" width="11.7109375" style="585" customWidth="1"/>
    <col min="8745" max="8746" width="9.140625" style="585"/>
    <col min="8747" max="8747" width="11.7109375" style="585" customWidth="1"/>
    <col min="8748" max="8748" width="69.85546875" style="585" customWidth="1"/>
    <col min="8749" max="8752" width="11.7109375" style="585" customWidth="1"/>
    <col min="8753" max="8753" width="9.140625" style="585"/>
    <col min="8754" max="8754" width="11.7109375" style="585" customWidth="1"/>
    <col min="8755" max="8755" width="95.140625" style="585" customWidth="1"/>
    <col min="8756" max="8759" width="11.7109375" style="585" customWidth="1"/>
    <col min="8760" max="8760" width="9.140625" style="585"/>
    <col min="8761" max="8761" width="11.7109375" style="585" customWidth="1"/>
    <col min="8762" max="8762" width="95.140625" style="585" customWidth="1"/>
    <col min="8763" max="8766" width="11.7109375" style="585" customWidth="1"/>
    <col min="8767" max="8767" width="11.5703125" style="585" customWidth="1"/>
    <col min="8768" max="8768" width="11.7109375" style="585" customWidth="1"/>
    <col min="8769" max="8769" width="95.140625" style="585" customWidth="1"/>
    <col min="8770" max="8773" width="11.7109375" style="585" customWidth="1"/>
    <col min="8774" max="8962" width="9.140625" style="585"/>
    <col min="8963" max="8963" width="11.5703125" style="585" customWidth="1"/>
    <col min="8964" max="8964" width="103.140625" style="585" customWidth="1"/>
    <col min="8965" max="8968" width="11.7109375" style="585" customWidth="1"/>
    <col min="8969" max="8970" width="9.140625" style="585"/>
    <col min="8971" max="8971" width="11.7109375" style="585" customWidth="1"/>
    <col min="8972" max="8972" width="78.5703125" style="585" customWidth="1"/>
    <col min="8973" max="8976" width="11.7109375" style="585" customWidth="1"/>
    <col min="8977" max="8978" width="9.140625" style="585"/>
    <col min="8979" max="8979" width="11.7109375" style="585" customWidth="1"/>
    <col min="8980" max="8980" width="88.42578125" style="585" customWidth="1"/>
    <col min="8981" max="8984" width="11.7109375" style="585" customWidth="1"/>
    <col min="8985" max="8986" width="9.140625" style="585"/>
    <col min="8987" max="8987" width="11.7109375" style="585" customWidth="1"/>
    <col min="8988" max="8988" width="75.5703125" style="585" customWidth="1"/>
    <col min="8989" max="8992" width="11.7109375" style="585" customWidth="1"/>
    <col min="8993" max="8994" width="9.140625" style="585"/>
    <col min="8995" max="8995" width="11.7109375" style="585" customWidth="1"/>
    <col min="8996" max="8996" width="80.42578125" style="585" customWidth="1"/>
    <col min="8997" max="9000" width="11.7109375" style="585" customWidth="1"/>
    <col min="9001" max="9002" width="9.140625" style="585"/>
    <col min="9003" max="9003" width="11.7109375" style="585" customWidth="1"/>
    <col min="9004" max="9004" width="69.85546875" style="585" customWidth="1"/>
    <col min="9005" max="9008" width="11.7109375" style="585" customWidth="1"/>
    <col min="9009" max="9009" width="9.140625" style="585"/>
    <col min="9010" max="9010" width="11.7109375" style="585" customWidth="1"/>
    <col min="9011" max="9011" width="95.140625" style="585" customWidth="1"/>
    <col min="9012" max="9015" width="11.7109375" style="585" customWidth="1"/>
    <col min="9016" max="9016" width="9.140625" style="585"/>
    <col min="9017" max="9017" width="11.7109375" style="585" customWidth="1"/>
    <col min="9018" max="9018" width="95.140625" style="585" customWidth="1"/>
    <col min="9019" max="9022" width="11.7109375" style="585" customWidth="1"/>
    <col min="9023" max="9023" width="11.5703125" style="585" customWidth="1"/>
    <col min="9024" max="9024" width="11.7109375" style="585" customWidth="1"/>
    <col min="9025" max="9025" width="95.140625" style="585" customWidth="1"/>
    <col min="9026" max="9029" width="11.7109375" style="585" customWidth="1"/>
    <col min="9030" max="9218" width="9.140625" style="585"/>
    <col min="9219" max="9219" width="11.5703125" style="585" customWidth="1"/>
    <col min="9220" max="9220" width="103.140625" style="585" customWidth="1"/>
    <col min="9221" max="9224" width="11.7109375" style="585" customWidth="1"/>
    <col min="9225" max="9226" width="9.140625" style="585"/>
    <col min="9227" max="9227" width="11.7109375" style="585" customWidth="1"/>
    <col min="9228" max="9228" width="78.5703125" style="585" customWidth="1"/>
    <col min="9229" max="9232" width="11.7109375" style="585" customWidth="1"/>
    <col min="9233" max="9234" width="9.140625" style="585"/>
    <col min="9235" max="9235" width="11.7109375" style="585" customWidth="1"/>
    <col min="9236" max="9236" width="88.42578125" style="585" customWidth="1"/>
    <col min="9237" max="9240" width="11.7109375" style="585" customWidth="1"/>
    <col min="9241" max="9242" width="9.140625" style="585"/>
    <col min="9243" max="9243" width="11.7109375" style="585" customWidth="1"/>
    <col min="9244" max="9244" width="75.5703125" style="585" customWidth="1"/>
    <col min="9245" max="9248" width="11.7109375" style="585" customWidth="1"/>
    <col min="9249" max="9250" width="9.140625" style="585"/>
    <col min="9251" max="9251" width="11.7109375" style="585" customWidth="1"/>
    <col min="9252" max="9252" width="80.42578125" style="585" customWidth="1"/>
    <col min="9253" max="9256" width="11.7109375" style="585" customWidth="1"/>
    <col min="9257" max="9258" width="9.140625" style="585"/>
    <col min="9259" max="9259" width="11.7109375" style="585" customWidth="1"/>
    <col min="9260" max="9260" width="69.85546875" style="585" customWidth="1"/>
    <col min="9261" max="9264" width="11.7109375" style="585" customWidth="1"/>
    <col min="9265" max="9265" width="9.140625" style="585"/>
    <col min="9266" max="9266" width="11.7109375" style="585" customWidth="1"/>
    <col min="9267" max="9267" width="95.140625" style="585" customWidth="1"/>
    <col min="9268" max="9271" width="11.7109375" style="585" customWidth="1"/>
    <col min="9272" max="9272" width="9.140625" style="585"/>
    <col min="9273" max="9273" width="11.7109375" style="585" customWidth="1"/>
    <col min="9274" max="9274" width="95.140625" style="585" customWidth="1"/>
    <col min="9275" max="9278" width="11.7109375" style="585" customWidth="1"/>
    <col min="9279" max="9279" width="11.5703125" style="585" customWidth="1"/>
    <col min="9280" max="9280" width="11.7109375" style="585" customWidth="1"/>
    <col min="9281" max="9281" width="95.140625" style="585" customWidth="1"/>
    <col min="9282" max="9285" width="11.7109375" style="585" customWidth="1"/>
    <col min="9286" max="9474" width="9.140625" style="585"/>
    <col min="9475" max="9475" width="11.5703125" style="585" customWidth="1"/>
    <col min="9476" max="9476" width="103.140625" style="585" customWidth="1"/>
    <col min="9477" max="9480" width="11.7109375" style="585" customWidth="1"/>
    <col min="9481" max="9482" width="9.140625" style="585"/>
    <col min="9483" max="9483" width="11.7109375" style="585" customWidth="1"/>
    <col min="9484" max="9484" width="78.5703125" style="585" customWidth="1"/>
    <col min="9485" max="9488" width="11.7109375" style="585" customWidth="1"/>
    <col min="9489" max="9490" width="9.140625" style="585"/>
    <col min="9491" max="9491" width="11.7109375" style="585" customWidth="1"/>
    <col min="9492" max="9492" width="88.42578125" style="585" customWidth="1"/>
    <col min="9493" max="9496" width="11.7109375" style="585" customWidth="1"/>
    <col min="9497" max="9498" width="9.140625" style="585"/>
    <col min="9499" max="9499" width="11.7109375" style="585" customWidth="1"/>
    <col min="9500" max="9500" width="75.5703125" style="585" customWidth="1"/>
    <col min="9501" max="9504" width="11.7109375" style="585" customWidth="1"/>
    <col min="9505" max="9506" width="9.140625" style="585"/>
    <col min="9507" max="9507" width="11.7109375" style="585" customWidth="1"/>
    <col min="9508" max="9508" width="80.42578125" style="585" customWidth="1"/>
    <col min="9509" max="9512" width="11.7109375" style="585" customWidth="1"/>
    <col min="9513" max="9514" width="9.140625" style="585"/>
    <col min="9515" max="9515" width="11.7109375" style="585" customWidth="1"/>
    <col min="9516" max="9516" width="69.85546875" style="585" customWidth="1"/>
    <col min="9517" max="9520" width="11.7109375" style="585" customWidth="1"/>
    <col min="9521" max="9521" width="9.140625" style="585"/>
    <col min="9522" max="9522" width="11.7109375" style="585" customWidth="1"/>
    <col min="9523" max="9523" width="95.140625" style="585" customWidth="1"/>
    <col min="9524" max="9527" width="11.7109375" style="585" customWidth="1"/>
    <col min="9528" max="9528" width="9.140625" style="585"/>
    <col min="9529" max="9529" width="11.7109375" style="585" customWidth="1"/>
    <col min="9530" max="9530" width="95.140625" style="585" customWidth="1"/>
    <col min="9531" max="9534" width="11.7109375" style="585" customWidth="1"/>
    <col min="9535" max="9535" width="11.5703125" style="585" customWidth="1"/>
    <col min="9536" max="9536" width="11.7109375" style="585" customWidth="1"/>
    <col min="9537" max="9537" width="95.140625" style="585" customWidth="1"/>
    <col min="9538" max="9541" width="11.7109375" style="585" customWidth="1"/>
    <col min="9542" max="9730" width="9.140625" style="585"/>
    <col min="9731" max="9731" width="11.5703125" style="585" customWidth="1"/>
    <col min="9732" max="9732" width="103.140625" style="585" customWidth="1"/>
    <col min="9733" max="9736" width="11.7109375" style="585" customWidth="1"/>
    <col min="9737" max="9738" width="9.140625" style="585"/>
    <col min="9739" max="9739" width="11.7109375" style="585" customWidth="1"/>
    <col min="9740" max="9740" width="78.5703125" style="585" customWidth="1"/>
    <col min="9741" max="9744" width="11.7109375" style="585" customWidth="1"/>
    <col min="9745" max="9746" width="9.140625" style="585"/>
    <col min="9747" max="9747" width="11.7109375" style="585" customWidth="1"/>
    <col min="9748" max="9748" width="88.42578125" style="585" customWidth="1"/>
    <col min="9749" max="9752" width="11.7109375" style="585" customWidth="1"/>
    <col min="9753" max="9754" width="9.140625" style="585"/>
    <col min="9755" max="9755" width="11.7109375" style="585" customWidth="1"/>
    <col min="9756" max="9756" width="75.5703125" style="585" customWidth="1"/>
    <col min="9757" max="9760" width="11.7109375" style="585" customWidth="1"/>
    <col min="9761" max="9762" width="9.140625" style="585"/>
    <col min="9763" max="9763" width="11.7109375" style="585" customWidth="1"/>
    <col min="9764" max="9764" width="80.42578125" style="585" customWidth="1"/>
    <col min="9765" max="9768" width="11.7109375" style="585" customWidth="1"/>
    <col min="9769" max="9770" width="9.140625" style="585"/>
    <col min="9771" max="9771" width="11.7109375" style="585" customWidth="1"/>
    <col min="9772" max="9772" width="69.85546875" style="585" customWidth="1"/>
    <col min="9773" max="9776" width="11.7109375" style="585" customWidth="1"/>
    <col min="9777" max="9777" width="9.140625" style="585"/>
    <col min="9778" max="9778" width="11.7109375" style="585" customWidth="1"/>
    <col min="9779" max="9779" width="95.140625" style="585" customWidth="1"/>
    <col min="9780" max="9783" width="11.7109375" style="585" customWidth="1"/>
    <col min="9784" max="9784" width="9.140625" style="585"/>
    <col min="9785" max="9785" width="11.7109375" style="585" customWidth="1"/>
    <col min="9786" max="9786" width="95.140625" style="585" customWidth="1"/>
    <col min="9787" max="9790" width="11.7109375" style="585" customWidth="1"/>
    <col min="9791" max="9791" width="11.5703125" style="585" customWidth="1"/>
    <col min="9792" max="9792" width="11.7109375" style="585" customWidth="1"/>
    <col min="9793" max="9793" width="95.140625" style="585" customWidth="1"/>
    <col min="9794" max="9797" width="11.7109375" style="585" customWidth="1"/>
    <col min="9798" max="9986" width="9.140625" style="585"/>
    <col min="9987" max="9987" width="11.5703125" style="585" customWidth="1"/>
    <col min="9988" max="9988" width="103.140625" style="585" customWidth="1"/>
    <col min="9989" max="9992" width="11.7109375" style="585" customWidth="1"/>
    <col min="9993" max="9994" width="9.140625" style="585"/>
    <col min="9995" max="9995" width="11.7109375" style="585" customWidth="1"/>
    <col min="9996" max="9996" width="78.5703125" style="585" customWidth="1"/>
    <col min="9997" max="10000" width="11.7109375" style="585" customWidth="1"/>
    <col min="10001" max="10002" width="9.140625" style="585"/>
    <col min="10003" max="10003" width="11.7109375" style="585" customWidth="1"/>
    <col min="10004" max="10004" width="88.42578125" style="585" customWidth="1"/>
    <col min="10005" max="10008" width="11.7109375" style="585" customWidth="1"/>
    <col min="10009" max="10010" width="9.140625" style="585"/>
    <col min="10011" max="10011" width="11.7109375" style="585" customWidth="1"/>
    <col min="10012" max="10012" width="75.5703125" style="585" customWidth="1"/>
    <col min="10013" max="10016" width="11.7109375" style="585" customWidth="1"/>
    <col min="10017" max="10018" width="9.140625" style="585"/>
    <col min="10019" max="10019" width="11.7109375" style="585" customWidth="1"/>
    <col min="10020" max="10020" width="80.42578125" style="585" customWidth="1"/>
    <col min="10021" max="10024" width="11.7109375" style="585" customWidth="1"/>
    <col min="10025" max="10026" width="9.140625" style="585"/>
    <col min="10027" max="10027" width="11.7109375" style="585" customWidth="1"/>
    <col min="10028" max="10028" width="69.85546875" style="585" customWidth="1"/>
    <col min="10029" max="10032" width="11.7109375" style="585" customWidth="1"/>
    <col min="10033" max="10033" width="9.140625" style="585"/>
    <col min="10034" max="10034" width="11.7109375" style="585" customWidth="1"/>
    <col min="10035" max="10035" width="95.140625" style="585" customWidth="1"/>
    <col min="10036" max="10039" width="11.7109375" style="585" customWidth="1"/>
    <col min="10040" max="10040" width="9.140625" style="585"/>
    <col min="10041" max="10041" width="11.7109375" style="585" customWidth="1"/>
    <col min="10042" max="10042" width="95.140625" style="585" customWidth="1"/>
    <col min="10043" max="10046" width="11.7109375" style="585" customWidth="1"/>
    <col min="10047" max="10047" width="11.5703125" style="585" customWidth="1"/>
    <col min="10048" max="10048" width="11.7109375" style="585" customWidth="1"/>
    <col min="10049" max="10049" width="95.140625" style="585" customWidth="1"/>
    <col min="10050" max="10053" width="11.7109375" style="585" customWidth="1"/>
    <col min="10054" max="10242" width="9.140625" style="585"/>
    <col min="10243" max="10243" width="11.5703125" style="585" customWidth="1"/>
    <col min="10244" max="10244" width="103.140625" style="585" customWidth="1"/>
    <col min="10245" max="10248" width="11.7109375" style="585" customWidth="1"/>
    <col min="10249" max="10250" width="9.140625" style="585"/>
    <col min="10251" max="10251" width="11.7109375" style="585" customWidth="1"/>
    <col min="10252" max="10252" width="78.5703125" style="585" customWidth="1"/>
    <col min="10253" max="10256" width="11.7109375" style="585" customWidth="1"/>
    <col min="10257" max="10258" width="9.140625" style="585"/>
    <col min="10259" max="10259" width="11.7109375" style="585" customWidth="1"/>
    <col min="10260" max="10260" width="88.42578125" style="585" customWidth="1"/>
    <col min="10261" max="10264" width="11.7109375" style="585" customWidth="1"/>
    <col min="10265" max="10266" width="9.140625" style="585"/>
    <col min="10267" max="10267" width="11.7109375" style="585" customWidth="1"/>
    <col min="10268" max="10268" width="75.5703125" style="585" customWidth="1"/>
    <col min="10269" max="10272" width="11.7109375" style="585" customWidth="1"/>
    <col min="10273" max="10274" width="9.140625" style="585"/>
    <col min="10275" max="10275" width="11.7109375" style="585" customWidth="1"/>
    <col min="10276" max="10276" width="80.42578125" style="585" customWidth="1"/>
    <col min="10277" max="10280" width="11.7109375" style="585" customWidth="1"/>
    <col min="10281" max="10282" width="9.140625" style="585"/>
    <col min="10283" max="10283" width="11.7109375" style="585" customWidth="1"/>
    <col min="10284" max="10284" width="69.85546875" style="585" customWidth="1"/>
    <col min="10285" max="10288" width="11.7109375" style="585" customWidth="1"/>
    <col min="10289" max="10289" width="9.140625" style="585"/>
    <col min="10290" max="10290" width="11.7109375" style="585" customWidth="1"/>
    <col min="10291" max="10291" width="95.140625" style="585" customWidth="1"/>
    <col min="10292" max="10295" width="11.7109375" style="585" customWidth="1"/>
    <col min="10296" max="10296" width="9.140625" style="585"/>
    <col min="10297" max="10297" width="11.7109375" style="585" customWidth="1"/>
    <col min="10298" max="10298" width="95.140625" style="585" customWidth="1"/>
    <col min="10299" max="10302" width="11.7109375" style="585" customWidth="1"/>
    <col min="10303" max="10303" width="11.5703125" style="585" customWidth="1"/>
    <col min="10304" max="10304" width="11.7109375" style="585" customWidth="1"/>
    <col min="10305" max="10305" width="95.140625" style="585" customWidth="1"/>
    <col min="10306" max="10309" width="11.7109375" style="585" customWidth="1"/>
    <col min="10310" max="10498" width="9.140625" style="585"/>
    <col min="10499" max="10499" width="11.5703125" style="585" customWidth="1"/>
    <col min="10500" max="10500" width="103.140625" style="585" customWidth="1"/>
    <col min="10501" max="10504" width="11.7109375" style="585" customWidth="1"/>
    <col min="10505" max="10506" width="9.140625" style="585"/>
    <col min="10507" max="10507" width="11.7109375" style="585" customWidth="1"/>
    <col min="10508" max="10508" width="78.5703125" style="585" customWidth="1"/>
    <col min="10509" max="10512" width="11.7109375" style="585" customWidth="1"/>
    <col min="10513" max="10514" width="9.140625" style="585"/>
    <col min="10515" max="10515" width="11.7109375" style="585" customWidth="1"/>
    <col min="10516" max="10516" width="88.42578125" style="585" customWidth="1"/>
    <col min="10517" max="10520" width="11.7109375" style="585" customWidth="1"/>
    <col min="10521" max="10522" width="9.140625" style="585"/>
    <col min="10523" max="10523" width="11.7109375" style="585" customWidth="1"/>
    <col min="10524" max="10524" width="75.5703125" style="585" customWidth="1"/>
    <col min="10525" max="10528" width="11.7109375" style="585" customWidth="1"/>
    <col min="10529" max="10530" width="9.140625" style="585"/>
    <col min="10531" max="10531" width="11.7109375" style="585" customWidth="1"/>
    <col min="10532" max="10532" width="80.42578125" style="585" customWidth="1"/>
    <col min="10533" max="10536" width="11.7109375" style="585" customWidth="1"/>
    <col min="10537" max="10538" width="9.140625" style="585"/>
    <col min="10539" max="10539" width="11.7109375" style="585" customWidth="1"/>
    <col min="10540" max="10540" width="69.85546875" style="585" customWidth="1"/>
    <col min="10541" max="10544" width="11.7109375" style="585" customWidth="1"/>
    <col min="10545" max="10545" width="9.140625" style="585"/>
    <col min="10546" max="10546" width="11.7109375" style="585" customWidth="1"/>
    <col min="10547" max="10547" width="95.140625" style="585" customWidth="1"/>
    <col min="10548" max="10551" width="11.7109375" style="585" customWidth="1"/>
    <col min="10552" max="10552" width="9.140625" style="585"/>
    <col min="10553" max="10553" width="11.7109375" style="585" customWidth="1"/>
    <col min="10554" max="10554" width="95.140625" style="585" customWidth="1"/>
    <col min="10555" max="10558" width="11.7109375" style="585" customWidth="1"/>
    <col min="10559" max="10559" width="11.5703125" style="585" customWidth="1"/>
    <col min="10560" max="10560" width="11.7109375" style="585" customWidth="1"/>
    <col min="10561" max="10561" width="95.140625" style="585" customWidth="1"/>
    <col min="10562" max="10565" width="11.7109375" style="585" customWidth="1"/>
    <col min="10566" max="10754" width="9.140625" style="585"/>
    <col min="10755" max="10755" width="11.5703125" style="585" customWidth="1"/>
    <col min="10756" max="10756" width="103.140625" style="585" customWidth="1"/>
    <col min="10757" max="10760" width="11.7109375" style="585" customWidth="1"/>
    <col min="10761" max="10762" width="9.140625" style="585"/>
    <col min="10763" max="10763" width="11.7109375" style="585" customWidth="1"/>
    <col min="10764" max="10764" width="78.5703125" style="585" customWidth="1"/>
    <col min="10765" max="10768" width="11.7109375" style="585" customWidth="1"/>
    <col min="10769" max="10770" width="9.140625" style="585"/>
    <col min="10771" max="10771" width="11.7109375" style="585" customWidth="1"/>
    <col min="10772" max="10772" width="88.42578125" style="585" customWidth="1"/>
    <col min="10773" max="10776" width="11.7109375" style="585" customWidth="1"/>
    <col min="10777" max="10778" width="9.140625" style="585"/>
    <col min="10779" max="10779" width="11.7109375" style="585" customWidth="1"/>
    <col min="10780" max="10780" width="75.5703125" style="585" customWidth="1"/>
    <col min="10781" max="10784" width="11.7109375" style="585" customWidth="1"/>
    <col min="10785" max="10786" width="9.140625" style="585"/>
    <col min="10787" max="10787" width="11.7109375" style="585" customWidth="1"/>
    <col min="10788" max="10788" width="80.42578125" style="585" customWidth="1"/>
    <col min="10789" max="10792" width="11.7109375" style="585" customWidth="1"/>
    <col min="10793" max="10794" width="9.140625" style="585"/>
    <col min="10795" max="10795" width="11.7109375" style="585" customWidth="1"/>
    <col min="10796" max="10796" width="69.85546875" style="585" customWidth="1"/>
    <col min="10797" max="10800" width="11.7109375" style="585" customWidth="1"/>
    <col min="10801" max="10801" width="9.140625" style="585"/>
    <col min="10802" max="10802" width="11.7109375" style="585" customWidth="1"/>
    <col min="10803" max="10803" width="95.140625" style="585" customWidth="1"/>
    <col min="10804" max="10807" width="11.7109375" style="585" customWidth="1"/>
    <col min="10808" max="10808" width="9.140625" style="585"/>
    <col min="10809" max="10809" width="11.7109375" style="585" customWidth="1"/>
    <col min="10810" max="10810" width="95.140625" style="585" customWidth="1"/>
    <col min="10811" max="10814" width="11.7109375" style="585" customWidth="1"/>
    <col min="10815" max="10815" width="11.5703125" style="585" customWidth="1"/>
    <col min="10816" max="10816" width="11.7109375" style="585" customWidth="1"/>
    <col min="10817" max="10817" width="95.140625" style="585" customWidth="1"/>
    <col min="10818" max="10821" width="11.7109375" style="585" customWidth="1"/>
    <col min="10822" max="11010" width="9.140625" style="585"/>
    <col min="11011" max="11011" width="11.5703125" style="585" customWidth="1"/>
    <col min="11012" max="11012" width="103.140625" style="585" customWidth="1"/>
    <col min="11013" max="11016" width="11.7109375" style="585" customWidth="1"/>
    <col min="11017" max="11018" width="9.140625" style="585"/>
    <col min="11019" max="11019" width="11.7109375" style="585" customWidth="1"/>
    <col min="11020" max="11020" width="78.5703125" style="585" customWidth="1"/>
    <col min="11021" max="11024" width="11.7109375" style="585" customWidth="1"/>
    <col min="11025" max="11026" width="9.140625" style="585"/>
    <col min="11027" max="11027" width="11.7109375" style="585" customWidth="1"/>
    <col min="11028" max="11028" width="88.42578125" style="585" customWidth="1"/>
    <col min="11029" max="11032" width="11.7109375" style="585" customWidth="1"/>
    <col min="11033" max="11034" width="9.140625" style="585"/>
    <col min="11035" max="11035" width="11.7109375" style="585" customWidth="1"/>
    <col min="11036" max="11036" width="75.5703125" style="585" customWidth="1"/>
    <col min="11037" max="11040" width="11.7109375" style="585" customWidth="1"/>
    <col min="11041" max="11042" width="9.140625" style="585"/>
    <col min="11043" max="11043" width="11.7109375" style="585" customWidth="1"/>
    <col min="11044" max="11044" width="80.42578125" style="585" customWidth="1"/>
    <col min="11045" max="11048" width="11.7109375" style="585" customWidth="1"/>
    <col min="11049" max="11050" width="9.140625" style="585"/>
    <col min="11051" max="11051" width="11.7109375" style="585" customWidth="1"/>
    <col min="11052" max="11052" width="69.85546875" style="585" customWidth="1"/>
    <col min="11053" max="11056" width="11.7109375" style="585" customWidth="1"/>
    <col min="11057" max="11057" width="9.140625" style="585"/>
    <col min="11058" max="11058" width="11.7109375" style="585" customWidth="1"/>
    <col min="11059" max="11059" width="95.140625" style="585" customWidth="1"/>
    <col min="11060" max="11063" width="11.7109375" style="585" customWidth="1"/>
    <col min="11064" max="11064" width="9.140625" style="585"/>
    <col min="11065" max="11065" width="11.7109375" style="585" customWidth="1"/>
    <col min="11066" max="11066" width="95.140625" style="585" customWidth="1"/>
    <col min="11067" max="11070" width="11.7109375" style="585" customWidth="1"/>
    <col min="11071" max="11071" width="11.5703125" style="585" customWidth="1"/>
    <col min="11072" max="11072" width="11.7109375" style="585" customWidth="1"/>
    <col min="11073" max="11073" width="95.140625" style="585" customWidth="1"/>
    <col min="11074" max="11077" width="11.7109375" style="585" customWidth="1"/>
    <col min="11078" max="11266" width="9.140625" style="585"/>
    <col min="11267" max="11267" width="11.5703125" style="585" customWidth="1"/>
    <col min="11268" max="11268" width="103.140625" style="585" customWidth="1"/>
    <col min="11269" max="11272" width="11.7109375" style="585" customWidth="1"/>
    <col min="11273" max="11274" width="9.140625" style="585"/>
    <col min="11275" max="11275" width="11.7109375" style="585" customWidth="1"/>
    <col min="11276" max="11276" width="78.5703125" style="585" customWidth="1"/>
    <col min="11277" max="11280" width="11.7109375" style="585" customWidth="1"/>
    <col min="11281" max="11282" width="9.140625" style="585"/>
    <col min="11283" max="11283" width="11.7109375" style="585" customWidth="1"/>
    <col min="11284" max="11284" width="88.42578125" style="585" customWidth="1"/>
    <col min="11285" max="11288" width="11.7109375" style="585" customWidth="1"/>
    <col min="11289" max="11290" width="9.140625" style="585"/>
    <col min="11291" max="11291" width="11.7109375" style="585" customWidth="1"/>
    <col min="11292" max="11292" width="75.5703125" style="585" customWidth="1"/>
    <col min="11293" max="11296" width="11.7109375" style="585" customWidth="1"/>
    <col min="11297" max="11298" width="9.140625" style="585"/>
    <col min="11299" max="11299" width="11.7109375" style="585" customWidth="1"/>
    <col min="11300" max="11300" width="80.42578125" style="585" customWidth="1"/>
    <col min="11301" max="11304" width="11.7109375" style="585" customWidth="1"/>
    <col min="11305" max="11306" width="9.140625" style="585"/>
    <col min="11307" max="11307" width="11.7109375" style="585" customWidth="1"/>
    <col min="11308" max="11308" width="69.85546875" style="585" customWidth="1"/>
    <col min="11309" max="11312" width="11.7109375" style="585" customWidth="1"/>
    <col min="11313" max="11313" width="9.140625" style="585"/>
    <col min="11314" max="11314" width="11.7109375" style="585" customWidth="1"/>
    <col min="11315" max="11315" width="95.140625" style="585" customWidth="1"/>
    <col min="11316" max="11319" width="11.7109375" style="585" customWidth="1"/>
    <col min="11320" max="11320" width="9.140625" style="585"/>
    <col min="11321" max="11321" width="11.7109375" style="585" customWidth="1"/>
    <col min="11322" max="11322" width="95.140625" style="585" customWidth="1"/>
    <col min="11323" max="11326" width="11.7109375" style="585" customWidth="1"/>
    <col min="11327" max="11327" width="11.5703125" style="585" customWidth="1"/>
    <col min="11328" max="11328" width="11.7109375" style="585" customWidth="1"/>
    <col min="11329" max="11329" width="95.140625" style="585" customWidth="1"/>
    <col min="11330" max="11333" width="11.7109375" style="585" customWidth="1"/>
    <col min="11334" max="11522" width="9.140625" style="585"/>
    <col min="11523" max="11523" width="11.5703125" style="585" customWidth="1"/>
    <col min="11524" max="11524" width="103.140625" style="585" customWidth="1"/>
    <col min="11525" max="11528" width="11.7109375" style="585" customWidth="1"/>
    <col min="11529" max="11530" width="9.140625" style="585"/>
    <col min="11531" max="11531" width="11.7109375" style="585" customWidth="1"/>
    <col min="11532" max="11532" width="78.5703125" style="585" customWidth="1"/>
    <col min="11533" max="11536" width="11.7109375" style="585" customWidth="1"/>
    <col min="11537" max="11538" width="9.140625" style="585"/>
    <col min="11539" max="11539" width="11.7109375" style="585" customWidth="1"/>
    <col min="11540" max="11540" width="88.42578125" style="585" customWidth="1"/>
    <col min="11541" max="11544" width="11.7109375" style="585" customWidth="1"/>
    <col min="11545" max="11546" width="9.140625" style="585"/>
    <col min="11547" max="11547" width="11.7109375" style="585" customWidth="1"/>
    <col min="11548" max="11548" width="75.5703125" style="585" customWidth="1"/>
    <col min="11549" max="11552" width="11.7109375" style="585" customWidth="1"/>
    <col min="11553" max="11554" width="9.140625" style="585"/>
    <col min="11555" max="11555" width="11.7109375" style="585" customWidth="1"/>
    <col min="11556" max="11556" width="80.42578125" style="585" customWidth="1"/>
    <col min="11557" max="11560" width="11.7109375" style="585" customWidth="1"/>
    <col min="11561" max="11562" width="9.140625" style="585"/>
    <col min="11563" max="11563" width="11.7109375" style="585" customWidth="1"/>
    <col min="11564" max="11564" width="69.85546875" style="585" customWidth="1"/>
    <col min="11565" max="11568" width="11.7109375" style="585" customWidth="1"/>
    <col min="11569" max="11569" width="9.140625" style="585"/>
    <col min="11570" max="11570" width="11.7109375" style="585" customWidth="1"/>
    <col min="11571" max="11571" width="95.140625" style="585" customWidth="1"/>
    <col min="11572" max="11575" width="11.7109375" style="585" customWidth="1"/>
    <col min="11576" max="11576" width="9.140625" style="585"/>
    <col min="11577" max="11577" width="11.7109375" style="585" customWidth="1"/>
    <col min="11578" max="11578" width="95.140625" style="585" customWidth="1"/>
    <col min="11579" max="11582" width="11.7109375" style="585" customWidth="1"/>
    <col min="11583" max="11583" width="11.5703125" style="585" customWidth="1"/>
    <col min="11584" max="11584" width="11.7109375" style="585" customWidth="1"/>
    <col min="11585" max="11585" width="95.140625" style="585" customWidth="1"/>
    <col min="11586" max="11589" width="11.7109375" style="585" customWidth="1"/>
    <col min="11590" max="11778" width="9.140625" style="585"/>
    <col min="11779" max="11779" width="11.5703125" style="585" customWidth="1"/>
    <col min="11780" max="11780" width="103.140625" style="585" customWidth="1"/>
    <col min="11781" max="11784" width="11.7109375" style="585" customWidth="1"/>
    <col min="11785" max="11786" width="9.140625" style="585"/>
    <col min="11787" max="11787" width="11.7109375" style="585" customWidth="1"/>
    <col min="11788" max="11788" width="78.5703125" style="585" customWidth="1"/>
    <col min="11789" max="11792" width="11.7109375" style="585" customWidth="1"/>
    <col min="11793" max="11794" width="9.140625" style="585"/>
    <col min="11795" max="11795" width="11.7109375" style="585" customWidth="1"/>
    <col min="11796" max="11796" width="88.42578125" style="585" customWidth="1"/>
    <col min="11797" max="11800" width="11.7109375" style="585" customWidth="1"/>
    <col min="11801" max="11802" width="9.140625" style="585"/>
    <col min="11803" max="11803" width="11.7109375" style="585" customWidth="1"/>
    <col min="11804" max="11804" width="75.5703125" style="585" customWidth="1"/>
    <col min="11805" max="11808" width="11.7109375" style="585" customWidth="1"/>
    <col min="11809" max="11810" width="9.140625" style="585"/>
    <col min="11811" max="11811" width="11.7109375" style="585" customWidth="1"/>
    <col min="11812" max="11812" width="80.42578125" style="585" customWidth="1"/>
    <col min="11813" max="11816" width="11.7109375" style="585" customWidth="1"/>
    <col min="11817" max="11818" width="9.140625" style="585"/>
    <col min="11819" max="11819" width="11.7109375" style="585" customWidth="1"/>
    <col min="11820" max="11820" width="69.85546875" style="585" customWidth="1"/>
    <col min="11821" max="11824" width="11.7109375" style="585" customWidth="1"/>
    <col min="11825" max="11825" width="9.140625" style="585"/>
    <col min="11826" max="11826" width="11.7109375" style="585" customWidth="1"/>
    <col min="11827" max="11827" width="95.140625" style="585" customWidth="1"/>
    <col min="11828" max="11831" width="11.7109375" style="585" customWidth="1"/>
    <col min="11832" max="11832" width="9.140625" style="585"/>
    <col min="11833" max="11833" width="11.7109375" style="585" customWidth="1"/>
    <col min="11834" max="11834" width="95.140625" style="585" customWidth="1"/>
    <col min="11835" max="11838" width="11.7109375" style="585" customWidth="1"/>
    <col min="11839" max="11839" width="11.5703125" style="585" customWidth="1"/>
    <col min="11840" max="11840" width="11.7109375" style="585" customWidth="1"/>
    <col min="11841" max="11841" width="95.140625" style="585" customWidth="1"/>
    <col min="11842" max="11845" width="11.7109375" style="585" customWidth="1"/>
    <col min="11846" max="12034" width="9.140625" style="585"/>
    <col min="12035" max="12035" width="11.5703125" style="585" customWidth="1"/>
    <col min="12036" max="12036" width="103.140625" style="585" customWidth="1"/>
    <col min="12037" max="12040" width="11.7109375" style="585" customWidth="1"/>
    <col min="12041" max="12042" width="9.140625" style="585"/>
    <col min="12043" max="12043" width="11.7109375" style="585" customWidth="1"/>
    <col min="12044" max="12044" width="78.5703125" style="585" customWidth="1"/>
    <col min="12045" max="12048" width="11.7109375" style="585" customWidth="1"/>
    <col min="12049" max="12050" width="9.140625" style="585"/>
    <col min="12051" max="12051" width="11.7109375" style="585" customWidth="1"/>
    <col min="12052" max="12052" width="88.42578125" style="585" customWidth="1"/>
    <col min="12053" max="12056" width="11.7109375" style="585" customWidth="1"/>
    <col min="12057" max="12058" width="9.140625" style="585"/>
    <col min="12059" max="12059" width="11.7109375" style="585" customWidth="1"/>
    <col min="12060" max="12060" width="75.5703125" style="585" customWidth="1"/>
    <col min="12061" max="12064" width="11.7109375" style="585" customWidth="1"/>
    <col min="12065" max="12066" width="9.140625" style="585"/>
    <col min="12067" max="12067" width="11.7109375" style="585" customWidth="1"/>
    <col min="12068" max="12068" width="80.42578125" style="585" customWidth="1"/>
    <col min="12069" max="12072" width="11.7109375" style="585" customWidth="1"/>
    <col min="12073" max="12074" width="9.140625" style="585"/>
    <col min="12075" max="12075" width="11.7109375" style="585" customWidth="1"/>
    <col min="12076" max="12076" width="69.85546875" style="585" customWidth="1"/>
    <col min="12077" max="12080" width="11.7109375" style="585" customWidth="1"/>
    <col min="12081" max="12081" width="9.140625" style="585"/>
    <col min="12082" max="12082" width="11.7109375" style="585" customWidth="1"/>
    <col min="12083" max="12083" width="95.140625" style="585" customWidth="1"/>
    <col min="12084" max="12087" width="11.7109375" style="585" customWidth="1"/>
    <col min="12088" max="12088" width="9.140625" style="585"/>
    <col min="12089" max="12089" width="11.7109375" style="585" customWidth="1"/>
    <col min="12090" max="12090" width="95.140625" style="585" customWidth="1"/>
    <col min="12091" max="12094" width="11.7109375" style="585" customWidth="1"/>
    <col min="12095" max="12095" width="11.5703125" style="585" customWidth="1"/>
    <col min="12096" max="12096" width="11.7109375" style="585" customWidth="1"/>
    <col min="12097" max="12097" width="95.140625" style="585" customWidth="1"/>
    <col min="12098" max="12101" width="11.7109375" style="585" customWidth="1"/>
    <col min="12102" max="12290" width="9.140625" style="585"/>
    <col min="12291" max="12291" width="11.5703125" style="585" customWidth="1"/>
    <col min="12292" max="12292" width="103.140625" style="585" customWidth="1"/>
    <col min="12293" max="12296" width="11.7109375" style="585" customWidth="1"/>
    <col min="12297" max="12298" width="9.140625" style="585"/>
    <col min="12299" max="12299" width="11.7109375" style="585" customWidth="1"/>
    <col min="12300" max="12300" width="78.5703125" style="585" customWidth="1"/>
    <col min="12301" max="12304" width="11.7109375" style="585" customWidth="1"/>
    <col min="12305" max="12306" width="9.140625" style="585"/>
    <col min="12307" max="12307" width="11.7109375" style="585" customWidth="1"/>
    <col min="12308" max="12308" width="88.42578125" style="585" customWidth="1"/>
    <col min="12309" max="12312" width="11.7109375" style="585" customWidth="1"/>
    <col min="12313" max="12314" width="9.140625" style="585"/>
    <col min="12315" max="12315" width="11.7109375" style="585" customWidth="1"/>
    <col min="12316" max="12316" width="75.5703125" style="585" customWidth="1"/>
    <col min="12317" max="12320" width="11.7109375" style="585" customWidth="1"/>
    <col min="12321" max="12322" width="9.140625" style="585"/>
    <col min="12323" max="12323" width="11.7109375" style="585" customWidth="1"/>
    <col min="12324" max="12324" width="80.42578125" style="585" customWidth="1"/>
    <col min="12325" max="12328" width="11.7109375" style="585" customWidth="1"/>
    <col min="12329" max="12330" width="9.140625" style="585"/>
    <col min="12331" max="12331" width="11.7109375" style="585" customWidth="1"/>
    <col min="12332" max="12332" width="69.85546875" style="585" customWidth="1"/>
    <col min="12333" max="12336" width="11.7109375" style="585" customWidth="1"/>
    <col min="12337" max="12337" width="9.140625" style="585"/>
    <col min="12338" max="12338" width="11.7109375" style="585" customWidth="1"/>
    <col min="12339" max="12339" width="95.140625" style="585" customWidth="1"/>
    <col min="12340" max="12343" width="11.7109375" style="585" customWidth="1"/>
    <col min="12344" max="12344" width="9.140625" style="585"/>
    <col min="12345" max="12345" width="11.7109375" style="585" customWidth="1"/>
    <col min="12346" max="12346" width="95.140625" style="585" customWidth="1"/>
    <col min="12347" max="12350" width="11.7109375" style="585" customWidth="1"/>
    <col min="12351" max="12351" width="11.5703125" style="585" customWidth="1"/>
    <col min="12352" max="12352" width="11.7109375" style="585" customWidth="1"/>
    <col min="12353" max="12353" width="95.140625" style="585" customWidth="1"/>
    <col min="12354" max="12357" width="11.7109375" style="585" customWidth="1"/>
    <col min="12358" max="12546" width="9.140625" style="585"/>
    <col min="12547" max="12547" width="11.5703125" style="585" customWidth="1"/>
    <col min="12548" max="12548" width="103.140625" style="585" customWidth="1"/>
    <col min="12549" max="12552" width="11.7109375" style="585" customWidth="1"/>
    <col min="12553" max="12554" width="9.140625" style="585"/>
    <col min="12555" max="12555" width="11.7109375" style="585" customWidth="1"/>
    <col min="12556" max="12556" width="78.5703125" style="585" customWidth="1"/>
    <col min="12557" max="12560" width="11.7109375" style="585" customWidth="1"/>
    <col min="12561" max="12562" width="9.140625" style="585"/>
    <col min="12563" max="12563" width="11.7109375" style="585" customWidth="1"/>
    <col min="12564" max="12564" width="88.42578125" style="585" customWidth="1"/>
    <col min="12565" max="12568" width="11.7109375" style="585" customWidth="1"/>
    <col min="12569" max="12570" width="9.140625" style="585"/>
    <col min="12571" max="12571" width="11.7109375" style="585" customWidth="1"/>
    <col min="12572" max="12572" width="75.5703125" style="585" customWidth="1"/>
    <col min="12573" max="12576" width="11.7109375" style="585" customWidth="1"/>
    <col min="12577" max="12578" width="9.140625" style="585"/>
    <col min="12579" max="12579" width="11.7109375" style="585" customWidth="1"/>
    <col min="12580" max="12580" width="80.42578125" style="585" customWidth="1"/>
    <col min="12581" max="12584" width="11.7109375" style="585" customWidth="1"/>
    <col min="12585" max="12586" width="9.140625" style="585"/>
    <col min="12587" max="12587" width="11.7109375" style="585" customWidth="1"/>
    <col min="12588" max="12588" width="69.85546875" style="585" customWidth="1"/>
    <col min="12589" max="12592" width="11.7109375" style="585" customWidth="1"/>
    <col min="12593" max="12593" width="9.140625" style="585"/>
    <col min="12594" max="12594" width="11.7109375" style="585" customWidth="1"/>
    <col min="12595" max="12595" width="95.140625" style="585" customWidth="1"/>
    <col min="12596" max="12599" width="11.7109375" style="585" customWidth="1"/>
    <col min="12600" max="12600" width="9.140625" style="585"/>
    <col min="12601" max="12601" width="11.7109375" style="585" customWidth="1"/>
    <col min="12602" max="12602" width="95.140625" style="585" customWidth="1"/>
    <col min="12603" max="12606" width="11.7109375" style="585" customWidth="1"/>
    <col min="12607" max="12607" width="11.5703125" style="585" customWidth="1"/>
    <col min="12608" max="12608" width="11.7109375" style="585" customWidth="1"/>
    <col min="12609" max="12609" width="95.140625" style="585" customWidth="1"/>
    <col min="12610" max="12613" width="11.7109375" style="585" customWidth="1"/>
    <col min="12614" max="12802" width="9.140625" style="585"/>
    <col min="12803" max="12803" width="11.5703125" style="585" customWidth="1"/>
    <col min="12804" max="12804" width="103.140625" style="585" customWidth="1"/>
    <col min="12805" max="12808" width="11.7109375" style="585" customWidth="1"/>
    <col min="12809" max="12810" width="9.140625" style="585"/>
    <col min="12811" max="12811" width="11.7109375" style="585" customWidth="1"/>
    <col min="12812" max="12812" width="78.5703125" style="585" customWidth="1"/>
    <col min="12813" max="12816" width="11.7109375" style="585" customWidth="1"/>
    <col min="12817" max="12818" width="9.140625" style="585"/>
    <col min="12819" max="12819" width="11.7109375" style="585" customWidth="1"/>
    <col min="12820" max="12820" width="88.42578125" style="585" customWidth="1"/>
    <col min="12821" max="12824" width="11.7109375" style="585" customWidth="1"/>
    <col min="12825" max="12826" width="9.140625" style="585"/>
    <col min="12827" max="12827" width="11.7109375" style="585" customWidth="1"/>
    <col min="12828" max="12828" width="75.5703125" style="585" customWidth="1"/>
    <col min="12829" max="12832" width="11.7109375" style="585" customWidth="1"/>
    <col min="12833" max="12834" width="9.140625" style="585"/>
    <col min="12835" max="12835" width="11.7109375" style="585" customWidth="1"/>
    <col min="12836" max="12836" width="80.42578125" style="585" customWidth="1"/>
    <col min="12837" max="12840" width="11.7109375" style="585" customWidth="1"/>
    <col min="12841" max="12842" width="9.140625" style="585"/>
    <col min="12843" max="12843" width="11.7109375" style="585" customWidth="1"/>
    <col min="12844" max="12844" width="69.85546875" style="585" customWidth="1"/>
    <col min="12845" max="12848" width="11.7109375" style="585" customWidth="1"/>
    <col min="12849" max="12849" width="9.140625" style="585"/>
    <col min="12850" max="12850" width="11.7109375" style="585" customWidth="1"/>
    <col min="12851" max="12851" width="95.140625" style="585" customWidth="1"/>
    <col min="12852" max="12855" width="11.7109375" style="585" customWidth="1"/>
    <col min="12856" max="12856" width="9.140625" style="585"/>
    <col min="12857" max="12857" width="11.7109375" style="585" customWidth="1"/>
    <col min="12858" max="12858" width="95.140625" style="585" customWidth="1"/>
    <col min="12859" max="12862" width="11.7109375" style="585" customWidth="1"/>
    <col min="12863" max="12863" width="11.5703125" style="585" customWidth="1"/>
    <col min="12864" max="12864" width="11.7109375" style="585" customWidth="1"/>
    <col min="12865" max="12865" width="95.140625" style="585" customWidth="1"/>
    <col min="12866" max="12869" width="11.7109375" style="585" customWidth="1"/>
    <col min="12870" max="13058" width="9.140625" style="585"/>
    <col min="13059" max="13059" width="11.5703125" style="585" customWidth="1"/>
    <col min="13060" max="13060" width="103.140625" style="585" customWidth="1"/>
    <col min="13061" max="13064" width="11.7109375" style="585" customWidth="1"/>
    <col min="13065" max="13066" width="9.140625" style="585"/>
    <col min="13067" max="13067" width="11.7109375" style="585" customWidth="1"/>
    <col min="13068" max="13068" width="78.5703125" style="585" customWidth="1"/>
    <col min="13069" max="13072" width="11.7109375" style="585" customWidth="1"/>
    <col min="13073" max="13074" width="9.140625" style="585"/>
    <col min="13075" max="13075" width="11.7109375" style="585" customWidth="1"/>
    <col min="13076" max="13076" width="88.42578125" style="585" customWidth="1"/>
    <col min="13077" max="13080" width="11.7109375" style="585" customWidth="1"/>
    <col min="13081" max="13082" width="9.140625" style="585"/>
    <col min="13083" max="13083" width="11.7109375" style="585" customWidth="1"/>
    <col min="13084" max="13084" width="75.5703125" style="585" customWidth="1"/>
    <col min="13085" max="13088" width="11.7109375" style="585" customWidth="1"/>
    <col min="13089" max="13090" width="9.140625" style="585"/>
    <col min="13091" max="13091" width="11.7109375" style="585" customWidth="1"/>
    <col min="13092" max="13092" width="80.42578125" style="585" customWidth="1"/>
    <col min="13093" max="13096" width="11.7109375" style="585" customWidth="1"/>
    <col min="13097" max="13098" width="9.140625" style="585"/>
    <col min="13099" max="13099" width="11.7109375" style="585" customWidth="1"/>
    <col min="13100" max="13100" width="69.85546875" style="585" customWidth="1"/>
    <col min="13101" max="13104" width="11.7109375" style="585" customWidth="1"/>
    <col min="13105" max="13105" width="9.140625" style="585"/>
    <col min="13106" max="13106" width="11.7109375" style="585" customWidth="1"/>
    <col min="13107" max="13107" width="95.140625" style="585" customWidth="1"/>
    <col min="13108" max="13111" width="11.7109375" style="585" customWidth="1"/>
    <col min="13112" max="13112" width="9.140625" style="585"/>
    <col min="13113" max="13113" width="11.7109375" style="585" customWidth="1"/>
    <col min="13114" max="13114" width="95.140625" style="585" customWidth="1"/>
    <col min="13115" max="13118" width="11.7109375" style="585" customWidth="1"/>
    <col min="13119" max="13119" width="11.5703125" style="585" customWidth="1"/>
    <col min="13120" max="13120" width="11.7109375" style="585" customWidth="1"/>
    <col min="13121" max="13121" width="95.140625" style="585" customWidth="1"/>
    <col min="13122" max="13125" width="11.7109375" style="585" customWidth="1"/>
    <col min="13126" max="13314" width="9.140625" style="585"/>
    <col min="13315" max="13315" width="11.5703125" style="585" customWidth="1"/>
    <col min="13316" max="13316" width="103.140625" style="585" customWidth="1"/>
    <col min="13317" max="13320" width="11.7109375" style="585" customWidth="1"/>
    <col min="13321" max="13322" width="9.140625" style="585"/>
    <col min="13323" max="13323" width="11.7109375" style="585" customWidth="1"/>
    <col min="13324" max="13324" width="78.5703125" style="585" customWidth="1"/>
    <col min="13325" max="13328" width="11.7109375" style="585" customWidth="1"/>
    <col min="13329" max="13330" width="9.140625" style="585"/>
    <col min="13331" max="13331" width="11.7109375" style="585" customWidth="1"/>
    <col min="13332" max="13332" width="88.42578125" style="585" customWidth="1"/>
    <col min="13333" max="13336" width="11.7109375" style="585" customWidth="1"/>
    <col min="13337" max="13338" width="9.140625" style="585"/>
    <col min="13339" max="13339" width="11.7109375" style="585" customWidth="1"/>
    <col min="13340" max="13340" width="75.5703125" style="585" customWidth="1"/>
    <col min="13341" max="13344" width="11.7109375" style="585" customWidth="1"/>
    <col min="13345" max="13346" width="9.140625" style="585"/>
    <col min="13347" max="13347" width="11.7109375" style="585" customWidth="1"/>
    <col min="13348" max="13348" width="80.42578125" style="585" customWidth="1"/>
    <col min="13349" max="13352" width="11.7109375" style="585" customWidth="1"/>
    <col min="13353" max="13354" width="9.140625" style="585"/>
    <col min="13355" max="13355" width="11.7109375" style="585" customWidth="1"/>
    <col min="13356" max="13356" width="69.85546875" style="585" customWidth="1"/>
    <col min="13357" max="13360" width="11.7109375" style="585" customWidth="1"/>
    <col min="13361" max="13361" width="9.140625" style="585"/>
    <col min="13362" max="13362" width="11.7109375" style="585" customWidth="1"/>
    <col min="13363" max="13363" width="95.140625" style="585" customWidth="1"/>
    <col min="13364" max="13367" width="11.7109375" style="585" customWidth="1"/>
    <col min="13368" max="13368" width="9.140625" style="585"/>
    <col min="13369" max="13369" width="11.7109375" style="585" customWidth="1"/>
    <col min="13370" max="13370" width="95.140625" style="585" customWidth="1"/>
    <col min="13371" max="13374" width="11.7109375" style="585" customWidth="1"/>
    <col min="13375" max="13375" width="11.5703125" style="585" customWidth="1"/>
    <col min="13376" max="13376" width="11.7109375" style="585" customWidth="1"/>
    <col min="13377" max="13377" width="95.140625" style="585" customWidth="1"/>
    <col min="13378" max="13381" width="11.7109375" style="585" customWidth="1"/>
    <col min="13382" max="13570" width="9.140625" style="585"/>
    <col min="13571" max="13571" width="11.5703125" style="585" customWidth="1"/>
    <col min="13572" max="13572" width="103.140625" style="585" customWidth="1"/>
    <col min="13573" max="13576" width="11.7109375" style="585" customWidth="1"/>
    <col min="13577" max="13578" width="9.140625" style="585"/>
    <col min="13579" max="13579" width="11.7109375" style="585" customWidth="1"/>
    <col min="13580" max="13580" width="78.5703125" style="585" customWidth="1"/>
    <col min="13581" max="13584" width="11.7109375" style="585" customWidth="1"/>
    <col min="13585" max="13586" width="9.140625" style="585"/>
    <col min="13587" max="13587" width="11.7109375" style="585" customWidth="1"/>
    <col min="13588" max="13588" width="88.42578125" style="585" customWidth="1"/>
    <col min="13589" max="13592" width="11.7109375" style="585" customWidth="1"/>
    <col min="13593" max="13594" width="9.140625" style="585"/>
    <col min="13595" max="13595" width="11.7109375" style="585" customWidth="1"/>
    <col min="13596" max="13596" width="75.5703125" style="585" customWidth="1"/>
    <col min="13597" max="13600" width="11.7109375" style="585" customWidth="1"/>
    <col min="13601" max="13602" width="9.140625" style="585"/>
    <col min="13603" max="13603" width="11.7109375" style="585" customWidth="1"/>
    <col min="13604" max="13604" width="80.42578125" style="585" customWidth="1"/>
    <col min="13605" max="13608" width="11.7109375" style="585" customWidth="1"/>
    <col min="13609" max="13610" width="9.140625" style="585"/>
    <col min="13611" max="13611" width="11.7109375" style="585" customWidth="1"/>
    <col min="13612" max="13612" width="69.85546875" style="585" customWidth="1"/>
    <col min="13613" max="13616" width="11.7109375" style="585" customWidth="1"/>
    <col min="13617" max="13617" width="9.140625" style="585"/>
    <col min="13618" max="13618" width="11.7109375" style="585" customWidth="1"/>
    <col min="13619" max="13619" width="95.140625" style="585" customWidth="1"/>
    <col min="13620" max="13623" width="11.7109375" style="585" customWidth="1"/>
    <col min="13624" max="13624" width="9.140625" style="585"/>
    <col min="13625" max="13625" width="11.7109375" style="585" customWidth="1"/>
    <col min="13626" max="13626" width="95.140625" style="585" customWidth="1"/>
    <col min="13627" max="13630" width="11.7109375" style="585" customWidth="1"/>
    <col min="13631" max="13631" width="11.5703125" style="585" customWidth="1"/>
    <col min="13632" max="13632" width="11.7109375" style="585" customWidth="1"/>
    <col min="13633" max="13633" width="95.140625" style="585" customWidth="1"/>
    <col min="13634" max="13637" width="11.7109375" style="585" customWidth="1"/>
    <col min="13638" max="13826" width="9.140625" style="585"/>
    <col min="13827" max="13827" width="11.5703125" style="585" customWidth="1"/>
    <col min="13828" max="13828" width="103.140625" style="585" customWidth="1"/>
    <col min="13829" max="13832" width="11.7109375" style="585" customWidth="1"/>
    <col min="13833" max="13834" width="9.140625" style="585"/>
    <col min="13835" max="13835" width="11.7109375" style="585" customWidth="1"/>
    <col min="13836" max="13836" width="78.5703125" style="585" customWidth="1"/>
    <col min="13837" max="13840" width="11.7109375" style="585" customWidth="1"/>
    <col min="13841" max="13842" width="9.140625" style="585"/>
    <col min="13843" max="13843" width="11.7109375" style="585" customWidth="1"/>
    <col min="13844" max="13844" width="88.42578125" style="585" customWidth="1"/>
    <col min="13845" max="13848" width="11.7109375" style="585" customWidth="1"/>
    <col min="13849" max="13850" width="9.140625" style="585"/>
    <col min="13851" max="13851" width="11.7109375" style="585" customWidth="1"/>
    <col min="13852" max="13852" width="75.5703125" style="585" customWidth="1"/>
    <col min="13853" max="13856" width="11.7109375" style="585" customWidth="1"/>
    <col min="13857" max="13858" width="9.140625" style="585"/>
    <col min="13859" max="13859" width="11.7109375" style="585" customWidth="1"/>
    <col min="13860" max="13860" width="80.42578125" style="585" customWidth="1"/>
    <col min="13861" max="13864" width="11.7109375" style="585" customWidth="1"/>
    <col min="13865" max="13866" width="9.140625" style="585"/>
    <col min="13867" max="13867" width="11.7109375" style="585" customWidth="1"/>
    <col min="13868" max="13868" width="69.85546875" style="585" customWidth="1"/>
    <col min="13869" max="13872" width="11.7109375" style="585" customWidth="1"/>
    <col min="13873" max="13873" width="9.140625" style="585"/>
    <col min="13874" max="13874" width="11.7109375" style="585" customWidth="1"/>
    <col min="13875" max="13875" width="95.140625" style="585" customWidth="1"/>
    <col min="13876" max="13879" width="11.7109375" style="585" customWidth="1"/>
    <col min="13880" max="13880" width="9.140625" style="585"/>
    <col min="13881" max="13881" width="11.7109375" style="585" customWidth="1"/>
    <col min="13882" max="13882" width="95.140625" style="585" customWidth="1"/>
    <col min="13883" max="13886" width="11.7109375" style="585" customWidth="1"/>
    <col min="13887" max="13887" width="11.5703125" style="585" customWidth="1"/>
    <col min="13888" max="13888" width="11.7109375" style="585" customWidth="1"/>
    <col min="13889" max="13889" width="95.140625" style="585" customWidth="1"/>
    <col min="13890" max="13893" width="11.7109375" style="585" customWidth="1"/>
    <col min="13894" max="14082" width="9.140625" style="585"/>
    <col min="14083" max="14083" width="11.5703125" style="585" customWidth="1"/>
    <col min="14084" max="14084" width="103.140625" style="585" customWidth="1"/>
    <col min="14085" max="14088" width="11.7109375" style="585" customWidth="1"/>
    <col min="14089" max="14090" width="9.140625" style="585"/>
    <col min="14091" max="14091" width="11.7109375" style="585" customWidth="1"/>
    <col min="14092" max="14092" width="78.5703125" style="585" customWidth="1"/>
    <col min="14093" max="14096" width="11.7109375" style="585" customWidth="1"/>
    <col min="14097" max="14098" width="9.140625" style="585"/>
    <col min="14099" max="14099" width="11.7109375" style="585" customWidth="1"/>
    <col min="14100" max="14100" width="88.42578125" style="585" customWidth="1"/>
    <col min="14101" max="14104" width="11.7109375" style="585" customWidth="1"/>
    <col min="14105" max="14106" width="9.140625" style="585"/>
    <col min="14107" max="14107" width="11.7109375" style="585" customWidth="1"/>
    <col min="14108" max="14108" width="75.5703125" style="585" customWidth="1"/>
    <col min="14109" max="14112" width="11.7109375" style="585" customWidth="1"/>
    <col min="14113" max="14114" width="9.140625" style="585"/>
    <col min="14115" max="14115" width="11.7109375" style="585" customWidth="1"/>
    <col min="14116" max="14116" width="80.42578125" style="585" customWidth="1"/>
    <col min="14117" max="14120" width="11.7109375" style="585" customWidth="1"/>
    <col min="14121" max="14122" width="9.140625" style="585"/>
    <col min="14123" max="14123" width="11.7109375" style="585" customWidth="1"/>
    <col min="14124" max="14124" width="69.85546875" style="585" customWidth="1"/>
    <col min="14125" max="14128" width="11.7109375" style="585" customWidth="1"/>
    <col min="14129" max="14129" width="9.140625" style="585"/>
    <col min="14130" max="14130" width="11.7109375" style="585" customWidth="1"/>
    <col min="14131" max="14131" width="95.140625" style="585" customWidth="1"/>
    <col min="14132" max="14135" width="11.7109375" style="585" customWidth="1"/>
    <col min="14136" max="14136" width="9.140625" style="585"/>
    <col min="14137" max="14137" width="11.7109375" style="585" customWidth="1"/>
    <col min="14138" max="14138" width="95.140625" style="585" customWidth="1"/>
    <col min="14139" max="14142" width="11.7109375" style="585" customWidth="1"/>
    <col min="14143" max="14143" width="11.5703125" style="585" customWidth="1"/>
    <col min="14144" max="14144" width="11.7109375" style="585" customWidth="1"/>
    <col min="14145" max="14145" width="95.140625" style="585" customWidth="1"/>
    <col min="14146" max="14149" width="11.7109375" style="585" customWidth="1"/>
    <col min="14150" max="14338" width="9.140625" style="585"/>
    <col min="14339" max="14339" width="11.5703125" style="585" customWidth="1"/>
    <col min="14340" max="14340" width="103.140625" style="585" customWidth="1"/>
    <col min="14341" max="14344" width="11.7109375" style="585" customWidth="1"/>
    <col min="14345" max="14346" width="9.140625" style="585"/>
    <col min="14347" max="14347" width="11.7109375" style="585" customWidth="1"/>
    <col min="14348" max="14348" width="78.5703125" style="585" customWidth="1"/>
    <col min="14349" max="14352" width="11.7109375" style="585" customWidth="1"/>
    <col min="14353" max="14354" width="9.140625" style="585"/>
    <col min="14355" max="14355" width="11.7109375" style="585" customWidth="1"/>
    <col min="14356" max="14356" width="88.42578125" style="585" customWidth="1"/>
    <col min="14357" max="14360" width="11.7109375" style="585" customWidth="1"/>
    <col min="14361" max="14362" width="9.140625" style="585"/>
    <col min="14363" max="14363" width="11.7109375" style="585" customWidth="1"/>
    <col min="14364" max="14364" width="75.5703125" style="585" customWidth="1"/>
    <col min="14365" max="14368" width="11.7109375" style="585" customWidth="1"/>
    <col min="14369" max="14370" width="9.140625" style="585"/>
    <col min="14371" max="14371" width="11.7109375" style="585" customWidth="1"/>
    <col min="14372" max="14372" width="80.42578125" style="585" customWidth="1"/>
    <col min="14373" max="14376" width="11.7109375" style="585" customWidth="1"/>
    <col min="14377" max="14378" width="9.140625" style="585"/>
    <col min="14379" max="14379" width="11.7109375" style="585" customWidth="1"/>
    <col min="14380" max="14380" width="69.85546875" style="585" customWidth="1"/>
    <col min="14381" max="14384" width="11.7109375" style="585" customWidth="1"/>
    <col min="14385" max="14385" width="9.140625" style="585"/>
    <col min="14386" max="14386" width="11.7109375" style="585" customWidth="1"/>
    <col min="14387" max="14387" width="95.140625" style="585" customWidth="1"/>
    <col min="14388" max="14391" width="11.7109375" style="585" customWidth="1"/>
    <col min="14392" max="14392" width="9.140625" style="585"/>
    <col min="14393" max="14393" width="11.7109375" style="585" customWidth="1"/>
    <col min="14394" max="14394" width="95.140625" style="585" customWidth="1"/>
    <col min="14395" max="14398" width="11.7109375" style="585" customWidth="1"/>
    <col min="14399" max="14399" width="11.5703125" style="585" customWidth="1"/>
    <col min="14400" max="14400" width="11.7109375" style="585" customWidth="1"/>
    <col min="14401" max="14401" width="95.140625" style="585" customWidth="1"/>
    <col min="14402" max="14405" width="11.7109375" style="585" customWidth="1"/>
    <col min="14406" max="14594" width="9.140625" style="585"/>
    <col min="14595" max="14595" width="11.5703125" style="585" customWidth="1"/>
    <col min="14596" max="14596" width="103.140625" style="585" customWidth="1"/>
    <col min="14597" max="14600" width="11.7109375" style="585" customWidth="1"/>
    <col min="14601" max="14602" width="9.140625" style="585"/>
    <col min="14603" max="14603" width="11.7109375" style="585" customWidth="1"/>
    <col min="14604" max="14604" width="78.5703125" style="585" customWidth="1"/>
    <col min="14605" max="14608" width="11.7109375" style="585" customWidth="1"/>
    <col min="14609" max="14610" width="9.140625" style="585"/>
    <col min="14611" max="14611" width="11.7109375" style="585" customWidth="1"/>
    <col min="14612" max="14612" width="88.42578125" style="585" customWidth="1"/>
    <col min="14613" max="14616" width="11.7109375" style="585" customWidth="1"/>
    <col min="14617" max="14618" width="9.140625" style="585"/>
    <col min="14619" max="14619" width="11.7109375" style="585" customWidth="1"/>
    <col min="14620" max="14620" width="75.5703125" style="585" customWidth="1"/>
    <col min="14621" max="14624" width="11.7109375" style="585" customWidth="1"/>
    <col min="14625" max="14626" width="9.140625" style="585"/>
    <col min="14627" max="14627" width="11.7109375" style="585" customWidth="1"/>
    <col min="14628" max="14628" width="80.42578125" style="585" customWidth="1"/>
    <col min="14629" max="14632" width="11.7109375" style="585" customWidth="1"/>
    <col min="14633" max="14634" width="9.140625" style="585"/>
    <col min="14635" max="14635" width="11.7109375" style="585" customWidth="1"/>
    <col min="14636" max="14636" width="69.85546875" style="585" customWidth="1"/>
    <col min="14637" max="14640" width="11.7109375" style="585" customWidth="1"/>
    <col min="14641" max="14641" width="9.140625" style="585"/>
    <col min="14642" max="14642" width="11.7109375" style="585" customWidth="1"/>
    <col min="14643" max="14643" width="95.140625" style="585" customWidth="1"/>
    <col min="14644" max="14647" width="11.7109375" style="585" customWidth="1"/>
    <col min="14648" max="14648" width="9.140625" style="585"/>
    <col min="14649" max="14649" width="11.7109375" style="585" customWidth="1"/>
    <col min="14650" max="14650" width="95.140625" style="585" customWidth="1"/>
    <col min="14651" max="14654" width="11.7109375" style="585" customWidth="1"/>
    <col min="14655" max="14655" width="11.5703125" style="585" customWidth="1"/>
    <col min="14656" max="14656" width="11.7109375" style="585" customWidth="1"/>
    <col min="14657" max="14657" width="95.140625" style="585" customWidth="1"/>
    <col min="14658" max="14661" width="11.7109375" style="585" customWidth="1"/>
    <col min="14662" max="14850" width="9.140625" style="585"/>
    <col min="14851" max="14851" width="11.5703125" style="585" customWidth="1"/>
    <col min="14852" max="14852" width="103.140625" style="585" customWidth="1"/>
    <col min="14853" max="14856" width="11.7109375" style="585" customWidth="1"/>
    <col min="14857" max="14858" width="9.140625" style="585"/>
    <col min="14859" max="14859" width="11.7109375" style="585" customWidth="1"/>
    <col min="14860" max="14860" width="78.5703125" style="585" customWidth="1"/>
    <col min="14861" max="14864" width="11.7109375" style="585" customWidth="1"/>
    <col min="14865" max="14866" width="9.140625" style="585"/>
    <col min="14867" max="14867" width="11.7109375" style="585" customWidth="1"/>
    <col min="14868" max="14868" width="88.42578125" style="585" customWidth="1"/>
    <col min="14869" max="14872" width="11.7109375" style="585" customWidth="1"/>
    <col min="14873" max="14874" width="9.140625" style="585"/>
    <col min="14875" max="14875" width="11.7109375" style="585" customWidth="1"/>
    <col min="14876" max="14876" width="75.5703125" style="585" customWidth="1"/>
    <col min="14877" max="14880" width="11.7109375" style="585" customWidth="1"/>
    <col min="14881" max="14882" width="9.140625" style="585"/>
    <col min="14883" max="14883" width="11.7109375" style="585" customWidth="1"/>
    <col min="14884" max="14884" width="80.42578125" style="585" customWidth="1"/>
    <col min="14885" max="14888" width="11.7109375" style="585" customWidth="1"/>
    <col min="14889" max="14890" width="9.140625" style="585"/>
    <col min="14891" max="14891" width="11.7109375" style="585" customWidth="1"/>
    <col min="14892" max="14892" width="69.85546875" style="585" customWidth="1"/>
    <col min="14893" max="14896" width="11.7109375" style="585" customWidth="1"/>
    <col min="14897" max="14897" width="9.140625" style="585"/>
    <col min="14898" max="14898" width="11.7109375" style="585" customWidth="1"/>
    <col min="14899" max="14899" width="95.140625" style="585" customWidth="1"/>
    <col min="14900" max="14903" width="11.7109375" style="585" customWidth="1"/>
    <col min="14904" max="14904" width="9.140625" style="585"/>
    <col min="14905" max="14905" width="11.7109375" style="585" customWidth="1"/>
    <col min="14906" max="14906" width="95.140625" style="585" customWidth="1"/>
    <col min="14907" max="14910" width="11.7109375" style="585" customWidth="1"/>
    <col min="14911" max="14911" width="11.5703125" style="585" customWidth="1"/>
    <col min="14912" max="14912" width="11.7109375" style="585" customWidth="1"/>
    <col min="14913" max="14913" width="95.140625" style="585" customWidth="1"/>
    <col min="14914" max="14917" width="11.7109375" style="585" customWidth="1"/>
    <col min="14918" max="15106" width="9.140625" style="585"/>
    <col min="15107" max="15107" width="11.5703125" style="585" customWidth="1"/>
    <col min="15108" max="15108" width="103.140625" style="585" customWidth="1"/>
    <col min="15109" max="15112" width="11.7109375" style="585" customWidth="1"/>
    <col min="15113" max="15114" width="9.140625" style="585"/>
    <col min="15115" max="15115" width="11.7109375" style="585" customWidth="1"/>
    <col min="15116" max="15116" width="78.5703125" style="585" customWidth="1"/>
    <col min="15117" max="15120" width="11.7109375" style="585" customWidth="1"/>
    <col min="15121" max="15122" width="9.140625" style="585"/>
    <col min="15123" max="15123" width="11.7109375" style="585" customWidth="1"/>
    <col min="15124" max="15124" width="88.42578125" style="585" customWidth="1"/>
    <col min="15125" max="15128" width="11.7109375" style="585" customWidth="1"/>
    <col min="15129" max="15130" width="9.140625" style="585"/>
    <col min="15131" max="15131" width="11.7109375" style="585" customWidth="1"/>
    <col min="15132" max="15132" width="75.5703125" style="585" customWidth="1"/>
    <col min="15133" max="15136" width="11.7109375" style="585" customWidth="1"/>
    <col min="15137" max="15138" width="9.140625" style="585"/>
    <col min="15139" max="15139" width="11.7109375" style="585" customWidth="1"/>
    <col min="15140" max="15140" width="80.42578125" style="585" customWidth="1"/>
    <col min="15141" max="15144" width="11.7109375" style="585" customWidth="1"/>
    <col min="15145" max="15146" width="9.140625" style="585"/>
    <col min="15147" max="15147" width="11.7109375" style="585" customWidth="1"/>
    <col min="15148" max="15148" width="69.85546875" style="585" customWidth="1"/>
    <col min="15149" max="15152" width="11.7109375" style="585" customWidth="1"/>
    <col min="15153" max="15153" width="9.140625" style="585"/>
    <col min="15154" max="15154" width="11.7109375" style="585" customWidth="1"/>
    <col min="15155" max="15155" width="95.140625" style="585" customWidth="1"/>
    <col min="15156" max="15159" width="11.7109375" style="585" customWidth="1"/>
    <col min="15160" max="15160" width="9.140625" style="585"/>
    <col min="15161" max="15161" width="11.7109375" style="585" customWidth="1"/>
    <col min="15162" max="15162" width="95.140625" style="585" customWidth="1"/>
    <col min="15163" max="15166" width="11.7109375" style="585" customWidth="1"/>
    <col min="15167" max="15167" width="11.5703125" style="585" customWidth="1"/>
    <col min="15168" max="15168" width="11.7109375" style="585" customWidth="1"/>
    <col min="15169" max="15169" width="95.140625" style="585" customWidth="1"/>
    <col min="15170" max="15173" width="11.7109375" style="585" customWidth="1"/>
    <col min="15174" max="15362" width="9.140625" style="585"/>
    <col min="15363" max="15363" width="11.5703125" style="585" customWidth="1"/>
    <col min="15364" max="15364" width="103.140625" style="585" customWidth="1"/>
    <col min="15365" max="15368" width="11.7109375" style="585" customWidth="1"/>
    <col min="15369" max="15370" width="9.140625" style="585"/>
    <col min="15371" max="15371" width="11.7109375" style="585" customWidth="1"/>
    <col min="15372" max="15372" width="78.5703125" style="585" customWidth="1"/>
    <col min="15373" max="15376" width="11.7109375" style="585" customWidth="1"/>
    <col min="15377" max="15378" width="9.140625" style="585"/>
    <col min="15379" max="15379" width="11.7109375" style="585" customWidth="1"/>
    <col min="15380" max="15380" width="88.42578125" style="585" customWidth="1"/>
    <col min="15381" max="15384" width="11.7109375" style="585" customWidth="1"/>
    <col min="15385" max="15386" width="9.140625" style="585"/>
    <col min="15387" max="15387" width="11.7109375" style="585" customWidth="1"/>
    <col min="15388" max="15388" width="75.5703125" style="585" customWidth="1"/>
    <col min="15389" max="15392" width="11.7109375" style="585" customWidth="1"/>
    <col min="15393" max="15394" width="9.140625" style="585"/>
    <col min="15395" max="15395" width="11.7109375" style="585" customWidth="1"/>
    <col min="15396" max="15396" width="80.42578125" style="585" customWidth="1"/>
    <col min="15397" max="15400" width="11.7109375" style="585" customWidth="1"/>
    <col min="15401" max="15402" width="9.140625" style="585"/>
    <col min="15403" max="15403" width="11.7109375" style="585" customWidth="1"/>
    <col min="15404" max="15404" width="69.85546875" style="585" customWidth="1"/>
    <col min="15405" max="15408" width="11.7109375" style="585" customWidth="1"/>
    <col min="15409" max="15409" width="9.140625" style="585"/>
    <col min="15410" max="15410" width="11.7109375" style="585" customWidth="1"/>
    <col min="15411" max="15411" width="95.140625" style="585" customWidth="1"/>
    <col min="15412" max="15415" width="11.7109375" style="585" customWidth="1"/>
    <col min="15416" max="15416" width="9.140625" style="585"/>
    <col min="15417" max="15417" width="11.7109375" style="585" customWidth="1"/>
    <col min="15418" max="15418" width="95.140625" style="585" customWidth="1"/>
    <col min="15419" max="15422" width="11.7109375" style="585" customWidth="1"/>
    <col min="15423" max="15423" width="11.5703125" style="585" customWidth="1"/>
    <col min="15424" max="15424" width="11.7109375" style="585" customWidth="1"/>
    <col min="15425" max="15425" width="95.140625" style="585" customWidth="1"/>
    <col min="15426" max="15429" width="11.7109375" style="585" customWidth="1"/>
    <col min="15430" max="15618" width="9.140625" style="585"/>
    <col min="15619" max="15619" width="11.5703125" style="585" customWidth="1"/>
    <col min="15620" max="15620" width="103.140625" style="585" customWidth="1"/>
    <col min="15621" max="15624" width="11.7109375" style="585" customWidth="1"/>
    <col min="15625" max="15626" width="9.140625" style="585"/>
    <col min="15627" max="15627" width="11.7109375" style="585" customWidth="1"/>
    <col min="15628" max="15628" width="78.5703125" style="585" customWidth="1"/>
    <col min="15629" max="15632" width="11.7109375" style="585" customWidth="1"/>
    <col min="15633" max="15634" width="9.140625" style="585"/>
    <col min="15635" max="15635" width="11.7109375" style="585" customWidth="1"/>
    <col min="15636" max="15636" width="88.42578125" style="585" customWidth="1"/>
    <col min="15637" max="15640" width="11.7109375" style="585" customWidth="1"/>
    <col min="15641" max="15642" width="9.140625" style="585"/>
    <col min="15643" max="15643" width="11.7109375" style="585" customWidth="1"/>
    <col min="15644" max="15644" width="75.5703125" style="585" customWidth="1"/>
    <col min="15645" max="15648" width="11.7109375" style="585" customWidth="1"/>
    <col min="15649" max="15650" width="9.140625" style="585"/>
    <col min="15651" max="15651" width="11.7109375" style="585" customWidth="1"/>
    <col min="15652" max="15652" width="80.42578125" style="585" customWidth="1"/>
    <col min="15653" max="15656" width="11.7109375" style="585" customWidth="1"/>
    <col min="15657" max="15658" width="9.140625" style="585"/>
    <col min="15659" max="15659" width="11.7109375" style="585" customWidth="1"/>
    <col min="15660" max="15660" width="69.85546875" style="585" customWidth="1"/>
    <col min="15661" max="15664" width="11.7109375" style="585" customWidth="1"/>
    <col min="15665" max="15665" width="9.140625" style="585"/>
    <col min="15666" max="15666" width="11.7109375" style="585" customWidth="1"/>
    <col min="15667" max="15667" width="95.140625" style="585" customWidth="1"/>
    <col min="15668" max="15671" width="11.7109375" style="585" customWidth="1"/>
    <col min="15672" max="15672" width="9.140625" style="585"/>
    <col min="15673" max="15673" width="11.7109375" style="585" customWidth="1"/>
    <col min="15674" max="15674" width="95.140625" style="585" customWidth="1"/>
    <col min="15675" max="15678" width="11.7109375" style="585" customWidth="1"/>
    <col min="15679" max="15679" width="11.5703125" style="585" customWidth="1"/>
    <col min="15680" max="15680" width="11.7109375" style="585" customWidth="1"/>
    <col min="15681" max="15681" width="95.140625" style="585" customWidth="1"/>
    <col min="15682" max="15685" width="11.7109375" style="585" customWidth="1"/>
    <col min="15686" max="15874" width="9.140625" style="585"/>
    <col min="15875" max="15875" width="11.5703125" style="585" customWidth="1"/>
    <col min="15876" max="15876" width="103.140625" style="585" customWidth="1"/>
    <col min="15877" max="15880" width="11.7109375" style="585" customWidth="1"/>
    <col min="15881" max="15882" width="9.140625" style="585"/>
    <col min="15883" max="15883" width="11.7109375" style="585" customWidth="1"/>
    <col min="15884" max="15884" width="78.5703125" style="585" customWidth="1"/>
    <col min="15885" max="15888" width="11.7109375" style="585" customWidth="1"/>
    <col min="15889" max="15890" width="9.140625" style="585"/>
    <col min="15891" max="15891" width="11.7109375" style="585" customWidth="1"/>
    <col min="15892" max="15892" width="88.42578125" style="585" customWidth="1"/>
    <col min="15893" max="15896" width="11.7109375" style="585" customWidth="1"/>
    <col min="15897" max="15898" width="9.140625" style="585"/>
    <col min="15899" max="15899" width="11.7109375" style="585" customWidth="1"/>
    <col min="15900" max="15900" width="75.5703125" style="585" customWidth="1"/>
    <col min="15901" max="15904" width="11.7109375" style="585" customWidth="1"/>
    <col min="15905" max="15906" width="9.140625" style="585"/>
    <col min="15907" max="15907" width="11.7109375" style="585" customWidth="1"/>
    <col min="15908" max="15908" width="80.42578125" style="585" customWidth="1"/>
    <col min="15909" max="15912" width="11.7109375" style="585" customWidth="1"/>
    <col min="15913" max="15914" width="9.140625" style="585"/>
    <col min="15915" max="15915" width="11.7109375" style="585" customWidth="1"/>
    <col min="15916" max="15916" width="69.85546875" style="585" customWidth="1"/>
    <col min="15917" max="15920" width="11.7109375" style="585" customWidth="1"/>
    <col min="15921" max="15921" width="9.140625" style="585"/>
    <col min="15922" max="15922" width="11.7109375" style="585" customWidth="1"/>
    <col min="15923" max="15923" width="95.140625" style="585" customWidth="1"/>
    <col min="15924" max="15927" width="11.7109375" style="585" customWidth="1"/>
    <col min="15928" max="15928" width="9.140625" style="585"/>
    <col min="15929" max="15929" width="11.7109375" style="585" customWidth="1"/>
    <col min="15930" max="15930" width="95.140625" style="585" customWidth="1"/>
    <col min="15931" max="15934" width="11.7109375" style="585" customWidth="1"/>
    <col min="15935" max="15935" width="11.5703125" style="585" customWidth="1"/>
    <col min="15936" max="15936" width="11.7109375" style="585" customWidth="1"/>
    <col min="15937" max="15937" width="95.140625" style="585" customWidth="1"/>
    <col min="15938" max="15941" width="11.7109375" style="585" customWidth="1"/>
    <col min="15942" max="16130" width="9.140625" style="585"/>
    <col min="16131" max="16131" width="11.5703125" style="585" customWidth="1"/>
    <col min="16132" max="16132" width="103.140625" style="585" customWidth="1"/>
    <col min="16133" max="16136" width="11.7109375" style="585" customWidth="1"/>
    <col min="16137" max="16138" width="9.140625" style="585"/>
    <col min="16139" max="16139" width="11.7109375" style="585" customWidth="1"/>
    <col min="16140" max="16140" width="78.5703125" style="585" customWidth="1"/>
    <col min="16141" max="16144" width="11.7109375" style="585" customWidth="1"/>
    <col min="16145" max="16146" width="9.140625" style="585"/>
    <col min="16147" max="16147" width="11.7109375" style="585" customWidth="1"/>
    <col min="16148" max="16148" width="88.42578125" style="585" customWidth="1"/>
    <col min="16149" max="16152" width="11.7109375" style="585" customWidth="1"/>
    <col min="16153" max="16154" width="9.140625" style="585"/>
    <col min="16155" max="16155" width="11.7109375" style="585" customWidth="1"/>
    <col min="16156" max="16156" width="75.5703125" style="585" customWidth="1"/>
    <col min="16157" max="16160" width="11.7109375" style="585" customWidth="1"/>
    <col min="16161" max="16162" width="9.140625" style="585"/>
    <col min="16163" max="16163" width="11.7109375" style="585" customWidth="1"/>
    <col min="16164" max="16164" width="80.42578125" style="585" customWidth="1"/>
    <col min="16165" max="16168" width="11.7109375" style="585" customWidth="1"/>
    <col min="16169" max="16170" width="9.140625" style="585"/>
    <col min="16171" max="16171" width="11.7109375" style="585" customWidth="1"/>
    <col min="16172" max="16172" width="69.85546875" style="585" customWidth="1"/>
    <col min="16173" max="16176" width="11.7109375" style="585" customWidth="1"/>
    <col min="16177" max="16177" width="9.140625" style="585"/>
    <col min="16178" max="16178" width="11.7109375" style="585" customWidth="1"/>
    <col min="16179" max="16179" width="95.140625" style="585" customWidth="1"/>
    <col min="16180" max="16183" width="11.7109375" style="585" customWidth="1"/>
    <col min="16184" max="16184" width="9.140625" style="585"/>
    <col min="16185" max="16185" width="11.7109375" style="585" customWidth="1"/>
    <col min="16186" max="16186" width="95.140625" style="585" customWidth="1"/>
    <col min="16187" max="16190" width="11.7109375" style="585" customWidth="1"/>
    <col min="16191" max="16191" width="11.5703125" style="585" customWidth="1"/>
    <col min="16192" max="16192" width="11.7109375" style="585" customWidth="1"/>
    <col min="16193" max="16193" width="95.140625" style="585" customWidth="1"/>
    <col min="16194" max="16197" width="11.7109375" style="585" customWidth="1"/>
    <col min="16198" max="16384" width="9.140625" style="585"/>
  </cols>
  <sheetData>
    <row r="1" spans="1:69" ht="12.75" customHeight="1">
      <c r="A1" s="1557" t="s">
        <v>7258</v>
      </c>
      <c r="I1" s="1557" t="s">
        <v>7259</v>
      </c>
      <c r="Q1" s="1557" t="s">
        <v>7260</v>
      </c>
      <c r="Y1" s="1557" t="s">
        <v>7261</v>
      </c>
      <c r="AG1" s="1557" t="s">
        <v>7262</v>
      </c>
      <c r="AO1" s="1557" t="s">
        <v>7263</v>
      </c>
      <c r="AW1" s="1557" t="s">
        <v>7264</v>
      </c>
      <c r="AX1" s="1558"/>
      <c r="AY1" s="1558"/>
      <c r="AZ1" s="1558"/>
      <c r="BA1" s="1558"/>
      <c r="BB1" s="1558"/>
      <c r="BC1" s="1558"/>
      <c r="BE1" s="1557"/>
      <c r="BF1" s="1558"/>
      <c r="BG1" s="1558"/>
      <c r="BH1" s="1558"/>
      <c r="BI1" s="1558"/>
      <c r="BJ1" s="1558"/>
      <c r="BL1" s="1557"/>
      <c r="BM1" s="1558"/>
      <c r="BN1" s="1558"/>
      <c r="BO1" s="1558"/>
      <c r="BP1" s="1558"/>
      <c r="BQ1" s="1558"/>
    </row>
    <row r="2" spans="1:69" ht="12.75" customHeight="1">
      <c r="A2" s="1559" t="s">
        <v>7003</v>
      </c>
      <c r="B2" s="1560" t="s">
        <v>7003</v>
      </c>
      <c r="C2" s="1561" t="s">
        <v>3173</v>
      </c>
      <c r="D2" s="1561" t="s">
        <v>7265</v>
      </c>
      <c r="E2" s="1561" t="s">
        <v>7266</v>
      </c>
      <c r="F2" s="1562" t="s">
        <v>7267</v>
      </c>
      <c r="I2" s="1559" t="s">
        <v>7003</v>
      </c>
      <c r="J2" s="1560" t="s">
        <v>7003</v>
      </c>
      <c r="K2" s="1561" t="s">
        <v>3173</v>
      </c>
      <c r="L2" s="1561" t="s">
        <v>7265</v>
      </c>
      <c r="M2" s="1561" t="s">
        <v>119</v>
      </c>
      <c r="N2" s="1562" t="s">
        <v>7267</v>
      </c>
      <c r="Q2" s="1559" t="s">
        <v>7003</v>
      </c>
      <c r="R2" s="1560" t="s">
        <v>7003</v>
      </c>
      <c r="S2" s="1561" t="s">
        <v>3173</v>
      </c>
      <c r="T2" s="1561" t="s">
        <v>7265</v>
      </c>
      <c r="U2" s="1561" t="s">
        <v>119</v>
      </c>
      <c r="V2" s="1562" t="s">
        <v>7267</v>
      </c>
      <c r="Y2" s="1559" t="s">
        <v>7003</v>
      </c>
      <c r="Z2" s="1560" t="s">
        <v>7003</v>
      </c>
      <c r="AA2" s="1561" t="s">
        <v>3173</v>
      </c>
      <c r="AB2" s="1561" t="s">
        <v>7265</v>
      </c>
      <c r="AC2" s="1561" t="s">
        <v>119</v>
      </c>
      <c r="AD2" s="1562" t="s">
        <v>7267</v>
      </c>
      <c r="AG2" s="1559" t="s">
        <v>7003</v>
      </c>
      <c r="AH2" s="1560" t="s">
        <v>7003</v>
      </c>
      <c r="AI2" s="1561" t="s">
        <v>3173</v>
      </c>
      <c r="AJ2" s="1561" t="s">
        <v>7265</v>
      </c>
      <c r="AK2" s="1561" t="s">
        <v>119</v>
      </c>
      <c r="AL2" s="1562" t="s">
        <v>7267</v>
      </c>
      <c r="AO2" s="1559" t="s">
        <v>7003</v>
      </c>
      <c r="AP2" s="1560" t="s">
        <v>7003</v>
      </c>
      <c r="AQ2" s="1561" t="s">
        <v>3173</v>
      </c>
      <c r="AR2" s="1561" t="s">
        <v>7265</v>
      </c>
      <c r="AS2" s="1561" t="s">
        <v>119</v>
      </c>
      <c r="AT2" s="1562" t="s">
        <v>7267</v>
      </c>
      <c r="AU2" s="1861"/>
      <c r="AW2" s="1559" t="s">
        <v>7003</v>
      </c>
      <c r="AX2" s="1560" t="s">
        <v>7003</v>
      </c>
      <c r="AY2" s="1561" t="s">
        <v>3173</v>
      </c>
      <c r="AZ2" s="1561" t="s">
        <v>7265</v>
      </c>
      <c r="BA2" s="1561" t="s">
        <v>119</v>
      </c>
      <c r="BB2" s="1562" t="s">
        <v>7267</v>
      </c>
      <c r="BC2" s="1861"/>
      <c r="BE2" s="1862"/>
      <c r="BF2" s="1862"/>
      <c r="BG2" s="1861"/>
      <c r="BH2" s="1861"/>
      <c r="BI2" s="1861"/>
      <c r="BJ2" s="1861"/>
      <c r="BL2" s="1862"/>
      <c r="BM2" s="1862"/>
      <c r="BN2" s="1861"/>
      <c r="BO2" s="1861"/>
      <c r="BP2" s="1861"/>
      <c r="BQ2" s="1861"/>
    </row>
    <row r="3" spans="1:69" ht="12.75" customHeight="1">
      <c r="A3" s="1563" t="s">
        <v>135</v>
      </c>
      <c r="B3" s="1564" t="s">
        <v>7268</v>
      </c>
      <c r="C3" s="1565" t="s">
        <v>7269</v>
      </c>
      <c r="D3" s="1565" t="s">
        <v>7270</v>
      </c>
      <c r="E3" s="1565" t="s">
        <v>7271</v>
      </c>
      <c r="F3" s="1566" t="s">
        <v>7272</v>
      </c>
      <c r="I3" s="1563" t="s">
        <v>135</v>
      </c>
      <c r="J3" s="1564" t="s">
        <v>7268</v>
      </c>
      <c r="K3" s="1565" t="s">
        <v>7269</v>
      </c>
      <c r="L3" s="1565" t="s">
        <v>7270</v>
      </c>
      <c r="M3" s="1565" t="s">
        <v>7273</v>
      </c>
      <c r="N3" s="1566" t="s">
        <v>7272</v>
      </c>
      <c r="Q3" s="1563" t="s">
        <v>135</v>
      </c>
      <c r="R3" s="1564" t="s">
        <v>7268</v>
      </c>
      <c r="S3" s="1565" t="s">
        <v>7269</v>
      </c>
      <c r="T3" s="1565" t="s">
        <v>7270</v>
      </c>
      <c r="U3" s="1565" t="s">
        <v>7273</v>
      </c>
      <c r="V3" s="1566" t="s">
        <v>7272</v>
      </c>
      <c r="Y3" s="1563" t="s">
        <v>135</v>
      </c>
      <c r="Z3" s="1564" t="s">
        <v>7268</v>
      </c>
      <c r="AA3" s="1565" t="s">
        <v>7269</v>
      </c>
      <c r="AB3" s="1565" t="s">
        <v>7270</v>
      </c>
      <c r="AC3" s="1565" t="s">
        <v>7273</v>
      </c>
      <c r="AD3" s="1566" t="s">
        <v>7272</v>
      </c>
      <c r="AG3" s="1563" t="s">
        <v>135</v>
      </c>
      <c r="AH3" s="1564" t="s">
        <v>7268</v>
      </c>
      <c r="AI3" s="1565" t="s">
        <v>7269</v>
      </c>
      <c r="AJ3" s="1565" t="s">
        <v>7270</v>
      </c>
      <c r="AK3" s="1565" t="s">
        <v>7273</v>
      </c>
      <c r="AL3" s="1566" t="s">
        <v>7272</v>
      </c>
      <c r="AO3" s="1567" t="s">
        <v>135</v>
      </c>
      <c r="AP3" s="1564" t="s">
        <v>7268</v>
      </c>
      <c r="AQ3" s="1565" t="s">
        <v>7269</v>
      </c>
      <c r="AR3" s="1565" t="s">
        <v>7270</v>
      </c>
      <c r="AS3" s="1565" t="s">
        <v>7273</v>
      </c>
      <c r="AT3" s="1566" t="s">
        <v>7272</v>
      </c>
      <c r="AU3" s="1861"/>
      <c r="AW3" s="1567" t="s">
        <v>135</v>
      </c>
      <c r="AX3" s="1564" t="s">
        <v>7268</v>
      </c>
      <c r="AY3" s="1565" t="s">
        <v>7269</v>
      </c>
      <c r="AZ3" s="1565" t="s">
        <v>7270</v>
      </c>
      <c r="BA3" s="1565" t="s">
        <v>7273</v>
      </c>
      <c r="BB3" s="1566" t="s">
        <v>7272</v>
      </c>
      <c r="BC3" s="1861"/>
      <c r="BE3" s="1862"/>
      <c r="BF3" s="1862"/>
      <c r="BG3" s="1861"/>
      <c r="BH3" s="1861"/>
      <c r="BI3" s="1861"/>
      <c r="BJ3" s="1861"/>
      <c r="BL3" s="1862"/>
      <c r="BM3" s="1862"/>
      <c r="BN3" s="1861"/>
      <c r="BO3" s="1861"/>
      <c r="BP3" s="1861"/>
      <c r="BQ3" s="1861"/>
    </row>
    <row r="4" spans="1:69" ht="12.75" customHeight="1">
      <c r="A4" s="1568" t="s">
        <v>7274</v>
      </c>
      <c r="B4" s="1569" t="s">
        <v>7275</v>
      </c>
      <c r="C4" s="872">
        <v>62120</v>
      </c>
      <c r="D4" s="1570">
        <v>21.39</v>
      </c>
      <c r="E4" s="872">
        <v>44480</v>
      </c>
      <c r="F4" s="1571">
        <v>0.8</v>
      </c>
      <c r="G4" s="1572"/>
      <c r="I4" s="1568" t="s">
        <v>7276</v>
      </c>
      <c r="J4" s="1569" t="s">
        <v>7277</v>
      </c>
      <c r="K4" s="872">
        <v>1340</v>
      </c>
      <c r="L4" s="1570">
        <v>35.270000000000003</v>
      </c>
      <c r="M4" s="872">
        <v>73370</v>
      </c>
      <c r="N4" s="1571">
        <v>1.9</v>
      </c>
      <c r="Q4" s="1568" t="s">
        <v>7278</v>
      </c>
      <c r="R4" s="1569" t="s">
        <v>7279</v>
      </c>
      <c r="S4" s="872">
        <v>2080</v>
      </c>
      <c r="T4" s="1570">
        <v>39.15</v>
      </c>
      <c r="U4" s="872">
        <v>81440</v>
      </c>
      <c r="V4" s="1571">
        <v>2.4</v>
      </c>
      <c r="W4" s="1573"/>
      <c r="Y4" s="1568" t="s">
        <v>7280</v>
      </c>
      <c r="Z4" s="1569" t="s">
        <v>7281</v>
      </c>
      <c r="AA4" s="872">
        <v>2550</v>
      </c>
      <c r="AB4" s="1570">
        <v>12.36</v>
      </c>
      <c r="AC4" s="872">
        <v>25710</v>
      </c>
      <c r="AD4" s="1571">
        <v>1.4</v>
      </c>
      <c r="AE4" s="585"/>
      <c r="AG4" s="1568" t="s">
        <v>7282</v>
      </c>
      <c r="AH4" s="1569" t="s">
        <v>7283</v>
      </c>
      <c r="AI4" s="872">
        <v>9110</v>
      </c>
      <c r="AJ4" s="1570">
        <v>16.29</v>
      </c>
      <c r="AK4" s="872">
        <v>33870</v>
      </c>
      <c r="AL4" s="1571">
        <v>0.8</v>
      </c>
      <c r="AM4" s="585"/>
      <c r="AO4" s="1568" t="s">
        <v>7284</v>
      </c>
      <c r="AP4" s="1569" t="s">
        <v>7285</v>
      </c>
      <c r="AQ4" s="872">
        <v>3590</v>
      </c>
      <c r="AR4" s="1570">
        <v>19.88</v>
      </c>
      <c r="AS4" s="872">
        <v>41340</v>
      </c>
      <c r="AT4" s="1571">
        <v>0.7</v>
      </c>
      <c r="AU4" s="1571"/>
      <c r="AV4" s="1574"/>
      <c r="AW4" s="1568" t="s">
        <v>7286</v>
      </c>
      <c r="AX4" s="1569" t="s">
        <v>7287</v>
      </c>
      <c r="AY4" s="872">
        <v>4520</v>
      </c>
      <c r="AZ4" s="1570">
        <v>19.07</v>
      </c>
      <c r="BA4" s="872">
        <v>39660</v>
      </c>
      <c r="BB4" s="1571">
        <v>1.2</v>
      </c>
      <c r="BC4" s="1571"/>
      <c r="BE4" s="1863"/>
      <c r="BF4" s="621"/>
      <c r="BG4" s="439"/>
      <c r="BH4" s="1575"/>
      <c r="BI4" s="1576"/>
      <c r="BJ4" s="1575"/>
      <c r="BL4" s="1863"/>
      <c r="BM4" s="621"/>
      <c r="BN4" s="439"/>
      <c r="BO4" s="1575"/>
      <c r="BP4" s="1576"/>
      <c r="BQ4" s="1575"/>
    </row>
    <row r="5" spans="1:69" ht="12.75" customHeight="1">
      <c r="A5" s="1568" t="s">
        <v>7288</v>
      </c>
      <c r="B5" s="1569" t="s">
        <v>7289</v>
      </c>
      <c r="C5" s="872">
        <v>5780</v>
      </c>
      <c r="D5" s="1570">
        <v>39.51</v>
      </c>
      <c r="E5" s="872">
        <v>82180</v>
      </c>
      <c r="F5" s="1571">
        <v>1.2</v>
      </c>
      <c r="G5" s="1572"/>
      <c r="I5" s="1577" t="s">
        <v>7290</v>
      </c>
      <c r="J5" s="845" t="s">
        <v>7291</v>
      </c>
      <c r="K5" s="872">
        <v>50</v>
      </c>
      <c r="L5" s="1570">
        <v>41.33</v>
      </c>
      <c r="M5" s="872">
        <v>85960</v>
      </c>
      <c r="N5" s="1571">
        <v>4.5</v>
      </c>
      <c r="Q5" s="1577" t="s">
        <v>7292</v>
      </c>
      <c r="R5" s="845" t="s">
        <v>7293</v>
      </c>
      <c r="S5" s="872">
        <v>70</v>
      </c>
      <c r="T5" s="1570">
        <v>56.81</v>
      </c>
      <c r="U5" s="872">
        <v>118170</v>
      </c>
      <c r="V5" s="1571">
        <v>1</v>
      </c>
      <c r="W5" s="1573"/>
      <c r="Y5" s="1577" t="s">
        <v>7294</v>
      </c>
      <c r="Z5" s="845" t="s">
        <v>7295</v>
      </c>
      <c r="AA5" s="872">
        <v>160</v>
      </c>
      <c r="AB5" s="1570">
        <v>14.58</v>
      </c>
      <c r="AC5" s="872">
        <v>30330</v>
      </c>
      <c r="AD5" s="1571">
        <v>1.7</v>
      </c>
      <c r="AE5" s="585"/>
      <c r="AG5" s="1577" t="s">
        <v>7296</v>
      </c>
      <c r="AH5" s="845" t="s">
        <v>7297</v>
      </c>
      <c r="AI5" s="872">
        <v>750</v>
      </c>
      <c r="AJ5" s="1570">
        <v>14.82</v>
      </c>
      <c r="AK5" s="872">
        <v>30830</v>
      </c>
      <c r="AL5" s="1571">
        <v>1.4</v>
      </c>
      <c r="AM5" s="585"/>
      <c r="AO5" s="1577" t="s">
        <v>7298</v>
      </c>
      <c r="AP5" s="845" t="s">
        <v>7299</v>
      </c>
      <c r="AQ5" s="872">
        <v>330</v>
      </c>
      <c r="AR5" s="1570">
        <v>24.69</v>
      </c>
      <c r="AS5" s="872">
        <v>51360</v>
      </c>
      <c r="AT5" s="1571">
        <v>1.9</v>
      </c>
      <c r="AU5" s="1571"/>
      <c r="AV5" s="1574"/>
      <c r="AW5" s="1577" t="s">
        <v>7300</v>
      </c>
      <c r="AX5" s="845" t="s">
        <v>7301</v>
      </c>
      <c r="AY5" s="872">
        <v>180</v>
      </c>
      <c r="AZ5" s="1570">
        <v>22.55</v>
      </c>
      <c r="BA5" s="872">
        <v>46890</v>
      </c>
      <c r="BB5" s="1571">
        <v>3.4</v>
      </c>
      <c r="BC5" s="1571"/>
      <c r="BE5" s="1578"/>
      <c r="BF5" s="382"/>
      <c r="BG5" s="439"/>
      <c r="BH5" s="1575"/>
      <c r="BI5" s="1576"/>
      <c r="BJ5" s="1575"/>
      <c r="BL5" s="1578"/>
      <c r="BM5" s="382"/>
      <c r="BN5" s="439"/>
      <c r="BO5" s="1575"/>
      <c r="BP5" s="1576"/>
      <c r="BQ5" s="1575"/>
    </row>
    <row r="6" spans="1:69" ht="12.75" customHeight="1">
      <c r="A6" s="1577" t="s">
        <v>7302</v>
      </c>
      <c r="B6" s="845" t="s">
        <v>7303</v>
      </c>
      <c r="C6" s="872">
        <v>320</v>
      </c>
      <c r="D6" s="1570">
        <v>63.1</v>
      </c>
      <c r="E6" s="872">
        <v>131250</v>
      </c>
      <c r="F6" s="1571">
        <v>6.3</v>
      </c>
      <c r="G6" s="1572"/>
      <c r="I6" s="1577" t="s">
        <v>7304</v>
      </c>
      <c r="J6" s="845" t="s">
        <v>7305</v>
      </c>
      <c r="K6" s="872">
        <v>30</v>
      </c>
      <c r="L6" s="1570">
        <v>28.45</v>
      </c>
      <c r="M6" s="872">
        <v>59170</v>
      </c>
      <c r="N6" s="1571">
        <v>5.9</v>
      </c>
      <c r="Q6" s="1577" t="s">
        <v>7306</v>
      </c>
      <c r="R6" s="845" t="s">
        <v>7307</v>
      </c>
      <c r="S6" s="872">
        <v>680</v>
      </c>
      <c r="T6" s="1570" t="s">
        <v>7308</v>
      </c>
      <c r="U6" s="872" t="s">
        <v>7308</v>
      </c>
      <c r="V6" s="1571" t="s">
        <v>7308</v>
      </c>
      <c r="W6" s="1573"/>
      <c r="Y6" s="1577" t="s">
        <v>7309</v>
      </c>
      <c r="Z6" s="845" t="s">
        <v>7310</v>
      </c>
      <c r="AA6" s="872" t="s">
        <v>7311</v>
      </c>
      <c r="AB6" s="1570">
        <v>16.98</v>
      </c>
      <c r="AC6" s="872">
        <v>35320</v>
      </c>
      <c r="AD6" s="1571">
        <v>2.8</v>
      </c>
      <c r="AE6" s="585"/>
      <c r="AG6" s="1577" t="s">
        <v>7312</v>
      </c>
      <c r="AH6" s="845" t="s">
        <v>7313</v>
      </c>
      <c r="AI6" s="872">
        <v>40</v>
      </c>
      <c r="AJ6" s="1570">
        <v>19.920000000000002</v>
      </c>
      <c r="AK6" s="872">
        <v>41440</v>
      </c>
      <c r="AL6" s="1571">
        <v>0</v>
      </c>
      <c r="AM6" s="585"/>
      <c r="AO6" s="1577" t="s">
        <v>7314</v>
      </c>
      <c r="AP6" s="845" t="s">
        <v>7315</v>
      </c>
      <c r="AQ6" s="872">
        <v>60</v>
      </c>
      <c r="AR6" s="1570">
        <v>14.97</v>
      </c>
      <c r="AS6" s="872">
        <v>31140</v>
      </c>
      <c r="AT6" s="1571">
        <v>5.4</v>
      </c>
      <c r="AU6" s="1571"/>
      <c r="AV6" s="1574"/>
      <c r="AW6" s="1577" t="s">
        <v>7316</v>
      </c>
      <c r="AX6" s="845" t="s">
        <v>7317</v>
      </c>
      <c r="AY6" s="872">
        <v>40</v>
      </c>
      <c r="AZ6" s="1570">
        <v>46.32</v>
      </c>
      <c r="BA6" s="872">
        <v>96340</v>
      </c>
      <c r="BB6" s="1571">
        <v>8</v>
      </c>
      <c r="BC6" s="1571"/>
      <c r="BE6" s="1578"/>
      <c r="BF6" s="382"/>
      <c r="BG6" s="439"/>
      <c r="BH6" s="1575"/>
      <c r="BI6" s="1576"/>
      <c r="BJ6" s="1575"/>
      <c r="BL6" s="1578"/>
      <c r="BM6" s="382"/>
      <c r="BN6" s="439"/>
      <c r="BO6" s="1575"/>
      <c r="BP6" s="1576"/>
      <c r="BQ6" s="1575"/>
    </row>
    <row r="7" spans="1:69" ht="12.75" customHeight="1">
      <c r="A7" s="1577" t="s">
        <v>7318</v>
      </c>
      <c r="B7" s="845" t="s">
        <v>7319</v>
      </c>
      <c r="C7" s="872">
        <v>1690</v>
      </c>
      <c r="D7" s="1570">
        <v>38.520000000000003</v>
      </c>
      <c r="E7" s="872">
        <v>80120</v>
      </c>
      <c r="F7" s="1571">
        <v>2.5</v>
      </c>
      <c r="G7" s="1572"/>
      <c r="I7" s="1577" t="s">
        <v>7320</v>
      </c>
      <c r="J7" s="845" t="s">
        <v>7321</v>
      </c>
      <c r="K7" s="872">
        <v>500</v>
      </c>
      <c r="L7" s="1570">
        <v>36.17</v>
      </c>
      <c r="M7" s="872">
        <v>75240</v>
      </c>
      <c r="N7" s="1571">
        <v>3.9</v>
      </c>
      <c r="Q7" s="1577" t="s">
        <v>7322</v>
      </c>
      <c r="R7" s="845" t="s">
        <v>7323</v>
      </c>
      <c r="S7" s="872">
        <v>100</v>
      </c>
      <c r="T7" s="1570">
        <v>47.68</v>
      </c>
      <c r="U7" s="872">
        <v>99170</v>
      </c>
      <c r="V7" s="1571">
        <v>4.5</v>
      </c>
      <c r="W7" s="1573"/>
      <c r="Y7" s="1577" t="s">
        <v>7324</v>
      </c>
      <c r="Z7" s="845" t="s">
        <v>7325</v>
      </c>
      <c r="AA7" s="872">
        <v>820</v>
      </c>
      <c r="AB7" s="1570">
        <v>11.87</v>
      </c>
      <c r="AC7" s="872">
        <v>24690</v>
      </c>
      <c r="AD7" s="1571">
        <v>2.6</v>
      </c>
      <c r="AE7" s="585"/>
      <c r="AG7" s="1577" t="s">
        <v>7326</v>
      </c>
      <c r="AH7" s="845" t="s">
        <v>7327</v>
      </c>
      <c r="AI7" s="872">
        <v>190</v>
      </c>
      <c r="AJ7" s="1570">
        <v>10.61</v>
      </c>
      <c r="AK7" s="872">
        <v>22060</v>
      </c>
      <c r="AL7" s="1571">
        <v>1.9</v>
      </c>
      <c r="AM7" s="585"/>
      <c r="AO7" s="1577" t="s">
        <v>7328</v>
      </c>
      <c r="AP7" s="845" t="s">
        <v>7329</v>
      </c>
      <c r="AQ7" s="872">
        <v>90</v>
      </c>
      <c r="AR7" s="1570">
        <v>19.86</v>
      </c>
      <c r="AS7" s="872">
        <v>41310</v>
      </c>
      <c r="AT7" s="1571">
        <v>6</v>
      </c>
      <c r="AU7" s="1571"/>
      <c r="AV7" s="1574"/>
      <c r="AW7" s="1577" t="s">
        <v>7330</v>
      </c>
      <c r="AX7" s="845" t="s">
        <v>7331</v>
      </c>
      <c r="AY7" s="872">
        <v>190</v>
      </c>
      <c r="AZ7" s="1570">
        <v>11.75</v>
      </c>
      <c r="BA7" s="872">
        <v>24450</v>
      </c>
      <c r="BB7" s="1571">
        <v>4.3</v>
      </c>
      <c r="BC7" s="1571"/>
      <c r="BE7" s="1578"/>
      <c r="BF7" s="382"/>
      <c r="BG7" s="439"/>
      <c r="BH7" s="1575"/>
      <c r="BI7" s="1576"/>
      <c r="BJ7" s="1575"/>
      <c r="BL7" s="1578"/>
      <c r="BM7" s="382"/>
      <c r="BN7" s="439"/>
      <c r="BO7" s="1575"/>
      <c r="BP7" s="1576"/>
      <c r="BQ7" s="1575"/>
    </row>
    <row r="8" spans="1:69" ht="12.75" customHeight="1">
      <c r="A8" s="1577" t="s">
        <v>7332</v>
      </c>
      <c r="B8" s="845" t="s">
        <v>7333</v>
      </c>
      <c r="C8" s="872">
        <v>160</v>
      </c>
      <c r="D8" s="1570">
        <v>33.18</v>
      </c>
      <c r="E8" s="872">
        <v>69010</v>
      </c>
      <c r="F8" s="1571">
        <v>3.2</v>
      </c>
      <c r="G8" s="1572"/>
      <c r="I8" s="1577" t="s">
        <v>7334</v>
      </c>
      <c r="J8" s="845" t="s">
        <v>7335</v>
      </c>
      <c r="K8" s="872">
        <v>170</v>
      </c>
      <c r="L8" s="1570">
        <v>33.880000000000003</v>
      </c>
      <c r="M8" s="872">
        <v>70470</v>
      </c>
      <c r="N8" s="1571">
        <v>2.8</v>
      </c>
      <c r="Q8" s="1577" t="s">
        <v>7336</v>
      </c>
      <c r="R8" s="845" t="s">
        <v>7337</v>
      </c>
      <c r="S8" s="872">
        <v>40</v>
      </c>
      <c r="T8" s="1570" t="s">
        <v>7308</v>
      </c>
      <c r="U8" s="872" t="s">
        <v>7308</v>
      </c>
      <c r="V8" s="1571" t="s">
        <v>7308</v>
      </c>
      <c r="W8" s="1573"/>
      <c r="Y8" s="1577" t="s">
        <v>7338</v>
      </c>
      <c r="Z8" s="845" t="s">
        <v>7339</v>
      </c>
      <c r="AA8" s="872">
        <v>880</v>
      </c>
      <c r="AB8" s="1570">
        <v>10.96</v>
      </c>
      <c r="AC8" s="872">
        <v>22800</v>
      </c>
      <c r="AD8" s="1571">
        <v>0.7</v>
      </c>
      <c r="AE8" s="585"/>
      <c r="AG8" s="1577" t="s">
        <v>7340</v>
      </c>
      <c r="AH8" s="845" t="s">
        <v>7341</v>
      </c>
      <c r="AI8" s="872">
        <v>270</v>
      </c>
      <c r="AJ8" s="1570">
        <v>11.59</v>
      </c>
      <c r="AK8" s="872">
        <v>24110</v>
      </c>
      <c r="AL8" s="1571">
        <v>2.4</v>
      </c>
      <c r="AM8" s="585"/>
      <c r="AO8" s="1577" t="s">
        <v>7342</v>
      </c>
      <c r="AP8" s="845" t="s">
        <v>7343</v>
      </c>
      <c r="AQ8" s="872">
        <v>50</v>
      </c>
      <c r="AR8" s="1570">
        <v>18.7</v>
      </c>
      <c r="AS8" s="872">
        <v>38900</v>
      </c>
      <c r="AT8" s="1571">
        <v>1.7</v>
      </c>
      <c r="AU8" s="1571"/>
      <c r="AV8" s="1574"/>
      <c r="AW8" s="1577" t="s">
        <v>7344</v>
      </c>
      <c r="AX8" s="845" t="s">
        <v>7345</v>
      </c>
      <c r="AY8" s="872">
        <v>490</v>
      </c>
      <c r="AZ8" s="1570">
        <v>18.54</v>
      </c>
      <c r="BA8" s="872">
        <v>38560</v>
      </c>
      <c r="BB8" s="1571">
        <v>1.3</v>
      </c>
      <c r="BC8" s="1571"/>
      <c r="BE8" s="1578"/>
      <c r="BF8" s="382"/>
      <c r="BG8" s="439"/>
      <c r="BH8" s="1575"/>
      <c r="BI8" s="1576"/>
      <c r="BJ8" s="1575"/>
      <c r="BL8" s="1578"/>
      <c r="BM8" s="382"/>
      <c r="BN8" s="439"/>
      <c r="BO8" s="1575"/>
      <c r="BP8" s="1576"/>
      <c r="BQ8" s="1575"/>
    </row>
    <row r="9" spans="1:69" ht="12.75" customHeight="1">
      <c r="A9" s="1577" t="s">
        <v>7346</v>
      </c>
      <c r="B9" s="845" t="s">
        <v>7347</v>
      </c>
      <c r="C9" s="872">
        <v>200</v>
      </c>
      <c r="D9" s="1570">
        <v>33.71</v>
      </c>
      <c r="E9" s="872">
        <v>70110</v>
      </c>
      <c r="F9" s="1571">
        <v>2.5</v>
      </c>
      <c r="G9" s="1572"/>
      <c r="I9" s="1577" t="s">
        <v>7348</v>
      </c>
      <c r="J9" s="845" t="s">
        <v>7349</v>
      </c>
      <c r="K9" s="872">
        <v>40</v>
      </c>
      <c r="L9" s="1570">
        <v>39.56</v>
      </c>
      <c r="M9" s="872">
        <v>82290</v>
      </c>
      <c r="N9" s="1571">
        <v>10</v>
      </c>
      <c r="Q9" s="1577" t="s">
        <v>7350</v>
      </c>
      <c r="R9" s="845" t="s">
        <v>7351</v>
      </c>
      <c r="S9" s="872">
        <v>50</v>
      </c>
      <c r="T9" s="1570">
        <v>29.2</v>
      </c>
      <c r="U9" s="872">
        <v>60730</v>
      </c>
      <c r="V9" s="1571">
        <v>10.3</v>
      </c>
      <c r="W9" s="1573"/>
      <c r="Y9" s="1577" t="s">
        <v>7352</v>
      </c>
      <c r="Z9" s="845" t="s">
        <v>7353</v>
      </c>
      <c r="AA9" s="872">
        <v>40</v>
      </c>
      <c r="AB9" s="1570">
        <v>14.89</v>
      </c>
      <c r="AC9" s="872">
        <v>30980</v>
      </c>
      <c r="AD9" s="1571">
        <v>1.8</v>
      </c>
      <c r="AE9" s="585"/>
      <c r="AG9" s="1577" t="s">
        <v>7354</v>
      </c>
      <c r="AH9" s="845" t="s">
        <v>7355</v>
      </c>
      <c r="AI9" s="872">
        <v>110</v>
      </c>
      <c r="AJ9" s="1570">
        <v>23.46</v>
      </c>
      <c r="AK9" s="872">
        <v>48800</v>
      </c>
      <c r="AL9" s="1571">
        <v>1</v>
      </c>
      <c r="AM9" s="585"/>
      <c r="AO9" s="1577" t="s">
        <v>7356</v>
      </c>
      <c r="AP9" s="845" t="s">
        <v>7357</v>
      </c>
      <c r="AQ9" s="872">
        <v>90</v>
      </c>
      <c r="AR9" s="1570" t="s">
        <v>7308</v>
      </c>
      <c r="AS9" s="872" t="s">
        <v>7308</v>
      </c>
      <c r="AT9" s="1571" t="s">
        <v>7308</v>
      </c>
      <c r="AU9" s="1571"/>
      <c r="AV9" s="1574"/>
      <c r="AW9" s="1577" t="s">
        <v>7358</v>
      </c>
      <c r="AX9" s="845" t="s">
        <v>7359</v>
      </c>
      <c r="AY9" s="872">
        <v>380</v>
      </c>
      <c r="AZ9" s="1570">
        <v>12.68</v>
      </c>
      <c r="BA9" s="872">
        <v>26380</v>
      </c>
      <c r="BB9" s="1571">
        <v>1.8</v>
      </c>
      <c r="BC9" s="1571"/>
      <c r="BE9" s="1578"/>
      <c r="BF9" s="382"/>
      <c r="BG9" s="439"/>
      <c r="BH9" s="1575"/>
      <c r="BI9" s="1576"/>
      <c r="BJ9" s="1575"/>
      <c r="BL9" s="1578"/>
      <c r="BM9" s="382"/>
      <c r="BN9" s="439"/>
      <c r="BO9" s="1575"/>
      <c r="BP9" s="1576"/>
      <c r="BQ9" s="1575"/>
    </row>
    <row r="10" spans="1:69" ht="12.75" customHeight="1">
      <c r="A10" s="1577" t="s">
        <v>7360</v>
      </c>
      <c r="B10" s="845" t="s">
        <v>7361</v>
      </c>
      <c r="C10" s="872">
        <v>1180</v>
      </c>
      <c r="D10" s="1570">
        <v>31.3</v>
      </c>
      <c r="E10" s="872">
        <v>65100</v>
      </c>
      <c r="F10" s="1571">
        <v>1.5</v>
      </c>
      <c r="G10" s="1572"/>
      <c r="I10" s="1577" t="s">
        <v>7362</v>
      </c>
      <c r="J10" s="845" t="s">
        <v>7363</v>
      </c>
      <c r="K10" s="872">
        <v>90</v>
      </c>
      <c r="L10" s="1570">
        <v>33.29</v>
      </c>
      <c r="M10" s="872">
        <v>69230</v>
      </c>
      <c r="N10" s="1571">
        <v>4.5999999999999996</v>
      </c>
      <c r="Q10" s="1577" t="s">
        <v>7364</v>
      </c>
      <c r="R10" s="845" t="s">
        <v>7365</v>
      </c>
      <c r="S10" s="872">
        <v>60</v>
      </c>
      <c r="T10" s="1570">
        <v>25.27</v>
      </c>
      <c r="U10" s="872">
        <v>52560</v>
      </c>
      <c r="V10" s="1571">
        <v>4.2</v>
      </c>
      <c r="W10" s="1573"/>
      <c r="Y10" s="1577" t="s">
        <v>7366</v>
      </c>
      <c r="Z10" s="845" t="s">
        <v>7367</v>
      </c>
      <c r="AA10" s="872">
        <v>590</v>
      </c>
      <c r="AB10" s="1570">
        <v>13.91</v>
      </c>
      <c r="AC10" s="872">
        <v>28930</v>
      </c>
      <c r="AD10" s="1571">
        <v>1.8</v>
      </c>
      <c r="AE10" s="585"/>
      <c r="AG10" s="1577" t="s">
        <v>7368</v>
      </c>
      <c r="AH10" s="845" t="s">
        <v>7369</v>
      </c>
      <c r="AI10" s="872">
        <v>60</v>
      </c>
      <c r="AJ10" s="1570">
        <v>20.03</v>
      </c>
      <c r="AK10" s="872">
        <v>41670</v>
      </c>
      <c r="AL10" s="1571">
        <v>4</v>
      </c>
      <c r="AM10" s="585"/>
      <c r="AO10" s="1577" t="s">
        <v>7370</v>
      </c>
      <c r="AP10" s="845" t="s">
        <v>7371</v>
      </c>
      <c r="AQ10" s="872">
        <v>180</v>
      </c>
      <c r="AR10" s="1570">
        <v>19.3</v>
      </c>
      <c r="AS10" s="872">
        <v>40150</v>
      </c>
      <c r="AT10" s="1571">
        <v>4.3</v>
      </c>
      <c r="AU10" s="1571"/>
      <c r="AV10" s="1574"/>
      <c r="AW10" s="1577" t="s">
        <v>7372</v>
      </c>
      <c r="AX10" s="845" t="s">
        <v>7373</v>
      </c>
      <c r="AY10" s="872">
        <v>110</v>
      </c>
      <c r="AZ10" s="1570">
        <v>12.2</v>
      </c>
      <c r="BA10" s="872">
        <v>25380</v>
      </c>
      <c r="BB10" s="1571">
        <v>4.2</v>
      </c>
      <c r="BC10" s="1571"/>
      <c r="BE10" s="1578"/>
      <c r="BF10" s="382"/>
      <c r="BG10" s="439"/>
      <c r="BH10" s="1575"/>
      <c r="BI10" s="1576"/>
      <c r="BJ10" s="1575"/>
      <c r="BL10" s="1578"/>
      <c r="BM10" s="382"/>
      <c r="BN10" s="439"/>
      <c r="BO10" s="1575"/>
      <c r="BP10" s="1576"/>
      <c r="BQ10" s="1575"/>
    </row>
    <row r="11" spans="1:69" ht="12.75" customHeight="1">
      <c r="A11" s="1577" t="s">
        <v>7374</v>
      </c>
      <c r="B11" s="845" t="s">
        <v>7375</v>
      </c>
      <c r="C11" s="872">
        <v>70</v>
      </c>
      <c r="D11" s="1570">
        <v>36.61</v>
      </c>
      <c r="E11" s="872">
        <v>76140</v>
      </c>
      <c r="F11" s="1571">
        <v>4.7</v>
      </c>
      <c r="G11" s="1550"/>
      <c r="I11" s="1577" t="s">
        <v>7376</v>
      </c>
      <c r="J11" s="845" t="s">
        <v>7377</v>
      </c>
      <c r="K11" s="872">
        <v>80</v>
      </c>
      <c r="L11" s="1570">
        <v>41.96</v>
      </c>
      <c r="M11" s="872">
        <v>87270</v>
      </c>
      <c r="N11" s="1571">
        <v>0.1</v>
      </c>
      <c r="Q11" s="1577" t="s">
        <v>7378</v>
      </c>
      <c r="R11" s="845" t="s">
        <v>7379</v>
      </c>
      <c r="S11" s="872">
        <v>130</v>
      </c>
      <c r="T11" s="1570">
        <v>15.38</v>
      </c>
      <c r="U11" s="872">
        <v>31990</v>
      </c>
      <c r="V11" s="1571">
        <v>1.1000000000000001</v>
      </c>
      <c r="W11" s="1573"/>
      <c r="Y11" s="1568" t="s">
        <v>7380</v>
      </c>
      <c r="Z11" s="1569" t="s">
        <v>7381</v>
      </c>
      <c r="AA11" s="872">
        <v>1140</v>
      </c>
      <c r="AB11" s="1570">
        <v>12.14</v>
      </c>
      <c r="AC11" s="872">
        <v>25250</v>
      </c>
      <c r="AD11" s="1571">
        <v>1.6</v>
      </c>
      <c r="AE11" s="585"/>
      <c r="AG11" s="1577" t="s">
        <v>7382</v>
      </c>
      <c r="AH11" s="845" t="s">
        <v>7383</v>
      </c>
      <c r="AI11" s="872">
        <v>100</v>
      </c>
      <c r="AJ11" s="1570">
        <v>12.51</v>
      </c>
      <c r="AK11" s="872">
        <v>26020</v>
      </c>
      <c r="AL11" s="1571">
        <v>1.8</v>
      </c>
      <c r="AM11" s="585"/>
      <c r="AO11" s="1577" t="s">
        <v>7384</v>
      </c>
      <c r="AP11" s="845" t="s">
        <v>7385</v>
      </c>
      <c r="AQ11" s="872">
        <v>290</v>
      </c>
      <c r="AR11" s="1570">
        <v>22.62</v>
      </c>
      <c r="AS11" s="872">
        <v>47050</v>
      </c>
      <c r="AT11" s="1571">
        <v>2.1</v>
      </c>
      <c r="AU11" s="1571"/>
      <c r="AV11" s="1574"/>
      <c r="AW11" s="1577" t="s">
        <v>7386</v>
      </c>
      <c r="AX11" s="845" t="s">
        <v>7387</v>
      </c>
      <c r="AY11" s="872">
        <v>30</v>
      </c>
      <c r="AZ11" s="1570">
        <v>36.78</v>
      </c>
      <c r="BA11" s="872">
        <v>76500</v>
      </c>
      <c r="BB11" s="1571">
        <v>5.9</v>
      </c>
      <c r="BC11" s="1571"/>
      <c r="BE11" s="1578"/>
      <c r="BF11" s="382"/>
      <c r="BG11" s="439"/>
      <c r="BH11" s="1575"/>
      <c r="BI11" s="1576"/>
      <c r="BJ11" s="1575"/>
      <c r="BL11" s="1578"/>
      <c r="BM11" s="382"/>
      <c r="BN11" s="439"/>
      <c r="BO11" s="1575"/>
      <c r="BP11" s="1576"/>
      <c r="BQ11" s="1575"/>
    </row>
    <row r="12" spans="1:69" ht="12.75" customHeight="1">
      <c r="A12" s="1577" t="s">
        <v>7388</v>
      </c>
      <c r="B12" s="845" t="s">
        <v>7389</v>
      </c>
      <c r="C12" s="872">
        <v>390</v>
      </c>
      <c r="D12" s="1570">
        <v>40.11</v>
      </c>
      <c r="E12" s="872">
        <v>83430</v>
      </c>
      <c r="F12" s="1571">
        <v>1.5</v>
      </c>
      <c r="G12" s="1572"/>
      <c r="I12" s="1577" t="s">
        <v>7390</v>
      </c>
      <c r="J12" s="845" t="s">
        <v>7391</v>
      </c>
      <c r="K12" s="872">
        <v>70</v>
      </c>
      <c r="L12" s="1570">
        <v>22.64</v>
      </c>
      <c r="M12" s="872">
        <v>47080</v>
      </c>
      <c r="N12" s="1571">
        <v>5.0999999999999996</v>
      </c>
      <c r="Q12" s="1577" t="s">
        <v>7392</v>
      </c>
      <c r="R12" s="845" t="s">
        <v>7393</v>
      </c>
      <c r="S12" s="872">
        <v>140</v>
      </c>
      <c r="T12" s="1570">
        <v>17.96</v>
      </c>
      <c r="U12" s="872">
        <v>37360</v>
      </c>
      <c r="V12" s="1571">
        <v>0.8</v>
      </c>
      <c r="W12" s="1573"/>
      <c r="Y12" s="1577" t="s">
        <v>7394</v>
      </c>
      <c r="Z12" s="845" t="s">
        <v>7395</v>
      </c>
      <c r="AA12" s="872">
        <v>60</v>
      </c>
      <c r="AB12" s="1570">
        <v>14.15</v>
      </c>
      <c r="AC12" s="872">
        <v>29430</v>
      </c>
      <c r="AD12" s="1571">
        <v>4.2</v>
      </c>
      <c r="AE12" s="585"/>
      <c r="AG12" s="1577" t="s">
        <v>7396</v>
      </c>
      <c r="AH12" s="845" t="s">
        <v>7397</v>
      </c>
      <c r="AI12" s="872">
        <v>40</v>
      </c>
      <c r="AJ12" s="1570">
        <v>26.71</v>
      </c>
      <c r="AK12" s="872">
        <v>55550</v>
      </c>
      <c r="AL12" s="1571">
        <v>0</v>
      </c>
      <c r="AM12" s="585"/>
      <c r="AO12" s="1577" t="s">
        <v>7398</v>
      </c>
      <c r="AP12" s="845" t="s">
        <v>7399</v>
      </c>
      <c r="AQ12" s="872">
        <v>40</v>
      </c>
      <c r="AR12" s="1570">
        <v>17.07</v>
      </c>
      <c r="AS12" s="872">
        <v>35510</v>
      </c>
      <c r="AT12" s="1571">
        <v>3.6</v>
      </c>
      <c r="AU12" s="1571"/>
      <c r="AV12" s="1574"/>
      <c r="AW12" s="1577" t="s">
        <v>7400</v>
      </c>
      <c r="AX12" s="845" t="s">
        <v>7401</v>
      </c>
      <c r="AY12" s="872">
        <v>30</v>
      </c>
      <c r="AZ12" s="1570">
        <v>20.71</v>
      </c>
      <c r="BA12" s="872">
        <v>43090</v>
      </c>
      <c r="BB12" s="1571">
        <v>7.6</v>
      </c>
      <c r="BC12" s="1571"/>
      <c r="BE12" s="1578"/>
      <c r="BF12" s="382"/>
      <c r="BG12" s="435"/>
      <c r="BH12" s="1575"/>
      <c r="BI12" s="1576"/>
      <c r="BJ12" s="1575"/>
      <c r="BL12" s="1578"/>
      <c r="BM12" s="382"/>
      <c r="BN12" s="435"/>
      <c r="BO12" s="1575"/>
      <c r="BP12" s="1576"/>
      <c r="BQ12" s="1575"/>
    </row>
    <row r="13" spans="1:69" ht="12.75" customHeight="1">
      <c r="A13" s="1577" t="s">
        <v>7402</v>
      </c>
      <c r="B13" s="845" t="s">
        <v>7403</v>
      </c>
      <c r="C13" s="872" t="s">
        <v>7311</v>
      </c>
      <c r="D13" s="1570">
        <v>38.29</v>
      </c>
      <c r="E13" s="872">
        <v>79640</v>
      </c>
      <c r="F13" s="1571">
        <v>1.4</v>
      </c>
      <c r="G13" s="1572"/>
      <c r="I13" s="1577" t="s">
        <v>7404</v>
      </c>
      <c r="J13" s="845" t="s">
        <v>7405</v>
      </c>
      <c r="K13" s="872">
        <v>40</v>
      </c>
      <c r="L13" s="1570">
        <v>19.48</v>
      </c>
      <c r="M13" s="872">
        <v>40520</v>
      </c>
      <c r="N13" s="1571">
        <v>4</v>
      </c>
      <c r="Q13" s="1577" t="s">
        <v>7406</v>
      </c>
      <c r="R13" s="845" t="s">
        <v>7407</v>
      </c>
      <c r="S13" s="872">
        <v>80</v>
      </c>
      <c r="T13" s="1570">
        <v>17.79</v>
      </c>
      <c r="U13" s="872">
        <v>37010</v>
      </c>
      <c r="V13" s="1571">
        <v>1.9</v>
      </c>
      <c r="W13" s="1573"/>
      <c r="Y13" s="1577" t="s">
        <v>7408</v>
      </c>
      <c r="Z13" s="845" t="s">
        <v>7409</v>
      </c>
      <c r="AA13" s="872">
        <v>40</v>
      </c>
      <c r="AB13" s="1570">
        <v>14.52</v>
      </c>
      <c r="AC13" s="872">
        <v>30200</v>
      </c>
      <c r="AD13" s="1571">
        <v>1.8</v>
      </c>
      <c r="AE13" s="585"/>
      <c r="AG13" s="1577" t="s">
        <v>7410</v>
      </c>
      <c r="AH13" s="845" t="s">
        <v>7411</v>
      </c>
      <c r="AI13" s="872">
        <v>40</v>
      </c>
      <c r="AJ13" s="1570">
        <v>28.45</v>
      </c>
      <c r="AK13" s="872">
        <v>59180</v>
      </c>
      <c r="AL13" s="1571">
        <v>0</v>
      </c>
      <c r="AM13" s="585"/>
      <c r="AO13" s="1577" t="s">
        <v>7412</v>
      </c>
      <c r="AP13" s="845" t="s">
        <v>7413</v>
      </c>
      <c r="AQ13" s="872">
        <v>50</v>
      </c>
      <c r="AR13" s="1570">
        <v>12.9</v>
      </c>
      <c r="AS13" s="872">
        <v>26840</v>
      </c>
      <c r="AT13" s="1571">
        <v>5.6</v>
      </c>
      <c r="AU13" s="1571"/>
      <c r="AV13" s="1574"/>
      <c r="AW13" s="1577" t="s">
        <v>7414</v>
      </c>
      <c r="AX13" s="845" t="s">
        <v>7415</v>
      </c>
      <c r="AY13" s="872">
        <v>50</v>
      </c>
      <c r="AZ13" s="1570">
        <v>29.7</v>
      </c>
      <c r="BA13" s="872">
        <v>61770</v>
      </c>
      <c r="BB13" s="1571">
        <v>1.5</v>
      </c>
      <c r="BC13" s="1571"/>
      <c r="BE13" s="1578"/>
      <c r="BF13" s="382"/>
      <c r="BG13" s="439"/>
      <c r="BH13" s="1575"/>
      <c r="BI13" s="1576"/>
      <c r="BJ13" s="1575"/>
      <c r="BL13" s="1578"/>
      <c r="BM13" s="382"/>
      <c r="BN13" s="439"/>
      <c r="BO13" s="1575"/>
      <c r="BP13" s="1576"/>
      <c r="BQ13" s="1575"/>
    </row>
    <row r="14" spans="1:69" ht="12.75" customHeight="1">
      <c r="A14" s="1577" t="s">
        <v>7416</v>
      </c>
      <c r="B14" s="845" t="s">
        <v>7417</v>
      </c>
      <c r="C14" s="872">
        <v>140</v>
      </c>
      <c r="D14" s="1570">
        <v>41.26</v>
      </c>
      <c r="E14" s="872">
        <v>85810</v>
      </c>
      <c r="F14" s="1571">
        <v>2</v>
      </c>
      <c r="G14" s="1572"/>
      <c r="I14" s="1568" t="s">
        <v>7418</v>
      </c>
      <c r="J14" s="1569" t="s">
        <v>7419</v>
      </c>
      <c r="K14" s="872">
        <v>790</v>
      </c>
      <c r="L14" s="1570">
        <v>30.3</v>
      </c>
      <c r="M14" s="872">
        <v>63020</v>
      </c>
      <c r="N14" s="1571">
        <v>1.6</v>
      </c>
      <c r="Q14" s="1568" t="s">
        <v>7420</v>
      </c>
      <c r="R14" s="1569" t="s">
        <v>7421</v>
      </c>
      <c r="S14" s="872">
        <v>1000</v>
      </c>
      <c r="T14" s="1570">
        <v>15.59</v>
      </c>
      <c r="U14" s="872">
        <v>32430</v>
      </c>
      <c r="V14" s="1571">
        <v>1.4</v>
      </c>
      <c r="W14" s="1573"/>
      <c r="Y14" s="1577" t="s">
        <v>7422</v>
      </c>
      <c r="Z14" s="845" t="s">
        <v>7423</v>
      </c>
      <c r="AA14" s="872">
        <v>60</v>
      </c>
      <c r="AB14" s="1570">
        <v>10.26</v>
      </c>
      <c r="AC14" s="872">
        <v>21340</v>
      </c>
      <c r="AD14" s="1571">
        <v>1.1000000000000001</v>
      </c>
      <c r="AE14" s="585"/>
      <c r="AG14" s="1577" t="s">
        <v>7424</v>
      </c>
      <c r="AH14" s="845" t="s">
        <v>7425</v>
      </c>
      <c r="AI14" s="872">
        <v>140</v>
      </c>
      <c r="AJ14" s="1570">
        <v>24.1</v>
      </c>
      <c r="AK14" s="872">
        <v>50140</v>
      </c>
      <c r="AL14" s="1571">
        <v>3.1</v>
      </c>
      <c r="AM14" s="585"/>
      <c r="AO14" s="1577" t="s">
        <v>7426</v>
      </c>
      <c r="AP14" s="845" t="s">
        <v>7427</v>
      </c>
      <c r="AQ14" s="872">
        <v>240</v>
      </c>
      <c r="AR14" s="1570">
        <v>21.06</v>
      </c>
      <c r="AS14" s="872">
        <v>43800</v>
      </c>
      <c r="AT14" s="1571">
        <v>2.2000000000000002</v>
      </c>
      <c r="AU14" s="1571"/>
      <c r="AV14" s="1574"/>
      <c r="AW14" s="1577" t="s">
        <v>7428</v>
      </c>
      <c r="AX14" s="845" t="s">
        <v>7429</v>
      </c>
      <c r="AY14" s="872">
        <v>60</v>
      </c>
      <c r="AZ14" s="1570">
        <v>18.37</v>
      </c>
      <c r="BA14" s="872">
        <v>38210</v>
      </c>
      <c r="BB14" s="1571">
        <v>4.4000000000000004</v>
      </c>
      <c r="BC14" s="1571"/>
      <c r="BE14" s="1578"/>
      <c r="BF14" s="382"/>
      <c r="BG14" s="439"/>
      <c r="BH14" s="1575"/>
      <c r="BI14" s="1576"/>
      <c r="BJ14" s="1575"/>
      <c r="BL14" s="1578"/>
      <c r="BM14" s="382"/>
      <c r="BN14" s="439"/>
      <c r="BO14" s="1575"/>
      <c r="BP14" s="1576"/>
      <c r="BQ14" s="1575"/>
    </row>
    <row r="15" spans="1:69" ht="12.75" customHeight="1">
      <c r="A15" s="1577" t="s">
        <v>7430</v>
      </c>
      <c r="B15" s="845" t="s">
        <v>7431</v>
      </c>
      <c r="C15" s="872">
        <v>70</v>
      </c>
      <c r="D15" s="1570">
        <v>39.29</v>
      </c>
      <c r="E15" s="872">
        <v>81710</v>
      </c>
      <c r="F15" s="1571">
        <v>1</v>
      </c>
      <c r="G15" s="1572"/>
      <c r="I15" s="1577" t="s">
        <v>7432</v>
      </c>
      <c r="J15" s="845" t="s">
        <v>7433</v>
      </c>
      <c r="K15" s="872">
        <v>50</v>
      </c>
      <c r="L15" s="1570">
        <v>35.85</v>
      </c>
      <c r="M15" s="872">
        <v>74560</v>
      </c>
      <c r="N15" s="1571">
        <v>3.1</v>
      </c>
      <c r="Q15" s="1577" t="s">
        <v>7434</v>
      </c>
      <c r="R15" s="845" t="s">
        <v>7435</v>
      </c>
      <c r="S15" s="872">
        <v>240</v>
      </c>
      <c r="T15" s="1570">
        <v>16.71</v>
      </c>
      <c r="U15" s="872">
        <v>34750</v>
      </c>
      <c r="V15" s="1571">
        <v>0.8</v>
      </c>
      <c r="W15" s="1573"/>
      <c r="Y15" s="1577" t="s">
        <v>7436</v>
      </c>
      <c r="Z15" s="845" t="s">
        <v>7437</v>
      </c>
      <c r="AA15" s="872">
        <v>240</v>
      </c>
      <c r="AB15" s="1570">
        <v>10.35</v>
      </c>
      <c r="AC15" s="872">
        <v>21530</v>
      </c>
      <c r="AD15" s="1571">
        <v>0.9</v>
      </c>
      <c r="AE15" s="585"/>
      <c r="AG15" s="1577" t="s">
        <v>7438</v>
      </c>
      <c r="AH15" s="845" t="s">
        <v>7439</v>
      </c>
      <c r="AI15" s="872">
        <v>550</v>
      </c>
      <c r="AJ15" s="1570">
        <v>15.91</v>
      </c>
      <c r="AK15" s="872">
        <v>33080</v>
      </c>
      <c r="AL15" s="1571">
        <v>2.1</v>
      </c>
      <c r="AM15" s="585"/>
      <c r="AO15" s="1577" t="s">
        <v>7440</v>
      </c>
      <c r="AP15" s="845" t="s">
        <v>7441</v>
      </c>
      <c r="AQ15" s="872">
        <v>140</v>
      </c>
      <c r="AR15" s="1570">
        <v>26.06</v>
      </c>
      <c r="AS15" s="872">
        <v>54210</v>
      </c>
      <c r="AT15" s="1571">
        <v>1.1000000000000001</v>
      </c>
      <c r="AU15" s="1571"/>
      <c r="AV15" s="1574"/>
      <c r="AW15" s="1577" t="s">
        <v>7442</v>
      </c>
      <c r="AX15" s="845" t="s">
        <v>7443</v>
      </c>
      <c r="AY15" s="872">
        <v>160</v>
      </c>
      <c r="AZ15" s="1570">
        <v>10.64</v>
      </c>
      <c r="BA15" s="872">
        <v>22130</v>
      </c>
      <c r="BB15" s="1571">
        <v>1</v>
      </c>
      <c r="BC15" s="1571"/>
      <c r="BE15" s="1578"/>
      <c r="BF15" s="382"/>
      <c r="BG15" s="439"/>
      <c r="BH15" s="1575"/>
      <c r="BI15" s="1576"/>
      <c r="BJ15" s="1575"/>
      <c r="BL15" s="1578"/>
      <c r="BM15" s="382"/>
      <c r="BN15" s="439"/>
      <c r="BO15" s="1575"/>
      <c r="BP15" s="1576"/>
      <c r="BQ15" s="1575"/>
    </row>
    <row r="16" spans="1:69" ht="12.75" customHeight="1">
      <c r="A16" s="1577" t="s">
        <v>7444</v>
      </c>
      <c r="B16" s="845" t="s">
        <v>7445</v>
      </c>
      <c r="C16" s="872">
        <v>400</v>
      </c>
      <c r="D16" s="1570">
        <v>44.72</v>
      </c>
      <c r="E16" s="872">
        <v>93030</v>
      </c>
      <c r="F16" s="1571">
        <v>5.3</v>
      </c>
      <c r="G16" s="1572"/>
      <c r="I16" s="1577" t="s">
        <v>7446</v>
      </c>
      <c r="J16" s="845" t="s">
        <v>7447</v>
      </c>
      <c r="K16" s="872">
        <v>100</v>
      </c>
      <c r="L16" s="1570">
        <v>32.979999999999997</v>
      </c>
      <c r="M16" s="872">
        <v>68600</v>
      </c>
      <c r="N16" s="1571">
        <v>1.4</v>
      </c>
      <c r="Q16" s="1577" t="s">
        <v>7448</v>
      </c>
      <c r="R16" s="845" t="s">
        <v>7449</v>
      </c>
      <c r="S16" s="872">
        <v>40</v>
      </c>
      <c r="T16" s="1570">
        <v>13.7</v>
      </c>
      <c r="U16" s="872">
        <v>28500</v>
      </c>
      <c r="V16" s="1571">
        <v>4.7</v>
      </c>
      <c r="W16" s="1573"/>
      <c r="Y16" s="1577" t="s">
        <v>7450</v>
      </c>
      <c r="Z16" s="845" t="s">
        <v>7451</v>
      </c>
      <c r="AA16" s="872">
        <v>140</v>
      </c>
      <c r="AB16" s="1570">
        <v>16.39</v>
      </c>
      <c r="AC16" s="872">
        <v>34080</v>
      </c>
      <c r="AD16" s="1571">
        <v>4.5</v>
      </c>
      <c r="AE16" s="585"/>
      <c r="AG16" s="1577" t="s">
        <v>7452</v>
      </c>
      <c r="AH16" s="845" t="s">
        <v>7453</v>
      </c>
      <c r="AI16" s="872">
        <v>100</v>
      </c>
      <c r="AJ16" s="1570">
        <v>28.75</v>
      </c>
      <c r="AK16" s="872">
        <v>59800</v>
      </c>
      <c r="AL16" s="1571">
        <v>7.2</v>
      </c>
      <c r="AM16" s="585"/>
      <c r="AO16" s="1577" t="s">
        <v>7454</v>
      </c>
      <c r="AP16" s="845" t="s">
        <v>7455</v>
      </c>
      <c r="AQ16" s="872">
        <v>30</v>
      </c>
      <c r="AR16" s="1570">
        <v>21.93</v>
      </c>
      <c r="AS16" s="872">
        <v>45610</v>
      </c>
      <c r="AT16" s="1571">
        <v>3</v>
      </c>
      <c r="AU16" s="1571"/>
      <c r="AV16" s="1574"/>
      <c r="AW16" s="1577" t="s">
        <v>7456</v>
      </c>
      <c r="AX16" s="845" t="s">
        <v>7457</v>
      </c>
      <c r="AY16" s="872">
        <v>490</v>
      </c>
      <c r="AZ16" s="1570" t="s">
        <v>7308</v>
      </c>
      <c r="BA16" s="872" t="s">
        <v>7308</v>
      </c>
      <c r="BB16" s="1571" t="s">
        <v>7308</v>
      </c>
      <c r="BC16" s="1571"/>
      <c r="BE16" s="1578"/>
      <c r="BF16" s="382"/>
      <c r="BG16" s="439"/>
      <c r="BH16" s="1575"/>
      <c r="BI16" s="1576"/>
      <c r="BJ16" s="1575"/>
      <c r="BL16" s="1578"/>
      <c r="BM16" s="382"/>
      <c r="BN16" s="439"/>
      <c r="BO16" s="1575"/>
      <c r="BP16" s="1576"/>
      <c r="BQ16" s="1575"/>
    </row>
    <row r="17" spans="1:69" ht="12.75" customHeight="1">
      <c r="A17" s="1577" t="s">
        <v>7458</v>
      </c>
      <c r="B17" s="845" t="s">
        <v>7459</v>
      </c>
      <c r="C17" s="872">
        <v>30</v>
      </c>
      <c r="D17" s="1570" t="s">
        <v>7308</v>
      </c>
      <c r="E17" s="872">
        <v>66190</v>
      </c>
      <c r="F17" s="1571">
        <v>3.5</v>
      </c>
      <c r="G17" s="1572"/>
      <c r="I17" s="1577" t="s">
        <v>7460</v>
      </c>
      <c r="J17" s="845" t="s">
        <v>7461</v>
      </c>
      <c r="K17" s="872">
        <v>50</v>
      </c>
      <c r="L17" s="1570">
        <v>36.380000000000003</v>
      </c>
      <c r="M17" s="872">
        <v>75680</v>
      </c>
      <c r="N17" s="1571">
        <v>1.3</v>
      </c>
      <c r="Q17" s="1577" t="s">
        <v>7462</v>
      </c>
      <c r="R17" s="845" t="s">
        <v>7463</v>
      </c>
      <c r="S17" s="872">
        <v>110</v>
      </c>
      <c r="T17" s="1570">
        <v>16.760000000000002</v>
      </c>
      <c r="U17" s="872">
        <v>34850</v>
      </c>
      <c r="V17" s="1571">
        <v>5.6</v>
      </c>
      <c r="W17" s="1573"/>
      <c r="Y17" s="1577" t="s">
        <v>7464</v>
      </c>
      <c r="Z17" s="845" t="s">
        <v>7465</v>
      </c>
      <c r="AA17" s="872">
        <v>30</v>
      </c>
      <c r="AB17" s="1570">
        <v>14.8</v>
      </c>
      <c r="AC17" s="872">
        <v>30790</v>
      </c>
      <c r="AD17" s="1571">
        <v>7</v>
      </c>
      <c r="AE17" s="585"/>
      <c r="AG17" s="1577" t="s">
        <v>7466</v>
      </c>
      <c r="AH17" s="845" t="s">
        <v>7467</v>
      </c>
      <c r="AI17" s="872">
        <v>50</v>
      </c>
      <c r="AJ17" s="1570">
        <v>22.57</v>
      </c>
      <c r="AK17" s="872">
        <v>46950</v>
      </c>
      <c r="AL17" s="1571">
        <v>0.4</v>
      </c>
      <c r="AM17" s="585"/>
      <c r="AO17" s="1577" t="s">
        <v>7468</v>
      </c>
      <c r="AP17" s="845" t="s">
        <v>7469</v>
      </c>
      <c r="AQ17" s="872">
        <v>50</v>
      </c>
      <c r="AR17" s="1570">
        <v>25.14</v>
      </c>
      <c r="AS17" s="872">
        <v>52280</v>
      </c>
      <c r="AT17" s="1571">
        <v>1.1000000000000001</v>
      </c>
      <c r="AU17" s="1571"/>
      <c r="AV17" s="1574"/>
      <c r="AW17" s="1577" t="s">
        <v>7470</v>
      </c>
      <c r="AX17" s="845" t="s">
        <v>7471</v>
      </c>
      <c r="AY17" s="872">
        <v>160</v>
      </c>
      <c r="AZ17" s="1570">
        <v>10.67</v>
      </c>
      <c r="BA17" s="872">
        <v>22190</v>
      </c>
      <c r="BB17" s="1571">
        <v>1.4</v>
      </c>
      <c r="BC17" s="1571"/>
      <c r="BE17" s="1578"/>
      <c r="BF17" s="382"/>
      <c r="BG17" s="439"/>
      <c r="BH17" s="1575"/>
      <c r="BI17" s="1576"/>
      <c r="BJ17" s="1575"/>
      <c r="BL17" s="1578"/>
      <c r="BM17" s="382"/>
      <c r="BN17" s="439"/>
      <c r="BO17" s="1575"/>
      <c r="BP17" s="1576"/>
      <c r="BQ17" s="1575"/>
    </row>
    <row r="18" spans="1:69" ht="12.75" customHeight="1">
      <c r="A18" s="1577" t="s">
        <v>7472</v>
      </c>
      <c r="B18" s="845" t="s">
        <v>7473</v>
      </c>
      <c r="C18" s="872">
        <v>190</v>
      </c>
      <c r="D18" s="1570">
        <v>58.63</v>
      </c>
      <c r="E18" s="872">
        <v>121940</v>
      </c>
      <c r="F18" s="1571">
        <v>0.8</v>
      </c>
      <c r="G18" s="1572"/>
      <c r="I18" s="1577" t="s">
        <v>7474</v>
      </c>
      <c r="J18" s="845" t="s">
        <v>7475</v>
      </c>
      <c r="K18" s="872">
        <v>100</v>
      </c>
      <c r="L18" s="1570">
        <v>21.33</v>
      </c>
      <c r="M18" s="872">
        <v>44360</v>
      </c>
      <c r="N18" s="1571">
        <v>1</v>
      </c>
      <c r="Q18" s="1577" t="s">
        <v>7476</v>
      </c>
      <c r="R18" s="845" t="s">
        <v>7477</v>
      </c>
      <c r="S18" s="872">
        <v>230</v>
      </c>
      <c r="T18" s="1570">
        <v>15.11</v>
      </c>
      <c r="U18" s="872">
        <v>31430</v>
      </c>
      <c r="V18" s="1571">
        <v>1.9</v>
      </c>
      <c r="W18" s="1573"/>
      <c r="Y18" s="1577" t="s">
        <v>7478</v>
      </c>
      <c r="Z18" s="845" t="s">
        <v>7479</v>
      </c>
      <c r="AA18" s="872">
        <v>180</v>
      </c>
      <c r="AB18" s="1570">
        <v>10.77</v>
      </c>
      <c r="AC18" s="872">
        <v>22390</v>
      </c>
      <c r="AD18" s="1571">
        <v>1.1000000000000001</v>
      </c>
      <c r="AE18" s="585"/>
      <c r="AG18" s="1577" t="s">
        <v>7480</v>
      </c>
      <c r="AH18" s="845" t="s">
        <v>7481</v>
      </c>
      <c r="AI18" s="872">
        <v>300</v>
      </c>
      <c r="AJ18" s="1570">
        <v>15.33</v>
      </c>
      <c r="AK18" s="872">
        <v>31890</v>
      </c>
      <c r="AL18" s="1571">
        <v>2.4</v>
      </c>
      <c r="AM18" s="585"/>
      <c r="AO18" s="1577" t="s">
        <v>7482</v>
      </c>
      <c r="AP18" s="845" t="s">
        <v>7483</v>
      </c>
      <c r="AQ18" s="872">
        <v>30</v>
      </c>
      <c r="AR18" s="1570">
        <v>19.809999999999999</v>
      </c>
      <c r="AS18" s="872">
        <v>41200</v>
      </c>
      <c r="AT18" s="1571">
        <v>6.8</v>
      </c>
      <c r="AU18" s="1571"/>
      <c r="AV18" s="1574"/>
      <c r="AW18" s="1577" t="s">
        <v>7484</v>
      </c>
      <c r="AX18" s="845" t="s">
        <v>7485</v>
      </c>
      <c r="AY18" s="872">
        <v>1190</v>
      </c>
      <c r="AZ18" s="1570">
        <v>12.31</v>
      </c>
      <c r="BA18" s="872">
        <v>25590</v>
      </c>
      <c r="BB18" s="1571">
        <v>0.8</v>
      </c>
      <c r="BC18" s="1571"/>
      <c r="BE18" s="1578"/>
      <c r="BF18" s="382"/>
      <c r="BG18" s="439"/>
      <c r="BH18" s="1575"/>
      <c r="BI18" s="1576"/>
      <c r="BJ18" s="1575"/>
      <c r="BL18" s="1578"/>
      <c r="BM18" s="382"/>
      <c r="BN18" s="439"/>
      <c r="BO18" s="1575"/>
      <c r="BP18" s="1576"/>
      <c r="BQ18" s="1575"/>
    </row>
    <row r="19" spans="1:69" ht="12.75" customHeight="1">
      <c r="A19" s="1577" t="s">
        <v>7486</v>
      </c>
      <c r="B19" s="845" t="s">
        <v>7487</v>
      </c>
      <c r="C19" s="872">
        <v>50</v>
      </c>
      <c r="D19" s="1570">
        <v>49.65</v>
      </c>
      <c r="E19" s="872">
        <v>103270</v>
      </c>
      <c r="F19" s="1571">
        <v>2.1</v>
      </c>
      <c r="G19" s="1572"/>
      <c r="I19" s="1577" t="s">
        <v>7488</v>
      </c>
      <c r="J19" s="845" t="s">
        <v>7489</v>
      </c>
      <c r="K19" s="872">
        <v>100</v>
      </c>
      <c r="L19" s="1570">
        <v>34.159999999999997</v>
      </c>
      <c r="M19" s="872">
        <v>71050</v>
      </c>
      <c r="N19" s="1571">
        <v>7.9</v>
      </c>
      <c r="Q19" s="1577" t="s">
        <v>7490</v>
      </c>
      <c r="R19" s="845" t="s">
        <v>7491</v>
      </c>
      <c r="S19" s="872">
        <v>40</v>
      </c>
      <c r="T19" s="1570">
        <v>20.45</v>
      </c>
      <c r="U19" s="872">
        <v>42540</v>
      </c>
      <c r="V19" s="1571">
        <v>11.9</v>
      </c>
      <c r="W19" s="1573"/>
      <c r="Y19" s="1577" t="s">
        <v>7492</v>
      </c>
      <c r="Z19" s="845" t="s">
        <v>7493</v>
      </c>
      <c r="AA19" s="872">
        <v>30</v>
      </c>
      <c r="AB19" s="1570">
        <v>12.15</v>
      </c>
      <c r="AC19" s="872">
        <v>25280</v>
      </c>
      <c r="AD19" s="1571">
        <v>1.9</v>
      </c>
      <c r="AE19" s="585"/>
      <c r="AG19" s="1577" t="s">
        <v>7494</v>
      </c>
      <c r="AH19" s="845" t="s">
        <v>7495</v>
      </c>
      <c r="AI19" s="872">
        <v>1410</v>
      </c>
      <c r="AJ19" s="1570">
        <v>18.170000000000002</v>
      </c>
      <c r="AK19" s="872">
        <v>37790</v>
      </c>
      <c r="AL19" s="1571">
        <v>1.9</v>
      </c>
      <c r="AM19" s="585"/>
      <c r="AO19" s="1577" t="s">
        <v>7496</v>
      </c>
      <c r="AP19" s="845" t="s">
        <v>7497</v>
      </c>
      <c r="AQ19" s="872">
        <v>990</v>
      </c>
      <c r="AR19" s="1570">
        <v>15.34</v>
      </c>
      <c r="AS19" s="872">
        <v>31910</v>
      </c>
      <c r="AT19" s="1571">
        <v>1.4</v>
      </c>
      <c r="AU19" s="1571"/>
      <c r="AV19" s="1574"/>
      <c r="AW19" s="2242" t="s">
        <v>7498</v>
      </c>
      <c r="AX19" s="2242"/>
      <c r="AY19" s="2242"/>
      <c r="AZ19" s="2242"/>
      <c r="BA19" s="2242"/>
      <c r="BB19" s="2242"/>
      <c r="BC19" s="1558"/>
      <c r="BE19" s="1578"/>
      <c r="BF19" s="382"/>
      <c r="BG19" s="439"/>
      <c r="BH19" s="912"/>
      <c r="BI19" s="912"/>
      <c r="BJ19" s="1575"/>
      <c r="BL19" s="1578"/>
      <c r="BM19" s="382"/>
      <c r="BN19" s="439"/>
      <c r="BO19" s="1575"/>
      <c r="BP19" s="1576"/>
      <c r="BQ19" s="1575"/>
    </row>
    <row r="20" spans="1:69" ht="12.75" customHeight="1">
      <c r="A20" s="1577" t="s">
        <v>7499</v>
      </c>
      <c r="B20" s="845" t="s">
        <v>7500</v>
      </c>
      <c r="C20" s="872">
        <v>100</v>
      </c>
      <c r="D20" s="1570">
        <v>23.47</v>
      </c>
      <c r="E20" s="872">
        <v>48820</v>
      </c>
      <c r="F20" s="1571">
        <v>3.9</v>
      </c>
      <c r="G20" s="1572"/>
      <c r="I20" s="1577" t="s">
        <v>7501</v>
      </c>
      <c r="J20" s="845" t="s">
        <v>7502</v>
      </c>
      <c r="K20" s="872">
        <v>120</v>
      </c>
      <c r="L20" s="1570">
        <v>20.65</v>
      </c>
      <c r="M20" s="872">
        <v>42950</v>
      </c>
      <c r="N20" s="1571">
        <v>0.9</v>
      </c>
      <c r="Q20" s="1568" t="s">
        <v>7503</v>
      </c>
      <c r="R20" s="1569" t="s">
        <v>7504</v>
      </c>
      <c r="S20" s="872">
        <v>3030</v>
      </c>
      <c r="T20" s="1570">
        <v>22.56</v>
      </c>
      <c r="U20" s="872">
        <v>46930</v>
      </c>
      <c r="V20" s="1571">
        <v>1.3</v>
      </c>
      <c r="W20" s="1573"/>
      <c r="Y20" s="1577" t="s">
        <v>7505</v>
      </c>
      <c r="Z20" s="845" t="s">
        <v>7506</v>
      </c>
      <c r="AA20" s="872">
        <v>60</v>
      </c>
      <c r="AB20" s="1570">
        <v>14.71</v>
      </c>
      <c r="AC20" s="872">
        <v>30590</v>
      </c>
      <c r="AD20" s="1571">
        <v>0.8</v>
      </c>
      <c r="AE20" s="585"/>
      <c r="AG20" s="1577" t="s">
        <v>7507</v>
      </c>
      <c r="AH20" s="845" t="s">
        <v>7508</v>
      </c>
      <c r="AI20" s="872">
        <v>110</v>
      </c>
      <c r="AJ20" s="1570">
        <v>13.35</v>
      </c>
      <c r="AK20" s="872">
        <v>27770</v>
      </c>
      <c r="AL20" s="1571">
        <v>3.1</v>
      </c>
      <c r="AM20" s="585"/>
      <c r="AO20" s="1577" t="s">
        <v>7509</v>
      </c>
      <c r="AP20" s="845" t="s">
        <v>7510</v>
      </c>
      <c r="AQ20" s="872">
        <v>30</v>
      </c>
      <c r="AR20" s="1570">
        <v>22.38</v>
      </c>
      <c r="AS20" s="872">
        <v>46540</v>
      </c>
      <c r="AT20" s="1571">
        <v>2.4</v>
      </c>
      <c r="AU20" s="1571"/>
      <c r="AV20" s="1574"/>
      <c r="AW20" s="2236" t="s">
        <v>8750</v>
      </c>
      <c r="AX20" s="2236"/>
      <c r="AY20" s="2236"/>
      <c r="AZ20" s="2236"/>
      <c r="BA20" s="2236"/>
      <c r="BB20" s="2236"/>
      <c r="BC20" s="1581"/>
      <c r="BE20" s="1578"/>
      <c r="BF20" s="382"/>
      <c r="BG20" s="439"/>
      <c r="BH20" s="1575"/>
      <c r="BI20" s="1576"/>
      <c r="BJ20" s="1575"/>
      <c r="BL20" s="1578"/>
      <c r="BM20" s="382"/>
      <c r="BN20" s="439"/>
      <c r="BO20" s="1575"/>
      <c r="BP20" s="1576"/>
      <c r="BQ20" s="1575"/>
    </row>
    <row r="21" spans="1:69" ht="12.75" customHeight="1">
      <c r="A21" s="1577" t="s">
        <v>7512</v>
      </c>
      <c r="B21" s="845" t="s">
        <v>7513</v>
      </c>
      <c r="C21" s="872">
        <v>140</v>
      </c>
      <c r="D21" s="1570">
        <v>49.13</v>
      </c>
      <c r="E21" s="872">
        <v>102190</v>
      </c>
      <c r="F21" s="1571">
        <v>5.4</v>
      </c>
      <c r="G21" s="1572"/>
      <c r="I21" s="1568" t="s">
        <v>7514</v>
      </c>
      <c r="J21" s="1569" t="s">
        <v>7515</v>
      </c>
      <c r="K21" s="872">
        <v>660</v>
      </c>
      <c r="L21" s="1570">
        <v>25.19</v>
      </c>
      <c r="M21" s="872">
        <v>52400</v>
      </c>
      <c r="N21" s="1571">
        <v>1.2</v>
      </c>
      <c r="Q21" s="1577" t="s">
        <v>7516</v>
      </c>
      <c r="R21" s="845" t="s">
        <v>7517</v>
      </c>
      <c r="S21" s="872">
        <v>80</v>
      </c>
      <c r="T21" s="1570">
        <v>41.49</v>
      </c>
      <c r="U21" s="872">
        <v>86300</v>
      </c>
      <c r="V21" s="1571">
        <v>0.2</v>
      </c>
      <c r="W21" s="1573"/>
      <c r="Y21" s="1577" t="s">
        <v>7518</v>
      </c>
      <c r="Z21" s="845" t="s">
        <v>7519</v>
      </c>
      <c r="AA21" s="872" t="s">
        <v>7311</v>
      </c>
      <c r="AB21" s="1570">
        <v>9.9</v>
      </c>
      <c r="AC21" s="872">
        <v>20600</v>
      </c>
      <c r="AD21" s="1571">
        <v>1</v>
      </c>
      <c r="AE21" s="585"/>
      <c r="AG21" s="1577" t="s">
        <v>7520</v>
      </c>
      <c r="AH21" s="845" t="s">
        <v>7521</v>
      </c>
      <c r="AI21" s="872">
        <v>90</v>
      </c>
      <c r="AJ21" s="1570">
        <v>13.16</v>
      </c>
      <c r="AK21" s="872">
        <v>27380</v>
      </c>
      <c r="AL21" s="1571">
        <v>2.5</v>
      </c>
      <c r="AM21" s="585"/>
      <c r="AO21" s="1577" t="s">
        <v>7522</v>
      </c>
      <c r="AP21" s="845" t="s">
        <v>7523</v>
      </c>
      <c r="AQ21" s="872">
        <v>350</v>
      </c>
      <c r="AR21" s="1570">
        <v>13.02</v>
      </c>
      <c r="AS21" s="872">
        <v>27070</v>
      </c>
      <c r="AT21" s="1571">
        <v>2</v>
      </c>
      <c r="AU21" s="1571"/>
      <c r="AV21" s="1574"/>
      <c r="AW21" s="2236" t="s">
        <v>7524</v>
      </c>
      <c r="AX21" s="2236"/>
      <c r="AY21" s="2236"/>
      <c r="AZ21" s="2236"/>
      <c r="BA21" s="2236"/>
      <c r="BB21" s="2236"/>
      <c r="BC21" s="1581"/>
      <c r="BE21" s="1578"/>
      <c r="BF21" s="382"/>
      <c r="BG21" s="439"/>
      <c r="BH21" s="1575"/>
      <c r="BI21" s="1576"/>
      <c r="BJ21" s="1575"/>
      <c r="BL21" s="1578"/>
      <c r="BM21" s="382"/>
      <c r="BN21" s="439"/>
      <c r="BO21" s="1575"/>
      <c r="BP21" s="1576"/>
      <c r="BQ21" s="1575"/>
    </row>
    <row r="22" spans="1:69" ht="12.75" customHeight="1">
      <c r="A22" s="1577" t="s">
        <v>7525</v>
      </c>
      <c r="B22" s="845" t="s">
        <v>7526</v>
      </c>
      <c r="C22" s="872">
        <v>40</v>
      </c>
      <c r="D22" s="1570">
        <v>46.82</v>
      </c>
      <c r="E22" s="872">
        <v>97380</v>
      </c>
      <c r="F22" s="1571">
        <v>2.8</v>
      </c>
      <c r="G22" s="1572"/>
      <c r="I22" s="1577" t="s">
        <v>7527</v>
      </c>
      <c r="J22" s="845" t="s">
        <v>7528</v>
      </c>
      <c r="K22" s="872">
        <v>40</v>
      </c>
      <c r="L22" s="1570">
        <v>21.53</v>
      </c>
      <c r="M22" s="872">
        <v>44770</v>
      </c>
      <c r="N22" s="1571">
        <v>1.6</v>
      </c>
      <c r="Q22" s="1577" t="s">
        <v>7529</v>
      </c>
      <c r="R22" s="845" t="s">
        <v>7530</v>
      </c>
      <c r="S22" s="872">
        <v>90</v>
      </c>
      <c r="T22" s="1570">
        <v>22.37</v>
      </c>
      <c r="U22" s="872">
        <v>46530</v>
      </c>
      <c r="V22" s="1571">
        <v>4.0999999999999996</v>
      </c>
      <c r="W22" s="1573"/>
      <c r="Y22" s="1568" t="s">
        <v>7531</v>
      </c>
      <c r="Z22" s="1569" t="s">
        <v>7532</v>
      </c>
      <c r="AA22" s="872">
        <v>4710</v>
      </c>
      <c r="AB22" s="1570">
        <v>13.73</v>
      </c>
      <c r="AC22" s="872">
        <v>28550</v>
      </c>
      <c r="AD22" s="1571">
        <v>1.3</v>
      </c>
      <c r="AE22" s="585"/>
      <c r="AG22" s="1577" t="s">
        <v>7533</v>
      </c>
      <c r="AH22" s="845" t="s">
        <v>7534</v>
      </c>
      <c r="AI22" s="872">
        <v>730</v>
      </c>
      <c r="AJ22" s="1570">
        <v>13.35</v>
      </c>
      <c r="AK22" s="872">
        <v>27760</v>
      </c>
      <c r="AL22" s="1571">
        <v>0.9</v>
      </c>
      <c r="AM22" s="585"/>
      <c r="AO22" s="1577" t="s">
        <v>7535</v>
      </c>
      <c r="AP22" s="845" t="s">
        <v>7536</v>
      </c>
      <c r="AQ22" s="872">
        <v>70</v>
      </c>
      <c r="AR22" s="1570">
        <v>24.73</v>
      </c>
      <c r="AS22" s="872">
        <v>51440</v>
      </c>
      <c r="AT22" s="1571">
        <v>4.4000000000000004</v>
      </c>
      <c r="AU22" s="1571"/>
      <c r="AV22" s="1574"/>
      <c r="AW22" s="2234" t="s">
        <v>7537</v>
      </c>
      <c r="AX22" s="2234"/>
      <c r="AY22" s="2234"/>
      <c r="AZ22" s="2234"/>
      <c r="BA22" s="2234"/>
      <c r="BB22" s="2234"/>
      <c r="BC22" s="1581"/>
      <c r="BE22" s="1578"/>
      <c r="BF22" s="382"/>
      <c r="BG22" s="439"/>
      <c r="BH22" s="1575"/>
      <c r="BI22" s="1576"/>
      <c r="BJ22" s="1575"/>
      <c r="BL22" s="1578"/>
      <c r="BM22" s="382"/>
      <c r="BN22" s="439"/>
      <c r="BO22" s="1575"/>
      <c r="BP22" s="1576"/>
      <c r="BQ22" s="1575"/>
    </row>
    <row r="23" spans="1:69" ht="12.75" customHeight="1">
      <c r="A23" s="1577" t="s">
        <v>7538</v>
      </c>
      <c r="B23" s="845" t="s">
        <v>7539</v>
      </c>
      <c r="C23" s="872" t="s">
        <v>7311</v>
      </c>
      <c r="D23" s="1570">
        <v>36.25</v>
      </c>
      <c r="E23" s="872">
        <v>75410</v>
      </c>
      <c r="F23" s="1571">
        <v>14.2</v>
      </c>
      <c r="G23" s="1572"/>
      <c r="I23" s="1577" t="s">
        <v>7540</v>
      </c>
      <c r="J23" s="845" t="s">
        <v>7541</v>
      </c>
      <c r="K23" s="872">
        <v>50</v>
      </c>
      <c r="L23" s="1570">
        <v>21.86</v>
      </c>
      <c r="M23" s="872">
        <v>45460</v>
      </c>
      <c r="N23" s="1571">
        <v>3.9</v>
      </c>
      <c r="Q23" s="1577" t="s">
        <v>7542</v>
      </c>
      <c r="R23" s="845" t="s">
        <v>7543</v>
      </c>
      <c r="S23" s="872">
        <v>1000</v>
      </c>
      <c r="T23" s="1570">
        <v>12.36</v>
      </c>
      <c r="U23" s="872">
        <v>25710</v>
      </c>
      <c r="V23" s="1571">
        <v>1.5</v>
      </c>
      <c r="W23" s="1573"/>
      <c r="Y23" s="1577" t="s">
        <v>7544</v>
      </c>
      <c r="Z23" s="845" t="s">
        <v>7545</v>
      </c>
      <c r="AA23" s="872">
        <v>600</v>
      </c>
      <c r="AB23" s="1570">
        <v>17</v>
      </c>
      <c r="AC23" s="872">
        <v>35360</v>
      </c>
      <c r="AD23" s="1571">
        <v>2.8</v>
      </c>
      <c r="AE23" s="585"/>
      <c r="AG23" s="1577" t="s">
        <v>7546</v>
      </c>
      <c r="AH23" s="845" t="s">
        <v>7547</v>
      </c>
      <c r="AI23" s="872">
        <v>60</v>
      </c>
      <c r="AJ23" s="1570">
        <v>20.74</v>
      </c>
      <c r="AK23" s="872">
        <v>43140</v>
      </c>
      <c r="AL23" s="1571">
        <v>0.3</v>
      </c>
      <c r="AM23" s="585"/>
      <c r="AO23" s="1568" t="s">
        <v>7548</v>
      </c>
      <c r="AP23" s="1569" t="s">
        <v>7549</v>
      </c>
      <c r="AQ23" s="872">
        <v>1690</v>
      </c>
      <c r="AR23" s="1570">
        <v>17.39</v>
      </c>
      <c r="AS23" s="872">
        <v>36170</v>
      </c>
      <c r="AT23" s="1571">
        <v>1.3</v>
      </c>
      <c r="AU23" s="1571"/>
      <c r="AV23" s="1583"/>
      <c r="AW23" s="2237" t="s">
        <v>7550</v>
      </c>
      <c r="AX23" s="2237"/>
      <c r="AY23" s="2237"/>
      <c r="AZ23" s="2237"/>
      <c r="BA23" s="2237"/>
      <c r="BB23" s="2237"/>
      <c r="BC23" s="1581"/>
      <c r="BE23" s="1578"/>
      <c r="BF23" s="382"/>
      <c r="BG23" s="439"/>
      <c r="BH23" s="1575"/>
      <c r="BI23" s="1576"/>
      <c r="BJ23" s="1575"/>
      <c r="BL23" s="1578"/>
      <c r="BM23" s="382"/>
      <c r="BN23" s="439"/>
      <c r="BO23" s="1575"/>
      <c r="BP23" s="1576"/>
      <c r="BQ23" s="1575"/>
    </row>
    <row r="24" spans="1:69" ht="12.75" customHeight="1">
      <c r="A24" s="1577" t="s">
        <v>7551</v>
      </c>
      <c r="B24" s="845" t="s">
        <v>7552</v>
      </c>
      <c r="C24" s="872">
        <v>180</v>
      </c>
      <c r="D24" s="1570">
        <v>48.76</v>
      </c>
      <c r="E24" s="872">
        <v>101420</v>
      </c>
      <c r="F24" s="1571">
        <v>1.3</v>
      </c>
      <c r="G24" s="1572"/>
      <c r="I24" s="1577" t="s">
        <v>7553</v>
      </c>
      <c r="J24" s="845" t="s">
        <v>7554</v>
      </c>
      <c r="K24" s="872">
        <v>130</v>
      </c>
      <c r="L24" s="1570">
        <v>28.8</v>
      </c>
      <c r="M24" s="872">
        <v>59900</v>
      </c>
      <c r="N24" s="1571">
        <v>0.2</v>
      </c>
      <c r="Q24" s="1577" t="s">
        <v>7555</v>
      </c>
      <c r="R24" s="845" t="s">
        <v>7556</v>
      </c>
      <c r="S24" s="872">
        <v>90</v>
      </c>
      <c r="T24" s="1570">
        <v>12.66</v>
      </c>
      <c r="U24" s="872">
        <v>26330</v>
      </c>
      <c r="V24" s="1571">
        <v>6.1</v>
      </c>
      <c r="W24" s="1573"/>
      <c r="Y24" s="1577" t="s">
        <v>7557</v>
      </c>
      <c r="Z24" s="845" t="s">
        <v>7558</v>
      </c>
      <c r="AA24" s="872">
        <v>50</v>
      </c>
      <c r="AB24" s="1570">
        <v>23.12</v>
      </c>
      <c r="AC24" s="872">
        <v>48090</v>
      </c>
      <c r="AD24" s="1571">
        <v>4.7</v>
      </c>
      <c r="AE24" s="585"/>
      <c r="AG24" s="1568" t="s">
        <v>7559</v>
      </c>
      <c r="AH24" s="1569" t="s">
        <v>7560</v>
      </c>
      <c r="AI24" s="872">
        <v>40</v>
      </c>
      <c r="AJ24" s="1570">
        <v>20.39</v>
      </c>
      <c r="AK24" s="872">
        <v>42410</v>
      </c>
      <c r="AL24" s="1571">
        <v>9.1999999999999993</v>
      </c>
      <c r="AM24" s="585"/>
      <c r="AO24" s="1577" t="s">
        <v>7561</v>
      </c>
      <c r="AP24" s="845" t="s">
        <v>7562</v>
      </c>
      <c r="AQ24" s="872">
        <v>100</v>
      </c>
      <c r="AR24" s="1570">
        <v>30.84</v>
      </c>
      <c r="AS24" s="872">
        <v>64150</v>
      </c>
      <c r="AT24" s="1571">
        <v>3.2</v>
      </c>
      <c r="AU24" s="1571"/>
      <c r="AV24" s="1583"/>
      <c r="AW24" s="2243" t="s">
        <v>8733</v>
      </c>
      <c r="AX24" s="2243"/>
      <c r="AY24" s="2243"/>
      <c r="AZ24" s="2243"/>
      <c r="BA24" s="2243"/>
      <c r="BB24" s="2243"/>
      <c r="BC24" s="1584"/>
      <c r="BE24" s="1578"/>
      <c r="BF24" s="382"/>
      <c r="BG24" s="439"/>
      <c r="BH24" s="1575"/>
      <c r="BI24" s="1576"/>
      <c r="BJ24" s="1575"/>
      <c r="BL24" s="1578"/>
      <c r="BM24" s="382"/>
      <c r="BN24" s="439"/>
      <c r="BO24" s="1575"/>
      <c r="BP24" s="1576"/>
      <c r="BQ24" s="1575"/>
    </row>
    <row r="25" spans="1:69" ht="12.75" customHeight="1">
      <c r="A25" s="1568" t="s">
        <v>7564</v>
      </c>
      <c r="B25" s="1569" t="s">
        <v>7565</v>
      </c>
      <c r="C25" s="872">
        <v>3200</v>
      </c>
      <c r="D25" s="1570">
        <v>30.98</v>
      </c>
      <c r="E25" s="872">
        <v>64440</v>
      </c>
      <c r="F25" s="1571">
        <v>1.3</v>
      </c>
      <c r="G25" s="1572"/>
      <c r="I25" s="1577" t="s">
        <v>7566</v>
      </c>
      <c r="J25" s="845" t="s">
        <v>7567</v>
      </c>
      <c r="K25" s="872">
        <v>170</v>
      </c>
      <c r="L25" s="1570">
        <v>18.27</v>
      </c>
      <c r="M25" s="872">
        <v>38010</v>
      </c>
      <c r="N25" s="1571">
        <v>0.3</v>
      </c>
      <c r="Q25" s="1577" t="s">
        <v>7568</v>
      </c>
      <c r="R25" s="845" t="s">
        <v>7569</v>
      </c>
      <c r="S25" s="872">
        <v>270</v>
      </c>
      <c r="T25" s="1570">
        <v>27.16</v>
      </c>
      <c r="U25" s="872">
        <v>56480</v>
      </c>
      <c r="V25" s="1571">
        <v>0.1</v>
      </c>
      <c r="W25" s="1573"/>
      <c r="Y25" s="1577" t="s">
        <v>7570</v>
      </c>
      <c r="Z25" s="845" t="s">
        <v>7571</v>
      </c>
      <c r="AA25" s="872">
        <v>1960</v>
      </c>
      <c r="AB25" s="1570">
        <v>11.45</v>
      </c>
      <c r="AC25" s="872">
        <v>23820</v>
      </c>
      <c r="AD25" s="1571">
        <v>1.2</v>
      </c>
      <c r="AE25" s="585"/>
      <c r="AG25" s="1568" t="s">
        <v>7572</v>
      </c>
      <c r="AH25" s="1569" t="s">
        <v>7573</v>
      </c>
      <c r="AI25" s="872">
        <v>6970</v>
      </c>
      <c r="AJ25" s="1570">
        <v>19</v>
      </c>
      <c r="AK25" s="872">
        <v>39520</v>
      </c>
      <c r="AL25" s="1571">
        <v>1.5</v>
      </c>
      <c r="AM25" s="585"/>
      <c r="AO25" s="1577" t="s">
        <v>7574</v>
      </c>
      <c r="AP25" s="845" t="s">
        <v>7575</v>
      </c>
      <c r="AQ25" s="872">
        <v>160</v>
      </c>
      <c r="AR25" s="1570" t="s">
        <v>7308</v>
      </c>
      <c r="AS25" s="872" t="s">
        <v>7308</v>
      </c>
      <c r="AT25" s="1571" t="s">
        <v>7308</v>
      </c>
      <c r="AU25" s="1571"/>
      <c r="AV25" s="1583"/>
      <c r="AW25" s="2236" t="s">
        <v>8738</v>
      </c>
      <c r="AX25" s="2236"/>
      <c r="AY25" s="2236"/>
      <c r="AZ25" s="2236"/>
      <c r="BA25" s="2236"/>
      <c r="BB25" s="2236"/>
      <c r="BC25" s="1581"/>
      <c r="BE25" s="1578"/>
      <c r="BF25" s="382"/>
      <c r="BG25" s="439"/>
      <c r="BH25" s="1575"/>
      <c r="BI25" s="1576"/>
      <c r="BJ25" s="1575"/>
      <c r="BL25" s="1578"/>
      <c r="BM25" s="382"/>
      <c r="BN25" s="439"/>
      <c r="BO25" s="1575"/>
      <c r="BP25" s="1576"/>
      <c r="BQ25" s="1575"/>
    </row>
    <row r="26" spans="1:69" ht="12.75" customHeight="1">
      <c r="A26" s="1577" t="s">
        <v>7577</v>
      </c>
      <c r="B26" s="845" t="s">
        <v>7578</v>
      </c>
      <c r="C26" s="872">
        <v>230</v>
      </c>
      <c r="D26" s="1570">
        <v>32.369999999999997</v>
      </c>
      <c r="E26" s="872">
        <v>67340</v>
      </c>
      <c r="F26" s="1571">
        <v>0.6</v>
      </c>
      <c r="G26" s="1572"/>
      <c r="I26" s="1577" t="s">
        <v>7579</v>
      </c>
      <c r="J26" s="845" t="s">
        <v>7580</v>
      </c>
      <c r="K26" s="872">
        <v>40</v>
      </c>
      <c r="L26" s="1570">
        <v>21.23</v>
      </c>
      <c r="M26" s="872">
        <v>44170</v>
      </c>
      <c r="N26" s="1571">
        <v>6.5</v>
      </c>
      <c r="Q26" s="1568" t="s">
        <v>7581</v>
      </c>
      <c r="R26" s="1569" t="s">
        <v>7582</v>
      </c>
      <c r="S26" s="872">
        <v>7090</v>
      </c>
      <c r="T26" s="1570">
        <v>11.14</v>
      </c>
      <c r="U26" s="872">
        <v>23170</v>
      </c>
      <c r="V26" s="1571">
        <v>0.9</v>
      </c>
      <c r="W26" s="1573"/>
      <c r="Y26" s="1577" t="s">
        <v>7583</v>
      </c>
      <c r="Z26" s="845" t="s">
        <v>7584</v>
      </c>
      <c r="AA26" s="872">
        <v>150</v>
      </c>
      <c r="AB26" s="1570">
        <v>12.01</v>
      </c>
      <c r="AC26" s="872">
        <v>24970</v>
      </c>
      <c r="AD26" s="1571">
        <v>2.5</v>
      </c>
      <c r="AE26" s="585"/>
      <c r="AG26" s="1577" t="s">
        <v>7585</v>
      </c>
      <c r="AH26" s="845" t="s">
        <v>7586</v>
      </c>
      <c r="AI26" s="872">
        <v>450</v>
      </c>
      <c r="AJ26" s="1570">
        <v>29.61</v>
      </c>
      <c r="AK26" s="872">
        <v>61580</v>
      </c>
      <c r="AL26" s="1571">
        <v>4</v>
      </c>
      <c r="AM26" s="585"/>
      <c r="AO26" s="1577" t="s">
        <v>7587</v>
      </c>
      <c r="AP26" s="845" t="s">
        <v>7588</v>
      </c>
      <c r="AQ26" s="872">
        <v>60</v>
      </c>
      <c r="AR26" s="1570">
        <v>16.97</v>
      </c>
      <c r="AS26" s="872">
        <v>35290</v>
      </c>
      <c r="AT26" s="1571">
        <v>4.5</v>
      </c>
      <c r="AU26" s="1571"/>
      <c r="AV26" s="1583"/>
      <c r="AW26" s="2234" t="s">
        <v>7602</v>
      </c>
      <c r="AX26" s="2234"/>
      <c r="AY26" s="2234"/>
      <c r="AZ26" s="2234"/>
      <c r="BA26" s="2234"/>
      <c r="BB26" s="2234"/>
      <c r="BC26" s="1584"/>
      <c r="BE26" s="1578"/>
      <c r="BF26" s="382"/>
      <c r="BG26" s="439"/>
      <c r="BH26" s="1575"/>
      <c r="BI26" s="1576"/>
      <c r="BJ26" s="1575"/>
      <c r="BL26" s="1578"/>
      <c r="BM26" s="382"/>
      <c r="BN26" s="439"/>
      <c r="BO26" s="912"/>
      <c r="BP26" s="912"/>
      <c r="BQ26" s="912"/>
    </row>
    <row r="27" spans="1:69" ht="12.75" customHeight="1">
      <c r="A27" s="1577" t="s">
        <v>7590</v>
      </c>
      <c r="B27" s="845" t="s">
        <v>7591</v>
      </c>
      <c r="C27" s="872">
        <v>90</v>
      </c>
      <c r="D27" s="1570">
        <v>26.5</v>
      </c>
      <c r="E27" s="872">
        <v>55110</v>
      </c>
      <c r="F27" s="1571">
        <v>1.2</v>
      </c>
      <c r="G27" s="1572"/>
      <c r="I27" s="1568" t="s">
        <v>7592</v>
      </c>
      <c r="J27" s="1569" t="s">
        <v>7593</v>
      </c>
      <c r="K27" s="872">
        <v>310</v>
      </c>
      <c r="L27" s="1570">
        <v>44.22</v>
      </c>
      <c r="M27" s="872">
        <v>91970</v>
      </c>
      <c r="N27" s="1571">
        <v>1.8</v>
      </c>
      <c r="Q27" s="1577" t="s">
        <v>7594</v>
      </c>
      <c r="R27" s="845" t="s">
        <v>7595</v>
      </c>
      <c r="S27" s="872">
        <v>190</v>
      </c>
      <c r="T27" s="1570">
        <v>21.54</v>
      </c>
      <c r="U27" s="872">
        <v>44800</v>
      </c>
      <c r="V27" s="1571">
        <v>2.6</v>
      </c>
      <c r="W27" s="1573"/>
      <c r="Y27" s="1577" t="s">
        <v>7596</v>
      </c>
      <c r="Z27" s="845" t="s">
        <v>7597</v>
      </c>
      <c r="AA27" s="872">
        <v>90</v>
      </c>
      <c r="AB27" s="1570">
        <v>12.89</v>
      </c>
      <c r="AC27" s="872">
        <v>26810</v>
      </c>
      <c r="AD27" s="1571">
        <v>7.7</v>
      </c>
      <c r="AE27" s="585"/>
      <c r="AG27" s="1577" t="s">
        <v>7598</v>
      </c>
      <c r="AH27" s="845" t="s">
        <v>7599</v>
      </c>
      <c r="AI27" s="872">
        <v>1460</v>
      </c>
      <c r="AJ27" s="1570">
        <v>18.45</v>
      </c>
      <c r="AK27" s="872">
        <v>38380</v>
      </c>
      <c r="AL27" s="1571">
        <v>1.8</v>
      </c>
      <c r="AM27" s="585"/>
      <c r="AO27" s="1577" t="s">
        <v>7600</v>
      </c>
      <c r="AP27" s="845" t="s">
        <v>7601</v>
      </c>
      <c r="AQ27" s="872">
        <v>60</v>
      </c>
      <c r="AR27" s="1570">
        <v>12.9</v>
      </c>
      <c r="AS27" s="872">
        <v>26830</v>
      </c>
      <c r="AT27" s="1571">
        <v>1.4</v>
      </c>
      <c r="AU27" s="1571"/>
      <c r="AV27" s="1583"/>
      <c r="AW27" s="2234" t="s">
        <v>7615</v>
      </c>
      <c r="AX27" s="2234"/>
      <c r="AY27" s="2234"/>
      <c r="AZ27" s="2234"/>
      <c r="BA27" s="2234"/>
      <c r="BB27" s="2234"/>
      <c r="BC27" s="1582"/>
      <c r="BE27" s="1578"/>
      <c r="BF27" s="382"/>
      <c r="BG27" s="439"/>
      <c r="BH27" s="1575"/>
      <c r="BI27" s="1576"/>
      <c r="BJ27" s="1575"/>
      <c r="BL27" s="1578"/>
      <c r="BM27" s="382"/>
      <c r="BN27" s="439"/>
      <c r="BO27" s="1575"/>
      <c r="BP27" s="1576"/>
      <c r="BQ27" s="1575"/>
    </row>
    <row r="28" spans="1:69" ht="12.75" customHeight="1">
      <c r="A28" s="1577" t="s">
        <v>7603</v>
      </c>
      <c r="B28" s="845" t="s">
        <v>7604</v>
      </c>
      <c r="C28" s="872">
        <v>60</v>
      </c>
      <c r="D28" s="1570">
        <v>28.26</v>
      </c>
      <c r="E28" s="872">
        <v>58770</v>
      </c>
      <c r="F28" s="1571">
        <v>3.8</v>
      </c>
      <c r="G28" s="1572"/>
      <c r="I28" s="1577" t="s">
        <v>7605</v>
      </c>
      <c r="J28" s="845" t="s">
        <v>7606</v>
      </c>
      <c r="K28" s="872">
        <v>160</v>
      </c>
      <c r="L28" s="1570">
        <v>60.21</v>
      </c>
      <c r="M28" s="872">
        <v>125240</v>
      </c>
      <c r="N28" s="1571">
        <v>2.2000000000000002</v>
      </c>
      <c r="Q28" s="1577" t="s">
        <v>7607</v>
      </c>
      <c r="R28" s="845" t="s">
        <v>7608</v>
      </c>
      <c r="S28" s="872">
        <v>600</v>
      </c>
      <c r="T28" s="1570">
        <v>13.26</v>
      </c>
      <c r="U28" s="872">
        <v>27570</v>
      </c>
      <c r="V28" s="1571">
        <v>1.5</v>
      </c>
      <c r="W28" s="1573"/>
      <c r="Y28" s="1577" t="s">
        <v>7609</v>
      </c>
      <c r="Z28" s="845" t="s">
        <v>7610</v>
      </c>
      <c r="AA28" s="872">
        <v>1320</v>
      </c>
      <c r="AB28" s="1570">
        <v>13.05</v>
      </c>
      <c r="AC28" s="872">
        <v>27140</v>
      </c>
      <c r="AD28" s="1571">
        <v>1.7</v>
      </c>
      <c r="AE28" s="585"/>
      <c r="AG28" s="1577" t="s">
        <v>7611</v>
      </c>
      <c r="AH28" s="845" t="s">
        <v>7612</v>
      </c>
      <c r="AI28" s="872">
        <v>780</v>
      </c>
      <c r="AJ28" s="1570">
        <v>17.3</v>
      </c>
      <c r="AK28" s="872">
        <v>35990</v>
      </c>
      <c r="AL28" s="1571">
        <v>2.7</v>
      </c>
      <c r="AM28" s="585"/>
      <c r="AO28" s="1577" t="s">
        <v>7613</v>
      </c>
      <c r="AP28" s="845" t="s">
        <v>7614</v>
      </c>
      <c r="AQ28" s="872">
        <v>330</v>
      </c>
      <c r="AR28" s="1570">
        <v>20.71</v>
      </c>
      <c r="AS28" s="872">
        <v>43080</v>
      </c>
      <c r="AT28" s="1571">
        <v>0.6</v>
      </c>
      <c r="AU28" s="1571"/>
      <c r="AV28" s="1583"/>
      <c r="AW28" s="2234" t="s">
        <v>7628</v>
      </c>
      <c r="AX28" s="2234"/>
      <c r="AY28" s="2234"/>
      <c r="AZ28" s="2234"/>
      <c r="BA28" s="2234"/>
      <c r="BB28" s="2234"/>
      <c r="BC28" s="1582"/>
      <c r="BE28" s="1578"/>
      <c r="BF28" s="382"/>
      <c r="BG28" s="439"/>
      <c r="BH28" s="1575"/>
      <c r="BI28" s="1576"/>
      <c r="BJ28" s="1575"/>
      <c r="BL28" s="1557"/>
      <c r="BM28" s="1558"/>
      <c r="BN28" s="1558"/>
      <c r="BO28" s="1558"/>
      <c r="BP28" s="1558"/>
      <c r="BQ28" s="1558"/>
    </row>
    <row r="29" spans="1:69" ht="12.75" customHeight="1">
      <c r="A29" s="1577" t="s">
        <v>7616</v>
      </c>
      <c r="B29" s="845" t="s">
        <v>7617</v>
      </c>
      <c r="C29" s="872">
        <v>330</v>
      </c>
      <c r="D29" s="1570">
        <v>27.71</v>
      </c>
      <c r="E29" s="872">
        <v>57640</v>
      </c>
      <c r="F29" s="1571">
        <v>0.7</v>
      </c>
      <c r="G29" s="1572"/>
      <c r="I29" s="1577" t="s">
        <v>7618</v>
      </c>
      <c r="J29" s="845" t="s">
        <v>7619</v>
      </c>
      <c r="K29" s="872">
        <v>80</v>
      </c>
      <c r="L29" s="1570">
        <v>23.69</v>
      </c>
      <c r="M29" s="872">
        <v>49280</v>
      </c>
      <c r="N29" s="1571">
        <v>0.4</v>
      </c>
      <c r="Q29" s="1577" t="s">
        <v>7620</v>
      </c>
      <c r="R29" s="845" t="s">
        <v>7621</v>
      </c>
      <c r="S29" s="872">
        <v>600</v>
      </c>
      <c r="T29" s="1570">
        <v>10.57</v>
      </c>
      <c r="U29" s="872">
        <v>21990</v>
      </c>
      <c r="V29" s="1571">
        <v>1.1000000000000001</v>
      </c>
      <c r="W29" s="1573"/>
      <c r="Y29" s="1577" t="s">
        <v>7622</v>
      </c>
      <c r="Z29" s="845" t="s">
        <v>7623</v>
      </c>
      <c r="AA29" s="872">
        <v>40</v>
      </c>
      <c r="AB29" s="1570">
        <v>19.510000000000002</v>
      </c>
      <c r="AC29" s="872">
        <v>40590</v>
      </c>
      <c r="AD29" s="1571">
        <v>9.1</v>
      </c>
      <c r="AE29" s="585"/>
      <c r="AG29" s="1577" t="s">
        <v>7624</v>
      </c>
      <c r="AH29" s="845" t="s">
        <v>7625</v>
      </c>
      <c r="AI29" s="872">
        <v>790</v>
      </c>
      <c r="AJ29" s="1570">
        <v>14.28</v>
      </c>
      <c r="AK29" s="872">
        <v>29710</v>
      </c>
      <c r="AL29" s="1571">
        <v>2.8</v>
      </c>
      <c r="AM29" s="585"/>
      <c r="AO29" s="1577" t="s">
        <v>7626</v>
      </c>
      <c r="AP29" s="845" t="s">
        <v>7627</v>
      </c>
      <c r="AQ29" s="872">
        <v>30</v>
      </c>
      <c r="AR29" s="1570">
        <v>13.74</v>
      </c>
      <c r="AS29" s="872">
        <v>28580</v>
      </c>
      <c r="AT29" s="1571">
        <v>1.8</v>
      </c>
      <c r="AU29" s="1571"/>
      <c r="AV29" s="1583"/>
      <c r="AW29" s="1585"/>
      <c r="AX29" s="1586"/>
      <c r="AY29" s="1587"/>
      <c r="AZ29" s="1588"/>
      <c r="BA29" s="1589"/>
      <c r="BB29" s="1588"/>
      <c r="BC29" s="1582"/>
      <c r="BE29" s="1863"/>
      <c r="BF29" s="621"/>
      <c r="BG29" s="439"/>
      <c r="BH29" s="1575"/>
      <c r="BI29" s="1576"/>
      <c r="BJ29" s="1575"/>
      <c r="BL29" s="2236"/>
      <c r="BM29" s="2236"/>
      <c r="BN29" s="2236"/>
      <c r="BO29" s="2236"/>
      <c r="BP29" s="2236"/>
      <c r="BQ29" s="2236"/>
    </row>
    <row r="30" spans="1:69" ht="12.75" customHeight="1">
      <c r="A30" s="1577" t="s">
        <v>7629</v>
      </c>
      <c r="B30" s="845" t="s">
        <v>7630</v>
      </c>
      <c r="C30" s="872">
        <v>140</v>
      </c>
      <c r="D30" s="1570">
        <v>32.49</v>
      </c>
      <c r="E30" s="872">
        <v>67580</v>
      </c>
      <c r="F30" s="1571">
        <v>1.4</v>
      </c>
      <c r="G30" s="1572"/>
      <c r="I30" s="1568" t="s">
        <v>7631</v>
      </c>
      <c r="J30" s="1569" t="s">
        <v>7632</v>
      </c>
      <c r="K30" s="872">
        <v>1660</v>
      </c>
      <c r="L30" s="1570">
        <v>24.6</v>
      </c>
      <c r="M30" s="872">
        <v>51160</v>
      </c>
      <c r="N30" s="1571">
        <v>2.6</v>
      </c>
      <c r="Q30" s="1577" t="s">
        <v>7633</v>
      </c>
      <c r="R30" s="845" t="s">
        <v>7634</v>
      </c>
      <c r="S30" s="872">
        <v>80</v>
      </c>
      <c r="T30" s="1570">
        <v>14.86</v>
      </c>
      <c r="U30" s="872">
        <v>30910</v>
      </c>
      <c r="V30" s="1571">
        <v>1.1000000000000001</v>
      </c>
      <c r="W30" s="1573"/>
      <c r="Y30" s="1577" t="s">
        <v>7635</v>
      </c>
      <c r="Z30" s="845" t="s">
        <v>7636</v>
      </c>
      <c r="AA30" s="872">
        <v>40</v>
      </c>
      <c r="AB30" s="1570">
        <v>16.28</v>
      </c>
      <c r="AC30" s="872">
        <v>33870</v>
      </c>
      <c r="AD30" s="1571">
        <v>11.5</v>
      </c>
      <c r="AE30" s="585"/>
      <c r="AG30" s="1577" t="s">
        <v>7637</v>
      </c>
      <c r="AH30" s="845" t="s">
        <v>7638</v>
      </c>
      <c r="AI30" s="872">
        <v>570</v>
      </c>
      <c r="AJ30" s="1570">
        <v>20.329999999999998</v>
      </c>
      <c r="AK30" s="872">
        <v>42290</v>
      </c>
      <c r="AL30" s="1571">
        <v>1.6</v>
      </c>
      <c r="AM30" s="585"/>
      <c r="AO30" s="1577" t="s">
        <v>7639</v>
      </c>
      <c r="AP30" s="845" t="s">
        <v>7640</v>
      </c>
      <c r="AQ30" s="872">
        <v>110</v>
      </c>
      <c r="AR30" s="1570">
        <v>10.98</v>
      </c>
      <c r="AS30" s="872">
        <v>22830</v>
      </c>
      <c r="AT30" s="1571">
        <v>1.4</v>
      </c>
      <c r="AU30" s="1571"/>
      <c r="AV30" s="1583"/>
      <c r="AW30" s="1585"/>
      <c r="AX30" s="1586"/>
      <c r="AY30" s="1587"/>
      <c r="AZ30" s="1588"/>
      <c r="BA30" s="1589"/>
      <c r="BB30" s="1588"/>
      <c r="BC30" s="1588"/>
      <c r="BE30" s="1578"/>
      <c r="BF30" s="382"/>
      <c r="BG30" s="439"/>
      <c r="BH30" s="1575"/>
      <c r="BI30" s="1576"/>
      <c r="BJ30" s="1575"/>
      <c r="BL30" s="2236"/>
      <c r="BM30" s="2236"/>
      <c r="BN30" s="2236"/>
      <c r="BO30" s="2236"/>
      <c r="BP30" s="2236"/>
      <c r="BQ30" s="2236"/>
    </row>
    <row r="31" spans="1:69" ht="12.75" customHeight="1">
      <c r="A31" s="1577" t="s">
        <v>7641</v>
      </c>
      <c r="B31" s="845" t="s">
        <v>7642</v>
      </c>
      <c r="C31" s="872">
        <v>270</v>
      </c>
      <c r="D31" s="1570">
        <v>37.340000000000003</v>
      </c>
      <c r="E31" s="872">
        <v>77670</v>
      </c>
      <c r="F31" s="1571">
        <v>10.1</v>
      </c>
      <c r="G31" s="1572"/>
      <c r="I31" s="1577" t="s">
        <v>7643</v>
      </c>
      <c r="J31" s="845" t="s">
        <v>7644</v>
      </c>
      <c r="K31" s="872">
        <v>50</v>
      </c>
      <c r="L31" s="1570">
        <v>27.57</v>
      </c>
      <c r="M31" s="872">
        <v>57350</v>
      </c>
      <c r="N31" s="1571">
        <v>5.7</v>
      </c>
      <c r="Q31" s="1577" t="s">
        <v>7645</v>
      </c>
      <c r="R31" s="845" t="s">
        <v>7646</v>
      </c>
      <c r="S31" s="872">
        <v>1000</v>
      </c>
      <c r="T31" s="1570">
        <v>11.7</v>
      </c>
      <c r="U31" s="872">
        <v>24340</v>
      </c>
      <c r="V31" s="1571">
        <v>1.6</v>
      </c>
      <c r="W31" s="1573"/>
      <c r="Y31" s="1577" t="s">
        <v>7647</v>
      </c>
      <c r="Z31" s="845" t="s">
        <v>7648</v>
      </c>
      <c r="AA31" s="872">
        <v>140</v>
      </c>
      <c r="AB31" s="1570">
        <v>21.21</v>
      </c>
      <c r="AC31" s="872">
        <v>44110</v>
      </c>
      <c r="AD31" s="1571">
        <v>3.2</v>
      </c>
      <c r="AE31" s="585"/>
      <c r="AG31" s="1577" t="s">
        <v>7649</v>
      </c>
      <c r="AH31" s="845" t="s">
        <v>7650</v>
      </c>
      <c r="AI31" s="872">
        <v>920</v>
      </c>
      <c r="AJ31" s="1570">
        <v>20.69</v>
      </c>
      <c r="AK31" s="872">
        <v>43040</v>
      </c>
      <c r="AL31" s="1571">
        <v>0.6</v>
      </c>
      <c r="AM31" s="585"/>
      <c r="AO31" s="1577" t="s">
        <v>7651</v>
      </c>
      <c r="AP31" s="845" t="s">
        <v>7652</v>
      </c>
      <c r="AQ31" s="872">
        <v>40</v>
      </c>
      <c r="AR31" s="1570">
        <v>21.83</v>
      </c>
      <c r="AS31" s="872">
        <v>45410</v>
      </c>
      <c r="AT31" s="1571">
        <v>2.2000000000000002</v>
      </c>
      <c r="AU31" s="1571"/>
      <c r="AV31" s="1583"/>
      <c r="AW31" s="1578"/>
      <c r="AX31" s="382"/>
      <c r="AY31" s="439"/>
      <c r="AZ31" s="1575"/>
      <c r="BA31" s="1576"/>
      <c r="BB31" s="1575"/>
      <c r="BC31" s="1588"/>
      <c r="BE31" s="1578"/>
      <c r="BF31" s="382"/>
      <c r="BG31" s="439"/>
      <c r="BH31" s="1575"/>
      <c r="BI31" s="1576"/>
      <c r="BJ31" s="1575"/>
      <c r="BL31" s="2234"/>
      <c r="BM31" s="2234"/>
      <c r="BN31" s="2234"/>
      <c r="BO31" s="1581"/>
      <c r="BP31" s="1581"/>
      <c r="BQ31" s="1581"/>
    </row>
    <row r="32" spans="1:69" ht="12.75" customHeight="1">
      <c r="A32" s="1577" t="s">
        <v>7653</v>
      </c>
      <c r="B32" s="845" t="s">
        <v>7654</v>
      </c>
      <c r="C32" s="872">
        <v>210</v>
      </c>
      <c r="D32" s="1570">
        <v>36.43</v>
      </c>
      <c r="E32" s="872">
        <v>75770</v>
      </c>
      <c r="F32" s="1571">
        <v>1.1000000000000001</v>
      </c>
      <c r="G32" s="1572"/>
      <c r="I32" s="1577" t="s">
        <v>7655</v>
      </c>
      <c r="J32" s="845" t="s">
        <v>7656</v>
      </c>
      <c r="K32" s="872">
        <v>130</v>
      </c>
      <c r="L32" s="1570">
        <v>11.25</v>
      </c>
      <c r="M32" s="872">
        <v>23410</v>
      </c>
      <c r="N32" s="1571">
        <v>6.1</v>
      </c>
      <c r="Q32" s="1577" t="s">
        <v>7657</v>
      </c>
      <c r="R32" s="845" t="s">
        <v>7658</v>
      </c>
      <c r="S32" s="872">
        <v>70</v>
      </c>
      <c r="T32" s="1570">
        <v>11.04</v>
      </c>
      <c r="U32" s="872">
        <v>22950</v>
      </c>
      <c r="V32" s="1571">
        <v>0.9</v>
      </c>
      <c r="W32" s="1573"/>
      <c r="Y32" s="1577" t="s">
        <v>7659</v>
      </c>
      <c r="Z32" s="845" t="s">
        <v>7660</v>
      </c>
      <c r="AA32" s="872">
        <v>220</v>
      </c>
      <c r="AB32" s="1570">
        <v>17.41</v>
      </c>
      <c r="AC32" s="872">
        <v>36210</v>
      </c>
      <c r="AD32" s="1571">
        <v>2.7</v>
      </c>
      <c r="AE32" s="585"/>
      <c r="AG32" s="1577" t="s">
        <v>7661</v>
      </c>
      <c r="AH32" s="845" t="s">
        <v>7662</v>
      </c>
      <c r="AI32" s="872">
        <v>320</v>
      </c>
      <c r="AJ32" s="1570">
        <v>18.059999999999999</v>
      </c>
      <c r="AK32" s="872">
        <v>37560</v>
      </c>
      <c r="AL32" s="1571">
        <v>5.4</v>
      </c>
      <c r="AM32" s="585"/>
      <c r="AO32" s="1577" t="s">
        <v>7663</v>
      </c>
      <c r="AP32" s="845" t="s">
        <v>7664</v>
      </c>
      <c r="AQ32" s="872">
        <v>40</v>
      </c>
      <c r="AR32" s="1570">
        <v>21.29</v>
      </c>
      <c r="AS32" s="872">
        <v>44270</v>
      </c>
      <c r="AT32" s="1571">
        <v>3.5</v>
      </c>
      <c r="AU32" s="1571"/>
      <c r="AV32" s="1583"/>
      <c r="AW32" s="1578"/>
      <c r="AX32" s="382"/>
      <c r="AY32" s="439"/>
      <c r="AZ32" s="1575"/>
      <c r="BA32" s="1576"/>
      <c r="BB32" s="1575"/>
      <c r="BC32" s="1575"/>
      <c r="BE32" s="1578"/>
      <c r="BF32" s="382"/>
      <c r="BG32" s="439"/>
      <c r="BH32" s="1575"/>
      <c r="BI32" s="1576"/>
      <c r="BJ32" s="1575"/>
      <c r="BL32" s="2237"/>
      <c r="BM32" s="2237"/>
      <c r="BN32" s="2237"/>
      <c r="BO32" s="1581"/>
      <c r="BP32" s="1581"/>
      <c r="BQ32" s="1581"/>
    </row>
    <row r="33" spans="1:69" ht="12.75" customHeight="1">
      <c r="A33" s="1577" t="s">
        <v>7665</v>
      </c>
      <c r="B33" s="845" t="s">
        <v>7666</v>
      </c>
      <c r="C33" s="872">
        <v>40</v>
      </c>
      <c r="D33" s="1570">
        <v>21.94</v>
      </c>
      <c r="E33" s="872">
        <v>45640</v>
      </c>
      <c r="F33" s="1571">
        <v>6.1</v>
      </c>
      <c r="G33" s="1572"/>
      <c r="I33" s="1577" t="s">
        <v>7667</v>
      </c>
      <c r="J33" s="845" t="s">
        <v>7668</v>
      </c>
      <c r="K33" s="872">
        <v>140</v>
      </c>
      <c r="L33" s="1570" t="s">
        <v>7308</v>
      </c>
      <c r="M33" s="872">
        <v>35220</v>
      </c>
      <c r="N33" s="1571">
        <v>3.4</v>
      </c>
      <c r="Q33" s="1577" t="s">
        <v>7669</v>
      </c>
      <c r="R33" s="845" t="s">
        <v>7670</v>
      </c>
      <c r="S33" s="872">
        <v>470</v>
      </c>
      <c r="T33" s="1570">
        <v>10.51</v>
      </c>
      <c r="U33" s="872">
        <v>21850</v>
      </c>
      <c r="V33" s="1571">
        <v>1.3</v>
      </c>
      <c r="W33" s="1573"/>
      <c r="Y33" s="1568" t="s">
        <v>7282</v>
      </c>
      <c r="Z33" s="1569" t="s">
        <v>7283</v>
      </c>
      <c r="AA33" s="872">
        <v>8690</v>
      </c>
      <c r="AB33" s="1570">
        <v>17.55</v>
      </c>
      <c r="AC33" s="872">
        <v>36500</v>
      </c>
      <c r="AD33" s="1571">
        <v>0.7</v>
      </c>
      <c r="AE33" s="1574"/>
      <c r="AG33" s="1577" t="s">
        <v>7671</v>
      </c>
      <c r="AH33" s="845" t="s">
        <v>7672</v>
      </c>
      <c r="AI33" s="872">
        <v>440</v>
      </c>
      <c r="AJ33" s="1570">
        <v>19.329999999999998</v>
      </c>
      <c r="AK33" s="872">
        <v>40210</v>
      </c>
      <c r="AL33" s="1571">
        <v>1.3</v>
      </c>
      <c r="AM33" s="585"/>
      <c r="AO33" s="1577" t="s">
        <v>7673</v>
      </c>
      <c r="AP33" s="845" t="s">
        <v>7674</v>
      </c>
      <c r="AQ33" s="872">
        <v>280</v>
      </c>
      <c r="AR33" s="1570">
        <v>11.53</v>
      </c>
      <c r="AS33" s="872">
        <v>23990</v>
      </c>
      <c r="AT33" s="1571">
        <v>0.7</v>
      </c>
      <c r="AU33" s="1571"/>
      <c r="AV33" s="1583"/>
      <c r="AW33" s="1578"/>
      <c r="AX33" s="382"/>
      <c r="AY33" s="439"/>
      <c r="AZ33" s="1575"/>
      <c r="BA33" s="1576"/>
      <c r="BB33" s="1575"/>
      <c r="BC33" s="1575"/>
      <c r="BE33" s="1578"/>
      <c r="BF33" s="382"/>
      <c r="BG33" s="439"/>
      <c r="BH33" s="1575"/>
      <c r="BI33" s="1576"/>
      <c r="BJ33" s="1575"/>
      <c r="BL33" s="1558"/>
      <c r="BM33" s="1584"/>
      <c r="BN33" s="1584"/>
      <c r="BO33" s="1584"/>
      <c r="BP33" s="1584"/>
      <c r="BQ33" s="1584"/>
    </row>
    <row r="34" spans="1:69" ht="12.75" customHeight="1">
      <c r="A34" s="1577" t="s">
        <v>7675</v>
      </c>
      <c r="B34" s="845" t="s">
        <v>7676</v>
      </c>
      <c r="C34" s="872">
        <v>90</v>
      </c>
      <c r="D34" s="1570">
        <v>22.71</v>
      </c>
      <c r="E34" s="872">
        <v>47230</v>
      </c>
      <c r="F34" s="1571">
        <v>2.6</v>
      </c>
      <c r="G34" s="1572"/>
      <c r="I34" s="1577" t="s">
        <v>7677</v>
      </c>
      <c r="J34" s="845" t="s">
        <v>7678</v>
      </c>
      <c r="K34" s="872">
        <v>60</v>
      </c>
      <c r="L34" s="1570" t="s">
        <v>7308</v>
      </c>
      <c r="M34" s="872">
        <v>40900</v>
      </c>
      <c r="N34" s="1571">
        <v>1.9</v>
      </c>
      <c r="Q34" s="1577" t="s">
        <v>7679</v>
      </c>
      <c r="R34" s="845" t="s">
        <v>7680</v>
      </c>
      <c r="S34" s="872">
        <v>300</v>
      </c>
      <c r="T34" s="1570">
        <v>10.82</v>
      </c>
      <c r="U34" s="872">
        <v>22510</v>
      </c>
      <c r="V34" s="1571">
        <v>5.6</v>
      </c>
      <c r="W34" s="1573"/>
      <c r="Y34" s="1577" t="s">
        <v>7681</v>
      </c>
      <c r="Z34" s="845" t="s">
        <v>7682</v>
      </c>
      <c r="AA34" s="872">
        <v>1110</v>
      </c>
      <c r="AB34" s="1570">
        <v>22.31</v>
      </c>
      <c r="AC34" s="872">
        <v>46410</v>
      </c>
      <c r="AD34" s="1571">
        <v>0.8</v>
      </c>
      <c r="AE34" s="1574"/>
      <c r="AG34" s="1577" t="s">
        <v>7683</v>
      </c>
      <c r="AH34" s="845" t="s">
        <v>7684</v>
      </c>
      <c r="AI34" s="872">
        <v>460</v>
      </c>
      <c r="AJ34" s="1570">
        <v>17.649999999999999</v>
      </c>
      <c r="AK34" s="872">
        <v>36710</v>
      </c>
      <c r="AL34" s="1571">
        <v>0.6</v>
      </c>
      <c r="AM34" s="585"/>
      <c r="AO34" s="2242" t="s">
        <v>7498</v>
      </c>
      <c r="AP34" s="2242"/>
      <c r="AQ34" s="2242"/>
      <c r="AR34" s="2242"/>
      <c r="AS34" s="2242"/>
      <c r="AT34" s="2242"/>
      <c r="AV34" s="1583"/>
      <c r="AW34" s="1578"/>
      <c r="AX34" s="382"/>
      <c r="AY34" s="439"/>
      <c r="AZ34" s="1575"/>
      <c r="BA34" s="1576"/>
      <c r="BB34" s="1575"/>
      <c r="BC34" s="1575"/>
      <c r="BE34" s="1578"/>
      <c r="BF34" s="382"/>
      <c r="BG34" s="439"/>
      <c r="BH34" s="1575"/>
      <c r="BI34" s="1576"/>
      <c r="BJ34" s="1575"/>
      <c r="BL34" s="2236"/>
      <c r="BM34" s="2236"/>
      <c r="BN34" s="2236"/>
      <c r="BO34" s="2236"/>
      <c r="BP34" s="2236"/>
      <c r="BQ34" s="2236"/>
    </row>
    <row r="35" spans="1:69" ht="12.75" customHeight="1">
      <c r="A35" s="1577" t="s">
        <v>7685</v>
      </c>
      <c r="B35" s="845" t="s">
        <v>7686</v>
      </c>
      <c r="C35" s="872" t="s">
        <v>7311</v>
      </c>
      <c r="D35" s="1570">
        <v>39.57</v>
      </c>
      <c r="E35" s="872">
        <v>82300</v>
      </c>
      <c r="F35" s="1571">
        <v>0.6</v>
      </c>
      <c r="G35" s="1572"/>
      <c r="I35" s="1577" t="s">
        <v>7687</v>
      </c>
      <c r="J35" s="845" t="s">
        <v>7688</v>
      </c>
      <c r="K35" s="872">
        <v>230</v>
      </c>
      <c r="L35" s="1570" t="s">
        <v>7308</v>
      </c>
      <c r="M35" s="872">
        <v>40790</v>
      </c>
      <c r="N35" s="1571">
        <v>3.1</v>
      </c>
      <c r="Q35" s="1577" t="s">
        <v>7689</v>
      </c>
      <c r="R35" s="845" t="s">
        <v>7690</v>
      </c>
      <c r="S35" s="872">
        <v>1050</v>
      </c>
      <c r="T35" s="1570">
        <v>10.17</v>
      </c>
      <c r="U35" s="872">
        <v>21150</v>
      </c>
      <c r="V35" s="1571">
        <v>1.8</v>
      </c>
      <c r="W35" s="1573"/>
      <c r="Y35" s="1577" t="s">
        <v>7691</v>
      </c>
      <c r="Z35" s="845" t="s">
        <v>7692</v>
      </c>
      <c r="AA35" s="872">
        <v>90</v>
      </c>
      <c r="AB35" s="1570">
        <v>15.88</v>
      </c>
      <c r="AC35" s="872">
        <v>33020</v>
      </c>
      <c r="AD35" s="1571">
        <v>2.8</v>
      </c>
      <c r="AE35" s="1574"/>
      <c r="AG35" s="1577" t="s">
        <v>7693</v>
      </c>
      <c r="AH35" s="845" t="s">
        <v>7694</v>
      </c>
      <c r="AI35" s="872" t="s">
        <v>7311</v>
      </c>
      <c r="AJ35" s="1570">
        <v>17.7</v>
      </c>
      <c r="AK35" s="872">
        <v>36810</v>
      </c>
      <c r="AL35" s="1571">
        <v>1.9</v>
      </c>
      <c r="AM35" s="585"/>
      <c r="AO35" s="2236" t="s">
        <v>7511</v>
      </c>
      <c r="AP35" s="2236"/>
      <c r="AQ35" s="2236"/>
      <c r="AR35" s="2236"/>
      <c r="AS35" s="2236"/>
      <c r="AT35" s="2236"/>
      <c r="AU35" s="1581"/>
      <c r="AV35" s="1583"/>
      <c r="AW35" s="1578"/>
      <c r="AX35" s="382"/>
      <c r="AY35" s="439"/>
      <c r="AZ35" s="1575"/>
      <c r="BA35" s="1576"/>
      <c r="BB35" s="1575"/>
      <c r="BC35" s="1575"/>
      <c r="BE35" s="1578"/>
      <c r="BF35" s="382"/>
      <c r="BG35" s="439"/>
      <c r="BH35" s="1575"/>
      <c r="BI35" s="1576"/>
      <c r="BJ35" s="1575"/>
      <c r="BL35" s="1558"/>
      <c r="BM35" s="1584"/>
      <c r="BN35" s="1584"/>
      <c r="BO35" s="1584"/>
      <c r="BP35" s="1584"/>
      <c r="BQ35" s="1584"/>
    </row>
    <row r="36" spans="1:69" ht="12.75" customHeight="1">
      <c r="A36" s="1577" t="s">
        <v>7695</v>
      </c>
      <c r="B36" s="845" t="s">
        <v>7696</v>
      </c>
      <c r="C36" s="872">
        <v>500</v>
      </c>
      <c r="D36" s="1570">
        <v>24.58</v>
      </c>
      <c r="E36" s="872">
        <v>51130</v>
      </c>
      <c r="F36" s="1571">
        <v>1.2</v>
      </c>
      <c r="G36" s="1572"/>
      <c r="I36" s="1577" t="s">
        <v>7697</v>
      </c>
      <c r="J36" s="845" t="s">
        <v>7698</v>
      </c>
      <c r="K36" s="872">
        <v>170</v>
      </c>
      <c r="L36" s="1570" t="s">
        <v>7308</v>
      </c>
      <c r="M36" s="872">
        <v>45990</v>
      </c>
      <c r="N36" s="1571">
        <v>0.9</v>
      </c>
      <c r="Q36" s="1577" t="s">
        <v>7699</v>
      </c>
      <c r="R36" s="845" t="s">
        <v>7700</v>
      </c>
      <c r="S36" s="872">
        <v>1350</v>
      </c>
      <c r="T36" s="1570">
        <v>10.26</v>
      </c>
      <c r="U36" s="872">
        <v>21340</v>
      </c>
      <c r="V36" s="1571">
        <v>1.7</v>
      </c>
      <c r="W36" s="1573"/>
      <c r="Y36" s="1577" t="s">
        <v>7701</v>
      </c>
      <c r="Z36" s="845" t="s">
        <v>7702</v>
      </c>
      <c r="AA36" s="872">
        <v>110</v>
      </c>
      <c r="AB36" s="1570">
        <v>15.07</v>
      </c>
      <c r="AC36" s="872">
        <v>31350</v>
      </c>
      <c r="AD36" s="1571">
        <v>3</v>
      </c>
      <c r="AE36" s="1574"/>
      <c r="AG36" s="1577" t="s">
        <v>7703</v>
      </c>
      <c r="AH36" s="845" t="s">
        <v>7704</v>
      </c>
      <c r="AI36" s="872">
        <v>140</v>
      </c>
      <c r="AJ36" s="1570">
        <v>18.93</v>
      </c>
      <c r="AK36" s="872">
        <v>39380</v>
      </c>
      <c r="AL36" s="1571">
        <v>2.9</v>
      </c>
      <c r="AM36" s="585"/>
      <c r="AO36" s="2236" t="s">
        <v>7524</v>
      </c>
      <c r="AP36" s="2236"/>
      <c r="AQ36" s="2236"/>
      <c r="AR36" s="2236"/>
      <c r="AS36" s="2236"/>
      <c r="AT36" s="2236"/>
      <c r="AU36" s="1581"/>
      <c r="AV36" s="1583"/>
      <c r="AW36" s="1578"/>
      <c r="AX36" s="382"/>
      <c r="AY36" s="439"/>
      <c r="AZ36" s="1575"/>
      <c r="BA36" s="1576"/>
      <c r="BB36" s="1575"/>
      <c r="BC36" s="1575"/>
      <c r="BE36" s="1578"/>
      <c r="BF36" s="382"/>
      <c r="BG36" s="439"/>
      <c r="BH36" s="1575"/>
      <c r="BI36" s="1576"/>
      <c r="BJ36" s="1575"/>
      <c r="BL36" s="2234"/>
      <c r="BM36" s="2234"/>
      <c r="BN36" s="2234"/>
      <c r="BO36" s="2234"/>
      <c r="BP36" s="2234"/>
      <c r="BQ36" s="2234"/>
    </row>
    <row r="37" spans="1:69" ht="12.75" customHeight="1">
      <c r="A37" s="1577" t="s">
        <v>7705</v>
      </c>
      <c r="B37" s="845" t="s">
        <v>7706</v>
      </c>
      <c r="C37" s="872">
        <v>70</v>
      </c>
      <c r="D37" s="1570">
        <v>21.85</v>
      </c>
      <c r="E37" s="872">
        <v>45450</v>
      </c>
      <c r="F37" s="1571">
        <v>2.2000000000000002</v>
      </c>
      <c r="G37" s="1572"/>
      <c r="I37" s="1577" t="s">
        <v>7707</v>
      </c>
      <c r="J37" s="845" t="s">
        <v>7708</v>
      </c>
      <c r="K37" s="872">
        <v>90</v>
      </c>
      <c r="L37" s="1570" t="s">
        <v>7308</v>
      </c>
      <c r="M37" s="872">
        <v>23520</v>
      </c>
      <c r="N37" s="1571">
        <v>4.4000000000000004</v>
      </c>
      <c r="Q37" s="1577" t="s">
        <v>7709</v>
      </c>
      <c r="R37" s="845" t="s">
        <v>7710</v>
      </c>
      <c r="S37" s="872">
        <v>330</v>
      </c>
      <c r="T37" s="1570">
        <v>10.71</v>
      </c>
      <c r="U37" s="872">
        <v>22280</v>
      </c>
      <c r="V37" s="1571">
        <v>1.5</v>
      </c>
      <c r="W37" s="1573"/>
      <c r="Y37" s="1577" t="s">
        <v>7711</v>
      </c>
      <c r="Z37" s="845" t="s">
        <v>7712</v>
      </c>
      <c r="AA37" s="872">
        <v>850</v>
      </c>
      <c r="AB37" s="1570">
        <v>15.76</v>
      </c>
      <c r="AC37" s="872">
        <v>32770</v>
      </c>
      <c r="AD37" s="1571">
        <v>0.8</v>
      </c>
      <c r="AE37" s="1574"/>
      <c r="AG37" s="1577" t="s">
        <v>7713</v>
      </c>
      <c r="AH37" s="845" t="s">
        <v>7714</v>
      </c>
      <c r="AI37" s="872">
        <v>170</v>
      </c>
      <c r="AJ37" s="1570">
        <v>17.29</v>
      </c>
      <c r="AK37" s="872">
        <v>35970</v>
      </c>
      <c r="AL37" s="1571">
        <v>1.6</v>
      </c>
      <c r="AM37" s="585"/>
      <c r="AO37" s="2234" t="s">
        <v>7537</v>
      </c>
      <c r="AP37" s="2234"/>
      <c r="AQ37" s="2234"/>
      <c r="AR37" s="2234"/>
      <c r="AS37" s="2234"/>
      <c r="AT37" s="2234"/>
      <c r="AU37" s="1581"/>
      <c r="AV37" s="1583"/>
      <c r="AW37" s="1578"/>
      <c r="AX37" s="382"/>
      <c r="AY37" s="435"/>
      <c r="AZ37" s="1575"/>
      <c r="BA37" s="1576"/>
      <c r="BB37" s="1575"/>
      <c r="BC37" s="1575"/>
      <c r="BE37" s="1578"/>
      <c r="BF37" s="382"/>
      <c r="BG37" s="439"/>
      <c r="BH37" s="1575"/>
      <c r="BI37" s="1576"/>
      <c r="BJ37" s="1575"/>
      <c r="BL37" s="2234"/>
      <c r="BM37" s="2234"/>
      <c r="BN37" s="2234"/>
      <c r="BO37" s="2234"/>
      <c r="BP37" s="2234"/>
      <c r="BQ37" s="2234"/>
    </row>
    <row r="38" spans="1:69" ht="12.75" customHeight="1">
      <c r="A38" s="1577" t="s">
        <v>7715</v>
      </c>
      <c r="B38" s="845" t="s">
        <v>7716</v>
      </c>
      <c r="C38" s="872">
        <v>30</v>
      </c>
      <c r="D38" s="1570">
        <v>19.96</v>
      </c>
      <c r="E38" s="872">
        <v>41510</v>
      </c>
      <c r="F38" s="1571">
        <v>6.3</v>
      </c>
      <c r="G38" s="1572"/>
      <c r="I38" s="1577" t="s">
        <v>7717</v>
      </c>
      <c r="J38" s="845" t="s">
        <v>7718</v>
      </c>
      <c r="K38" s="872">
        <v>60</v>
      </c>
      <c r="L38" s="1570">
        <v>20.14</v>
      </c>
      <c r="M38" s="872">
        <v>41880</v>
      </c>
      <c r="N38" s="1571">
        <v>0.6</v>
      </c>
      <c r="Q38" s="1577" t="s">
        <v>7719</v>
      </c>
      <c r="R38" s="845" t="s">
        <v>7720</v>
      </c>
      <c r="S38" s="872">
        <v>310</v>
      </c>
      <c r="T38" s="1570">
        <v>9.99</v>
      </c>
      <c r="U38" s="872">
        <v>20780</v>
      </c>
      <c r="V38" s="1571">
        <v>1.1000000000000001</v>
      </c>
      <c r="W38" s="1573"/>
      <c r="Y38" s="1577" t="s">
        <v>7721</v>
      </c>
      <c r="Z38" s="845" t="s">
        <v>7722</v>
      </c>
      <c r="AA38" s="872">
        <v>60</v>
      </c>
      <c r="AB38" s="1570">
        <v>21.89</v>
      </c>
      <c r="AC38" s="872">
        <v>45520</v>
      </c>
      <c r="AD38" s="1571">
        <v>1.5</v>
      </c>
      <c r="AE38" s="1574"/>
      <c r="AG38" s="1577" t="s">
        <v>7723</v>
      </c>
      <c r="AH38" s="845" t="s">
        <v>7724</v>
      </c>
      <c r="AI38" s="872">
        <v>40</v>
      </c>
      <c r="AJ38" s="1570">
        <v>14.31</v>
      </c>
      <c r="AK38" s="872">
        <v>29770</v>
      </c>
      <c r="AL38" s="1571">
        <v>3.3</v>
      </c>
      <c r="AM38" s="585"/>
      <c r="AO38" s="2237" t="s">
        <v>7550</v>
      </c>
      <c r="AP38" s="2237"/>
      <c r="AQ38" s="2237"/>
      <c r="AR38" s="2237"/>
      <c r="AS38" s="2237"/>
      <c r="AT38" s="2237"/>
      <c r="AU38" s="1581"/>
      <c r="AV38" s="1583"/>
      <c r="AW38" s="1578"/>
      <c r="AX38" s="382"/>
      <c r="AY38" s="435"/>
      <c r="AZ38" s="1575"/>
      <c r="BA38" s="1576"/>
      <c r="BB38" s="1575"/>
      <c r="BC38" s="1575"/>
      <c r="BE38" s="1578"/>
      <c r="BF38" s="382"/>
      <c r="BG38" s="439"/>
      <c r="BH38" s="1575"/>
      <c r="BI38" s="1576"/>
      <c r="BJ38" s="1575"/>
      <c r="BL38" s="2234"/>
      <c r="BM38" s="2234"/>
      <c r="BN38" s="2234"/>
      <c r="BO38" s="2234"/>
      <c r="BP38" s="2234"/>
      <c r="BQ38" s="2234"/>
    </row>
    <row r="39" spans="1:69" ht="12.75" customHeight="1">
      <c r="A39" s="1568" t="s">
        <v>7726</v>
      </c>
      <c r="B39" s="1569" t="s">
        <v>7727</v>
      </c>
      <c r="C39" s="872">
        <v>810</v>
      </c>
      <c r="D39" s="1570">
        <v>26.67</v>
      </c>
      <c r="E39" s="872">
        <v>55470</v>
      </c>
      <c r="F39" s="1571">
        <v>2</v>
      </c>
      <c r="G39" s="1572"/>
      <c r="I39" s="1568" t="s">
        <v>7728</v>
      </c>
      <c r="J39" s="1569" t="s">
        <v>7729</v>
      </c>
      <c r="K39" s="872">
        <v>490</v>
      </c>
      <c r="L39" s="1570">
        <v>20.95</v>
      </c>
      <c r="M39" s="872">
        <v>43570</v>
      </c>
      <c r="N39" s="1571">
        <v>2</v>
      </c>
      <c r="Q39" s="1577" t="s">
        <v>7730</v>
      </c>
      <c r="R39" s="845" t="s">
        <v>7731</v>
      </c>
      <c r="S39" s="872">
        <v>300</v>
      </c>
      <c r="T39" s="1570">
        <v>9.69</v>
      </c>
      <c r="U39" s="872">
        <v>20160</v>
      </c>
      <c r="V39" s="1571">
        <v>1.3</v>
      </c>
      <c r="W39" s="1573"/>
      <c r="Y39" s="1577" t="s">
        <v>7732</v>
      </c>
      <c r="Z39" s="845" t="s">
        <v>7733</v>
      </c>
      <c r="AA39" s="872">
        <v>130</v>
      </c>
      <c r="AB39" s="1570">
        <v>18.079999999999998</v>
      </c>
      <c r="AC39" s="872">
        <v>37600</v>
      </c>
      <c r="AD39" s="1571">
        <v>2.2999999999999998</v>
      </c>
      <c r="AE39" s="1574"/>
      <c r="AG39" s="1577" t="s">
        <v>7734</v>
      </c>
      <c r="AH39" s="845" t="s">
        <v>7735</v>
      </c>
      <c r="AI39" s="872">
        <v>60</v>
      </c>
      <c r="AJ39" s="1570">
        <v>13.84</v>
      </c>
      <c r="AK39" s="872">
        <v>28790</v>
      </c>
      <c r="AL39" s="1571">
        <v>9.5</v>
      </c>
      <c r="AM39" s="585"/>
      <c r="AO39" s="2243" t="s">
        <v>8733</v>
      </c>
      <c r="AP39" s="2243"/>
      <c r="AQ39" s="2243"/>
      <c r="AR39" s="2243"/>
      <c r="AS39" s="2243"/>
      <c r="AT39" s="2243"/>
      <c r="AU39" s="1584"/>
      <c r="AV39" s="1583"/>
      <c r="AW39" s="1578"/>
      <c r="AX39" s="382"/>
      <c r="AY39" s="439"/>
      <c r="AZ39" s="1575"/>
      <c r="BA39" s="1576"/>
      <c r="BB39" s="1575"/>
      <c r="BC39" s="1575"/>
      <c r="BE39" s="1578"/>
      <c r="BF39" s="382"/>
      <c r="BG39" s="439"/>
      <c r="BH39" s="1575"/>
      <c r="BI39" s="1576"/>
      <c r="BJ39" s="1575"/>
    </row>
    <row r="40" spans="1:69" ht="12.75" customHeight="1">
      <c r="A40" s="1577" t="s">
        <v>7736</v>
      </c>
      <c r="B40" s="845" t="s">
        <v>7737</v>
      </c>
      <c r="C40" s="872">
        <v>220</v>
      </c>
      <c r="D40" s="1570">
        <v>17.440000000000001</v>
      </c>
      <c r="E40" s="872">
        <v>36270</v>
      </c>
      <c r="F40" s="1571">
        <v>5.7</v>
      </c>
      <c r="G40" s="1572"/>
      <c r="I40" s="1577" t="s">
        <v>7738</v>
      </c>
      <c r="J40" s="845" t="s">
        <v>7739</v>
      </c>
      <c r="K40" s="872">
        <v>80</v>
      </c>
      <c r="L40" s="1570">
        <v>16.48</v>
      </c>
      <c r="M40" s="872">
        <v>34280</v>
      </c>
      <c r="N40" s="1571">
        <v>3.1</v>
      </c>
      <c r="Q40" s="850" t="s">
        <v>7740</v>
      </c>
      <c r="R40" s="1590" t="s">
        <v>7741</v>
      </c>
      <c r="S40" s="1591">
        <v>380</v>
      </c>
      <c r="T40" s="1592">
        <v>10.64</v>
      </c>
      <c r="U40" s="1591">
        <v>22130</v>
      </c>
      <c r="V40" s="1593">
        <v>1.2</v>
      </c>
      <c r="W40" s="1573"/>
      <c r="Y40" s="2242" t="s">
        <v>7498</v>
      </c>
      <c r="Z40" s="2242"/>
      <c r="AA40" s="2242"/>
      <c r="AB40" s="2242"/>
      <c r="AC40" s="2242"/>
      <c r="AD40" s="2242"/>
      <c r="AG40" s="1577" t="s">
        <v>7742</v>
      </c>
      <c r="AH40" s="845" t="s">
        <v>7743</v>
      </c>
      <c r="AI40" s="872">
        <v>40</v>
      </c>
      <c r="AJ40" s="1570">
        <v>26.07</v>
      </c>
      <c r="AK40" s="872">
        <v>54220</v>
      </c>
      <c r="AL40" s="1571">
        <v>2.2000000000000002</v>
      </c>
      <c r="AM40" s="585"/>
      <c r="AO40" s="2236" t="s">
        <v>8749</v>
      </c>
      <c r="AP40" s="2236"/>
      <c r="AQ40" s="2236"/>
      <c r="AR40" s="2236"/>
      <c r="AS40" s="2236"/>
      <c r="AT40" s="2236"/>
      <c r="AU40" s="2236"/>
      <c r="AV40" s="1583"/>
      <c r="AW40" s="1578"/>
      <c r="AX40" s="382"/>
      <c r="AY40" s="439"/>
      <c r="AZ40" s="1575"/>
      <c r="BA40" s="1576"/>
      <c r="BB40" s="1575"/>
      <c r="BC40" s="1575"/>
      <c r="BE40" s="1578"/>
      <c r="BF40" s="382"/>
      <c r="BG40" s="439"/>
      <c r="BH40" s="1575"/>
      <c r="BI40" s="1576"/>
      <c r="BJ40" s="1575"/>
    </row>
    <row r="41" spans="1:69" ht="12.75" customHeight="1">
      <c r="A41" s="1577" t="s">
        <v>7744</v>
      </c>
      <c r="B41" s="845" t="s">
        <v>7745</v>
      </c>
      <c r="C41" s="872">
        <v>30</v>
      </c>
      <c r="D41" s="1570">
        <v>15.95</v>
      </c>
      <c r="E41" s="872">
        <v>33180</v>
      </c>
      <c r="F41" s="1571">
        <v>9.6999999999999993</v>
      </c>
      <c r="G41" s="1572"/>
      <c r="I41" s="1577" t="s">
        <v>7746</v>
      </c>
      <c r="J41" s="845" t="s">
        <v>7747</v>
      </c>
      <c r="K41" s="872">
        <v>30</v>
      </c>
      <c r="L41" s="1570">
        <v>18.239999999999998</v>
      </c>
      <c r="M41" s="872" t="s">
        <v>7308</v>
      </c>
      <c r="N41" s="1571">
        <v>22.4</v>
      </c>
      <c r="Q41" s="2241" t="s">
        <v>7511</v>
      </c>
      <c r="R41" s="2241"/>
      <c r="S41" s="2241"/>
      <c r="T41" s="2241"/>
      <c r="U41" s="2241"/>
      <c r="V41" s="2241"/>
      <c r="W41" s="1573"/>
      <c r="Y41" s="2236" t="s">
        <v>7511</v>
      </c>
      <c r="Z41" s="2236"/>
      <c r="AA41" s="2236"/>
      <c r="AB41" s="2236"/>
      <c r="AC41" s="2236"/>
      <c r="AD41" s="2236"/>
      <c r="AG41" s="1577" t="s">
        <v>7748</v>
      </c>
      <c r="AH41" s="845" t="s">
        <v>7749</v>
      </c>
      <c r="AI41" s="872">
        <v>30</v>
      </c>
      <c r="AJ41" s="1570" t="s">
        <v>7308</v>
      </c>
      <c r="AK41" s="872" t="s">
        <v>7308</v>
      </c>
      <c r="AL41" s="1571" t="s">
        <v>7308</v>
      </c>
      <c r="AM41" s="585"/>
      <c r="AO41" s="2234" t="s">
        <v>7602</v>
      </c>
      <c r="AP41" s="2234"/>
      <c r="AQ41" s="2234"/>
      <c r="AR41" s="2234"/>
      <c r="AS41" s="2234"/>
      <c r="AT41" s="2234"/>
      <c r="AU41" s="1584"/>
      <c r="AV41" s="1583"/>
      <c r="AW41" s="1578"/>
      <c r="AX41" s="382"/>
      <c r="AY41" s="435"/>
      <c r="AZ41" s="1575"/>
      <c r="BA41" s="1576"/>
      <c r="BB41" s="1575"/>
      <c r="BC41" s="1575"/>
      <c r="BE41" s="1578"/>
      <c r="BF41" s="382"/>
      <c r="BG41" s="439"/>
      <c r="BH41" s="1575"/>
      <c r="BI41" s="1576"/>
      <c r="BJ41" s="1575"/>
    </row>
    <row r="42" spans="1:69" ht="12.75" customHeight="1">
      <c r="A42" s="2244" t="s">
        <v>7498</v>
      </c>
      <c r="B42" s="2244"/>
      <c r="C42" s="2244"/>
      <c r="D42" s="2244"/>
      <c r="E42" s="2244"/>
      <c r="F42" s="2244"/>
      <c r="G42" s="1572"/>
      <c r="I42" s="850" t="s">
        <v>7750</v>
      </c>
      <c r="J42" s="1590" t="s">
        <v>7751</v>
      </c>
      <c r="K42" s="1591" t="s">
        <v>7311</v>
      </c>
      <c r="L42" s="1592">
        <v>35.85</v>
      </c>
      <c r="M42" s="1591">
        <v>74570</v>
      </c>
      <c r="N42" s="1593">
        <v>2.4</v>
      </c>
      <c r="Q42" s="2240" t="s">
        <v>7524</v>
      </c>
      <c r="R42" s="2240"/>
      <c r="S42" s="2240"/>
      <c r="T42" s="2240"/>
      <c r="U42" s="2240"/>
      <c r="V42" s="2240"/>
      <c r="W42" s="1573"/>
      <c r="Y42" s="2236" t="s">
        <v>7524</v>
      </c>
      <c r="Z42" s="2236"/>
      <c r="AA42" s="2236"/>
      <c r="AB42" s="2236"/>
      <c r="AC42" s="2236"/>
      <c r="AD42" s="2236"/>
      <c r="AG42" s="1577" t="s">
        <v>7752</v>
      </c>
      <c r="AH42" s="845" t="s">
        <v>7753</v>
      </c>
      <c r="AI42" s="872" t="s">
        <v>7311</v>
      </c>
      <c r="AJ42" s="1570">
        <v>22.32</v>
      </c>
      <c r="AK42" s="872">
        <v>46430</v>
      </c>
      <c r="AL42" s="1571">
        <v>2.5</v>
      </c>
      <c r="AM42" s="585"/>
      <c r="AO42" s="2234" t="s">
        <v>7615</v>
      </c>
      <c r="AP42" s="2234"/>
      <c r="AQ42" s="2234"/>
      <c r="AR42" s="2234"/>
      <c r="AS42" s="2234"/>
      <c r="AT42" s="2234"/>
      <c r="AU42" s="1582"/>
      <c r="AV42" s="1583"/>
      <c r="BC42" s="1575"/>
      <c r="BE42" s="1578"/>
      <c r="BF42" s="382"/>
      <c r="BG42" s="439"/>
      <c r="BH42" s="1575"/>
      <c r="BI42" s="1576"/>
      <c r="BJ42" s="1575"/>
    </row>
    <row r="43" spans="1:69" ht="12.75" customHeight="1">
      <c r="A43" s="2240" t="s">
        <v>7511</v>
      </c>
      <c r="B43" s="2240"/>
      <c r="C43" s="2240"/>
      <c r="D43" s="2240"/>
      <c r="E43" s="2240"/>
      <c r="F43" s="2240"/>
      <c r="G43" s="1572"/>
      <c r="I43" s="2241" t="s">
        <v>7511</v>
      </c>
      <c r="J43" s="2241"/>
      <c r="K43" s="2241"/>
      <c r="L43" s="2241"/>
      <c r="M43" s="2241"/>
      <c r="N43" s="2241"/>
      <c r="Q43" s="2238" t="s">
        <v>7537</v>
      </c>
      <c r="R43" s="2238"/>
      <c r="S43" s="2238"/>
      <c r="T43" s="2238"/>
      <c r="U43" s="2238"/>
      <c r="V43" s="2238"/>
      <c r="W43" s="1573"/>
      <c r="Y43" s="2234" t="s">
        <v>7537</v>
      </c>
      <c r="Z43" s="2234"/>
      <c r="AA43" s="2234"/>
      <c r="AB43" s="2234"/>
      <c r="AC43" s="2234"/>
      <c r="AD43" s="2234"/>
      <c r="AG43" s="2242" t="s">
        <v>7498</v>
      </c>
      <c r="AH43" s="2242"/>
      <c r="AI43" s="2242"/>
      <c r="AJ43" s="2242"/>
      <c r="AK43" s="2242"/>
      <c r="AL43" s="2242"/>
      <c r="AM43" s="585"/>
      <c r="AO43" s="2234" t="s">
        <v>7754</v>
      </c>
      <c r="AP43" s="2234"/>
      <c r="AQ43" s="2234"/>
      <c r="AR43" s="2234"/>
      <c r="AS43" s="2234"/>
      <c r="AT43" s="2234"/>
      <c r="AU43" s="1582"/>
      <c r="BE43" s="1578"/>
      <c r="BF43" s="382"/>
      <c r="BG43" s="439"/>
      <c r="BH43" s="1575"/>
      <c r="BI43" s="1576"/>
      <c r="BJ43" s="1575"/>
    </row>
    <row r="44" spans="1:69" ht="12.75" customHeight="1">
      <c r="A44" s="2240" t="s">
        <v>7524</v>
      </c>
      <c r="B44" s="2240"/>
      <c r="C44" s="2240"/>
      <c r="D44" s="2240"/>
      <c r="E44" s="2240"/>
      <c r="F44" s="2240"/>
      <c r="G44" s="1572"/>
      <c r="I44" s="2240" t="s">
        <v>7524</v>
      </c>
      <c r="J44" s="2240"/>
      <c r="K44" s="2240"/>
      <c r="L44" s="2240"/>
      <c r="M44" s="2240"/>
      <c r="N44" s="2240"/>
      <c r="Q44" s="2245" t="s">
        <v>7550</v>
      </c>
      <c r="R44" s="2245"/>
      <c r="S44" s="2245"/>
      <c r="T44" s="2245"/>
      <c r="U44" s="2245"/>
      <c r="V44" s="2245"/>
      <c r="W44" s="1573"/>
      <c r="Y44" s="2237" t="s">
        <v>7550</v>
      </c>
      <c r="Z44" s="2237"/>
      <c r="AA44" s="2237"/>
      <c r="AB44" s="2237"/>
      <c r="AC44" s="2237"/>
      <c r="AD44" s="2237"/>
      <c r="AG44" s="2236" t="s">
        <v>7511</v>
      </c>
      <c r="AH44" s="2236"/>
      <c r="AI44" s="2236"/>
      <c r="AJ44" s="2236"/>
      <c r="AK44" s="2236"/>
      <c r="AL44" s="2236"/>
      <c r="AM44" s="585"/>
      <c r="AO44" s="1577"/>
      <c r="AP44" s="845"/>
      <c r="AQ44" s="872"/>
      <c r="AR44" s="1570"/>
      <c r="AS44" s="872"/>
      <c r="AT44" s="1571"/>
      <c r="AU44" s="1582"/>
      <c r="BE44" s="1578"/>
      <c r="BF44" s="382"/>
      <c r="BG44" s="439"/>
      <c r="BH44" s="1575"/>
      <c r="BI44" s="1576"/>
      <c r="BJ44" s="1575"/>
    </row>
    <row r="45" spans="1:69" ht="12.75" customHeight="1">
      <c r="A45" s="2238" t="s">
        <v>7537</v>
      </c>
      <c r="B45" s="2238"/>
      <c r="C45" s="2238"/>
      <c r="D45" s="2238"/>
      <c r="E45" s="2238"/>
      <c r="F45" s="2238"/>
      <c r="G45" s="1572"/>
      <c r="I45" s="2238" t="s">
        <v>7537</v>
      </c>
      <c r="J45" s="2238"/>
      <c r="K45" s="2238"/>
      <c r="L45" s="2238"/>
      <c r="M45" s="2238"/>
      <c r="N45" s="2238"/>
      <c r="Q45" s="2239" t="s">
        <v>8733</v>
      </c>
      <c r="R45" s="2239"/>
      <c r="S45" s="2239"/>
      <c r="T45" s="2239"/>
      <c r="U45" s="2239"/>
      <c r="V45" s="2239"/>
      <c r="W45" s="1573"/>
      <c r="Y45" s="2243" t="s">
        <v>8733</v>
      </c>
      <c r="Z45" s="2243"/>
      <c r="AA45" s="2243"/>
      <c r="AB45" s="2243"/>
      <c r="AC45" s="2243"/>
      <c r="AD45" s="2243"/>
      <c r="AG45" s="2236" t="s">
        <v>7524</v>
      </c>
      <c r="AH45" s="2236"/>
      <c r="AI45" s="2236"/>
      <c r="AJ45" s="2236"/>
      <c r="AK45" s="2236"/>
      <c r="AL45" s="2236"/>
      <c r="AM45" s="585"/>
      <c r="AO45" s="1577"/>
      <c r="AP45" s="845"/>
      <c r="AQ45" s="872"/>
      <c r="AR45" s="1570"/>
      <c r="AS45" s="872"/>
      <c r="AT45" s="1571"/>
      <c r="AU45" s="1571"/>
      <c r="BE45" s="1578"/>
      <c r="BF45" s="382"/>
      <c r="BG45" s="439"/>
      <c r="BH45" s="1575"/>
      <c r="BI45" s="1576"/>
      <c r="BJ45" s="1575"/>
    </row>
    <row r="46" spans="1:69" ht="12.75" customHeight="1">
      <c r="A46" s="2245" t="s">
        <v>7550</v>
      </c>
      <c r="B46" s="2245"/>
      <c r="C46" s="2245"/>
      <c r="D46" s="2245"/>
      <c r="E46" s="2245"/>
      <c r="F46" s="2245"/>
      <c r="G46" s="1572"/>
      <c r="I46" s="2245" t="s">
        <v>7550</v>
      </c>
      <c r="J46" s="2245"/>
      <c r="K46" s="2245"/>
      <c r="L46" s="2245"/>
      <c r="M46" s="2245"/>
      <c r="N46" s="2245"/>
      <c r="Q46" s="2240" t="s">
        <v>8748</v>
      </c>
      <c r="R46" s="2240"/>
      <c r="S46" s="2240"/>
      <c r="T46" s="2240"/>
      <c r="U46" s="2240"/>
      <c r="V46" s="2240"/>
      <c r="W46" s="1574"/>
      <c r="Y46" s="2236" t="s">
        <v>8738</v>
      </c>
      <c r="Z46" s="2236"/>
      <c r="AA46" s="2236"/>
      <c r="AB46" s="2236"/>
      <c r="AC46" s="2236"/>
      <c r="AD46" s="2236"/>
      <c r="AG46" s="2234" t="s">
        <v>7537</v>
      </c>
      <c r="AH46" s="2234"/>
      <c r="AI46" s="2234"/>
      <c r="AJ46" s="2234"/>
      <c r="AK46" s="2234"/>
      <c r="AL46" s="2234"/>
      <c r="AM46" s="585"/>
      <c r="AO46" s="1577"/>
      <c r="AP46" s="845"/>
      <c r="AQ46" s="872"/>
      <c r="AR46" s="1570"/>
      <c r="AS46" s="872"/>
      <c r="AT46" s="1571"/>
      <c r="AU46" s="1571"/>
      <c r="BE46" s="1578"/>
      <c r="BF46" s="382"/>
      <c r="BG46" s="439"/>
      <c r="BH46" s="1575"/>
      <c r="BI46" s="1576"/>
      <c r="BJ46" s="1575"/>
    </row>
    <row r="47" spans="1:69" ht="12.75" customHeight="1">
      <c r="A47" s="2239" t="s">
        <v>8729</v>
      </c>
      <c r="B47" s="2239"/>
      <c r="C47" s="2239"/>
      <c r="D47" s="2239"/>
      <c r="E47" s="2239"/>
      <c r="F47" s="2239"/>
      <c r="G47" s="1572"/>
      <c r="I47" s="2239" t="s">
        <v>8729</v>
      </c>
      <c r="J47" s="2239"/>
      <c r="K47" s="2239"/>
      <c r="L47" s="2239"/>
      <c r="M47" s="2239"/>
      <c r="N47" s="2239"/>
      <c r="Q47" s="2238" t="s">
        <v>7602</v>
      </c>
      <c r="R47" s="2238"/>
      <c r="S47" s="2238"/>
      <c r="T47" s="2238"/>
      <c r="U47" s="2238"/>
      <c r="V47" s="2238"/>
      <c r="W47" s="1574"/>
      <c r="Y47" s="2234" t="s">
        <v>7602</v>
      </c>
      <c r="Z47" s="2234"/>
      <c r="AA47" s="2234"/>
      <c r="AB47" s="2234"/>
      <c r="AC47" s="2234"/>
      <c r="AD47" s="2234"/>
      <c r="AG47" s="2237" t="s">
        <v>7550</v>
      </c>
      <c r="AH47" s="2237"/>
      <c r="AI47" s="2237"/>
      <c r="AJ47" s="2237"/>
      <c r="AK47" s="2237"/>
      <c r="AL47" s="2237"/>
      <c r="AM47" s="585"/>
      <c r="AO47" s="1577"/>
      <c r="AP47" s="845"/>
      <c r="AQ47" s="872"/>
      <c r="AR47" s="1570"/>
      <c r="AS47" s="872"/>
      <c r="AT47" s="1571"/>
      <c r="AU47" s="1571"/>
      <c r="BE47" s="1578"/>
      <c r="BF47" s="382"/>
      <c r="BG47" s="439"/>
      <c r="BH47" s="1575"/>
      <c r="BI47" s="1576"/>
      <c r="BJ47" s="1575"/>
    </row>
    <row r="48" spans="1:69" ht="12.75" customHeight="1">
      <c r="A48" s="2240" t="s">
        <v>8738</v>
      </c>
      <c r="B48" s="2240"/>
      <c r="C48" s="2240"/>
      <c r="D48" s="2240"/>
      <c r="E48" s="2240"/>
      <c r="F48" s="2240"/>
      <c r="G48" s="1572"/>
      <c r="I48" s="2240" t="s">
        <v>8738</v>
      </c>
      <c r="J48" s="2240"/>
      <c r="K48" s="2240"/>
      <c r="L48" s="2240"/>
      <c r="M48" s="2240"/>
      <c r="N48" s="2240"/>
      <c r="Q48" s="2238" t="s">
        <v>7615</v>
      </c>
      <c r="R48" s="2238"/>
      <c r="S48" s="2238"/>
      <c r="T48" s="2238"/>
      <c r="U48" s="2238"/>
      <c r="V48" s="2238"/>
      <c r="W48" s="1574"/>
      <c r="Y48" s="2234" t="s">
        <v>7615</v>
      </c>
      <c r="Z48" s="2234"/>
      <c r="AA48" s="2234"/>
      <c r="AB48" s="2234"/>
      <c r="AC48" s="2234"/>
      <c r="AD48" s="2234"/>
      <c r="AG48" s="2243" t="s">
        <v>8733</v>
      </c>
      <c r="AH48" s="2243"/>
      <c r="AI48" s="2243"/>
      <c r="AJ48" s="2243"/>
      <c r="AK48" s="2243"/>
      <c r="AL48" s="2243"/>
      <c r="AM48" s="585"/>
      <c r="AO48" s="1594"/>
      <c r="AP48" s="1594"/>
      <c r="AQ48" s="1595"/>
      <c r="AR48" s="1596"/>
      <c r="AS48" s="1597"/>
      <c r="AT48" s="1595"/>
      <c r="AU48" s="1571"/>
      <c r="BE48" s="1578"/>
      <c r="BF48" s="382"/>
      <c r="BG48" s="439"/>
      <c r="BH48" s="1575"/>
      <c r="BI48" s="1576"/>
      <c r="BJ48" s="1575"/>
    </row>
    <row r="49" spans="1:62" ht="12.75" customHeight="1">
      <c r="A49" s="2239" t="s">
        <v>8747</v>
      </c>
      <c r="B49" s="2239"/>
      <c r="C49" s="2239"/>
      <c r="D49" s="2239"/>
      <c r="E49" s="2239"/>
      <c r="F49" s="2239"/>
      <c r="G49" s="1572"/>
      <c r="I49" s="2238" t="s">
        <v>7602</v>
      </c>
      <c r="J49" s="2238"/>
      <c r="K49" s="2238"/>
      <c r="L49" s="2238"/>
      <c r="M49" s="2238"/>
      <c r="N49" s="2238"/>
      <c r="Q49" s="2238" t="s">
        <v>7754</v>
      </c>
      <c r="R49" s="2238"/>
      <c r="S49" s="2238"/>
      <c r="T49" s="2238"/>
      <c r="U49" s="2238"/>
      <c r="V49" s="2238"/>
      <c r="Y49" s="2234" t="s">
        <v>7754</v>
      </c>
      <c r="Z49" s="2234"/>
      <c r="AA49" s="2234"/>
      <c r="AB49" s="2234"/>
      <c r="AC49" s="2234"/>
      <c r="AD49" s="2234"/>
      <c r="AG49" s="2236" t="s">
        <v>8738</v>
      </c>
      <c r="AH49" s="2236"/>
      <c r="AI49" s="2236"/>
      <c r="AJ49" s="2236"/>
      <c r="AK49" s="2236"/>
      <c r="AL49" s="2236"/>
      <c r="AM49" s="585"/>
      <c r="AO49" s="1594"/>
      <c r="AP49" s="1594"/>
      <c r="AQ49" s="1595"/>
      <c r="AR49" s="1596"/>
      <c r="AS49" s="1597"/>
      <c r="AT49" s="1595"/>
      <c r="AU49" s="1595"/>
      <c r="BE49" s="1578"/>
      <c r="BF49" s="382"/>
      <c r="BG49" s="439"/>
      <c r="BH49" s="1575"/>
      <c r="BI49" s="1576"/>
      <c r="BJ49" s="1575"/>
    </row>
    <row r="50" spans="1:62" ht="12.75" customHeight="1">
      <c r="A50" s="2238" t="s">
        <v>7602</v>
      </c>
      <c r="B50" s="2238"/>
      <c r="C50" s="2238"/>
      <c r="D50" s="2238"/>
      <c r="E50" s="2238"/>
      <c r="F50" s="2238"/>
      <c r="G50" s="1572"/>
      <c r="I50" s="2238" t="s">
        <v>7615</v>
      </c>
      <c r="J50" s="2238"/>
      <c r="K50" s="2238"/>
      <c r="L50" s="2238"/>
      <c r="M50" s="2238"/>
      <c r="N50" s="2238"/>
      <c r="Q50" s="2239"/>
      <c r="R50" s="2239"/>
      <c r="S50" s="2239"/>
      <c r="T50" s="2239"/>
      <c r="U50" s="2239"/>
      <c r="V50" s="2239"/>
      <c r="Y50" s="2243"/>
      <c r="Z50" s="2243"/>
      <c r="AA50" s="2243"/>
      <c r="AB50" s="2243"/>
      <c r="AC50" s="2243"/>
      <c r="AD50" s="2243"/>
      <c r="AG50" s="2234" t="s">
        <v>7602</v>
      </c>
      <c r="AH50" s="2234"/>
      <c r="AI50" s="2234"/>
      <c r="AJ50" s="2234"/>
      <c r="AK50" s="2234"/>
      <c r="AL50" s="2234"/>
      <c r="AM50" s="585"/>
      <c r="AO50" s="1594"/>
      <c r="AP50" s="1594"/>
      <c r="AQ50" s="1595"/>
      <c r="AR50" s="1596"/>
      <c r="AS50" s="1597"/>
      <c r="AT50" s="1595"/>
      <c r="AU50" s="1595"/>
      <c r="BE50" s="1557"/>
      <c r="BF50" s="1558"/>
      <c r="BG50" s="1558"/>
      <c r="BH50" s="1558"/>
      <c r="BI50" s="1558"/>
      <c r="BJ50" s="1558"/>
    </row>
    <row r="51" spans="1:62" ht="12.75" customHeight="1">
      <c r="A51" s="2238" t="s">
        <v>7615</v>
      </c>
      <c r="B51" s="2238"/>
      <c r="C51" s="2238"/>
      <c r="D51" s="2238"/>
      <c r="E51" s="2238"/>
      <c r="F51" s="2238"/>
      <c r="G51" s="1572"/>
      <c r="I51" s="2238" t="s">
        <v>7754</v>
      </c>
      <c r="J51" s="2238"/>
      <c r="K51" s="2238"/>
      <c r="L51" s="2238"/>
      <c r="M51" s="2238"/>
      <c r="N51" s="2238"/>
      <c r="AG51" s="2234" t="s">
        <v>7615</v>
      </c>
      <c r="AH51" s="2234"/>
      <c r="AI51" s="2234"/>
      <c r="AJ51" s="2234"/>
      <c r="AK51" s="2234"/>
      <c r="AL51" s="2234"/>
      <c r="AM51" s="585"/>
      <c r="AO51" s="1594"/>
      <c r="AP51" s="1594"/>
      <c r="AQ51" s="1595"/>
      <c r="AR51" s="1596"/>
      <c r="AS51" s="1597"/>
      <c r="AT51" s="1595"/>
      <c r="AU51" s="1595"/>
      <c r="BE51" s="1581"/>
      <c r="BF51" s="1581"/>
      <c r="BG51" s="1581"/>
      <c r="BH51" s="1581"/>
      <c r="BI51" s="1581"/>
      <c r="BJ51" s="1581"/>
    </row>
    <row r="52" spans="1:62" ht="12.75" customHeight="1">
      <c r="A52" s="2238" t="s">
        <v>7754</v>
      </c>
      <c r="B52" s="2238"/>
      <c r="C52" s="2238"/>
      <c r="D52" s="2238"/>
      <c r="E52" s="2238"/>
      <c r="F52" s="2238"/>
      <c r="G52" s="1572"/>
      <c r="AG52" s="2234" t="s">
        <v>7754</v>
      </c>
      <c r="AH52" s="2234"/>
      <c r="AI52" s="2234"/>
      <c r="AJ52" s="2234"/>
      <c r="AK52" s="2234"/>
      <c r="AL52" s="2234"/>
      <c r="AM52" s="585"/>
      <c r="AO52" s="1557"/>
      <c r="AU52" s="1595"/>
      <c r="BE52" s="1581"/>
      <c r="BF52" s="1581"/>
      <c r="BG52" s="1581"/>
      <c r="BH52" s="1581"/>
      <c r="BI52" s="1581"/>
      <c r="BJ52" s="1581"/>
    </row>
    <row r="53" spans="1:62" ht="12.75" customHeight="1">
      <c r="AG53" s="2236"/>
      <c r="AH53" s="2236"/>
      <c r="AI53" s="2236"/>
      <c r="AJ53" s="2236"/>
      <c r="AK53" s="2236"/>
      <c r="AL53" s="2236"/>
      <c r="AM53" s="585"/>
      <c r="AO53" s="2236"/>
      <c r="AP53" s="2236"/>
      <c r="AQ53" s="2236"/>
      <c r="AR53" s="2236"/>
      <c r="AS53" s="2236"/>
      <c r="AT53" s="2236"/>
      <c r="BE53" s="1582"/>
      <c r="BF53" s="1582"/>
      <c r="BG53" s="1582"/>
      <c r="BH53" s="1581"/>
      <c r="BI53" s="1581"/>
      <c r="BJ53" s="1581"/>
    </row>
    <row r="54" spans="1:62" ht="12.75" customHeight="1">
      <c r="AH54" s="1584"/>
      <c r="AI54" s="1584"/>
      <c r="AJ54" s="1584"/>
      <c r="AK54" s="1584"/>
      <c r="AL54" s="1584"/>
      <c r="AM54" s="585"/>
      <c r="AO54" s="2236"/>
      <c r="AP54" s="2236"/>
      <c r="AQ54" s="2236"/>
      <c r="AR54" s="2236"/>
      <c r="AS54" s="2236"/>
      <c r="AT54" s="2236"/>
      <c r="AU54" s="1581"/>
      <c r="BE54" s="1856"/>
      <c r="BF54" s="1856"/>
      <c r="BG54" s="1856"/>
      <c r="BH54" s="1581"/>
      <c r="BI54" s="1581"/>
      <c r="BJ54" s="1581"/>
    </row>
    <row r="55" spans="1:62" ht="12.75" customHeight="1">
      <c r="AG55" s="2234"/>
      <c r="AH55" s="2234"/>
      <c r="AI55" s="2234"/>
      <c r="AJ55" s="2234"/>
      <c r="AK55" s="2234"/>
      <c r="AL55" s="2234"/>
      <c r="AM55" s="585"/>
      <c r="AO55" s="2234"/>
      <c r="AP55" s="2234"/>
      <c r="AQ55" s="2234"/>
      <c r="AR55" s="1581"/>
      <c r="AS55" s="1581"/>
      <c r="AT55" s="1581"/>
      <c r="AU55" s="1581"/>
      <c r="BE55" s="1558"/>
      <c r="BF55" s="1584"/>
      <c r="BG55" s="1584"/>
      <c r="BH55" s="1584"/>
      <c r="BI55" s="1584"/>
      <c r="BJ55" s="1584"/>
    </row>
    <row r="56" spans="1:62" ht="12.75" customHeight="1">
      <c r="Q56" s="2234"/>
      <c r="R56" s="2234"/>
      <c r="S56" s="2234"/>
      <c r="T56" s="2234"/>
      <c r="U56" s="2234"/>
      <c r="V56" s="2234"/>
      <c r="AG56" s="2234"/>
      <c r="AH56" s="2234"/>
      <c r="AI56" s="2234"/>
      <c r="AJ56" s="2234"/>
      <c r="AK56" s="2234"/>
      <c r="AL56" s="2234"/>
      <c r="AM56" s="585"/>
      <c r="AO56" s="2237"/>
      <c r="AP56" s="2237"/>
      <c r="AQ56" s="2237"/>
      <c r="AR56" s="1581"/>
      <c r="AS56" s="1581"/>
      <c r="AT56" s="1581"/>
      <c r="AU56" s="1581"/>
      <c r="BE56" s="1581"/>
      <c r="BF56" s="1581"/>
      <c r="BG56" s="1581"/>
      <c r="BH56" s="1581"/>
      <c r="BI56" s="1581"/>
      <c r="BJ56" s="1581"/>
    </row>
    <row r="57" spans="1:62" ht="12.75" customHeight="1">
      <c r="A57" s="1598"/>
      <c r="Q57" s="2234"/>
      <c r="R57" s="2234"/>
      <c r="S57" s="2234"/>
      <c r="T57" s="2234"/>
      <c r="U57" s="2234"/>
      <c r="V57" s="2234"/>
      <c r="AG57" s="2234"/>
      <c r="AH57" s="2234"/>
      <c r="AI57" s="2234"/>
      <c r="AJ57" s="2234"/>
      <c r="AK57" s="2234"/>
      <c r="AL57" s="2234"/>
      <c r="AM57" s="585"/>
      <c r="AP57" s="1584"/>
      <c r="AQ57" s="1584"/>
      <c r="AR57" s="1584"/>
      <c r="AS57" s="1584"/>
      <c r="AT57" s="1584"/>
      <c r="AU57" s="1581"/>
      <c r="BE57" s="1558"/>
      <c r="BF57" s="1584"/>
      <c r="BG57" s="1584"/>
      <c r="BH57" s="1584"/>
      <c r="BI57" s="1584"/>
      <c r="BJ57" s="1584"/>
    </row>
    <row r="58" spans="1:62" ht="12.75" customHeight="1">
      <c r="A58" s="1599"/>
      <c r="Q58" s="2236"/>
      <c r="R58" s="2236"/>
      <c r="S58" s="2236"/>
      <c r="T58" s="2236"/>
      <c r="U58" s="2236"/>
      <c r="V58" s="2236"/>
      <c r="AG58" s="2236"/>
      <c r="AH58" s="2236"/>
      <c r="AI58" s="2236"/>
      <c r="AJ58" s="2236"/>
      <c r="AK58" s="2236"/>
      <c r="AL58" s="2236"/>
      <c r="AM58" s="585"/>
      <c r="AO58" s="2236"/>
      <c r="AP58" s="2236"/>
      <c r="AQ58" s="2236"/>
      <c r="AR58" s="2236"/>
      <c r="AS58" s="2236"/>
      <c r="AT58" s="2236"/>
      <c r="AU58" s="1584"/>
      <c r="BE58" s="1582"/>
      <c r="BF58" s="1582"/>
      <c r="BG58" s="1582"/>
      <c r="BH58" s="1582"/>
      <c r="BI58" s="1582"/>
      <c r="BJ58" s="1582"/>
    </row>
    <row r="59" spans="1:62" ht="12.75" customHeight="1">
      <c r="A59" s="1599"/>
      <c r="Q59" s="2235"/>
      <c r="R59" s="2235"/>
      <c r="S59" s="2235"/>
      <c r="T59" s="2235"/>
      <c r="U59" s="2235"/>
      <c r="V59" s="2235"/>
      <c r="AG59" s="2235"/>
      <c r="AH59" s="2235"/>
      <c r="AI59" s="2235"/>
      <c r="AJ59" s="2235"/>
      <c r="AK59" s="2235"/>
      <c r="AL59" s="2235"/>
      <c r="AP59" s="1584"/>
      <c r="AQ59" s="1584"/>
      <c r="AR59" s="1584"/>
      <c r="AS59" s="1584"/>
      <c r="AT59" s="1584"/>
      <c r="AU59" s="1581"/>
      <c r="BE59" s="1582"/>
      <c r="BF59" s="1582"/>
      <c r="BG59" s="1582"/>
      <c r="BH59" s="1582"/>
      <c r="BI59" s="1582"/>
      <c r="BJ59" s="1582"/>
    </row>
    <row r="60" spans="1:62" ht="12.75" customHeight="1">
      <c r="A60" s="1599"/>
      <c r="Q60" s="2235"/>
      <c r="R60" s="2235"/>
      <c r="S60" s="2235"/>
      <c r="T60" s="2235"/>
      <c r="U60" s="2235"/>
      <c r="V60" s="2235"/>
      <c r="AG60" s="2235"/>
      <c r="AH60" s="2235"/>
      <c r="AI60" s="2235"/>
      <c r="AJ60" s="2235"/>
      <c r="AK60" s="2235"/>
      <c r="AL60" s="2235"/>
      <c r="AO60" s="2236"/>
      <c r="AP60" s="2236"/>
      <c r="AQ60" s="2236"/>
      <c r="AR60" s="2236"/>
      <c r="AS60" s="2236"/>
      <c r="AT60" s="2236"/>
      <c r="AU60" s="1584"/>
      <c r="BE60" s="1582"/>
      <c r="BF60" s="1582"/>
      <c r="BG60" s="1582"/>
      <c r="BH60" s="1582"/>
      <c r="BI60" s="1582"/>
      <c r="BJ60" s="1582"/>
    </row>
    <row r="61" spans="1:62" ht="12.75" customHeight="1">
      <c r="AO61" s="2234"/>
      <c r="AP61" s="2234"/>
      <c r="AQ61" s="1581"/>
      <c r="AR61" s="1581"/>
      <c r="AS61" s="1581"/>
      <c r="AT61" s="1581"/>
      <c r="AU61" s="1581"/>
    </row>
    <row r="62" spans="1:62" ht="12.75" customHeight="1">
      <c r="AO62" s="2234"/>
      <c r="AP62" s="2234"/>
      <c r="AQ62" s="1581"/>
      <c r="AR62" s="1581"/>
      <c r="AS62" s="1581"/>
      <c r="AT62" s="1581"/>
      <c r="AU62" s="1581"/>
    </row>
    <row r="63" spans="1:62" ht="12.75" customHeight="1">
      <c r="AU63" s="1581"/>
    </row>
  </sheetData>
  <mergeCells count="99">
    <mergeCell ref="AW19:BB19"/>
    <mergeCell ref="AW22:BB22"/>
    <mergeCell ref="AW23:BB23"/>
    <mergeCell ref="AW24:BB24"/>
    <mergeCell ref="Y45:AD45"/>
    <mergeCell ref="I45:N45"/>
    <mergeCell ref="I46:N46"/>
    <mergeCell ref="I47:N47"/>
    <mergeCell ref="Q43:V43"/>
    <mergeCell ref="Q44:V44"/>
    <mergeCell ref="Q45:V45"/>
    <mergeCell ref="I43:N43"/>
    <mergeCell ref="I44:N44"/>
    <mergeCell ref="A42:F42"/>
    <mergeCell ref="A45:F45"/>
    <mergeCell ref="A46:F46"/>
    <mergeCell ref="A47:F47"/>
    <mergeCell ref="A49:F49"/>
    <mergeCell ref="A43:F43"/>
    <mergeCell ref="A44:F44"/>
    <mergeCell ref="A48:F48"/>
    <mergeCell ref="BL32:BN32"/>
    <mergeCell ref="AW20:BB20"/>
    <mergeCell ref="AW21:BB21"/>
    <mergeCell ref="AW25:BB25"/>
    <mergeCell ref="AW26:BB26"/>
    <mergeCell ref="AW27:BB27"/>
    <mergeCell ref="AW28:BB28"/>
    <mergeCell ref="BL29:BQ29"/>
    <mergeCell ref="BL30:BQ30"/>
    <mergeCell ref="BL31:BN31"/>
    <mergeCell ref="BL34:BQ34"/>
    <mergeCell ref="AO35:AT35"/>
    <mergeCell ref="AO36:AT36"/>
    <mergeCell ref="BL36:BQ36"/>
    <mergeCell ref="BL37:BQ37"/>
    <mergeCell ref="AO34:AT34"/>
    <mergeCell ref="AO37:AT37"/>
    <mergeCell ref="BL38:BQ38"/>
    <mergeCell ref="Q41:V41"/>
    <mergeCell ref="Y41:AD41"/>
    <mergeCell ref="Q42:V42"/>
    <mergeCell ref="Y42:AD42"/>
    <mergeCell ref="AO41:AT41"/>
    <mergeCell ref="Y40:AD40"/>
    <mergeCell ref="AO38:AT38"/>
    <mergeCell ref="AO39:AT39"/>
    <mergeCell ref="AO40:AU40"/>
    <mergeCell ref="AO42:AT42"/>
    <mergeCell ref="AG49:AL49"/>
    <mergeCell ref="AO43:AT43"/>
    <mergeCell ref="AG45:AL45"/>
    <mergeCell ref="Q46:V46"/>
    <mergeCell ref="Y46:AD46"/>
    <mergeCell ref="AG43:AL43"/>
    <mergeCell ref="AG46:AL46"/>
    <mergeCell ref="AG47:AL47"/>
    <mergeCell ref="AG48:AL48"/>
    <mergeCell ref="AG44:AL44"/>
    <mergeCell ref="Y43:AD43"/>
    <mergeCell ref="Y44:AD44"/>
    <mergeCell ref="I48:N48"/>
    <mergeCell ref="Q47:V47"/>
    <mergeCell ref="Y47:AD47"/>
    <mergeCell ref="A50:F50"/>
    <mergeCell ref="I49:N49"/>
    <mergeCell ref="Q49:V49"/>
    <mergeCell ref="Y49:AD49"/>
    <mergeCell ref="Q48:V48"/>
    <mergeCell ref="Y48:AD48"/>
    <mergeCell ref="Y50:AD50"/>
    <mergeCell ref="A51:F51"/>
    <mergeCell ref="I50:N50"/>
    <mergeCell ref="Q50:V50"/>
    <mergeCell ref="AO54:AT54"/>
    <mergeCell ref="AG50:AL50"/>
    <mergeCell ref="A52:F52"/>
    <mergeCell ref="I51:N51"/>
    <mergeCell ref="AG51:AL51"/>
    <mergeCell ref="AG52:AL52"/>
    <mergeCell ref="AG53:AL53"/>
    <mergeCell ref="AO53:AT53"/>
    <mergeCell ref="AG55:AL55"/>
    <mergeCell ref="AO55:AQ55"/>
    <mergeCell ref="Q56:V56"/>
    <mergeCell ref="AG56:AL56"/>
    <mergeCell ref="AO56:AQ56"/>
    <mergeCell ref="Q57:V57"/>
    <mergeCell ref="AG57:AL57"/>
    <mergeCell ref="Q58:V58"/>
    <mergeCell ref="AG58:AL58"/>
    <mergeCell ref="AO58:AT58"/>
    <mergeCell ref="AO61:AP61"/>
    <mergeCell ref="AO62:AP62"/>
    <mergeCell ref="Q59:V59"/>
    <mergeCell ref="AG59:AL59"/>
    <mergeCell ref="Q60:V60"/>
    <mergeCell ref="AG60:AL60"/>
    <mergeCell ref="AO60:AT60"/>
  </mergeCells>
  <hyperlinks>
    <hyperlink ref="E3" location="(2)" display="(2)" xr:uid="{965B5900-7EF5-4894-9835-AE88682796E3}"/>
    <hyperlink ref="F3" location="(3)" display="(3)" xr:uid="{0F3F8F03-7335-481F-AFB6-22718D4CF9A4}"/>
    <hyperlink ref="K3" location="(1)" display="(1)" xr:uid="{01EEB1FE-5A10-4188-AABD-B6D5D65D1D2C}"/>
    <hyperlink ref="M3" location="(2)" display="(2)" xr:uid="{AB8B7885-E180-4271-BC63-FE6D4744DB9C}"/>
    <hyperlink ref="N3" location="(3)" display="(3)" xr:uid="{3D92AFA2-5C5F-497D-BC84-54398C05D6FD}"/>
    <hyperlink ref="S3" location="(1)" display="(1)" xr:uid="{0A140C37-C13A-48EB-B278-13FE018C54D0}"/>
    <hyperlink ref="U3" location="(2)" display="(2)" xr:uid="{DE8455BC-8694-4335-905B-42B751AE6D10}"/>
    <hyperlink ref="V3" location="(3)" display="(3)" xr:uid="{3788C90B-351E-4431-AE1E-7C155F32F349}"/>
    <hyperlink ref="AA3" location="(1)" display="(1)" xr:uid="{BB71DB19-CAE1-4FF4-93E7-67798B87AA8F}"/>
    <hyperlink ref="AC3" location="(2)" display="(2)" xr:uid="{27C0829C-5156-4BB2-BC17-879B5CFB3D05}"/>
    <hyperlink ref="AD3" location="(3)" display="(3)" xr:uid="{116A2C90-CA6E-4B4C-8EE4-25AF31710C36}"/>
    <hyperlink ref="AI3" location="(1)" display="(1)" xr:uid="{A6C7233C-F223-421F-9539-00491D8C24AE}"/>
    <hyperlink ref="AK3" location="(2)" display="(2)" xr:uid="{9114EB8C-BA9C-41A9-BFEC-2248BCEA1D3E}"/>
    <hyperlink ref="AL3" location="(3)" display="(3)" xr:uid="{8008A70C-D66C-473D-A3E5-9A10982136FC}"/>
    <hyperlink ref="AQ3" location="(1)" display="(1)" xr:uid="{33E1A2EB-896E-432A-8FFD-FD4A3F49005C}"/>
    <hyperlink ref="AS3" location="(2)" display="(2)" xr:uid="{16723B7B-DB7E-42DA-9D90-E6D87F36D461}"/>
    <hyperlink ref="AT3" location="(3)" display="(3)" xr:uid="{A907730D-6427-41C7-84EF-BBCC22DE1C83}"/>
    <hyperlink ref="C3" location="(1)" display="(1)" xr:uid="{8F91D6F7-D87C-43D1-918E-429208725D00}"/>
    <hyperlink ref="AY3" location="(1)" display="(1)" xr:uid="{23B6676E-3BB5-4D4E-AFD8-38EFA481A3F8}"/>
    <hyperlink ref="BA3" location="(2)" display="(2)" xr:uid="{11FF82FA-A243-44EC-A54A-4790FE26BDF7}"/>
    <hyperlink ref="BB3" location="(3)" display="(3)" xr:uid="{F21396EE-7003-492B-A772-40BEED8ED259}"/>
  </hyperlinks>
  <pageMargins left="0.7" right="0.7" top="0.75" bottom="0.75" header="0.3" footer="0.3"/>
  <pageSetup scale="1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9AC57-DF77-41B2-A815-D6959E768311}">
  <sheetPr>
    <tabColor theme="7" tint="0.59999389629810485"/>
    <pageSetUpPr fitToPage="1"/>
  </sheetPr>
  <dimension ref="A1:BO65"/>
  <sheetViews>
    <sheetView showGridLines="0" zoomScale="90" zoomScaleNormal="90" workbookViewId="0">
      <selection activeCell="H42" sqref="H42"/>
    </sheetView>
  </sheetViews>
  <sheetFormatPr defaultRowHeight="12.75" customHeight="1"/>
  <cols>
    <col min="1" max="1" width="11.5703125" style="1558" customWidth="1"/>
    <col min="2" max="2" width="59.85546875" style="1558" customWidth="1"/>
    <col min="3" max="6" width="12.7109375" style="1558" customWidth="1"/>
    <col min="7" max="7" width="10.7109375" style="585" customWidth="1"/>
    <col min="8" max="8" width="9.140625" style="585"/>
    <col min="9" max="9" width="11.7109375" style="1558" customWidth="1"/>
    <col min="10" max="10" width="72.85546875" style="1558" customWidth="1"/>
    <col min="11" max="14" width="12.7109375" style="1558" customWidth="1"/>
    <col min="15" max="15" width="10.7109375" style="1558" customWidth="1"/>
    <col min="16" max="16" width="11" style="1558" customWidth="1"/>
    <col min="17" max="17" width="11.7109375" style="1558" customWidth="1"/>
    <col min="18" max="18" width="73.7109375" style="1558" customWidth="1"/>
    <col min="19" max="22" width="12.7109375" style="1558" customWidth="1"/>
    <col min="23" max="23" width="11" style="1558" customWidth="1"/>
    <col min="24" max="24" width="10.28515625" style="1558" customWidth="1"/>
    <col min="25" max="25" width="11.7109375" style="1558" customWidth="1"/>
    <col min="26" max="26" width="88" style="1558" customWidth="1"/>
    <col min="27" max="30" width="12.7109375" style="1558" customWidth="1"/>
    <col min="31" max="32" width="9.140625" style="1558"/>
    <col min="33" max="33" width="11.7109375" style="1558" customWidth="1"/>
    <col min="34" max="34" width="80.42578125" style="1558" customWidth="1"/>
    <col min="35" max="38" width="11.7109375" style="1558" customWidth="1"/>
    <col min="39" max="40" width="9.140625" style="1558"/>
    <col min="41" max="41" width="11.7109375" style="1558" customWidth="1"/>
    <col min="42" max="42" width="69.85546875" style="1558" customWidth="1"/>
    <col min="43" max="46" width="11.7109375" style="1558" customWidth="1"/>
    <col min="47" max="47" width="9.140625" style="1558"/>
    <col min="48" max="48" width="11.7109375" style="1558" customWidth="1"/>
    <col min="49" max="49" width="100.28515625" style="585" customWidth="1"/>
    <col min="50" max="53" width="11.7109375" style="585" customWidth="1"/>
    <col min="54" max="54" width="9.140625" style="585"/>
    <col min="55" max="55" width="11.7109375" style="585" customWidth="1"/>
    <col min="56" max="56" width="95.140625" style="585" customWidth="1"/>
    <col min="57" max="60" width="11.7109375" style="585" customWidth="1"/>
    <col min="61" max="61" width="11.5703125" style="585" customWidth="1"/>
    <col min="62" max="62" width="11.7109375" style="585" customWidth="1"/>
    <col min="63" max="63" width="95.140625" style="585" customWidth="1"/>
    <col min="64" max="67" width="11.7109375" style="585" customWidth="1"/>
    <col min="68" max="256" width="9.140625" style="585"/>
    <col min="257" max="257" width="11.5703125" style="585" customWidth="1"/>
    <col min="258" max="258" width="103.140625" style="585" customWidth="1"/>
    <col min="259" max="262" width="11.7109375" style="585" customWidth="1"/>
    <col min="263" max="264" width="9.140625" style="585"/>
    <col min="265" max="265" width="11.7109375" style="585" customWidth="1"/>
    <col min="266" max="266" width="78.5703125" style="585" customWidth="1"/>
    <col min="267" max="270" width="11.7109375" style="585" customWidth="1"/>
    <col min="271" max="272" width="9.140625" style="585"/>
    <col min="273" max="273" width="11.7109375" style="585" customWidth="1"/>
    <col min="274" max="274" width="88.42578125" style="585" customWidth="1"/>
    <col min="275" max="278" width="11.7109375" style="585" customWidth="1"/>
    <col min="279" max="280" width="9.140625" style="585"/>
    <col min="281" max="281" width="11.7109375" style="585" customWidth="1"/>
    <col min="282" max="282" width="75.5703125" style="585" customWidth="1"/>
    <col min="283" max="286" width="11.7109375" style="585" customWidth="1"/>
    <col min="287" max="288" width="9.140625" style="585"/>
    <col min="289" max="289" width="11.7109375" style="585" customWidth="1"/>
    <col min="290" max="290" width="80.42578125" style="585" customWidth="1"/>
    <col min="291" max="294" width="11.7109375" style="585" customWidth="1"/>
    <col min="295" max="296" width="9.140625" style="585"/>
    <col min="297" max="297" width="11.7109375" style="585" customWidth="1"/>
    <col min="298" max="298" width="69.85546875" style="585" customWidth="1"/>
    <col min="299" max="302" width="11.7109375" style="585" customWidth="1"/>
    <col min="303" max="303" width="9.140625" style="585"/>
    <col min="304" max="304" width="11.7109375" style="585" customWidth="1"/>
    <col min="305" max="305" width="95.140625" style="585" customWidth="1"/>
    <col min="306" max="309" width="11.7109375" style="585" customWidth="1"/>
    <col min="310" max="310" width="9.140625" style="585"/>
    <col min="311" max="311" width="11.7109375" style="585" customWidth="1"/>
    <col min="312" max="312" width="95.140625" style="585" customWidth="1"/>
    <col min="313" max="316" width="11.7109375" style="585" customWidth="1"/>
    <col min="317" max="317" width="11.5703125" style="585" customWidth="1"/>
    <col min="318" max="318" width="11.7109375" style="585" customWidth="1"/>
    <col min="319" max="319" width="95.140625" style="585" customWidth="1"/>
    <col min="320" max="323" width="11.7109375" style="585" customWidth="1"/>
    <col min="324" max="512" width="9.140625" style="585"/>
    <col min="513" max="513" width="11.5703125" style="585" customWidth="1"/>
    <col min="514" max="514" width="103.140625" style="585" customWidth="1"/>
    <col min="515" max="518" width="11.7109375" style="585" customWidth="1"/>
    <col min="519" max="520" width="9.140625" style="585"/>
    <col min="521" max="521" width="11.7109375" style="585" customWidth="1"/>
    <col min="522" max="522" width="78.5703125" style="585" customWidth="1"/>
    <col min="523" max="526" width="11.7109375" style="585" customWidth="1"/>
    <col min="527" max="528" width="9.140625" style="585"/>
    <col min="529" max="529" width="11.7109375" style="585" customWidth="1"/>
    <col min="530" max="530" width="88.42578125" style="585" customWidth="1"/>
    <col min="531" max="534" width="11.7109375" style="585" customWidth="1"/>
    <col min="535" max="536" width="9.140625" style="585"/>
    <col min="537" max="537" width="11.7109375" style="585" customWidth="1"/>
    <col min="538" max="538" width="75.5703125" style="585" customWidth="1"/>
    <col min="539" max="542" width="11.7109375" style="585" customWidth="1"/>
    <col min="543" max="544" width="9.140625" style="585"/>
    <col min="545" max="545" width="11.7109375" style="585" customWidth="1"/>
    <col min="546" max="546" width="80.42578125" style="585" customWidth="1"/>
    <col min="547" max="550" width="11.7109375" style="585" customWidth="1"/>
    <col min="551" max="552" width="9.140625" style="585"/>
    <col min="553" max="553" width="11.7109375" style="585" customWidth="1"/>
    <col min="554" max="554" width="69.85546875" style="585" customWidth="1"/>
    <col min="555" max="558" width="11.7109375" style="585" customWidth="1"/>
    <col min="559" max="559" width="9.140625" style="585"/>
    <col min="560" max="560" width="11.7109375" style="585" customWidth="1"/>
    <col min="561" max="561" width="95.140625" style="585" customWidth="1"/>
    <col min="562" max="565" width="11.7109375" style="585" customWidth="1"/>
    <col min="566" max="566" width="9.140625" style="585"/>
    <col min="567" max="567" width="11.7109375" style="585" customWidth="1"/>
    <col min="568" max="568" width="95.140625" style="585" customWidth="1"/>
    <col min="569" max="572" width="11.7109375" style="585" customWidth="1"/>
    <col min="573" max="573" width="11.5703125" style="585" customWidth="1"/>
    <col min="574" max="574" width="11.7109375" style="585" customWidth="1"/>
    <col min="575" max="575" width="95.140625" style="585" customWidth="1"/>
    <col min="576" max="579" width="11.7109375" style="585" customWidth="1"/>
    <col min="580" max="768" width="9.140625" style="585"/>
    <col min="769" max="769" width="11.5703125" style="585" customWidth="1"/>
    <col min="770" max="770" width="103.140625" style="585" customWidth="1"/>
    <col min="771" max="774" width="11.7109375" style="585" customWidth="1"/>
    <col min="775" max="776" width="9.140625" style="585"/>
    <col min="777" max="777" width="11.7109375" style="585" customWidth="1"/>
    <col min="778" max="778" width="78.5703125" style="585" customWidth="1"/>
    <col min="779" max="782" width="11.7109375" style="585" customWidth="1"/>
    <col min="783" max="784" width="9.140625" style="585"/>
    <col min="785" max="785" width="11.7109375" style="585" customWidth="1"/>
    <col min="786" max="786" width="88.42578125" style="585" customWidth="1"/>
    <col min="787" max="790" width="11.7109375" style="585" customWidth="1"/>
    <col min="791" max="792" width="9.140625" style="585"/>
    <col min="793" max="793" width="11.7109375" style="585" customWidth="1"/>
    <col min="794" max="794" width="75.5703125" style="585" customWidth="1"/>
    <col min="795" max="798" width="11.7109375" style="585" customWidth="1"/>
    <col min="799" max="800" width="9.140625" style="585"/>
    <col min="801" max="801" width="11.7109375" style="585" customWidth="1"/>
    <col min="802" max="802" width="80.42578125" style="585" customWidth="1"/>
    <col min="803" max="806" width="11.7109375" style="585" customWidth="1"/>
    <col min="807" max="808" width="9.140625" style="585"/>
    <col min="809" max="809" width="11.7109375" style="585" customWidth="1"/>
    <col min="810" max="810" width="69.85546875" style="585" customWidth="1"/>
    <col min="811" max="814" width="11.7109375" style="585" customWidth="1"/>
    <col min="815" max="815" width="9.140625" style="585"/>
    <col min="816" max="816" width="11.7109375" style="585" customWidth="1"/>
    <col min="817" max="817" width="95.140625" style="585" customWidth="1"/>
    <col min="818" max="821" width="11.7109375" style="585" customWidth="1"/>
    <col min="822" max="822" width="9.140625" style="585"/>
    <col min="823" max="823" width="11.7109375" style="585" customWidth="1"/>
    <col min="824" max="824" width="95.140625" style="585" customWidth="1"/>
    <col min="825" max="828" width="11.7109375" style="585" customWidth="1"/>
    <col min="829" max="829" width="11.5703125" style="585" customWidth="1"/>
    <col min="830" max="830" width="11.7109375" style="585" customWidth="1"/>
    <col min="831" max="831" width="95.140625" style="585" customWidth="1"/>
    <col min="832" max="835" width="11.7109375" style="585" customWidth="1"/>
    <col min="836" max="1024" width="9.140625" style="585"/>
    <col min="1025" max="1025" width="11.5703125" style="585" customWidth="1"/>
    <col min="1026" max="1026" width="103.140625" style="585" customWidth="1"/>
    <col min="1027" max="1030" width="11.7109375" style="585" customWidth="1"/>
    <col min="1031" max="1032" width="9.140625" style="585"/>
    <col min="1033" max="1033" width="11.7109375" style="585" customWidth="1"/>
    <col min="1034" max="1034" width="78.5703125" style="585" customWidth="1"/>
    <col min="1035" max="1038" width="11.7109375" style="585" customWidth="1"/>
    <col min="1039" max="1040" width="9.140625" style="585"/>
    <col min="1041" max="1041" width="11.7109375" style="585" customWidth="1"/>
    <col min="1042" max="1042" width="88.42578125" style="585" customWidth="1"/>
    <col min="1043" max="1046" width="11.7109375" style="585" customWidth="1"/>
    <col min="1047" max="1048" width="9.140625" style="585"/>
    <col min="1049" max="1049" width="11.7109375" style="585" customWidth="1"/>
    <col min="1050" max="1050" width="75.5703125" style="585" customWidth="1"/>
    <col min="1051" max="1054" width="11.7109375" style="585" customWidth="1"/>
    <col min="1055" max="1056" width="9.140625" style="585"/>
    <col min="1057" max="1057" width="11.7109375" style="585" customWidth="1"/>
    <col min="1058" max="1058" width="80.42578125" style="585" customWidth="1"/>
    <col min="1059" max="1062" width="11.7109375" style="585" customWidth="1"/>
    <col min="1063" max="1064" width="9.140625" style="585"/>
    <col min="1065" max="1065" width="11.7109375" style="585" customWidth="1"/>
    <col min="1066" max="1066" width="69.85546875" style="585" customWidth="1"/>
    <col min="1067" max="1070" width="11.7109375" style="585" customWidth="1"/>
    <col min="1071" max="1071" width="9.140625" style="585"/>
    <col min="1072" max="1072" width="11.7109375" style="585" customWidth="1"/>
    <col min="1073" max="1073" width="95.140625" style="585" customWidth="1"/>
    <col min="1074" max="1077" width="11.7109375" style="585" customWidth="1"/>
    <col min="1078" max="1078" width="9.140625" style="585"/>
    <col min="1079" max="1079" width="11.7109375" style="585" customWidth="1"/>
    <col min="1080" max="1080" width="95.140625" style="585" customWidth="1"/>
    <col min="1081" max="1084" width="11.7109375" style="585" customWidth="1"/>
    <col min="1085" max="1085" width="11.5703125" style="585" customWidth="1"/>
    <col min="1086" max="1086" width="11.7109375" style="585" customWidth="1"/>
    <col min="1087" max="1087" width="95.140625" style="585" customWidth="1"/>
    <col min="1088" max="1091" width="11.7109375" style="585" customWidth="1"/>
    <col min="1092" max="1280" width="9.140625" style="585"/>
    <col min="1281" max="1281" width="11.5703125" style="585" customWidth="1"/>
    <col min="1282" max="1282" width="103.140625" style="585" customWidth="1"/>
    <col min="1283" max="1286" width="11.7109375" style="585" customWidth="1"/>
    <col min="1287" max="1288" width="9.140625" style="585"/>
    <col min="1289" max="1289" width="11.7109375" style="585" customWidth="1"/>
    <col min="1290" max="1290" width="78.5703125" style="585" customWidth="1"/>
    <col min="1291" max="1294" width="11.7109375" style="585" customWidth="1"/>
    <col min="1295" max="1296" width="9.140625" style="585"/>
    <col min="1297" max="1297" width="11.7109375" style="585" customWidth="1"/>
    <col min="1298" max="1298" width="88.42578125" style="585" customWidth="1"/>
    <col min="1299" max="1302" width="11.7109375" style="585" customWidth="1"/>
    <col min="1303" max="1304" width="9.140625" style="585"/>
    <col min="1305" max="1305" width="11.7109375" style="585" customWidth="1"/>
    <col min="1306" max="1306" width="75.5703125" style="585" customWidth="1"/>
    <col min="1307" max="1310" width="11.7109375" style="585" customWidth="1"/>
    <col min="1311" max="1312" width="9.140625" style="585"/>
    <col min="1313" max="1313" width="11.7109375" style="585" customWidth="1"/>
    <col min="1314" max="1314" width="80.42578125" style="585" customWidth="1"/>
    <col min="1315" max="1318" width="11.7109375" style="585" customWidth="1"/>
    <col min="1319" max="1320" width="9.140625" style="585"/>
    <col min="1321" max="1321" width="11.7109375" style="585" customWidth="1"/>
    <col min="1322" max="1322" width="69.85546875" style="585" customWidth="1"/>
    <col min="1323" max="1326" width="11.7109375" style="585" customWidth="1"/>
    <col min="1327" max="1327" width="9.140625" style="585"/>
    <col min="1328" max="1328" width="11.7109375" style="585" customWidth="1"/>
    <col min="1329" max="1329" width="95.140625" style="585" customWidth="1"/>
    <col min="1330" max="1333" width="11.7109375" style="585" customWidth="1"/>
    <col min="1334" max="1334" width="9.140625" style="585"/>
    <col min="1335" max="1335" width="11.7109375" style="585" customWidth="1"/>
    <col min="1336" max="1336" width="95.140625" style="585" customWidth="1"/>
    <col min="1337" max="1340" width="11.7109375" style="585" customWidth="1"/>
    <col min="1341" max="1341" width="11.5703125" style="585" customWidth="1"/>
    <col min="1342" max="1342" width="11.7109375" style="585" customWidth="1"/>
    <col min="1343" max="1343" width="95.140625" style="585" customWidth="1"/>
    <col min="1344" max="1347" width="11.7109375" style="585" customWidth="1"/>
    <col min="1348" max="1536" width="9.140625" style="585"/>
    <col min="1537" max="1537" width="11.5703125" style="585" customWidth="1"/>
    <col min="1538" max="1538" width="103.140625" style="585" customWidth="1"/>
    <col min="1539" max="1542" width="11.7109375" style="585" customWidth="1"/>
    <col min="1543" max="1544" width="9.140625" style="585"/>
    <col min="1545" max="1545" width="11.7109375" style="585" customWidth="1"/>
    <col min="1546" max="1546" width="78.5703125" style="585" customWidth="1"/>
    <col min="1547" max="1550" width="11.7109375" style="585" customWidth="1"/>
    <col min="1551" max="1552" width="9.140625" style="585"/>
    <col min="1553" max="1553" width="11.7109375" style="585" customWidth="1"/>
    <col min="1554" max="1554" width="88.42578125" style="585" customWidth="1"/>
    <col min="1555" max="1558" width="11.7109375" style="585" customWidth="1"/>
    <col min="1559" max="1560" width="9.140625" style="585"/>
    <col min="1561" max="1561" width="11.7109375" style="585" customWidth="1"/>
    <col min="1562" max="1562" width="75.5703125" style="585" customWidth="1"/>
    <col min="1563" max="1566" width="11.7109375" style="585" customWidth="1"/>
    <col min="1567" max="1568" width="9.140625" style="585"/>
    <col min="1569" max="1569" width="11.7109375" style="585" customWidth="1"/>
    <col min="1570" max="1570" width="80.42578125" style="585" customWidth="1"/>
    <col min="1571" max="1574" width="11.7109375" style="585" customWidth="1"/>
    <col min="1575" max="1576" width="9.140625" style="585"/>
    <col min="1577" max="1577" width="11.7109375" style="585" customWidth="1"/>
    <col min="1578" max="1578" width="69.85546875" style="585" customWidth="1"/>
    <col min="1579" max="1582" width="11.7109375" style="585" customWidth="1"/>
    <col min="1583" max="1583" width="9.140625" style="585"/>
    <col min="1584" max="1584" width="11.7109375" style="585" customWidth="1"/>
    <col min="1585" max="1585" width="95.140625" style="585" customWidth="1"/>
    <col min="1586" max="1589" width="11.7109375" style="585" customWidth="1"/>
    <col min="1590" max="1590" width="9.140625" style="585"/>
    <col min="1591" max="1591" width="11.7109375" style="585" customWidth="1"/>
    <col min="1592" max="1592" width="95.140625" style="585" customWidth="1"/>
    <col min="1593" max="1596" width="11.7109375" style="585" customWidth="1"/>
    <col min="1597" max="1597" width="11.5703125" style="585" customWidth="1"/>
    <col min="1598" max="1598" width="11.7109375" style="585" customWidth="1"/>
    <col min="1599" max="1599" width="95.140625" style="585" customWidth="1"/>
    <col min="1600" max="1603" width="11.7109375" style="585" customWidth="1"/>
    <col min="1604" max="1792" width="9.140625" style="585"/>
    <col min="1793" max="1793" width="11.5703125" style="585" customWidth="1"/>
    <col min="1794" max="1794" width="103.140625" style="585" customWidth="1"/>
    <col min="1795" max="1798" width="11.7109375" style="585" customWidth="1"/>
    <col min="1799" max="1800" width="9.140625" style="585"/>
    <col min="1801" max="1801" width="11.7109375" style="585" customWidth="1"/>
    <col min="1802" max="1802" width="78.5703125" style="585" customWidth="1"/>
    <col min="1803" max="1806" width="11.7109375" style="585" customWidth="1"/>
    <col min="1807" max="1808" width="9.140625" style="585"/>
    <col min="1809" max="1809" width="11.7109375" style="585" customWidth="1"/>
    <col min="1810" max="1810" width="88.42578125" style="585" customWidth="1"/>
    <col min="1811" max="1814" width="11.7109375" style="585" customWidth="1"/>
    <col min="1815" max="1816" width="9.140625" style="585"/>
    <col min="1817" max="1817" width="11.7109375" style="585" customWidth="1"/>
    <col min="1818" max="1818" width="75.5703125" style="585" customWidth="1"/>
    <col min="1819" max="1822" width="11.7109375" style="585" customWidth="1"/>
    <col min="1823" max="1824" width="9.140625" style="585"/>
    <col min="1825" max="1825" width="11.7109375" style="585" customWidth="1"/>
    <col min="1826" max="1826" width="80.42578125" style="585" customWidth="1"/>
    <col min="1827" max="1830" width="11.7109375" style="585" customWidth="1"/>
    <col min="1831" max="1832" width="9.140625" style="585"/>
    <col min="1833" max="1833" width="11.7109375" style="585" customWidth="1"/>
    <col min="1834" max="1834" width="69.85546875" style="585" customWidth="1"/>
    <col min="1835" max="1838" width="11.7109375" style="585" customWidth="1"/>
    <col min="1839" max="1839" width="9.140625" style="585"/>
    <col min="1840" max="1840" width="11.7109375" style="585" customWidth="1"/>
    <col min="1841" max="1841" width="95.140625" style="585" customWidth="1"/>
    <col min="1842" max="1845" width="11.7109375" style="585" customWidth="1"/>
    <col min="1846" max="1846" width="9.140625" style="585"/>
    <col min="1847" max="1847" width="11.7109375" style="585" customWidth="1"/>
    <col min="1848" max="1848" width="95.140625" style="585" customWidth="1"/>
    <col min="1849" max="1852" width="11.7109375" style="585" customWidth="1"/>
    <col min="1853" max="1853" width="11.5703125" style="585" customWidth="1"/>
    <col min="1854" max="1854" width="11.7109375" style="585" customWidth="1"/>
    <col min="1855" max="1855" width="95.140625" style="585" customWidth="1"/>
    <col min="1856" max="1859" width="11.7109375" style="585" customWidth="1"/>
    <col min="1860" max="2048" width="9.140625" style="585"/>
    <col min="2049" max="2049" width="11.5703125" style="585" customWidth="1"/>
    <col min="2050" max="2050" width="103.140625" style="585" customWidth="1"/>
    <col min="2051" max="2054" width="11.7109375" style="585" customWidth="1"/>
    <col min="2055" max="2056" width="9.140625" style="585"/>
    <col min="2057" max="2057" width="11.7109375" style="585" customWidth="1"/>
    <col min="2058" max="2058" width="78.5703125" style="585" customWidth="1"/>
    <col min="2059" max="2062" width="11.7109375" style="585" customWidth="1"/>
    <col min="2063" max="2064" width="9.140625" style="585"/>
    <col min="2065" max="2065" width="11.7109375" style="585" customWidth="1"/>
    <col min="2066" max="2066" width="88.42578125" style="585" customWidth="1"/>
    <col min="2067" max="2070" width="11.7109375" style="585" customWidth="1"/>
    <col min="2071" max="2072" width="9.140625" style="585"/>
    <col min="2073" max="2073" width="11.7109375" style="585" customWidth="1"/>
    <col min="2074" max="2074" width="75.5703125" style="585" customWidth="1"/>
    <col min="2075" max="2078" width="11.7109375" style="585" customWidth="1"/>
    <col min="2079" max="2080" width="9.140625" style="585"/>
    <col min="2081" max="2081" width="11.7109375" style="585" customWidth="1"/>
    <col min="2082" max="2082" width="80.42578125" style="585" customWidth="1"/>
    <col min="2083" max="2086" width="11.7109375" style="585" customWidth="1"/>
    <col min="2087" max="2088" width="9.140625" style="585"/>
    <col min="2089" max="2089" width="11.7109375" style="585" customWidth="1"/>
    <col min="2090" max="2090" width="69.85546875" style="585" customWidth="1"/>
    <col min="2091" max="2094" width="11.7109375" style="585" customWidth="1"/>
    <col min="2095" max="2095" width="9.140625" style="585"/>
    <col min="2096" max="2096" width="11.7109375" style="585" customWidth="1"/>
    <col min="2097" max="2097" width="95.140625" style="585" customWidth="1"/>
    <col min="2098" max="2101" width="11.7109375" style="585" customWidth="1"/>
    <col min="2102" max="2102" width="9.140625" style="585"/>
    <col min="2103" max="2103" width="11.7109375" style="585" customWidth="1"/>
    <col min="2104" max="2104" width="95.140625" style="585" customWidth="1"/>
    <col min="2105" max="2108" width="11.7109375" style="585" customWidth="1"/>
    <col min="2109" max="2109" width="11.5703125" style="585" customWidth="1"/>
    <col min="2110" max="2110" width="11.7109375" style="585" customWidth="1"/>
    <col min="2111" max="2111" width="95.140625" style="585" customWidth="1"/>
    <col min="2112" max="2115" width="11.7109375" style="585" customWidth="1"/>
    <col min="2116" max="2304" width="9.140625" style="585"/>
    <col min="2305" max="2305" width="11.5703125" style="585" customWidth="1"/>
    <col min="2306" max="2306" width="103.140625" style="585" customWidth="1"/>
    <col min="2307" max="2310" width="11.7109375" style="585" customWidth="1"/>
    <col min="2311" max="2312" width="9.140625" style="585"/>
    <col min="2313" max="2313" width="11.7109375" style="585" customWidth="1"/>
    <col min="2314" max="2314" width="78.5703125" style="585" customWidth="1"/>
    <col min="2315" max="2318" width="11.7109375" style="585" customWidth="1"/>
    <col min="2319" max="2320" width="9.140625" style="585"/>
    <col min="2321" max="2321" width="11.7109375" style="585" customWidth="1"/>
    <col min="2322" max="2322" width="88.42578125" style="585" customWidth="1"/>
    <col min="2323" max="2326" width="11.7109375" style="585" customWidth="1"/>
    <col min="2327" max="2328" width="9.140625" style="585"/>
    <col min="2329" max="2329" width="11.7109375" style="585" customWidth="1"/>
    <col min="2330" max="2330" width="75.5703125" style="585" customWidth="1"/>
    <col min="2331" max="2334" width="11.7109375" style="585" customWidth="1"/>
    <col min="2335" max="2336" width="9.140625" style="585"/>
    <col min="2337" max="2337" width="11.7109375" style="585" customWidth="1"/>
    <col min="2338" max="2338" width="80.42578125" style="585" customWidth="1"/>
    <col min="2339" max="2342" width="11.7109375" style="585" customWidth="1"/>
    <col min="2343" max="2344" width="9.140625" style="585"/>
    <col min="2345" max="2345" width="11.7109375" style="585" customWidth="1"/>
    <col min="2346" max="2346" width="69.85546875" style="585" customWidth="1"/>
    <col min="2347" max="2350" width="11.7109375" style="585" customWidth="1"/>
    <col min="2351" max="2351" width="9.140625" style="585"/>
    <col min="2352" max="2352" width="11.7109375" style="585" customWidth="1"/>
    <col min="2353" max="2353" width="95.140625" style="585" customWidth="1"/>
    <col min="2354" max="2357" width="11.7109375" style="585" customWidth="1"/>
    <col min="2358" max="2358" width="9.140625" style="585"/>
    <col min="2359" max="2359" width="11.7109375" style="585" customWidth="1"/>
    <col min="2360" max="2360" width="95.140625" style="585" customWidth="1"/>
    <col min="2361" max="2364" width="11.7109375" style="585" customWidth="1"/>
    <col min="2365" max="2365" width="11.5703125" style="585" customWidth="1"/>
    <col min="2366" max="2366" width="11.7109375" style="585" customWidth="1"/>
    <col min="2367" max="2367" width="95.140625" style="585" customWidth="1"/>
    <col min="2368" max="2371" width="11.7109375" style="585" customWidth="1"/>
    <col min="2372" max="2560" width="9.140625" style="585"/>
    <col min="2561" max="2561" width="11.5703125" style="585" customWidth="1"/>
    <col min="2562" max="2562" width="103.140625" style="585" customWidth="1"/>
    <col min="2563" max="2566" width="11.7109375" style="585" customWidth="1"/>
    <col min="2567" max="2568" width="9.140625" style="585"/>
    <col min="2569" max="2569" width="11.7109375" style="585" customWidth="1"/>
    <col min="2570" max="2570" width="78.5703125" style="585" customWidth="1"/>
    <col min="2571" max="2574" width="11.7109375" style="585" customWidth="1"/>
    <col min="2575" max="2576" width="9.140625" style="585"/>
    <col min="2577" max="2577" width="11.7109375" style="585" customWidth="1"/>
    <col min="2578" max="2578" width="88.42578125" style="585" customWidth="1"/>
    <col min="2579" max="2582" width="11.7109375" style="585" customWidth="1"/>
    <col min="2583" max="2584" width="9.140625" style="585"/>
    <col min="2585" max="2585" width="11.7109375" style="585" customWidth="1"/>
    <col min="2586" max="2586" width="75.5703125" style="585" customWidth="1"/>
    <col min="2587" max="2590" width="11.7109375" style="585" customWidth="1"/>
    <col min="2591" max="2592" width="9.140625" style="585"/>
    <col min="2593" max="2593" width="11.7109375" style="585" customWidth="1"/>
    <col min="2594" max="2594" width="80.42578125" style="585" customWidth="1"/>
    <col min="2595" max="2598" width="11.7109375" style="585" customWidth="1"/>
    <col min="2599" max="2600" width="9.140625" style="585"/>
    <col min="2601" max="2601" width="11.7109375" style="585" customWidth="1"/>
    <col min="2602" max="2602" width="69.85546875" style="585" customWidth="1"/>
    <col min="2603" max="2606" width="11.7109375" style="585" customWidth="1"/>
    <col min="2607" max="2607" width="9.140625" style="585"/>
    <col min="2608" max="2608" width="11.7109375" style="585" customWidth="1"/>
    <col min="2609" max="2609" width="95.140625" style="585" customWidth="1"/>
    <col min="2610" max="2613" width="11.7109375" style="585" customWidth="1"/>
    <col min="2614" max="2614" width="9.140625" style="585"/>
    <col min="2615" max="2615" width="11.7109375" style="585" customWidth="1"/>
    <col min="2616" max="2616" width="95.140625" style="585" customWidth="1"/>
    <col min="2617" max="2620" width="11.7109375" style="585" customWidth="1"/>
    <col min="2621" max="2621" width="11.5703125" style="585" customWidth="1"/>
    <col min="2622" max="2622" width="11.7109375" style="585" customWidth="1"/>
    <col min="2623" max="2623" width="95.140625" style="585" customWidth="1"/>
    <col min="2624" max="2627" width="11.7109375" style="585" customWidth="1"/>
    <col min="2628" max="2816" width="9.140625" style="585"/>
    <col min="2817" max="2817" width="11.5703125" style="585" customWidth="1"/>
    <col min="2818" max="2818" width="103.140625" style="585" customWidth="1"/>
    <col min="2819" max="2822" width="11.7109375" style="585" customWidth="1"/>
    <col min="2823" max="2824" width="9.140625" style="585"/>
    <col min="2825" max="2825" width="11.7109375" style="585" customWidth="1"/>
    <col min="2826" max="2826" width="78.5703125" style="585" customWidth="1"/>
    <col min="2827" max="2830" width="11.7109375" style="585" customWidth="1"/>
    <col min="2831" max="2832" width="9.140625" style="585"/>
    <col min="2833" max="2833" width="11.7109375" style="585" customWidth="1"/>
    <col min="2834" max="2834" width="88.42578125" style="585" customWidth="1"/>
    <col min="2835" max="2838" width="11.7109375" style="585" customWidth="1"/>
    <col min="2839" max="2840" width="9.140625" style="585"/>
    <col min="2841" max="2841" width="11.7109375" style="585" customWidth="1"/>
    <col min="2842" max="2842" width="75.5703125" style="585" customWidth="1"/>
    <col min="2843" max="2846" width="11.7109375" style="585" customWidth="1"/>
    <col min="2847" max="2848" width="9.140625" style="585"/>
    <col min="2849" max="2849" width="11.7109375" style="585" customWidth="1"/>
    <col min="2850" max="2850" width="80.42578125" style="585" customWidth="1"/>
    <col min="2851" max="2854" width="11.7109375" style="585" customWidth="1"/>
    <col min="2855" max="2856" width="9.140625" style="585"/>
    <col min="2857" max="2857" width="11.7109375" style="585" customWidth="1"/>
    <col min="2858" max="2858" width="69.85546875" style="585" customWidth="1"/>
    <col min="2859" max="2862" width="11.7109375" style="585" customWidth="1"/>
    <col min="2863" max="2863" width="9.140625" style="585"/>
    <col min="2864" max="2864" width="11.7109375" style="585" customWidth="1"/>
    <col min="2865" max="2865" width="95.140625" style="585" customWidth="1"/>
    <col min="2866" max="2869" width="11.7109375" style="585" customWidth="1"/>
    <col min="2870" max="2870" width="9.140625" style="585"/>
    <col min="2871" max="2871" width="11.7109375" style="585" customWidth="1"/>
    <col min="2872" max="2872" width="95.140625" style="585" customWidth="1"/>
    <col min="2873" max="2876" width="11.7109375" style="585" customWidth="1"/>
    <col min="2877" max="2877" width="11.5703125" style="585" customWidth="1"/>
    <col min="2878" max="2878" width="11.7109375" style="585" customWidth="1"/>
    <col min="2879" max="2879" width="95.140625" style="585" customWidth="1"/>
    <col min="2880" max="2883" width="11.7109375" style="585" customWidth="1"/>
    <col min="2884" max="3072" width="9.140625" style="585"/>
    <col min="3073" max="3073" width="11.5703125" style="585" customWidth="1"/>
    <col min="3074" max="3074" width="103.140625" style="585" customWidth="1"/>
    <col min="3075" max="3078" width="11.7109375" style="585" customWidth="1"/>
    <col min="3079" max="3080" width="9.140625" style="585"/>
    <col min="3081" max="3081" width="11.7109375" style="585" customWidth="1"/>
    <col min="3082" max="3082" width="78.5703125" style="585" customWidth="1"/>
    <col min="3083" max="3086" width="11.7109375" style="585" customWidth="1"/>
    <col min="3087" max="3088" width="9.140625" style="585"/>
    <col min="3089" max="3089" width="11.7109375" style="585" customWidth="1"/>
    <col min="3090" max="3090" width="88.42578125" style="585" customWidth="1"/>
    <col min="3091" max="3094" width="11.7109375" style="585" customWidth="1"/>
    <col min="3095" max="3096" width="9.140625" style="585"/>
    <col min="3097" max="3097" width="11.7109375" style="585" customWidth="1"/>
    <col min="3098" max="3098" width="75.5703125" style="585" customWidth="1"/>
    <col min="3099" max="3102" width="11.7109375" style="585" customWidth="1"/>
    <col min="3103" max="3104" width="9.140625" style="585"/>
    <col min="3105" max="3105" width="11.7109375" style="585" customWidth="1"/>
    <col min="3106" max="3106" width="80.42578125" style="585" customWidth="1"/>
    <col min="3107" max="3110" width="11.7109375" style="585" customWidth="1"/>
    <col min="3111" max="3112" width="9.140625" style="585"/>
    <col min="3113" max="3113" width="11.7109375" style="585" customWidth="1"/>
    <col min="3114" max="3114" width="69.85546875" style="585" customWidth="1"/>
    <col min="3115" max="3118" width="11.7109375" style="585" customWidth="1"/>
    <col min="3119" max="3119" width="9.140625" style="585"/>
    <col min="3120" max="3120" width="11.7109375" style="585" customWidth="1"/>
    <col min="3121" max="3121" width="95.140625" style="585" customWidth="1"/>
    <col min="3122" max="3125" width="11.7109375" style="585" customWidth="1"/>
    <col min="3126" max="3126" width="9.140625" style="585"/>
    <col min="3127" max="3127" width="11.7109375" style="585" customWidth="1"/>
    <col min="3128" max="3128" width="95.140625" style="585" customWidth="1"/>
    <col min="3129" max="3132" width="11.7109375" style="585" customWidth="1"/>
    <col min="3133" max="3133" width="11.5703125" style="585" customWidth="1"/>
    <col min="3134" max="3134" width="11.7109375" style="585" customWidth="1"/>
    <col min="3135" max="3135" width="95.140625" style="585" customWidth="1"/>
    <col min="3136" max="3139" width="11.7109375" style="585" customWidth="1"/>
    <col min="3140" max="3328" width="9.140625" style="585"/>
    <col min="3329" max="3329" width="11.5703125" style="585" customWidth="1"/>
    <col min="3330" max="3330" width="103.140625" style="585" customWidth="1"/>
    <col min="3331" max="3334" width="11.7109375" style="585" customWidth="1"/>
    <col min="3335" max="3336" width="9.140625" style="585"/>
    <col min="3337" max="3337" width="11.7109375" style="585" customWidth="1"/>
    <col min="3338" max="3338" width="78.5703125" style="585" customWidth="1"/>
    <col min="3339" max="3342" width="11.7109375" style="585" customWidth="1"/>
    <col min="3343" max="3344" width="9.140625" style="585"/>
    <col min="3345" max="3345" width="11.7109375" style="585" customWidth="1"/>
    <col min="3346" max="3346" width="88.42578125" style="585" customWidth="1"/>
    <col min="3347" max="3350" width="11.7109375" style="585" customWidth="1"/>
    <col min="3351" max="3352" width="9.140625" style="585"/>
    <col min="3353" max="3353" width="11.7109375" style="585" customWidth="1"/>
    <col min="3354" max="3354" width="75.5703125" style="585" customWidth="1"/>
    <col min="3355" max="3358" width="11.7109375" style="585" customWidth="1"/>
    <col min="3359" max="3360" width="9.140625" style="585"/>
    <col min="3361" max="3361" width="11.7109375" style="585" customWidth="1"/>
    <col min="3362" max="3362" width="80.42578125" style="585" customWidth="1"/>
    <col min="3363" max="3366" width="11.7109375" style="585" customWidth="1"/>
    <col min="3367" max="3368" width="9.140625" style="585"/>
    <col min="3369" max="3369" width="11.7109375" style="585" customWidth="1"/>
    <col min="3370" max="3370" width="69.85546875" style="585" customWidth="1"/>
    <col min="3371" max="3374" width="11.7109375" style="585" customWidth="1"/>
    <col min="3375" max="3375" width="9.140625" style="585"/>
    <col min="3376" max="3376" width="11.7109375" style="585" customWidth="1"/>
    <col min="3377" max="3377" width="95.140625" style="585" customWidth="1"/>
    <col min="3378" max="3381" width="11.7109375" style="585" customWidth="1"/>
    <col min="3382" max="3382" width="9.140625" style="585"/>
    <col min="3383" max="3383" width="11.7109375" style="585" customWidth="1"/>
    <col min="3384" max="3384" width="95.140625" style="585" customWidth="1"/>
    <col min="3385" max="3388" width="11.7109375" style="585" customWidth="1"/>
    <col min="3389" max="3389" width="11.5703125" style="585" customWidth="1"/>
    <col min="3390" max="3390" width="11.7109375" style="585" customWidth="1"/>
    <col min="3391" max="3391" width="95.140625" style="585" customWidth="1"/>
    <col min="3392" max="3395" width="11.7109375" style="585" customWidth="1"/>
    <col min="3396" max="3584" width="9.140625" style="585"/>
    <col min="3585" max="3585" width="11.5703125" style="585" customWidth="1"/>
    <col min="3586" max="3586" width="103.140625" style="585" customWidth="1"/>
    <col min="3587" max="3590" width="11.7109375" style="585" customWidth="1"/>
    <col min="3591" max="3592" width="9.140625" style="585"/>
    <col min="3593" max="3593" width="11.7109375" style="585" customWidth="1"/>
    <col min="3594" max="3594" width="78.5703125" style="585" customWidth="1"/>
    <col min="3595" max="3598" width="11.7109375" style="585" customWidth="1"/>
    <col min="3599" max="3600" width="9.140625" style="585"/>
    <col min="3601" max="3601" width="11.7109375" style="585" customWidth="1"/>
    <col min="3602" max="3602" width="88.42578125" style="585" customWidth="1"/>
    <col min="3603" max="3606" width="11.7109375" style="585" customWidth="1"/>
    <col min="3607" max="3608" width="9.140625" style="585"/>
    <col min="3609" max="3609" width="11.7109375" style="585" customWidth="1"/>
    <col min="3610" max="3610" width="75.5703125" style="585" customWidth="1"/>
    <col min="3611" max="3614" width="11.7109375" style="585" customWidth="1"/>
    <col min="3615" max="3616" width="9.140625" style="585"/>
    <col min="3617" max="3617" width="11.7109375" style="585" customWidth="1"/>
    <col min="3618" max="3618" width="80.42578125" style="585" customWidth="1"/>
    <col min="3619" max="3622" width="11.7109375" style="585" customWidth="1"/>
    <col min="3623" max="3624" width="9.140625" style="585"/>
    <col min="3625" max="3625" width="11.7109375" style="585" customWidth="1"/>
    <col min="3626" max="3626" width="69.85546875" style="585" customWidth="1"/>
    <col min="3627" max="3630" width="11.7109375" style="585" customWidth="1"/>
    <col min="3631" max="3631" width="9.140625" style="585"/>
    <col min="3632" max="3632" width="11.7109375" style="585" customWidth="1"/>
    <col min="3633" max="3633" width="95.140625" style="585" customWidth="1"/>
    <col min="3634" max="3637" width="11.7109375" style="585" customWidth="1"/>
    <col min="3638" max="3638" width="9.140625" style="585"/>
    <col min="3639" max="3639" width="11.7109375" style="585" customWidth="1"/>
    <col min="3640" max="3640" width="95.140625" style="585" customWidth="1"/>
    <col min="3641" max="3644" width="11.7109375" style="585" customWidth="1"/>
    <col min="3645" max="3645" width="11.5703125" style="585" customWidth="1"/>
    <col min="3646" max="3646" width="11.7109375" style="585" customWidth="1"/>
    <col min="3647" max="3647" width="95.140625" style="585" customWidth="1"/>
    <col min="3648" max="3651" width="11.7109375" style="585" customWidth="1"/>
    <col min="3652" max="3840" width="9.140625" style="585"/>
    <col min="3841" max="3841" width="11.5703125" style="585" customWidth="1"/>
    <col min="3842" max="3842" width="103.140625" style="585" customWidth="1"/>
    <col min="3843" max="3846" width="11.7109375" style="585" customWidth="1"/>
    <col min="3847" max="3848" width="9.140625" style="585"/>
    <col min="3849" max="3849" width="11.7109375" style="585" customWidth="1"/>
    <col min="3850" max="3850" width="78.5703125" style="585" customWidth="1"/>
    <col min="3851" max="3854" width="11.7109375" style="585" customWidth="1"/>
    <col min="3855" max="3856" width="9.140625" style="585"/>
    <col min="3857" max="3857" width="11.7109375" style="585" customWidth="1"/>
    <col min="3858" max="3858" width="88.42578125" style="585" customWidth="1"/>
    <col min="3859" max="3862" width="11.7109375" style="585" customWidth="1"/>
    <col min="3863" max="3864" width="9.140625" style="585"/>
    <col min="3865" max="3865" width="11.7109375" style="585" customWidth="1"/>
    <col min="3866" max="3866" width="75.5703125" style="585" customWidth="1"/>
    <col min="3867" max="3870" width="11.7109375" style="585" customWidth="1"/>
    <col min="3871" max="3872" width="9.140625" style="585"/>
    <col min="3873" max="3873" width="11.7109375" style="585" customWidth="1"/>
    <col min="3874" max="3874" width="80.42578125" style="585" customWidth="1"/>
    <col min="3875" max="3878" width="11.7109375" style="585" customWidth="1"/>
    <col min="3879" max="3880" width="9.140625" style="585"/>
    <col min="3881" max="3881" width="11.7109375" style="585" customWidth="1"/>
    <col min="3882" max="3882" width="69.85546875" style="585" customWidth="1"/>
    <col min="3883" max="3886" width="11.7109375" style="585" customWidth="1"/>
    <col min="3887" max="3887" width="9.140625" style="585"/>
    <col min="3888" max="3888" width="11.7109375" style="585" customWidth="1"/>
    <col min="3889" max="3889" width="95.140625" style="585" customWidth="1"/>
    <col min="3890" max="3893" width="11.7109375" style="585" customWidth="1"/>
    <col min="3894" max="3894" width="9.140625" style="585"/>
    <col min="3895" max="3895" width="11.7109375" style="585" customWidth="1"/>
    <col min="3896" max="3896" width="95.140625" style="585" customWidth="1"/>
    <col min="3897" max="3900" width="11.7109375" style="585" customWidth="1"/>
    <col min="3901" max="3901" width="11.5703125" style="585" customWidth="1"/>
    <col min="3902" max="3902" width="11.7109375" style="585" customWidth="1"/>
    <col min="3903" max="3903" width="95.140625" style="585" customWidth="1"/>
    <col min="3904" max="3907" width="11.7109375" style="585" customWidth="1"/>
    <col min="3908" max="4096" width="9.140625" style="585"/>
    <col min="4097" max="4097" width="11.5703125" style="585" customWidth="1"/>
    <col min="4098" max="4098" width="103.140625" style="585" customWidth="1"/>
    <col min="4099" max="4102" width="11.7109375" style="585" customWidth="1"/>
    <col min="4103" max="4104" width="9.140625" style="585"/>
    <col min="4105" max="4105" width="11.7109375" style="585" customWidth="1"/>
    <col min="4106" max="4106" width="78.5703125" style="585" customWidth="1"/>
    <col min="4107" max="4110" width="11.7109375" style="585" customWidth="1"/>
    <col min="4111" max="4112" width="9.140625" style="585"/>
    <col min="4113" max="4113" width="11.7109375" style="585" customWidth="1"/>
    <col min="4114" max="4114" width="88.42578125" style="585" customWidth="1"/>
    <col min="4115" max="4118" width="11.7109375" style="585" customWidth="1"/>
    <col min="4119" max="4120" width="9.140625" style="585"/>
    <col min="4121" max="4121" width="11.7109375" style="585" customWidth="1"/>
    <col min="4122" max="4122" width="75.5703125" style="585" customWidth="1"/>
    <col min="4123" max="4126" width="11.7109375" style="585" customWidth="1"/>
    <col min="4127" max="4128" width="9.140625" style="585"/>
    <col min="4129" max="4129" width="11.7109375" style="585" customWidth="1"/>
    <col min="4130" max="4130" width="80.42578125" style="585" customWidth="1"/>
    <col min="4131" max="4134" width="11.7109375" style="585" customWidth="1"/>
    <col min="4135" max="4136" width="9.140625" style="585"/>
    <col min="4137" max="4137" width="11.7109375" style="585" customWidth="1"/>
    <col min="4138" max="4138" width="69.85546875" style="585" customWidth="1"/>
    <col min="4139" max="4142" width="11.7109375" style="585" customWidth="1"/>
    <col min="4143" max="4143" width="9.140625" style="585"/>
    <col min="4144" max="4144" width="11.7109375" style="585" customWidth="1"/>
    <col min="4145" max="4145" width="95.140625" style="585" customWidth="1"/>
    <col min="4146" max="4149" width="11.7109375" style="585" customWidth="1"/>
    <col min="4150" max="4150" width="9.140625" style="585"/>
    <col min="4151" max="4151" width="11.7109375" style="585" customWidth="1"/>
    <col min="4152" max="4152" width="95.140625" style="585" customWidth="1"/>
    <col min="4153" max="4156" width="11.7109375" style="585" customWidth="1"/>
    <col min="4157" max="4157" width="11.5703125" style="585" customWidth="1"/>
    <col min="4158" max="4158" width="11.7109375" style="585" customWidth="1"/>
    <col min="4159" max="4159" width="95.140625" style="585" customWidth="1"/>
    <col min="4160" max="4163" width="11.7109375" style="585" customWidth="1"/>
    <col min="4164" max="4352" width="9.140625" style="585"/>
    <col min="4353" max="4353" width="11.5703125" style="585" customWidth="1"/>
    <col min="4354" max="4354" width="103.140625" style="585" customWidth="1"/>
    <col min="4355" max="4358" width="11.7109375" style="585" customWidth="1"/>
    <col min="4359" max="4360" width="9.140625" style="585"/>
    <col min="4361" max="4361" width="11.7109375" style="585" customWidth="1"/>
    <col min="4362" max="4362" width="78.5703125" style="585" customWidth="1"/>
    <col min="4363" max="4366" width="11.7109375" style="585" customWidth="1"/>
    <col min="4367" max="4368" width="9.140625" style="585"/>
    <col min="4369" max="4369" width="11.7109375" style="585" customWidth="1"/>
    <col min="4370" max="4370" width="88.42578125" style="585" customWidth="1"/>
    <col min="4371" max="4374" width="11.7109375" style="585" customWidth="1"/>
    <col min="4375" max="4376" width="9.140625" style="585"/>
    <col min="4377" max="4377" width="11.7109375" style="585" customWidth="1"/>
    <col min="4378" max="4378" width="75.5703125" style="585" customWidth="1"/>
    <col min="4379" max="4382" width="11.7109375" style="585" customWidth="1"/>
    <col min="4383" max="4384" width="9.140625" style="585"/>
    <col min="4385" max="4385" width="11.7109375" style="585" customWidth="1"/>
    <col min="4386" max="4386" width="80.42578125" style="585" customWidth="1"/>
    <col min="4387" max="4390" width="11.7109375" style="585" customWidth="1"/>
    <col min="4391" max="4392" width="9.140625" style="585"/>
    <col min="4393" max="4393" width="11.7109375" style="585" customWidth="1"/>
    <col min="4394" max="4394" width="69.85546875" style="585" customWidth="1"/>
    <col min="4395" max="4398" width="11.7109375" style="585" customWidth="1"/>
    <col min="4399" max="4399" width="9.140625" style="585"/>
    <col min="4400" max="4400" width="11.7109375" style="585" customWidth="1"/>
    <col min="4401" max="4401" width="95.140625" style="585" customWidth="1"/>
    <col min="4402" max="4405" width="11.7109375" style="585" customWidth="1"/>
    <col min="4406" max="4406" width="9.140625" style="585"/>
    <col min="4407" max="4407" width="11.7109375" style="585" customWidth="1"/>
    <col min="4408" max="4408" width="95.140625" style="585" customWidth="1"/>
    <col min="4409" max="4412" width="11.7109375" style="585" customWidth="1"/>
    <col min="4413" max="4413" width="11.5703125" style="585" customWidth="1"/>
    <col min="4414" max="4414" width="11.7109375" style="585" customWidth="1"/>
    <col min="4415" max="4415" width="95.140625" style="585" customWidth="1"/>
    <col min="4416" max="4419" width="11.7109375" style="585" customWidth="1"/>
    <col min="4420" max="4608" width="9.140625" style="585"/>
    <col min="4609" max="4609" width="11.5703125" style="585" customWidth="1"/>
    <col min="4610" max="4610" width="103.140625" style="585" customWidth="1"/>
    <col min="4611" max="4614" width="11.7109375" style="585" customWidth="1"/>
    <col min="4615" max="4616" width="9.140625" style="585"/>
    <col min="4617" max="4617" width="11.7109375" style="585" customWidth="1"/>
    <col min="4618" max="4618" width="78.5703125" style="585" customWidth="1"/>
    <col min="4619" max="4622" width="11.7109375" style="585" customWidth="1"/>
    <col min="4623" max="4624" width="9.140625" style="585"/>
    <col min="4625" max="4625" width="11.7109375" style="585" customWidth="1"/>
    <col min="4626" max="4626" width="88.42578125" style="585" customWidth="1"/>
    <col min="4627" max="4630" width="11.7109375" style="585" customWidth="1"/>
    <col min="4631" max="4632" width="9.140625" style="585"/>
    <col min="4633" max="4633" width="11.7109375" style="585" customWidth="1"/>
    <col min="4634" max="4634" width="75.5703125" style="585" customWidth="1"/>
    <col min="4635" max="4638" width="11.7109375" style="585" customWidth="1"/>
    <col min="4639" max="4640" width="9.140625" style="585"/>
    <col min="4641" max="4641" width="11.7109375" style="585" customWidth="1"/>
    <col min="4642" max="4642" width="80.42578125" style="585" customWidth="1"/>
    <col min="4643" max="4646" width="11.7109375" style="585" customWidth="1"/>
    <col min="4647" max="4648" width="9.140625" style="585"/>
    <col min="4649" max="4649" width="11.7109375" style="585" customWidth="1"/>
    <col min="4650" max="4650" width="69.85546875" style="585" customWidth="1"/>
    <col min="4651" max="4654" width="11.7109375" style="585" customWidth="1"/>
    <col min="4655" max="4655" width="9.140625" style="585"/>
    <col min="4656" max="4656" width="11.7109375" style="585" customWidth="1"/>
    <col min="4657" max="4657" width="95.140625" style="585" customWidth="1"/>
    <col min="4658" max="4661" width="11.7109375" style="585" customWidth="1"/>
    <col min="4662" max="4662" width="9.140625" style="585"/>
    <col min="4663" max="4663" width="11.7109375" style="585" customWidth="1"/>
    <col min="4664" max="4664" width="95.140625" style="585" customWidth="1"/>
    <col min="4665" max="4668" width="11.7109375" style="585" customWidth="1"/>
    <col min="4669" max="4669" width="11.5703125" style="585" customWidth="1"/>
    <col min="4670" max="4670" width="11.7109375" style="585" customWidth="1"/>
    <col min="4671" max="4671" width="95.140625" style="585" customWidth="1"/>
    <col min="4672" max="4675" width="11.7109375" style="585" customWidth="1"/>
    <col min="4676" max="4864" width="9.140625" style="585"/>
    <col min="4865" max="4865" width="11.5703125" style="585" customWidth="1"/>
    <col min="4866" max="4866" width="103.140625" style="585" customWidth="1"/>
    <col min="4867" max="4870" width="11.7109375" style="585" customWidth="1"/>
    <col min="4871" max="4872" width="9.140625" style="585"/>
    <col min="4873" max="4873" width="11.7109375" style="585" customWidth="1"/>
    <col min="4874" max="4874" width="78.5703125" style="585" customWidth="1"/>
    <col min="4875" max="4878" width="11.7109375" style="585" customWidth="1"/>
    <col min="4879" max="4880" width="9.140625" style="585"/>
    <col min="4881" max="4881" width="11.7109375" style="585" customWidth="1"/>
    <col min="4882" max="4882" width="88.42578125" style="585" customWidth="1"/>
    <col min="4883" max="4886" width="11.7109375" style="585" customWidth="1"/>
    <col min="4887" max="4888" width="9.140625" style="585"/>
    <col min="4889" max="4889" width="11.7109375" style="585" customWidth="1"/>
    <col min="4890" max="4890" width="75.5703125" style="585" customWidth="1"/>
    <col min="4891" max="4894" width="11.7109375" style="585" customWidth="1"/>
    <col min="4895" max="4896" width="9.140625" style="585"/>
    <col min="4897" max="4897" width="11.7109375" style="585" customWidth="1"/>
    <col min="4898" max="4898" width="80.42578125" style="585" customWidth="1"/>
    <col min="4899" max="4902" width="11.7109375" style="585" customWidth="1"/>
    <col min="4903" max="4904" width="9.140625" style="585"/>
    <col min="4905" max="4905" width="11.7109375" style="585" customWidth="1"/>
    <col min="4906" max="4906" width="69.85546875" style="585" customWidth="1"/>
    <col min="4907" max="4910" width="11.7109375" style="585" customWidth="1"/>
    <col min="4911" max="4911" width="9.140625" style="585"/>
    <col min="4912" max="4912" width="11.7109375" style="585" customWidth="1"/>
    <col min="4913" max="4913" width="95.140625" style="585" customWidth="1"/>
    <col min="4914" max="4917" width="11.7109375" style="585" customWidth="1"/>
    <col min="4918" max="4918" width="9.140625" style="585"/>
    <col min="4919" max="4919" width="11.7109375" style="585" customWidth="1"/>
    <col min="4920" max="4920" width="95.140625" style="585" customWidth="1"/>
    <col min="4921" max="4924" width="11.7109375" style="585" customWidth="1"/>
    <col min="4925" max="4925" width="11.5703125" style="585" customWidth="1"/>
    <col min="4926" max="4926" width="11.7109375" style="585" customWidth="1"/>
    <col min="4927" max="4927" width="95.140625" style="585" customWidth="1"/>
    <col min="4928" max="4931" width="11.7109375" style="585" customWidth="1"/>
    <col min="4932" max="5120" width="9.140625" style="585"/>
    <col min="5121" max="5121" width="11.5703125" style="585" customWidth="1"/>
    <col min="5122" max="5122" width="103.140625" style="585" customWidth="1"/>
    <col min="5123" max="5126" width="11.7109375" style="585" customWidth="1"/>
    <col min="5127" max="5128" width="9.140625" style="585"/>
    <col min="5129" max="5129" width="11.7109375" style="585" customWidth="1"/>
    <col min="5130" max="5130" width="78.5703125" style="585" customWidth="1"/>
    <col min="5131" max="5134" width="11.7109375" style="585" customWidth="1"/>
    <col min="5135" max="5136" width="9.140625" style="585"/>
    <col min="5137" max="5137" width="11.7109375" style="585" customWidth="1"/>
    <col min="5138" max="5138" width="88.42578125" style="585" customWidth="1"/>
    <col min="5139" max="5142" width="11.7109375" style="585" customWidth="1"/>
    <col min="5143" max="5144" width="9.140625" style="585"/>
    <col min="5145" max="5145" width="11.7109375" style="585" customWidth="1"/>
    <col min="5146" max="5146" width="75.5703125" style="585" customWidth="1"/>
    <col min="5147" max="5150" width="11.7109375" style="585" customWidth="1"/>
    <col min="5151" max="5152" width="9.140625" style="585"/>
    <col min="5153" max="5153" width="11.7109375" style="585" customWidth="1"/>
    <col min="5154" max="5154" width="80.42578125" style="585" customWidth="1"/>
    <col min="5155" max="5158" width="11.7109375" style="585" customWidth="1"/>
    <col min="5159" max="5160" width="9.140625" style="585"/>
    <col min="5161" max="5161" width="11.7109375" style="585" customWidth="1"/>
    <col min="5162" max="5162" width="69.85546875" style="585" customWidth="1"/>
    <col min="5163" max="5166" width="11.7109375" style="585" customWidth="1"/>
    <col min="5167" max="5167" width="9.140625" style="585"/>
    <col min="5168" max="5168" width="11.7109375" style="585" customWidth="1"/>
    <col min="5169" max="5169" width="95.140625" style="585" customWidth="1"/>
    <col min="5170" max="5173" width="11.7109375" style="585" customWidth="1"/>
    <col min="5174" max="5174" width="9.140625" style="585"/>
    <col min="5175" max="5175" width="11.7109375" style="585" customWidth="1"/>
    <col min="5176" max="5176" width="95.140625" style="585" customWidth="1"/>
    <col min="5177" max="5180" width="11.7109375" style="585" customWidth="1"/>
    <col min="5181" max="5181" width="11.5703125" style="585" customWidth="1"/>
    <col min="5182" max="5182" width="11.7109375" style="585" customWidth="1"/>
    <col min="5183" max="5183" width="95.140625" style="585" customWidth="1"/>
    <col min="5184" max="5187" width="11.7109375" style="585" customWidth="1"/>
    <col min="5188" max="5376" width="9.140625" style="585"/>
    <col min="5377" max="5377" width="11.5703125" style="585" customWidth="1"/>
    <col min="5378" max="5378" width="103.140625" style="585" customWidth="1"/>
    <col min="5379" max="5382" width="11.7109375" style="585" customWidth="1"/>
    <col min="5383" max="5384" width="9.140625" style="585"/>
    <col min="5385" max="5385" width="11.7109375" style="585" customWidth="1"/>
    <col min="5386" max="5386" width="78.5703125" style="585" customWidth="1"/>
    <col min="5387" max="5390" width="11.7109375" style="585" customWidth="1"/>
    <col min="5391" max="5392" width="9.140625" style="585"/>
    <col min="5393" max="5393" width="11.7109375" style="585" customWidth="1"/>
    <col min="5394" max="5394" width="88.42578125" style="585" customWidth="1"/>
    <col min="5395" max="5398" width="11.7109375" style="585" customWidth="1"/>
    <col min="5399" max="5400" width="9.140625" style="585"/>
    <col min="5401" max="5401" width="11.7109375" style="585" customWidth="1"/>
    <col min="5402" max="5402" width="75.5703125" style="585" customWidth="1"/>
    <col min="5403" max="5406" width="11.7109375" style="585" customWidth="1"/>
    <col min="5407" max="5408" width="9.140625" style="585"/>
    <col min="5409" max="5409" width="11.7109375" style="585" customWidth="1"/>
    <col min="5410" max="5410" width="80.42578125" style="585" customWidth="1"/>
    <col min="5411" max="5414" width="11.7109375" style="585" customWidth="1"/>
    <col min="5415" max="5416" width="9.140625" style="585"/>
    <col min="5417" max="5417" width="11.7109375" style="585" customWidth="1"/>
    <col min="5418" max="5418" width="69.85546875" style="585" customWidth="1"/>
    <col min="5419" max="5422" width="11.7109375" style="585" customWidth="1"/>
    <col min="5423" max="5423" width="9.140625" style="585"/>
    <col min="5424" max="5424" width="11.7109375" style="585" customWidth="1"/>
    <col min="5425" max="5425" width="95.140625" style="585" customWidth="1"/>
    <col min="5426" max="5429" width="11.7109375" style="585" customWidth="1"/>
    <col min="5430" max="5430" width="9.140625" style="585"/>
    <col min="5431" max="5431" width="11.7109375" style="585" customWidth="1"/>
    <col min="5432" max="5432" width="95.140625" style="585" customWidth="1"/>
    <col min="5433" max="5436" width="11.7109375" style="585" customWidth="1"/>
    <col min="5437" max="5437" width="11.5703125" style="585" customWidth="1"/>
    <col min="5438" max="5438" width="11.7109375" style="585" customWidth="1"/>
    <col min="5439" max="5439" width="95.140625" style="585" customWidth="1"/>
    <col min="5440" max="5443" width="11.7109375" style="585" customWidth="1"/>
    <col min="5444" max="5632" width="9.140625" style="585"/>
    <col min="5633" max="5633" width="11.5703125" style="585" customWidth="1"/>
    <col min="5634" max="5634" width="103.140625" style="585" customWidth="1"/>
    <col min="5635" max="5638" width="11.7109375" style="585" customWidth="1"/>
    <col min="5639" max="5640" width="9.140625" style="585"/>
    <col min="5641" max="5641" width="11.7109375" style="585" customWidth="1"/>
    <col min="5642" max="5642" width="78.5703125" style="585" customWidth="1"/>
    <col min="5643" max="5646" width="11.7109375" style="585" customWidth="1"/>
    <col min="5647" max="5648" width="9.140625" style="585"/>
    <col min="5649" max="5649" width="11.7109375" style="585" customWidth="1"/>
    <col min="5650" max="5650" width="88.42578125" style="585" customWidth="1"/>
    <col min="5651" max="5654" width="11.7109375" style="585" customWidth="1"/>
    <col min="5655" max="5656" width="9.140625" style="585"/>
    <col min="5657" max="5657" width="11.7109375" style="585" customWidth="1"/>
    <col min="5658" max="5658" width="75.5703125" style="585" customWidth="1"/>
    <col min="5659" max="5662" width="11.7109375" style="585" customWidth="1"/>
    <col min="5663" max="5664" width="9.140625" style="585"/>
    <col min="5665" max="5665" width="11.7109375" style="585" customWidth="1"/>
    <col min="5666" max="5666" width="80.42578125" style="585" customWidth="1"/>
    <col min="5667" max="5670" width="11.7109375" style="585" customWidth="1"/>
    <col min="5671" max="5672" width="9.140625" style="585"/>
    <col min="5673" max="5673" width="11.7109375" style="585" customWidth="1"/>
    <col min="5674" max="5674" width="69.85546875" style="585" customWidth="1"/>
    <col min="5675" max="5678" width="11.7109375" style="585" customWidth="1"/>
    <col min="5679" max="5679" width="9.140625" style="585"/>
    <col min="5680" max="5680" width="11.7109375" style="585" customWidth="1"/>
    <col min="5681" max="5681" width="95.140625" style="585" customWidth="1"/>
    <col min="5682" max="5685" width="11.7109375" style="585" customWidth="1"/>
    <col min="5686" max="5686" width="9.140625" style="585"/>
    <col min="5687" max="5687" width="11.7109375" style="585" customWidth="1"/>
    <col min="5688" max="5688" width="95.140625" style="585" customWidth="1"/>
    <col min="5689" max="5692" width="11.7109375" style="585" customWidth="1"/>
    <col min="5693" max="5693" width="11.5703125" style="585" customWidth="1"/>
    <col min="5694" max="5694" width="11.7109375" style="585" customWidth="1"/>
    <col min="5695" max="5695" width="95.140625" style="585" customWidth="1"/>
    <col min="5696" max="5699" width="11.7109375" style="585" customWidth="1"/>
    <col min="5700" max="5888" width="9.140625" style="585"/>
    <col min="5889" max="5889" width="11.5703125" style="585" customWidth="1"/>
    <col min="5890" max="5890" width="103.140625" style="585" customWidth="1"/>
    <col min="5891" max="5894" width="11.7109375" style="585" customWidth="1"/>
    <col min="5895" max="5896" width="9.140625" style="585"/>
    <col min="5897" max="5897" width="11.7109375" style="585" customWidth="1"/>
    <col min="5898" max="5898" width="78.5703125" style="585" customWidth="1"/>
    <col min="5899" max="5902" width="11.7109375" style="585" customWidth="1"/>
    <col min="5903" max="5904" width="9.140625" style="585"/>
    <col min="5905" max="5905" width="11.7109375" style="585" customWidth="1"/>
    <col min="5906" max="5906" width="88.42578125" style="585" customWidth="1"/>
    <col min="5907" max="5910" width="11.7109375" style="585" customWidth="1"/>
    <col min="5911" max="5912" width="9.140625" style="585"/>
    <col min="5913" max="5913" width="11.7109375" style="585" customWidth="1"/>
    <col min="5914" max="5914" width="75.5703125" style="585" customWidth="1"/>
    <col min="5915" max="5918" width="11.7109375" style="585" customWidth="1"/>
    <col min="5919" max="5920" width="9.140625" style="585"/>
    <col min="5921" max="5921" width="11.7109375" style="585" customWidth="1"/>
    <col min="5922" max="5922" width="80.42578125" style="585" customWidth="1"/>
    <col min="5923" max="5926" width="11.7109375" style="585" customWidth="1"/>
    <col min="5927" max="5928" width="9.140625" style="585"/>
    <col min="5929" max="5929" width="11.7109375" style="585" customWidth="1"/>
    <col min="5930" max="5930" width="69.85546875" style="585" customWidth="1"/>
    <col min="5931" max="5934" width="11.7109375" style="585" customWidth="1"/>
    <col min="5935" max="5935" width="9.140625" style="585"/>
    <col min="5936" max="5936" width="11.7109375" style="585" customWidth="1"/>
    <col min="5937" max="5937" width="95.140625" style="585" customWidth="1"/>
    <col min="5938" max="5941" width="11.7109375" style="585" customWidth="1"/>
    <col min="5942" max="5942" width="9.140625" style="585"/>
    <col min="5943" max="5943" width="11.7109375" style="585" customWidth="1"/>
    <col min="5944" max="5944" width="95.140625" style="585" customWidth="1"/>
    <col min="5945" max="5948" width="11.7109375" style="585" customWidth="1"/>
    <col min="5949" max="5949" width="11.5703125" style="585" customWidth="1"/>
    <col min="5950" max="5950" width="11.7109375" style="585" customWidth="1"/>
    <col min="5951" max="5951" width="95.140625" style="585" customWidth="1"/>
    <col min="5952" max="5955" width="11.7109375" style="585" customWidth="1"/>
    <col min="5956" max="6144" width="9.140625" style="585"/>
    <col min="6145" max="6145" width="11.5703125" style="585" customWidth="1"/>
    <col min="6146" max="6146" width="103.140625" style="585" customWidth="1"/>
    <col min="6147" max="6150" width="11.7109375" style="585" customWidth="1"/>
    <col min="6151" max="6152" width="9.140625" style="585"/>
    <col min="6153" max="6153" width="11.7109375" style="585" customWidth="1"/>
    <col min="6154" max="6154" width="78.5703125" style="585" customWidth="1"/>
    <col min="6155" max="6158" width="11.7109375" style="585" customWidth="1"/>
    <col min="6159" max="6160" width="9.140625" style="585"/>
    <col min="6161" max="6161" width="11.7109375" style="585" customWidth="1"/>
    <col min="6162" max="6162" width="88.42578125" style="585" customWidth="1"/>
    <col min="6163" max="6166" width="11.7109375" style="585" customWidth="1"/>
    <col min="6167" max="6168" width="9.140625" style="585"/>
    <col min="6169" max="6169" width="11.7109375" style="585" customWidth="1"/>
    <col min="6170" max="6170" width="75.5703125" style="585" customWidth="1"/>
    <col min="6171" max="6174" width="11.7109375" style="585" customWidth="1"/>
    <col min="6175" max="6176" width="9.140625" style="585"/>
    <col min="6177" max="6177" width="11.7109375" style="585" customWidth="1"/>
    <col min="6178" max="6178" width="80.42578125" style="585" customWidth="1"/>
    <col min="6179" max="6182" width="11.7109375" style="585" customWidth="1"/>
    <col min="6183" max="6184" width="9.140625" style="585"/>
    <col min="6185" max="6185" width="11.7109375" style="585" customWidth="1"/>
    <col min="6186" max="6186" width="69.85546875" style="585" customWidth="1"/>
    <col min="6187" max="6190" width="11.7109375" style="585" customWidth="1"/>
    <col min="6191" max="6191" width="9.140625" style="585"/>
    <col min="6192" max="6192" width="11.7109375" style="585" customWidth="1"/>
    <col min="6193" max="6193" width="95.140625" style="585" customWidth="1"/>
    <col min="6194" max="6197" width="11.7109375" style="585" customWidth="1"/>
    <col min="6198" max="6198" width="9.140625" style="585"/>
    <col min="6199" max="6199" width="11.7109375" style="585" customWidth="1"/>
    <col min="6200" max="6200" width="95.140625" style="585" customWidth="1"/>
    <col min="6201" max="6204" width="11.7109375" style="585" customWidth="1"/>
    <col min="6205" max="6205" width="11.5703125" style="585" customWidth="1"/>
    <col min="6206" max="6206" width="11.7109375" style="585" customWidth="1"/>
    <col min="6207" max="6207" width="95.140625" style="585" customWidth="1"/>
    <col min="6208" max="6211" width="11.7109375" style="585" customWidth="1"/>
    <col min="6212" max="6400" width="9.140625" style="585"/>
    <col min="6401" max="6401" width="11.5703125" style="585" customWidth="1"/>
    <col min="6402" max="6402" width="103.140625" style="585" customWidth="1"/>
    <col min="6403" max="6406" width="11.7109375" style="585" customWidth="1"/>
    <col min="6407" max="6408" width="9.140625" style="585"/>
    <col min="6409" max="6409" width="11.7109375" style="585" customWidth="1"/>
    <col min="6410" max="6410" width="78.5703125" style="585" customWidth="1"/>
    <col min="6411" max="6414" width="11.7109375" style="585" customWidth="1"/>
    <col min="6415" max="6416" width="9.140625" style="585"/>
    <col min="6417" max="6417" width="11.7109375" style="585" customWidth="1"/>
    <col min="6418" max="6418" width="88.42578125" style="585" customWidth="1"/>
    <col min="6419" max="6422" width="11.7109375" style="585" customWidth="1"/>
    <col min="6423" max="6424" width="9.140625" style="585"/>
    <col min="6425" max="6425" width="11.7109375" style="585" customWidth="1"/>
    <col min="6426" max="6426" width="75.5703125" style="585" customWidth="1"/>
    <col min="6427" max="6430" width="11.7109375" style="585" customWidth="1"/>
    <col min="6431" max="6432" width="9.140625" style="585"/>
    <col min="6433" max="6433" width="11.7109375" style="585" customWidth="1"/>
    <col min="6434" max="6434" width="80.42578125" style="585" customWidth="1"/>
    <col min="6435" max="6438" width="11.7109375" style="585" customWidth="1"/>
    <col min="6439" max="6440" width="9.140625" style="585"/>
    <col min="6441" max="6441" width="11.7109375" style="585" customWidth="1"/>
    <col min="6442" max="6442" width="69.85546875" style="585" customWidth="1"/>
    <col min="6443" max="6446" width="11.7109375" style="585" customWidth="1"/>
    <col min="6447" max="6447" width="9.140625" style="585"/>
    <col min="6448" max="6448" width="11.7109375" style="585" customWidth="1"/>
    <col min="6449" max="6449" width="95.140625" style="585" customWidth="1"/>
    <col min="6450" max="6453" width="11.7109375" style="585" customWidth="1"/>
    <col min="6454" max="6454" width="9.140625" style="585"/>
    <col min="6455" max="6455" width="11.7109375" style="585" customWidth="1"/>
    <col min="6456" max="6456" width="95.140625" style="585" customWidth="1"/>
    <col min="6457" max="6460" width="11.7109375" style="585" customWidth="1"/>
    <col min="6461" max="6461" width="11.5703125" style="585" customWidth="1"/>
    <col min="6462" max="6462" width="11.7109375" style="585" customWidth="1"/>
    <col min="6463" max="6463" width="95.140625" style="585" customWidth="1"/>
    <col min="6464" max="6467" width="11.7109375" style="585" customWidth="1"/>
    <col min="6468" max="6656" width="9.140625" style="585"/>
    <col min="6657" max="6657" width="11.5703125" style="585" customWidth="1"/>
    <col min="6658" max="6658" width="103.140625" style="585" customWidth="1"/>
    <col min="6659" max="6662" width="11.7109375" style="585" customWidth="1"/>
    <col min="6663" max="6664" width="9.140625" style="585"/>
    <col min="6665" max="6665" width="11.7109375" style="585" customWidth="1"/>
    <col min="6666" max="6666" width="78.5703125" style="585" customWidth="1"/>
    <col min="6667" max="6670" width="11.7109375" style="585" customWidth="1"/>
    <col min="6671" max="6672" width="9.140625" style="585"/>
    <col min="6673" max="6673" width="11.7109375" style="585" customWidth="1"/>
    <col min="6674" max="6674" width="88.42578125" style="585" customWidth="1"/>
    <col min="6675" max="6678" width="11.7109375" style="585" customWidth="1"/>
    <col min="6679" max="6680" width="9.140625" style="585"/>
    <col min="6681" max="6681" width="11.7109375" style="585" customWidth="1"/>
    <col min="6682" max="6682" width="75.5703125" style="585" customWidth="1"/>
    <col min="6683" max="6686" width="11.7109375" style="585" customWidth="1"/>
    <col min="6687" max="6688" width="9.140625" style="585"/>
    <col min="6689" max="6689" width="11.7109375" style="585" customWidth="1"/>
    <col min="6690" max="6690" width="80.42578125" style="585" customWidth="1"/>
    <col min="6691" max="6694" width="11.7109375" style="585" customWidth="1"/>
    <col min="6695" max="6696" width="9.140625" style="585"/>
    <col min="6697" max="6697" width="11.7109375" style="585" customWidth="1"/>
    <col min="6698" max="6698" width="69.85546875" style="585" customWidth="1"/>
    <col min="6699" max="6702" width="11.7109375" style="585" customWidth="1"/>
    <col min="6703" max="6703" width="9.140625" style="585"/>
    <col min="6704" max="6704" width="11.7109375" style="585" customWidth="1"/>
    <col min="6705" max="6705" width="95.140625" style="585" customWidth="1"/>
    <col min="6706" max="6709" width="11.7109375" style="585" customWidth="1"/>
    <col min="6710" max="6710" width="9.140625" style="585"/>
    <col min="6711" max="6711" width="11.7109375" style="585" customWidth="1"/>
    <col min="6712" max="6712" width="95.140625" style="585" customWidth="1"/>
    <col min="6713" max="6716" width="11.7109375" style="585" customWidth="1"/>
    <col min="6717" max="6717" width="11.5703125" style="585" customWidth="1"/>
    <col min="6718" max="6718" width="11.7109375" style="585" customWidth="1"/>
    <col min="6719" max="6719" width="95.140625" style="585" customWidth="1"/>
    <col min="6720" max="6723" width="11.7109375" style="585" customWidth="1"/>
    <col min="6724" max="6912" width="9.140625" style="585"/>
    <col min="6913" max="6913" width="11.5703125" style="585" customWidth="1"/>
    <col min="6914" max="6914" width="103.140625" style="585" customWidth="1"/>
    <col min="6915" max="6918" width="11.7109375" style="585" customWidth="1"/>
    <col min="6919" max="6920" width="9.140625" style="585"/>
    <col min="6921" max="6921" width="11.7109375" style="585" customWidth="1"/>
    <col min="6922" max="6922" width="78.5703125" style="585" customWidth="1"/>
    <col min="6923" max="6926" width="11.7109375" style="585" customWidth="1"/>
    <col min="6927" max="6928" width="9.140625" style="585"/>
    <col min="6929" max="6929" width="11.7109375" style="585" customWidth="1"/>
    <col min="6930" max="6930" width="88.42578125" style="585" customWidth="1"/>
    <col min="6931" max="6934" width="11.7109375" style="585" customWidth="1"/>
    <col min="6935" max="6936" width="9.140625" style="585"/>
    <col min="6937" max="6937" width="11.7109375" style="585" customWidth="1"/>
    <col min="6938" max="6938" width="75.5703125" style="585" customWidth="1"/>
    <col min="6939" max="6942" width="11.7109375" style="585" customWidth="1"/>
    <col min="6943" max="6944" width="9.140625" style="585"/>
    <col min="6945" max="6945" width="11.7109375" style="585" customWidth="1"/>
    <col min="6946" max="6946" width="80.42578125" style="585" customWidth="1"/>
    <col min="6947" max="6950" width="11.7109375" style="585" customWidth="1"/>
    <col min="6951" max="6952" width="9.140625" style="585"/>
    <col min="6953" max="6953" width="11.7109375" style="585" customWidth="1"/>
    <col min="6954" max="6954" width="69.85546875" style="585" customWidth="1"/>
    <col min="6955" max="6958" width="11.7109375" style="585" customWidth="1"/>
    <col min="6959" max="6959" width="9.140625" style="585"/>
    <col min="6960" max="6960" width="11.7109375" style="585" customWidth="1"/>
    <col min="6961" max="6961" width="95.140625" style="585" customWidth="1"/>
    <col min="6962" max="6965" width="11.7109375" style="585" customWidth="1"/>
    <col min="6966" max="6966" width="9.140625" style="585"/>
    <col min="6967" max="6967" width="11.7109375" style="585" customWidth="1"/>
    <col min="6968" max="6968" width="95.140625" style="585" customWidth="1"/>
    <col min="6969" max="6972" width="11.7109375" style="585" customWidth="1"/>
    <col min="6973" max="6973" width="11.5703125" style="585" customWidth="1"/>
    <col min="6974" max="6974" width="11.7109375" style="585" customWidth="1"/>
    <col min="6975" max="6975" width="95.140625" style="585" customWidth="1"/>
    <col min="6976" max="6979" width="11.7109375" style="585" customWidth="1"/>
    <col min="6980" max="7168" width="9.140625" style="585"/>
    <col min="7169" max="7169" width="11.5703125" style="585" customWidth="1"/>
    <col min="7170" max="7170" width="103.140625" style="585" customWidth="1"/>
    <col min="7171" max="7174" width="11.7109375" style="585" customWidth="1"/>
    <col min="7175" max="7176" width="9.140625" style="585"/>
    <col min="7177" max="7177" width="11.7109375" style="585" customWidth="1"/>
    <col min="7178" max="7178" width="78.5703125" style="585" customWidth="1"/>
    <col min="7179" max="7182" width="11.7109375" style="585" customWidth="1"/>
    <col min="7183" max="7184" width="9.140625" style="585"/>
    <col min="7185" max="7185" width="11.7109375" style="585" customWidth="1"/>
    <col min="7186" max="7186" width="88.42578125" style="585" customWidth="1"/>
    <col min="7187" max="7190" width="11.7109375" style="585" customWidth="1"/>
    <col min="7191" max="7192" width="9.140625" style="585"/>
    <col min="7193" max="7193" width="11.7109375" style="585" customWidth="1"/>
    <col min="7194" max="7194" width="75.5703125" style="585" customWidth="1"/>
    <col min="7195" max="7198" width="11.7109375" style="585" customWidth="1"/>
    <col min="7199" max="7200" width="9.140625" style="585"/>
    <col min="7201" max="7201" width="11.7109375" style="585" customWidth="1"/>
    <col min="7202" max="7202" width="80.42578125" style="585" customWidth="1"/>
    <col min="7203" max="7206" width="11.7109375" style="585" customWidth="1"/>
    <col min="7207" max="7208" width="9.140625" style="585"/>
    <col min="7209" max="7209" width="11.7109375" style="585" customWidth="1"/>
    <col min="7210" max="7210" width="69.85546875" style="585" customWidth="1"/>
    <col min="7211" max="7214" width="11.7109375" style="585" customWidth="1"/>
    <col min="7215" max="7215" width="9.140625" style="585"/>
    <col min="7216" max="7216" width="11.7109375" style="585" customWidth="1"/>
    <col min="7217" max="7217" width="95.140625" style="585" customWidth="1"/>
    <col min="7218" max="7221" width="11.7109375" style="585" customWidth="1"/>
    <col min="7222" max="7222" width="9.140625" style="585"/>
    <col min="7223" max="7223" width="11.7109375" style="585" customWidth="1"/>
    <col min="7224" max="7224" width="95.140625" style="585" customWidth="1"/>
    <col min="7225" max="7228" width="11.7109375" style="585" customWidth="1"/>
    <col min="7229" max="7229" width="11.5703125" style="585" customWidth="1"/>
    <col min="7230" max="7230" width="11.7109375" style="585" customWidth="1"/>
    <col min="7231" max="7231" width="95.140625" style="585" customWidth="1"/>
    <col min="7232" max="7235" width="11.7109375" style="585" customWidth="1"/>
    <col min="7236" max="7424" width="9.140625" style="585"/>
    <col min="7425" max="7425" width="11.5703125" style="585" customWidth="1"/>
    <col min="7426" max="7426" width="103.140625" style="585" customWidth="1"/>
    <col min="7427" max="7430" width="11.7109375" style="585" customWidth="1"/>
    <col min="7431" max="7432" width="9.140625" style="585"/>
    <col min="7433" max="7433" width="11.7109375" style="585" customWidth="1"/>
    <col min="7434" max="7434" width="78.5703125" style="585" customWidth="1"/>
    <col min="7435" max="7438" width="11.7109375" style="585" customWidth="1"/>
    <col min="7439" max="7440" width="9.140625" style="585"/>
    <col min="7441" max="7441" width="11.7109375" style="585" customWidth="1"/>
    <col min="7442" max="7442" width="88.42578125" style="585" customWidth="1"/>
    <col min="7443" max="7446" width="11.7109375" style="585" customWidth="1"/>
    <col min="7447" max="7448" width="9.140625" style="585"/>
    <col min="7449" max="7449" width="11.7109375" style="585" customWidth="1"/>
    <col min="7450" max="7450" width="75.5703125" style="585" customWidth="1"/>
    <col min="7451" max="7454" width="11.7109375" style="585" customWidth="1"/>
    <col min="7455" max="7456" width="9.140625" style="585"/>
    <col min="7457" max="7457" width="11.7109375" style="585" customWidth="1"/>
    <col min="7458" max="7458" width="80.42578125" style="585" customWidth="1"/>
    <col min="7459" max="7462" width="11.7109375" style="585" customWidth="1"/>
    <col min="7463" max="7464" width="9.140625" style="585"/>
    <col min="7465" max="7465" width="11.7109375" style="585" customWidth="1"/>
    <col min="7466" max="7466" width="69.85546875" style="585" customWidth="1"/>
    <col min="7467" max="7470" width="11.7109375" style="585" customWidth="1"/>
    <col min="7471" max="7471" width="9.140625" style="585"/>
    <col min="7472" max="7472" width="11.7109375" style="585" customWidth="1"/>
    <col min="7473" max="7473" width="95.140625" style="585" customWidth="1"/>
    <col min="7474" max="7477" width="11.7109375" style="585" customWidth="1"/>
    <col min="7478" max="7478" width="9.140625" style="585"/>
    <col min="7479" max="7479" width="11.7109375" style="585" customWidth="1"/>
    <col min="7480" max="7480" width="95.140625" style="585" customWidth="1"/>
    <col min="7481" max="7484" width="11.7109375" style="585" customWidth="1"/>
    <col min="7485" max="7485" width="11.5703125" style="585" customWidth="1"/>
    <col min="7486" max="7486" width="11.7109375" style="585" customWidth="1"/>
    <col min="7487" max="7487" width="95.140625" style="585" customWidth="1"/>
    <col min="7488" max="7491" width="11.7109375" style="585" customWidth="1"/>
    <col min="7492" max="7680" width="9.140625" style="585"/>
    <col min="7681" max="7681" width="11.5703125" style="585" customWidth="1"/>
    <col min="7682" max="7682" width="103.140625" style="585" customWidth="1"/>
    <col min="7683" max="7686" width="11.7109375" style="585" customWidth="1"/>
    <col min="7687" max="7688" width="9.140625" style="585"/>
    <col min="7689" max="7689" width="11.7109375" style="585" customWidth="1"/>
    <col min="7690" max="7690" width="78.5703125" style="585" customWidth="1"/>
    <col min="7691" max="7694" width="11.7109375" style="585" customWidth="1"/>
    <col min="7695" max="7696" width="9.140625" style="585"/>
    <col min="7697" max="7697" width="11.7109375" style="585" customWidth="1"/>
    <col min="7698" max="7698" width="88.42578125" style="585" customWidth="1"/>
    <col min="7699" max="7702" width="11.7109375" style="585" customWidth="1"/>
    <col min="7703" max="7704" width="9.140625" style="585"/>
    <col min="7705" max="7705" width="11.7109375" style="585" customWidth="1"/>
    <col min="7706" max="7706" width="75.5703125" style="585" customWidth="1"/>
    <col min="7707" max="7710" width="11.7109375" style="585" customWidth="1"/>
    <col min="7711" max="7712" width="9.140625" style="585"/>
    <col min="7713" max="7713" width="11.7109375" style="585" customWidth="1"/>
    <col min="7714" max="7714" width="80.42578125" style="585" customWidth="1"/>
    <col min="7715" max="7718" width="11.7109375" style="585" customWidth="1"/>
    <col min="7719" max="7720" width="9.140625" style="585"/>
    <col min="7721" max="7721" width="11.7109375" style="585" customWidth="1"/>
    <col min="7722" max="7722" width="69.85546875" style="585" customWidth="1"/>
    <col min="7723" max="7726" width="11.7109375" style="585" customWidth="1"/>
    <col min="7727" max="7727" width="9.140625" style="585"/>
    <col min="7728" max="7728" width="11.7109375" style="585" customWidth="1"/>
    <col min="7729" max="7729" width="95.140625" style="585" customWidth="1"/>
    <col min="7730" max="7733" width="11.7109375" style="585" customWidth="1"/>
    <col min="7734" max="7734" width="9.140625" style="585"/>
    <col min="7735" max="7735" width="11.7109375" style="585" customWidth="1"/>
    <col min="7736" max="7736" width="95.140625" style="585" customWidth="1"/>
    <col min="7737" max="7740" width="11.7109375" style="585" customWidth="1"/>
    <col min="7741" max="7741" width="11.5703125" style="585" customWidth="1"/>
    <col min="7742" max="7742" width="11.7109375" style="585" customWidth="1"/>
    <col min="7743" max="7743" width="95.140625" style="585" customWidth="1"/>
    <col min="7744" max="7747" width="11.7109375" style="585" customWidth="1"/>
    <col min="7748" max="7936" width="9.140625" style="585"/>
    <col min="7937" max="7937" width="11.5703125" style="585" customWidth="1"/>
    <col min="7938" max="7938" width="103.140625" style="585" customWidth="1"/>
    <col min="7939" max="7942" width="11.7109375" style="585" customWidth="1"/>
    <col min="7943" max="7944" width="9.140625" style="585"/>
    <col min="7945" max="7945" width="11.7109375" style="585" customWidth="1"/>
    <col min="7946" max="7946" width="78.5703125" style="585" customWidth="1"/>
    <col min="7947" max="7950" width="11.7109375" style="585" customWidth="1"/>
    <col min="7951" max="7952" width="9.140625" style="585"/>
    <col min="7953" max="7953" width="11.7109375" style="585" customWidth="1"/>
    <col min="7954" max="7954" width="88.42578125" style="585" customWidth="1"/>
    <col min="7955" max="7958" width="11.7109375" style="585" customWidth="1"/>
    <col min="7959" max="7960" width="9.140625" style="585"/>
    <col min="7961" max="7961" width="11.7109375" style="585" customWidth="1"/>
    <col min="7962" max="7962" width="75.5703125" style="585" customWidth="1"/>
    <col min="7963" max="7966" width="11.7109375" style="585" customWidth="1"/>
    <col min="7967" max="7968" width="9.140625" style="585"/>
    <col min="7969" max="7969" width="11.7109375" style="585" customWidth="1"/>
    <col min="7970" max="7970" width="80.42578125" style="585" customWidth="1"/>
    <col min="7971" max="7974" width="11.7109375" style="585" customWidth="1"/>
    <col min="7975" max="7976" width="9.140625" style="585"/>
    <col min="7977" max="7977" width="11.7109375" style="585" customWidth="1"/>
    <col min="7978" max="7978" width="69.85546875" style="585" customWidth="1"/>
    <col min="7979" max="7982" width="11.7109375" style="585" customWidth="1"/>
    <col min="7983" max="7983" width="9.140625" style="585"/>
    <col min="7984" max="7984" width="11.7109375" style="585" customWidth="1"/>
    <col min="7985" max="7985" width="95.140625" style="585" customWidth="1"/>
    <col min="7986" max="7989" width="11.7109375" style="585" customWidth="1"/>
    <col min="7990" max="7990" width="9.140625" style="585"/>
    <col min="7991" max="7991" width="11.7109375" style="585" customWidth="1"/>
    <col min="7992" max="7992" width="95.140625" style="585" customWidth="1"/>
    <col min="7993" max="7996" width="11.7109375" style="585" customWidth="1"/>
    <col min="7997" max="7997" width="11.5703125" style="585" customWidth="1"/>
    <col min="7998" max="7998" width="11.7109375" style="585" customWidth="1"/>
    <col min="7999" max="7999" width="95.140625" style="585" customWidth="1"/>
    <col min="8000" max="8003" width="11.7109375" style="585" customWidth="1"/>
    <col min="8004" max="8192" width="9.140625" style="585"/>
    <col min="8193" max="8193" width="11.5703125" style="585" customWidth="1"/>
    <col min="8194" max="8194" width="103.140625" style="585" customWidth="1"/>
    <col min="8195" max="8198" width="11.7109375" style="585" customWidth="1"/>
    <col min="8199" max="8200" width="9.140625" style="585"/>
    <col min="8201" max="8201" width="11.7109375" style="585" customWidth="1"/>
    <col min="8202" max="8202" width="78.5703125" style="585" customWidth="1"/>
    <col min="8203" max="8206" width="11.7109375" style="585" customWidth="1"/>
    <col min="8207" max="8208" width="9.140625" style="585"/>
    <col min="8209" max="8209" width="11.7109375" style="585" customWidth="1"/>
    <col min="8210" max="8210" width="88.42578125" style="585" customWidth="1"/>
    <col min="8211" max="8214" width="11.7109375" style="585" customWidth="1"/>
    <col min="8215" max="8216" width="9.140625" style="585"/>
    <col min="8217" max="8217" width="11.7109375" style="585" customWidth="1"/>
    <col min="8218" max="8218" width="75.5703125" style="585" customWidth="1"/>
    <col min="8219" max="8222" width="11.7109375" style="585" customWidth="1"/>
    <col min="8223" max="8224" width="9.140625" style="585"/>
    <col min="8225" max="8225" width="11.7109375" style="585" customWidth="1"/>
    <col min="8226" max="8226" width="80.42578125" style="585" customWidth="1"/>
    <col min="8227" max="8230" width="11.7109375" style="585" customWidth="1"/>
    <col min="8231" max="8232" width="9.140625" style="585"/>
    <col min="8233" max="8233" width="11.7109375" style="585" customWidth="1"/>
    <col min="8234" max="8234" width="69.85546875" style="585" customWidth="1"/>
    <col min="8235" max="8238" width="11.7109375" style="585" customWidth="1"/>
    <col min="8239" max="8239" width="9.140625" style="585"/>
    <col min="8240" max="8240" width="11.7109375" style="585" customWidth="1"/>
    <col min="8241" max="8241" width="95.140625" style="585" customWidth="1"/>
    <col min="8242" max="8245" width="11.7109375" style="585" customWidth="1"/>
    <col min="8246" max="8246" width="9.140625" style="585"/>
    <col min="8247" max="8247" width="11.7109375" style="585" customWidth="1"/>
    <col min="8248" max="8248" width="95.140625" style="585" customWidth="1"/>
    <col min="8249" max="8252" width="11.7109375" style="585" customWidth="1"/>
    <col min="8253" max="8253" width="11.5703125" style="585" customWidth="1"/>
    <col min="8254" max="8254" width="11.7109375" style="585" customWidth="1"/>
    <col min="8255" max="8255" width="95.140625" style="585" customWidth="1"/>
    <col min="8256" max="8259" width="11.7109375" style="585" customWidth="1"/>
    <col min="8260" max="8448" width="9.140625" style="585"/>
    <col min="8449" max="8449" width="11.5703125" style="585" customWidth="1"/>
    <col min="8450" max="8450" width="103.140625" style="585" customWidth="1"/>
    <col min="8451" max="8454" width="11.7109375" style="585" customWidth="1"/>
    <col min="8455" max="8456" width="9.140625" style="585"/>
    <col min="8457" max="8457" width="11.7109375" style="585" customWidth="1"/>
    <col min="8458" max="8458" width="78.5703125" style="585" customWidth="1"/>
    <col min="8459" max="8462" width="11.7109375" style="585" customWidth="1"/>
    <col min="8463" max="8464" width="9.140625" style="585"/>
    <col min="8465" max="8465" width="11.7109375" style="585" customWidth="1"/>
    <col min="8466" max="8466" width="88.42578125" style="585" customWidth="1"/>
    <col min="8467" max="8470" width="11.7109375" style="585" customWidth="1"/>
    <col min="8471" max="8472" width="9.140625" style="585"/>
    <col min="8473" max="8473" width="11.7109375" style="585" customWidth="1"/>
    <col min="8474" max="8474" width="75.5703125" style="585" customWidth="1"/>
    <col min="8475" max="8478" width="11.7109375" style="585" customWidth="1"/>
    <col min="8479" max="8480" width="9.140625" style="585"/>
    <col min="8481" max="8481" width="11.7109375" style="585" customWidth="1"/>
    <col min="8482" max="8482" width="80.42578125" style="585" customWidth="1"/>
    <col min="8483" max="8486" width="11.7109375" style="585" customWidth="1"/>
    <col min="8487" max="8488" width="9.140625" style="585"/>
    <col min="8489" max="8489" width="11.7109375" style="585" customWidth="1"/>
    <col min="8490" max="8490" width="69.85546875" style="585" customWidth="1"/>
    <col min="8491" max="8494" width="11.7109375" style="585" customWidth="1"/>
    <col min="8495" max="8495" width="9.140625" style="585"/>
    <col min="8496" max="8496" width="11.7109375" style="585" customWidth="1"/>
    <col min="8497" max="8497" width="95.140625" style="585" customWidth="1"/>
    <col min="8498" max="8501" width="11.7109375" style="585" customWidth="1"/>
    <col min="8502" max="8502" width="9.140625" style="585"/>
    <col min="8503" max="8503" width="11.7109375" style="585" customWidth="1"/>
    <col min="8504" max="8504" width="95.140625" style="585" customWidth="1"/>
    <col min="8505" max="8508" width="11.7109375" style="585" customWidth="1"/>
    <col min="8509" max="8509" width="11.5703125" style="585" customWidth="1"/>
    <col min="8510" max="8510" width="11.7109375" style="585" customWidth="1"/>
    <col min="8511" max="8511" width="95.140625" style="585" customWidth="1"/>
    <col min="8512" max="8515" width="11.7109375" style="585" customWidth="1"/>
    <col min="8516" max="8704" width="9.140625" style="585"/>
    <col min="8705" max="8705" width="11.5703125" style="585" customWidth="1"/>
    <col min="8706" max="8706" width="103.140625" style="585" customWidth="1"/>
    <col min="8707" max="8710" width="11.7109375" style="585" customWidth="1"/>
    <col min="8711" max="8712" width="9.140625" style="585"/>
    <col min="8713" max="8713" width="11.7109375" style="585" customWidth="1"/>
    <col min="8714" max="8714" width="78.5703125" style="585" customWidth="1"/>
    <col min="8715" max="8718" width="11.7109375" style="585" customWidth="1"/>
    <col min="8719" max="8720" width="9.140625" style="585"/>
    <col min="8721" max="8721" width="11.7109375" style="585" customWidth="1"/>
    <col min="8722" max="8722" width="88.42578125" style="585" customWidth="1"/>
    <col min="8723" max="8726" width="11.7109375" style="585" customWidth="1"/>
    <col min="8727" max="8728" width="9.140625" style="585"/>
    <col min="8729" max="8729" width="11.7109375" style="585" customWidth="1"/>
    <col min="8730" max="8730" width="75.5703125" style="585" customWidth="1"/>
    <col min="8731" max="8734" width="11.7109375" style="585" customWidth="1"/>
    <col min="8735" max="8736" width="9.140625" style="585"/>
    <col min="8737" max="8737" width="11.7109375" style="585" customWidth="1"/>
    <col min="8738" max="8738" width="80.42578125" style="585" customWidth="1"/>
    <col min="8739" max="8742" width="11.7109375" style="585" customWidth="1"/>
    <col min="8743" max="8744" width="9.140625" style="585"/>
    <col min="8745" max="8745" width="11.7109375" style="585" customWidth="1"/>
    <col min="8746" max="8746" width="69.85546875" style="585" customWidth="1"/>
    <col min="8747" max="8750" width="11.7109375" style="585" customWidth="1"/>
    <col min="8751" max="8751" width="9.140625" style="585"/>
    <col min="8752" max="8752" width="11.7109375" style="585" customWidth="1"/>
    <col min="8753" max="8753" width="95.140625" style="585" customWidth="1"/>
    <col min="8754" max="8757" width="11.7109375" style="585" customWidth="1"/>
    <col min="8758" max="8758" width="9.140625" style="585"/>
    <col min="8759" max="8759" width="11.7109375" style="585" customWidth="1"/>
    <col min="8760" max="8760" width="95.140625" style="585" customWidth="1"/>
    <col min="8761" max="8764" width="11.7109375" style="585" customWidth="1"/>
    <col min="8765" max="8765" width="11.5703125" style="585" customWidth="1"/>
    <col min="8766" max="8766" width="11.7109375" style="585" customWidth="1"/>
    <col min="8767" max="8767" width="95.140625" style="585" customWidth="1"/>
    <col min="8768" max="8771" width="11.7109375" style="585" customWidth="1"/>
    <col min="8772" max="8960" width="9.140625" style="585"/>
    <col min="8961" max="8961" width="11.5703125" style="585" customWidth="1"/>
    <col min="8962" max="8962" width="103.140625" style="585" customWidth="1"/>
    <col min="8963" max="8966" width="11.7109375" style="585" customWidth="1"/>
    <col min="8967" max="8968" width="9.140625" style="585"/>
    <col min="8969" max="8969" width="11.7109375" style="585" customWidth="1"/>
    <col min="8970" max="8970" width="78.5703125" style="585" customWidth="1"/>
    <col min="8971" max="8974" width="11.7109375" style="585" customWidth="1"/>
    <col min="8975" max="8976" width="9.140625" style="585"/>
    <col min="8977" max="8977" width="11.7109375" style="585" customWidth="1"/>
    <col min="8978" max="8978" width="88.42578125" style="585" customWidth="1"/>
    <col min="8979" max="8982" width="11.7109375" style="585" customWidth="1"/>
    <col min="8983" max="8984" width="9.140625" style="585"/>
    <col min="8985" max="8985" width="11.7109375" style="585" customWidth="1"/>
    <col min="8986" max="8986" width="75.5703125" style="585" customWidth="1"/>
    <col min="8987" max="8990" width="11.7109375" style="585" customWidth="1"/>
    <col min="8991" max="8992" width="9.140625" style="585"/>
    <col min="8993" max="8993" width="11.7109375" style="585" customWidth="1"/>
    <col min="8994" max="8994" width="80.42578125" style="585" customWidth="1"/>
    <col min="8995" max="8998" width="11.7109375" style="585" customWidth="1"/>
    <col min="8999" max="9000" width="9.140625" style="585"/>
    <col min="9001" max="9001" width="11.7109375" style="585" customWidth="1"/>
    <col min="9002" max="9002" width="69.85546875" style="585" customWidth="1"/>
    <col min="9003" max="9006" width="11.7109375" style="585" customWidth="1"/>
    <col min="9007" max="9007" width="9.140625" style="585"/>
    <col min="9008" max="9008" width="11.7109375" style="585" customWidth="1"/>
    <col min="9009" max="9009" width="95.140625" style="585" customWidth="1"/>
    <col min="9010" max="9013" width="11.7109375" style="585" customWidth="1"/>
    <col min="9014" max="9014" width="9.140625" style="585"/>
    <col min="9015" max="9015" width="11.7109375" style="585" customWidth="1"/>
    <col min="9016" max="9016" width="95.140625" style="585" customWidth="1"/>
    <col min="9017" max="9020" width="11.7109375" style="585" customWidth="1"/>
    <col min="9021" max="9021" width="11.5703125" style="585" customWidth="1"/>
    <col min="9022" max="9022" width="11.7109375" style="585" customWidth="1"/>
    <col min="9023" max="9023" width="95.140625" style="585" customWidth="1"/>
    <col min="9024" max="9027" width="11.7109375" style="585" customWidth="1"/>
    <col min="9028" max="9216" width="9.140625" style="585"/>
    <col min="9217" max="9217" width="11.5703125" style="585" customWidth="1"/>
    <col min="9218" max="9218" width="103.140625" style="585" customWidth="1"/>
    <col min="9219" max="9222" width="11.7109375" style="585" customWidth="1"/>
    <col min="9223" max="9224" width="9.140625" style="585"/>
    <col min="9225" max="9225" width="11.7109375" style="585" customWidth="1"/>
    <col min="9226" max="9226" width="78.5703125" style="585" customWidth="1"/>
    <col min="9227" max="9230" width="11.7109375" style="585" customWidth="1"/>
    <col min="9231" max="9232" width="9.140625" style="585"/>
    <col min="9233" max="9233" width="11.7109375" style="585" customWidth="1"/>
    <col min="9234" max="9234" width="88.42578125" style="585" customWidth="1"/>
    <col min="9235" max="9238" width="11.7109375" style="585" customWidth="1"/>
    <col min="9239" max="9240" width="9.140625" style="585"/>
    <col min="9241" max="9241" width="11.7109375" style="585" customWidth="1"/>
    <col min="9242" max="9242" width="75.5703125" style="585" customWidth="1"/>
    <col min="9243" max="9246" width="11.7109375" style="585" customWidth="1"/>
    <col min="9247" max="9248" width="9.140625" style="585"/>
    <col min="9249" max="9249" width="11.7109375" style="585" customWidth="1"/>
    <col min="9250" max="9250" width="80.42578125" style="585" customWidth="1"/>
    <col min="9251" max="9254" width="11.7109375" style="585" customWidth="1"/>
    <col min="9255" max="9256" width="9.140625" style="585"/>
    <col min="9257" max="9257" width="11.7109375" style="585" customWidth="1"/>
    <col min="9258" max="9258" width="69.85546875" style="585" customWidth="1"/>
    <col min="9259" max="9262" width="11.7109375" style="585" customWidth="1"/>
    <col min="9263" max="9263" width="9.140625" style="585"/>
    <col min="9264" max="9264" width="11.7109375" style="585" customWidth="1"/>
    <col min="9265" max="9265" width="95.140625" style="585" customWidth="1"/>
    <col min="9266" max="9269" width="11.7109375" style="585" customWidth="1"/>
    <col min="9270" max="9270" width="9.140625" style="585"/>
    <col min="9271" max="9271" width="11.7109375" style="585" customWidth="1"/>
    <col min="9272" max="9272" width="95.140625" style="585" customWidth="1"/>
    <col min="9273" max="9276" width="11.7109375" style="585" customWidth="1"/>
    <col min="9277" max="9277" width="11.5703125" style="585" customWidth="1"/>
    <col min="9278" max="9278" width="11.7109375" style="585" customWidth="1"/>
    <col min="9279" max="9279" width="95.140625" style="585" customWidth="1"/>
    <col min="9280" max="9283" width="11.7109375" style="585" customWidth="1"/>
    <col min="9284" max="9472" width="9.140625" style="585"/>
    <col min="9473" max="9473" width="11.5703125" style="585" customWidth="1"/>
    <col min="9474" max="9474" width="103.140625" style="585" customWidth="1"/>
    <col min="9475" max="9478" width="11.7109375" style="585" customWidth="1"/>
    <col min="9479" max="9480" width="9.140625" style="585"/>
    <col min="9481" max="9481" width="11.7109375" style="585" customWidth="1"/>
    <col min="9482" max="9482" width="78.5703125" style="585" customWidth="1"/>
    <col min="9483" max="9486" width="11.7109375" style="585" customWidth="1"/>
    <col min="9487" max="9488" width="9.140625" style="585"/>
    <col min="9489" max="9489" width="11.7109375" style="585" customWidth="1"/>
    <col min="9490" max="9490" width="88.42578125" style="585" customWidth="1"/>
    <col min="9491" max="9494" width="11.7109375" style="585" customWidth="1"/>
    <col min="9495" max="9496" width="9.140625" style="585"/>
    <col min="9497" max="9497" width="11.7109375" style="585" customWidth="1"/>
    <col min="9498" max="9498" width="75.5703125" style="585" customWidth="1"/>
    <col min="9499" max="9502" width="11.7109375" style="585" customWidth="1"/>
    <col min="9503" max="9504" width="9.140625" style="585"/>
    <col min="9505" max="9505" width="11.7109375" style="585" customWidth="1"/>
    <col min="9506" max="9506" width="80.42578125" style="585" customWidth="1"/>
    <col min="9507" max="9510" width="11.7109375" style="585" customWidth="1"/>
    <col min="9511" max="9512" width="9.140625" style="585"/>
    <col min="9513" max="9513" width="11.7109375" style="585" customWidth="1"/>
    <col min="9514" max="9514" width="69.85546875" style="585" customWidth="1"/>
    <col min="9515" max="9518" width="11.7109375" style="585" customWidth="1"/>
    <col min="9519" max="9519" width="9.140625" style="585"/>
    <col min="9520" max="9520" width="11.7109375" style="585" customWidth="1"/>
    <col min="9521" max="9521" width="95.140625" style="585" customWidth="1"/>
    <col min="9522" max="9525" width="11.7109375" style="585" customWidth="1"/>
    <col min="9526" max="9526" width="9.140625" style="585"/>
    <col min="9527" max="9527" width="11.7109375" style="585" customWidth="1"/>
    <col min="9528" max="9528" width="95.140625" style="585" customWidth="1"/>
    <col min="9529" max="9532" width="11.7109375" style="585" customWidth="1"/>
    <col min="9533" max="9533" width="11.5703125" style="585" customWidth="1"/>
    <col min="9534" max="9534" width="11.7109375" style="585" customWidth="1"/>
    <col min="9535" max="9535" width="95.140625" style="585" customWidth="1"/>
    <col min="9536" max="9539" width="11.7109375" style="585" customWidth="1"/>
    <col min="9540" max="9728" width="9.140625" style="585"/>
    <col min="9729" max="9729" width="11.5703125" style="585" customWidth="1"/>
    <col min="9730" max="9730" width="103.140625" style="585" customWidth="1"/>
    <col min="9731" max="9734" width="11.7109375" style="585" customWidth="1"/>
    <col min="9735" max="9736" width="9.140625" style="585"/>
    <col min="9737" max="9737" width="11.7109375" style="585" customWidth="1"/>
    <col min="9738" max="9738" width="78.5703125" style="585" customWidth="1"/>
    <col min="9739" max="9742" width="11.7109375" style="585" customWidth="1"/>
    <col min="9743" max="9744" width="9.140625" style="585"/>
    <col min="9745" max="9745" width="11.7109375" style="585" customWidth="1"/>
    <col min="9746" max="9746" width="88.42578125" style="585" customWidth="1"/>
    <col min="9747" max="9750" width="11.7109375" style="585" customWidth="1"/>
    <col min="9751" max="9752" width="9.140625" style="585"/>
    <col min="9753" max="9753" width="11.7109375" style="585" customWidth="1"/>
    <col min="9754" max="9754" width="75.5703125" style="585" customWidth="1"/>
    <col min="9755" max="9758" width="11.7109375" style="585" customWidth="1"/>
    <col min="9759" max="9760" width="9.140625" style="585"/>
    <col min="9761" max="9761" width="11.7109375" style="585" customWidth="1"/>
    <col min="9762" max="9762" width="80.42578125" style="585" customWidth="1"/>
    <col min="9763" max="9766" width="11.7109375" style="585" customWidth="1"/>
    <col min="9767" max="9768" width="9.140625" style="585"/>
    <col min="9769" max="9769" width="11.7109375" style="585" customWidth="1"/>
    <col min="9770" max="9770" width="69.85546875" style="585" customWidth="1"/>
    <col min="9771" max="9774" width="11.7109375" style="585" customWidth="1"/>
    <col min="9775" max="9775" width="9.140625" style="585"/>
    <col min="9776" max="9776" width="11.7109375" style="585" customWidth="1"/>
    <col min="9777" max="9777" width="95.140625" style="585" customWidth="1"/>
    <col min="9778" max="9781" width="11.7109375" style="585" customWidth="1"/>
    <col min="9782" max="9782" width="9.140625" style="585"/>
    <col min="9783" max="9783" width="11.7109375" style="585" customWidth="1"/>
    <col min="9784" max="9784" width="95.140625" style="585" customWidth="1"/>
    <col min="9785" max="9788" width="11.7109375" style="585" customWidth="1"/>
    <col min="9789" max="9789" width="11.5703125" style="585" customWidth="1"/>
    <col min="9790" max="9790" width="11.7109375" style="585" customWidth="1"/>
    <col min="9791" max="9791" width="95.140625" style="585" customWidth="1"/>
    <col min="9792" max="9795" width="11.7109375" style="585" customWidth="1"/>
    <col min="9796" max="9984" width="9.140625" style="585"/>
    <col min="9985" max="9985" width="11.5703125" style="585" customWidth="1"/>
    <col min="9986" max="9986" width="103.140625" style="585" customWidth="1"/>
    <col min="9987" max="9990" width="11.7109375" style="585" customWidth="1"/>
    <col min="9991" max="9992" width="9.140625" style="585"/>
    <col min="9993" max="9993" width="11.7109375" style="585" customWidth="1"/>
    <col min="9994" max="9994" width="78.5703125" style="585" customWidth="1"/>
    <col min="9995" max="9998" width="11.7109375" style="585" customWidth="1"/>
    <col min="9999" max="10000" width="9.140625" style="585"/>
    <col min="10001" max="10001" width="11.7109375" style="585" customWidth="1"/>
    <col min="10002" max="10002" width="88.42578125" style="585" customWidth="1"/>
    <col min="10003" max="10006" width="11.7109375" style="585" customWidth="1"/>
    <col min="10007" max="10008" width="9.140625" style="585"/>
    <col min="10009" max="10009" width="11.7109375" style="585" customWidth="1"/>
    <col min="10010" max="10010" width="75.5703125" style="585" customWidth="1"/>
    <col min="10011" max="10014" width="11.7109375" style="585" customWidth="1"/>
    <col min="10015" max="10016" width="9.140625" style="585"/>
    <col min="10017" max="10017" width="11.7109375" style="585" customWidth="1"/>
    <col min="10018" max="10018" width="80.42578125" style="585" customWidth="1"/>
    <col min="10019" max="10022" width="11.7109375" style="585" customWidth="1"/>
    <col min="10023" max="10024" width="9.140625" style="585"/>
    <col min="10025" max="10025" width="11.7109375" style="585" customWidth="1"/>
    <col min="10026" max="10026" width="69.85546875" style="585" customWidth="1"/>
    <col min="10027" max="10030" width="11.7109375" style="585" customWidth="1"/>
    <col min="10031" max="10031" width="9.140625" style="585"/>
    <col min="10032" max="10032" width="11.7109375" style="585" customWidth="1"/>
    <col min="10033" max="10033" width="95.140625" style="585" customWidth="1"/>
    <col min="10034" max="10037" width="11.7109375" style="585" customWidth="1"/>
    <col min="10038" max="10038" width="9.140625" style="585"/>
    <col min="10039" max="10039" width="11.7109375" style="585" customWidth="1"/>
    <col min="10040" max="10040" width="95.140625" style="585" customWidth="1"/>
    <col min="10041" max="10044" width="11.7109375" style="585" customWidth="1"/>
    <col min="10045" max="10045" width="11.5703125" style="585" customWidth="1"/>
    <col min="10046" max="10046" width="11.7109375" style="585" customWidth="1"/>
    <col min="10047" max="10047" width="95.140625" style="585" customWidth="1"/>
    <col min="10048" max="10051" width="11.7109375" style="585" customWidth="1"/>
    <col min="10052" max="10240" width="9.140625" style="585"/>
    <col min="10241" max="10241" width="11.5703125" style="585" customWidth="1"/>
    <col min="10242" max="10242" width="103.140625" style="585" customWidth="1"/>
    <col min="10243" max="10246" width="11.7109375" style="585" customWidth="1"/>
    <col min="10247" max="10248" width="9.140625" style="585"/>
    <col min="10249" max="10249" width="11.7109375" style="585" customWidth="1"/>
    <col min="10250" max="10250" width="78.5703125" style="585" customWidth="1"/>
    <col min="10251" max="10254" width="11.7109375" style="585" customWidth="1"/>
    <col min="10255" max="10256" width="9.140625" style="585"/>
    <col min="10257" max="10257" width="11.7109375" style="585" customWidth="1"/>
    <col min="10258" max="10258" width="88.42578125" style="585" customWidth="1"/>
    <col min="10259" max="10262" width="11.7109375" style="585" customWidth="1"/>
    <col min="10263" max="10264" width="9.140625" style="585"/>
    <col min="10265" max="10265" width="11.7109375" style="585" customWidth="1"/>
    <col min="10266" max="10266" width="75.5703125" style="585" customWidth="1"/>
    <col min="10267" max="10270" width="11.7109375" style="585" customWidth="1"/>
    <col min="10271" max="10272" width="9.140625" style="585"/>
    <col min="10273" max="10273" width="11.7109375" style="585" customWidth="1"/>
    <col min="10274" max="10274" width="80.42578125" style="585" customWidth="1"/>
    <col min="10275" max="10278" width="11.7109375" style="585" customWidth="1"/>
    <col min="10279" max="10280" width="9.140625" style="585"/>
    <col min="10281" max="10281" width="11.7109375" style="585" customWidth="1"/>
    <col min="10282" max="10282" width="69.85546875" style="585" customWidth="1"/>
    <col min="10283" max="10286" width="11.7109375" style="585" customWidth="1"/>
    <col min="10287" max="10287" width="9.140625" style="585"/>
    <col min="10288" max="10288" width="11.7109375" style="585" customWidth="1"/>
    <col min="10289" max="10289" width="95.140625" style="585" customWidth="1"/>
    <col min="10290" max="10293" width="11.7109375" style="585" customWidth="1"/>
    <col min="10294" max="10294" width="9.140625" style="585"/>
    <col min="10295" max="10295" width="11.7109375" style="585" customWidth="1"/>
    <col min="10296" max="10296" width="95.140625" style="585" customWidth="1"/>
    <col min="10297" max="10300" width="11.7109375" style="585" customWidth="1"/>
    <col min="10301" max="10301" width="11.5703125" style="585" customWidth="1"/>
    <col min="10302" max="10302" width="11.7109375" style="585" customWidth="1"/>
    <col min="10303" max="10303" width="95.140625" style="585" customWidth="1"/>
    <col min="10304" max="10307" width="11.7109375" style="585" customWidth="1"/>
    <col min="10308" max="10496" width="9.140625" style="585"/>
    <col min="10497" max="10497" width="11.5703125" style="585" customWidth="1"/>
    <col min="10498" max="10498" width="103.140625" style="585" customWidth="1"/>
    <col min="10499" max="10502" width="11.7109375" style="585" customWidth="1"/>
    <col min="10503" max="10504" width="9.140625" style="585"/>
    <col min="10505" max="10505" width="11.7109375" style="585" customWidth="1"/>
    <col min="10506" max="10506" width="78.5703125" style="585" customWidth="1"/>
    <col min="10507" max="10510" width="11.7109375" style="585" customWidth="1"/>
    <col min="10511" max="10512" width="9.140625" style="585"/>
    <col min="10513" max="10513" width="11.7109375" style="585" customWidth="1"/>
    <col min="10514" max="10514" width="88.42578125" style="585" customWidth="1"/>
    <col min="10515" max="10518" width="11.7109375" style="585" customWidth="1"/>
    <col min="10519" max="10520" width="9.140625" style="585"/>
    <col min="10521" max="10521" width="11.7109375" style="585" customWidth="1"/>
    <col min="10522" max="10522" width="75.5703125" style="585" customWidth="1"/>
    <col min="10523" max="10526" width="11.7109375" style="585" customWidth="1"/>
    <col min="10527" max="10528" width="9.140625" style="585"/>
    <col min="10529" max="10529" width="11.7109375" style="585" customWidth="1"/>
    <col min="10530" max="10530" width="80.42578125" style="585" customWidth="1"/>
    <col min="10531" max="10534" width="11.7109375" style="585" customWidth="1"/>
    <col min="10535" max="10536" width="9.140625" style="585"/>
    <col min="10537" max="10537" width="11.7109375" style="585" customWidth="1"/>
    <col min="10538" max="10538" width="69.85546875" style="585" customWidth="1"/>
    <col min="10539" max="10542" width="11.7109375" style="585" customWidth="1"/>
    <col min="10543" max="10543" width="9.140625" style="585"/>
    <col min="10544" max="10544" width="11.7109375" style="585" customWidth="1"/>
    <col min="10545" max="10545" width="95.140625" style="585" customWidth="1"/>
    <col min="10546" max="10549" width="11.7109375" style="585" customWidth="1"/>
    <col min="10550" max="10550" width="9.140625" style="585"/>
    <col min="10551" max="10551" width="11.7109375" style="585" customWidth="1"/>
    <col min="10552" max="10552" width="95.140625" style="585" customWidth="1"/>
    <col min="10553" max="10556" width="11.7109375" style="585" customWidth="1"/>
    <col min="10557" max="10557" width="11.5703125" style="585" customWidth="1"/>
    <col min="10558" max="10558" width="11.7109375" style="585" customWidth="1"/>
    <col min="10559" max="10559" width="95.140625" style="585" customWidth="1"/>
    <col min="10560" max="10563" width="11.7109375" style="585" customWidth="1"/>
    <col min="10564" max="10752" width="9.140625" style="585"/>
    <col min="10753" max="10753" width="11.5703125" style="585" customWidth="1"/>
    <col min="10754" max="10754" width="103.140625" style="585" customWidth="1"/>
    <col min="10755" max="10758" width="11.7109375" style="585" customWidth="1"/>
    <col min="10759" max="10760" width="9.140625" style="585"/>
    <col min="10761" max="10761" width="11.7109375" style="585" customWidth="1"/>
    <col min="10762" max="10762" width="78.5703125" style="585" customWidth="1"/>
    <col min="10763" max="10766" width="11.7109375" style="585" customWidth="1"/>
    <col min="10767" max="10768" width="9.140625" style="585"/>
    <col min="10769" max="10769" width="11.7109375" style="585" customWidth="1"/>
    <col min="10770" max="10770" width="88.42578125" style="585" customWidth="1"/>
    <col min="10771" max="10774" width="11.7109375" style="585" customWidth="1"/>
    <col min="10775" max="10776" width="9.140625" style="585"/>
    <col min="10777" max="10777" width="11.7109375" style="585" customWidth="1"/>
    <col min="10778" max="10778" width="75.5703125" style="585" customWidth="1"/>
    <col min="10779" max="10782" width="11.7109375" style="585" customWidth="1"/>
    <col min="10783" max="10784" width="9.140625" style="585"/>
    <col min="10785" max="10785" width="11.7109375" style="585" customWidth="1"/>
    <col min="10786" max="10786" width="80.42578125" style="585" customWidth="1"/>
    <col min="10787" max="10790" width="11.7109375" style="585" customWidth="1"/>
    <col min="10791" max="10792" width="9.140625" style="585"/>
    <col min="10793" max="10793" width="11.7109375" style="585" customWidth="1"/>
    <col min="10794" max="10794" width="69.85546875" style="585" customWidth="1"/>
    <col min="10795" max="10798" width="11.7109375" style="585" customWidth="1"/>
    <col min="10799" max="10799" width="9.140625" style="585"/>
    <col min="10800" max="10800" width="11.7109375" style="585" customWidth="1"/>
    <col min="10801" max="10801" width="95.140625" style="585" customWidth="1"/>
    <col min="10802" max="10805" width="11.7109375" style="585" customWidth="1"/>
    <col min="10806" max="10806" width="9.140625" style="585"/>
    <col min="10807" max="10807" width="11.7109375" style="585" customWidth="1"/>
    <col min="10808" max="10808" width="95.140625" style="585" customWidth="1"/>
    <col min="10809" max="10812" width="11.7109375" style="585" customWidth="1"/>
    <col min="10813" max="10813" width="11.5703125" style="585" customWidth="1"/>
    <col min="10814" max="10814" width="11.7109375" style="585" customWidth="1"/>
    <col min="10815" max="10815" width="95.140625" style="585" customWidth="1"/>
    <col min="10816" max="10819" width="11.7109375" style="585" customWidth="1"/>
    <col min="10820" max="11008" width="9.140625" style="585"/>
    <col min="11009" max="11009" width="11.5703125" style="585" customWidth="1"/>
    <col min="11010" max="11010" width="103.140625" style="585" customWidth="1"/>
    <col min="11011" max="11014" width="11.7109375" style="585" customWidth="1"/>
    <col min="11015" max="11016" width="9.140625" style="585"/>
    <col min="11017" max="11017" width="11.7109375" style="585" customWidth="1"/>
    <col min="11018" max="11018" width="78.5703125" style="585" customWidth="1"/>
    <col min="11019" max="11022" width="11.7109375" style="585" customWidth="1"/>
    <col min="11023" max="11024" width="9.140625" style="585"/>
    <col min="11025" max="11025" width="11.7109375" style="585" customWidth="1"/>
    <col min="11026" max="11026" width="88.42578125" style="585" customWidth="1"/>
    <col min="11027" max="11030" width="11.7109375" style="585" customWidth="1"/>
    <col min="11031" max="11032" width="9.140625" style="585"/>
    <col min="11033" max="11033" width="11.7109375" style="585" customWidth="1"/>
    <col min="11034" max="11034" width="75.5703125" style="585" customWidth="1"/>
    <col min="11035" max="11038" width="11.7109375" style="585" customWidth="1"/>
    <col min="11039" max="11040" width="9.140625" style="585"/>
    <col min="11041" max="11041" width="11.7109375" style="585" customWidth="1"/>
    <col min="11042" max="11042" width="80.42578125" style="585" customWidth="1"/>
    <col min="11043" max="11046" width="11.7109375" style="585" customWidth="1"/>
    <col min="11047" max="11048" width="9.140625" style="585"/>
    <col min="11049" max="11049" width="11.7109375" style="585" customWidth="1"/>
    <col min="11050" max="11050" width="69.85546875" style="585" customWidth="1"/>
    <col min="11051" max="11054" width="11.7109375" style="585" customWidth="1"/>
    <col min="11055" max="11055" width="9.140625" style="585"/>
    <col min="11056" max="11056" width="11.7109375" style="585" customWidth="1"/>
    <col min="11057" max="11057" width="95.140625" style="585" customWidth="1"/>
    <col min="11058" max="11061" width="11.7109375" style="585" customWidth="1"/>
    <col min="11062" max="11062" width="9.140625" style="585"/>
    <col min="11063" max="11063" width="11.7109375" style="585" customWidth="1"/>
    <col min="11064" max="11064" width="95.140625" style="585" customWidth="1"/>
    <col min="11065" max="11068" width="11.7109375" style="585" customWidth="1"/>
    <col min="11069" max="11069" width="11.5703125" style="585" customWidth="1"/>
    <col min="11070" max="11070" width="11.7109375" style="585" customWidth="1"/>
    <col min="11071" max="11071" width="95.140625" style="585" customWidth="1"/>
    <col min="11072" max="11075" width="11.7109375" style="585" customWidth="1"/>
    <col min="11076" max="11264" width="9.140625" style="585"/>
    <col min="11265" max="11265" width="11.5703125" style="585" customWidth="1"/>
    <col min="11266" max="11266" width="103.140625" style="585" customWidth="1"/>
    <col min="11267" max="11270" width="11.7109375" style="585" customWidth="1"/>
    <col min="11271" max="11272" width="9.140625" style="585"/>
    <col min="11273" max="11273" width="11.7109375" style="585" customWidth="1"/>
    <col min="11274" max="11274" width="78.5703125" style="585" customWidth="1"/>
    <col min="11275" max="11278" width="11.7109375" style="585" customWidth="1"/>
    <col min="11279" max="11280" width="9.140625" style="585"/>
    <col min="11281" max="11281" width="11.7109375" style="585" customWidth="1"/>
    <col min="11282" max="11282" width="88.42578125" style="585" customWidth="1"/>
    <col min="11283" max="11286" width="11.7109375" style="585" customWidth="1"/>
    <col min="11287" max="11288" width="9.140625" style="585"/>
    <col min="11289" max="11289" width="11.7109375" style="585" customWidth="1"/>
    <col min="11290" max="11290" width="75.5703125" style="585" customWidth="1"/>
    <col min="11291" max="11294" width="11.7109375" style="585" customWidth="1"/>
    <col min="11295" max="11296" width="9.140625" style="585"/>
    <col min="11297" max="11297" width="11.7109375" style="585" customWidth="1"/>
    <col min="11298" max="11298" width="80.42578125" style="585" customWidth="1"/>
    <col min="11299" max="11302" width="11.7109375" style="585" customWidth="1"/>
    <col min="11303" max="11304" width="9.140625" style="585"/>
    <col min="11305" max="11305" width="11.7109375" style="585" customWidth="1"/>
    <col min="11306" max="11306" width="69.85546875" style="585" customWidth="1"/>
    <col min="11307" max="11310" width="11.7109375" style="585" customWidth="1"/>
    <col min="11311" max="11311" width="9.140625" style="585"/>
    <col min="11312" max="11312" width="11.7109375" style="585" customWidth="1"/>
    <col min="11313" max="11313" width="95.140625" style="585" customWidth="1"/>
    <col min="11314" max="11317" width="11.7109375" style="585" customWidth="1"/>
    <col min="11318" max="11318" width="9.140625" style="585"/>
    <col min="11319" max="11319" width="11.7109375" style="585" customWidth="1"/>
    <col min="11320" max="11320" width="95.140625" style="585" customWidth="1"/>
    <col min="11321" max="11324" width="11.7109375" style="585" customWidth="1"/>
    <col min="11325" max="11325" width="11.5703125" style="585" customWidth="1"/>
    <col min="11326" max="11326" width="11.7109375" style="585" customWidth="1"/>
    <col min="11327" max="11327" width="95.140625" style="585" customWidth="1"/>
    <col min="11328" max="11331" width="11.7109375" style="585" customWidth="1"/>
    <col min="11332" max="11520" width="9.140625" style="585"/>
    <col min="11521" max="11521" width="11.5703125" style="585" customWidth="1"/>
    <col min="11522" max="11522" width="103.140625" style="585" customWidth="1"/>
    <col min="11523" max="11526" width="11.7109375" style="585" customWidth="1"/>
    <col min="11527" max="11528" width="9.140625" style="585"/>
    <col min="11529" max="11529" width="11.7109375" style="585" customWidth="1"/>
    <col min="11530" max="11530" width="78.5703125" style="585" customWidth="1"/>
    <col min="11531" max="11534" width="11.7109375" style="585" customWidth="1"/>
    <col min="11535" max="11536" width="9.140625" style="585"/>
    <col min="11537" max="11537" width="11.7109375" style="585" customWidth="1"/>
    <col min="11538" max="11538" width="88.42578125" style="585" customWidth="1"/>
    <col min="11539" max="11542" width="11.7109375" style="585" customWidth="1"/>
    <col min="11543" max="11544" width="9.140625" style="585"/>
    <col min="11545" max="11545" width="11.7109375" style="585" customWidth="1"/>
    <col min="11546" max="11546" width="75.5703125" style="585" customWidth="1"/>
    <col min="11547" max="11550" width="11.7109375" style="585" customWidth="1"/>
    <col min="11551" max="11552" width="9.140625" style="585"/>
    <col min="11553" max="11553" width="11.7109375" style="585" customWidth="1"/>
    <col min="11554" max="11554" width="80.42578125" style="585" customWidth="1"/>
    <col min="11555" max="11558" width="11.7109375" style="585" customWidth="1"/>
    <col min="11559" max="11560" width="9.140625" style="585"/>
    <col min="11561" max="11561" width="11.7109375" style="585" customWidth="1"/>
    <col min="11562" max="11562" width="69.85546875" style="585" customWidth="1"/>
    <col min="11563" max="11566" width="11.7109375" style="585" customWidth="1"/>
    <col min="11567" max="11567" width="9.140625" style="585"/>
    <col min="11568" max="11568" width="11.7109375" style="585" customWidth="1"/>
    <col min="11569" max="11569" width="95.140625" style="585" customWidth="1"/>
    <col min="11570" max="11573" width="11.7109375" style="585" customWidth="1"/>
    <col min="11574" max="11574" width="9.140625" style="585"/>
    <col min="11575" max="11575" width="11.7109375" style="585" customWidth="1"/>
    <col min="11576" max="11576" width="95.140625" style="585" customWidth="1"/>
    <col min="11577" max="11580" width="11.7109375" style="585" customWidth="1"/>
    <col min="11581" max="11581" width="11.5703125" style="585" customWidth="1"/>
    <col min="11582" max="11582" width="11.7109375" style="585" customWidth="1"/>
    <col min="11583" max="11583" width="95.140625" style="585" customWidth="1"/>
    <col min="11584" max="11587" width="11.7109375" style="585" customWidth="1"/>
    <col min="11588" max="11776" width="9.140625" style="585"/>
    <col min="11777" max="11777" width="11.5703125" style="585" customWidth="1"/>
    <col min="11778" max="11778" width="103.140625" style="585" customWidth="1"/>
    <col min="11779" max="11782" width="11.7109375" style="585" customWidth="1"/>
    <col min="11783" max="11784" width="9.140625" style="585"/>
    <col min="11785" max="11785" width="11.7109375" style="585" customWidth="1"/>
    <col min="11786" max="11786" width="78.5703125" style="585" customWidth="1"/>
    <col min="11787" max="11790" width="11.7109375" style="585" customWidth="1"/>
    <col min="11791" max="11792" width="9.140625" style="585"/>
    <col min="11793" max="11793" width="11.7109375" style="585" customWidth="1"/>
    <col min="11794" max="11794" width="88.42578125" style="585" customWidth="1"/>
    <col min="11795" max="11798" width="11.7109375" style="585" customWidth="1"/>
    <col min="11799" max="11800" width="9.140625" style="585"/>
    <col min="11801" max="11801" width="11.7109375" style="585" customWidth="1"/>
    <col min="11802" max="11802" width="75.5703125" style="585" customWidth="1"/>
    <col min="11803" max="11806" width="11.7109375" style="585" customWidth="1"/>
    <col min="11807" max="11808" width="9.140625" style="585"/>
    <col min="11809" max="11809" width="11.7109375" style="585" customWidth="1"/>
    <col min="11810" max="11810" width="80.42578125" style="585" customWidth="1"/>
    <col min="11811" max="11814" width="11.7109375" style="585" customWidth="1"/>
    <col min="11815" max="11816" width="9.140625" style="585"/>
    <col min="11817" max="11817" width="11.7109375" style="585" customWidth="1"/>
    <col min="11818" max="11818" width="69.85546875" style="585" customWidth="1"/>
    <col min="11819" max="11822" width="11.7109375" style="585" customWidth="1"/>
    <col min="11823" max="11823" width="9.140625" style="585"/>
    <col min="11824" max="11824" width="11.7109375" style="585" customWidth="1"/>
    <col min="11825" max="11825" width="95.140625" style="585" customWidth="1"/>
    <col min="11826" max="11829" width="11.7109375" style="585" customWidth="1"/>
    <col min="11830" max="11830" width="9.140625" style="585"/>
    <col min="11831" max="11831" width="11.7109375" style="585" customWidth="1"/>
    <col min="11832" max="11832" width="95.140625" style="585" customWidth="1"/>
    <col min="11833" max="11836" width="11.7109375" style="585" customWidth="1"/>
    <col min="11837" max="11837" width="11.5703125" style="585" customWidth="1"/>
    <col min="11838" max="11838" width="11.7109375" style="585" customWidth="1"/>
    <col min="11839" max="11839" width="95.140625" style="585" customWidth="1"/>
    <col min="11840" max="11843" width="11.7109375" style="585" customWidth="1"/>
    <col min="11844" max="12032" width="9.140625" style="585"/>
    <col min="12033" max="12033" width="11.5703125" style="585" customWidth="1"/>
    <col min="12034" max="12034" width="103.140625" style="585" customWidth="1"/>
    <col min="12035" max="12038" width="11.7109375" style="585" customWidth="1"/>
    <col min="12039" max="12040" width="9.140625" style="585"/>
    <col min="12041" max="12041" width="11.7109375" style="585" customWidth="1"/>
    <col min="12042" max="12042" width="78.5703125" style="585" customWidth="1"/>
    <col min="12043" max="12046" width="11.7109375" style="585" customWidth="1"/>
    <col min="12047" max="12048" width="9.140625" style="585"/>
    <col min="12049" max="12049" width="11.7109375" style="585" customWidth="1"/>
    <col min="12050" max="12050" width="88.42578125" style="585" customWidth="1"/>
    <col min="12051" max="12054" width="11.7109375" style="585" customWidth="1"/>
    <col min="12055" max="12056" width="9.140625" style="585"/>
    <col min="12057" max="12057" width="11.7109375" style="585" customWidth="1"/>
    <col min="12058" max="12058" width="75.5703125" style="585" customWidth="1"/>
    <col min="12059" max="12062" width="11.7109375" style="585" customWidth="1"/>
    <col min="12063" max="12064" width="9.140625" style="585"/>
    <col min="12065" max="12065" width="11.7109375" style="585" customWidth="1"/>
    <col min="12066" max="12066" width="80.42578125" style="585" customWidth="1"/>
    <col min="12067" max="12070" width="11.7109375" style="585" customWidth="1"/>
    <col min="12071" max="12072" width="9.140625" style="585"/>
    <col min="12073" max="12073" width="11.7109375" style="585" customWidth="1"/>
    <col min="12074" max="12074" width="69.85546875" style="585" customWidth="1"/>
    <col min="12075" max="12078" width="11.7109375" style="585" customWidth="1"/>
    <col min="12079" max="12079" width="9.140625" style="585"/>
    <col min="12080" max="12080" width="11.7109375" style="585" customWidth="1"/>
    <col min="12081" max="12081" width="95.140625" style="585" customWidth="1"/>
    <col min="12082" max="12085" width="11.7109375" style="585" customWidth="1"/>
    <col min="12086" max="12086" width="9.140625" style="585"/>
    <col min="12087" max="12087" width="11.7109375" style="585" customWidth="1"/>
    <col min="12088" max="12088" width="95.140625" style="585" customWidth="1"/>
    <col min="12089" max="12092" width="11.7109375" style="585" customWidth="1"/>
    <col min="12093" max="12093" width="11.5703125" style="585" customWidth="1"/>
    <col min="12094" max="12094" width="11.7109375" style="585" customWidth="1"/>
    <col min="12095" max="12095" width="95.140625" style="585" customWidth="1"/>
    <col min="12096" max="12099" width="11.7109375" style="585" customWidth="1"/>
    <col min="12100" max="12288" width="9.140625" style="585"/>
    <col min="12289" max="12289" width="11.5703125" style="585" customWidth="1"/>
    <col min="12290" max="12290" width="103.140625" style="585" customWidth="1"/>
    <col min="12291" max="12294" width="11.7109375" style="585" customWidth="1"/>
    <col min="12295" max="12296" width="9.140625" style="585"/>
    <col min="12297" max="12297" width="11.7109375" style="585" customWidth="1"/>
    <col min="12298" max="12298" width="78.5703125" style="585" customWidth="1"/>
    <col min="12299" max="12302" width="11.7109375" style="585" customWidth="1"/>
    <col min="12303" max="12304" width="9.140625" style="585"/>
    <col min="12305" max="12305" width="11.7109375" style="585" customWidth="1"/>
    <col min="12306" max="12306" width="88.42578125" style="585" customWidth="1"/>
    <col min="12307" max="12310" width="11.7109375" style="585" customWidth="1"/>
    <col min="12311" max="12312" width="9.140625" style="585"/>
    <col min="12313" max="12313" width="11.7109375" style="585" customWidth="1"/>
    <col min="12314" max="12314" width="75.5703125" style="585" customWidth="1"/>
    <col min="12315" max="12318" width="11.7109375" style="585" customWidth="1"/>
    <col min="12319" max="12320" width="9.140625" style="585"/>
    <col min="12321" max="12321" width="11.7109375" style="585" customWidth="1"/>
    <col min="12322" max="12322" width="80.42578125" style="585" customWidth="1"/>
    <col min="12323" max="12326" width="11.7109375" style="585" customWidth="1"/>
    <col min="12327" max="12328" width="9.140625" style="585"/>
    <col min="12329" max="12329" width="11.7109375" style="585" customWidth="1"/>
    <col min="12330" max="12330" width="69.85546875" style="585" customWidth="1"/>
    <col min="12331" max="12334" width="11.7109375" style="585" customWidth="1"/>
    <col min="12335" max="12335" width="9.140625" style="585"/>
    <col min="12336" max="12336" width="11.7109375" style="585" customWidth="1"/>
    <col min="12337" max="12337" width="95.140625" style="585" customWidth="1"/>
    <col min="12338" max="12341" width="11.7109375" style="585" customWidth="1"/>
    <col min="12342" max="12342" width="9.140625" style="585"/>
    <col min="12343" max="12343" width="11.7109375" style="585" customWidth="1"/>
    <col min="12344" max="12344" width="95.140625" style="585" customWidth="1"/>
    <col min="12345" max="12348" width="11.7109375" style="585" customWidth="1"/>
    <col min="12349" max="12349" width="11.5703125" style="585" customWidth="1"/>
    <col min="12350" max="12350" width="11.7109375" style="585" customWidth="1"/>
    <col min="12351" max="12351" width="95.140625" style="585" customWidth="1"/>
    <col min="12352" max="12355" width="11.7109375" style="585" customWidth="1"/>
    <col min="12356" max="12544" width="9.140625" style="585"/>
    <col min="12545" max="12545" width="11.5703125" style="585" customWidth="1"/>
    <col min="12546" max="12546" width="103.140625" style="585" customWidth="1"/>
    <col min="12547" max="12550" width="11.7109375" style="585" customWidth="1"/>
    <col min="12551" max="12552" width="9.140625" style="585"/>
    <col min="12553" max="12553" width="11.7109375" style="585" customWidth="1"/>
    <col min="12554" max="12554" width="78.5703125" style="585" customWidth="1"/>
    <col min="12555" max="12558" width="11.7109375" style="585" customWidth="1"/>
    <col min="12559" max="12560" width="9.140625" style="585"/>
    <col min="12561" max="12561" width="11.7109375" style="585" customWidth="1"/>
    <col min="12562" max="12562" width="88.42578125" style="585" customWidth="1"/>
    <col min="12563" max="12566" width="11.7109375" style="585" customWidth="1"/>
    <col min="12567" max="12568" width="9.140625" style="585"/>
    <col min="12569" max="12569" width="11.7109375" style="585" customWidth="1"/>
    <col min="12570" max="12570" width="75.5703125" style="585" customWidth="1"/>
    <col min="12571" max="12574" width="11.7109375" style="585" customWidth="1"/>
    <col min="12575" max="12576" width="9.140625" style="585"/>
    <col min="12577" max="12577" width="11.7109375" style="585" customWidth="1"/>
    <col min="12578" max="12578" width="80.42578125" style="585" customWidth="1"/>
    <col min="12579" max="12582" width="11.7109375" style="585" customWidth="1"/>
    <col min="12583" max="12584" width="9.140625" style="585"/>
    <col min="12585" max="12585" width="11.7109375" style="585" customWidth="1"/>
    <col min="12586" max="12586" width="69.85546875" style="585" customWidth="1"/>
    <col min="12587" max="12590" width="11.7109375" style="585" customWidth="1"/>
    <col min="12591" max="12591" width="9.140625" style="585"/>
    <col min="12592" max="12592" width="11.7109375" style="585" customWidth="1"/>
    <col min="12593" max="12593" width="95.140625" style="585" customWidth="1"/>
    <col min="12594" max="12597" width="11.7109375" style="585" customWidth="1"/>
    <col min="12598" max="12598" width="9.140625" style="585"/>
    <col min="12599" max="12599" width="11.7109375" style="585" customWidth="1"/>
    <col min="12600" max="12600" width="95.140625" style="585" customWidth="1"/>
    <col min="12601" max="12604" width="11.7109375" style="585" customWidth="1"/>
    <col min="12605" max="12605" width="11.5703125" style="585" customWidth="1"/>
    <col min="12606" max="12606" width="11.7109375" style="585" customWidth="1"/>
    <col min="12607" max="12607" width="95.140625" style="585" customWidth="1"/>
    <col min="12608" max="12611" width="11.7109375" style="585" customWidth="1"/>
    <col min="12612" max="12800" width="9.140625" style="585"/>
    <col min="12801" max="12801" width="11.5703125" style="585" customWidth="1"/>
    <col min="12802" max="12802" width="103.140625" style="585" customWidth="1"/>
    <col min="12803" max="12806" width="11.7109375" style="585" customWidth="1"/>
    <col min="12807" max="12808" width="9.140625" style="585"/>
    <col min="12809" max="12809" width="11.7109375" style="585" customWidth="1"/>
    <col min="12810" max="12810" width="78.5703125" style="585" customWidth="1"/>
    <col min="12811" max="12814" width="11.7109375" style="585" customWidth="1"/>
    <col min="12815" max="12816" width="9.140625" style="585"/>
    <col min="12817" max="12817" width="11.7109375" style="585" customWidth="1"/>
    <col min="12818" max="12818" width="88.42578125" style="585" customWidth="1"/>
    <col min="12819" max="12822" width="11.7109375" style="585" customWidth="1"/>
    <col min="12823" max="12824" width="9.140625" style="585"/>
    <col min="12825" max="12825" width="11.7109375" style="585" customWidth="1"/>
    <col min="12826" max="12826" width="75.5703125" style="585" customWidth="1"/>
    <col min="12827" max="12830" width="11.7109375" style="585" customWidth="1"/>
    <col min="12831" max="12832" width="9.140625" style="585"/>
    <col min="12833" max="12833" width="11.7109375" style="585" customWidth="1"/>
    <col min="12834" max="12834" width="80.42578125" style="585" customWidth="1"/>
    <col min="12835" max="12838" width="11.7109375" style="585" customWidth="1"/>
    <col min="12839" max="12840" width="9.140625" style="585"/>
    <col min="12841" max="12841" width="11.7109375" style="585" customWidth="1"/>
    <col min="12842" max="12842" width="69.85546875" style="585" customWidth="1"/>
    <col min="12843" max="12846" width="11.7109375" style="585" customWidth="1"/>
    <col min="12847" max="12847" width="9.140625" style="585"/>
    <col min="12848" max="12848" width="11.7109375" style="585" customWidth="1"/>
    <col min="12849" max="12849" width="95.140625" style="585" customWidth="1"/>
    <col min="12850" max="12853" width="11.7109375" style="585" customWidth="1"/>
    <col min="12854" max="12854" width="9.140625" style="585"/>
    <col min="12855" max="12855" width="11.7109375" style="585" customWidth="1"/>
    <col min="12856" max="12856" width="95.140625" style="585" customWidth="1"/>
    <col min="12857" max="12860" width="11.7109375" style="585" customWidth="1"/>
    <col min="12861" max="12861" width="11.5703125" style="585" customWidth="1"/>
    <col min="12862" max="12862" width="11.7109375" style="585" customWidth="1"/>
    <col min="12863" max="12863" width="95.140625" style="585" customWidth="1"/>
    <col min="12864" max="12867" width="11.7109375" style="585" customWidth="1"/>
    <col min="12868" max="13056" width="9.140625" style="585"/>
    <col min="13057" max="13057" width="11.5703125" style="585" customWidth="1"/>
    <col min="13058" max="13058" width="103.140625" style="585" customWidth="1"/>
    <col min="13059" max="13062" width="11.7109375" style="585" customWidth="1"/>
    <col min="13063" max="13064" width="9.140625" style="585"/>
    <col min="13065" max="13065" width="11.7109375" style="585" customWidth="1"/>
    <col min="13066" max="13066" width="78.5703125" style="585" customWidth="1"/>
    <col min="13067" max="13070" width="11.7109375" style="585" customWidth="1"/>
    <col min="13071" max="13072" width="9.140625" style="585"/>
    <col min="13073" max="13073" width="11.7109375" style="585" customWidth="1"/>
    <col min="13074" max="13074" width="88.42578125" style="585" customWidth="1"/>
    <col min="13075" max="13078" width="11.7109375" style="585" customWidth="1"/>
    <col min="13079" max="13080" width="9.140625" style="585"/>
    <col min="13081" max="13081" width="11.7109375" style="585" customWidth="1"/>
    <col min="13082" max="13082" width="75.5703125" style="585" customWidth="1"/>
    <col min="13083" max="13086" width="11.7109375" style="585" customWidth="1"/>
    <col min="13087" max="13088" width="9.140625" style="585"/>
    <col min="13089" max="13089" width="11.7109375" style="585" customWidth="1"/>
    <col min="13090" max="13090" width="80.42578125" style="585" customWidth="1"/>
    <col min="13091" max="13094" width="11.7109375" style="585" customWidth="1"/>
    <col min="13095" max="13096" width="9.140625" style="585"/>
    <col min="13097" max="13097" width="11.7109375" style="585" customWidth="1"/>
    <col min="13098" max="13098" width="69.85546875" style="585" customWidth="1"/>
    <col min="13099" max="13102" width="11.7109375" style="585" customWidth="1"/>
    <col min="13103" max="13103" width="9.140625" style="585"/>
    <col min="13104" max="13104" width="11.7109375" style="585" customWidth="1"/>
    <col min="13105" max="13105" width="95.140625" style="585" customWidth="1"/>
    <col min="13106" max="13109" width="11.7109375" style="585" customWidth="1"/>
    <col min="13110" max="13110" width="9.140625" style="585"/>
    <col min="13111" max="13111" width="11.7109375" style="585" customWidth="1"/>
    <col min="13112" max="13112" width="95.140625" style="585" customWidth="1"/>
    <col min="13113" max="13116" width="11.7109375" style="585" customWidth="1"/>
    <col min="13117" max="13117" width="11.5703125" style="585" customWidth="1"/>
    <col min="13118" max="13118" width="11.7109375" style="585" customWidth="1"/>
    <col min="13119" max="13119" width="95.140625" style="585" customWidth="1"/>
    <col min="13120" max="13123" width="11.7109375" style="585" customWidth="1"/>
    <col min="13124" max="13312" width="9.140625" style="585"/>
    <col min="13313" max="13313" width="11.5703125" style="585" customWidth="1"/>
    <col min="13314" max="13314" width="103.140625" style="585" customWidth="1"/>
    <col min="13315" max="13318" width="11.7109375" style="585" customWidth="1"/>
    <col min="13319" max="13320" width="9.140625" style="585"/>
    <col min="13321" max="13321" width="11.7109375" style="585" customWidth="1"/>
    <col min="13322" max="13322" width="78.5703125" style="585" customWidth="1"/>
    <col min="13323" max="13326" width="11.7109375" style="585" customWidth="1"/>
    <col min="13327" max="13328" width="9.140625" style="585"/>
    <col min="13329" max="13329" width="11.7109375" style="585" customWidth="1"/>
    <col min="13330" max="13330" width="88.42578125" style="585" customWidth="1"/>
    <col min="13331" max="13334" width="11.7109375" style="585" customWidth="1"/>
    <col min="13335" max="13336" width="9.140625" style="585"/>
    <col min="13337" max="13337" width="11.7109375" style="585" customWidth="1"/>
    <col min="13338" max="13338" width="75.5703125" style="585" customWidth="1"/>
    <col min="13339" max="13342" width="11.7109375" style="585" customWidth="1"/>
    <col min="13343" max="13344" width="9.140625" style="585"/>
    <col min="13345" max="13345" width="11.7109375" style="585" customWidth="1"/>
    <col min="13346" max="13346" width="80.42578125" style="585" customWidth="1"/>
    <col min="13347" max="13350" width="11.7109375" style="585" customWidth="1"/>
    <col min="13351" max="13352" width="9.140625" style="585"/>
    <col min="13353" max="13353" width="11.7109375" style="585" customWidth="1"/>
    <col min="13354" max="13354" width="69.85546875" style="585" customWidth="1"/>
    <col min="13355" max="13358" width="11.7109375" style="585" customWidth="1"/>
    <col min="13359" max="13359" width="9.140625" style="585"/>
    <col min="13360" max="13360" width="11.7109375" style="585" customWidth="1"/>
    <col min="13361" max="13361" width="95.140625" style="585" customWidth="1"/>
    <col min="13362" max="13365" width="11.7109375" style="585" customWidth="1"/>
    <col min="13366" max="13366" width="9.140625" style="585"/>
    <col min="13367" max="13367" width="11.7109375" style="585" customWidth="1"/>
    <col min="13368" max="13368" width="95.140625" style="585" customWidth="1"/>
    <col min="13369" max="13372" width="11.7109375" style="585" customWidth="1"/>
    <col min="13373" max="13373" width="11.5703125" style="585" customWidth="1"/>
    <col min="13374" max="13374" width="11.7109375" style="585" customWidth="1"/>
    <col min="13375" max="13375" width="95.140625" style="585" customWidth="1"/>
    <col min="13376" max="13379" width="11.7109375" style="585" customWidth="1"/>
    <col min="13380" max="13568" width="9.140625" style="585"/>
    <col min="13569" max="13569" width="11.5703125" style="585" customWidth="1"/>
    <col min="13570" max="13570" width="103.140625" style="585" customWidth="1"/>
    <col min="13571" max="13574" width="11.7109375" style="585" customWidth="1"/>
    <col min="13575" max="13576" width="9.140625" style="585"/>
    <col min="13577" max="13577" width="11.7109375" style="585" customWidth="1"/>
    <col min="13578" max="13578" width="78.5703125" style="585" customWidth="1"/>
    <col min="13579" max="13582" width="11.7109375" style="585" customWidth="1"/>
    <col min="13583" max="13584" width="9.140625" style="585"/>
    <col min="13585" max="13585" width="11.7109375" style="585" customWidth="1"/>
    <col min="13586" max="13586" width="88.42578125" style="585" customWidth="1"/>
    <col min="13587" max="13590" width="11.7109375" style="585" customWidth="1"/>
    <col min="13591" max="13592" width="9.140625" style="585"/>
    <col min="13593" max="13593" width="11.7109375" style="585" customWidth="1"/>
    <col min="13594" max="13594" width="75.5703125" style="585" customWidth="1"/>
    <col min="13595" max="13598" width="11.7109375" style="585" customWidth="1"/>
    <col min="13599" max="13600" width="9.140625" style="585"/>
    <col min="13601" max="13601" width="11.7109375" style="585" customWidth="1"/>
    <col min="13602" max="13602" width="80.42578125" style="585" customWidth="1"/>
    <col min="13603" max="13606" width="11.7109375" style="585" customWidth="1"/>
    <col min="13607" max="13608" width="9.140625" style="585"/>
    <col min="13609" max="13609" width="11.7109375" style="585" customWidth="1"/>
    <col min="13610" max="13610" width="69.85546875" style="585" customWidth="1"/>
    <col min="13611" max="13614" width="11.7109375" style="585" customWidth="1"/>
    <col min="13615" max="13615" width="9.140625" style="585"/>
    <col min="13616" max="13616" width="11.7109375" style="585" customWidth="1"/>
    <col min="13617" max="13617" width="95.140625" style="585" customWidth="1"/>
    <col min="13618" max="13621" width="11.7109375" style="585" customWidth="1"/>
    <col min="13622" max="13622" width="9.140625" style="585"/>
    <col min="13623" max="13623" width="11.7109375" style="585" customWidth="1"/>
    <col min="13624" max="13624" width="95.140625" style="585" customWidth="1"/>
    <col min="13625" max="13628" width="11.7109375" style="585" customWidth="1"/>
    <col min="13629" max="13629" width="11.5703125" style="585" customWidth="1"/>
    <col min="13630" max="13630" width="11.7109375" style="585" customWidth="1"/>
    <col min="13631" max="13631" width="95.140625" style="585" customWidth="1"/>
    <col min="13632" max="13635" width="11.7109375" style="585" customWidth="1"/>
    <col min="13636" max="13824" width="9.140625" style="585"/>
    <col min="13825" max="13825" width="11.5703125" style="585" customWidth="1"/>
    <col min="13826" max="13826" width="103.140625" style="585" customWidth="1"/>
    <col min="13827" max="13830" width="11.7109375" style="585" customWidth="1"/>
    <col min="13831" max="13832" width="9.140625" style="585"/>
    <col min="13833" max="13833" width="11.7109375" style="585" customWidth="1"/>
    <col min="13834" max="13834" width="78.5703125" style="585" customWidth="1"/>
    <col min="13835" max="13838" width="11.7109375" style="585" customWidth="1"/>
    <col min="13839" max="13840" width="9.140625" style="585"/>
    <col min="13841" max="13841" width="11.7109375" style="585" customWidth="1"/>
    <col min="13842" max="13842" width="88.42578125" style="585" customWidth="1"/>
    <col min="13843" max="13846" width="11.7109375" style="585" customWidth="1"/>
    <col min="13847" max="13848" width="9.140625" style="585"/>
    <col min="13849" max="13849" width="11.7109375" style="585" customWidth="1"/>
    <col min="13850" max="13850" width="75.5703125" style="585" customWidth="1"/>
    <col min="13851" max="13854" width="11.7109375" style="585" customWidth="1"/>
    <col min="13855" max="13856" width="9.140625" style="585"/>
    <col min="13857" max="13857" width="11.7109375" style="585" customWidth="1"/>
    <col min="13858" max="13858" width="80.42578125" style="585" customWidth="1"/>
    <col min="13859" max="13862" width="11.7109375" style="585" customWidth="1"/>
    <col min="13863" max="13864" width="9.140625" style="585"/>
    <col min="13865" max="13865" width="11.7109375" style="585" customWidth="1"/>
    <col min="13866" max="13866" width="69.85546875" style="585" customWidth="1"/>
    <col min="13867" max="13870" width="11.7109375" style="585" customWidth="1"/>
    <col min="13871" max="13871" width="9.140625" style="585"/>
    <col min="13872" max="13872" width="11.7109375" style="585" customWidth="1"/>
    <col min="13873" max="13873" width="95.140625" style="585" customWidth="1"/>
    <col min="13874" max="13877" width="11.7109375" style="585" customWidth="1"/>
    <col min="13878" max="13878" width="9.140625" style="585"/>
    <col min="13879" max="13879" width="11.7109375" style="585" customWidth="1"/>
    <col min="13880" max="13880" width="95.140625" style="585" customWidth="1"/>
    <col min="13881" max="13884" width="11.7109375" style="585" customWidth="1"/>
    <col min="13885" max="13885" width="11.5703125" style="585" customWidth="1"/>
    <col min="13886" max="13886" width="11.7109375" style="585" customWidth="1"/>
    <col min="13887" max="13887" width="95.140625" style="585" customWidth="1"/>
    <col min="13888" max="13891" width="11.7109375" style="585" customWidth="1"/>
    <col min="13892" max="14080" width="9.140625" style="585"/>
    <col min="14081" max="14081" width="11.5703125" style="585" customWidth="1"/>
    <col min="14082" max="14082" width="103.140625" style="585" customWidth="1"/>
    <col min="14083" max="14086" width="11.7109375" style="585" customWidth="1"/>
    <col min="14087" max="14088" width="9.140625" style="585"/>
    <col min="14089" max="14089" width="11.7109375" style="585" customWidth="1"/>
    <col min="14090" max="14090" width="78.5703125" style="585" customWidth="1"/>
    <col min="14091" max="14094" width="11.7109375" style="585" customWidth="1"/>
    <col min="14095" max="14096" width="9.140625" style="585"/>
    <col min="14097" max="14097" width="11.7109375" style="585" customWidth="1"/>
    <col min="14098" max="14098" width="88.42578125" style="585" customWidth="1"/>
    <col min="14099" max="14102" width="11.7109375" style="585" customWidth="1"/>
    <col min="14103" max="14104" width="9.140625" style="585"/>
    <col min="14105" max="14105" width="11.7109375" style="585" customWidth="1"/>
    <col min="14106" max="14106" width="75.5703125" style="585" customWidth="1"/>
    <col min="14107" max="14110" width="11.7109375" style="585" customWidth="1"/>
    <col min="14111" max="14112" width="9.140625" style="585"/>
    <col min="14113" max="14113" width="11.7109375" style="585" customWidth="1"/>
    <col min="14114" max="14114" width="80.42578125" style="585" customWidth="1"/>
    <col min="14115" max="14118" width="11.7109375" style="585" customWidth="1"/>
    <col min="14119" max="14120" width="9.140625" style="585"/>
    <col min="14121" max="14121" width="11.7109375" style="585" customWidth="1"/>
    <col min="14122" max="14122" width="69.85546875" style="585" customWidth="1"/>
    <col min="14123" max="14126" width="11.7109375" style="585" customWidth="1"/>
    <col min="14127" max="14127" width="9.140625" style="585"/>
    <col min="14128" max="14128" width="11.7109375" style="585" customWidth="1"/>
    <col min="14129" max="14129" width="95.140625" style="585" customWidth="1"/>
    <col min="14130" max="14133" width="11.7109375" style="585" customWidth="1"/>
    <col min="14134" max="14134" width="9.140625" style="585"/>
    <col min="14135" max="14135" width="11.7109375" style="585" customWidth="1"/>
    <col min="14136" max="14136" width="95.140625" style="585" customWidth="1"/>
    <col min="14137" max="14140" width="11.7109375" style="585" customWidth="1"/>
    <col min="14141" max="14141" width="11.5703125" style="585" customWidth="1"/>
    <col min="14142" max="14142" width="11.7109375" style="585" customWidth="1"/>
    <col min="14143" max="14143" width="95.140625" style="585" customWidth="1"/>
    <col min="14144" max="14147" width="11.7109375" style="585" customWidth="1"/>
    <col min="14148" max="14336" width="9.140625" style="585"/>
    <col min="14337" max="14337" width="11.5703125" style="585" customWidth="1"/>
    <col min="14338" max="14338" width="103.140625" style="585" customWidth="1"/>
    <col min="14339" max="14342" width="11.7109375" style="585" customWidth="1"/>
    <col min="14343" max="14344" width="9.140625" style="585"/>
    <col min="14345" max="14345" width="11.7109375" style="585" customWidth="1"/>
    <col min="14346" max="14346" width="78.5703125" style="585" customWidth="1"/>
    <col min="14347" max="14350" width="11.7109375" style="585" customWidth="1"/>
    <col min="14351" max="14352" width="9.140625" style="585"/>
    <col min="14353" max="14353" width="11.7109375" style="585" customWidth="1"/>
    <col min="14354" max="14354" width="88.42578125" style="585" customWidth="1"/>
    <col min="14355" max="14358" width="11.7109375" style="585" customWidth="1"/>
    <col min="14359" max="14360" width="9.140625" style="585"/>
    <col min="14361" max="14361" width="11.7109375" style="585" customWidth="1"/>
    <col min="14362" max="14362" width="75.5703125" style="585" customWidth="1"/>
    <col min="14363" max="14366" width="11.7109375" style="585" customWidth="1"/>
    <col min="14367" max="14368" width="9.140625" style="585"/>
    <col min="14369" max="14369" width="11.7109375" style="585" customWidth="1"/>
    <col min="14370" max="14370" width="80.42578125" style="585" customWidth="1"/>
    <col min="14371" max="14374" width="11.7109375" style="585" customWidth="1"/>
    <col min="14375" max="14376" width="9.140625" style="585"/>
    <col min="14377" max="14377" width="11.7109375" style="585" customWidth="1"/>
    <col min="14378" max="14378" width="69.85546875" style="585" customWidth="1"/>
    <col min="14379" max="14382" width="11.7109375" style="585" customWidth="1"/>
    <col min="14383" max="14383" width="9.140625" style="585"/>
    <col min="14384" max="14384" width="11.7109375" style="585" customWidth="1"/>
    <col min="14385" max="14385" width="95.140625" style="585" customWidth="1"/>
    <col min="14386" max="14389" width="11.7109375" style="585" customWidth="1"/>
    <col min="14390" max="14390" width="9.140625" style="585"/>
    <col min="14391" max="14391" width="11.7109375" style="585" customWidth="1"/>
    <col min="14392" max="14392" width="95.140625" style="585" customWidth="1"/>
    <col min="14393" max="14396" width="11.7109375" style="585" customWidth="1"/>
    <col min="14397" max="14397" width="11.5703125" style="585" customWidth="1"/>
    <col min="14398" max="14398" width="11.7109375" style="585" customWidth="1"/>
    <col min="14399" max="14399" width="95.140625" style="585" customWidth="1"/>
    <col min="14400" max="14403" width="11.7109375" style="585" customWidth="1"/>
    <col min="14404" max="14592" width="9.140625" style="585"/>
    <col min="14593" max="14593" width="11.5703125" style="585" customWidth="1"/>
    <col min="14594" max="14594" width="103.140625" style="585" customWidth="1"/>
    <col min="14595" max="14598" width="11.7109375" style="585" customWidth="1"/>
    <col min="14599" max="14600" width="9.140625" style="585"/>
    <col min="14601" max="14601" width="11.7109375" style="585" customWidth="1"/>
    <col min="14602" max="14602" width="78.5703125" style="585" customWidth="1"/>
    <col min="14603" max="14606" width="11.7109375" style="585" customWidth="1"/>
    <col min="14607" max="14608" width="9.140625" style="585"/>
    <col min="14609" max="14609" width="11.7109375" style="585" customWidth="1"/>
    <col min="14610" max="14610" width="88.42578125" style="585" customWidth="1"/>
    <col min="14611" max="14614" width="11.7109375" style="585" customWidth="1"/>
    <col min="14615" max="14616" width="9.140625" style="585"/>
    <col min="14617" max="14617" width="11.7109375" style="585" customWidth="1"/>
    <col min="14618" max="14618" width="75.5703125" style="585" customWidth="1"/>
    <col min="14619" max="14622" width="11.7109375" style="585" customWidth="1"/>
    <col min="14623" max="14624" width="9.140625" style="585"/>
    <col min="14625" max="14625" width="11.7109375" style="585" customWidth="1"/>
    <col min="14626" max="14626" width="80.42578125" style="585" customWidth="1"/>
    <col min="14627" max="14630" width="11.7109375" style="585" customWidth="1"/>
    <col min="14631" max="14632" width="9.140625" style="585"/>
    <col min="14633" max="14633" width="11.7109375" style="585" customWidth="1"/>
    <col min="14634" max="14634" width="69.85546875" style="585" customWidth="1"/>
    <col min="14635" max="14638" width="11.7109375" style="585" customWidth="1"/>
    <col min="14639" max="14639" width="9.140625" style="585"/>
    <col min="14640" max="14640" width="11.7109375" style="585" customWidth="1"/>
    <col min="14641" max="14641" width="95.140625" style="585" customWidth="1"/>
    <col min="14642" max="14645" width="11.7109375" style="585" customWidth="1"/>
    <col min="14646" max="14646" width="9.140625" style="585"/>
    <col min="14647" max="14647" width="11.7109375" style="585" customWidth="1"/>
    <col min="14648" max="14648" width="95.140625" style="585" customWidth="1"/>
    <col min="14649" max="14652" width="11.7109375" style="585" customWidth="1"/>
    <col min="14653" max="14653" width="11.5703125" style="585" customWidth="1"/>
    <col min="14654" max="14654" width="11.7109375" style="585" customWidth="1"/>
    <col min="14655" max="14655" width="95.140625" style="585" customWidth="1"/>
    <col min="14656" max="14659" width="11.7109375" style="585" customWidth="1"/>
    <col min="14660" max="14848" width="9.140625" style="585"/>
    <col min="14849" max="14849" width="11.5703125" style="585" customWidth="1"/>
    <col min="14850" max="14850" width="103.140625" style="585" customWidth="1"/>
    <col min="14851" max="14854" width="11.7109375" style="585" customWidth="1"/>
    <col min="14855" max="14856" width="9.140625" style="585"/>
    <col min="14857" max="14857" width="11.7109375" style="585" customWidth="1"/>
    <col min="14858" max="14858" width="78.5703125" style="585" customWidth="1"/>
    <col min="14859" max="14862" width="11.7109375" style="585" customWidth="1"/>
    <col min="14863" max="14864" width="9.140625" style="585"/>
    <col min="14865" max="14865" width="11.7109375" style="585" customWidth="1"/>
    <col min="14866" max="14866" width="88.42578125" style="585" customWidth="1"/>
    <col min="14867" max="14870" width="11.7109375" style="585" customWidth="1"/>
    <col min="14871" max="14872" width="9.140625" style="585"/>
    <col min="14873" max="14873" width="11.7109375" style="585" customWidth="1"/>
    <col min="14874" max="14874" width="75.5703125" style="585" customWidth="1"/>
    <col min="14875" max="14878" width="11.7109375" style="585" customWidth="1"/>
    <col min="14879" max="14880" width="9.140625" style="585"/>
    <col min="14881" max="14881" width="11.7109375" style="585" customWidth="1"/>
    <col min="14882" max="14882" width="80.42578125" style="585" customWidth="1"/>
    <col min="14883" max="14886" width="11.7109375" style="585" customWidth="1"/>
    <col min="14887" max="14888" width="9.140625" style="585"/>
    <col min="14889" max="14889" width="11.7109375" style="585" customWidth="1"/>
    <col min="14890" max="14890" width="69.85546875" style="585" customWidth="1"/>
    <col min="14891" max="14894" width="11.7109375" style="585" customWidth="1"/>
    <col min="14895" max="14895" width="9.140625" style="585"/>
    <col min="14896" max="14896" width="11.7109375" style="585" customWidth="1"/>
    <col min="14897" max="14897" width="95.140625" style="585" customWidth="1"/>
    <col min="14898" max="14901" width="11.7109375" style="585" customWidth="1"/>
    <col min="14902" max="14902" width="9.140625" style="585"/>
    <col min="14903" max="14903" width="11.7109375" style="585" customWidth="1"/>
    <col min="14904" max="14904" width="95.140625" style="585" customWidth="1"/>
    <col min="14905" max="14908" width="11.7109375" style="585" customWidth="1"/>
    <col min="14909" max="14909" width="11.5703125" style="585" customWidth="1"/>
    <col min="14910" max="14910" width="11.7109375" style="585" customWidth="1"/>
    <col min="14911" max="14911" width="95.140625" style="585" customWidth="1"/>
    <col min="14912" max="14915" width="11.7109375" style="585" customWidth="1"/>
    <col min="14916" max="15104" width="9.140625" style="585"/>
    <col min="15105" max="15105" width="11.5703125" style="585" customWidth="1"/>
    <col min="15106" max="15106" width="103.140625" style="585" customWidth="1"/>
    <col min="15107" max="15110" width="11.7109375" style="585" customWidth="1"/>
    <col min="15111" max="15112" width="9.140625" style="585"/>
    <col min="15113" max="15113" width="11.7109375" style="585" customWidth="1"/>
    <col min="15114" max="15114" width="78.5703125" style="585" customWidth="1"/>
    <col min="15115" max="15118" width="11.7109375" style="585" customWidth="1"/>
    <col min="15119" max="15120" width="9.140625" style="585"/>
    <col min="15121" max="15121" width="11.7109375" style="585" customWidth="1"/>
    <col min="15122" max="15122" width="88.42578125" style="585" customWidth="1"/>
    <col min="15123" max="15126" width="11.7109375" style="585" customWidth="1"/>
    <col min="15127" max="15128" width="9.140625" style="585"/>
    <col min="15129" max="15129" width="11.7109375" style="585" customWidth="1"/>
    <col min="15130" max="15130" width="75.5703125" style="585" customWidth="1"/>
    <col min="15131" max="15134" width="11.7109375" style="585" customWidth="1"/>
    <col min="15135" max="15136" width="9.140625" style="585"/>
    <col min="15137" max="15137" width="11.7109375" style="585" customWidth="1"/>
    <col min="15138" max="15138" width="80.42578125" style="585" customWidth="1"/>
    <col min="15139" max="15142" width="11.7109375" style="585" customWidth="1"/>
    <col min="15143" max="15144" width="9.140625" style="585"/>
    <col min="15145" max="15145" width="11.7109375" style="585" customWidth="1"/>
    <col min="15146" max="15146" width="69.85546875" style="585" customWidth="1"/>
    <col min="15147" max="15150" width="11.7109375" style="585" customWidth="1"/>
    <col min="15151" max="15151" width="9.140625" style="585"/>
    <col min="15152" max="15152" width="11.7109375" style="585" customWidth="1"/>
    <col min="15153" max="15153" width="95.140625" style="585" customWidth="1"/>
    <col min="15154" max="15157" width="11.7109375" style="585" customWidth="1"/>
    <col min="15158" max="15158" width="9.140625" style="585"/>
    <col min="15159" max="15159" width="11.7109375" style="585" customWidth="1"/>
    <col min="15160" max="15160" width="95.140625" style="585" customWidth="1"/>
    <col min="15161" max="15164" width="11.7109375" style="585" customWidth="1"/>
    <col min="15165" max="15165" width="11.5703125" style="585" customWidth="1"/>
    <col min="15166" max="15166" width="11.7109375" style="585" customWidth="1"/>
    <col min="15167" max="15167" width="95.140625" style="585" customWidth="1"/>
    <col min="15168" max="15171" width="11.7109375" style="585" customWidth="1"/>
    <col min="15172" max="15360" width="9.140625" style="585"/>
    <col min="15361" max="15361" width="11.5703125" style="585" customWidth="1"/>
    <col min="15362" max="15362" width="103.140625" style="585" customWidth="1"/>
    <col min="15363" max="15366" width="11.7109375" style="585" customWidth="1"/>
    <col min="15367" max="15368" width="9.140625" style="585"/>
    <col min="15369" max="15369" width="11.7109375" style="585" customWidth="1"/>
    <col min="15370" max="15370" width="78.5703125" style="585" customWidth="1"/>
    <col min="15371" max="15374" width="11.7109375" style="585" customWidth="1"/>
    <col min="15375" max="15376" width="9.140625" style="585"/>
    <col min="15377" max="15377" width="11.7109375" style="585" customWidth="1"/>
    <col min="15378" max="15378" width="88.42578125" style="585" customWidth="1"/>
    <col min="15379" max="15382" width="11.7109375" style="585" customWidth="1"/>
    <col min="15383" max="15384" width="9.140625" style="585"/>
    <col min="15385" max="15385" width="11.7109375" style="585" customWidth="1"/>
    <col min="15386" max="15386" width="75.5703125" style="585" customWidth="1"/>
    <col min="15387" max="15390" width="11.7109375" style="585" customWidth="1"/>
    <col min="15391" max="15392" width="9.140625" style="585"/>
    <col min="15393" max="15393" width="11.7109375" style="585" customWidth="1"/>
    <col min="15394" max="15394" width="80.42578125" style="585" customWidth="1"/>
    <col min="15395" max="15398" width="11.7109375" style="585" customWidth="1"/>
    <col min="15399" max="15400" width="9.140625" style="585"/>
    <col min="15401" max="15401" width="11.7109375" style="585" customWidth="1"/>
    <col min="15402" max="15402" width="69.85546875" style="585" customWidth="1"/>
    <col min="15403" max="15406" width="11.7109375" style="585" customWidth="1"/>
    <col min="15407" max="15407" width="9.140625" style="585"/>
    <col min="15408" max="15408" width="11.7109375" style="585" customWidth="1"/>
    <col min="15409" max="15409" width="95.140625" style="585" customWidth="1"/>
    <col min="15410" max="15413" width="11.7109375" style="585" customWidth="1"/>
    <col min="15414" max="15414" width="9.140625" style="585"/>
    <col min="15415" max="15415" width="11.7109375" style="585" customWidth="1"/>
    <col min="15416" max="15416" width="95.140625" style="585" customWidth="1"/>
    <col min="15417" max="15420" width="11.7109375" style="585" customWidth="1"/>
    <col min="15421" max="15421" width="11.5703125" style="585" customWidth="1"/>
    <col min="15422" max="15422" width="11.7109375" style="585" customWidth="1"/>
    <col min="15423" max="15423" width="95.140625" style="585" customWidth="1"/>
    <col min="15424" max="15427" width="11.7109375" style="585" customWidth="1"/>
    <col min="15428" max="15616" width="9.140625" style="585"/>
    <col min="15617" max="15617" width="11.5703125" style="585" customWidth="1"/>
    <col min="15618" max="15618" width="103.140625" style="585" customWidth="1"/>
    <col min="15619" max="15622" width="11.7109375" style="585" customWidth="1"/>
    <col min="15623" max="15624" width="9.140625" style="585"/>
    <col min="15625" max="15625" width="11.7109375" style="585" customWidth="1"/>
    <col min="15626" max="15626" width="78.5703125" style="585" customWidth="1"/>
    <col min="15627" max="15630" width="11.7109375" style="585" customWidth="1"/>
    <col min="15631" max="15632" width="9.140625" style="585"/>
    <col min="15633" max="15633" width="11.7109375" style="585" customWidth="1"/>
    <col min="15634" max="15634" width="88.42578125" style="585" customWidth="1"/>
    <col min="15635" max="15638" width="11.7109375" style="585" customWidth="1"/>
    <col min="15639" max="15640" width="9.140625" style="585"/>
    <col min="15641" max="15641" width="11.7109375" style="585" customWidth="1"/>
    <col min="15642" max="15642" width="75.5703125" style="585" customWidth="1"/>
    <col min="15643" max="15646" width="11.7109375" style="585" customWidth="1"/>
    <col min="15647" max="15648" width="9.140625" style="585"/>
    <col min="15649" max="15649" width="11.7109375" style="585" customWidth="1"/>
    <col min="15650" max="15650" width="80.42578125" style="585" customWidth="1"/>
    <col min="15651" max="15654" width="11.7109375" style="585" customWidth="1"/>
    <col min="15655" max="15656" width="9.140625" style="585"/>
    <col min="15657" max="15657" width="11.7109375" style="585" customWidth="1"/>
    <col min="15658" max="15658" width="69.85546875" style="585" customWidth="1"/>
    <col min="15659" max="15662" width="11.7109375" style="585" customWidth="1"/>
    <col min="15663" max="15663" width="9.140625" style="585"/>
    <col min="15664" max="15664" width="11.7109375" style="585" customWidth="1"/>
    <col min="15665" max="15665" width="95.140625" style="585" customWidth="1"/>
    <col min="15666" max="15669" width="11.7109375" style="585" customWidth="1"/>
    <col min="15670" max="15670" width="9.140625" style="585"/>
    <col min="15671" max="15671" width="11.7109375" style="585" customWidth="1"/>
    <col min="15672" max="15672" width="95.140625" style="585" customWidth="1"/>
    <col min="15673" max="15676" width="11.7109375" style="585" customWidth="1"/>
    <col min="15677" max="15677" width="11.5703125" style="585" customWidth="1"/>
    <col min="15678" max="15678" width="11.7109375" style="585" customWidth="1"/>
    <col min="15679" max="15679" width="95.140625" style="585" customWidth="1"/>
    <col min="15680" max="15683" width="11.7109375" style="585" customWidth="1"/>
    <col min="15684" max="15872" width="9.140625" style="585"/>
    <col min="15873" max="15873" width="11.5703125" style="585" customWidth="1"/>
    <col min="15874" max="15874" width="103.140625" style="585" customWidth="1"/>
    <col min="15875" max="15878" width="11.7109375" style="585" customWidth="1"/>
    <col min="15879" max="15880" width="9.140625" style="585"/>
    <col min="15881" max="15881" width="11.7109375" style="585" customWidth="1"/>
    <col min="15882" max="15882" width="78.5703125" style="585" customWidth="1"/>
    <col min="15883" max="15886" width="11.7109375" style="585" customWidth="1"/>
    <col min="15887" max="15888" width="9.140625" style="585"/>
    <col min="15889" max="15889" width="11.7109375" style="585" customWidth="1"/>
    <col min="15890" max="15890" width="88.42578125" style="585" customWidth="1"/>
    <col min="15891" max="15894" width="11.7109375" style="585" customWidth="1"/>
    <col min="15895" max="15896" width="9.140625" style="585"/>
    <col min="15897" max="15897" width="11.7109375" style="585" customWidth="1"/>
    <col min="15898" max="15898" width="75.5703125" style="585" customWidth="1"/>
    <col min="15899" max="15902" width="11.7109375" style="585" customWidth="1"/>
    <col min="15903" max="15904" width="9.140625" style="585"/>
    <col min="15905" max="15905" width="11.7109375" style="585" customWidth="1"/>
    <col min="15906" max="15906" width="80.42578125" style="585" customWidth="1"/>
    <col min="15907" max="15910" width="11.7109375" style="585" customWidth="1"/>
    <col min="15911" max="15912" width="9.140625" style="585"/>
    <col min="15913" max="15913" width="11.7109375" style="585" customWidth="1"/>
    <col min="15914" max="15914" width="69.85546875" style="585" customWidth="1"/>
    <col min="15915" max="15918" width="11.7109375" style="585" customWidth="1"/>
    <col min="15919" max="15919" width="9.140625" style="585"/>
    <col min="15920" max="15920" width="11.7109375" style="585" customWidth="1"/>
    <col min="15921" max="15921" width="95.140625" style="585" customWidth="1"/>
    <col min="15922" max="15925" width="11.7109375" style="585" customWidth="1"/>
    <col min="15926" max="15926" width="9.140625" style="585"/>
    <col min="15927" max="15927" width="11.7109375" style="585" customWidth="1"/>
    <col min="15928" max="15928" width="95.140625" style="585" customWidth="1"/>
    <col min="15929" max="15932" width="11.7109375" style="585" customWidth="1"/>
    <col min="15933" max="15933" width="11.5703125" style="585" customWidth="1"/>
    <col min="15934" max="15934" width="11.7109375" style="585" customWidth="1"/>
    <col min="15935" max="15935" width="95.140625" style="585" customWidth="1"/>
    <col min="15936" max="15939" width="11.7109375" style="585" customWidth="1"/>
    <col min="15940" max="16128" width="9.140625" style="585"/>
    <col min="16129" max="16129" width="11.5703125" style="585" customWidth="1"/>
    <col min="16130" max="16130" width="103.140625" style="585" customWidth="1"/>
    <col min="16131" max="16134" width="11.7109375" style="585" customWidth="1"/>
    <col min="16135" max="16136" width="9.140625" style="585"/>
    <col min="16137" max="16137" width="11.7109375" style="585" customWidth="1"/>
    <col min="16138" max="16138" width="78.5703125" style="585" customWidth="1"/>
    <col min="16139" max="16142" width="11.7109375" style="585" customWidth="1"/>
    <col min="16143" max="16144" width="9.140625" style="585"/>
    <col min="16145" max="16145" width="11.7109375" style="585" customWidth="1"/>
    <col min="16146" max="16146" width="88.42578125" style="585" customWidth="1"/>
    <col min="16147" max="16150" width="11.7109375" style="585" customWidth="1"/>
    <col min="16151" max="16152" width="9.140625" style="585"/>
    <col min="16153" max="16153" width="11.7109375" style="585" customWidth="1"/>
    <col min="16154" max="16154" width="75.5703125" style="585" customWidth="1"/>
    <col min="16155" max="16158" width="11.7109375" style="585" customWidth="1"/>
    <col min="16159" max="16160" width="9.140625" style="585"/>
    <col min="16161" max="16161" width="11.7109375" style="585" customWidth="1"/>
    <col min="16162" max="16162" width="80.42578125" style="585" customWidth="1"/>
    <col min="16163" max="16166" width="11.7109375" style="585" customWidth="1"/>
    <col min="16167" max="16168" width="9.140625" style="585"/>
    <col min="16169" max="16169" width="11.7109375" style="585" customWidth="1"/>
    <col min="16170" max="16170" width="69.85546875" style="585" customWidth="1"/>
    <col min="16171" max="16174" width="11.7109375" style="585" customWidth="1"/>
    <col min="16175" max="16175" width="9.140625" style="585"/>
    <col min="16176" max="16176" width="11.7109375" style="585" customWidth="1"/>
    <col min="16177" max="16177" width="95.140625" style="585" customWidth="1"/>
    <col min="16178" max="16181" width="11.7109375" style="585" customWidth="1"/>
    <col min="16182" max="16182" width="9.140625" style="585"/>
    <col min="16183" max="16183" width="11.7109375" style="585" customWidth="1"/>
    <col min="16184" max="16184" width="95.140625" style="585" customWidth="1"/>
    <col min="16185" max="16188" width="11.7109375" style="585" customWidth="1"/>
    <col min="16189" max="16189" width="11.5703125" style="585" customWidth="1"/>
    <col min="16190" max="16190" width="11.7109375" style="585" customWidth="1"/>
    <col min="16191" max="16191" width="95.140625" style="585" customWidth="1"/>
    <col min="16192" max="16195" width="11.7109375" style="585" customWidth="1"/>
    <col min="16196" max="16384" width="9.140625" style="585"/>
  </cols>
  <sheetData>
    <row r="1" spans="1:67" ht="12.75" customHeight="1">
      <c r="A1" s="1557" t="s">
        <v>7755</v>
      </c>
      <c r="I1" s="1557" t="s">
        <v>7756</v>
      </c>
      <c r="Q1" s="1557" t="s">
        <v>7757</v>
      </c>
      <c r="Y1" s="1557" t="s">
        <v>7758</v>
      </c>
      <c r="AG1" s="1557" t="s">
        <v>7759</v>
      </c>
      <c r="AO1" s="1557" t="s">
        <v>7760</v>
      </c>
      <c r="AV1" s="1557" t="s">
        <v>7761</v>
      </c>
      <c r="AW1" s="1558"/>
      <c r="AX1" s="1558"/>
      <c r="AY1" s="1558"/>
      <c r="AZ1" s="1558"/>
      <c r="BA1" s="1558"/>
      <c r="BC1" s="1557"/>
      <c r="BD1" s="1558"/>
      <c r="BE1" s="1558"/>
      <c r="BF1" s="1558"/>
      <c r="BG1" s="1558"/>
      <c r="BH1" s="1558"/>
      <c r="BJ1" s="1557"/>
      <c r="BK1" s="1558"/>
      <c r="BL1" s="1558"/>
      <c r="BM1" s="1558"/>
      <c r="BN1" s="1558"/>
      <c r="BO1" s="1558"/>
    </row>
    <row r="2" spans="1:67" ht="12.75" customHeight="1">
      <c r="A2" s="1559" t="s">
        <v>7003</v>
      </c>
      <c r="B2" s="1560" t="s">
        <v>7003</v>
      </c>
      <c r="C2" s="1561" t="s">
        <v>3173</v>
      </c>
      <c r="D2" s="1561" t="s">
        <v>7265</v>
      </c>
      <c r="E2" s="1561" t="s">
        <v>7266</v>
      </c>
      <c r="F2" s="1562" t="s">
        <v>7267</v>
      </c>
      <c r="I2" s="1559" t="s">
        <v>7003</v>
      </c>
      <c r="J2" s="1560" t="s">
        <v>7003</v>
      </c>
      <c r="K2" s="1561" t="s">
        <v>3173</v>
      </c>
      <c r="L2" s="1561" t="s">
        <v>7265</v>
      </c>
      <c r="M2" s="1561" t="s">
        <v>119</v>
      </c>
      <c r="N2" s="1562" t="s">
        <v>7267</v>
      </c>
      <c r="Q2" s="1559" t="s">
        <v>7003</v>
      </c>
      <c r="R2" s="1560" t="s">
        <v>7003</v>
      </c>
      <c r="S2" s="1561" t="s">
        <v>3173</v>
      </c>
      <c r="T2" s="1561" t="s">
        <v>7265</v>
      </c>
      <c r="U2" s="1561" t="s">
        <v>119</v>
      </c>
      <c r="V2" s="1562" t="s">
        <v>7267</v>
      </c>
      <c r="Y2" s="1559" t="s">
        <v>7003</v>
      </c>
      <c r="Z2" s="1560" t="s">
        <v>7003</v>
      </c>
      <c r="AA2" s="1561" t="s">
        <v>3173</v>
      </c>
      <c r="AB2" s="1561" t="s">
        <v>7265</v>
      </c>
      <c r="AC2" s="1561" t="s">
        <v>119</v>
      </c>
      <c r="AD2" s="1562" t="s">
        <v>7267</v>
      </c>
      <c r="AG2" s="1559" t="s">
        <v>7003</v>
      </c>
      <c r="AH2" s="1560" t="s">
        <v>7003</v>
      </c>
      <c r="AI2" s="1561" t="s">
        <v>3173</v>
      </c>
      <c r="AJ2" s="1561" t="s">
        <v>7265</v>
      </c>
      <c r="AK2" s="1561" t="s">
        <v>119</v>
      </c>
      <c r="AL2" s="1562" t="s">
        <v>7267</v>
      </c>
      <c r="AO2" s="1559" t="s">
        <v>7003</v>
      </c>
      <c r="AP2" s="1560" t="s">
        <v>7003</v>
      </c>
      <c r="AQ2" s="1561" t="s">
        <v>3173</v>
      </c>
      <c r="AR2" s="1561" t="s">
        <v>7265</v>
      </c>
      <c r="AS2" s="1561" t="s">
        <v>119</v>
      </c>
      <c r="AT2" s="1562" t="s">
        <v>7267</v>
      </c>
      <c r="AV2" s="1559" t="s">
        <v>7003</v>
      </c>
      <c r="AW2" s="1560" t="s">
        <v>7003</v>
      </c>
      <c r="AX2" s="1561" t="s">
        <v>3173</v>
      </c>
      <c r="AY2" s="1561" t="s">
        <v>7265</v>
      </c>
      <c r="AZ2" s="1561" t="s">
        <v>119</v>
      </c>
      <c r="BA2" s="1562" t="s">
        <v>7267</v>
      </c>
      <c r="BC2" s="1862"/>
      <c r="BD2" s="1862"/>
      <c r="BE2" s="1861"/>
      <c r="BF2" s="1861"/>
      <c r="BG2" s="1861"/>
      <c r="BH2" s="1861"/>
      <c r="BJ2" s="1862"/>
      <c r="BK2" s="1862"/>
      <c r="BL2" s="1861"/>
      <c r="BM2" s="1861"/>
      <c r="BN2" s="1861"/>
      <c r="BO2" s="1861"/>
    </row>
    <row r="3" spans="1:67" ht="12.75" customHeight="1">
      <c r="A3" s="1563" t="s">
        <v>135</v>
      </c>
      <c r="B3" s="1564" t="s">
        <v>7268</v>
      </c>
      <c r="C3" s="1565" t="s">
        <v>7269</v>
      </c>
      <c r="D3" s="1565" t="s">
        <v>7270</v>
      </c>
      <c r="E3" s="1565" t="s">
        <v>7271</v>
      </c>
      <c r="F3" s="1566" t="s">
        <v>7272</v>
      </c>
      <c r="I3" s="1563" t="s">
        <v>135</v>
      </c>
      <c r="J3" s="1564" t="s">
        <v>7268</v>
      </c>
      <c r="K3" s="1565" t="s">
        <v>7269</v>
      </c>
      <c r="L3" s="1565" t="s">
        <v>7270</v>
      </c>
      <c r="M3" s="1565" t="s">
        <v>7273</v>
      </c>
      <c r="N3" s="1566" t="s">
        <v>7272</v>
      </c>
      <c r="Q3" s="1563" t="s">
        <v>135</v>
      </c>
      <c r="R3" s="1564" t="s">
        <v>7268</v>
      </c>
      <c r="S3" s="1565" t="s">
        <v>7269</v>
      </c>
      <c r="T3" s="1565" t="s">
        <v>7270</v>
      </c>
      <c r="U3" s="1565" t="s">
        <v>7273</v>
      </c>
      <c r="V3" s="1566" t="s">
        <v>7272</v>
      </c>
      <c r="Y3" s="1563" t="s">
        <v>135</v>
      </c>
      <c r="Z3" s="1564" t="s">
        <v>7268</v>
      </c>
      <c r="AA3" s="1565" t="s">
        <v>7269</v>
      </c>
      <c r="AB3" s="1565" t="s">
        <v>7270</v>
      </c>
      <c r="AC3" s="1565" t="s">
        <v>7273</v>
      </c>
      <c r="AD3" s="1566" t="s">
        <v>7272</v>
      </c>
      <c r="AG3" s="1563" t="s">
        <v>135</v>
      </c>
      <c r="AH3" s="1564" t="s">
        <v>7268</v>
      </c>
      <c r="AI3" s="1565" t="s">
        <v>7269</v>
      </c>
      <c r="AJ3" s="1565" t="s">
        <v>7270</v>
      </c>
      <c r="AK3" s="1565" t="s">
        <v>7273</v>
      </c>
      <c r="AL3" s="1566" t="s">
        <v>7272</v>
      </c>
      <c r="AO3" s="1567" t="s">
        <v>135</v>
      </c>
      <c r="AP3" s="1564" t="s">
        <v>7268</v>
      </c>
      <c r="AQ3" s="1565" t="s">
        <v>7269</v>
      </c>
      <c r="AR3" s="1565" t="s">
        <v>7270</v>
      </c>
      <c r="AS3" s="1565" t="s">
        <v>7273</v>
      </c>
      <c r="AT3" s="1566" t="s">
        <v>7272</v>
      </c>
      <c r="AV3" s="1567" t="s">
        <v>135</v>
      </c>
      <c r="AW3" s="1564" t="s">
        <v>7268</v>
      </c>
      <c r="AX3" s="1565" t="s">
        <v>7269</v>
      </c>
      <c r="AY3" s="1565" t="s">
        <v>7270</v>
      </c>
      <c r="AZ3" s="1565" t="s">
        <v>7273</v>
      </c>
      <c r="BA3" s="1566" t="s">
        <v>7272</v>
      </c>
      <c r="BC3" s="1862"/>
      <c r="BD3" s="1862"/>
      <c r="BE3" s="1861"/>
      <c r="BF3" s="1861"/>
      <c r="BG3" s="1861"/>
      <c r="BH3" s="1861"/>
      <c r="BJ3" s="1862"/>
      <c r="BK3" s="1862"/>
      <c r="BL3" s="1861"/>
      <c r="BM3" s="1861"/>
      <c r="BN3" s="1861"/>
      <c r="BO3" s="1861"/>
    </row>
    <row r="4" spans="1:67" ht="12.75" customHeight="1">
      <c r="A4" s="1568" t="s">
        <v>7274</v>
      </c>
      <c r="B4" s="1569" t="s">
        <v>7275</v>
      </c>
      <c r="C4" s="872">
        <v>64680</v>
      </c>
      <c r="D4" s="1570">
        <v>20.29</v>
      </c>
      <c r="E4" s="872">
        <v>42210</v>
      </c>
      <c r="F4" s="1571">
        <v>0.4</v>
      </c>
      <c r="G4" s="1572"/>
      <c r="I4" s="1568" t="s">
        <v>7726</v>
      </c>
      <c r="J4" s="1569" t="s">
        <v>7727</v>
      </c>
      <c r="K4" s="872">
        <v>790</v>
      </c>
      <c r="L4" s="1570">
        <v>26</v>
      </c>
      <c r="M4" s="872">
        <v>54080</v>
      </c>
      <c r="N4" s="1571">
        <v>2.4</v>
      </c>
      <c r="Q4" s="1568" t="s">
        <v>7728</v>
      </c>
      <c r="R4" s="1569" t="s">
        <v>7729</v>
      </c>
      <c r="S4" s="872">
        <v>460</v>
      </c>
      <c r="T4" s="1570">
        <v>19.72</v>
      </c>
      <c r="U4" s="872">
        <v>41010</v>
      </c>
      <c r="V4" s="1571">
        <v>1.6</v>
      </c>
      <c r="W4" s="1573"/>
      <c r="Y4" s="1577" t="s">
        <v>7679</v>
      </c>
      <c r="Z4" s="845" t="s">
        <v>7680</v>
      </c>
      <c r="AA4" s="872">
        <v>210</v>
      </c>
      <c r="AB4" s="1570">
        <v>10.79</v>
      </c>
      <c r="AC4" s="872">
        <v>22450</v>
      </c>
      <c r="AD4" s="1571">
        <v>1.6</v>
      </c>
      <c r="AE4" s="585"/>
      <c r="AG4" s="1568" t="s">
        <v>7282</v>
      </c>
      <c r="AH4" s="1569" t="s">
        <v>7283</v>
      </c>
      <c r="AI4" s="872">
        <v>9110</v>
      </c>
      <c r="AJ4" s="1570">
        <v>16.29</v>
      </c>
      <c r="AK4" s="872">
        <v>33870</v>
      </c>
      <c r="AL4" s="1571">
        <v>0.8</v>
      </c>
      <c r="AM4" s="585"/>
      <c r="AO4" s="1577" t="s">
        <v>7703</v>
      </c>
      <c r="AP4" s="845" t="s">
        <v>7704</v>
      </c>
      <c r="AQ4" s="872">
        <v>120</v>
      </c>
      <c r="AR4" s="1570">
        <v>20.440000000000001</v>
      </c>
      <c r="AS4" s="872">
        <v>42520</v>
      </c>
      <c r="AT4" s="1571">
        <v>0.7</v>
      </c>
      <c r="AU4" s="1574"/>
      <c r="AV4" s="1568" t="s">
        <v>7286</v>
      </c>
      <c r="AW4" s="1569" t="s">
        <v>7287</v>
      </c>
      <c r="AX4" s="872">
        <v>4580</v>
      </c>
      <c r="AY4" s="1570">
        <v>17.84</v>
      </c>
      <c r="AZ4" s="872">
        <v>37110</v>
      </c>
      <c r="BA4" s="1571">
        <v>2.2000000000000002</v>
      </c>
      <c r="BC4" s="1863"/>
      <c r="BD4" s="621"/>
      <c r="BE4" s="439"/>
      <c r="BF4" s="1575"/>
      <c r="BG4" s="1576"/>
      <c r="BH4" s="1575"/>
      <c r="BJ4" s="1863"/>
      <c r="BK4" s="621"/>
      <c r="BL4" s="439"/>
      <c r="BM4" s="1575"/>
      <c r="BN4" s="1576"/>
      <c r="BO4" s="1575"/>
    </row>
    <row r="5" spans="1:67" ht="12.75" customHeight="1">
      <c r="A5" s="1568" t="s">
        <v>7288</v>
      </c>
      <c r="B5" s="1569" t="s">
        <v>7289</v>
      </c>
      <c r="C5" s="872">
        <v>5580</v>
      </c>
      <c r="D5" s="1570">
        <v>36.75</v>
      </c>
      <c r="E5" s="872">
        <v>76430</v>
      </c>
      <c r="F5" s="1571">
        <v>1.5</v>
      </c>
      <c r="G5" s="1572"/>
      <c r="I5" s="1577" t="s">
        <v>7736</v>
      </c>
      <c r="J5" s="845" t="s">
        <v>7737</v>
      </c>
      <c r="K5" s="872">
        <v>200</v>
      </c>
      <c r="L5" s="1570">
        <v>18.75</v>
      </c>
      <c r="M5" s="872">
        <v>39000</v>
      </c>
      <c r="N5" s="1571">
        <v>6</v>
      </c>
      <c r="Q5" s="1577" t="s">
        <v>7738</v>
      </c>
      <c r="R5" s="845" t="s">
        <v>7739</v>
      </c>
      <c r="S5" s="872">
        <v>70</v>
      </c>
      <c r="T5" s="1570">
        <v>16.149999999999999</v>
      </c>
      <c r="U5" s="872">
        <v>33580</v>
      </c>
      <c r="V5" s="1571">
        <v>2.2999999999999998</v>
      </c>
      <c r="W5" s="1573"/>
      <c r="Y5" s="1577" t="s">
        <v>7689</v>
      </c>
      <c r="Z5" s="845" t="s">
        <v>7690</v>
      </c>
      <c r="AA5" s="872">
        <v>710</v>
      </c>
      <c r="AB5" s="1570">
        <v>10.33</v>
      </c>
      <c r="AC5" s="872">
        <v>21490</v>
      </c>
      <c r="AD5" s="1571">
        <v>1.3</v>
      </c>
      <c r="AE5" s="585"/>
      <c r="AG5" s="1577" t="s">
        <v>7681</v>
      </c>
      <c r="AH5" s="845" t="s">
        <v>7682</v>
      </c>
      <c r="AI5" s="872">
        <v>1240</v>
      </c>
      <c r="AJ5" s="1570">
        <v>20.76</v>
      </c>
      <c r="AK5" s="872">
        <v>43180</v>
      </c>
      <c r="AL5" s="1571">
        <v>0.9</v>
      </c>
      <c r="AM5" s="585"/>
      <c r="AO5" s="1577" t="s">
        <v>7713</v>
      </c>
      <c r="AP5" s="845" t="s">
        <v>7714</v>
      </c>
      <c r="AQ5" s="872">
        <v>110</v>
      </c>
      <c r="AR5" s="1570">
        <v>17.34</v>
      </c>
      <c r="AS5" s="872">
        <v>36070</v>
      </c>
      <c r="AT5" s="1571">
        <v>3.4</v>
      </c>
      <c r="AU5" s="1574"/>
      <c r="AV5" s="1577" t="s">
        <v>7300</v>
      </c>
      <c r="AW5" s="845" t="s">
        <v>7301</v>
      </c>
      <c r="AX5" s="872">
        <v>220</v>
      </c>
      <c r="AY5" s="1570">
        <v>21.13</v>
      </c>
      <c r="AZ5" s="872">
        <v>43950</v>
      </c>
      <c r="BA5" s="1571">
        <v>5.5</v>
      </c>
      <c r="BC5" s="1578"/>
      <c r="BD5" s="382"/>
      <c r="BE5" s="439"/>
      <c r="BF5" s="1575"/>
      <c r="BG5" s="1576"/>
      <c r="BH5" s="1575"/>
      <c r="BJ5" s="1578"/>
      <c r="BK5" s="382"/>
      <c r="BL5" s="439"/>
      <c r="BM5" s="1575"/>
      <c r="BN5" s="1576"/>
      <c r="BO5" s="1575"/>
    </row>
    <row r="6" spans="1:67" ht="12.75" customHeight="1">
      <c r="A6" s="1577" t="s">
        <v>7302</v>
      </c>
      <c r="B6" s="845" t="s">
        <v>7303</v>
      </c>
      <c r="C6" s="872">
        <v>340</v>
      </c>
      <c r="D6" s="1570">
        <v>59.17</v>
      </c>
      <c r="E6" s="872">
        <v>123080</v>
      </c>
      <c r="F6" s="1571">
        <v>3.1</v>
      </c>
      <c r="G6" s="1572"/>
      <c r="I6" s="1577" t="s">
        <v>7762</v>
      </c>
      <c r="J6" s="845" t="s">
        <v>7763</v>
      </c>
      <c r="K6" s="872">
        <v>70</v>
      </c>
      <c r="L6" s="1570">
        <v>28.65</v>
      </c>
      <c r="M6" s="872">
        <v>59600</v>
      </c>
      <c r="N6" s="1571">
        <v>1.9</v>
      </c>
      <c r="Q6" s="1577" t="s">
        <v>7764</v>
      </c>
      <c r="R6" s="845" t="s">
        <v>7765</v>
      </c>
      <c r="S6" s="872">
        <v>50</v>
      </c>
      <c r="T6" s="1570">
        <v>23.64</v>
      </c>
      <c r="U6" s="872">
        <v>49170</v>
      </c>
      <c r="V6" s="1571">
        <v>3</v>
      </c>
      <c r="W6" s="1573"/>
      <c r="Y6" s="1577" t="s">
        <v>7699</v>
      </c>
      <c r="Z6" s="845" t="s">
        <v>7700</v>
      </c>
      <c r="AA6" s="872">
        <v>1620</v>
      </c>
      <c r="AB6" s="1570">
        <v>9.9700000000000006</v>
      </c>
      <c r="AC6" s="872">
        <v>20730</v>
      </c>
      <c r="AD6" s="1571">
        <v>0.7</v>
      </c>
      <c r="AE6" s="585"/>
      <c r="AG6" s="1577" t="s">
        <v>7691</v>
      </c>
      <c r="AH6" s="845" t="s">
        <v>7692</v>
      </c>
      <c r="AI6" s="872">
        <v>110</v>
      </c>
      <c r="AJ6" s="1570">
        <v>15.41</v>
      </c>
      <c r="AK6" s="872">
        <v>32040</v>
      </c>
      <c r="AL6" s="1571">
        <v>4</v>
      </c>
      <c r="AM6" s="585"/>
      <c r="AO6" s="1577" t="s">
        <v>7723</v>
      </c>
      <c r="AP6" s="845" t="s">
        <v>7724</v>
      </c>
      <c r="AQ6" s="872">
        <v>60</v>
      </c>
      <c r="AR6" s="1570">
        <v>15.14</v>
      </c>
      <c r="AS6" s="872">
        <v>31480</v>
      </c>
      <c r="AT6" s="1571">
        <v>3.1</v>
      </c>
      <c r="AU6" s="1574"/>
      <c r="AV6" s="1577" t="s">
        <v>7330</v>
      </c>
      <c r="AW6" s="845" t="s">
        <v>7331</v>
      </c>
      <c r="AX6" s="872">
        <v>300</v>
      </c>
      <c r="AY6" s="1570">
        <v>11</v>
      </c>
      <c r="AZ6" s="872">
        <v>22880</v>
      </c>
      <c r="BA6" s="1571">
        <v>4.7</v>
      </c>
      <c r="BC6" s="1578"/>
      <c r="BD6" s="382"/>
      <c r="BE6" s="439"/>
      <c r="BF6" s="1575"/>
      <c r="BG6" s="1576"/>
      <c r="BH6" s="1575"/>
      <c r="BJ6" s="1578"/>
      <c r="BK6" s="382"/>
      <c r="BL6" s="439"/>
      <c r="BM6" s="1575"/>
      <c r="BN6" s="1576"/>
      <c r="BO6" s="1575"/>
    </row>
    <row r="7" spans="1:67" ht="12.75" customHeight="1">
      <c r="A7" s="1577" t="s">
        <v>7318</v>
      </c>
      <c r="B7" s="845" t="s">
        <v>7319</v>
      </c>
      <c r="C7" s="872">
        <v>1360</v>
      </c>
      <c r="D7" s="1570">
        <v>35.520000000000003</v>
      </c>
      <c r="E7" s="872">
        <v>73870</v>
      </c>
      <c r="F7" s="1571">
        <v>2.4</v>
      </c>
      <c r="G7" s="1572"/>
      <c r="I7" s="1568" t="s">
        <v>7276</v>
      </c>
      <c r="J7" s="1569" t="s">
        <v>7277</v>
      </c>
      <c r="K7" s="872">
        <v>1120</v>
      </c>
      <c r="L7" s="1570">
        <v>33.21</v>
      </c>
      <c r="M7" s="872">
        <v>69080</v>
      </c>
      <c r="N7" s="1571">
        <v>1.1000000000000001</v>
      </c>
      <c r="Q7" s="1577" t="s">
        <v>7750</v>
      </c>
      <c r="R7" s="845" t="s">
        <v>7751</v>
      </c>
      <c r="S7" s="872">
        <v>40</v>
      </c>
      <c r="T7" s="1570">
        <v>36.950000000000003</v>
      </c>
      <c r="U7" s="872">
        <v>76850</v>
      </c>
      <c r="V7" s="1571">
        <v>1</v>
      </c>
      <c r="W7" s="1573"/>
      <c r="Y7" s="1577" t="s">
        <v>7709</v>
      </c>
      <c r="Z7" s="845" t="s">
        <v>7710</v>
      </c>
      <c r="AA7" s="872">
        <v>330</v>
      </c>
      <c r="AB7" s="1570">
        <v>10.26</v>
      </c>
      <c r="AC7" s="872">
        <v>21350</v>
      </c>
      <c r="AD7" s="1571">
        <v>1.7</v>
      </c>
      <c r="AE7" s="585"/>
      <c r="AG7" s="1577" t="s">
        <v>7701</v>
      </c>
      <c r="AH7" s="845" t="s">
        <v>7702</v>
      </c>
      <c r="AI7" s="872">
        <v>120</v>
      </c>
      <c r="AJ7" s="1570">
        <v>14.7</v>
      </c>
      <c r="AK7" s="872">
        <v>30570</v>
      </c>
      <c r="AL7" s="1571">
        <v>5.2</v>
      </c>
      <c r="AM7" s="585"/>
      <c r="AO7" s="1577" t="s">
        <v>7766</v>
      </c>
      <c r="AP7" s="845" t="s">
        <v>7767</v>
      </c>
      <c r="AQ7" s="872" t="s">
        <v>7311</v>
      </c>
      <c r="AR7" s="1570">
        <v>16.95</v>
      </c>
      <c r="AS7" s="872">
        <v>35260</v>
      </c>
      <c r="AT7" s="1571">
        <v>10.6</v>
      </c>
      <c r="AU7" s="1574"/>
      <c r="AV7" s="1577" t="s">
        <v>7344</v>
      </c>
      <c r="AW7" s="845" t="s">
        <v>7345</v>
      </c>
      <c r="AX7" s="872">
        <v>470</v>
      </c>
      <c r="AY7" s="1570">
        <v>18.149999999999999</v>
      </c>
      <c r="AZ7" s="872">
        <v>37740</v>
      </c>
      <c r="BA7" s="1571">
        <v>3.6</v>
      </c>
      <c r="BC7" s="1578"/>
      <c r="BD7" s="382"/>
      <c r="BE7" s="439"/>
      <c r="BF7" s="1575"/>
      <c r="BG7" s="1576"/>
      <c r="BH7" s="1575"/>
      <c r="BJ7" s="1578"/>
      <c r="BK7" s="382"/>
      <c r="BL7" s="439"/>
      <c r="BM7" s="1575"/>
      <c r="BN7" s="1576"/>
      <c r="BO7" s="1575"/>
    </row>
    <row r="8" spans="1:67" ht="12.75" customHeight="1">
      <c r="A8" s="1577" t="s">
        <v>7332</v>
      </c>
      <c r="B8" s="845" t="s">
        <v>7333</v>
      </c>
      <c r="C8" s="872">
        <v>180</v>
      </c>
      <c r="D8" s="1570">
        <v>31.98</v>
      </c>
      <c r="E8" s="872">
        <v>66520</v>
      </c>
      <c r="F8" s="1571">
        <v>3.3</v>
      </c>
      <c r="G8" s="1572"/>
      <c r="I8" s="1577" t="s">
        <v>7290</v>
      </c>
      <c r="J8" s="845" t="s">
        <v>7291</v>
      </c>
      <c r="K8" s="872">
        <v>70</v>
      </c>
      <c r="L8" s="1570">
        <v>41.89</v>
      </c>
      <c r="M8" s="872">
        <v>87130</v>
      </c>
      <c r="N8" s="1571">
        <v>3.5</v>
      </c>
      <c r="Q8" s="1568" t="s">
        <v>7278</v>
      </c>
      <c r="R8" s="1569" t="s">
        <v>7279</v>
      </c>
      <c r="S8" s="872">
        <v>2100</v>
      </c>
      <c r="T8" s="1570">
        <v>38.74</v>
      </c>
      <c r="U8" s="872">
        <v>80590</v>
      </c>
      <c r="V8" s="1571">
        <v>2.7</v>
      </c>
      <c r="W8" s="1573"/>
      <c r="Y8" s="1577" t="s">
        <v>7719</v>
      </c>
      <c r="Z8" s="845" t="s">
        <v>7720</v>
      </c>
      <c r="AA8" s="872">
        <v>360</v>
      </c>
      <c r="AB8" s="1570">
        <v>10.029999999999999</v>
      </c>
      <c r="AC8" s="872">
        <v>20870</v>
      </c>
      <c r="AD8" s="1571">
        <v>0.8</v>
      </c>
      <c r="AE8" s="585"/>
      <c r="AG8" s="1577" t="s">
        <v>7711</v>
      </c>
      <c r="AH8" s="845" t="s">
        <v>7712</v>
      </c>
      <c r="AI8" s="872">
        <v>870</v>
      </c>
      <c r="AJ8" s="1570">
        <v>15.04</v>
      </c>
      <c r="AK8" s="872">
        <v>31290</v>
      </c>
      <c r="AL8" s="1571">
        <v>1.2</v>
      </c>
      <c r="AM8" s="585"/>
      <c r="AO8" s="1577" t="s">
        <v>7734</v>
      </c>
      <c r="AP8" s="845" t="s">
        <v>7735</v>
      </c>
      <c r="AQ8" s="872">
        <v>70</v>
      </c>
      <c r="AR8" s="1570">
        <v>14.09</v>
      </c>
      <c r="AS8" s="872">
        <v>29300</v>
      </c>
      <c r="AT8" s="1571">
        <v>9.4</v>
      </c>
      <c r="AU8" s="1574"/>
      <c r="AV8" s="1577" t="s">
        <v>7358</v>
      </c>
      <c r="AW8" s="845" t="s">
        <v>7359</v>
      </c>
      <c r="AX8" s="872">
        <v>450</v>
      </c>
      <c r="AY8" s="1570">
        <v>12.03</v>
      </c>
      <c r="AZ8" s="872">
        <v>25020</v>
      </c>
      <c r="BA8" s="1571">
        <v>2.2999999999999998</v>
      </c>
      <c r="BC8" s="1578"/>
      <c r="BD8" s="382"/>
      <c r="BE8" s="439"/>
      <c r="BF8" s="1575"/>
      <c r="BG8" s="1576"/>
      <c r="BH8" s="1575"/>
      <c r="BJ8" s="1578"/>
      <c r="BK8" s="382"/>
      <c r="BL8" s="439"/>
      <c r="BM8" s="1575"/>
      <c r="BN8" s="1576"/>
      <c r="BO8" s="1575"/>
    </row>
    <row r="9" spans="1:67" ht="12.75" customHeight="1">
      <c r="A9" s="1577" t="s">
        <v>7346</v>
      </c>
      <c r="B9" s="845" t="s">
        <v>7347</v>
      </c>
      <c r="C9" s="872">
        <v>200</v>
      </c>
      <c r="D9" s="1570">
        <v>31.18</v>
      </c>
      <c r="E9" s="872">
        <v>64840</v>
      </c>
      <c r="F9" s="1571">
        <v>5.4</v>
      </c>
      <c r="G9" s="1572"/>
      <c r="I9" s="1577" t="s">
        <v>7320</v>
      </c>
      <c r="J9" s="845" t="s">
        <v>7321</v>
      </c>
      <c r="K9" s="872">
        <v>320</v>
      </c>
      <c r="L9" s="1570">
        <v>32.58</v>
      </c>
      <c r="M9" s="872">
        <v>67760</v>
      </c>
      <c r="N9" s="1571">
        <v>1.7</v>
      </c>
      <c r="Q9" s="1577" t="s">
        <v>7768</v>
      </c>
      <c r="R9" s="845" t="s">
        <v>7769</v>
      </c>
      <c r="S9" s="872">
        <v>30</v>
      </c>
      <c r="T9" s="1570">
        <v>77.97</v>
      </c>
      <c r="U9" s="872">
        <v>162170</v>
      </c>
      <c r="V9" s="1571">
        <v>9.3000000000000007</v>
      </c>
      <c r="W9" s="1573"/>
      <c r="Y9" s="1577" t="s">
        <v>7730</v>
      </c>
      <c r="Z9" s="845" t="s">
        <v>7731</v>
      </c>
      <c r="AA9" s="872">
        <v>150</v>
      </c>
      <c r="AB9" s="1570">
        <v>9.7799999999999994</v>
      </c>
      <c r="AC9" s="872">
        <v>20340</v>
      </c>
      <c r="AD9" s="1571">
        <v>1.7</v>
      </c>
      <c r="AE9" s="585"/>
      <c r="AG9" s="1577" t="s">
        <v>7721</v>
      </c>
      <c r="AH9" s="845" t="s">
        <v>7722</v>
      </c>
      <c r="AI9" s="872">
        <v>70</v>
      </c>
      <c r="AJ9" s="1570">
        <v>17.739999999999998</v>
      </c>
      <c r="AK9" s="872">
        <v>36900</v>
      </c>
      <c r="AL9" s="1571">
        <v>1.8</v>
      </c>
      <c r="AM9" s="585"/>
      <c r="AO9" s="1577" t="s">
        <v>7770</v>
      </c>
      <c r="AP9" s="845" t="s">
        <v>7771</v>
      </c>
      <c r="AQ9" s="872">
        <v>30</v>
      </c>
      <c r="AR9" s="1570">
        <v>16.12</v>
      </c>
      <c r="AS9" s="872">
        <v>33520</v>
      </c>
      <c r="AT9" s="1571">
        <v>4</v>
      </c>
      <c r="AU9" s="1574"/>
      <c r="AV9" s="1577" t="s">
        <v>7772</v>
      </c>
      <c r="AW9" s="845" t="s">
        <v>7773</v>
      </c>
      <c r="AX9" s="872">
        <v>110</v>
      </c>
      <c r="AY9" s="1570">
        <v>16.239999999999998</v>
      </c>
      <c r="AZ9" s="872">
        <v>33770</v>
      </c>
      <c r="BA9" s="1571">
        <v>0.7</v>
      </c>
      <c r="BC9" s="1578"/>
      <c r="BD9" s="382"/>
      <c r="BE9" s="439"/>
      <c r="BF9" s="1575"/>
      <c r="BG9" s="1576"/>
      <c r="BH9" s="1575"/>
      <c r="BJ9" s="1578"/>
      <c r="BK9" s="382"/>
      <c r="BL9" s="439"/>
      <c r="BM9" s="1575"/>
      <c r="BN9" s="1576"/>
      <c r="BO9" s="1575"/>
    </row>
    <row r="10" spans="1:67" ht="12.75" customHeight="1">
      <c r="A10" s="1577" t="s">
        <v>7360</v>
      </c>
      <c r="B10" s="845" t="s">
        <v>7361</v>
      </c>
      <c r="C10" s="872">
        <v>1150</v>
      </c>
      <c r="D10" s="1570">
        <v>29.09</v>
      </c>
      <c r="E10" s="872">
        <v>60500</v>
      </c>
      <c r="F10" s="1571">
        <v>1.2</v>
      </c>
      <c r="G10" s="1572"/>
      <c r="I10" s="1577" t="s">
        <v>7334</v>
      </c>
      <c r="J10" s="845" t="s">
        <v>7335</v>
      </c>
      <c r="K10" s="872">
        <v>180</v>
      </c>
      <c r="L10" s="1570">
        <v>32.299999999999997</v>
      </c>
      <c r="M10" s="872">
        <v>67180</v>
      </c>
      <c r="N10" s="1571">
        <v>4.8</v>
      </c>
      <c r="Q10" s="1577" t="s">
        <v>7292</v>
      </c>
      <c r="R10" s="845" t="s">
        <v>7293</v>
      </c>
      <c r="S10" s="872">
        <v>80</v>
      </c>
      <c r="T10" s="1570">
        <v>54.33</v>
      </c>
      <c r="U10" s="872">
        <v>113010</v>
      </c>
      <c r="V10" s="1571">
        <v>1</v>
      </c>
      <c r="W10" s="1573"/>
      <c r="Y10" s="1577" t="s">
        <v>7740</v>
      </c>
      <c r="Z10" s="845" t="s">
        <v>7741</v>
      </c>
      <c r="AA10" s="872">
        <v>560</v>
      </c>
      <c r="AB10" s="1570">
        <v>10.29</v>
      </c>
      <c r="AC10" s="872">
        <v>21390</v>
      </c>
      <c r="AD10" s="1571">
        <v>0.7</v>
      </c>
      <c r="AE10" s="585"/>
      <c r="AG10" s="1577" t="s">
        <v>7732</v>
      </c>
      <c r="AH10" s="845" t="s">
        <v>7733</v>
      </c>
      <c r="AI10" s="872">
        <v>120</v>
      </c>
      <c r="AJ10" s="1570">
        <v>17.010000000000002</v>
      </c>
      <c r="AK10" s="872">
        <v>35380</v>
      </c>
      <c r="AL10" s="1571">
        <v>3.7</v>
      </c>
      <c r="AM10" s="585"/>
      <c r="AO10" s="1577" t="s">
        <v>7742</v>
      </c>
      <c r="AP10" s="845" t="s">
        <v>7743</v>
      </c>
      <c r="AQ10" s="872">
        <v>40</v>
      </c>
      <c r="AR10" s="1570">
        <v>25.24</v>
      </c>
      <c r="AS10" s="872">
        <v>52500</v>
      </c>
      <c r="AT10" s="1571">
        <v>4.7</v>
      </c>
      <c r="AU10" s="1574"/>
      <c r="AV10" s="1577" t="s">
        <v>7774</v>
      </c>
      <c r="AW10" s="845" t="s">
        <v>7775</v>
      </c>
      <c r="AX10" s="872">
        <v>100</v>
      </c>
      <c r="AY10" s="1570">
        <v>12.69</v>
      </c>
      <c r="AZ10" s="872">
        <v>26390</v>
      </c>
      <c r="BA10" s="1571">
        <v>6.5</v>
      </c>
      <c r="BC10" s="1578"/>
      <c r="BD10" s="382"/>
      <c r="BE10" s="439"/>
      <c r="BF10" s="1575"/>
      <c r="BG10" s="1576"/>
      <c r="BH10" s="1575"/>
      <c r="BJ10" s="1578"/>
      <c r="BK10" s="382"/>
      <c r="BL10" s="439"/>
      <c r="BM10" s="1575"/>
      <c r="BN10" s="1576"/>
      <c r="BO10" s="1575"/>
    </row>
    <row r="11" spans="1:67" ht="12.75" customHeight="1">
      <c r="A11" s="1577" t="s">
        <v>7374</v>
      </c>
      <c r="B11" s="845" t="s">
        <v>7375</v>
      </c>
      <c r="C11" s="872">
        <v>90</v>
      </c>
      <c r="D11" s="1570">
        <v>34.229999999999997</v>
      </c>
      <c r="E11" s="872">
        <v>71190</v>
      </c>
      <c r="F11" s="1571">
        <v>2.4</v>
      </c>
      <c r="G11" s="1550"/>
      <c r="I11" s="1577" t="s">
        <v>7362</v>
      </c>
      <c r="J11" s="845" t="s">
        <v>7363</v>
      </c>
      <c r="K11" s="872">
        <v>60</v>
      </c>
      <c r="L11" s="1570">
        <v>34.909999999999997</v>
      </c>
      <c r="M11" s="872">
        <v>72610</v>
      </c>
      <c r="N11" s="1571">
        <v>3.3</v>
      </c>
      <c r="Q11" s="1577" t="s">
        <v>7306</v>
      </c>
      <c r="R11" s="845" t="s">
        <v>7307</v>
      </c>
      <c r="S11" s="872">
        <v>740</v>
      </c>
      <c r="T11" s="1570" t="s">
        <v>7308</v>
      </c>
      <c r="U11" s="872" t="s">
        <v>7308</v>
      </c>
      <c r="V11" s="1571" t="s">
        <v>7308</v>
      </c>
      <c r="W11" s="1573"/>
      <c r="Y11" s="1568" t="s">
        <v>7280</v>
      </c>
      <c r="Z11" s="1569" t="s">
        <v>7281</v>
      </c>
      <c r="AA11" s="872">
        <v>2530</v>
      </c>
      <c r="AB11" s="1570">
        <v>11.48</v>
      </c>
      <c r="AC11" s="872">
        <v>23890</v>
      </c>
      <c r="AD11" s="1571">
        <v>0.7</v>
      </c>
      <c r="AE11" s="585"/>
      <c r="AG11" s="1577" t="s">
        <v>7776</v>
      </c>
      <c r="AH11" s="845" t="s">
        <v>7777</v>
      </c>
      <c r="AI11" s="872">
        <v>230</v>
      </c>
      <c r="AJ11" s="1570">
        <v>14.03</v>
      </c>
      <c r="AK11" s="872">
        <v>29180</v>
      </c>
      <c r="AL11" s="1571">
        <v>4.9000000000000004</v>
      </c>
      <c r="AM11" s="585"/>
      <c r="AO11" s="1577" t="s">
        <v>7748</v>
      </c>
      <c r="AP11" s="845" t="s">
        <v>7749</v>
      </c>
      <c r="AQ11" s="872">
        <v>30</v>
      </c>
      <c r="AR11" s="1570">
        <v>26.86</v>
      </c>
      <c r="AS11" s="872">
        <v>55880</v>
      </c>
      <c r="AT11" s="1571">
        <v>14.5</v>
      </c>
      <c r="AU11" s="1574"/>
      <c r="AV11" s="1577" t="s">
        <v>7372</v>
      </c>
      <c r="AW11" s="845" t="s">
        <v>7373</v>
      </c>
      <c r="AX11" s="872">
        <v>110</v>
      </c>
      <c r="AY11" s="1570">
        <v>11.73</v>
      </c>
      <c r="AZ11" s="872">
        <v>24400</v>
      </c>
      <c r="BA11" s="1571">
        <v>3.8</v>
      </c>
      <c r="BC11" s="1578"/>
      <c r="BD11" s="382"/>
      <c r="BE11" s="439"/>
      <c r="BF11" s="1575"/>
      <c r="BG11" s="1576"/>
      <c r="BH11" s="1575"/>
      <c r="BJ11" s="1578"/>
      <c r="BK11" s="382"/>
      <c r="BL11" s="439"/>
      <c r="BM11" s="1575"/>
      <c r="BN11" s="1576"/>
      <c r="BO11" s="1575"/>
    </row>
    <row r="12" spans="1:67" ht="12.75" customHeight="1">
      <c r="A12" s="1577" t="s">
        <v>7388</v>
      </c>
      <c r="B12" s="845" t="s">
        <v>7389</v>
      </c>
      <c r="C12" s="872">
        <v>390</v>
      </c>
      <c r="D12" s="1570">
        <v>39.909999999999997</v>
      </c>
      <c r="E12" s="872">
        <v>83010</v>
      </c>
      <c r="F12" s="1571">
        <v>2.7</v>
      </c>
      <c r="G12" s="1572"/>
      <c r="I12" s="1577" t="s">
        <v>7390</v>
      </c>
      <c r="J12" s="845" t="s">
        <v>7391</v>
      </c>
      <c r="K12" s="872">
        <v>40</v>
      </c>
      <c r="L12" s="1570">
        <v>21.71</v>
      </c>
      <c r="M12" s="872">
        <v>45150</v>
      </c>
      <c r="N12" s="1571">
        <v>4.9000000000000004</v>
      </c>
      <c r="Q12" s="1577" t="s">
        <v>7322</v>
      </c>
      <c r="R12" s="845" t="s">
        <v>7323</v>
      </c>
      <c r="S12" s="872">
        <v>90</v>
      </c>
      <c r="T12" s="1570">
        <v>42.58</v>
      </c>
      <c r="U12" s="872">
        <v>88570</v>
      </c>
      <c r="V12" s="1571">
        <v>3.9</v>
      </c>
      <c r="W12" s="1573"/>
      <c r="Y12" s="1577" t="s">
        <v>7294</v>
      </c>
      <c r="Z12" s="845" t="s">
        <v>7295</v>
      </c>
      <c r="AA12" s="872">
        <v>140</v>
      </c>
      <c r="AB12" s="1570">
        <v>14.04</v>
      </c>
      <c r="AC12" s="872">
        <v>29210</v>
      </c>
      <c r="AD12" s="1571">
        <v>2.1</v>
      </c>
      <c r="AE12" s="585"/>
      <c r="AG12" s="1577" t="s">
        <v>7296</v>
      </c>
      <c r="AH12" s="845" t="s">
        <v>7297</v>
      </c>
      <c r="AI12" s="872">
        <v>830</v>
      </c>
      <c r="AJ12" s="1570">
        <v>13.81</v>
      </c>
      <c r="AK12" s="872">
        <v>28730</v>
      </c>
      <c r="AL12" s="1571">
        <v>2.2000000000000002</v>
      </c>
      <c r="AM12" s="585"/>
      <c r="AO12" s="1577" t="s">
        <v>7752</v>
      </c>
      <c r="AP12" s="845" t="s">
        <v>7753</v>
      </c>
      <c r="AQ12" s="872" t="s">
        <v>7311</v>
      </c>
      <c r="AR12" s="1570">
        <v>22.02</v>
      </c>
      <c r="AS12" s="872">
        <v>45800</v>
      </c>
      <c r="AT12" s="1571">
        <v>2.1</v>
      </c>
      <c r="AU12" s="1574"/>
      <c r="AV12" s="1577" t="s">
        <v>7778</v>
      </c>
      <c r="AW12" s="845" t="s">
        <v>7779</v>
      </c>
      <c r="AX12" s="872">
        <v>30</v>
      </c>
      <c r="AY12" s="1570">
        <v>17.43</v>
      </c>
      <c r="AZ12" s="872">
        <v>36260</v>
      </c>
      <c r="BA12" s="1571">
        <v>8.8000000000000007</v>
      </c>
      <c r="BC12" s="1578"/>
      <c r="BD12" s="382"/>
      <c r="BE12" s="435"/>
      <c r="BF12" s="1575"/>
      <c r="BG12" s="1576"/>
      <c r="BH12" s="1575"/>
      <c r="BJ12" s="1578"/>
      <c r="BK12" s="382"/>
      <c r="BL12" s="435"/>
      <c r="BM12" s="1575"/>
      <c r="BN12" s="1576"/>
      <c r="BO12" s="1575"/>
    </row>
    <row r="13" spans="1:67" ht="12.75" customHeight="1">
      <c r="A13" s="1577" t="s">
        <v>7402</v>
      </c>
      <c r="B13" s="845" t="s">
        <v>7403</v>
      </c>
      <c r="C13" s="872">
        <v>50</v>
      </c>
      <c r="D13" s="1570">
        <v>32.85</v>
      </c>
      <c r="E13" s="872">
        <v>68320</v>
      </c>
      <c r="F13" s="1571">
        <v>2.8</v>
      </c>
      <c r="G13" s="1572"/>
      <c r="I13" s="1577" t="s">
        <v>7780</v>
      </c>
      <c r="J13" s="845" t="s">
        <v>7781</v>
      </c>
      <c r="K13" s="872">
        <v>60</v>
      </c>
      <c r="L13" s="1570">
        <v>34.44</v>
      </c>
      <c r="M13" s="872">
        <v>71640</v>
      </c>
      <c r="N13" s="1571">
        <v>1.6</v>
      </c>
      <c r="Q13" s="1577" t="s">
        <v>7782</v>
      </c>
      <c r="R13" s="845" t="s">
        <v>7783</v>
      </c>
      <c r="S13" s="872">
        <v>40</v>
      </c>
      <c r="T13" s="1570">
        <v>109.99</v>
      </c>
      <c r="U13" s="872">
        <v>228770</v>
      </c>
      <c r="V13" s="1571">
        <v>14.2</v>
      </c>
      <c r="W13" s="1573"/>
      <c r="Y13" s="1577" t="s">
        <v>7309</v>
      </c>
      <c r="Z13" s="845" t="s">
        <v>7310</v>
      </c>
      <c r="AA13" s="872">
        <v>70</v>
      </c>
      <c r="AB13" s="1570">
        <v>17.100000000000001</v>
      </c>
      <c r="AC13" s="872">
        <v>35580</v>
      </c>
      <c r="AD13" s="1571">
        <v>1.6</v>
      </c>
      <c r="AE13" s="585"/>
      <c r="AG13" s="1577" t="s">
        <v>7312</v>
      </c>
      <c r="AH13" s="845" t="s">
        <v>7313</v>
      </c>
      <c r="AI13" s="872">
        <v>40</v>
      </c>
      <c r="AJ13" s="1570">
        <v>16.809999999999999</v>
      </c>
      <c r="AK13" s="872">
        <v>34960</v>
      </c>
      <c r="AL13" s="1571">
        <v>0.5</v>
      </c>
      <c r="AM13" s="585"/>
      <c r="AO13" s="1568" t="s">
        <v>7284</v>
      </c>
      <c r="AP13" s="1569" t="s">
        <v>7285</v>
      </c>
      <c r="AQ13" s="872">
        <v>3380</v>
      </c>
      <c r="AR13" s="1570">
        <v>19.29</v>
      </c>
      <c r="AS13" s="872">
        <v>40130</v>
      </c>
      <c r="AT13" s="1571">
        <v>1.3</v>
      </c>
      <c r="AU13" s="1574"/>
      <c r="AV13" s="1577" t="s">
        <v>7784</v>
      </c>
      <c r="AW13" s="845" t="s">
        <v>7785</v>
      </c>
      <c r="AX13" s="872">
        <v>60</v>
      </c>
      <c r="AY13" s="1570" t="s">
        <v>7308</v>
      </c>
      <c r="AZ13" s="872" t="s">
        <v>7308</v>
      </c>
      <c r="BA13" s="1571" t="s">
        <v>7308</v>
      </c>
      <c r="BC13" s="1578"/>
      <c r="BD13" s="382"/>
      <c r="BE13" s="439"/>
      <c r="BF13" s="1575"/>
      <c r="BG13" s="1576"/>
      <c r="BH13" s="1575"/>
      <c r="BJ13" s="1578"/>
      <c r="BK13" s="382"/>
      <c r="BL13" s="439"/>
      <c r="BM13" s="1575"/>
      <c r="BN13" s="1576"/>
      <c r="BO13" s="1575"/>
    </row>
    <row r="14" spans="1:67" ht="12.75" customHeight="1">
      <c r="A14" s="1577" t="s">
        <v>7416</v>
      </c>
      <c r="B14" s="845" t="s">
        <v>7417</v>
      </c>
      <c r="C14" s="872" t="s">
        <v>7311</v>
      </c>
      <c r="D14" s="1570">
        <v>38.39</v>
      </c>
      <c r="E14" s="872">
        <v>79850</v>
      </c>
      <c r="F14" s="1571">
        <v>1.8</v>
      </c>
      <c r="G14" s="1572"/>
      <c r="I14" s="1577" t="s">
        <v>7786</v>
      </c>
      <c r="J14" s="845" t="s">
        <v>7787</v>
      </c>
      <c r="K14" s="872">
        <v>80</v>
      </c>
      <c r="L14" s="1570">
        <v>38.28</v>
      </c>
      <c r="M14" s="872">
        <v>79620</v>
      </c>
      <c r="N14" s="1571">
        <v>1.1000000000000001</v>
      </c>
      <c r="Q14" s="1577" t="s">
        <v>7336</v>
      </c>
      <c r="R14" s="845" t="s">
        <v>7337</v>
      </c>
      <c r="S14" s="872">
        <v>40</v>
      </c>
      <c r="T14" s="1570" t="s">
        <v>7788</v>
      </c>
      <c r="U14" s="872" t="s">
        <v>7789</v>
      </c>
      <c r="V14" s="1571">
        <v>5.3</v>
      </c>
      <c r="W14" s="1573"/>
      <c r="Y14" s="1577" t="s">
        <v>7324</v>
      </c>
      <c r="Z14" s="845" t="s">
        <v>7325</v>
      </c>
      <c r="AA14" s="872">
        <v>850</v>
      </c>
      <c r="AB14" s="1570">
        <v>11.48</v>
      </c>
      <c r="AC14" s="872">
        <v>23880</v>
      </c>
      <c r="AD14" s="1571">
        <v>1.4</v>
      </c>
      <c r="AE14" s="585"/>
      <c r="AG14" s="1577" t="s">
        <v>7790</v>
      </c>
      <c r="AH14" s="845" t="s">
        <v>7791</v>
      </c>
      <c r="AI14" s="872">
        <v>40</v>
      </c>
      <c r="AJ14" s="1570">
        <v>14.95</v>
      </c>
      <c r="AK14" s="872">
        <v>31090</v>
      </c>
      <c r="AL14" s="1571">
        <v>2</v>
      </c>
      <c r="AM14" s="585"/>
      <c r="AO14" s="1577" t="s">
        <v>7298</v>
      </c>
      <c r="AP14" s="845" t="s">
        <v>7299</v>
      </c>
      <c r="AQ14" s="872">
        <v>330</v>
      </c>
      <c r="AR14" s="1570">
        <v>24.17</v>
      </c>
      <c r="AS14" s="872">
        <v>50270</v>
      </c>
      <c r="AT14" s="1571">
        <v>1.9</v>
      </c>
      <c r="AU14" s="1574"/>
      <c r="AV14" s="1577" t="s">
        <v>7428</v>
      </c>
      <c r="AW14" s="845" t="s">
        <v>7429</v>
      </c>
      <c r="AX14" s="872">
        <v>60</v>
      </c>
      <c r="AY14" s="1570">
        <v>17.21</v>
      </c>
      <c r="AZ14" s="872">
        <v>35790</v>
      </c>
      <c r="BA14" s="1571">
        <v>3.6</v>
      </c>
      <c r="BC14" s="1578"/>
      <c r="BD14" s="382"/>
      <c r="BE14" s="439"/>
      <c r="BF14" s="1575"/>
      <c r="BG14" s="1576"/>
      <c r="BH14" s="1575"/>
      <c r="BJ14" s="1578"/>
      <c r="BK14" s="382"/>
      <c r="BL14" s="439"/>
      <c r="BM14" s="1575"/>
      <c r="BN14" s="1576"/>
      <c r="BO14" s="1575"/>
    </row>
    <row r="15" spans="1:67" ht="12.75" customHeight="1">
      <c r="A15" s="1577" t="s">
        <v>7430</v>
      </c>
      <c r="B15" s="845" t="s">
        <v>7431</v>
      </c>
      <c r="C15" s="872">
        <v>70</v>
      </c>
      <c r="D15" s="1570">
        <v>36.619999999999997</v>
      </c>
      <c r="E15" s="872">
        <v>76170</v>
      </c>
      <c r="F15" s="1571">
        <v>1.3</v>
      </c>
      <c r="G15" s="1572"/>
      <c r="I15" s="1577" t="s">
        <v>7404</v>
      </c>
      <c r="J15" s="845" t="s">
        <v>7405</v>
      </c>
      <c r="K15" s="872">
        <v>40</v>
      </c>
      <c r="L15" s="1570">
        <v>18.489999999999998</v>
      </c>
      <c r="M15" s="872">
        <v>38460</v>
      </c>
      <c r="N15" s="1571">
        <v>2.9</v>
      </c>
      <c r="Q15" s="1577" t="s">
        <v>7350</v>
      </c>
      <c r="R15" s="845" t="s">
        <v>7351</v>
      </c>
      <c r="S15" s="872">
        <v>50</v>
      </c>
      <c r="T15" s="1570">
        <v>32.18</v>
      </c>
      <c r="U15" s="872">
        <v>66940</v>
      </c>
      <c r="V15" s="1571">
        <v>5.5</v>
      </c>
      <c r="W15" s="1573"/>
      <c r="Y15" s="1577" t="s">
        <v>7338</v>
      </c>
      <c r="Z15" s="845" t="s">
        <v>7339</v>
      </c>
      <c r="AA15" s="872">
        <v>810</v>
      </c>
      <c r="AB15" s="1570">
        <v>10.27</v>
      </c>
      <c r="AC15" s="872">
        <v>21360</v>
      </c>
      <c r="AD15" s="1571">
        <v>0.8</v>
      </c>
      <c r="AE15" s="585"/>
      <c r="AG15" s="1577" t="s">
        <v>7326</v>
      </c>
      <c r="AH15" s="845" t="s">
        <v>7327</v>
      </c>
      <c r="AI15" s="872">
        <v>160</v>
      </c>
      <c r="AJ15" s="1570">
        <v>10.27</v>
      </c>
      <c r="AK15" s="872">
        <v>21360</v>
      </c>
      <c r="AL15" s="1571">
        <v>0.7</v>
      </c>
      <c r="AM15" s="585"/>
      <c r="AO15" s="1577" t="s">
        <v>7314</v>
      </c>
      <c r="AP15" s="845" t="s">
        <v>7315</v>
      </c>
      <c r="AQ15" s="872">
        <v>40</v>
      </c>
      <c r="AR15" s="1570">
        <v>14.39</v>
      </c>
      <c r="AS15" s="872">
        <v>29940</v>
      </c>
      <c r="AT15" s="1571">
        <v>14.8</v>
      </c>
      <c r="AU15" s="1574"/>
      <c r="AV15" s="1577" t="s">
        <v>7442</v>
      </c>
      <c r="AW15" s="845" t="s">
        <v>7443</v>
      </c>
      <c r="AX15" s="872">
        <v>150</v>
      </c>
      <c r="AY15" s="1570">
        <v>10.37</v>
      </c>
      <c r="AZ15" s="872">
        <v>21560</v>
      </c>
      <c r="BA15" s="1571">
        <v>4.4000000000000004</v>
      </c>
      <c r="BC15" s="1578"/>
      <c r="BD15" s="382"/>
      <c r="BE15" s="439"/>
      <c r="BF15" s="1575"/>
      <c r="BG15" s="1576"/>
      <c r="BH15" s="1575"/>
      <c r="BJ15" s="1578"/>
      <c r="BK15" s="382"/>
      <c r="BL15" s="439"/>
      <c r="BM15" s="1575"/>
      <c r="BN15" s="1576"/>
      <c r="BO15" s="1575"/>
    </row>
    <row r="16" spans="1:67" ht="12.75" customHeight="1">
      <c r="A16" s="1577" t="s">
        <v>7444</v>
      </c>
      <c r="B16" s="845" t="s">
        <v>7445</v>
      </c>
      <c r="C16" s="872">
        <v>370</v>
      </c>
      <c r="D16" s="1570">
        <v>36.159999999999997</v>
      </c>
      <c r="E16" s="872">
        <v>75210</v>
      </c>
      <c r="F16" s="1571">
        <v>5.7</v>
      </c>
      <c r="G16" s="1572"/>
      <c r="I16" s="1568" t="s">
        <v>7418</v>
      </c>
      <c r="J16" s="1569" t="s">
        <v>7419</v>
      </c>
      <c r="K16" s="872">
        <v>680</v>
      </c>
      <c r="L16" s="1570">
        <v>28.75</v>
      </c>
      <c r="M16" s="872">
        <v>59790</v>
      </c>
      <c r="N16" s="1571">
        <v>1.2</v>
      </c>
      <c r="Q16" s="1577" t="s">
        <v>7364</v>
      </c>
      <c r="R16" s="845" t="s">
        <v>7365</v>
      </c>
      <c r="S16" s="872">
        <v>50</v>
      </c>
      <c r="T16" s="1570" t="s">
        <v>7308</v>
      </c>
      <c r="U16" s="872" t="s">
        <v>7308</v>
      </c>
      <c r="V16" s="1571" t="s">
        <v>7308</v>
      </c>
      <c r="W16" s="1573"/>
      <c r="Y16" s="1577" t="s">
        <v>7352</v>
      </c>
      <c r="Z16" s="845" t="s">
        <v>7353</v>
      </c>
      <c r="AA16" s="872">
        <v>40</v>
      </c>
      <c r="AB16" s="1570">
        <v>15.87</v>
      </c>
      <c r="AC16" s="872">
        <v>33020</v>
      </c>
      <c r="AD16" s="1571">
        <v>3.1</v>
      </c>
      <c r="AE16" s="585"/>
      <c r="AG16" s="1577" t="s">
        <v>7792</v>
      </c>
      <c r="AH16" s="845" t="s">
        <v>7793</v>
      </c>
      <c r="AI16" s="872">
        <v>70</v>
      </c>
      <c r="AJ16" s="1570">
        <v>15.28</v>
      </c>
      <c r="AK16" s="872">
        <v>31790</v>
      </c>
      <c r="AL16" s="1571">
        <v>5.7</v>
      </c>
      <c r="AM16" s="585"/>
      <c r="AO16" s="1577" t="s">
        <v>7342</v>
      </c>
      <c r="AP16" s="845" t="s">
        <v>7343</v>
      </c>
      <c r="AQ16" s="872">
        <v>90</v>
      </c>
      <c r="AR16" s="1570">
        <v>16.66</v>
      </c>
      <c r="AS16" s="872">
        <v>34660</v>
      </c>
      <c r="AT16" s="1571">
        <v>6.8</v>
      </c>
      <c r="AU16" s="1574"/>
      <c r="AV16" s="1577" t="s">
        <v>7456</v>
      </c>
      <c r="AW16" s="845" t="s">
        <v>7457</v>
      </c>
      <c r="AX16" s="872">
        <v>340</v>
      </c>
      <c r="AY16" s="1570">
        <v>18.66</v>
      </c>
      <c r="AZ16" s="872">
        <v>38800</v>
      </c>
      <c r="BA16" s="1571">
        <v>4.5</v>
      </c>
      <c r="BC16" s="1578"/>
      <c r="BD16" s="382"/>
      <c r="BE16" s="439"/>
      <c r="BF16" s="1575"/>
      <c r="BG16" s="1576"/>
      <c r="BH16" s="1575"/>
      <c r="BJ16" s="1578"/>
      <c r="BK16" s="382"/>
      <c r="BL16" s="439"/>
      <c r="BM16" s="1575"/>
      <c r="BN16" s="1576"/>
      <c r="BO16" s="1575"/>
    </row>
    <row r="17" spans="1:67" ht="12.75" customHeight="1">
      <c r="A17" s="1577" t="s">
        <v>7794</v>
      </c>
      <c r="B17" s="845" t="s">
        <v>7795</v>
      </c>
      <c r="C17" s="872">
        <v>50</v>
      </c>
      <c r="D17" s="1570">
        <v>17.829999999999998</v>
      </c>
      <c r="E17" s="872">
        <v>37080</v>
      </c>
      <c r="F17" s="1571">
        <v>8.4</v>
      </c>
      <c r="G17" s="1572"/>
      <c r="I17" s="1577" t="s">
        <v>7446</v>
      </c>
      <c r="J17" s="845" t="s">
        <v>7447</v>
      </c>
      <c r="K17" s="872">
        <v>100</v>
      </c>
      <c r="L17" s="1570">
        <v>32.72</v>
      </c>
      <c r="M17" s="872">
        <v>68050</v>
      </c>
      <c r="N17" s="1571">
        <v>2.8</v>
      </c>
      <c r="Q17" s="1577" t="s">
        <v>7378</v>
      </c>
      <c r="R17" s="845" t="s">
        <v>7379</v>
      </c>
      <c r="S17" s="872">
        <v>130</v>
      </c>
      <c r="T17" s="1570">
        <v>14.7</v>
      </c>
      <c r="U17" s="872">
        <v>30580</v>
      </c>
      <c r="V17" s="1571">
        <v>1.4</v>
      </c>
      <c r="W17" s="1573"/>
      <c r="Y17" s="1577" t="s">
        <v>7366</v>
      </c>
      <c r="Z17" s="845" t="s">
        <v>7367</v>
      </c>
      <c r="AA17" s="872">
        <v>620</v>
      </c>
      <c r="AB17" s="1570">
        <v>11.58</v>
      </c>
      <c r="AC17" s="872">
        <v>24080</v>
      </c>
      <c r="AD17" s="1571">
        <v>1.1000000000000001</v>
      </c>
      <c r="AE17" s="585"/>
      <c r="AG17" s="1577" t="s">
        <v>7796</v>
      </c>
      <c r="AH17" s="845" t="s">
        <v>7797</v>
      </c>
      <c r="AI17" s="872">
        <v>40</v>
      </c>
      <c r="AJ17" s="1570">
        <v>21.43</v>
      </c>
      <c r="AK17" s="872">
        <v>44580</v>
      </c>
      <c r="AL17" s="1571">
        <v>4.9000000000000004</v>
      </c>
      <c r="AM17" s="585"/>
      <c r="AO17" s="1577" t="s">
        <v>7370</v>
      </c>
      <c r="AP17" s="845" t="s">
        <v>7371</v>
      </c>
      <c r="AQ17" s="872">
        <v>210</v>
      </c>
      <c r="AR17" s="1570">
        <v>17.39</v>
      </c>
      <c r="AS17" s="872">
        <v>36170</v>
      </c>
      <c r="AT17" s="1571">
        <v>4.8</v>
      </c>
      <c r="AU17" s="1574"/>
      <c r="AV17" s="1577" t="s">
        <v>7470</v>
      </c>
      <c r="AW17" s="845" t="s">
        <v>7471</v>
      </c>
      <c r="AX17" s="872">
        <v>200</v>
      </c>
      <c r="AY17" s="1570">
        <v>10.24</v>
      </c>
      <c r="AZ17" s="872">
        <v>21310</v>
      </c>
      <c r="BA17" s="1571">
        <v>1.4</v>
      </c>
      <c r="BC17" s="1578"/>
      <c r="BD17" s="382"/>
      <c r="BE17" s="439"/>
      <c r="BF17" s="1575"/>
      <c r="BG17" s="1576"/>
      <c r="BH17" s="1575"/>
      <c r="BJ17" s="1578"/>
      <c r="BK17" s="382"/>
      <c r="BL17" s="439"/>
      <c r="BM17" s="1575"/>
      <c r="BN17" s="1576"/>
      <c r="BO17" s="1575"/>
    </row>
    <row r="18" spans="1:67" ht="12.75" customHeight="1">
      <c r="A18" s="1577" t="s">
        <v>7458</v>
      </c>
      <c r="B18" s="845" t="s">
        <v>7459</v>
      </c>
      <c r="C18" s="872">
        <v>120</v>
      </c>
      <c r="D18" s="1570" t="s">
        <v>7308</v>
      </c>
      <c r="E18" s="872">
        <v>77740</v>
      </c>
      <c r="F18" s="1571">
        <v>2.1</v>
      </c>
      <c r="G18" s="1572"/>
      <c r="I18" s="1577" t="s">
        <v>7474</v>
      </c>
      <c r="J18" s="845" t="s">
        <v>7475</v>
      </c>
      <c r="K18" s="872">
        <v>80</v>
      </c>
      <c r="L18" s="1570">
        <v>20.72</v>
      </c>
      <c r="M18" s="872">
        <v>43090</v>
      </c>
      <c r="N18" s="1571">
        <v>0.4</v>
      </c>
      <c r="Q18" s="1577" t="s">
        <v>7392</v>
      </c>
      <c r="R18" s="845" t="s">
        <v>7393</v>
      </c>
      <c r="S18" s="872">
        <v>90</v>
      </c>
      <c r="T18" s="1570">
        <v>20.059999999999999</v>
      </c>
      <c r="U18" s="872">
        <v>41720</v>
      </c>
      <c r="V18" s="1571">
        <v>1.2</v>
      </c>
      <c r="W18" s="1573"/>
      <c r="Y18" s="1568" t="s">
        <v>7380</v>
      </c>
      <c r="Z18" s="1569" t="s">
        <v>7381</v>
      </c>
      <c r="AA18" s="872">
        <v>1140</v>
      </c>
      <c r="AB18" s="1570">
        <v>11.89</v>
      </c>
      <c r="AC18" s="872">
        <v>24720</v>
      </c>
      <c r="AD18" s="1571">
        <v>1.2</v>
      </c>
      <c r="AE18" s="585"/>
      <c r="AG18" s="1577" t="s">
        <v>7798</v>
      </c>
      <c r="AH18" s="845" t="s">
        <v>7799</v>
      </c>
      <c r="AI18" s="872">
        <v>80</v>
      </c>
      <c r="AJ18" s="1570">
        <v>16.53</v>
      </c>
      <c r="AK18" s="872">
        <v>34390</v>
      </c>
      <c r="AL18" s="1571">
        <v>1.7</v>
      </c>
      <c r="AM18" s="585"/>
      <c r="AO18" s="1577" t="s">
        <v>7384</v>
      </c>
      <c r="AP18" s="845" t="s">
        <v>7385</v>
      </c>
      <c r="AQ18" s="872">
        <v>180</v>
      </c>
      <c r="AR18" s="1570">
        <v>21.77</v>
      </c>
      <c r="AS18" s="872">
        <v>45280</v>
      </c>
      <c r="AT18" s="1571">
        <v>1.2</v>
      </c>
      <c r="AU18" s="1574"/>
      <c r="AV18" s="1577" t="s">
        <v>7484</v>
      </c>
      <c r="AW18" s="845" t="s">
        <v>7485</v>
      </c>
      <c r="AX18" s="872">
        <v>1230</v>
      </c>
      <c r="AY18" s="1570">
        <v>11.71</v>
      </c>
      <c r="AZ18" s="872">
        <v>24350</v>
      </c>
      <c r="BA18" s="1571">
        <v>2</v>
      </c>
      <c r="BC18" s="1578"/>
      <c r="BD18" s="382"/>
      <c r="BE18" s="439"/>
      <c r="BF18" s="1575"/>
      <c r="BG18" s="1576"/>
      <c r="BH18" s="1575"/>
      <c r="BJ18" s="1578"/>
      <c r="BK18" s="382"/>
      <c r="BL18" s="439"/>
      <c r="BM18" s="1575"/>
      <c r="BN18" s="1576"/>
      <c r="BO18" s="1575"/>
    </row>
    <row r="19" spans="1:67" ht="12.75" customHeight="1">
      <c r="A19" s="1577" t="s">
        <v>7472</v>
      </c>
      <c r="B19" s="845" t="s">
        <v>7473</v>
      </c>
      <c r="C19" s="872">
        <v>200</v>
      </c>
      <c r="D19" s="1570">
        <v>55.3</v>
      </c>
      <c r="E19" s="872">
        <v>115030</v>
      </c>
      <c r="F19" s="1571">
        <v>0.5</v>
      </c>
      <c r="G19" s="1572"/>
      <c r="I19" s="1577" t="s">
        <v>7488</v>
      </c>
      <c r="J19" s="845" t="s">
        <v>7489</v>
      </c>
      <c r="K19" s="872">
        <v>80</v>
      </c>
      <c r="L19" s="1570">
        <v>31.66</v>
      </c>
      <c r="M19" s="872">
        <v>65860</v>
      </c>
      <c r="N19" s="1571">
        <v>7</v>
      </c>
      <c r="Q19" s="1577" t="s">
        <v>7406</v>
      </c>
      <c r="R19" s="845" t="s">
        <v>7407</v>
      </c>
      <c r="S19" s="872">
        <v>90</v>
      </c>
      <c r="T19" s="1570">
        <v>16.46</v>
      </c>
      <c r="U19" s="872">
        <v>34240</v>
      </c>
      <c r="V19" s="1571">
        <v>1.8</v>
      </c>
      <c r="W19" s="1573"/>
      <c r="Y19" s="1577" t="s">
        <v>7394</v>
      </c>
      <c r="Z19" s="845" t="s">
        <v>7395</v>
      </c>
      <c r="AA19" s="872">
        <v>40</v>
      </c>
      <c r="AB19" s="1570">
        <v>14.7</v>
      </c>
      <c r="AC19" s="872">
        <v>30580</v>
      </c>
      <c r="AD19" s="1571">
        <v>1.6</v>
      </c>
      <c r="AE19" s="585"/>
      <c r="AG19" s="1577" t="s">
        <v>7340</v>
      </c>
      <c r="AH19" s="845" t="s">
        <v>7341</v>
      </c>
      <c r="AI19" s="872">
        <v>250</v>
      </c>
      <c r="AJ19" s="1570">
        <v>11.06</v>
      </c>
      <c r="AK19" s="872">
        <v>22990</v>
      </c>
      <c r="AL19" s="1571">
        <v>2.4</v>
      </c>
      <c r="AM19" s="585"/>
      <c r="AO19" s="1577" t="s">
        <v>7412</v>
      </c>
      <c r="AP19" s="845" t="s">
        <v>7413</v>
      </c>
      <c r="AQ19" s="872">
        <v>40</v>
      </c>
      <c r="AR19" s="1570">
        <v>11.48</v>
      </c>
      <c r="AS19" s="872">
        <v>23880</v>
      </c>
      <c r="AT19" s="1571">
        <v>9</v>
      </c>
      <c r="AU19" s="1574"/>
      <c r="AV19" s="1577" t="s">
        <v>7800</v>
      </c>
      <c r="AW19" s="845" t="s">
        <v>7801</v>
      </c>
      <c r="AX19" s="872" t="s">
        <v>7311</v>
      </c>
      <c r="AY19" s="1570">
        <v>14.79</v>
      </c>
      <c r="AZ19" s="872">
        <v>30750</v>
      </c>
      <c r="BA19" s="1571">
        <v>6.9</v>
      </c>
      <c r="BC19" s="1578"/>
      <c r="BD19" s="382"/>
      <c r="BE19" s="439"/>
      <c r="BF19" s="912"/>
      <c r="BG19" s="912"/>
      <c r="BH19" s="1575"/>
      <c r="BJ19" s="1578"/>
      <c r="BK19" s="382"/>
      <c r="BL19" s="439"/>
      <c r="BM19" s="1575"/>
      <c r="BN19" s="1576"/>
      <c r="BO19" s="1575"/>
    </row>
    <row r="20" spans="1:67" ht="12.75" customHeight="1">
      <c r="A20" s="1577" t="s">
        <v>7486</v>
      </c>
      <c r="B20" s="845" t="s">
        <v>7487</v>
      </c>
      <c r="C20" s="872">
        <v>50</v>
      </c>
      <c r="D20" s="1570">
        <v>48.61</v>
      </c>
      <c r="E20" s="872">
        <v>101100</v>
      </c>
      <c r="F20" s="1571">
        <v>2.7</v>
      </c>
      <c r="G20" s="1572"/>
      <c r="I20" s="1568" t="s">
        <v>7514</v>
      </c>
      <c r="J20" s="1569" t="s">
        <v>7515</v>
      </c>
      <c r="K20" s="872">
        <v>850</v>
      </c>
      <c r="L20" s="1570">
        <v>23.35</v>
      </c>
      <c r="M20" s="872">
        <v>48570</v>
      </c>
      <c r="N20" s="1571">
        <v>1.5</v>
      </c>
      <c r="Q20" s="1568" t="s">
        <v>7420</v>
      </c>
      <c r="R20" s="1569" t="s">
        <v>7421</v>
      </c>
      <c r="S20" s="872">
        <v>1080</v>
      </c>
      <c r="T20" s="1570">
        <v>15.18</v>
      </c>
      <c r="U20" s="872">
        <v>31580</v>
      </c>
      <c r="V20" s="1571">
        <v>1.9</v>
      </c>
      <c r="W20" s="1573"/>
      <c r="Y20" s="1577" t="s">
        <v>7408</v>
      </c>
      <c r="Z20" s="845" t="s">
        <v>7409</v>
      </c>
      <c r="AA20" s="872">
        <v>40</v>
      </c>
      <c r="AB20" s="1570">
        <v>14.52</v>
      </c>
      <c r="AC20" s="872">
        <v>30200</v>
      </c>
      <c r="AD20" s="1571">
        <v>3</v>
      </c>
      <c r="AE20" s="585"/>
      <c r="AG20" s="1577" t="s">
        <v>7354</v>
      </c>
      <c r="AH20" s="845" t="s">
        <v>7355</v>
      </c>
      <c r="AI20" s="872">
        <v>140</v>
      </c>
      <c r="AJ20" s="1570">
        <v>20.399999999999999</v>
      </c>
      <c r="AK20" s="872">
        <v>42430</v>
      </c>
      <c r="AL20" s="1571">
        <v>1</v>
      </c>
      <c r="AM20" s="585"/>
      <c r="AO20" s="1577" t="s">
        <v>7426</v>
      </c>
      <c r="AP20" s="845" t="s">
        <v>7427</v>
      </c>
      <c r="AQ20" s="872">
        <v>280</v>
      </c>
      <c r="AR20" s="1570">
        <v>21.91</v>
      </c>
      <c r="AS20" s="872">
        <v>45570</v>
      </c>
      <c r="AT20" s="1571">
        <v>4</v>
      </c>
      <c r="AU20" s="1574"/>
      <c r="AV20" s="1579" t="s">
        <v>7498</v>
      </c>
      <c r="AW20" s="1580"/>
      <c r="AX20" s="1580"/>
      <c r="AY20" s="1580"/>
      <c r="AZ20" s="1580"/>
      <c r="BA20" s="1580"/>
      <c r="BC20" s="1578"/>
      <c r="BD20" s="382"/>
      <c r="BE20" s="439"/>
      <c r="BF20" s="1575"/>
      <c r="BG20" s="1576"/>
      <c r="BH20" s="1575"/>
      <c r="BJ20" s="1578"/>
      <c r="BK20" s="382"/>
      <c r="BL20" s="439"/>
      <c r="BM20" s="1575"/>
      <c r="BN20" s="1576"/>
      <c r="BO20" s="1575"/>
    </row>
    <row r="21" spans="1:67" ht="12.75" customHeight="1">
      <c r="A21" s="1577" t="s">
        <v>7499</v>
      </c>
      <c r="B21" s="845" t="s">
        <v>7500</v>
      </c>
      <c r="C21" s="872">
        <v>110</v>
      </c>
      <c r="D21" s="1570">
        <v>22.96</v>
      </c>
      <c r="E21" s="872">
        <v>47770</v>
      </c>
      <c r="F21" s="1571">
        <v>2.9</v>
      </c>
      <c r="G21" s="1572"/>
      <c r="I21" s="1577" t="s">
        <v>7527</v>
      </c>
      <c r="J21" s="845" t="s">
        <v>7528</v>
      </c>
      <c r="K21" s="872">
        <v>160</v>
      </c>
      <c r="L21" s="1570">
        <v>28.66</v>
      </c>
      <c r="M21" s="872">
        <v>59610</v>
      </c>
      <c r="N21" s="1571">
        <v>2.2999999999999998</v>
      </c>
      <c r="Q21" s="1577" t="s">
        <v>7802</v>
      </c>
      <c r="R21" s="845" t="s">
        <v>7803</v>
      </c>
      <c r="S21" s="872">
        <v>140</v>
      </c>
      <c r="T21" s="1570">
        <v>11.25</v>
      </c>
      <c r="U21" s="872">
        <v>23390</v>
      </c>
      <c r="V21" s="1571">
        <v>1.3</v>
      </c>
      <c r="W21" s="1573"/>
      <c r="Y21" s="1577" t="s">
        <v>7804</v>
      </c>
      <c r="Z21" s="845" t="s">
        <v>7805</v>
      </c>
      <c r="AA21" s="872">
        <v>40</v>
      </c>
      <c r="AB21" s="1570">
        <v>12.85</v>
      </c>
      <c r="AC21" s="872">
        <v>26720</v>
      </c>
      <c r="AD21" s="1571">
        <v>4.7</v>
      </c>
      <c r="AE21" s="585"/>
      <c r="AG21" s="1577" t="s">
        <v>7382</v>
      </c>
      <c r="AH21" s="845" t="s">
        <v>7383</v>
      </c>
      <c r="AI21" s="872">
        <v>110</v>
      </c>
      <c r="AJ21" s="1570">
        <v>11.41</v>
      </c>
      <c r="AK21" s="872">
        <v>23730</v>
      </c>
      <c r="AL21" s="1571">
        <v>2.6</v>
      </c>
      <c r="AM21" s="585"/>
      <c r="AO21" s="1577" t="s">
        <v>7440</v>
      </c>
      <c r="AP21" s="845" t="s">
        <v>7441</v>
      </c>
      <c r="AQ21" s="872">
        <v>140</v>
      </c>
      <c r="AR21" s="1570">
        <v>24.6</v>
      </c>
      <c r="AS21" s="872">
        <v>51160</v>
      </c>
      <c r="AT21" s="1571">
        <v>1.7</v>
      </c>
      <c r="AU21" s="1574"/>
      <c r="AV21" s="2236" t="s">
        <v>8744</v>
      </c>
      <c r="AW21" s="2236"/>
      <c r="AX21" s="2236"/>
      <c r="AY21" s="2236"/>
      <c r="AZ21" s="2236"/>
      <c r="BA21" s="2236"/>
      <c r="BC21" s="1578"/>
      <c r="BD21" s="382"/>
      <c r="BE21" s="439"/>
      <c r="BF21" s="1575"/>
      <c r="BG21" s="1576"/>
      <c r="BH21" s="1575"/>
      <c r="BJ21" s="1578"/>
      <c r="BK21" s="382"/>
      <c r="BL21" s="439"/>
      <c r="BM21" s="1575"/>
      <c r="BN21" s="1576"/>
      <c r="BO21" s="1575"/>
    </row>
    <row r="22" spans="1:67" ht="12.75" customHeight="1">
      <c r="A22" s="1577" t="s">
        <v>7806</v>
      </c>
      <c r="B22" s="845" t="s">
        <v>7807</v>
      </c>
      <c r="C22" s="872">
        <v>100</v>
      </c>
      <c r="D22" s="1570">
        <v>23.09</v>
      </c>
      <c r="E22" s="872">
        <v>48020</v>
      </c>
      <c r="F22" s="1571">
        <v>3.5</v>
      </c>
      <c r="G22" s="1572"/>
      <c r="I22" s="1577" t="s">
        <v>7540</v>
      </c>
      <c r="J22" s="845" t="s">
        <v>7541</v>
      </c>
      <c r="K22" s="872">
        <v>110</v>
      </c>
      <c r="L22" s="1570">
        <v>19.079999999999998</v>
      </c>
      <c r="M22" s="872">
        <v>39680</v>
      </c>
      <c r="N22" s="1571">
        <v>1.2</v>
      </c>
      <c r="Q22" s="1577" t="s">
        <v>7434</v>
      </c>
      <c r="R22" s="845" t="s">
        <v>7435</v>
      </c>
      <c r="S22" s="872">
        <v>250</v>
      </c>
      <c r="T22" s="1570">
        <v>15.92</v>
      </c>
      <c r="U22" s="872">
        <v>33100</v>
      </c>
      <c r="V22" s="1571">
        <v>0.9</v>
      </c>
      <c r="W22" s="1573"/>
      <c r="Y22" s="1577" t="s">
        <v>7422</v>
      </c>
      <c r="Z22" s="845" t="s">
        <v>7423</v>
      </c>
      <c r="AA22" s="872">
        <v>60</v>
      </c>
      <c r="AB22" s="1570">
        <v>9.8000000000000007</v>
      </c>
      <c r="AC22" s="872">
        <v>20380</v>
      </c>
      <c r="AD22" s="1571">
        <v>1.4</v>
      </c>
      <c r="AE22" s="585"/>
      <c r="AG22" s="1577" t="s">
        <v>7808</v>
      </c>
      <c r="AH22" s="845" t="s">
        <v>7809</v>
      </c>
      <c r="AI22" s="872">
        <v>30</v>
      </c>
      <c r="AJ22" s="1570">
        <v>31.17</v>
      </c>
      <c r="AK22" s="872">
        <v>64830</v>
      </c>
      <c r="AL22" s="1571">
        <v>0</v>
      </c>
      <c r="AM22" s="585"/>
      <c r="AO22" s="1577" t="s">
        <v>7454</v>
      </c>
      <c r="AP22" s="845" t="s">
        <v>7455</v>
      </c>
      <c r="AQ22" s="872">
        <v>50</v>
      </c>
      <c r="AR22" s="1570">
        <v>20.05</v>
      </c>
      <c r="AS22" s="872">
        <v>41710</v>
      </c>
      <c r="AT22" s="1571">
        <v>5.5</v>
      </c>
      <c r="AU22" s="1574"/>
      <c r="AV22" s="2234" t="s">
        <v>8745</v>
      </c>
      <c r="AW22" s="2234"/>
      <c r="AX22" s="2234"/>
      <c r="AY22" s="2234"/>
      <c r="AZ22" s="2234"/>
      <c r="BA22" s="2234"/>
      <c r="BC22" s="1578"/>
      <c r="BD22" s="382"/>
      <c r="BE22" s="439"/>
      <c r="BF22" s="1575"/>
      <c r="BG22" s="1576"/>
      <c r="BH22" s="1575"/>
      <c r="BJ22" s="1578"/>
      <c r="BK22" s="382"/>
      <c r="BL22" s="439"/>
      <c r="BM22" s="1575"/>
      <c r="BN22" s="1576"/>
      <c r="BO22" s="1575"/>
    </row>
    <row r="23" spans="1:67" ht="12.75" customHeight="1">
      <c r="A23" s="1577" t="s">
        <v>7512</v>
      </c>
      <c r="B23" s="845" t="s">
        <v>7513</v>
      </c>
      <c r="C23" s="872">
        <v>120</v>
      </c>
      <c r="D23" s="1570">
        <v>50.93</v>
      </c>
      <c r="E23" s="872">
        <v>105930</v>
      </c>
      <c r="F23" s="1571">
        <v>6.1</v>
      </c>
      <c r="G23" s="1572"/>
      <c r="I23" s="1577" t="s">
        <v>7553</v>
      </c>
      <c r="J23" s="845" t="s">
        <v>7554</v>
      </c>
      <c r="K23" s="872">
        <v>100</v>
      </c>
      <c r="L23" s="1570">
        <v>23.65</v>
      </c>
      <c r="M23" s="872">
        <v>49190</v>
      </c>
      <c r="N23" s="1571">
        <v>1.3</v>
      </c>
      <c r="Q23" s="1577" t="s">
        <v>7448</v>
      </c>
      <c r="R23" s="845" t="s">
        <v>7449</v>
      </c>
      <c r="S23" s="872">
        <v>80</v>
      </c>
      <c r="T23" s="1570">
        <v>14.43</v>
      </c>
      <c r="U23" s="872">
        <v>30010</v>
      </c>
      <c r="V23" s="1571">
        <v>7.9</v>
      </c>
      <c r="W23" s="1573"/>
      <c r="Y23" s="1577" t="s">
        <v>7436</v>
      </c>
      <c r="Z23" s="845" t="s">
        <v>7437</v>
      </c>
      <c r="AA23" s="872">
        <v>220</v>
      </c>
      <c r="AB23" s="1570">
        <v>10.14</v>
      </c>
      <c r="AC23" s="872">
        <v>21090</v>
      </c>
      <c r="AD23" s="1571">
        <v>0.6</v>
      </c>
      <c r="AE23" s="585"/>
      <c r="AG23" s="1577" t="s">
        <v>7396</v>
      </c>
      <c r="AH23" s="845" t="s">
        <v>7397</v>
      </c>
      <c r="AI23" s="872">
        <v>40</v>
      </c>
      <c r="AJ23" s="1570">
        <v>27</v>
      </c>
      <c r="AK23" s="872">
        <v>56160</v>
      </c>
      <c r="AL23" s="1571">
        <v>0</v>
      </c>
      <c r="AM23" s="585"/>
      <c r="AO23" s="1577" t="s">
        <v>7468</v>
      </c>
      <c r="AP23" s="845" t="s">
        <v>7469</v>
      </c>
      <c r="AQ23" s="872">
        <v>60</v>
      </c>
      <c r="AR23" s="1570">
        <v>25.7</v>
      </c>
      <c r="AS23" s="872">
        <v>53460</v>
      </c>
      <c r="AT23" s="1571">
        <v>1.8</v>
      </c>
      <c r="AU23" s="1583"/>
      <c r="AV23" s="2237" t="s">
        <v>8746</v>
      </c>
      <c r="AW23" s="2237"/>
      <c r="AX23" s="2237"/>
      <c r="AY23" s="1581"/>
      <c r="AZ23" s="1581"/>
      <c r="BA23" s="1581"/>
      <c r="BC23" s="1578"/>
      <c r="BD23" s="382"/>
      <c r="BE23" s="439"/>
      <c r="BF23" s="1575"/>
      <c r="BG23" s="1576"/>
      <c r="BH23" s="1575"/>
      <c r="BJ23" s="1578"/>
      <c r="BK23" s="382"/>
      <c r="BL23" s="439"/>
      <c r="BM23" s="1575"/>
      <c r="BN23" s="1576"/>
      <c r="BO23" s="1575"/>
    </row>
    <row r="24" spans="1:67" ht="12.75" customHeight="1">
      <c r="A24" s="1577" t="s">
        <v>7538</v>
      </c>
      <c r="B24" s="845" t="s">
        <v>7539</v>
      </c>
      <c r="C24" s="872" t="s">
        <v>7311</v>
      </c>
      <c r="D24" s="1570">
        <v>38.15</v>
      </c>
      <c r="E24" s="872">
        <v>79340</v>
      </c>
      <c r="F24" s="1571">
        <v>12.9</v>
      </c>
      <c r="G24" s="1572"/>
      <c r="I24" s="1577" t="s">
        <v>7810</v>
      </c>
      <c r="J24" s="845" t="s">
        <v>7811</v>
      </c>
      <c r="K24" s="872">
        <v>40</v>
      </c>
      <c r="L24" s="1570">
        <v>23.83</v>
      </c>
      <c r="M24" s="872">
        <v>49570</v>
      </c>
      <c r="N24" s="1571">
        <v>0.8</v>
      </c>
      <c r="Q24" s="1577" t="s">
        <v>7462</v>
      </c>
      <c r="R24" s="845" t="s">
        <v>7463</v>
      </c>
      <c r="S24" s="872">
        <v>130</v>
      </c>
      <c r="T24" s="1570">
        <v>16.96</v>
      </c>
      <c r="U24" s="872">
        <v>35270</v>
      </c>
      <c r="V24" s="1571">
        <v>3.6</v>
      </c>
      <c r="W24" s="1573"/>
      <c r="Y24" s="1577" t="s">
        <v>7450</v>
      </c>
      <c r="Z24" s="845" t="s">
        <v>7451</v>
      </c>
      <c r="AA24" s="872">
        <v>120</v>
      </c>
      <c r="AB24" s="1570">
        <v>16.23</v>
      </c>
      <c r="AC24" s="872">
        <v>33760</v>
      </c>
      <c r="AD24" s="1571">
        <v>8.4</v>
      </c>
      <c r="AE24" s="585"/>
      <c r="AG24" s="1577" t="s">
        <v>7410</v>
      </c>
      <c r="AH24" s="845" t="s">
        <v>7411</v>
      </c>
      <c r="AI24" s="872">
        <v>40</v>
      </c>
      <c r="AJ24" s="1570">
        <v>27.82</v>
      </c>
      <c r="AK24" s="872">
        <v>57860</v>
      </c>
      <c r="AL24" s="1571">
        <v>0</v>
      </c>
      <c r="AM24" s="585"/>
      <c r="AO24" s="1577" t="s">
        <v>7812</v>
      </c>
      <c r="AP24" s="845" t="s">
        <v>7813</v>
      </c>
      <c r="AQ24" s="872">
        <v>60</v>
      </c>
      <c r="AR24" s="1570">
        <v>25.97</v>
      </c>
      <c r="AS24" s="872">
        <v>54010</v>
      </c>
      <c r="AT24" s="1571">
        <v>5.7</v>
      </c>
      <c r="AU24" s="1583"/>
      <c r="AV24" s="2236" t="s">
        <v>8738</v>
      </c>
      <c r="AW24" s="2236"/>
      <c r="AX24" s="2236"/>
      <c r="AY24" s="2236"/>
      <c r="AZ24" s="2236"/>
      <c r="BA24" s="2236"/>
      <c r="BC24" s="1578"/>
      <c r="BD24" s="382"/>
      <c r="BE24" s="439"/>
      <c r="BF24" s="1575"/>
      <c r="BG24" s="1576"/>
      <c r="BH24" s="1575"/>
      <c r="BJ24" s="1578"/>
      <c r="BK24" s="382"/>
      <c r="BL24" s="439"/>
      <c r="BM24" s="1575"/>
      <c r="BN24" s="1576"/>
      <c r="BO24" s="1575"/>
    </row>
    <row r="25" spans="1:67" ht="12.75" customHeight="1">
      <c r="A25" s="1577" t="s">
        <v>7814</v>
      </c>
      <c r="B25" s="845" t="s">
        <v>7815</v>
      </c>
      <c r="C25" s="872">
        <v>30</v>
      </c>
      <c r="D25" s="1570">
        <v>27.14</v>
      </c>
      <c r="E25" s="872">
        <v>56460</v>
      </c>
      <c r="F25" s="1571">
        <v>3.3</v>
      </c>
      <c r="G25" s="1572"/>
      <c r="I25" s="1577" t="s">
        <v>7566</v>
      </c>
      <c r="J25" s="845" t="s">
        <v>7567</v>
      </c>
      <c r="K25" s="872">
        <v>190</v>
      </c>
      <c r="L25" s="1570">
        <v>17.37</v>
      </c>
      <c r="M25" s="872">
        <v>36130</v>
      </c>
      <c r="N25" s="1571">
        <v>0.9</v>
      </c>
      <c r="Q25" s="1577" t="s">
        <v>7476</v>
      </c>
      <c r="R25" s="845" t="s">
        <v>7477</v>
      </c>
      <c r="S25" s="872">
        <v>230</v>
      </c>
      <c r="T25" s="1570">
        <v>14.69</v>
      </c>
      <c r="U25" s="872">
        <v>30560</v>
      </c>
      <c r="V25" s="1571">
        <v>1.9</v>
      </c>
      <c r="W25" s="1573"/>
      <c r="Y25" s="1577" t="s">
        <v>7464</v>
      </c>
      <c r="Z25" s="845" t="s">
        <v>7465</v>
      </c>
      <c r="AA25" s="872">
        <v>60</v>
      </c>
      <c r="AB25" s="1570">
        <v>14.11</v>
      </c>
      <c r="AC25" s="872">
        <v>29360</v>
      </c>
      <c r="AD25" s="1571">
        <v>3.6</v>
      </c>
      <c r="AE25" s="585"/>
      <c r="AG25" s="1577" t="s">
        <v>7424</v>
      </c>
      <c r="AH25" s="845" t="s">
        <v>7425</v>
      </c>
      <c r="AI25" s="872">
        <v>130</v>
      </c>
      <c r="AJ25" s="1570" t="s">
        <v>7308</v>
      </c>
      <c r="AK25" s="872" t="s">
        <v>7308</v>
      </c>
      <c r="AL25" s="1571" t="s">
        <v>7308</v>
      </c>
      <c r="AM25" s="585"/>
      <c r="AO25" s="1577" t="s">
        <v>7482</v>
      </c>
      <c r="AP25" s="845" t="s">
        <v>7483</v>
      </c>
      <c r="AQ25" s="872">
        <v>40</v>
      </c>
      <c r="AR25" s="1570">
        <v>18.22</v>
      </c>
      <c r="AS25" s="872">
        <v>37910</v>
      </c>
      <c r="AT25" s="1571">
        <v>3.7</v>
      </c>
      <c r="AU25" s="1583"/>
      <c r="AV25" s="2234" t="s">
        <v>7602</v>
      </c>
      <c r="AW25" s="2234"/>
      <c r="AX25" s="2234"/>
      <c r="AY25" s="2234"/>
      <c r="AZ25" s="2234"/>
      <c r="BA25" s="2234"/>
      <c r="BC25" s="1578"/>
      <c r="BD25" s="382"/>
      <c r="BE25" s="439"/>
      <c r="BF25" s="1575"/>
      <c r="BG25" s="1576"/>
      <c r="BH25" s="1575"/>
      <c r="BJ25" s="1578"/>
      <c r="BK25" s="382"/>
      <c r="BL25" s="439"/>
      <c r="BM25" s="1575"/>
      <c r="BN25" s="1576"/>
      <c r="BO25" s="1575"/>
    </row>
    <row r="26" spans="1:67" ht="12.75" customHeight="1">
      <c r="A26" s="1577" t="s">
        <v>7551</v>
      </c>
      <c r="B26" s="845" t="s">
        <v>7552</v>
      </c>
      <c r="C26" s="872">
        <v>150</v>
      </c>
      <c r="D26" s="1570">
        <v>46.08</v>
      </c>
      <c r="E26" s="872">
        <v>95850</v>
      </c>
      <c r="F26" s="1571">
        <v>1.5</v>
      </c>
      <c r="G26" s="1572"/>
      <c r="I26" s="1577" t="s">
        <v>7579</v>
      </c>
      <c r="J26" s="845" t="s">
        <v>7580</v>
      </c>
      <c r="K26" s="872">
        <v>50</v>
      </c>
      <c r="L26" s="1570">
        <v>21.92</v>
      </c>
      <c r="M26" s="872">
        <v>45600</v>
      </c>
      <c r="N26" s="1571">
        <v>6.4</v>
      </c>
      <c r="Q26" s="1577" t="s">
        <v>7490</v>
      </c>
      <c r="R26" s="845" t="s">
        <v>7491</v>
      </c>
      <c r="S26" s="872">
        <v>50</v>
      </c>
      <c r="T26" s="1570">
        <v>20.41</v>
      </c>
      <c r="U26" s="872">
        <v>42440</v>
      </c>
      <c r="V26" s="1571">
        <v>9.1</v>
      </c>
      <c r="W26" s="1573"/>
      <c r="Y26" s="1577" t="s">
        <v>7478</v>
      </c>
      <c r="Z26" s="845" t="s">
        <v>7479</v>
      </c>
      <c r="AA26" s="872">
        <v>200</v>
      </c>
      <c r="AB26" s="1570">
        <v>10.64</v>
      </c>
      <c r="AC26" s="872">
        <v>22130</v>
      </c>
      <c r="AD26" s="1571">
        <v>1.2</v>
      </c>
      <c r="AE26" s="585"/>
      <c r="AG26" s="1577" t="s">
        <v>7438</v>
      </c>
      <c r="AH26" s="845" t="s">
        <v>7439</v>
      </c>
      <c r="AI26" s="872">
        <v>660</v>
      </c>
      <c r="AJ26" s="1570">
        <v>14.11</v>
      </c>
      <c r="AK26" s="872">
        <v>29350</v>
      </c>
      <c r="AL26" s="1571">
        <v>4.7</v>
      </c>
      <c r="AM26" s="585"/>
      <c r="AO26" s="1577" t="s">
        <v>7496</v>
      </c>
      <c r="AP26" s="845" t="s">
        <v>7497</v>
      </c>
      <c r="AQ26" s="872">
        <v>890</v>
      </c>
      <c r="AR26" s="1570">
        <v>14.78</v>
      </c>
      <c r="AS26" s="872">
        <v>30730</v>
      </c>
      <c r="AT26" s="1571">
        <v>0.8</v>
      </c>
      <c r="AU26" s="1583"/>
      <c r="AV26" s="2234" t="s">
        <v>7615</v>
      </c>
      <c r="AW26" s="2234"/>
      <c r="AX26" s="2234"/>
      <c r="AY26" s="2234"/>
      <c r="AZ26" s="2234"/>
      <c r="BA26" s="2234"/>
      <c r="BC26" s="1578"/>
      <c r="BD26" s="382"/>
      <c r="BE26" s="439"/>
      <c r="BF26" s="1575"/>
      <c r="BG26" s="1576"/>
      <c r="BH26" s="1575"/>
      <c r="BJ26" s="1578"/>
      <c r="BK26" s="382"/>
      <c r="BL26" s="439"/>
      <c r="BM26" s="912"/>
      <c r="BN26" s="912"/>
      <c r="BO26" s="912"/>
    </row>
    <row r="27" spans="1:67" ht="12.75" customHeight="1">
      <c r="A27" s="1568" t="s">
        <v>7564</v>
      </c>
      <c r="B27" s="1569" t="s">
        <v>7565</v>
      </c>
      <c r="C27" s="872">
        <v>2930</v>
      </c>
      <c r="D27" s="1570">
        <v>29.16</v>
      </c>
      <c r="E27" s="872">
        <v>60650</v>
      </c>
      <c r="F27" s="1571">
        <v>0.6</v>
      </c>
      <c r="G27" s="1572"/>
      <c r="I27" s="1568" t="s">
        <v>7592</v>
      </c>
      <c r="J27" s="1569" t="s">
        <v>7593</v>
      </c>
      <c r="K27" s="872">
        <v>330</v>
      </c>
      <c r="L27" s="1570">
        <v>43.36</v>
      </c>
      <c r="M27" s="872">
        <v>90180</v>
      </c>
      <c r="N27" s="1571">
        <v>7</v>
      </c>
      <c r="Q27" s="1568" t="s">
        <v>7503</v>
      </c>
      <c r="R27" s="1569" t="s">
        <v>7504</v>
      </c>
      <c r="S27" s="872">
        <v>3840</v>
      </c>
      <c r="T27" s="1570">
        <v>20.39</v>
      </c>
      <c r="U27" s="872">
        <v>42410</v>
      </c>
      <c r="V27" s="1571">
        <v>0.8</v>
      </c>
      <c r="W27" s="1573"/>
      <c r="Y27" s="1577" t="s">
        <v>7492</v>
      </c>
      <c r="Z27" s="845" t="s">
        <v>7493</v>
      </c>
      <c r="AA27" s="872">
        <v>30</v>
      </c>
      <c r="AB27" s="1570">
        <v>12.28</v>
      </c>
      <c r="AC27" s="872">
        <v>25530</v>
      </c>
      <c r="AD27" s="1571">
        <v>7.9</v>
      </c>
      <c r="AE27" s="585"/>
      <c r="AG27" s="1577" t="s">
        <v>7452</v>
      </c>
      <c r="AH27" s="845" t="s">
        <v>7453</v>
      </c>
      <c r="AI27" s="872">
        <v>80</v>
      </c>
      <c r="AJ27" s="1570">
        <v>24.18</v>
      </c>
      <c r="AK27" s="872">
        <v>50290</v>
      </c>
      <c r="AL27" s="1571">
        <v>4.2</v>
      </c>
      <c r="AM27" s="585"/>
      <c r="AO27" s="1577" t="s">
        <v>7522</v>
      </c>
      <c r="AP27" s="845" t="s">
        <v>7523</v>
      </c>
      <c r="AQ27" s="872">
        <v>310</v>
      </c>
      <c r="AR27" s="1570">
        <v>12.67</v>
      </c>
      <c r="AS27" s="872">
        <v>26360</v>
      </c>
      <c r="AT27" s="1571">
        <v>3</v>
      </c>
      <c r="AU27" s="1583"/>
      <c r="AV27" s="2234" t="s">
        <v>7725</v>
      </c>
      <c r="AW27" s="2234"/>
      <c r="AX27" s="2234"/>
      <c r="AY27" s="2234"/>
      <c r="AZ27" s="2234"/>
      <c r="BA27" s="2234"/>
      <c r="BC27" s="1578"/>
      <c r="BD27" s="382"/>
      <c r="BE27" s="439"/>
      <c r="BF27" s="1575"/>
      <c r="BG27" s="1576"/>
      <c r="BH27" s="1575"/>
      <c r="BJ27" s="1578"/>
      <c r="BK27" s="382"/>
      <c r="BL27" s="439"/>
      <c r="BM27" s="1575"/>
      <c r="BN27" s="1576"/>
      <c r="BO27" s="1575"/>
    </row>
    <row r="28" spans="1:67" ht="12.75" customHeight="1">
      <c r="A28" s="1577" t="s">
        <v>7577</v>
      </c>
      <c r="B28" s="845" t="s">
        <v>7578</v>
      </c>
      <c r="C28" s="872">
        <v>210</v>
      </c>
      <c r="D28" s="1570">
        <v>31.2</v>
      </c>
      <c r="E28" s="872">
        <v>64900</v>
      </c>
      <c r="F28" s="1571">
        <v>1</v>
      </c>
      <c r="G28" s="1572"/>
      <c r="I28" s="1577" t="s">
        <v>7605</v>
      </c>
      <c r="J28" s="845" t="s">
        <v>7606</v>
      </c>
      <c r="K28" s="872">
        <v>200</v>
      </c>
      <c r="L28" s="1570">
        <v>55.08</v>
      </c>
      <c r="M28" s="872">
        <v>114570</v>
      </c>
      <c r="N28" s="1571">
        <v>4.5999999999999996</v>
      </c>
      <c r="Q28" s="1577" t="s">
        <v>7529</v>
      </c>
      <c r="R28" s="845" t="s">
        <v>7530</v>
      </c>
      <c r="S28" s="872">
        <v>60</v>
      </c>
      <c r="T28" s="1570">
        <v>18.22</v>
      </c>
      <c r="U28" s="872">
        <v>37900</v>
      </c>
      <c r="V28" s="1571">
        <v>3.6</v>
      </c>
      <c r="W28" s="1573"/>
      <c r="Y28" s="1577" t="s">
        <v>7505</v>
      </c>
      <c r="Z28" s="845" t="s">
        <v>7506</v>
      </c>
      <c r="AA28" s="872">
        <v>60</v>
      </c>
      <c r="AB28" s="1570">
        <v>12.15</v>
      </c>
      <c r="AC28" s="872">
        <v>25280</v>
      </c>
      <c r="AD28" s="1571">
        <v>0.6</v>
      </c>
      <c r="AE28" s="585"/>
      <c r="AG28" s="1577" t="s">
        <v>7466</v>
      </c>
      <c r="AH28" s="845" t="s">
        <v>7467</v>
      </c>
      <c r="AI28" s="872">
        <v>50</v>
      </c>
      <c r="AJ28" s="1570">
        <v>20.34</v>
      </c>
      <c r="AK28" s="872">
        <v>42300</v>
      </c>
      <c r="AL28" s="1571">
        <v>6.5</v>
      </c>
      <c r="AM28" s="585"/>
      <c r="AO28" s="1577" t="s">
        <v>7535</v>
      </c>
      <c r="AP28" s="845" t="s">
        <v>7536</v>
      </c>
      <c r="AQ28" s="872">
        <v>70</v>
      </c>
      <c r="AR28" s="1570">
        <v>19.05</v>
      </c>
      <c r="AS28" s="872">
        <v>39630</v>
      </c>
      <c r="AT28" s="1571">
        <v>6.4</v>
      </c>
      <c r="AU28" s="1583"/>
      <c r="AV28" s="1585"/>
      <c r="AW28" s="1586"/>
      <c r="AX28" s="1587"/>
      <c r="AY28" s="1588"/>
      <c r="AZ28" s="1589"/>
      <c r="BA28" s="1588"/>
      <c r="BC28" s="1578"/>
      <c r="BD28" s="382"/>
      <c r="BE28" s="439"/>
      <c r="BF28" s="1575"/>
      <c r="BG28" s="1576"/>
      <c r="BH28" s="1575"/>
      <c r="BJ28" s="1557"/>
      <c r="BK28" s="1558"/>
      <c r="BL28" s="1558"/>
      <c r="BM28" s="1558"/>
      <c r="BN28" s="1558"/>
      <c r="BO28" s="1558"/>
    </row>
    <row r="29" spans="1:67" ht="12.75" customHeight="1">
      <c r="A29" s="1577" t="s">
        <v>7590</v>
      </c>
      <c r="B29" s="845" t="s">
        <v>7591</v>
      </c>
      <c r="C29" s="872">
        <v>80</v>
      </c>
      <c r="D29" s="1570">
        <v>24.5</v>
      </c>
      <c r="E29" s="872">
        <v>50960</v>
      </c>
      <c r="F29" s="1571">
        <v>1.9</v>
      </c>
      <c r="G29" s="1572"/>
      <c r="I29" s="1577" t="s">
        <v>7618</v>
      </c>
      <c r="J29" s="845" t="s">
        <v>7619</v>
      </c>
      <c r="K29" s="872">
        <v>60</v>
      </c>
      <c r="L29" s="1570">
        <v>20.85</v>
      </c>
      <c r="M29" s="872">
        <v>43360</v>
      </c>
      <c r="N29" s="1571">
        <v>3.4</v>
      </c>
      <c r="Q29" s="1577" t="s">
        <v>7542</v>
      </c>
      <c r="R29" s="845" t="s">
        <v>7543</v>
      </c>
      <c r="S29" s="872">
        <v>950</v>
      </c>
      <c r="T29" s="1570">
        <v>11.91</v>
      </c>
      <c r="U29" s="872">
        <v>24770</v>
      </c>
      <c r="V29" s="1571">
        <v>1.3</v>
      </c>
      <c r="W29" s="1573"/>
      <c r="Y29" s="1577" t="s">
        <v>7518</v>
      </c>
      <c r="Z29" s="845" t="s">
        <v>7519</v>
      </c>
      <c r="AA29" s="872" t="s">
        <v>7311</v>
      </c>
      <c r="AB29" s="1570">
        <v>9.57</v>
      </c>
      <c r="AC29" s="872">
        <v>19900</v>
      </c>
      <c r="AD29" s="1571">
        <v>2.2999999999999998</v>
      </c>
      <c r="AE29" s="585"/>
      <c r="AG29" s="1577" t="s">
        <v>7480</v>
      </c>
      <c r="AH29" s="845" t="s">
        <v>7481</v>
      </c>
      <c r="AI29" s="872">
        <v>290</v>
      </c>
      <c r="AJ29" s="1570">
        <v>15.26</v>
      </c>
      <c r="AK29" s="872">
        <v>31740</v>
      </c>
      <c r="AL29" s="1571">
        <v>2</v>
      </c>
      <c r="AM29" s="585"/>
      <c r="AO29" s="1568" t="s">
        <v>7548</v>
      </c>
      <c r="AP29" s="1569" t="s">
        <v>7549</v>
      </c>
      <c r="AQ29" s="872">
        <v>1620</v>
      </c>
      <c r="AR29" s="1570">
        <v>16.91</v>
      </c>
      <c r="AS29" s="872">
        <v>35160</v>
      </c>
      <c r="AT29" s="1571">
        <v>1.1000000000000001</v>
      </c>
      <c r="AU29" s="1583"/>
      <c r="AV29" s="1585"/>
      <c r="AW29" s="1586"/>
      <c r="AX29" s="1587"/>
      <c r="AY29" s="1588"/>
      <c r="AZ29" s="1589"/>
      <c r="BA29" s="1588"/>
      <c r="BC29" s="1863"/>
      <c r="BD29" s="621"/>
      <c r="BE29" s="439"/>
      <c r="BF29" s="1575"/>
      <c r="BG29" s="1576"/>
      <c r="BH29" s="1575"/>
      <c r="BJ29" s="2236"/>
      <c r="BK29" s="2236"/>
      <c r="BL29" s="2236"/>
      <c r="BM29" s="2236"/>
      <c r="BN29" s="2236"/>
      <c r="BO29" s="2236"/>
    </row>
    <row r="30" spans="1:67" ht="12.75" customHeight="1">
      <c r="A30" s="1577" t="s">
        <v>7816</v>
      </c>
      <c r="B30" s="845" t="s">
        <v>7817</v>
      </c>
      <c r="C30" s="872">
        <v>270</v>
      </c>
      <c r="D30" s="1570">
        <v>32.15</v>
      </c>
      <c r="E30" s="872">
        <v>66870</v>
      </c>
      <c r="F30" s="1571">
        <v>0.7</v>
      </c>
      <c r="G30" s="1572"/>
      <c r="I30" s="1568" t="s">
        <v>7631</v>
      </c>
      <c r="J30" s="1569" t="s">
        <v>7632</v>
      </c>
      <c r="K30" s="872">
        <v>3580</v>
      </c>
      <c r="L30" s="1570">
        <v>25.2</v>
      </c>
      <c r="M30" s="872">
        <v>52420</v>
      </c>
      <c r="N30" s="1571">
        <v>1.2</v>
      </c>
      <c r="Q30" s="1577" t="s">
        <v>7568</v>
      </c>
      <c r="R30" s="845" t="s">
        <v>7569</v>
      </c>
      <c r="S30" s="872">
        <v>260</v>
      </c>
      <c r="T30" s="1570">
        <v>24.5</v>
      </c>
      <c r="U30" s="872">
        <v>50960</v>
      </c>
      <c r="V30" s="1571">
        <v>0</v>
      </c>
      <c r="W30" s="1573"/>
      <c r="Y30" s="1568" t="s">
        <v>7531</v>
      </c>
      <c r="Z30" s="1569" t="s">
        <v>7532</v>
      </c>
      <c r="AA30" s="872">
        <v>4790</v>
      </c>
      <c r="AB30" s="1570">
        <v>12.86</v>
      </c>
      <c r="AC30" s="872">
        <v>26760</v>
      </c>
      <c r="AD30" s="1571">
        <v>2.7</v>
      </c>
      <c r="AE30" s="585"/>
      <c r="AG30" s="1577" t="s">
        <v>7494</v>
      </c>
      <c r="AH30" s="845" t="s">
        <v>7495</v>
      </c>
      <c r="AI30" s="872">
        <v>1330</v>
      </c>
      <c r="AJ30" s="1570">
        <v>16.510000000000002</v>
      </c>
      <c r="AK30" s="872">
        <v>34330</v>
      </c>
      <c r="AL30" s="1571">
        <v>1.5</v>
      </c>
      <c r="AM30" s="585"/>
      <c r="AO30" s="1577" t="s">
        <v>7561</v>
      </c>
      <c r="AP30" s="845" t="s">
        <v>7562</v>
      </c>
      <c r="AQ30" s="872">
        <v>120</v>
      </c>
      <c r="AR30" s="1570">
        <v>28.36</v>
      </c>
      <c r="AS30" s="872">
        <v>58990</v>
      </c>
      <c r="AT30" s="1571">
        <v>2.9</v>
      </c>
      <c r="AU30" s="1583"/>
      <c r="AV30" s="1578"/>
      <c r="AW30" s="382"/>
      <c r="AX30" s="439"/>
      <c r="AY30" s="1575"/>
      <c r="AZ30" s="1576"/>
      <c r="BA30" s="1575"/>
      <c r="BC30" s="1578"/>
      <c r="BD30" s="382"/>
      <c r="BE30" s="439"/>
      <c r="BF30" s="1575"/>
      <c r="BG30" s="1576"/>
      <c r="BH30" s="1575"/>
      <c r="BJ30" s="2236"/>
      <c r="BK30" s="2236"/>
      <c r="BL30" s="2236"/>
      <c r="BM30" s="2236"/>
      <c r="BN30" s="2236"/>
      <c r="BO30" s="2236"/>
    </row>
    <row r="31" spans="1:67" ht="12.75" customHeight="1">
      <c r="A31" s="1577" t="s">
        <v>7603</v>
      </c>
      <c r="B31" s="845" t="s">
        <v>7604</v>
      </c>
      <c r="C31" s="872">
        <v>60</v>
      </c>
      <c r="D31" s="1570">
        <v>26.97</v>
      </c>
      <c r="E31" s="872">
        <v>56090</v>
      </c>
      <c r="F31" s="1571">
        <v>5</v>
      </c>
      <c r="G31" s="1572"/>
      <c r="I31" s="1577" t="s">
        <v>7643</v>
      </c>
      <c r="J31" s="845" t="s">
        <v>7644</v>
      </c>
      <c r="K31" s="872">
        <v>50</v>
      </c>
      <c r="L31" s="1570">
        <v>28.28</v>
      </c>
      <c r="M31" s="872">
        <v>58830</v>
      </c>
      <c r="N31" s="1571">
        <v>9.1999999999999993</v>
      </c>
      <c r="Q31" s="1568" t="s">
        <v>7581</v>
      </c>
      <c r="R31" s="1569" t="s">
        <v>7582</v>
      </c>
      <c r="S31" s="872">
        <v>7040</v>
      </c>
      <c r="T31" s="1570">
        <v>11.03</v>
      </c>
      <c r="U31" s="872">
        <v>22940</v>
      </c>
      <c r="V31" s="1571">
        <v>0.7</v>
      </c>
      <c r="W31" s="1573"/>
      <c r="Y31" s="1577" t="s">
        <v>7544</v>
      </c>
      <c r="Z31" s="845" t="s">
        <v>7545</v>
      </c>
      <c r="AA31" s="872">
        <v>400</v>
      </c>
      <c r="AB31" s="1570">
        <v>16.8</v>
      </c>
      <c r="AC31" s="872">
        <v>34950</v>
      </c>
      <c r="AD31" s="1571">
        <v>2.1</v>
      </c>
      <c r="AE31" s="585"/>
      <c r="AG31" s="1577" t="s">
        <v>7507</v>
      </c>
      <c r="AH31" s="845" t="s">
        <v>7508</v>
      </c>
      <c r="AI31" s="872">
        <v>90</v>
      </c>
      <c r="AJ31" s="1570">
        <v>12.18</v>
      </c>
      <c r="AK31" s="872">
        <v>25320</v>
      </c>
      <c r="AL31" s="1571">
        <v>1</v>
      </c>
      <c r="AM31" s="585"/>
      <c r="AO31" s="1577" t="s">
        <v>7587</v>
      </c>
      <c r="AP31" s="845" t="s">
        <v>7588</v>
      </c>
      <c r="AQ31" s="872">
        <v>70</v>
      </c>
      <c r="AR31" s="1570">
        <v>15.85</v>
      </c>
      <c r="AS31" s="872">
        <v>32960</v>
      </c>
      <c r="AT31" s="1571">
        <v>7.6</v>
      </c>
      <c r="AU31" s="1583"/>
      <c r="AV31" s="1578"/>
      <c r="AW31" s="382"/>
      <c r="AX31" s="439"/>
      <c r="AY31" s="1575"/>
      <c r="AZ31" s="1576"/>
      <c r="BA31" s="1575"/>
      <c r="BC31" s="1578"/>
      <c r="BD31" s="382"/>
      <c r="BE31" s="439"/>
      <c r="BF31" s="1575"/>
      <c r="BG31" s="1576"/>
      <c r="BH31" s="1575"/>
      <c r="BJ31" s="2234"/>
      <c r="BK31" s="2234"/>
      <c r="BL31" s="2234"/>
      <c r="BM31" s="1581"/>
      <c r="BN31" s="1581"/>
      <c r="BO31" s="1581"/>
    </row>
    <row r="32" spans="1:67" ht="12.75" customHeight="1">
      <c r="A32" s="1577" t="s">
        <v>7616</v>
      </c>
      <c r="B32" s="845" t="s">
        <v>7617</v>
      </c>
      <c r="C32" s="872">
        <v>350</v>
      </c>
      <c r="D32" s="1570">
        <v>26.02</v>
      </c>
      <c r="E32" s="872">
        <v>54130</v>
      </c>
      <c r="F32" s="1571">
        <v>0.8</v>
      </c>
      <c r="G32" s="1572"/>
      <c r="I32" s="1577" t="s">
        <v>7655</v>
      </c>
      <c r="J32" s="845" t="s">
        <v>7656</v>
      </c>
      <c r="K32" s="872">
        <v>150</v>
      </c>
      <c r="L32" s="1570">
        <v>14.36</v>
      </c>
      <c r="M32" s="872">
        <v>29870</v>
      </c>
      <c r="N32" s="1571">
        <v>6.8</v>
      </c>
      <c r="Q32" s="1577" t="s">
        <v>7594</v>
      </c>
      <c r="R32" s="845" t="s">
        <v>7595</v>
      </c>
      <c r="S32" s="872">
        <v>200</v>
      </c>
      <c r="T32" s="1570">
        <v>21.16</v>
      </c>
      <c r="U32" s="872">
        <v>44020</v>
      </c>
      <c r="V32" s="1571">
        <v>2.7</v>
      </c>
      <c r="W32" s="1573"/>
      <c r="Y32" s="1577" t="s">
        <v>7557</v>
      </c>
      <c r="Z32" s="845" t="s">
        <v>7558</v>
      </c>
      <c r="AA32" s="872">
        <v>50</v>
      </c>
      <c r="AB32" s="1570">
        <v>23.65</v>
      </c>
      <c r="AC32" s="872">
        <v>49180</v>
      </c>
      <c r="AD32" s="1571">
        <v>4.5</v>
      </c>
      <c r="AE32" s="585"/>
      <c r="AG32" s="1577" t="s">
        <v>7520</v>
      </c>
      <c r="AH32" s="845" t="s">
        <v>7521</v>
      </c>
      <c r="AI32" s="872">
        <v>80</v>
      </c>
      <c r="AJ32" s="1570">
        <v>14.22</v>
      </c>
      <c r="AK32" s="872">
        <v>29570</v>
      </c>
      <c r="AL32" s="1571">
        <v>1.4</v>
      </c>
      <c r="AM32" s="585"/>
      <c r="AO32" s="1577" t="s">
        <v>7600</v>
      </c>
      <c r="AP32" s="845" t="s">
        <v>7601</v>
      </c>
      <c r="AQ32" s="872">
        <v>80</v>
      </c>
      <c r="AR32" s="1570">
        <v>12.17</v>
      </c>
      <c r="AS32" s="872">
        <v>25310</v>
      </c>
      <c r="AT32" s="1571">
        <v>2.1</v>
      </c>
      <c r="AU32" s="1583"/>
      <c r="AV32" s="1578"/>
      <c r="AW32" s="382"/>
      <c r="AX32" s="439"/>
      <c r="AY32" s="1575"/>
      <c r="AZ32" s="1576"/>
      <c r="BA32" s="1575"/>
      <c r="BC32" s="1578"/>
      <c r="BD32" s="382"/>
      <c r="BE32" s="439"/>
      <c r="BF32" s="1575"/>
      <c r="BG32" s="1576"/>
      <c r="BH32" s="1575"/>
      <c r="BJ32" s="2237"/>
      <c r="BK32" s="2237"/>
      <c r="BL32" s="2237"/>
      <c r="BM32" s="1581"/>
      <c r="BN32" s="1581"/>
      <c r="BO32" s="1581"/>
    </row>
    <row r="33" spans="1:67" ht="12.75" customHeight="1">
      <c r="A33" s="1577" t="s">
        <v>7629</v>
      </c>
      <c r="B33" s="845" t="s">
        <v>7630</v>
      </c>
      <c r="C33" s="872">
        <v>100</v>
      </c>
      <c r="D33" s="1570">
        <v>30.73</v>
      </c>
      <c r="E33" s="872">
        <v>63920</v>
      </c>
      <c r="F33" s="1571">
        <v>1.9</v>
      </c>
      <c r="G33" s="1572"/>
      <c r="I33" s="1577" t="s">
        <v>7818</v>
      </c>
      <c r="J33" s="845" t="s">
        <v>7819</v>
      </c>
      <c r="K33" s="872">
        <v>90</v>
      </c>
      <c r="L33" s="1570" t="s">
        <v>7308</v>
      </c>
      <c r="M33" s="872">
        <v>55730</v>
      </c>
      <c r="N33" s="1571">
        <v>2.1</v>
      </c>
      <c r="Q33" s="1577" t="s">
        <v>7607</v>
      </c>
      <c r="R33" s="845" t="s">
        <v>7608</v>
      </c>
      <c r="S33" s="872">
        <v>700</v>
      </c>
      <c r="T33" s="1570">
        <v>12.88</v>
      </c>
      <c r="U33" s="872">
        <v>26790</v>
      </c>
      <c r="V33" s="1571">
        <v>2</v>
      </c>
      <c r="W33" s="1573"/>
      <c r="Y33" s="1577" t="s">
        <v>7570</v>
      </c>
      <c r="Z33" s="845" t="s">
        <v>7571</v>
      </c>
      <c r="AA33" s="872">
        <v>2240</v>
      </c>
      <c r="AB33" s="1570">
        <v>11.05</v>
      </c>
      <c r="AC33" s="872">
        <v>22980</v>
      </c>
      <c r="AD33" s="1571">
        <v>0.8</v>
      </c>
      <c r="AE33" s="1574"/>
      <c r="AG33" s="1577" t="s">
        <v>7533</v>
      </c>
      <c r="AH33" s="845" t="s">
        <v>7534</v>
      </c>
      <c r="AI33" s="872">
        <v>770</v>
      </c>
      <c r="AJ33" s="1570">
        <v>12.41</v>
      </c>
      <c r="AK33" s="872">
        <v>25820</v>
      </c>
      <c r="AL33" s="1571">
        <v>2.7</v>
      </c>
      <c r="AM33" s="585"/>
      <c r="AO33" s="1577" t="s">
        <v>7613</v>
      </c>
      <c r="AP33" s="845" t="s">
        <v>7614</v>
      </c>
      <c r="AQ33" s="872">
        <v>220</v>
      </c>
      <c r="AR33" s="1570">
        <v>20.3</v>
      </c>
      <c r="AS33" s="872">
        <v>42230</v>
      </c>
      <c r="AT33" s="1571">
        <v>1</v>
      </c>
      <c r="AU33" s="1583"/>
      <c r="AV33" s="1578"/>
      <c r="AW33" s="382"/>
      <c r="AX33" s="439"/>
      <c r="AY33" s="1575"/>
      <c r="AZ33" s="1576"/>
      <c r="BA33" s="1575"/>
      <c r="BC33" s="1578"/>
      <c r="BD33" s="382"/>
      <c r="BE33" s="439"/>
      <c r="BF33" s="1575"/>
      <c r="BG33" s="1576"/>
      <c r="BH33" s="1575"/>
      <c r="BJ33" s="1558"/>
      <c r="BK33" s="1584"/>
      <c r="BL33" s="1584"/>
      <c r="BM33" s="1584"/>
      <c r="BN33" s="1584"/>
      <c r="BO33" s="1584"/>
    </row>
    <row r="34" spans="1:67" ht="12.75" customHeight="1">
      <c r="A34" s="1577" t="s">
        <v>7641</v>
      </c>
      <c r="B34" s="845" t="s">
        <v>7642</v>
      </c>
      <c r="C34" s="872">
        <v>170</v>
      </c>
      <c r="D34" s="1570">
        <v>30.91</v>
      </c>
      <c r="E34" s="872">
        <v>64280</v>
      </c>
      <c r="F34" s="1571">
        <v>1.9</v>
      </c>
      <c r="G34" s="1572"/>
      <c r="I34" s="1577" t="s">
        <v>7667</v>
      </c>
      <c r="J34" s="845" t="s">
        <v>7668</v>
      </c>
      <c r="K34" s="872">
        <v>790</v>
      </c>
      <c r="L34" s="1570" t="s">
        <v>7308</v>
      </c>
      <c r="M34" s="872">
        <v>50810</v>
      </c>
      <c r="N34" s="1571">
        <v>2.4</v>
      </c>
      <c r="Q34" s="1577" t="s">
        <v>7620</v>
      </c>
      <c r="R34" s="845" t="s">
        <v>7621</v>
      </c>
      <c r="S34" s="872">
        <v>370</v>
      </c>
      <c r="T34" s="1570">
        <v>10.199999999999999</v>
      </c>
      <c r="U34" s="872">
        <v>21210</v>
      </c>
      <c r="V34" s="1571">
        <v>1</v>
      </c>
      <c r="W34" s="1573"/>
      <c r="Y34" s="1577" t="s">
        <v>7583</v>
      </c>
      <c r="Z34" s="845" t="s">
        <v>7584</v>
      </c>
      <c r="AA34" s="872">
        <v>210</v>
      </c>
      <c r="AB34" s="1570">
        <v>11.33</v>
      </c>
      <c r="AC34" s="872">
        <v>23560</v>
      </c>
      <c r="AD34" s="1571">
        <v>1.9</v>
      </c>
      <c r="AE34" s="1574"/>
      <c r="AG34" s="1577" t="s">
        <v>7546</v>
      </c>
      <c r="AH34" s="845" t="s">
        <v>7547</v>
      </c>
      <c r="AI34" s="872">
        <v>70</v>
      </c>
      <c r="AJ34" s="1570" t="s">
        <v>7308</v>
      </c>
      <c r="AK34" s="872" t="s">
        <v>7308</v>
      </c>
      <c r="AL34" s="1571" t="s">
        <v>7308</v>
      </c>
      <c r="AM34" s="585"/>
      <c r="AO34" s="1577" t="s">
        <v>7639</v>
      </c>
      <c r="AP34" s="845" t="s">
        <v>7640</v>
      </c>
      <c r="AQ34" s="872">
        <v>90</v>
      </c>
      <c r="AR34" s="1570">
        <v>10.73</v>
      </c>
      <c r="AS34" s="872">
        <v>22310</v>
      </c>
      <c r="AT34" s="1571">
        <v>2.1</v>
      </c>
      <c r="AU34" s="1583"/>
      <c r="AV34" s="1578"/>
      <c r="AW34" s="382"/>
      <c r="AX34" s="439"/>
      <c r="AY34" s="1575"/>
      <c r="AZ34" s="1576"/>
      <c r="BA34" s="1575"/>
      <c r="BC34" s="1578"/>
      <c r="BD34" s="382"/>
      <c r="BE34" s="439"/>
      <c r="BF34" s="1575"/>
      <c r="BG34" s="1576"/>
      <c r="BH34" s="1575"/>
      <c r="BJ34" s="2236"/>
      <c r="BK34" s="2236"/>
      <c r="BL34" s="2236"/>
      <c r="BM34" s="2236"/>
      <c r="BN34" s="2236"/>
      <c r="BO34" s="2236"/>
    </row>
    <row r="35" spans="1:67" ht="12.75" customHeight="1">
      <c r="A35" s="1577" t="s">
        <v>7653</v>
      </c>
      <c r="B35" s="845" t="s">
        <v>7654</v>
      </c>
      <c r="C35" s="872" t="s">
        <v>7311</v>
      </c>
      <c r="D35" s="1570">
        <v>35</v>
      </c>
      <c r="E35" s="872">
        <v>72800</v>
      </c>
      <c r="F35" s="1571">
        <v>2.4</v>
      </c>
      <c r="G35" s="1572"/>
      <c r="I35" s="1577" t="s">
        <v>7677</v>
      </c>
      <c r="J35" s="845" t="s">
        <v>7678</v>
      </c>
      <c r="K35" s="872">
        <v>500</v>
      </c>
      <c r="L35" s="1570" t="s">
        <v>7308</v>
      </c>
      <c r="M35" s="872">
        <v>50070</v>
      </c>
      <c r="N35" s="1571">
        <v>1.8</v>
      </c>
      <c r="Q35" s="1577" t="s">
        <v>7633</v>
      </c>
      <c r="R35" s="845" t="s">
        <v>7634</v>
      </c>
      <c r="S35" s="872">
        <v>100</v>
      </c>
      <c r="T35" s="1570">
        <v>14.09</v>
      </c>
      <c r="U35" s="872">
        <v>29310</v>
      </c>
      <c r="V35" s="1571">
        <v>2.2000000000000002</v>
      </c>
      <c r="W35" s="1573"/>
      <c r="Y35" s="1577" t="s">
        <v>7596</v>
      </c>
      <c r="Z35" s="845" t="s">
        <v>7597</v>
      </c>
      <c r="AA35" s="872">
        <v>90</v>
      </c>
      <c r="AB35" s="1570">
        <v>13.84</v>
      </c>
      <c r="AC35" s="872">
        <v>28790</v>
      </c>
      <c r="AD35" s="1571">
        <v>5.2</v>
      </c>
      <c r="AE35" s="1574"/>
      <c r="AG35" s="1568" t="s">
        <v>7559</v>
      </c>
      <c r="AH35" s="1569" t="s">
        <v>7560</v>
      </c>
      <c r="AI35" s="872">
        <v>40</v>
      </c>
      <c r="AJ35" s="1570">
        <v>17.84</v>
      </c>
      <c r="AK35" s="872">
        <v>37100</v>
      </c>
      <c r="AL35" s="1571">
        <v>6.4</v>
      </c>
      <c r="AM35" s="585"/>
      <c r="AO35" s="1577" t="s">
        <v>7651</v>
      </c>
      <c r="AP35" s="845" t="s">
        <v>7652</v>
      </c>
      <c r="AQ35" s="872">
        <v>50</v>
      </c>
      <c r="AR35" s="1570">
        <v>21.38</v>
      </c>
      <c r="AS35" s="872">
        <v>44470</v>
      </c>
      <c r="AT35" s="1571">
        <v>1.1000000000000001</v>
      </c>
      <c r="AU35" s="1583"/>
      <c r="AV35" s="1578"/>
      <c r="AW35" s="382"/>
      <c r="AX35" s="439"/>
      <c r="AY35" s="1575"/>
      <c r="AZ35" s="1576"/>
      <c r="BA35" s="1575"/>
      <c r="BC35" s="1578"/>
      <c r="BD35" s="382"/>
      <c r="BE35" s="439"/>
      <c r="BF35" s="1575"/>
      <c r="BG35" s="1576"/>
      <c r="BH35" s="1575"/>
      <c r="BJ35" s="1558"/>
      <c r="BK35" s="1584"/>
      <c r="BL35" s="1584"/>
      <c r="BM35" s="1584"/>
      <c r="BN35" s="1584"/>
      <c r="BO35" s="1584"/>
    </row>
    <row r="36" spans="1:67" ht="12.75" customHeight="1">
      <c r="A36" s="1577" t="s">
        <v>7665</v>
      </c>
      <c r="B36" s="845" t="s">
        <v>7666</v>
      </c>
      <c r="C36" s="872">
        <v>40</v>
      </c>
      <c r="D36" s="1570">
        <v>19.66</v>
      </c>
      <c r="E36" s="872">
        <v>40890</v>
      </c>
      <c r="F36" s="1571">
        <v>4.0999999999999996</v>
      </c>
      <c r="G36" s="1572"/>
      <c r="I36" s="1577" t="s">
        <v>7687</v>
      </c>
      <c r="J36" s="845" t="s">
        <v>7688</v>
      </c>
      <c r="K36" s="872">
        <v>590</v>
      </c>
      <c r="L36" s="1570" t="s">
        <v>7308</v>
      </c>
      <c r="M36" s="872">
        <v>52640</v>
      </c>
      <c r="N36" s="1571">
        <v>3.3</v>
      </c>
      <c r="Q36" s="1577" t="s">
        <v>7645</v>
      </c>
      <c r="R36" s="845" t="s">
        <v>7646</v>
      </c>
      <c r="S36" s="872">
        <v>1160</v>
      </c>
      <c r="T36" s="1570">
        <v>11.42</v>
      </c>
      <c r="U36" s="872">
        <v>23760</v>
      </c>
      <c r="V36" s="1571">
        <v>1.3</v>
      </c>
      <c r="W36" s="1573"/>
      <c r="Y36" s="1577" t="s">
        <v>7609</v>
      </c>
      <c r="Z36" s="845" t="s">
        <v>7610</v>
      </c>
      <c r="AA36" s="872">
        <v>1180</v>
      </c>
      <c r="AB36" s="1570">
        <v>11.79</v>
      </c>
      <c r="AC36" s="872">
        <v>24510</v>
      </c>
      <c r="AD36" s="1571">
        <v>3.7</v>
      </c>
      <c r="AE36" s="1574"/>
      <c r="AG36" s="1568" t="s">
        <v>7572</v>
      </c>
      <c r="AH36" s="1569" t="s">
        <v>7573</v>
      </c>
      <c r="AI36" s="872">
        <v>7110</v>
      </c>
      <c r="AJ36" s="1570">
        <v>18.3</v>
      </c>
      <c r="AK36" s="872">
        <v>38060</v>
      </c>
      <c r="AL36" s="1571">
        <v>1</v>
      </c>
      <c r="AM36" s="585"/>
      <c r="AO36" s="1577" t="s">
        <v>7663</v>
      </c>
      <c r="AP36" s="845" t="s">
        <v>7664</v>
      </c>
      <c r="AQ36" s="872">
        <v>50</v>
      </c>
      <c r="AR36" s="1570">
        <v>20.62</v>
      </c>
      <c r="AS36" s="872">
        <v>42880</v>
      </c>
      <c r="AT36" s="1571">
        <v>3.8</v>
      </c>
      <c r="AU36" s="1583"/>
      <c r="AV36" s="1578"/>
      <c r="AW36" s="382"/>
      <c r="AX36" s="435"/>
      <c r="AY36" s="1575"/>
      <c r="AZ36" s="1576"/>
      <c r="BA36" s="1575"/>
      <c r="BC36" s="1578"/>
      <c r="BD36" s="382"/>
      <c r="BE36" s="439"/>
      <c r="BF36" s="1575"/>
      <c r="BG36" s="1576"/>
      <c r="BH36" s="1575"/>
      <c r="BJ36" s="2234"/>
      <c r="BK36" s="2234"/>
      <c r="BL36" s="2234"/>
      <c r="BM36" s="2234"/>
      <c r="BN36" s="2234"/>
      <c r="BO36" s="2234"/>
    </row>
    <row r="37" spans="1:67" ht="12.75" customHeight="1">
      <c r="A37" s="1577" t="s">
        <v>7675</v>
      </c>
      <c r="B37" s="845" t="s">
        <v>7676</v>
      </c>
      <c r="C37" s="872">
        <v>80</v>
      </c>
      <c r="D37" s="1570">
        <v>22.38</v>
      </c>
      <c r="E37" s="872">
        <v>46550</v>
      </c>
      <c r="F37" s="1571">
        <v>2.4</v>
      </c>
      <c r="G37" s="1572"/>
      <c r="I37" s="1577" t="s">
        <v>7820</v>
      </c>
      <c r="J37" s="845" t="s">
        <v>7821</v>
      </c>
      <c r="K37" s="872">
        <v>60</v>
      </c>
      <c r="L37" s="1570">
        <v>19.73</v>
      </c>
      <c r="M37" s="872">
        <v>41030</v>
      </c>
      <c r="N37" s="1571">
        <v>7.9</v>
      </c>
      <c r="Q37" s="1577" t="s">
        <v>7657</v>
      </c>
      <c r="R37" s="845" t="s">
        <v>7658</v>
      </c>
      <c r="S37" s="872">
        <v>110</v>
      </c>
      <c r="T37" s="1570">
        <v>10.76</v>
      </c>
      <c r="U37" s="872">
        <v>22370</v>
      </c>
      <c r="V37" s="1571">
        <v>1.4</v>
      </c>
      <c r="W37" s="1573"/>
      <c r="Y37" s="1577" t="s">
        <v>7822</v>
      </c>
      <c r="Z37" s="845" t="s">
        <v>7823</v>
      </c>
      <c r="AA37" s="872">
        <v>30</v>
      </c>
      <c r="AB37" s="1570">
        <v>17.28</v>
      </c>
      <c r="AC37" s="872">
        <v>35940</v>
      </c>
      <c r="AD37" s="1571">
        <v>6.2</v>
      </c>
      <c r="AE37" s="1574"/>
      <c r="AG37" s="1577" t="s">
        <v>7585</v>
      </c>
      <c r="AH37" s="845" t="s">
        <v>7586</v>
      </c>
      <c r="AI37" s="872">
        <v>410</v>
      </c>
      <c r="AJ37" s="1570">
        <v>26.08</v>
      </c>
      <c r="AK37" s="872">
        <v>54240</v>
      </c>
      <c r="AL37" s="1571">
        <v>2.4</v>
      </c>
      <c r="AM37" s="585"/>
      <c r="AO37" s="1577" t="s">
        <v>7673</v>
      </c>
      <c r="AP37" s="845" t="s">
        <v>7674</v>
      </c>
      <c r="AQ37" s="872">
        <v>300</v>
      </c>
      <c r="AR37" s="1570">
        <v>11.11</v>
      </c>
      <c r="AS37" s="872">
        <v>23120</v>
      </c>
      <c r="AT37" s="1571">
        <v>0.8</v>
      </c>
      <c r="AU37" s="1583"/>
      <c r="AV37" s="1578"/>
      <c r="AW37" s="382"/>
      <c r="AX37" s="435"/>
      <c r="AY37" s="1575"/>
      <c r="AZ37" s="1576"/>
      <c r="BA37" s="1575"/>
      <c r="BC37" s="1578"/>
      <c r="BD37" s="382"/>
      <c r="BE37" s="439"/>
      <c r="BF37" s="1575"/>
      <c r="BG37" s="1576"/>
      <c r="BH37" s="1575"/>
      <c r="BJ37" s="2234"/>
      <c r="BK37" s="2234"/>
      <c r="BL37" s="2234"/>
      <c r="BM37" s="2234"/>
      <c r="BN37" s="2234"/>
      <c r="BO37" s="2234"/>
    </row>
    <row r="38" spans="1:67" ht="12.75" customHeight="1">
      <c r="A38" s="1577" t="s">
        <v>7685</v>
      </c>
      <c r="B38" s="845" t="s">
        <v>7686</v>
      </c>
      <c r="C38" s="872">
        <v>420</v>
      </c>
      <c r="D38" s="1570">
        <v>39.72</v>
      </c>
      <c r="E38" s="872">
        <v>82620</v>
      </c>
      <c r="F38" s="1571">
        <v>2.2999999999999998</v>
      </c>
      <c r="G38" s="1572"/>
      <c r="I38" s="1577" t="s">
        <v>7824</v>
      </c>
      <c r="J38" s="845" t="s">
        <v>7825</v>
      </c>
      <c r="K38" s="872">
        <v>170</v>
      </c>
      <c r="L38" s="1570">
        <v>14.21</v>
      </c>
      <c r="M38" s="872">
        <v>29550</v>
      </c>
      <c r="N38" s="1571">
        <v>1.1000000000000001</v>
      </c>
      <c r="Q38" s="1577" t="s">
        <v>7669</v>
      </c>
      <c r="R38" s="845" t="s">
        <v>7670</v>
      </c>
      <c r="S38" s="872">
        <v>370</v>
      </c>
      <c r="T38" s="1570">
        <v>10.33</v>
      </c>
      <c r="U38" s="872">
        <v>21490</v>
      </c>
      <c r="V38" s="1571">
        <v>2.5</v>
      </c>
      <c r="W38" s="1573"/>
      <c r="Y38" s="1577" t="s">
        <v>7622</v>
      </c>
      <c r="Z38" s="845" t="s">
        <v>7623</v>
      </c>
      <c r="AA38" s="872">
        <v>40</v>
      </c>
      <c r="AB38" s="1570">
        <v>21.86</v>
      </c>
      <c r="AC38" s="872">
        <v>45460</v>
      </c>
      <c r="AD38" s="1571">
        <v>3.7</v>
      </c>
      <c r="AE38" s="1574"/>
      <c r="AG38" s="1577" t="s">
        <v>7598</v>
      </c>
      <c r="AH38" s="845" t="s">
        <v>7599</v>
      </c>
      <c r="AI38" s="872">
        <v>1630</v>
      </c>
      <c r="AJ38" s="1570">
        <v>18.34</v>
      </c>
      <c r="AK38" s="872">
        <v>38150</v>
      </c>
      <c r="AL38" s="1571">
        <v>1.6</v>
      </c>
      <c r="AM38" s="585"/>
      <c r="AO38" s="1579" t="s">
        <v>7498</v>
      </c>
      <c r="AP38" s="1580"/>
      <c r="AQ38" s="1580"/>
      <c r="AR38" s="1580"/>
      <c r="AS38" s="1580"/>
      <c r="AT38" s="1580"/>
      <c r="AU38" s="1583"/>
      <c r="AV38" s="1578"/>
      <c r="AW38" s="382"/>
      <c r="AX38" s="439"/>
      <c r="AY38" s="1575"/>
      <c r="AZ38" s="1576"/>
      <c r="BA38" s="1575"/>
      <c r="BC38" s="1578"/>
      <c r="BD38" s="382"/>
      <c r="BE38" s="439"/>
      <c r="BF38" s="1575"/>
      <c r="BG38" s="1576"/>
      <c r="BH38" s="1575"/>
      <c r="BJ38" s="2234"/>
      <c r="BK38" s="2234"/>
      <c r="BL38" s="2234"/>
      <c r="BM38" s="2234"/>
      <c r="BN38" s="2234"/>
      <c r="BO38" s="2234"/>
    </row>
    <row r="39" spans="1:67" ht="12.75" customHeight="1">
      <c r="A39" s="1577" t="s">
        <v>7695</v>
      </c>
      <c r="B39" s="845" t="s">
        <v>7696</v>
      </c>
      <c r="C39" s="872">
        <v>480</v>
      </c>
      <c r="D39" s="1570">
        <v>23.54</v>
      </c>
      <c r="E39" s="872">
        <v>48960</v>
      </c>
      <c r="F39" s="1571">
        <v>2.2000000000000002</v>
      </c>
      <c r="G39" s="1572"/>
      <c r="I39" s="1577" t="s">
        <v>7697</v>
      </c>
      <c r="J39" s="845" t="s">
        <v>7698</v>
      </c>
      <c r="K39" s="872">
        <v>120</v>
      </c>
      <c r="L39" s="1570" t="s">
        <v>7308</v>
      </c>
      <c r="M39" s="872">
        <v>48670</v>
      </c>
      <c r="N39" s="1571">
        <v>1.8</v>
      </c>
      <c r="Q39" s="1864" t="s">
        <v>7498</v>
      </c>
      <c r="R39" s="1865"/>
      <c r="S39" s="1865"/>
      <c r="T39" s="1865"/>
      <c r="U39" s="1865"/>
      <c r="V39" s="1865"/>
      <c r="W39" s="1573"/>
      <c r="Y39" s="1577" t="s">
        <v>7635</v>
      </c>
      <c r="Z39" s="845" t="s">
        <v>7636</v>
      </c>
      <c r="AA39" s="872">
        <v>40</v>
      </c>
      <c r="AB39" s="1570">
        <v>14.66</v>
      </c>
      <c r="AC39" s="872">
        <v>30490</v>
      </c>
      <c r="AD39" s="1571">
        <v>4.8</v>
      </c>
      <c r="AE39" s="1574"/>
      <c r="AG39" s="1577" t="s">
        <v>7611</v>
      </c>
      <c r="AH39" s="845" t="s">
        <v>7612</v>
      </c>
      <c r="AI39" s="872">
        <v>700</v>
      </c>
      <c r="AJ39" s="1570">
        <v>17.510000000000002</v>
      </c>
      <c r="AK39" s="872">
        <v>36420</v>
      </c>
      <c r="AL39" s="1571">
        <v>2</v>
      </c>
      <c r="AM39" s="585"/>
      <c r="AO39" s="2236" t="s">
        <v>7511</v>
      </c>
      <c r="AP39" s="2236"/>
      <c r="AQ39" s="2236"/>
      <c r="AR39" s="2236"/>
      <c r="AS39" s="2236"/>
      <c r="AT39" s="2236"/>
      <c r="AU39" s="1583"/>
      <c r="AV39" s="1578"/>
      <c r="AW39" s="382"/>
      <c r="AX39" s="439"/>
      <c r="AY39" s="1575"/>
      <c r="AZ39" s="1576"/>
      <c r="BA39" s="1575"/>
      <c r="BC39" s="1578"/>
      <c r="BD39" s="382"/>
      <c r="BE39" s="439"/>
      <c r="BF39" s="1575"/>
      <c r="BG39" s="1576"/>
      <c r="BH39" s="1575"/>
    </row>
    <row r="40" spans="1:67" ht="12.75" customHeight="1">
      <c r="A40" s="1577" t="s">
        <v>7705</v>
      </c>
      <c r="B40" s="845" t="s">
        <v>7706</v>
      </c>
      <c r="C40" s="872">
        <v>60</v>
      </c>
      <c r="D40" s="1570">
        <v>22.12</v>
      </c>
      <c r="E40" s="872">
        <v>46020</v>
      </c>
      <c r="F40" s="1571">
        <v>7</v>
      </c>
      <c r="G40" s="1572"/>
      <c r="I40" s="1577" t="s">
        <v>7826</v>
      </c>
      <c r="J40" s="845" t="s">
        <v>7827</v>
      </c>
      <c r="K40" s="872">
        <v>140</v>
      </c>
      <c r="L40" s="1570">
        <v>29.87</v>
      </c>
      <c r="M40" s="872">
        <v>62130</v>
      </c>
      <c r="N40" s="1571">
        <v>2.2000000000000002</v>
      </c>
      <c r="Q40" s="2240" t="s">
        <v>7511</v>
      </c>
      <c r="R40" s="2240"/>
      <c r="S40" s="2240"/>
      <c r="T40" s="2240"/>
      <c r="U40" s="2240"/>
      <c r="V40" s="1866"/>
      <c r="W40" s="1573"/>
      <c r="Y40" s="1577" t="s">
        <v>7647</v>
      </c>
      <c r="Z40" s="845" t="s">
        <v>7648</v>
      </c>
      <c r="AA40" s="872">
        <v>150</v>
      </c>
      <c r="AB40" s="1570">
        <v>19.22</v>
      </c>
      <c r="AC40" s="872">
        <v>39970</v>
      </c>
      <c r="AD40" s="1571">
        <v>7.4</v>
      </c>
      <c r="AG40" s="1577" t="s">
        <v>7624</v>
      </c>
      <c r="AH40" s="845" t="s">
        <v>7625</v>
      </c>
      <c r="AI40" s="872">
        <v>1050</v>
      </c>
      <c r="AJ40" s="1570">
        <v>13.68</v>
      </c>
      <c r="AK40" s="872">
        <v>28460</v>
      </c>
      <c r="AL40" s="1571">
        <v>2.4</v>
      </c>
      <c r="AM40" s="585"/>
      <c r="AO40" s="2236" t="s">
        <v>7524</v>
      </c>
      <c r="AP40" s="2236"/>
      <c r="AQ40" s="2236"/>
      <c r="AR40" s="2236"/>
      <c r="AS40" s="2236"/>
      <c r="AT40" s="2236"/>
      <c r="AU40" s="1583"/>
      <c r="AV40" s="1578"/>
      <c r="AW40" s="382"/>
      <c r="AX40" s="435"/>
      <c r="AY40" s="1575"/>
      <c r="AZ40" s="1576"/>
      <c r="BA40" s="1575"/>
      <c r="BC40" s="1578"/>
      <c r="BD40" s="382"/>
      <c r="BE40" s="439"/>
      <c r="BF40" s="1575"/>
      <c r="BG40" s="1576"/>
      <c r="BH40" s="1575"/>
    </row>
    <row r="41" spans="1:67" ht="12.75" customHeight="1">
      <c r="A41" s="1577" t="s">
        <v>7828</v>
      </c>
      <c r="B41" s="845" t="s">
        <v>7829</v>
      </c>
      <c r="C41" s="872">
        <v>60</v>
      </c>
      <c r="D41" s="1570">
        <v>29.9</v>
      </c>
      <c r="E41" s="872">
        <v>62200</v>
      </c>
      <c r="F41" s="1571">
        <v>8</v>
      </c>
      <c r="G41" s="1572"/>
      <c r="I41" s="1577" t="s">
        <v>7707</v>
      </c>
      <c r="J41" s="845" t="s">
        <v>7708</v>
      </c>
      <c r="K41" s="872">
        <v>110</v>
      </c>
      <c r="L41" s="1570" t="s">
        <v>7308</v>
      </c>
      <c r="M41" s="872">
        <v>25780</v>
      </c>
      <c r="N41" s="1571">
        <v>2.2999999999999998</v>
      </c>
      <c r="Q41" s="2240" t="s">
        <v>7524</v>
      </c>
      <c r="R41" s="2240"/>
      <c r="S41" s="1866"/>
      <c r="T41" s="1866"/>
      <c r="U41" s="1866"/>
      <c r="V41" s="1866"/>
      <c r="W41" s="1573"/>
      <c r="Y41" s="1577" t="s">
        <v>7659</v>
      </c>
      <c r="Z41" s="845" t="s">
        <v>7660</v>
      </c>
      <c r="AA41" s="872">
        <v>260</v>
      </c>
      <c r="AB41" s="1570">
        <v>16.43</v>
      </c>
      <c r="AC41" s="872">
        <v>34180</v>
      </c>
      <c r="AD41" s="1571">
        <v>5.9</v>
      </c>
      <c r="AG41" s="1577" t="s">
        <v>7637</v>
      </c>
      <c r="AH41" s="845" t="s">
        <v>7638</v>
      </c>
      <c r="AI41" s="872">
        <v>530</v>
      </c>
      <c r="AJ41" s="1570">
        <v>18.97</v>
      </c>
      <c r="AK41" s="872">
        <v>39460</v>
      </c>
      <c r="AL41" s="1571">
        <v>1.3</v>
      </c>
      <c r="AM41" s="585"/>
      <c r="AO41" s="2234" t="s">
        <v>7537</v>
      </c>
      <c r="AP41" s="2234"/>
      <c r="AQ41" s="2234"/>
      <c r="AR41" s="1581"/>
      <c r="AS41" s="1581"/>
      <c r="AT41" s="1581"/>
      <c r="AU41" s="1583"/>
      <c r="BC41" s="1578"/>
      <c r="BD41" s="382"/>
      <c r="BE41" s="439"/>
      <c r="BF41" s="1575"/>
      <c r="BG41" s="1576"/>
      <c r="BH41" s="1575"/>
    </row>
    <row r="42" spans="1:67" ht="12.75" customHeight="1">
      <c r="A42" s="1577" t="s">
        <v>7715</v>
      </c>
      <c r="B42" s="845" t="s">
        <v>7716</v>
      </c>
      <c r="C42" s="872">
        <v>30</v>
      </c>
      <c r="D42" s="1570">
        <v>14.19</v>
      </c>
      <c r="E42" s="872">
        <v>29520</v>
      </c>
      <c r="F42" s="1571">
        <v>9.1</v>
      </c>
      <c r="G42" s="1572"/>
      <c r="I42" s="1864" t="s">
        <v>7498</v>
      </c>
      <c r="J42" s="1865"/>
      <c r="K42" s="1865"/>
      <c r="L42" s="1865"/>
      <c r="M42" s="1865"/>
      <c r="N42" s="1865"/>
      <c r="Q42" s="2238" t="s">
        <v>8739</v>
      </c>
      <c r="R42" s="2238"/>
      <c r="S42" s="2238"/>
      <c r="T42" s="2238"/>
      <c r="U42" s="2238"/>
      <c r="V42" s="1866"/>
      <c r="W42" s="1573"/>
      <c r="Y42" s="1577" t="s">
        <v>7830</v>
      </c>
      <c r="Z42" s="845" t="s">
        <v>7831</v>
      </c>
      <c r="AA42" s="872">
        <v>40</v>
      </c>
      <c r="AB42" s="1570">
        <v>16.45</v>
      </c>
      <c r="AC42" s="872">
        <v>34210</v>
      </c>
      <c r="AD42" s="1571">
        <v>0.6</v>
      </c>
      <c r="AG42" s="1577" t="s">
        <v>7649</v>
      </c>
      <c r="AH42" s="845" t="s">
        <v>7650</v>
      </c>
      <c r="AI42" s="872">
        <v>720</v>
      </c>
      <c r="AJ42" s="1570">
        <v>21.02</v>
      </c>
      <c r="AK42" s="872">
        <v>43720</v>
      </c>
      <c r="AL42" s="1571">
        <v>0.7</v>
      </c>
      <c r="AM42" s="585"/>
      <c r="AO42" s="2237" t="s">
        <v>7550</v>
      </c>
      <c r="AP42" s="2237"/>
      <c r="AQ42" s="2237"/>
      <c r="AR42" s="1581"/>
      <c r="AS42" s="1581"/>
      <c r="AT42" s="1581"/>
      <c r="AU42" s="1583"/>
      <c r="BC42" s="1578"/>
      <c r="BD42" s="382"/>
      <c r="BE42" s="439"/>
      <c r="BF42" s="1575"/>
      <c r="BG42" s="1576"/>
      <c r="BH42" s="1575"/>
    </row>
    <row r="43" spans="1:67" ht="12.75" customHeight="1">
      <c r="A43" s="1577" t="s">
        <v>7832</v>
      </c>
      <c r="B43" s="845" t="s">
        <v>7833</v>
      </c>
      <c r="C43" s="872">
        <v>50</v>
      </c>
      <c r="D43" s="1570">
        <v>36.119999999999997</v>
      </c>
      <c r="E43" s="872">
        <v>75140</v>
      </c>
      <c r="F43" s="1571">
        <v>1.1000000000000001</v>
      </c>
      <c r="G43" s="1572"/>
      <c r="I43" s="2240" t="s">
        <v>8735</v>
      </c>
      <c r="J43" s="2240"/>
      <c r="K43" s="2240"/>
      <c r="L43" s="2240"/>
      <c r="M43" s="2240"/>
      <c r="N43" s="2240"/>
      <c r="Q43" s="2245" t="s">
        <v>8743</v>
      </c>
      <c r="R43" s="2245"/>
      <c r="S43" s="2245"/>
      <c r="T43" s="2245"/>
      <c r="U43" s="2245"/>
      <c r="V43" s="2245"/>
      <c r="W43" s="1573"/>
      <c r="Y43" s="1579" t="s">
        <v>7498</v>
      </c>
      <c r="Z43" s="1580"/>
      <c r="AA43" s="1580"/>
      <c r="AB43" s="1580"/>
      <c r="AC43" s="1580"/>
      <c r="AD43" s="1580"/>
      <c r="AG43" s="1577" t="s">
        <v>7661</v>
      </c>
      <c r="AH43" s="845" t="s">
        <v>7662</v>
      </c>
      <c r="AI43" s="872">
        <v>420</v>
      </c>
      <c r="AJ43" s="1570">
        <v>19.82</v>
      </c>
      <c r="AK43" s="872">
        <v>41230</v>
      </c>
      <c r="AL43" s="1571">
        <v>5.5</v>
      </c>
      <c r="AM43" s="585"/>
      <c r="AO43" s="1558" t="s">
        <v>7563</v>
      </c>
      <c r="AP43" s="1584"/>
      <c r="AQ43" s="1584"/>
      <c r="AR43" s="1584"/>
      <c r="AS43" s="1584"/>
      <c r="AT43" s="1584"/>
      <c r="BC43" s="1578"/>
      <c r="BD43" s="382"/>
      <c r="BE43" s="439"/>
      <c r="BF43" s="1575"/>
      <c r="BG43" s="1576"/>
      <c r="BH43" s="1575"/>
    </row>
    <row r="44" spans="1:67" ht="12.75" customHeight="1">
      <c r="A44" s="1864" t="s">
        <v>7498</v>
      </c>
      <c r="B44" s="1865"/>
      <c r="C44" s="1865"/>
      <c r="D44" s="1865"/>
      <c r="E44" s="1865"/>
      <c r="F44" s="1865"/>
      <c r="G44" s="1572"/>
      <c r="I44" s="2240" t="s">
        <v>8736</v>
      </c>
      <c r="J44" s="2240"/>
      <c r="K44" s="2240"/>
      <c r="L44" s="2240"/>
      <c r="M44" s="2240"/>
      <c r="N44" s="2240"/>
      <c r="Q44" s="2240" t="s">
        <v>8730</v>
      </c>
      <c r="R44" s="2240"/>
      <c r="S44" s="2240"/>
      <c r="T44" s="2240"/>
      <c r="U44" s="2240"/>
      <c r="V44" s="2240"/>
      <c r="W44" s="1573"/>
      <c r="Y44" s="2236" t="s">
        <v>8740</v>
      </c>
      <c r="Z44" s="2236"/>
      <c r="AA44" s="2236"/>
      <c r="AB44" s="2236"/>
      <c r="AC44" s="2236"/>
      <c r="AD44" s="2236"/>
      <c r="AG44" s="1577" t="s">
        <v>7671</v>
      </c>
      <c r="AH44" s="845" t="s">
        <v>7672</v>
      </c>
      <c r="AI44" s="872">
        <v>300</v>
      </c>
      <c r="AJ44" s="1570">
        <v>19.48</v>
      </c>
      <c r="AK44" s="872">
        <v>40520</v>
      </c>
      <c r="AL44" s="1571">
        <v>2.4</v>
      </c>
      <c r="AM44" s="585"/>
      <c r="AO44" s="2236" t="s">
        <v>7576</v>
      </c>
      <c r="AP44" s="2236"/>
      <c r="AQ44" s="2236"/>
      <c r="AR44" s="2236"/>
      <c r="AS44" s="2236"/>
      <c r="AT44" s="2236"/>
      <c r="BC44" s="1578"/>
      <c r="BD44" s="382"/>
      <c r="BE44" s="439"/>
      <c r="BF44" s="1575"/>
      <c r="BG44" s="1576"/>
      <c r="BH44" s="1575"/>
    </row>
    <row r="45" spans="1:67" ht="12.75" customHeight="1">
      <c r="A45" s="2240" t="s">
        <v>7511</v>
      </c>
      <c r="B45" s="2240"/>
      <c r="C45" s="2240"/>
      <c r="D45" s="2240"/>
      <c r="E45" s="2240"/>
      <c r="F45" s="2240"/>
      <c r="G45" s="1572"/>
      <c r="I45" s="1868" t="s">
        <v>8737</v>
      </c>
      <c r="J45" s="1868"/>
      <c r="K45" s="1868"/>
      <c r="L45" s="1868"/>
      <c r="M45" s="1868"/>
      <c r="N45" s="1866"/>
      <c r="Q45" s="2238" t="s">
        <v>7602</v>
      </c>
      <c r="R45" s="2238"/>
      <c r="S45" s="2238"/>
      <c r="T45" s="2238"/>
      <c r="U45" s="2238"/>
      <c r="V45" s="2238"/>
      <c r="W45" s="1573"/>
      <c r="Y45" s="2236" t="s">
        <v>8736</v>
      </c>
      <c r="Z45" s="2236"/>
      <c r="AA45" s="2236"/>
      <c r="AB45" s="2236"/>
      <c r="AC45" s="2236"/>
      <c r="AD45" s="2236"/>
      <c r="AG45" s="1577" t="s">
        <v>7683</v>
      </c>
      <c r="AH45" s="845" t="s">
        <v>7684</v>
      </c>
      <c r="AI45" s="872">
        <v>430</v>
      </c>
      <c r="AJ45" s="1570">
        <v>16.98</v>
      </c>
      <c r="AK45" s="872">
        <v>35320</v>
      </c>
      <c r="AL45" s="1571">
        <v>0.4</v>
      </c>
      <c r="AM45" s="585"/>
      <c r="AO45" s="1558" t="s">
        <v>7589</v>
      </c>
      <c r="AP45" s="1584"/>
      <c r="AQ45" s="1584"/>
      <c r="AR45" s="1584"/>
      <c r="AS45" s="1584"/>
      <c r="AT45" s="1584"/>
      <c r="BC45" s="1578"/>
      <c r="BD45" s="382"/>
      <c r="BE45" s="439"/>
      <c r="BF45" s="1575"/>
      <c r="BG45" s="1576"/>
      <c r="BH45" s="1575"/>
    </row>
    <row r="46" spans="1:67" ht="12.75" customHeight="1">
      <c r="A46" s="2240" t="s">
        <v>8734</v>
      </c>
      <c r="B46" s="2240"/>
      <c r="C46" s="2240"/>
      <c r="D46" s="2240"/>
      <c r="E46" s="2240"/>
      <c r="F46" s="2240"/>
      <c r="G46" s="1572"/>
      <c r="I46" s="2240" t="s">
        <v>8730</v>
      </c>
      <c r="J46" s="2240"/>
      <c r="K46" s="2240"/>
      <c r="L46" s="2240"/>
      <c r="M46" s="2240"/>
      <c r="N46" s="2240"/>
      <c r="Q46" s="2238" t="s">
        <v>7615</v>
      </c>
      <c r="R46" s="2238"/>
      <c r="S46" s="2238"/>
      <c r="T46" s="2238"/>
      <c r="U46" s="2238"/>
      <c r="V46" s="2238"/>
      <c r="W46" s="1574"/>
      <c r="Y46" s="2234" t="s">
        <v>8741</v>
      </c>
      <c r="Z46" s="2234"/>
      <c r="AA46" s="2234"/>
      <c r="AB46" s="2234"/>
      <c r="AC46" s="2234"/>
      <c r="AD46" s="1581"/>
      <c r="AG46" s="1577" t="s">
        <v>7693</v>
      </c>
      <c r="AH46" s="845" t="s">
        <v>7694</v>
      </c>
      <c r="AI46" s="872">
        <v>40</v>
      </c>
      <c r="AJ46" s="1570">
        <v>16.309999999999999</v>
      </c>
      <c r="AK46" s="872">
        <v>33920</v>
      </c>
      <c r="AL46" s="1571">
        <v>3.6</v>
      </c>
      <c r="AM46" s="585"/>
      <c r="AO46" s="2234" t="s">
        <v>7602</v>
      </c>
      <c r="AP46" s="2234"/>
      <c r="AQ46" s="2234"/>
      <c r="AR46" s="2234"/>
      <c r="AS46" s="2234"/>
      <c r="AT46" s="2234"/>
      <c r="BC46" s="1578"/>
      <c r="BD46" s="382"/>
      <c r="BE46" s="439"/>
      <c r="BF46" s="1575"/>
      <c r="BG46" s="1576"/>
      <c r="BH46" s="1575"/>
    </row>
    <row r="47" spans="1:67" ht="12.75" customHeight="1">
      <c r="A47" s="2238" t="s">
        <v>7537</v>
      </c>
      <c r="B47" s="2238"/>
      <c r="C47" s="2238"/>
      <c r="D47" s="2238"/>
      <c r="E47" s="2238"/>
      <c r="F47" s="2238"/>
      <c r="G47" s="1572"/>
      <c r="I47" s="2238" t="s">
        <v>7602</v>
      </c>
      <c r="J47" s="2238"/>
      <c r="K47" s="2238"/>
      <c r="L47" s="2238"/>
      <c r="M47" s="2238"/>
      <c r="N47" s="2238"/>
      <c r="Q47" s="2238" t="s">
        <v>7754</v>
      </c>
      <c r="R47" s="2238"/>
      <c r="S47" s="2238"/>
      <c r="T47" s="2238"/>
      <c r="U47" s="2238"/>
      <c r="V47" s="2238"/>
      <c r="W47" s="1574"/>
      <c r="Y47" s="2237" t="s">
        <v>8742</v>
      </c>
      <c r="Z47" s="2237"/>
      <c r="AA47" s="2237"/>
      <c r="AB47" s="2237"/>
      <c r="AC47" s="2237"/>
      <c r="AD47" s="1581"/>
      <c r="AG47" s="1579" t="s">
        <v>7498</v>
      </c>
      <c r="AH47" s="1580"/>
      <c r="AI47" s="1580"/>
      <c r="AJ47" s="1580"/>
      <c r="AK47" s="1580"/>
      <c r="AL47" s="1580"/>
      <c r="AM47" s="585"/>
      <c r="AO47" s="2234" t="s">
        <v>7615</v>
      </c>
      <c r="AP47" s="2234"/>
      <c r="AQ47" s="2234"/>
      <c r="AR47" s="2234"/>
      <c r="AS47" s="2234"/>
      <c r="AT47" s="2234"/>
      <c r="BC47" s="1578"/>
      <c r="BD47" s="382"/>
      <c r="BE47" s="439"/>
      <c r="BF47" s="1575"/>
      <c r="BG47" s="1576"/>
      <c r="BH47" s="1575"/>
    </row>
    <row r="48" spans="1:67" ht="12.75" customHeight="1">
      <c r="A48" s="2239" t="s">
        <v>8732</v>
      </c>
      <c r="B48" s="2239"/>
      <c r="C48" s="2239"/>
      <c r="D48" s="2239"/>
      <c r="E48" s="2239"/>
      <c r="F48" s="2239"/>
      <c r="G48" s="1572"/>
      <c r="I48" s="2238" t="s">
        <v>7615</v>
      </c>
      <c r="J48" s="2238"/>
      <c r="K48" s="2238"/>
      <c r="L48" s="2238"/>
      <c r="M48" s="2238"/>
      <c r="N48" s="2238"/>
      <c r="W48" s="1574"/>
      <c r="Y48" s="2236" t="s">
        <v>8738</v>
      </c>
      <c r="Z48" s="2236"/>
      <c r="AA48" s="2236"/>
      <c r="AB48" s="2236"/>
      <c r="AC48" s="2236"/>
      <c r="AD48" s="1584"/>
      <c r="AG48" s="2236" t="s">
        <v>7511</v>
      </c>
      <c r="AH48" s="2236"/>
      <c r="AI48" s="2236"/>
      <c r="AJ48" s="2236"/>
      <c r="AK48" s="2236"/>
      <c r="AL48" s="2236"/>
      <c r="AM48" s="585"/>
      <c r="AO48" s="2234" t="s">
        <v>7754</v>
      </c>
      <c r="AP48" s="2234"/>
      <c r="AQ48" s="2234"/>
      <c r="AR48" s="2234"/>
      <c r="AS48" s="2234"/>
      <c r="AT48" s="2234"/>
      <c r="BC48" s="1578"/>
      <c r="BD48" s="382"/>
      <c r="BE48" s="439"/>
      <c r="BF48" s="1575"/>
      <c r="BG48" s="1576"/>
      <c r="BH48" s="1575"/>
    </row>
    <row r="49" spans="1:60" ht="12.75" customHeight="1">
      <c r="A49" s="1867" t="s">
        <v>8733</v>
      </c>
      <c r="B49" s="1867"/>
      <c r="C49" s="1867"/>
      <c r="D49" s="1867"/>
      <c r="E49" s="1867"/>
      <c r="F49" s="1867"/>
      <c r="G49" s="1572"/>
      <c r="I49" s="2238" t="s">
        <v>7754</v>
      </c>
      <c r="J49" s="2238"/>
      <c r="K49" s="2238"/>
      <c r="L49" s="2238"/>
      <c r="M49" s="2238"/>
      <c r="N49" s="2238"/>
      <c r="Y49" s="2234" t="s">
        <v>7602</v>
      </c>
      <c r="Z49" s="2234"/>
      <c r="AA49" s="1584"/>
      <c r="AB49" s="1584"/>
      <c r="AC49" s="1584"/>
      <c r="AD49" s="1581"/>
      <c r="AG49" s="2236" t="s">
        <v>7524</v>
      </c>
      <c r="AH49" s="2236"/>
      <c r="AI49" s="2236"/>
      <c r="AJ49" s="2236"/>
      <c r="AK49" s="2236"/>
      <c r="AL49" s="2236"/>
      <c r="AM49" s="585"/>
      <c r="AO49" s="1594"/>
      <c r="AP49" s="1594"/>
      <c r="AQ49" s="1595"/>
      <c r="AR49" s="1596"/>
      <c r="AS49" s="1597"/>
      <c r="AT49" s="1595"/>
      <c r="BC49" s="1578"/>
      <c r="BD49" s="382"/>
      <c r="BE49" s="439"/>
      <c r="BF49" s="1575"/>
      <c r="BG49" s="1576"/>
      <c r="BH49" s="1575"/>
    </row>
    <row r="50" spans="1:60" ht="12.75" customHeight="1">
      <c r="A50" s="2240" t="s">
        <v>8730</v>
      </c>
      <c r="B50" s="2240"/>
      <c r="C50" s="2240"/>
      <c r="D50" s="2240"/>
      <c r="E50" s="2240"/>
      <c r="F50" s="2240"/>
      <c r="G50" s="1572"/>
      <c r="I50" s="1867"/>
      <c r="J50" s="1867"/>
      <c r="K50" s="1867"/>
      <c r="L50" s="1867"/>
      <c r="M50" s="1867"/>
      <c r="N50" s="1867"/>
      <c r="Y50" s="2234" t="s">
        <v>7615</v>
      </c>
      <c r="Z50" s="2234"/>
      <c r="AA50" s="1582"/>
      <c r="AB50" s="1582"/>
      <c r="AC50" s="1582"/>
      <c r="AD50" s="1584"/>
      <c r="AG50" s="2234" t="s">
        <v>7537</v>
      </c>
      <c r="AH50" s="2234"/>
      <c r="AI50" s="2234"/>
      <c r="AJ50" s="1581"/>
      <c r="AK50" s="1581"/>
      <c r="AL50" s="1581"/>
      <c r="AM50" s="585"/>
      <c r="AO50" s="1594"/>
      <c r="AP50" s="1594"/>
      <c r="AQ50" s="1595"/>
      <c r="AR50" s="1596"/>
      <c r="AS50" s="1597"/>
      <c r="AT50" s="1595"/>
      <c r="BC50" s="1557"/>
      <c r="BD50" s="1558"/>
      <c r="BE50" s="1558"/>
      <c r="BF50" s="1558"/>
      <c r="BG50" s="1558"/>
      <c r="BH50" s="1558"/>
    </row>
    <row r="51" spans="1:60" ht="12.75" customHeight="1">
      <c r="A51" s="1867" t="s">
        <v>8731</v>
      </c>
      <c r="B51" s="1867"/>
      <c r="C51" s="1867"/>
      <c r="D51" s="1867"/>
      <c r="E51" s="1867"/>
      <c r="F51" s="1867"/>
      <c r="G51" s="1572"/>
      <c r="Y51" s="2234" t="s">
        <v>7754</v>
      </c>
      <c r="Z51" s="2234"/>
      <c r="AA51" s="1582"/>
      <c r="AB51" s="1582"/>
      <c r="AC51" s="1582"/>
      <c r="AD51" s="1582"/>
      <c r="AG51" s="2237" t="s">
        <v>7550</v>
      </c>
      <c r="AH51" s="2237"/>
      <c r="AI51" s="2237"/>
      <c r="AJ51" s="1581"/>
      <c r="AK51" s="1581"/>
      <c r="AL51" s="1581"/>
      <c r="AM51" s="585"/>
      <c r="AO51" s="1594"/>
      <c r="AP51" s="1594"/>
      <c r="AQ51" s="1595"/>
      <c r="AR51" s="1596"/>
      <c r="AS51" s="1597"/>
      <c r="AT51" s="1595"/>
      <c r="BC51" s="2236"/>
      <c r="BD51" s="2236"/>
      <c r="BE51" s="2236"/>
      <c r="BF51" s="2236"/>
      <c r="BG51" s="2236"/>
      <c r="BH51" s="2236"/>
    </row>
    <row r="52" spans="1:60" ht="12.75" customHeight="1">
      <c r="A52" s="2238" t="s">
        <v>7602</v>
      </c>
      <c r="B52" s="2238"/>
      <c r="C52" s="2238"/>
      <c r="D52" s="2238"/>
      <c r="E52" s="2238"/>
      <c r="F52" s="2238"/>
      <c r="G52" s="1572"/>
      <c r="AA52" s="1582"/>
      <c r="AB52" s="1582"/>
      <c r="AC52" s="1582"/>
      <c r="AD52" s="1582"/>
      <c r="AG52" s="1558" t="s">
        <v>7563</v>
      </c>
      <c r="AH52" s="1584"/>
      <c r="AI52" s="1584"/>
      <c r="AJ52" s="1584"/>
      <c r="AK52" s="1584"/>
      <c r="AL52" s="1584"/>
      <c r="AM52" s="585"/>
      <c r="AO52" s="1594"/>
      <c r="AP52" s="1594"/>
      <c r="AQ52" s="1595"/>
      <c r="AR52" s="1596"/>
      <c r="AS52" s="1597"/>
      <c r="AT52" s="1595"/>
      <c r="BC52" s="2236"/>
      <c r="BD52" s="2236"/>
      <c r="BE52" s="2236"/>
      <c r="BF52" s="2236"/>
      <c r="BG52" s="2236"/>
      <c r="BH52" s="2236"/>
    </row>
    <row r="53" spans="1:60" ht="12.75" customHeight="1">
      <c r="A53" s="2238" t="s">
        <v>7615</v>
      </c>
      <c r="B53" s="2238"/>
      <c r="C53" s="2238"/>
      <c r="D53" s="2238"/>
      <c r="E53" s="2238"/>
      <c r="F53" s="2238"/>
      <c r="AD53" s="1582"/>
      <c r="AG53" s="2236" t="s">
        <v>7576</v>
      </c>
      <c r="AH53" s="2236"/>
      <c r="AI53" s="2236"/>
      <c r="AJ53" s="2236"/>
      <c r="AK53" s="2236"/>
      <c r="AL53" s="2236"/>
      <c r="AM53" s="585"/>
      <c r="AO53" s="1557"/>
      <c r="BC53" s="2234"/>
      <c r="BD53" s="2234"/>
      <c r="BE53" s="2234"/>
      <c r="BF53" s="1581"/>
      <c r="BG53" s="1581"/>
      <c r="BH53" s="1581"/>
    </row>
    <row r="54" spans="1:60" ht="12.75" customHeight="1">
      <c r="A54" s="2238" t="s">
        <v>7754</v>
      </c>
      <c r="B54" s="2238"/>
      <c r="C54" s="2238"/>
      <c r="D54" s="2238"/>
      <c r="E54" s="2238"/>
      <c r="F54" s="2238"/>
      <c r="AG54" s="1558" t="s">
        <v>7589</v>
      </c>
      <c r="AH54" s="1584"/>
      <c r="AI54" s="1584"/>
      <c r="AJ54" s="1584"/>
      <c r="AK54" s="1584"/>
      <c r="AL54" s="1584"/>
      <c r="AM54" s="585"/>
      <c r="AO54" s="2236"/>
      <c r="AP54" s="2236"/>
      <c r="AQ54" s="2236"/>
      <c r="AR54" s="2236"/>
      <c r="AS54" s="2236"/>
      <c r="AT54" s="2236"/>
      <c r="BC54" s="2237"/>
      <c r="BD54" s="2237"/>
      <c r="BE54" s="2237"/>
      <c r="BF54" s="1581"/>
      <c r="BG54" s="1581"/>
      <c r="BH54" s="1581"/>
    </row>
    <row r="55" spans="1:60" ht="12.75" customHeight="1">
      <c r="Q55" s="2234"/>
      <c r="R55" s="2234"/>
      <c r="S55" s="2234"/>
      <c r="T55" s="2234"/>
      <c r="U55" s="2234"/>
      <c r="V55" s="2234"/>
      <c r="AG55" s="2234" t="s">
        <v>7602</v>
      </c>
      <c r="AH55" s="2234"/>
      <c r="AI55" s="2234"/>
      <c r="AJ55" s="2234"/>
      <c r="AK55" s="2234"/>
      <c r="AL55" s="2234"/>
      <c r="AM55" s="585"/>
      <c r="AO55" s="2236"/>
      <c r="AP55" s="2236"/>
      <c r="AQ55" s="2236"/>
      <c r="AR55" s="2236"/>
      <c r="AS55" s="2236"/>
      <c r="AT55" s="2236"/>
      <c r="BC55" s="1558"/>
      <c r="BD55" s="1584"/>
      <c r="BE55" s="1584"/>
      <c r="BF55" s="1584"/>
      <c r="BG55" s="1584"/>
      <c r="BH55" s="1584"/>
    </row>
    <row r="56" spans="1:60" ht="12.75" customHeight="1">
      <c r="Q56" s="2234"/>
      <c r="R56" s="2234"/>
      <c r="S56" s="2234"/>
      <c r="T56" s="2234"/>
      <c r="U56" s="2234"/>
      <c r="V56" s="2234"/>
      <c r="AG56" s="2234" t="s">
        <v>7615</v>
      </c>
      <c r="AH56" s="2234"/>
      <c r="AI56" s="2234"/>
      <c r="AJ56" s="2234"/>
      <c r="AK56" s="2234"/>
      <c r="AL56" s="2234"/>
      <c r="AM56" s="585"/>
      <c r="AO56" s="2234"/>
      <c r="AP56" s="2234"/>
      <c r="AQ56" s="2234"/>
      <c r="AR56" s="1581"/>
      <c r="AS56" s="1581"/>
      <c r="AT56" s="1581"/>
      <c r="BC56" s="2236"/>
      <c r="BD56" s="2236"/>
      <c r="BE56" s="2236"/>
      <c r="BF56" s="2236"/>
      <c r="BG56" s="2236"/>
      <c r="BH56" s="2236"/>
    </row>
    <row r="57" spans="1:60" ht="12.75" customHeight="1">
      <c r="Q57" s="2236"/>
      <c r="R57" s="2236"/>
      <c r="S57" s="2236"/>
      <c r="T57" s="2236"/>
      <c r="U57" s="2236"/>
      <c r="V57" s="2236"/>
      <c r="AG57" s="2234" t="s">
        <v>7754</v>
      </c>
      <c r="AH57" s="2234"/>
      <c r="AI57" s="2234"/>
      <c r="AJ57" s="2234"/>
      <c r="AK57" s="2234"/>
      <c r="AL57" s="2234"/>
      <c r="AM57" s="585"/>
      <c r="AO57" s="2237"/>
      <c r="AP57" s="2237"/>
      <c r="AQ57" s="2237"/>
      <c r="AR57" s="1581"/>
      <c r="AS57" s="1581"/>
      <c r="AT57" s="1581"/>
      <c r="BC57" s="1558"/>
      <c r="BD57" s="1584"/>
      <c r="BE57" s="1584"/>
      <c r="BF57" s="1584"/>
      <c r="BG57" s="1584"/>
      <c r="BH57" s="1584"/>
    </row>
    <row r="58" spans="1:60" ht="12.75" customHeight="1">
      <c r="Q58" s="2235"/>
      <c r="R58" s="2235"/>
      <c r="S58" s="2235"/>
      <c r="T58" s="2235"/>
      <c r="U58" s="2235"/>
      <c r="V58" s="2235"/>
      <c r="AG58" s="2236"/>
      <c r="AH58" s="2236"/>
      <c r="AI58" s="2236"/>
      <c r="AJ58" s="2236"/>
      <c r="AK58" s="2236"/>
      <c r="AL58" s="2236"/>
      <c r="AM58" s="585"/>
      <c r="AP58" s="1584"/>
      <c r="AQ58" s="1584"/>
      <c r="AR58" s="1584"/>
      <c r="AS58" s="1584"/>
      <c r="AT58" s="1584"/>
      <c r="BC58" s="2234"/>
      <c r="BD58" s="2234"/>
      <c r="BE58" s="2234"/>
      <c r="BF58" s="2234"/>
      <c r="BG58" s="2234"/>
      <c r="BH58" s="2234"/>
    </row>
    <row r="59" spans="1:60" ht="12.75" customHeight="1">
      <c r="A59" s="1598"/>
      <c r="Q59" s="2235"/>
      <c r="R59" s="2235"/>
      <c r="S59" s="2235"/>
      <c r="T59" s="2235"/>
      <c r="U59" s="2235"/>
      <c r="V59" s="2235"/>
      <c r="AH59" s="1584"/>
      <c r="AI59" s="1584"/>
      <c r="AJ59" s="1584"/>
      <c r="AK59" s="1584"/>
      <c r="AL59" s="1584"/>
      <c r="AO59" s="2236"/>
      <c r="AP59" s="2236"/>
      <c r="AQ59" s="2236"/>
      <c r="AR59" s="2236"/>
      <c r="AS59" s="2236"/>
      <c r="AT59" s="2236"/>
      <c r="BC59" s="2234"/>
      <c r="BD59" s="2234"/>
      <c r="BE59" s="2234"/>
      <c r="BF59" s="2234"/>
      <c r="BG59" s="2234"/>
      <c r="BH59" s="2234"/>
    </row>
    <row r="60" spans="1:60" ht="12.75" customHeight="1">
      <c r="A60" s="1599"/>
      <c r="AG60" s="2234"/>
      <c r="AH60" s="2234"/>
      <c r="AI60" s="2234"/>
      <c r="AJ60" s="2234"/>
      <c r="AK60" s="2234"/>
      <c r="AL60" s="2234"/>
      <c r="AP60" s="1584"/>
      <c r="AQ60" s="1584"/>
      <c r="AR60" s="1584"/>
      <c r="AS60" s="1584"/>
      <c r="AT60" s="1584"/>
      <c r="BC60" s="2234"/>
      <c r="BD60" s="2234"/>
      <c r="BE60" s="2234"/>
      <c r="BF60" s="2234"/>
      <c r="BG60" s="2234"/>
      <c r="BH60" s="2234"/>
    </row>
    <row r="61" spans="1:60" ht="12.75" customHeight="1">
      <c r="A61" s="1599"/>
      <c r="AG61" s="2234"/>
      <c r="AH61" s="2234"/>
      <c r="AI61" s="2234"/>
      <c r="AJ61" s="2234"/>
      <c r="AK61" s="2234"/>
      <c r="AL61" s="2234"/>
      <c r="AO61" s="2236"/>
      <c r="AP61" s="2236"/>
      <c r="AQ61" s="2236"/>
      <c r="AR61" s="2236"/>
      <c r="AS61" s="2236"/>
      <c r="AT61" s="2236"/>
    </row>
    <row r="62" spans="1:60" ht="12.75" customHeight="1">
      <c r="A62" s="1599"/>
      <c r="AG62" s="2234"/>
      <c r="AH62" s="2234"/>
      <c r="AI62" s="2234"/>
      <c r="AJ62" s="2234"/>
      <c r="AK62" s="2234"/>
      <c r="AL62" s="2234"/>
      <c r="AO62" s="2234"/>
      <c r="AP62" s="2234"/>
      <c r="AQ62" s="1581"/>
      <c r="AR62" s="1581"/>
      <c r="AS62" s="1581"/>
      <c r="AT62" s="1581"/>
    </row>
    <row r="63" spans="1:60" ht="12.75" customHeight="1">
      <c r="AG63" s="2236"/>
      <c r="AH63" s="2236"/>
      <c r="AI63" s="2236"/>
      <c r="AJ63" s="2236"/>
      <c r="AK63" s="2236"/>
      <c r="AL63" s="2236"/>
      <c r="AO63" s="2234"/>
      <c r="AP63" s="2234"/>
      <c r="AQ63" s="1581"/>
      <c r="AR63" s="1581"/>
      <c r="AS63" s="1581"/>
      <c r="AT63" s="1581"/>
    </row>
    <row r="64" spans="1:60" ht="12.75" customHeight="1">
      <c r="AG64" s="2235"/>
      <c r="AH64" s="2235"/>
      <c r="AI64" s="2235"/>
      <c r="AJ64" s="2235"/>
      <c r="AK64" s="2235"/>
      <c r="AL64" s="2235"/>
    </row>
    <row r="65" spans="33:38" ht="12.75" customHeight="1">
      <c r="AG65" s="2235"/>
      <c r="AH65" s="2235"/>
      <c r="AI65" s="2235"/>
      <c r="AJ65" s="2235"/>
      <c r="AK65" s="2235"/>
      <c r="AL65" s="2235"/>
    </row>
  </sheetData>
  <mergeCells count="89">
    <mergeCell ref="Q40:U40"/>
    <mergeCell ref="Q41:R41"/>
    <mergeCell ref="Q42:U42"/>
    <mergeCell ref="Q43:V43"/>
    <mergeCell ref="AV25:BA25"/>
    <mergeCell ref="AO41:AQ41"/>
    <mergeCell ref="AO42:AQ42"/>
    <mergeCell ref="AV21:BA21"/>
    <mergeCell ref="AV22:BA22"/>
    <mergeCell ref="AV23:AX23"/>
    <mergeCell ref="AV24:BA24"/>
    <mergeCell ref="AO40:AT40"/>
    <mergeCell ref="AV26:BA26"/>
    <mergeCell ref="BJ29:BO29"/>
    <mergeCell ref="AV27:BA27"/>
    <mergeCell ref="BJ30:BO30"/>
    <mergeCell ref="BJ31:BL31"/>
    <mergeCell ref="BJ32:BL32"/>
    <mergeCell ref="BJ34:BO34"/>
    <mergeCell ref="BJ36:BO36"/>
    <mergeCell ref="BJ37:BO37"/>
    <mergeCell ref="BJ38:BO38"/>
    <mergeCell ref="AO39:AT39"/>
    <mergeCell ref="I43:N43"/>
    <mergeCell ref="I44:N44"/>
    <mergeCell ref="Y44:AD44"/>
    <mergeCell ref="AO44:AT44"/>
    <mergeCell ref="A45:F45"/>
    <mergeCell ref="Q44:V44"/>
    <mergeCell ref="Y45:AD45"/>
    <mergeCell ref="Q45:V45"/>
    <mergeCell ref="AO46:AT46"/>
    <mergeCell ref="AO47:AT47"/>
    <mergeCell ref="A47:F47"/>
    <mergeCell ref="Q47:V47"/>
    <mergeCell ref="A46:F46"/>
    <mergeCell ref="Y46:AC46"/>
    <mergeCell ref="I46:N46"/>
    <mergeCell ref="Q46:V46"/>
    <mergeCell ref="I47:N47"/>
    <mergeCell ref="AG50:AI50"/>
    <mergeCell ref="Y49:Z49"/>
    <mergeCell ref="Y50:Z50"/>
    <mergeCell ref="AO48:AT48"/>
    <mergeCell ref="Y47:AC47"/>
    <mergeCell ref="Y48:AC48"/>
    <mergeCell ref="AG48:AL48"/>
    <mergeCell ref="BC53:BE53"/>
    <mergeCell ref="A54:F54"/>
    <mergeCell ref="AO54:AT54"/>
    <mergeCell ref="BC54:BE54"/>
    <mergeCell ref="I48:N48"/>
    <mergeCell ref="AG51:AI51"/>
    <mergeCell ref="BC51:BH51"/>
    <mergeCell ref="A52:F52"/>
    <mergeCell ref="I49:N49"/>
    <mergeCell ref="BC52:BH52"/>
    <mergeCell ref="Y51:Z51"/>
    <mergeCell ref="A53:F53"/>
    <mergeCell ref="AG53:AL53"/>
    <mergeCell ref="AG49:AL49"/>
    <mergeCell ref="A50:F50"/>
    <mergeCell ref="A48:F48"/>
    <mergeCell ref="BC56:BH56"/>
    <mergeCell ref="Q56:V56"/>
    <mergeCell ref="AG58:AL58"/>
    <mergeCell ref="BC58:BH58"/>
    <mergeCell ref="Q57:V57"/>
    <mergeCell ref="Q55:V55"/>
    <mergeCell ref="AG57:AL57"/>
    <mergeCell ref="AO57:AQ57"/>
    <mergeCell ref="AG56:AL56"/>
    <mergeCell ref="AO56:AQ56"/>
    <mergeCell ref="AG55:AL55"/>
    <mergeCell ref="AO55:AT55"/>
    <mergeCell ref="AG65:AL65"/>
    <mergeCell ref="Q58:V58"/>
    <mergeCell ref="AG60:AL60"/>
    <mergeCell ref="BC60:BH60"/>
    <mergeCell ref="Q59:V59"/>
    <mergeCell ref="AG61:AL61"/>
    <mergeCell ref="AO61:AT61"/>
    <mergeCell ref="AG62:AL62"/>
    <mergeCell ref="AO62:AP62"/>
    <mergeCell ref="AG63:AL63"/>
    <mergeCell ref="AO63:AP63"/>
    <mergeCell ref="AG64:AL64"/>
    <mergeCell ref="AO59:AT59"/>
    <mergeCell ref="BC59:BH59"/>
  </mergeCells>
  <hyperlinks>
    <hyperlink ref="E3" location="(2)" display="(2)" xr:uid="{8BEF073D-D336-46E5-AC71-B7CB7D5746FD}"/>
    <hyperlink ref="F3" location="(3)" display="(3)" xr:uid="{AE47F7B6-70E1-40F9-8DCF-BF5D3A2D5486}"/>
    <hyperlink ref="K3" location="(1)" display="(1)" xr:uid="{F69B7D3F-144C-4C4A-A760-863C69CBDF1E}"/>
    <hyperlink ref="M3" location="(2)" display="(2)" xr:uid="{A1AF56A5-2004-4855-A740-6FE25FD89BF5}"/>
    <hyperlink ref="N3" location="(3)" display="(3)" xr:uid="{4997FF94-3B92-4B2B-BDA9-63E358887027}"/>
    <hyperlink ref="S3" location="(1)" display="(1)" xr:uid="{2A4699F0-92FC-4547-901C-4BF90189C4AA}"/>
    <hyperlink ref="U3" location="(2)" display="(2)" xr:uid="{E225F0A3-FB04-4255-AB96-9DF591716EB2}"/>
    <hyperlink ref="V3" location="(3)" display="(3)" xr:uid="{CD521938-9D3C-4357-8175-E32C88F26629}"/>
    <hyperlink ref="AA3" location="(1)" display="(1)" xr:uid="{CEFA7BDA-1E8B-4A2B-80CC-465E444CBD10}"/>
    <hyperlink ref="AC3" location="(2)" display="(2)" xr:uid="{31BBA0B5-0F72-40EB-BCF5-D90BA7F00AE3}"/>
    <hyperlink ref="AD3" location="(3)" display="(3)" xr:uid="{CA67BD2A-6A7D-4DB3-B3AD-DE241E81C350}"/>
    <hyperlink ref="AI3" location="(1)" display="(1)" xr:uid="{E6D4BD3B-A836-49ED-AD59-12706C025406}"/>
    <hyperlink ref="AK3" location="(2)" display="(2)" xr:uid="{79449BB4-4B88-4B9D-A5C6-4CC788A8A524}"/>
    <hyperlink ref="AL3" location="(3)" display="(3)" xr:uid="{8D2CB8D4-1846-49E6-B039-3C16043BE28F}"/>
    <hyperlink ref="AQ3" location="(1)" display="(1)" xr:uid="{F687414B-6663-463E-9E73-4D8B3FFC8672}"/>
    <hyperlink ref="AS3" location="(2)" display="(2)" xr:uid="{33E74750-E7D7-4F21-BB7D-9EB03B8CE32C}"/>
    <hyperlink ref="AT3" location="(3)" display="(3)" xr:uid="{D6B7470C-1F23-4603-8FEC-30084825257D}"/>
    <hyperlink ref="C3" location="(1)" display="(1)" xr:uid="{EECA3BC0-B068-4688-8A89-6D61EF42F239}"/>
    <hyperlink ref="AX3" location="(1)" display="(1)" xr:uid="{D4F7ED7E-5543-41DE-9BCD-70441DB4A3C2}"/>
    <hyperlink ref="AZ3" location="(2)" display="(2)" xr:uid="{1A6589A7-90CE-4115-93B6-B6F96B713EFD}"/>
    <hyperlink ref="BA3" location="(3)" display="(3)" xr:uid="{D095B905-BC9A-4A36-B2A3-41BE870509F9}"/>
  </hyperlinks>
  <pageMargins left="0.7" right="0.7" top="0.75" bottom="0.75" header="0.3" footer="0.3"/>
  <pageSetup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4055-AC64-4DAD-9AF8-6609BC4DA790}">
  <sheetPr>
    <tabColor theme="7" tint="0.59999389629810485"/>
    <pageSetUpPr fitToPage="1"/>
  </sheetPr>
  <dimension ref="A1:BO63"/>
  <sheetViews>
    <sheetView showGridLines="0" zoomScale="90" zoomScaleNormal="90" workbookViewId="0">
      <selection activeCell="B59" sqref="B59"/>
    </sheetView>
  </sheetViews>
  <sheetFormatPr defaultRowHeight="12.75" customHeight="1"/>
  <cols>
    <col min="1" max="1" width="11.5703125" style="1558" customWidth="1"/>
    <col min="2" max="2" width="64.7109375" style="1558" customWidth="1"/>
    <col min="3" max="6" width="12.7109375" style="1558" customWidth="1"/>
    <col min="7" max="8" width="9.140625" style="585"/>
    <col min="9" max="9" width="11.7109375" style="1558" customWidth="1"/>
    <col min="10" max="10" width="75.42578125" style="1558" customWidth="1"/>
    <col min="11" max="14" width="12.7109375" style="1558" customWidth="1"/>
    <col min="15" max="16" width="9.140625" style="1558"/>
    <col min="17" max="17" width="11.7109375" style="1558" customWidth="1"/>
    <col min="18" max="18" width="72.85546875" style="1558" customWidth="1"/>
    <col min="19" max="22" width="12.7109375" style="1558" customWidth="1"/>
    <col min="23" max="24" width="9.140625" style="1558"/>
    <col min="25" max="25" width="11.7109375" style="1558" customWidth="1"/>
    <col min="26" max="26" width="92.28515625" style="1558" customWidth="1"/>
    <col min="27" max="30" width="12.7109375" style="1558" customWidth="1"/>
    <col min="31" max="32" width="9.140625" style="1558"/>
    <col min="33" max="33" width="11.7109375" style="1558" customWidth="1"/>
    <col min="34" max="34" width="80.42578125" style="1558" customWidth="1"/>
    <col min="35" max="38" width="11.7109375" style="1558" customWidth="1"/>
    <col min="39" max="40" width="9.140625" style="1558"/>
    <col min="41" max="41" width="11.7109375" style="1558" customWidth="1"/>
    <col min="42" max="42" width="69.85546875" style="1558" customWidth="1"/>
    <col min="43" max="46" width="11.7109375" style="1558" customWidth="1"/>
    <col min="47" max="47" width="9.140625" style="1558"/>
    <col min="48" max="48" width="11.7109375" style="1558" customWidth="1"/>
    <col min="49" max="49" width="95.140625" style="585" customWidth="1"/>
    <col min="50" max="53" width="11.7109375" style="585" customWidth="1"/>
    <col min="54" max="54" width="9.140625" style="585"/>
    <col min="55" max="55" width="11.7109375" style="585" customWidth="1"/>
    <col min="56" max="56" width="95.140625" style="585" customWidth="1"/>
    <col min="57" max="60" width="11.7109375" style="585" customWidth="1"/>
    <col min="61" max="61" width="11.5703125" style="585" customWidth="1"/>
    <col min="62" max="62" width="11.7109375" style="585" customWidth="1"/>
    <col min="63" max="63" width="95.140625" style="585" customWidth="1"/>
    <col min="64" max="67" width="11.7109375" style="585" customWidth="1"/>
    <col min="68" max="256" width="9.140625" style="585"/>
    <col min="257" max="257" width="11.5703125" style="585" customWidth="1"/>
    <col min="258" max="258" width="103.140625" style="585" customWidth="1"/>
    <col min="259" max="262" width="11.7109375" style="585" customWidth="1"/>
    <col min="263" max="264" width="9.140625" style="585"/>
    <col min="265" max="265" width="11.7109375" style="585" customWidth="1"/>
    <col min="266" max="266" width="78.5703125" style="585" customWidth="1"/>
    <col min="267" max="270" width="11.7109375" style="585" customWidth="1"/>
    <col min="271" max="272" width="9.140625" style="585"/>
    <col min="273" max="273" width="11.7109375" style="585" customWidth="1"/>
    <col min="274" max="274" width="88.42578125" style="585" customWidth="1"/>
    <col min="275" max="278" width="11.7109375" style="585" customWidth="1"/>
    <col min="279" max="280" width="9.140625" style="585"/>
    <col min="281" max="281" width="11.7109375" style="585" customWidth="1"/>
    <col min="282" max="282" width="75.5703125" style="585" customWidth="1"/>
    <col min="283" max="286" width="11.7109375" style="585" customWidth="1"/>
    <col min="287" max="288" width="9.140625" style="585"/>
    <col min="289" max="289" width="11.7109375" style="585" customWidth="1"/>
    <col min="290" max="290" width="80.42578125" style="585" customWidth="1"/>
    <col min="291" max="294" width="11.7109375" style="585" customWidth="1"/>
    <col min="295" max="296" width="9.140625" style="585"/>
    <col min="297" max="297" width="11.7109375" style="585" customWidth="1"/>
    <col min="298" max="298" width="69.85546875" style="585" customWidth="1"/>
    <col min="299" max="302" width="11.7109375" style="585" customWidth="1"/>
    <col min="303" max="303" width="9.140625" style="585"/>
    <col min="304" max="304" width="11.7109375" style="585" customWidth="1"/>
    <col min="305" max="305" width="95.140625" style="585" customWidth="1"/>
    <col min="306" max="309" width="11.7109375" style="585" customWidth="1"/>
    <col min="310" max="310" width="9.140625" style="585"/>
    <col min="311" max="311" width="11.7109375" style="585" customWidth="1"/>
    <col min="312" max="312" width="95.140625" style="585" customWidth="1"/>
    <col min="313" max="316" width="11.7109375" style="585" customWidth="1"/>
    <col min="317" max="317" width="11.5703125" style="585" customWidth="1"/>
    <col min="318" max="318" width="11.7109375" style="585" customWidth="1"/>
    <col min="319" max="319" width="95.140625" style="585" customWidth="1"/>
    <col min="320" max="323" width="11.7109375" style="585" customWidth="1"/>
    <col min="324" max="512" width="9.140625" style="585"/>
    <col min="513" max="513" width="11.5703125" style="585" customWidth="1"/>
    <col min="514" max="514" width="103.140625" style="585" customWidth="1"/>
    <col min="515" max="518" width="11.7109375" style="585" customWidth="1"/>
    <col min="519" max="520" width="9.140625" style="585"/>
    <col min="521" max="521" width="11.7109375" style="585" customWidth="1"/>
    <col min="522" max="522" width="78.5703125" style="585" customWidth="1"/>
    <col min="523" max="526" width="11.7109375" style="585" customWidth="1"/>
    <col min="527" max="528" width="9.140625" style="585"/>
    <col min="529" max="529" width="11.7109375" style="585" customWidth="1"/>
    <col min="530" max="530" width="88.42578125" style="585" customWidth="1"/>
    <col min="531" max="534" width="11.7109375" style="585" customWidth="1"/>
    <col min="535" max="536" width="9.140625" style="585"/>
    <col min="537" max="537" width="11.7109375" style="585" customWidth="1"/>
    <col min="538" max="538" width="75.5703125" style="585" customWidth="1"/>
    <col min="539" max="542" width="11.7109375" style="585" customWidth="1"/>
    <col min="543" max="544" width="9.140625" style="585"/>
    <col min="545" max="545" width="11.7109375" style="585" customWidth="1"/>
    <col min="546" max="546" width="80.42578125" style="585" customWidth="1"/>
    <col min="547" max="550" width="11.7109375" style="585" customWidth="1"/>
    <col min="551" max="552" width="9.140625" style="585"/>
    <col min="553" max="553" width="11.7109375" style="585" customWidth="1"/>
    <col min="554" max="554" width="69.85546875" style="585" customWidth="1"/>
    <col min="555" max="558" width="11.7109375" style="585" customWidth="1"/>
    <col min="559" max="559" width="9.140625" style="585"/>
    <col min="560" max="560" width="11.7109375" style="585" customWidth="1"/>
    <col min="561" max="561" width="95.140625" style="585" customWidth="1"/>
    <col min="562" max="565" width="11.7109375" style="585" customWidth="1"/>
    <col min="566" max="566" width="9.140625" style="585"/>
    <col min="567" max="567" width="11.7109375" style="585" customWidth="1"/>
    <col min="568" max="568" width="95.140625" style="585" customWidth="1"/>
    <col min="569" max="572" width="11.7109375" style="585" customWidth="1"/>
    <col min="573" max="573" width="11.5703125" style="585" customWidth="1"/>
    <col min="574" max="574" width="11.7109375" style="585" customWidth="1"/>
    <col min="575" max="575" width="95.140625" style="585" customWidth="1"/>
    <col min="576" max="579" width="11.7109375" style="585" customWidth="1"/>
    <col min="580" max="768" width="9.140625" style="585"/>
    <col min="769" max="769" width="11.5703125" style="585" customWidth="1"/>
    <col min="770" max="770" width="103.140625" style="585" customWidth="1"/>
    <col min="771" max="774" width="11.7109375" style="585" customWidth="1"/>
    <col min="775" max="776" width="9.140625" style="585"/>
    <col min="777" max="777" width="11.7109375" style="585" customWidth="1"/>
    <col min="778" max="778" width="78.5703125" style="585" customWidth="1"/>
    <col min="779" max="782" width="11.7109375" style="585" customWidth="1"/>
    <col min="783" max="784" width="9.140625" style="585"/>
    <col min="785" max="785" width="11.7109375" style="585" customWidth="1"/>
    <col min="786" max="786" width="88.42578125" style="585" customWidth="1"/>
    <col min="787" max="790" width="11.7109375" style="585" customWidth="1"/>
    <col min="791" max="792" width="9.140625" style="585"/>
    <col min="793" max="793" width="11.7109375" style="585" customWidth="1"/>
    <col min="794" max="794" width="75.5703125" style="585" customWidth="1"/>
    <col min="795" max="798" width="11.7109375" style="585" customWidth="1"/>
    <col min="799" max="800" width="9.140625" style="585"/>
    <col min="801" max="801" width="11.7109375" style="585" customWidth="1"/>
    <col min="802" max="802" width="80.42578125" style="585" customWidth="1"/>
    <col min="803" max="806" width="11.7109375" style="585" customWidth="1"/>
    <col min="807" max="808" width="9.140625" style="585"/>
    <col min="809" max="809" width="11.7109375" style="585" customWidth="1"/>
    <col min="810" max="810" width="69.85546875" style="585" customWidth="1"/>
    <col min="811" max="814" width="11.7109375" style="585" customWidth="1"/>
    <col min="815" max="815" width="9.140625" style="585"/>
    <col min="816" max="816" width="11.7109375" style="585" customWidth="1"/>
    <col min="817" max="817" width="95.140625" style="585" customWidth="1"/>
    <col min="818" max="821" width="11.7109375" style="585" customWidth="1"/>
    <col min="822" max="822" width="9.140625" style="585"/>
    <col min="823" max="823" width="11.7109375" style="585" customWidth="1"/>
    <col min="824" max="824" width="95.140625" style="585" customWidth="1"/>
    <col min="825" max="828" width="11.7109375" style="585" customWidth="1"/>
    <col min="829" max="829" width="11.5703125" style="585" customWidth="1"/>
    <col min="830" max="830" width="11.7109375" style="585" customWidth="1"/>
    <col min="831" max="831" width="95.140625" style="585" customWidth="1"/>
    <col min="832" max="835" width="11.7109375" style="585" customWidth="1"/>
    <col min="836" max="1024" width="9.140625" style="585"/>
    <col min="1025" max="1025" width="11.5703125" style="585" customWidth="1"/>
    <col min="1026" max="1026" width="103.140625" style="585" customWidth="1"/>
    <col min="1027" max="1030" width="11.7109375" style="585" customWidth="1"/>
    <col min="1031" max="1032" width="9.140625" style="585"/>
    <col min="1033" max="1033" width="11.7109375" style="585" customWidth="1"/>
    <col min="1034" max="1034" width="78.5703125" style="585" customWidth="1"/>
    <col min="1035" max="1038" width="11.7109375" style="585" customWidth="1"/>
    <col min="1039" max="1040" width="9.140625" style="585"/>
    <col min="1041" max="1041" width="11.7109375" style="585" customWidth="1"/>
    <col min="1042" max="1042" width="88.42578125" style="585" customWidth="1"/>
    <col min="1043" max="1046" width="11.7109375" style="585" customWidth="1"/>
    <col min="1047" max="1048" width="9.140625" style="585"/>
    <col min="1049" max="1049" width="11.7109375" style="585" customWidth="1"/>
    <col min="1050" max="1050" width="75.5703125" style="585" customWidth="1"/>
    <col min="1051" max="1054" width="11.7109375" style="585" customWidth="1"/>
    <col min="1055" max="1056" width="9.140625" style="585"/>
    <col min="1057" max="1057" width="11.7109375" style="585" customWidth="1"/>
    <col min="1058" max="1058" width="80.42578125" style="585" customWidth="1"/>
    <col min="1059" max="1062" width="11.7109375" style="585" customWidth="1"/>
    <col min="1063" max="1064" width="9.140625" style="585"/>
    <col min="1065" max="1065" width="11.7109375" style="585" customWidth="1"/>
    <col min="1066" max="1066" width="69.85546875" style="585" customWidth="1"/>
    <col min="1067" max="1070" width="11.7109375" style="585" customWidth="1"/>
    <col min="1071" max="1071" width="9.140625" style="585"/>
    <col min="1072" max="1072" width="11.7109375" style="585" customWidth="1"/>
    <col min="1073" max="1073" width="95.140625" style="585" customWidth="1"/>
    <col min="1074" max="1077" width="11.7109375" style="585" customWidth="1"/>
    <col min="1078" max="1078" width="9.140625" style="585"/>
    <col min="1079" max="1079" width="11.7109375" style="585" customWidth="1"/>
    <col min="1080" max="1080" width="95.140625" style="585" customWidth="1"/>
    <col min="1081" max="1084" width="11.7109375" style="585" customWidth="1"/>
    <col min="1085" max="1085" width="11.5703125" style="585" customWidth="1"/>
    <col min="1086" max="1086" width="11.7109375" style="585" customWidth="1"/>
    <col min="1087" max="1087" width="95.140625" style="585" customWidth="1"/>
    <col min="1088" max="1091" width="11.7109375" style="585" customWidth="1"/>
    <col min="1092" max="1280" width="9.140625" style="585"/>
    <col min="1281" max="1281" width="11.5703125" style="585" customWidth="1"/>
    <col min="1282" max="1282" width="103.140625" style="585" customWidth="1"/>
    <col min="1283" max="1286" width="11.7109375" style="585" customWidth="1"/>
    <col min="1287" max="1288" width="9.140625" style="585"/>
    <col min="1289" max="1289" width="11.7109375" style="585" customWidth="1"/>
    <col min="1290" max="1290" width="78.5703125" style="585" customWidth="1"/>
    <col min="1291" max="1294" width="11.7109375" style="585" customWidth="1"/>
    <col min="1295" max="1296" width="9.140625" style="585"/>
    <col min="1297" max="1297" width="11.7109375" style="585" customWidth="1"/>
    <col min="1298" max="1298" width="88.42578125" style="585" customWidth="1"/>
    <col min="1299" max="1302" width="11.7109375" style="585" customWidth="1"/>
    <col min="1303" max="1304" width="9.140625" style="585"/>
    <col min="1305" max="1305" width="11.7109375" style="585" customWidth="1"/>
    <col min="1306" max="1306" width="75.5703125" style="585" customWidth="1"/>
    <col min="1307" max="1310" width="11.7109375" style="585" customWidth="1"/>
    <col min="1311" max="1312" width="9.140625" style="585"/>
    <col min="1313" max="1313" width="11.7109375" style="585" customWidth="1"/>
    <col min="1314" max="1314" width="80.42578125" style="585" customWidth="1"/>
    <col min="1315" max="1318" width="11.7109375" style="585" customWidth="1"/>
    <col min="1319" max="1320" width="9.140625" style="585"/>
    <col min="1321" max="1321" width="11.7109375" style="585" customWidth="1"/>
    <col min="1322" max="1322" width="69.85546875" style="585" customWidth="1"/>
    <col min="1323" max="1326" width="11.7109375" style="585" customWidth="1"/>
    <col min="1327" max="1327" width="9.140625" style="585"/>
    <col min="1328" max="1328" width="11.7109375" style="585" customWidth="1"/>
    <col min="1329" max="1329" width="95.140625" style="585" customWidth="1"/>
    <col min="1330" max="1333" width="11.7109375" style="585" customWidth="1"/>
    <col min="1334" max="1334" width="9.140625" style="585"/>
    <col min="1335" max="1335" width="11.7109375" style="585" customWidth="1"/>
    <col min="1336" max="1336" width="95.140625" style="585" customWidth="1"/>
    <col min="1337" max="1340" width="11.7109375" style="585" customWidth="1"/>
    <col min="1341" max="1341" width="11.5703125" style="585" customWidth="1"/>
    <col min="1342" max="1342" width="11.7109375" style="585" customWidth="1"/>
    <col min="1343" max="1343" width="95.140625" style="585" customWidth="1"/>
    <col min="1344" max="1347" width="11.7109375" style="585" customWidth="1"/>
    <col min="1348" max="1536" width="9.140625" style="585"/>
    <col min="1537" max="1537" width="11.5703125" style="585" customWidth="1"/>
    <col min="1538" max="1538" width="103.140625" style="585" customWidth="1"/>
    <col min="1539" max="1542" width="11.7109375" style="585" customWidth="1"/>
    <col min="1543" max="1544" width="9.140625" style="585"/>
    <col min="1545" max="1545" width="11.7109375" style="585" customWidth="1"/>
    <col min="1546" max="1546" width="78.5703125" style="585" customWidth="1"/>
    <col min="1547" max="1550" width="11.7109375" style="585" customWidth="1"/>
    <col min="1551" max="1552" width="9.140625" style="585"/>
    <col min="1553" max="1553" width="11.7109375" style="585" customWidth="1"/>
    <col min="1554" max="1554" width="88.42578125" style="585" customWidth="1"/>
    <col min="1555" max="1558" width="11.7109375" style="585" customWidth="1"/>
    <col min="1559" max="1560" width="9.140625" style="585"/>
    <col min="1561" max="1561" width="11.7109375" style="585" customWidth="1"/>
    <col min="1562" max="1562" width="75.5703125" style="585" customWidth="1"/>
    <col min="1563" max="1566" width="11.7109375" style="585" customWidth="1"/>
    <col min="1567" max="1568" width="9.140625" style="585"/>
    <col min="1569" max="1569" width="11.7109375" style="585" customWidth="1"/>
    <col min="1570" max="1570" width="80.42578125" style="585" customWidth="1"/>
    <col min="1571" max="1574" width="11.7109375" style="585" customWidth="1"/>
    <col min="1575" max="1576" width="9.140625" style="585"/>
    <col min="1577" max="1577" width="11.7109375" style="585" customWidth="1"/>
    <col min="1578" max="1578" width="69.85546875" style="585" customWidth="1"/>
    <col min="1579" max="1582" width="11.7109375" style="585" customWidth="1"/>
    <col min="1583" max="1583" width="9.140625" style="585"/>
    <col min="1584" max="1584" width="11.7109375" style="585" customWidth="1"/>
    <col min="1585" max="1585" width="95.140625" style="585" customWidth="1"/>
    <col min="1586" max="1589" width="11.7109375" style="585" customWidth="1"/>
    <col min="1590" max="1590" width="9.140625" style="585"/>
    <col min="1591" max="1591" width="11.7109375" style="585" customWidth="1"/>
    <col min="1592" max="1592" width="95.140625" style="585" customWidth="1"/>
    <col min="1593" max="1596" width="11.7109375" style="585" customWidth="1"/>
    <col min="1597" max="1597" width="11.5703125" style="585" customWidth="1"/>
    <col min="1598" max="1598" width="11.7109375" style="585" customWidth="1"/>
    <col min="1599" max="1599" width="95.140625" style="585" customWidth="1"/>
    <col min="1600" max="1603" width="11.7109375" style="585" customWidth="1"/>
    <col min="1604" max="1792" width="9.140625" style="585"/>
    <col min="1793" max="1793" width="11.5703125" style="585" customWidth="1"/>
    <col min="1794" max="1794" width="103.140625" style="585" customWidth="1"/>
    <col min="1795" max="1798" width="11.7109375" style="585" customWidth="1"/>
    <col min="1799" max="1800" width="9.140625" style="585"/>
    <col min="1801" max="1801" width="11.7109375" style="585" customWidth="1"/>
    <col min="1802" max="1802" width="78.5703125" style="585" customWidth="1"/>
    <col min="1803" max="1806" width="11.7109375" style="585" customWidth="1"/>
    <col min="1807" max="1808" width="9.140625" style="585"/>
    <col min="1809" max="1809" width="11.7109375" style="585" customWidth="1"/>
    <col min="1810" max="1810" width="88.42578125" style="585" customWidth="1"/>
    <col min="1811" max="1814" width="11.7109375" style="585" customWidth="1"/>
    <col min="1815" max="1816" width="9.140625" style="585"/>
    <col min="1817" max="1817" width="11.7109375" style="585" customWidth="1"/>
    <col min="1818" max="1818" width="75.5703125" style="585" customWidth="1"/>
    <col min="1819" max="1822" width="11.7109375" style="585" customWidth="1"/>
    <col min="1823" max="1824" width="9.140625" style="585"/>
    <col min="1825" max="1825" width="11.7109375" style="585" customWidth="1"/>
    <col min="1826" max="1826" width="80.42578125" style="585" customWidth="1"/>
    <col min="1827" max="1830" width="11.7109375" style="585" customWidth="1"/>
    <col min="1831" max="1832" width="9.140625" style="585"/>
    <col min="1833" max="1833" width="11.7109375" style="585" customWidth="1"/>
    <col min="1834" max="1834" width="69.85546875" style="585" customWidth="1"/>
    <col min="1835" max="1838" width="11.7109375" style="585" customWidth="1"/>
    <col min="1839" max="1839" width="9.140625" style="585"/>
    <col min="1840" max="1840" width="11.7109375" style="585" customWidth="1"/>
    <col min="1841" max="1841" width="95.140625" style="585" customWidth="1"/>
    <col min="1842" max="1845" width="11.7109375" style="585" customWidth="1"/>
    <col min="1846" max="1846" width="9.140625" style="585"/>
    <col min="1847" max="1847" width="11.7109375" style="585" customWidth="1"/>
    <col min="1848" max="1848" width="95.140625" style="585" customWidth="1"/>
    <col min="1849" max="1852" width="11.7109375" style="585" customWidth="1"/>
    <col min="1853" max="1853" width="11.5703125" style="585" customWidth="1"/>
    <col min="1854" max="1854" width="11.7109375" style="585" customWidth="1"/>
    <col min="1855" max="1855" width="95.140625" style="585" customWidth="1"/>
    <col min="1856" max="1859" width="11.7109375" style="585" customWidth="1"/>
    <col min="1860" max="2048" width="9.140625" style="585"/>
    <col min="2049" max="2049" width="11.5703125" style="585" customWidth="1"/>
    <col min="2050" max="2050" width="103.140625" style="585" customWidth="1"/>
    <col min="2051" max="2054" width="11.7109375" style="585" customWidth="1"/>
    <col min="2055" max="2056" width="9.140625" style="585"/>
    <col min="2057" max="2057" width="11.7109375" style="585" customWidth="1"/>
    <col min="2058" max="2058" width="78.5703125" style="585" customWidth="1"/>
    <col min="2059" max="2062" width="11.7109375" style="585" customWidth="1"/>
    <col min="2063" max="2064" width="9.140625" style="585"/>
    <col min="2065" max="2065" width="11.7109375" style="585" customWidth="1"/>
    <col min="2066" max="2066" width="88.42578125" style="585" customWidth="1"/>
    <col min="2067" max="2070" width="11.7109375" style="585" customWidth="1"/>
    <col min="2071" max="2072" width="9.140625" style="585"/>
    <col min="2073" max="2073" width="11.7109375" style="585" customWidth="1"/>
    <col min="2074" max="2074" width="75.5703125" style="585" customWidth="1"/>
    <col min="2075" max="2078" width="11.7109375" style="585" customWidth="1"/>
    <col min="2079" max="2080" width="9.140625" style="585"/>
    <col min="2081" max="2081" width="11.7109375" style="585" customWidth="1"/>
    <col min="2082" max="2082" width="80.42578125" style="585" customWidth="1"/>
    <col min="2083" max="2086" width="11.7109375" style="585" customWidth="1"/>
    <col min="2087" max="2088" width="9.140625" style="585"/>
    <col min="2089" max="2089" width="11.7109375" style="585" customWidth="1"/>
    <col min="2090" max="2090" width="69.85546875" style="585" customWidth="1"/>
    <col min="2091" max="2094" width="11.7109375" style="585" customWidth="1"/>
    <col min="2095" max="2095" width="9.140625" style="585"/>
    <col min="2096" max="2096" width="11.7109375" style="585" customWidth="1"/>
    <col min="2097" max="2097" width="95.140625" style="585" customWidth="1"/>
    <col min="2098" max="2101" width="11.7109375" style="585" customWidth="1"/>
    <col min="2102" max="2102" width="9.140625" style="585"/>
    <col min="2103" max="2103" width="11.7109375" style="585" customWidth="1"/>
    <col min="2104" max="2104" width="95.140625" style="585" customWidth="1"/>
    <col min="2105" max="2108" width="11.7109375" style="585" customWidth="1"/>
    <col min="2109" max="2109" width="11.5703125" style="585" customWidth="1"/>
    <col min="2110" max="2110" width="11.7109375" style="585" customWidth="1"/>
    <col min="2111" max="2111" width="95.140625" style="585" customWidth="1"/>
    <col min="2112" max="2115" width="11.7109375" style="585" customWidth="1"/>
    <col min="2116" max="2304" width="9.140625" style="585"/>
    <col min="2305" max="2305" width="11.5703125" style="585" customWidth="1"/>
    <col min="2306" max="2306" width="103.140625" style="585" customWidth="1"/>
    <col min="2307" max="2310" width="11.7109375" style="585" customWidth="1"/>
    <col min="2311" max="2312" width="9.140625" style="585"/>
    <col min="2313" max="2313" width="11.7109375" style="585" customWidth="1"/>
    <col min="2314" max="2314" width="78.5703125" style="585" customWidth="1"/>
    <col min="2315" max="2318" width="11.7109375" style="585" customWidth="1"/>
    <col min="2319" max="2320" width="9.140625" style="585"/>
    <col min="2321" max="2321" width="11.7109375" style="585" customWidth="1"/>
    <col min="2322" max="2322" width="88.42578125" style="585" customWidth="1"/>
    <col min="2323" max="2326" width="11.7109375" style="585" customWidth="1"/>
    <col min="2327" max="2328" width="9.140625" style="585"/>
    <col min="2329" max="2329" width="11.7109375" style="585" customWidth="1"/>
    <col min="2330" max="2330" width="75.5703125" style="585" customWidth="1"/>
    <col min="2331" max="2334" width="11.7109375" style="585" customWidth="1"/>
    <col min="2335" max="2336" width="9.140625" style="585"/>
    <col min="2337" max="2337" width="11.7109375" style="585" customWidth="1"/>
    <col min="2338" max="2338" width="80.42578125" style="585" customWidth="1"/>
    <col min="2339" max="2342" width="11.7109375" style="585" customWidth="1"/>
    <col min="2343" max="2344" width="9.140625" style="585"/>
    <col min="2345" max="2345" width="11.7109375" style="585" customWidth="1"/>
    <col min="2346" max="2346" width="69.85546875" style="585" customWidth="1"/>
    <col min="2347" max="2350" width="11.7109375" style="585" customWidth="1"/>
    <col min="2351" max="2351" width="9.140625" style="585"/>
    <col min="2352" max="2352" width="11.7109375" style="585" customWidth="1"/>
    <col min="2353" max="2353" width="95.140625" style="585" customWidth="1"/>
    <col min="2354" max="2357" width="11.7109375" style="585" customWidth="1"/>
    <col min="2358" max="2358" width="9.140625" style="585"/>
    <col min="2359" max="2359" width="11.7109375" style="585" customWidth="1"/>
    <col min="2360" max="2360" width="95.140625" style="585" customWidth="1"/>
    <col min="2361" max="2364" width="11.7109375" style="585" customWidth="1"/>
    <col min="2365" max="2365" width="11.5703125" style="585" customWidth="1"/>
    <col min="2366" max="2366" width="11.7109375" style="585" customWidth="1"/>
    <col min="2367" max="2367" width="95.140625" style="585" customWidth="1"/>
    <col min="2368" max="2371" width="11.7109375" style="585" customWidth="1"/>
    <col min="2372" max="2560" width="9.140625" style="585"/>
    <col min="2561" max="2561" width="11.5703125" style="585" customWidth="1"/>
    <col min="2562" max="2562" width="103.140625" style="585" customWidth="1"/>
    <col min="2563" max="2566" width="11.7109375" style="585" customWidth="1"/>
    <col min="2567" max="2568" width="9.140625" style="585"/>
    <col min="2569" max="2569" width="11.7109375" style="585" customWidth="1"/>
    <col min="2570" max="2570" width="78.5703125" style="585" customWidth="1"/>
    <col min="2571" max="2574" width="11.7109375" style="585" customWidth="1"/>
    <col min="2575" max="2576" width="9.140625" style="585"/>
    <col min="2577" max="2577" width="11.7109375" style="585" customWidth="1"/>
    <col min="2578" max="2578" width="88.42578125" style="585" customWidth="1"/>
    <col min="2579" max="2582" width="11.7109375" style="585" customWidth="1"/>
    <col min="2583" max="2584" width="9.140625" style="585"/>
    <col min="2585" max="2585" width="11.7109375" style="585" customWidth="1"/>
    <col min="2586" max="2586" width="75.5703125" style="585" customWidth="1"/>
    <col min="2587" max="2590" width="11.7109375" style="585" customWidth="1"/>
    <col min="2591" max="2592" width="9.140625" style="585"/>
    <col min="2593" max="2593" width="11.7109375" style="585" customWidth="1"/>
    <col min="2594" max="2594" width="80.42578125" style="585" customWidth="1"/>
    <col min="2595" max="2598" width="11.7109375" style="585" customWidth="1"/>
    <col min="2599" max="2600" width="9.140625" style="585"/>
    <col min="2601" max="2601" width="11.7109375" style="585" customWidth="1"/>
    <col min="2602" max="2602" width="69.85546875" style="585" customWidth="1"/>
    <col min="2603" max="2606" width="11.7109375" style="585" customWidth="1"/>
    <col min="2607" max="2607" width="9.140625" style="585"/>
    <col min="2608" max="2608" width="11.7109375" style="585" customWidth="1"/>
    <col min="2609" max="2609" width="95.140625" style="585" customWidth="1"/>
    <col min="2610" max="2613" width="11.7109375" style="585" customWidth="1"/>
    <col min="2614" max="2614" width="9.140625" style="585"/>
    <col min="2615" max="2615" width="11.7109375" style="585" customWidth="1"/>
    <col min="2616" max="2616" width="95.140625" style="585" customWidth="1"/>
    <col min="2617" max="2620" width="11.7109375" style="585" customWidth="1"/>
    <col min="2621" max="2621" width="11.5703125" style="585" customWidth="1"/>
    <col min="2622" max="2622" width="11.7109375" style="585" customWidth="1"/>
    <col min="2623" max="2623" width="95.140625" style="585" customWidth="1"/>
    <col min="2624" max="2627" width="11.7109375" style="585" customWidth="1"/>
    <col min="2628" max="2816" width="9.140625" style="585"/>
    <col min="2817" max="2817" width="11.5703125" style="585" customWidth="1"/>
    <col min="2818" max="2818" width="103.140625" style="585" customWidth="1"/>
    <col min="2819" max="2822" width="11.7109375" style="585" customWidth="1"/>
    <col min="2823" max="2824" width="9.140625" style="585"/>
    <col min="2825" max="2825" width="11.7109375" style="585" customWidth="1"/>
    <col min="2826" max="2826" width="78.5703125" style="585" customWidth="1"/>
    <col min="2827" max="2830" width="11.7109375" style="585" customWidth="1"/>
    <col min="2831" max="2832" width="9.140625" style="585"/>
    <col min="2833" max="2833" width="11.7109375" style="585" customWidth="1"/>
    <col min="2834" max="2834" width="88.42578125" style="585" customWidth="1"/>
    <col min="2835" max="2838" width="11.7109375" style="585" customWidth="1"/>
    <col min="2839" max="2840" width="9.140625" style="585"/>
    <col min="2841" max="2841" width="11.7109375" style="585" customWidth="1"/>
    <col min="2842" max="2842" width="75.5703125" style="585" customWidth="1"/>
    <col min="2843" max="2846" width="11.7109375" style="585" customWidth="1"/>
    <col min="2847" max="2848" width="9.140625" style="585"/>
    <col min="2849" max="2849" width="11.7109375" style="585" customWidth="1"/>
    <col min="2850" max="2850" width="80.42578125" style="585" customWidth="1"/>
    <col min="2851" max="2854" width="11.7109375" style="585" customWidth="1"/>
    <col min="2855" max="2856" width="9.140625" style="585"/>
    <col min="2857" max="2857" width="11.7109375" style="585" customWidth="1"/>
    <col min="2858" max="2858" width="69.85546875" style="585" customWidth="1"/>
    <col min="2859" max="2862" width="11.7109375" style="585" customWidth="1"/>
    <col min="2863" max="2863" width="9.140625" style="585"/>
    <col min="2864" max="2864" width="11.7109375" style="585" customWidth="1"/>
    <col min="2865" max="2865" width="95.140625" style="585" customWidth="1"/>
    <col min="2866" max="2869" width="11.7109375" style="585" customWidth="1"/>
    <col min="2870" max="2870" width="9.140625" style="585"/>
    <col min="2871" max="2871" width="11.7109375" style="585" customWidth="1"/>
    <col min="2872" max="2872" width="95.140625" style="585" customWidth="1"/>
    <col min="2873" max="2876" width="11.7109375" style="585" customWidth="1"/>
    <col min="2877" max="2877" width="11.5703125" style="585" customWidth="1"/>
    <col min="2878" max="2878" width="11.7109375" style="585" customWidth="1"/>
    <col min="2879" max="2879" width="95.140625" style="585" customWidth="1"/>
    <col min="2880" max="2883" width="11.7109375" style="585" customWidth="1"/>
    <col min="2884" max="3072" width="9.140625" style="585"/>
    <col min="3073" max="3073" width="11.5703125" style="585" customWidth="1"/>
    <col min="3074" max="3074" width="103.140625" style="585" customWidth="1"/>
    <col min="3075" max="3078" width="11.7109375" style="585" customWidth="1"/>
    <col min="3079" max="3080" width="9.140625" style="585"/>
    <col min="3081" max="3081" width="11.7109375" style="585" customWidth="1"/>
    <col min="3082" max="3082" width="78.5703125" style="585" customWidth="1"/>
    <col min="3083" max="3086" width="11.7109375" style="585" customWidth="1"/>
    <col min="3087" max="3088" width="9.140625" style="585"/>
    <col min="3089" max="3089" width="11.7109375" style="585" customWidth="1"/>
    <col min="3090" max="3090" width="88.42578125" style="585" customWidth="1"/>
    <col min="3091" max="3094" width="11.7109375" style="585" customWidth="1"/>
    <col min="3095" max="3096" width="9.140625" style="585"/>
    <col min="3097" max="3097" width="11.7109375" style="585" customWidth="1"/>
    <col min="3098" max="3098" width="75.5703125" style="585" customWidth="1"/>
    <col min="3099" max="3102" width="11.7109375" style="585" customWidth="1"/>
    <col min="3103" max="3104" width="9.140625" style="585"/>
    <col min="3105" max="3105" width="11.7109375" style="585" customWidth="1"/>
    <col min="3106" max="3106" width="80.42578125" style="585" customWidth="1"/>
    <col min="3107" max="3110" width="11.7109375" style="585" customWidth="1"/>
    <col min="3111" max="3112" width="9.140625" style="585"/>
    <col min="3113" max="3113" width="11.7109375" style="585" customWidth="1"/>
    <col min="3114" max="3114" width="69.85546875" style="585" customWidth="1"/>
    <col min="3115" max="3118" width="11.7109375" style="585" customWidth="1"/>
    <col min="3119" max="3119" width="9.140625" style="585"/>
    <col min="3120" max="3120" width="11.7109375" style="585" customWidth="1"/>
    <col min="3121" max="3121" width="95.140625" style="585" customWidth="1"/>
    <col min="3122" max="3125" width="11.7109375" style="585" customWidth="1"/>
    <col min="3126" max="3126" width="9.140625" style="585"/>
    <col min="3127" max="3127" width="11.7109375" style="585" customWidth="1"/>
    <col min="3128" max="3128" width="95.140625" style="585" customWidth="1"/>
    <col min="3129" max="3132" width="11.7109375" style="585" customWidth="1"/>
    <col min="3133" max="3133" width="11.5703125" style="585" customWidth="1"/>
    <col min="3134" max="3134" width="11.7109375" style="585" customWidth="1"/>
    <col min="3135" max="3135" width="95.140625" style="585" customWidth="1"/>
    <col min="3136" max="3139" width="11.7109375" style="585" customWidth="1"/>
    <col min="3140" max="3328" width="9.140625" style="585"/>
    <col min="3329" max="3329" width="11.5703125" style="585" customWidth="1"/>
    <col min="3330" max="3330" width="103.140625" style="585" customWidth="1"/>
    <col min="3331" max="3334" width="11.7109375" style="585" customWidth="1"/>
    <col min="3335" max="3336" width="9.140625" style="585"/>
    <col min="3337" max="3337" width="11.7109375" style="585" customWidth="1"/>
    <col min="3338" max="3338" width="78.5703125" style="585" customWidth="1"/>
    <col min="3339" max="3342" width="11.7109375" style="585" customWidth="1"/>
    <col min="3343" max="3344" width="9.140625" style="585"/>
    <col min="3345" max="3345" width="11.7109375" style="585" customWidth="1"/>
    <col min="3346" max="3346" width="88.42578125" style="585" customWidth="1"/>
    <col min="3347" max="3350" width="11.7109375" style="585" customWidth="1"/>
    <col min="3351" max="3352" width="9.140625" style="585"/>
    <col min="3353" max="3353" width="11.7109375" style="585" customWidth="1"/>
    <col min="3354" max="3354" width="75.5703125" style="585" customWidth="1"/>
    <col min="3355" max="3358" width="11.7109375" style="585" customWidth="1"/>
    <col min="3359" max="3360" width="9.140625" style="585"/>
    <col min="3361" max="3361" width="11.7109375" style="585" customWidth="1"/>
    <col min="3362" max="3362" width="80.42578125" style="585" customWidth="1"/>
    <col min="3363" max="3366" width="11.7109375" style="585" customWidth="1"/>
    <col min="3367" max="3368" width="9.140625" style="585"/>
    <col min="3369" max="3369" width="11.7109375" style="585" customWidth="1"/>
    <col min="3370" max="3370" width="69.85546875" style="585" customWidth="1"/>
    <col min="3371" max="3374" width="11.7109375" style="585" customWidth="1"/>
    <col min="3375" max="3375" width="9.140625" style="585"/>
    <col min="3376" max="3376" width="11.7109375" style="585" customWidth="1"/>
    <col min="3377" max="3377" width="95.140625" style="585" customWidth="1"/>
    <col min="3378" max="3381" width="11.7109375" style="585" customWidth="1"/>
    <col min="3382" max="3382" width="9.140625" style="585"/>
    <col min="3383" max="3383" width="11.7109375" style="585" customWidth="1"/>
    <col min="3384" max="3384" width="95.140625" style="585" customWidth="1"/>
    <col min="3385" max="3388" width="11.7109375" style="585" customWidth="1"/>
    <col min="3389" max="3389" width="11.5703125" style="585" customWidth="1"/>
    <col min="3390" max="3390" width="11.7109375" style="585" customWidth="1"/>
    <col min="3391" max="3391" width="95.140625" style="585" customWidth="1"/>
    <col min="3392" max="3395" width="11.7109375" style="585" customWidth="1"/>
    <col min="3396" max="3584" width="9.140625" style="585"/>
    <col min="3585" max="3585" width="11.5703125" style="585" customWidth="1"/>
    <col min="3586" max="3586" width="103.140625" style="585" customWidth="1"/>
    <col min="3587" max="3590" width="11.7109375" style="585" customWidth="1"/>
    <col min="3591" max="3592" width="9.140625" style="585"/>
    <col min="3593" max="3593" width="11.7109375" style="585" customWidth="1"/>
    <col min="3594" max="3594" width="78.5703125" style="585" customWidth="1"/>
    <col min="3595" max="3598" width="11.7109375" style="585" customWidth="1"/>
    <col min="3599" max="3600" width="9.140625" style="585"/>
    <col min="3601" max="3601" width="11.7109375" style="585" customWidth="1"/>
    <col min="3602" max="3602" width="88.42578125" style="585" customWidth="1"/>
    <col min="3603" max="3606" width="11.7109375" style="585" customWidth="1"/>
    <col min="3607" max="3608" width="9.140625" style="585"/>
    <col min="3609" max="3609" width="11.7109375" style="585" customWidth="1"/>
    <col min="3610" max="3610" width="75.5703125" style="585" customWidth="1"/>
    <col min="3611" max="3614" width="11.7109375" style="585" customWidth="1"/>
    <col min="3615" max="3616" width="9.140625" style="585"/>
    <col min="3617" max="3617" width="11.7109375" style="585" customWidth="1"/>
    <col min="3618" max="3618" width="80.42578125" style="585" customWidth="1"/>
    <col min="3619" max="3622" width="11.7109375" style="585" customWidth="1"/>
    <col min="3623" max="3624" width="9.140625" style="585"/>
    <col min="3625" max="3625" width="11.7109375" style="585" customWidth="1"/>
    <col min="3626" max="3626" width="69.85546875" style="585" customWidth="1"/>
    <col min="3627" max="3630" width="11.7109375" style="585" customWidth="1"/>
    <col min="3631" max="3631" width="9.140625" style="585"/>
    <col min="3632" max="3632" width="11.7109375" style="585" customWidth="1"/>
    <col min="3633" max="3633" width="95.140625" style="585" customWidth="1"/>
    <col min="3634" max="3637" width="11.7109375" style="585" customWidth="1"/>
    <col min="3638" max="3638" width="9.140625" style="585"/>
    <col min="3639" max="3639" width="11.7109375" style="585" customWidth="1"/>
    <col min="3640" max="3640" width="95.140625" style="585" customWidth="1"/>
    <col min="3641" max="3644" width="11.7109375" style="585" customWidth="1"/>
    <col min="3645" max="3645" width="11.5703125" style="585" customWidth="1"/>
    <col min="3646" max="3646" width="11.7109375" style="585" customWidth="1"/>
    <col min="3647" max="3647" width="95.140625" style="585" customWidth="1"/>
    <col min="3648" max="3651" width="11.7109375" style="585" customWidth="1"/>
    <col min="3652" max="3840" width="9.140625" style="585"/>
    <col min="3841" max="3841" width="11.5703125" style="585" customWidth="1"/>
    <col min="3842" max="3842" width="103.140625" style="585" customWidth="1"/>
    <col min="3843" max="3846" width="11.7109375" style="585" customWidth="1"/>
    <col min="3847" max="3848" width="9.140625" style="585"/>
    <col min="3849" max="3849" width="11.7109375" style="585" customWidth="1"/>
    <col min="3850" max="3850" width="78.5703125" style="585" customWidth="1"/>
    <col min="3851" max="3854" width="11.7109375" style="585" customWidth="1"/>
    <col min="3855" max="3856" width="9.140625" style="585"/>
    <col min="3857" max="3857" width="11.7109375" style="585" customWidth="1"/>
    <col min="3858" max="3858" width="88.42578125" style="585" customWidth="1"/>
    <col min="3859" max="3862" width="11.7109375" style="585" customWidth="1"/>
    <col min="3863" max="3864" width="9.140625" style="585"/>
    <col min="3865" max="3865" width="11.7109375" style="585" customWidth="1"/>
    <col min="3866" max="3866" width="75.5703125" style="585" customWidth="1"/>
    <col min="3867" max="3870" width="11.7109375" style="585" customWidth="1"/>
    <col min="3871" max="3872" width="9.140625" style="585"/>
    <col min="3873" max="3873" width="11.7109375" style="585" customWidth="1"/>
    <col min="3874" max="3874" width="80.42578125" style="585" customWidth="1"/>
    <col min="3875" max="3878" width="11.7109375" style="585" customWidth="1"/>
    <col min="3879" max="3880" width="9.140625" style="585"/>
    <col min="3881" max="3881" width="11.7109375" style="585" customWidth="1"/>
    <col min="3882" max="3882" width="69.85546875" style="585" customWidth="1"/>
    <col min="3883" max="3886" width="11.7109375" style="585" customWidth="1"/>
    <col min="3887" max="3887" width="9.140625" style="585"/>
    <col min="3888" max="3888" width="11.7109375" style="585" customWidth="1"/>
    <col min="3889" max="3889" width="95.140625" style="585" customWidth="1"/>
    <col min="3890" max="3893" width="11.7109375" style="585" customWidth="1"/>
    <col min="3894" max="3894" width="9.140625" style="585"/>
    <col min="3895" max="3895" width="11.7109375" style="585" customWidth="1"/>
    <col min="3896" max="3896" width="95.140625" style="585" customWidth="1"/>
    <col min="3897" max="3900" width="11.7109375" style="585" customWidth="1"/>
    <col min="3901" max="3901" width="11.5703125" style="585" customWidth="1"/>
    <col min="3902" max="3902" width="11.7109375" style="585" customWidth="1"/>
    <col min="3903" max="3903" width="95.140625" style="585" customWidth="1"/>
    <col min="3904" max="3907" width="11.7109375" style="585" customWidth="1"/>
    <col min="3908" max="4096" width="9.140625" style="585"/>
    <col min="4097" max="4097" width="11.5703125" style="585" customWidth="1"/>
    <col min="4098" max="4098" width="103.140625" style="585" customWidth="1"/>
    <col min="4099" max="4102" width="11.7109375" style="585" customWidth="1"/>
    <col min="4103" max="4104" width="9.140625" style="585"/>
    <col min="4105" max="4105" width="11.7109375" style="585" customWidth="1"/>
    <col min="4106" max="4106" width="78.5703125" style="585" customWidth="1"/>
    <col min="4107" max="4110" width="11.7109375" style="585" customWidth="1"/>
    <col min="4111" max="4112" width="9.140625" style="585"/>
    <col min="4113" max="4113" width="11.7109375" style="585" customWidth="1"/>
    <col min="4114" max="4114" width="88.42578125" style="585" customWidth="1"/>
    <col min="4115" max="4118" width="11.7109375" style="585" customWidth="1"/>
    <col min="4119" max="4120" width="9.140625" style="585"/>
    <col min="4121" max="4121" width="11.7109375" style="585" customWidth="1"/>
    <col min="4122" max="4122" width="75.5703125" style="585" customWidth="1"/>
    <col min="4123" max="4126" width="11.7109375" style="585" customWidth="1"/>
    <col min="4127" max="4128" width="9.140625" style="585"/>
    <col min="4129" max="4129" width="11.7109375" style="585" customWidth="1"/>
    <col min="4130" max="4130" width="80.42578125" style="585" customWidth="1"/>
    <col min="4131" max="4134" width="11.7109375" style="585" customWidth="1"/>
    <col min="4135" max="4136" width="9.140625" style="585"/>
    <col min="4137" max="4137" width="11.7109375" style="585" customWidth="1"/>
    <col min="4138" max="4138" width="69.85546875" style="585" customWidth="1"/>
    <col min="4139" max="4142" width="11.7109375" style="585" customWidth="1"/>
    <col min="4143" max="4143" width="9.140625" style="585"/>
    <col min="4144" max="4144" width="11.7109375" style="585" customWidth="1"/>
    <col min="4145" max="4145" width="95.140625" style="585" customWidth="1"/>
    <col min="4146" max="4149" width="11.7109375" style="585" customWidth="1"/>
    <col min="4150" max="4150" width="9.140625" style="585"/>
    <col min="4151" max="4151" width="11.7109375" style="585" customWidth="1"/>
    <col min="4152" max="4152" width="95.140625" style="585" customWidth="1"/>
    <col min="4153" max="4156" width="11.7109375" style="585" customWidth="1"/>
    <col min="4157" max="4157" width="11.5703125" style="585" customWidth="1"/>
    <col min="4158" max="4158" width="11.7109375" style="585" customWidth="1"/>
    <col min="4159" max="4159" width="95.140625" style="585" customWidth="1"/>
    <col min="4160" max="4163" width="11.7109375" style="585" customWidth="1"/>
    <col min="4164" max="4352" width="9.140625" style="585"/>
    <col min="4353" max="4353" width="11.5703125" style="585" customWidth="1"/>
    <col min="4354" max="4354" width="103.140625" style="585" customWidth="1"/>
    <col min="4355" max="4358" width="11.7109375" style="585" customWidth="1"/>
    <col min="4359" max="4360" width="9.140625" style="585"/>
    <col min="4361" max="4361" width="11.7109375" style="585" customWidth="1"/>
    <col min="4362" max="4362" width="78.5703125" style="585" customWidth="1"/>
    <col min="4363" max="4366" width="11.7109375" style="585" customWidth="1"/>
    <col min="4367" max="4368" width="9.140625" style="585"/>
    <col min="4369" max="4369" width="11.7109375" style="585" customWidth="1"/>
    <col min="4370" max="4370" width="88.42578125" style="585" customWidth="1"/>
    <col min="4371" max="4374" width="11.7109375" style="585" customWidth="1"/>
    <col min="4375" max="4376" width="9.140625" style="585"/>
    <col min="4377" max="4377" width="11.7109375" style="585" customWidth="1"/>
    <col min="4378" max="4378" width="75.5703125" style="585" customWidth="1"/>
    <col min="4379" max="4382" width="11.7109375" style="585" customWidth="1"/>
    <col min="4383" max="4384" width="9.140625" style="585"/>
    <col min="4385" max="4385" width="11.7109375" style="585" customWidth="1"/>
    <col min="4386" max="4386" width="80.42578125" style="585" customWidth="1"/>
    <col min="4387" max="4390" width="11.7109375" style="585" customWidth="1"/>
    <col min="4391" max="4392" width="9.140625" style="585"/>
    <col min="4393" max="4393" width="11.7109375" style="585" customWidth="1"/>
    <col min="4394" max="4394" width="69.85546875" style="585" customWidth="1"/>
    <col min="4395" max="4398" width="11.7109375" style="585" customWidth="1"/>
    <col min="4399" max="4399" width="9.140625" style="585"/>
    <col min="4400" max="4400" width="11.7109375" style="585" customWidth="1"/>
    <col min="4401" max="4401" width="95.140625" style="585" customWidth="1"/>
    <col min="4402" max="4405" width="11.7109375" style="585" customWidth="1"/>
    <col min="4406" max="4406" width="9.140625" style="585"/>
    <col min="4407" max="4407" width="11.7109375" style="585" customWidth="1"/>
    <col min="4408" max="4408" width="95.140625" style="585" customWidth="1"/>
    <col min="4409" max="4412" width="11.7109375" style="585" customWidth="1"/>
    <col min="4413" max="4413" width="11.5703125" style="585" customWidth="1"/>
    <col min="4414" max="4414" width="11.7109375" style="585" customWidth="1"/>
    <col min="4415" max="4415" width="95.140625" style="585" customWidth="1"/>
    <col min="4416" max="4419" width="11.7109375" style="585" customWidth="1"/>
    <col min="4420" max="4608" width="9.140625" style="585"/>
    <col min="4609" max="4609" width="11.5703125" style="585" customWidth="1"/>
    <col min="4610" max="4610" width="103.140625" style="585" customWidth="1"/>
    <col min="4611" max="4614" width="11.7109375" style="585" customWidth="1"/>
    <col min="4615" max="4616" width="9.140625" style="585"/>
    <col min="4617" max="4617" width="11.7109375" style="585" customWidth="1"/>
    <col min="4618" max="4618" width="78.5703125" style="585" customWidth="1"/>
    <col min="4619" max="4622" width="11.7109375" style="585" customWidth="1"/>
    <col min="4623" max="4624" width="9.140625" style="585"/>
    <col min="4625" max="4625" width="11.7109375" style="585" customWidth="1"/>
    <col min="4626" max="4626" width="88.42578125" style="585" customWidth="1"/>
    <col min="4627" max="4630" width="11.7109375" style="585" customWidth="1"/>
    <col min="4631" max="4632" width="9.140625" style="585"/>
    <col min="4633" max="4633" width="11.7109375" style="585" customWidth="1"/>
    <col min="4634" max="4634" width="75.5703125" style="585" customWidth="1"/>
    <col min="4635" max="4638" width="11.7109375" style="585" customWidth="1"/>
    <col min="4639" max="4640" width="9.140625" style="585"/>
    <col min="4641" max="4641" width="11.7109375" style="585" customWidth="1"/>
    <col min="4642" max="4642" width="80.42578125" style="585" customWidth="1"/>
    <col min="4643" max="4646" width="11.7109375" style="585" customWidth="1"/>
    <col min="4647" max="4648" width="9.140625" style="585"/>
    <col min="4649" max="4649" width="11.7109375" style="585" customWidth="1"/>
    <col min="4650" max="4650" width="69.85546875" style="585" customWidth="1"/>
    <col min="4651" max="4654" width="11.7109375" style="585" customWidth="1"/>
    <col min="4655" max="4655" width="9.140625" style="585"/>
    <col min="4656" max="4656" width="11.7109375" style="585" customWidth="1"/>
    <col min="4657" max="4657" width="95.140625" style="585" customWidth="1"/>
    <col min="4658" max="4661" width="11.7109375" style="585" customWidth="1"/>
    <col min="4662" max="4662" width="9.140625" style="585"/>
    <col min="4663" max="4663" width="11.7109375" style="585" customWidth="1"/>
    <col min="4664" max="4664" width="95.140625" style="585" customWidth="1"/>
    <col min="4665" max="4668" width="11.7109375" style="585" customWidth="1"/>
    <col min="4669" max="4669" width="11.5703125" style="585" customWidth="1"/>
    <col min="4670" max="4670" width="11.7109375" style="585" customWidth="1"/>
    <col min="4671" max="4671" width="95.140625" style="585" customWidth="1"/>
    <col min="4672" max="4675" width="11.7109375" style="585" customWidth="1"/>
    <col min="4676" max="4864" width="9.140625" style="585"/>
    <col min="4865" max="4865" width="11.5703125" style="585" customWidth="1"/>
    <col min="4866" max="4866" width="103.140625" style="585" customWidth="1"/>
    <col min="4867" max="4870" width="11.7109375" style="585" customWidth="1"/>
    <col min="4871" max="4872" width="9.140625" style="585"/>
    <col min="4873" max="4873" width="11.7109375" style="585" customWidth="1"/>
    <col min="4874" max="4874" width="78.5703125" style="585" customWidth="1"/>
    <col min="4875" max="4878" width="11.7109375" style="585" customWidth="1"/>
    <col min="4879" max="4880" width="9.140625" style="585"/>
    <col min="4881" max="4881" width="11.7109375" style="585" customWidth="1"/>
    <col min="4882" max="4882" width="88.42578125" style="585" customWidth="1"/>
    <col min="4883" max="4886" width="11.7109375" style="585" customWidth="1"/>
    <col min="4887" max="4888" width="9.140625" style="585"/>
    <col min="4889" max="4889" width="11.7109375" style="585" customWidth="1"/>
    <col min="4890" max="4890" width="75.5703125" style="585" customWidth="1"/>
    <col min="4891" max="4894" width="11.7109375" style="585" customWidth="1"/>
    <col min="4895" max="4896" width="9.140625" style="585"/>
    <col min="4897" max="4897" width="11.7109375" style="585" customWidth="1"/>
    <col min="4898" max="4898" width="80.42578125" style="585" customWidth="1"/>
    <col min="4899" max="4902" width="11.7109375" style="585" customWidth="1"/>
    <col min="4903" max="4904" width="9.140625" style="585"/>
    <col min="4905" max="4905" width="11.7109375" style="585" customWidth="1"/>
    <col min="4906" max="4906" width="69.85546875" style="585" customWidth="1"/>
    <col min="4907" max="4910" width="11.7109375" style="585" customWidth="1"/>
    <col min="4911" max="4911" width="9.140625" style="585"/>
    <col min="4912" max="4912" width="11.7109375" style="585" customWidth="1"/>
    <col min="4913" max="4913" width="95.140625" style="585" customWidth="1"/>
    <col min="4914" max="4917" width="11.7109375" style="585" customWidth="1"/>
    <col min="4918" max="4918" width="9.140625" style="585"/>
    <col min="4919" max="4919" width="11.7109375" style="585" customWidth="1"/>
    <col min="4920" max="4920" width="95.140625" style="585" customWidth="1"/>
    <col min="4921" max="4924" width="11.7109375" style="585" customWidth="1"/>
    <col min="4925" max="4925" width="11.5703125" style="585" customWidth="1"/>
    <col min="4926" max="4926" width="11.7109375" style="585" customWidth="1"/>
    <col min="4927" max="4927" width="95.140625" style="585" customWidth="1"/>
    <col min="4928" max="4931" width="11.7109375" style="585" customWidth="1"/>
    <col min="4932" max="5120" width="9.140625" style="585"/>
    <col min="5121" max="5121" width="11.5703125" style="585" customWidth="1"/>
    <col min="5122" max="5122" width="103.140625" style="585" customWidth="1"/>
    <col min="5123" max="5126" width="11.7109375" style="585" customWidth="1"/>
    <col min="5127" max="5128" width="9.140625" style="585"/>
    <col min="5129" max="5129" width="11.7109375" style="585" customWidth="1"/>
    <col min="5130" max="5130" width="78.5703125" style="585" customWidth="1"/>
    <col min="5131" max="5134" width="11.7109375" style="585" customWidth="1"/>
    <col min="5135" max="5136" width="9.140625" style="585"/>
    <col min="5137" max="5137" width="11.7109375" style="585" customWidth="1"/>
    <col min="5138" max="5138" width="88.42578125" style="585" customWidth="1"/>
    <col min="5139" max="5142" width="11.7109375" style="585" customWidth="1"/>
    <col min="5143" max="5144" width="9.140625" style="585"/>
    <col min="5145" max="5145" width="11.7109375" style="585" customWidth="1"/>
    <col min="5146" max="5146" width="75.5703125" style="585" customWidth="1"/>
    <col min="5147" max="5150" width="11.7109375" style="585" customWidth="1"/>
    <col min="5151" max="5152" width="9.140625" style="585"/>
    <col min="5153" max="5153" width="11.7109375" style="585" customWidth="1"/>
    <col min="5154" max="5154" width="80.42578125" style="585" customWidth="1"/>
    <col min="5155" max="5158" width="11.7109375" style="585" customWidth="1"/>
    <col min="5159" max="5160" width="9.140625" style="585"/>
    <col min="5161" max="5161" width="11.7109375" style="585" customWidth="1"/>
    <col min="5162" max="5162" width="69.85546875" style="585" customWidth="1"/>
    <col min="5163" max="5166" width="11.7109375" style="585" customWidth="1"/>
    <col min="5167" max="5167" width="9.140625" style="585"/>
    <col min="5168" max="5168" width="11.7109375" style="585" customWidth="1"/>
    <col min="5169" max="5169" width="95.140625" style="585" customWidth="1"/>
    <col min="5170" max="5173" width="11.7109375" style="585" customWidth="1"/>
    <col min="5174" max="5174" width="9.140625" style="585"/>
    <col min="5175" max="5175" width="11.7109375" style="585" customWidth="1"/>
    <col min="5176" max="5176" width="95.140625" style="585" customWidth="1"/>
    <col min="5177" max="5180" width="11.7109375" style="585" customWidth="1"/>
    <col min="5181" max="5181" width="11.5703125" style="585" customWidth="1"/>
    <col min="5182" max="5182" width="11.7109375" style="585" customWidth="1"/>
    <col min="5183" max="5183" width="95.140625" style="585" customWidth="1"/>
    <col min="5184" max="5187" width="11.7109375" style="585" customWidth="1"/>
    <col min="5188" max="5376" width="9.140625" style="585"/>
    <col min="5377" max="5377" width="11.5703125" style="585" customWidth="1"/>
    <col min="5378" max="5378" width="103.140625" style="585" customWidth="1"/>
    <col min="5379" max="5382" width="11.7109375" style="585" customWidth="1"/>
    <col min="5383" max="5384" width="9.140625" style="585"/>
    <col min="5385" max="5385" width="11.7109375" style="585" customWidth="1"/>
    <col min="5386" max="5386" width="78.5703125" style="585" customWidth="1"/>
    <col min="5387" max="5390" width="11.7109375" style="585" customWidth="1"/>
    <col min="5391" max="5392" width="9.140625" style="585"/>
    <col min="5393" max="5393" width="11.7109375" style="585" customWidth="1"/>
    <col min="5394" max="5394" width="88.42578125" style="585" customWidth="1"/>
    <col min="5395" max="5398" width="11.7109375" style="585" customWidth="1"/>
    <col min="5399" max="5400" width="9.140625" style="585"/>
    <col min="5401" max="5401" width="11.7109375" style="585" customWidth="1"/>
    <col min="5402" max="5402" width="75.5703125" style="585" customWidth="1"/>
    <col min="5403" max="5406" width="11.7109375" style="585" customWidth="1"/>
    <col min="5407" max="5408" width="9.140625" style="585"/>
    <col min="5409" max="5409" width="11.7109375" style="585" customWidth="1"/>
    <col min="5410" max="5410" width="80.42578125" style="585" customWidth="1"/>
    <col min="5411" max="5414" width="11.7109375" style="585" customWidth="1"/>
    <col min="5415" max="5416" width="9.140625" style="585"/>
    <col min="5417" max="5417" width="11.7109375" style="585" customWidth="1"/>
    <col min="5418" max="5418" width="69.85546875" style="585" customWidth="1"/>
    <col min="5419" max="5422" width="11.7109375" style="585" customWidth="1"/>
    <col min="5423" max="5423" width="9.140625" style="585"/>
    <col min="5424" max="5424" width="11.7109375" style="585" customWidth="1"/>
    <col min="5425" max="5425" width="95.140625" style="585" customWidth="1"/>
    <col min="5426" max="5429" width="11.7109375" style="585" customWidth="1"/>
    <col min="5430" max="5430" width="9.140625" style="585"/>
    <col min="5431" max="5431" width="11.7109375" style="585" customWidth="1"/>
    <col min="5432" max="5432" width="95.140625" style="585" customWidth="1"/>
    <col min="5433" max="5436" width="11.7109375" style="585" customWidth="1"/>
    <col min="5437" max="5437" width="11.5703125" style="585" customWidth="1"/>
    <col min="5438" max="5438" width="11.7109375" style="585" customWidth="1"/>
    <col min="5439" max="5439" width="95.140625" style="585" customWidth="1"/>
    <col min="5440" max="5443" width="11.7109375" style="585" customWidth="1"/>
    <col min="5444" max="5632" width="9.140625" style="585"/>
    <col min="5633" max="5633" width="11.5703125" style="585" customWidth="1"/>
    <col min="5634" max="5634" width="103.140625" style="585" customWidth="1"/>
    <col min="5635" max="5638" width="11.7109375" style="585" customWidth="1"/>
    <col min="5639" max="5640" width="9.140625" style="585"/>
    <col min="5641" max="5641" width="11.7109375" style="585" customWidth="1"/>
    <col min="5642" max="5642" width="78.5703125" style="585" customWidth="1"/>
    <col min="5643" max="5646" width="11.7109375" style="585" customWidth="1"/>
    <col min="5647" max="5648" width="9.140625" style="585"/>
    <col min="5649" max="5649" width="11.7109375" style="585" customWidth="1"/>
    <col min="5650" max="5650" width="88.42578125" style="585" customWidth="1"/>
    <col min="5651" max="5654" width="11.7109375" style="585" customWidth="1"/>
    <col min="5655" max="5656" width="9.140625" style="585"/>
    <col min="5657" max="5657" width="11.7109375" style="585" customWidth="1"/>
    <col min="5658" max="5658" width="75.5703125" style="585" customWidth="1"/>
    <col min="5659" max="5662" width="11.7109375" style="585" customWidth="1"/>
    <col min="5663" max="5664" width="9.140625" style="585"/>
    <col min="5665" max="5665" width="11.7109375" style="585" customWidth="1"/>
    <col min="5666" max="5666" width="80.42578125" style="585" customWidth="1"/>
    <col min="5667" max="5670" width="11.7109375" style="585" customWidth="1"/>
    <col min="5671" max="5672" width="9.140625" style="585"/>
    <col min="5673" max="5673" width="11.7109375" style="585" customWidth="1"/>
    <col min="5674" max="5674" width="69.85546875" style="585" customWidth="1"/>
    <col min="5675" max="5678" width="11.7109375" style="585" customWidth="1"/>
    <col min="5679" max="5679" width="9.140625" style="585"/>
    <col min="5680" max="5680" width="11.7109375" style="585" customWidth="1"/>
    <col min="5681" max="5681" width="95.140625" style="585" customWidth="1"/>
    <col min="5682" max="5685" width="11.7109375" style="585" customWidth="1"/>
    <col min="5686" max="5686" width="9.140625" style="585"/>
    <col min="5687" max="5687" width="11.7109375" style="585" customWidth="1"/>
    <col min="5688" max="5688" width="95.140625" style="585" customWidth="1"/>
    <col min="5689" max="5692" width="11.7109375" style="585" customWidth="1"/>
    <col min="5693" max="5693" width="11.5703125" style="585" customWidth="1"/>
    <col min="5694" max="5694" width="11.7109375" style="585" customWidth="1"/>
    <col min="5695" max="5695" width="95.140625" style="585" customWidth="1"/>
    <col min="5696" max="5699" width="11.7109375" style="585" customWidth="1"/>
    <col min="5700" max="5888" width="9.140625" style="585"/>
    <col min="5889" max="5889" width="11.5703125" style="585" customWidth="1"/>
    <col min="5890" max="5890" width="103.140625" style="585" customWidth="1"/>
    <col min="5891" max="5894" width="11.7109375" style="585" customWidth="1"/>
    <col min="5895" max="5896" width="9.140625" style="585"/>
    <col min="5897" max="5897" width="11.7109375" style="585" customWidth="1"/>
    <col min="5898" max="5898" width="78.5703125" style="585" customWidth="1"/>
    <col min="5899" max="5902" width="11.7109375" style="585" customWidth="1"/>
    <col min="5903" max="5904" width="9.140625" style="585"/>
    <col min="5905" max="5905" width="11.7109375" style="585" customWidth="1"/>
    <col min="5906" max="5906" width="88.42578125" style="585" customWidth="1"/>
    <col min="5907" max="5910" width="11.7109375" style="585" customWidth="1"/>
    <col min="5911" max="5912" width="9.140625" style="585"/>
    <col min="5913" max="5913" width="11.7109375" style="585" customWidth="1"/>
    <col min="5914" max="5914" width="75.5703125" style="585" customWidth="1"/>
    <col min="5915" max="5918" width="11.7109375" style="585" customWidth="1"/>
    <col min="5919" max="5920" width="9.140625" style="585"/>
    <col min="5921" max="5921" width="11.7109375" style="585" customWidth="1"/>
    <col min="5922" max="5922" width="80.42578125" style="585" customWidth="1"/>
    <col min="5923" max="5926" width="11.7109375" style="585" customWidth="1"/>
    <col min="5927" max="5928" width="9.140625" style="585"/>
    <col min="5929" max="5929" width="11.7109375" style="585" customWidth="1"/>
    <col min="5930" max="5930" width="69.85546875" style="585" customWidth="1"/>
    <col min="5931" max="5934" width="11.7109375" style="585" customWidth="1"/>
    <col min="5935" max="5935" width="9.140625" style="585"/>
    <col min="5936" max="5936" width="11.7109375" style="585" customWidth="1"/>
    <col min="5937" max="5937" width="95.140625" style="585" customWidth="1"/>
    <col min="5938" max="5941" width="11.7109375" style="585" customWidth="1"/>
    <col min="5942" max="5942" width="9.140625" style="585"/>
    <col min="5943" max="5943" width="11.7109375" style="585" customWidth="1"/>
    <col min="5944" max="5944" width="95.140625" style="585" customWidth="1"/>
    <col min="5945" max="5948" width="11.7109375" style="585" customWidth="1"/>
    <col min="5949" max="5949" width="11.5703125" style="585" customWidth="1"/>
    <col min="5950" max="5950" width="11.7109375" style="585" customWidth="1"/>
    <col min="5951" max="5951" width="95.140625" style="585" customWidth="1"/>
    <col min="5952" max="5955" width="11.7109375" style="585" customWidth="1"/>
    <col min="5956" max="6144" width="9.140625" style="585"/>
    <col min="6145" max="6145" width="11.5703125" style="585" customWidth="1"/>
    <col min="6146" max="6146" width="103.140625" style="585" customWidth="1"/>
    <col min="6147" max="6150" width="11.7109375" style="585" customWidth="1"/>
    <col min="6151" max="6152" width="9.140625" style="585"/>
    <col min="6153" max="6153" width="11.7109375" style="585" customWidth="1"/>
    <col min="6154" max="6154" width="78.5703125" style="585" customWidth="1"/>
    <col min="6155" max="6158" width="11.7109375" style="585" customWidth="1"/>
    <col min="6159" max="6160" width="9.140625" style="585"/>
    <col min="6161" max="6161" width="11.7109375" style="585" customWidth="1"/>
    <col min="6162" max="6162" width="88.42578125" style="585" customWidth="1"/>
    <col min="6163" max="6166" width="11.7109375" style="585" customWidth="1"/>
    <col min="6167" max="6168" width="9.140625" style="585"/>
    <col min="6169" max="6169" width="11.7109375" style="585" customWidth="1"/>
    <col min="6170" max="6170" width="75.5703125" style="585" customWidth="1"/>
    <col min="6171" max="6174" width="11.7109375" style="585" customWidth="1"/>
    <col min="6175" max="6176" width="9.140625" style="585"/>
    <col min="6177" max="6177" width="11.7109375" style="585" customWidth="1"/>
    <col min="6178" max="6178" width="80.42578125" style="585" customWidth="1"/>
    <col min="6179" max="6182" width="11.7109375" style="585" customWidth="1"/>
    <col min="6183" max="6184" width="9.140625" style="585"/>
    <col min="6185" max="6185" width="11.7109375" style="585" customWidth="1"/>
    <col min="6186" max="6186" width="69.85546875" style="585" customWidth="1"/>
    <col min="6187" max="6190" width="11.7109375" style="585" customWidth="1"/>
    <col min="6191" max="6191" width="9.140625" style="585"/>
    <col min="6192" max="6192" width="11.7109375" style="585" customWidth="1"/>
    <col min="6193" max="6193" width="95.140625" style="585" customWidth="1"/>
    <col min="6194" max="6197" width="11.7109375" style="585" customWidth="1"/>
    <col min="6198" max="6198" width="9.140625" style="585"/>
    <col min="6199" max="6199" width="11.7109375" style="585" customWidth="1"/>
    <col min="6200" max="6200" width="95.140625" style="585" customWidth="1"/>
    <col min="6201" max="6204" width="11.7109375" style="585" customWidth="1"/>
    <col min="6205" max="6205" width="11.5703125" style="585" customWidth="1"/>
    <col min="6206" max="6206" width="11.7109375" style="585" customWidth="1"/>
    <col min="6207" max="6207" width="95.140625" style="585" customWidth="1"/>
    <col min="6208" max="6211" width="11.7109375" style="585" customWidth="1"/>
    <col min="6212" max="6400" width="9.140625" style="585"/>
    <col min="6401" max="6401" width="11.5703125" style="585" customWidth="1"/>
    <col min="6402" max="6402" width="103.140625" style="585" customWidth="1"/>
    <col min="6403" max="6406" width="11.7109375" style="585" customWidth="1"/>
    <col min="6407" max="6408" width="9.140625" style="585"/>
    <col min="6409" max="6409" width="11.7109375" style="585" customWidth="1"/>
    <col min="6410" max="6410" width="78.5703125" style="585" customWidth="1"/>
    <col min="6411" max="6414" width="11.7109375" style="585" customWidth="1"/>
    <col min="6415" max="6416" width="9.140625" style="585"/>
    <col min="6417" max="6417" width="11.7109375" style="585" customWidth="1"/>
    <col min="6418" max="6418" width="88.42578125" style="585" customWidth="1"/>
    <col min="6419" max="6422" width="11.7109375" style="585" customWidth="1"/>
    <col min="6423" max="6424" width="9.140625" style="585"/>
    <col min="6425" max="6425" width="11.7109375" style="585" customWidth="1"/>
    <col min="6426" max="6426" width="75.5703125" style="585" customWidth="1"/>
    <col min="6427" max="6430" width="11.7109375" style="585" customWidth="1"/>
    <col min="6431" max="6432" width="9.140625" style="585"/>
    <col min="6433" max="6433" width="11.7109375" style="585" customWidth="1"/>
    <col min="6434" max="6434" width="80.42578125" style="585" customWidth="1"/>
    <col min="6435" max="6438" width="11.7109375" style="585" customWidth="1"/>
    <col min="6439" max="6440" width="9.140625" style="585"/>
    <col min="6441" max="6441" width="11.7109375" style="585" customWidth="1"/>
    <col min="6442" max="6442" width="69.85546875" style="585" customWidth="1"/>
    <col min="6443" max="6446" width="11.7109375" style="585" customWidth="1"/>
    <col min="6447" max="6447" width="9.140625" style="585"/>
    <col min="6448" max="6448" width="11.7109375" style="585" customWidth="1"/>
    <col min="6449" max="6449" width="95.140625" style="585" customWidth="1"/>
    <col min="6450" max="6453" width="11.7109375" style="585" customWidth="1"/>
    <col min="6454" max="6454" width="9.140625" style="585"/>
    <col min="6455" max="6455" width="11.7109375" style="585" customWidth="1"/>
    <col min="6456" max="6456" width="95.140625" style="585" customWidth="1"/>
    <col min="6457" max="6460" width="11.7109375" style="585" customWidth="1"/>
    <col min="6461" max="6461" width="11.5703125" style="585" customWidth="1"/>
    <col min="6462" max="6462" width="11.7109375" style="585" customWidth="1"/>
    <col min="6463" max="6463" width="95.140625" style="585" customWidth="1"/>
    <col min="6464" max="6467" width="11.7109375" style="585" customWidth="1"/>
    <col min="6468" max="6656" width="9.140625" style="585"/>
    <col min="6657" max="6657" width="11.5703125" style="585" customWidth="1"/>
    <col min="6658" max="6658" width="103.140625" style="585" customWidth="1"/>
    <col min="6659" max="6662" width="11.7109375" style="585" customWidth="1"/>
    <col min="6663" max="6664" width="9.140625" style="585"/>
    <col min="6665" max="6665" width="11.7109375" style="585" customWidth="1"/>
    <col min="6666" max="6666" width="78.5703125" style="585" customWidth="1"/>
    <col min="6667" max="6670" width="11.7109375" style="585" customWidth="1"/>
    <col min="6671" max="6672" width="9.140625" style="585"/>
    <col min="6673" max="6673" width="11.7109375" style="585" customWidth="1"/>
    <col min="6674" max="6674" width="88.42578125" style="585" customWidth="1"/>
    <col min="6675" max="6678" width="11.7109375" style="585" customWidth="1"/>
    <col min="6679" max="6680" width="9.140625" style="585"/>
    <col min="6681" max="6681" width="11.7109375" style="585" customWidth="1"/>
    <col min="6682" max="6682" width="75.5703125" style="585" customWidth="1"/>
    <col min="6683" max="6686" width="11.7109375" style="585" customWidth="1"/>
    <col min="6687" max="6688" width="9.140625" style="585"/>
    <col min="6689" max="6689" width="11.7109375" style="585" customWidth="1"/>
    <col min="6690" max="6690" width="80.42578125" style="585" customWidth="1"/>
    <col min="6691" max="6694" width="11.7109375" style="585" customWidth="1"/>
    <col min="6695" max="6696" width="9.140625" style="585"/>
    <col min="6697" max="6697" width="11.7109375" style="585" customWidth="1"/>
    <col min="6698" max="6698" width="69.85546875" style="585" customWidth="1"/>
    <col min="6699" max="6702" width="11.7109375" style="585" customWidth="1"/>
    <col min="6703" max="6703" width="9.140625" style="585"/>
    <col min="6704" max="6704" width="11.7109375" style="585" customWidth="1"/>
    <col min="6705" max="6705" width="95.140625" style="585" customWidth="1"/>
    <col min="6706" max="6709" width="11.7109375" style="585" customWidth="1"/>
    <col min="6710" max="6710" width="9.140625" style="585"/>
    <col min="6711" max="6711" width="11.7109375" style="585" customWidth="1"/>
    <col min="6712" max="6712" width="95.140625" style="585" customWidth="1"/>
    <col min="6713" max="6716" width="11.7109375" style="585" customWidth="1"/>
    <col min="6717" max="6717" width="11.5703125" style="585" customWidth="1"/>
    <col min="6718" max="6718" width="11.7109375" style="585" customWidth="1"/>
    <col min="6719" max="6719" width="95.140625" style="585" customWidth="1"/>
    <col min="6720" max="6723" width="11.7109375" style="585" customWidth="1"/>
    <col min="6724" max="6912" width="9.140625" style="585"/>
    <col min="6913" max="6913" width="11.5703125" style="585" customWidth="1"/>
    <col min="6914" max="6914" width="103.140625" style="585" customWidth="1"/>
    <col min="6915" max="6918" width="11.7109375" style="585" customWidth="1"/>
    <col min="6919" max="6920" width="9.140625" style="585"/>
    <col min="6921" max="6921" width="11.7109375" style="585" customWidth="1"/>
    <col min="6922" max="6922" width="78.5703125" style="585" customWidth="1"/>
    <col min="6923" max="6926" width="11.7109375" style="585" customWidth="1"/>
    <col min="6927" max="6928" width="9.140625" style="585"/>
    <col min="6929" max="6929" width="11.7109375" style="585" customWidth="1"/>
    <col min="6930" max="6930" width="88.42578125" style="585" customWidth="1"/>
    <col min="6931" max="6934" width="11.7109375" style="585" customWidth="1"/>
    <col min="6935" max="6936" width="9.140625" style="585"/>
    <col min="6937" max="6937" width="11.7109375" style="585" customWidth="1"/>
    <col min="6938" max="6938" width="75.5703125" style="585" customWidth="1"/>
    <col min="6939" max="6942" width="11.7109375" style="585" customWidth="1"/>
    <col min="6943" max="6944" width="9.140625" style="585"/>
    <col min="6945" max="6945" width="11.7109375" style="585" customWidth="1"/>
    <col min="6946" max="6946" width="80.42578125" style="585" customWidth="1"/>
    <col min="6947" max="6950" width="11.7109375" style="585" customWidth="1"/>
    <col min="6951" max="6952" width="9.140625" style="585"/>
    <col min="6953" max="6953" width="11.7109375" style="585" customWidth="1"/>
    <col min="6954" max="6954" width="69.85546875" style="585" customWidth="1"/>
    <col min="6955" max="6958" width="11.7109375" style="585" customWidth="1"/>
    <col min="6959" max="6959" width="9.140625" style="585"/>
    <col min="6960" max="6960" width="11.7109375" style="585" customWidth="1"/>
    <col min="6961" max="6961" width="95.140625" style="585" customWidth="1"/>
    <col min="6962" max="6965" width="11.7109375" style="585" customWidth="1"/>
    <col min="6966" max="6966" width="9.140625" style="585"/>
    <col min="6967" max="6967" width="11.7109375" style="585" customWidth="1"/>
    <col min="6968" max="6968" width="95.140625" style="585" customWidth="1"/>
    <col min="6969" max="6972" width="11.7109375" style="585" customWidth="1"/>
    <col min="6973" max="6973" width="11.5703125" style="585" customWidth="1"/>
    <col min="6974" max="6974" width="11.7109375" style="585" customWidth="1"/>
    <col min="6975" max="6975" width="95.140625" style="585" customWidth="1"/>
    <col min="6976" max="6979" width="11.7109375" style="585" customWidth="1"/>
    <col min="6980" max="7168" width="9.140625" style="585"/>
    <col min="7169" max="7169" width="11.5703125" style="585" customWidth="1"/>
    <col min="7170" max="7170" width="103.140625" style="585" customWidth="1"/>
    <col min="7171" max="7174" width="11.7109375" style="585" customWidth="1"/>
    <col min="7175" max="7176" width="9.140625" style="585"/>
    <col min="7177" max="7177" width="11.7109375" style="585" customWidth="1"/>
    <col min="7178" max="7178" width="78.5703125" style="585" customWidth="1"/>
    <col min="7179" max="7182" width="11.7109375" style="585" customWidth="1"/>
    <col min="7183" max="7184" width="9.140625" style="585"/>
    <col min="7185" max="7185" width="11.7109375" style="585" customWidth="1"/>
    <col min="7186" max="7186" width="88.42578125" style="585" customWidth="1"/>
    <col min="7187" max="7190" width="11.7109375" style="585" customWidth="1"/>
    <col min="7191" max="7192" width="9.140625" style="585"/>
    <col min="7193" max="7193" width="11.7109375" style="585" customWidth="1"/>
    <col min="7194" max="7194" width="75.5703125" style="585" customWidth="1"/>
    <col min="7195" max="7198" width="11.7109375" style="585" customWidth="1"/>
    <col min="7199" max="7200" width="9.140625" style="585"/>
    <col min="7201" max="7201" width="11.7109375" style="585" customWidth="1"/>
    <col min="7202" max="7202" width="80.42578125" style="585" customWidth="1"/>
    <col min="7203" max="7206" width="11.7109375" style="585" customWidth="1"/>
    <col min="7207" max="7208" width="9.140625" style="585"/>
    <col min="7209" max="7209" width="11.7109375" style="585" customWidth="1"/>
    <col min="7210" max="7210" width="69.85546875" style="585" customWidth="1"/>
    <col min="7211" max="7214" width="11.7109375" style="585" customWidth="1"/>
    <col min="7215" max="7215" width="9.140625" style="585"/>
    <col min="7216" max="7216" width="11.7109375" style="585" customWidth="1"/>
    <col min="7217" max="7217" width="95.140625" style="585" customWidth="1"/>
    <col min="7218" max="7221" width="11.7109375" style="585" customWidth="1"/>
    <col min="7222" max="7222" width="9.140625" style="585"/>
    <col min="7223" max="7223" width="11.7109375" style="585" customWidth="1"/>
    <col min="7224" max="7224" width="95.140625" style="585" customWidth="1"/>
    <col min="7225" max="7228" width="11.7109375" style="585" customWidth="1"/>
    <col min="7229" max="7229" width="11.5703125" style="585" customWidth="1"/>
    <col min="7230" max="7230" width="11.7109375" style="585" customWidth="1"/>
    <col min="7231" max="7231" width="95.140625" style="585" customWidth="1"/>
    <col min="7232" max="7235" width="11.7109375" style="585" customWidth="1"/>
    <col min="7236" max="7424" width="9.140625" style="585"/>
    <col min="7425" max="7425" width="11.5703125" style="585" customWidth="1"/>
    <col min="7426" max="7426" width="103.140625" style="585" customWidth="1"/>
    <col min="7427" max="7430" width="11.7109375" style="585" customWidth="1"/>
    <col min="7431" max="7432" width="9.140625" style="585"/>
    <col min="7433" max="7433" width="11.7109375" style="585" customWidth="1"/>
    <col min="7434" max="7434" width="78.5703125" style="585" customWidth="1"/>
    <col min="7435" max="7438" width="11.7109375" style="585" customWidth="1"/>
    <col min="7439" max="7440" width="9.140625" style="585"/>
    <col min="7441" max="7441" width="11.7109375" style="585" customWidth="1"/>
    <col min="7442" max="7442" width="88.42578125" style="585" customWidth="1"/>
    <col min="7443" max="7446" width="11.7109375" style="585" customWidth="1"/>
    <col min="7447" max="7448" width="9.140625" style="585"/>
    <col min="7449" max="7449" width="11.7109375" style="585" customWidth="1"/>
    <col min="7450" max="7450" width="75.5703125" style="585" customWidth="1"/>
    <col min="7451" max="7454" width="11.7109375" style="585" customWidth="1"/>
    <col min="7455" max="7456" width="9.140625" style="585"/>
    <col min="7457" max="7457" width="11.7109375" style="585" customWidth="1"/>
    <col min="7458" max="7458" width="80.42578125" style="585" customWidth="1"/>
    <col min="7459" max="7462" width="11.7109375" style="585" customWidth="1"/>
    <col min="7463" max="7464" width="9.140625" style="585"/>
    <col min="7465" max="7465" width="11.7109375" style="585" customWidth="1"/>
    <col min="7466" max="7466" width="69.85546875" style="585" customWidth="1"/>
    <col min="7467" max="7470" width="11.7109375" style="585" customWidth="1"/>
    <col min="7471" max="7471" width="9.140625" style="585"/>
    <col min="7472" max="7472" width="11.7109375" style="585" customWidth="1"/>
    <col min="7473" max="7473" width="95.140625" style="585" customWidth="1"/>
    <col min="7474" max="7477" width="11.7109375" style="585" customWidth="1"/>
    <col min="7478" max="7478" width="9.140625" style="585"/>
    <col min="7479" max="7479" width="11.7109375" style="585" customWidth="1"/>
    <col min="7480" max="7480" width="95.140625" style="585" customWidth="1"/>
    <col min="7481" max="7484" width="11.7109375" style="585" customWidth="1"/>
    <col min="7485" max="7485" width="11.5703125" style="585" customWidth="1"/>
    <col min="7486" max="7486" width="11.7109375" style="585" customWidth="1"/>
    <col min="7487" max="7487" width="95.140625" style="585" customWidth="1"/>
    <col min="7488" max="7491" width="11.7109375" style="585" customWidth="1"/>
    <col min="7492" max="7680" width="9.140625" style="585"/>
    <col min="7681" max="7681" width="11.5703125" style="585" customWidth="1"/>
    <col min="7682" max="7682" width="103.140625" style="585" customWidth="1"/>
    <col min="7683" max="7686" width="11.7109375" style="585" customWidth="1"/>
    <col min="7687" max="7688" width="9.140625" style="585"/>
    <col min="7689" max="7689" width="11.7109375" style="585" customWidth="1"/>
    <col min="7690" max="7690" width="78.5703125" style="585" customWidth="1"/>
    <col min="7691" max="7694" width="11.7109375" style="585" customWidth="1"/>
    <col min="7695" max="7696" width="9.140625" style="585"/>
    <col min="7697" max="7697" width="11.7109375" style="585" customWidth="1"/>
    <col min="7698" max="7698" width="88.42578125" style="585" customWidth="1"/>
    <col min="7699" max="7702" width="11.7109375" style="585" customWidth="1"/>
    <col min="7703" max="7704" width="9.140625" style="585"/>
    <col min="7705" max="7705" width="11.7109375" style="585" customWidth="1"/>
    <col min="7706" max="7706" width="75.5703125" style="585" customWidth="1"/>
    <col min="7707" max="7710" width="11.7109375" style="585" customWidth="1"/>
    <col min="7711" max="7712" width="9.140625" style="585"/>
    <col min="7713" max="7713" width="11.7109375" style="585" customWidth="1"/>
    <col min="7714" max="7714" width="80.42578125" style="585" customWidth="1"/>
    <col min="7715" max="7718" width="11.7109375" style="585" customWidth="1"/>
    <col min="7719" max="7720" width="9.140625" style="585"/>
    <col min="7721" max="7721" width="11.7109375" style="585" customWidth="1"/>
    <col min="7722" max="7722" width="69.85546875" style="585" customWidth="1"/>
    <col min="7723" max="7726" width="11.7109375" style="585" customWidth="1"/>
    <col min="7727" max="7727" width="9.140625" style="585"/>
    <col min="7728" max="7728" width="11.7109375" style="585" customWidth="1"/>
    <col min="7729" max="7729" width="95.140625" style="585" customWidth="1"/>
    <col min="7730" max="7733" width="11.7109375" style="585" customWidth="1"/>
    <col min="7734" max="7734" width="9.140625" style="585"/>
    <col min="7735" max="7735" width="11.7109375" style="585" customWidth="1"/>
    <col min="7736" max="7736" width="95.140625" style="585" customWidth="1"/>
    <col min="7737" max="7740" width="11.7109375" style="585" customWidth="1"/>
    <col min="7741" max="7741" width="11.5703125" style="585" customWidth="1"/>
    <col min="7742" max="7742" width="11.7109375" style="585" customWidth="1"/>
    <col min="7743" max="7743" width="95.140625" style="585" customWidth="1"/>
    <col min="7744" max="7747" width="11.7109375" style="585" customWidth="1"/>
    <col min="7748" max="7936" width="9.140625" style="585"/>
    <col min="7937" max="7937" width="11.5703125" style="585" customWidth="1"/>
    <col min="7938" max="7938" width="103.140625" style="585" customWidth="1"/>
    <col min="7939" max="7942" width="11.7109375" style="585" customWidth="1"/>
    <col min="7943" max="7944" width="9.140625" style="585"/>
    <col min="7945" max="7945" width="11.7109375" style="585" customWidth="1"/>
    <col min="7946" max="7946" width="78.5703125" style="585" customWidth="1"/>
    <col min="7947" max="7950" width="11.7109375" style="585" customWidth="1"/>
    <col min="7951" max="7952" width="9.140625" style="585"/>
    <col min="7953" max="7953" width="11.7109375" style="585" customWidth="1"/>
    <col min="7954" max="7954" width="88.42578125" style="585" customWidth="1"/>
    <col min="7955" max="7958" width="11.7109375" style="585" customWidth="1"/>
    <col min="7959" max="7960" width="9.140625" style="585"/>
    <col min="7961" max="7961" width="11.7109375" style="585" customWidth="1"/>
    <col min="7962" max="7962" width="75.5703125" style="585" customWidth="1"/>
    <col min="7963" max="7966" width="11.7109375" style="585" customWidth="1"/>
    <col min="7967" max="7968" width="9.140625" style="585"/>
    <col min="7969" max="7969" width="11.7109375" style="585" customWidth="1"/>
    <col min="7970" max="7970" width="80.42578125" style="585" customWidth="1"/>
    <col min="7971" max="7974" width="11.7109375" style="585" customWidth="1"/>
    <col min="7975" max="7976" width="9.140625" style="585"/>
    <col min="7977" max="7977" width="11.7109375" style="585" customWidth="1"/>
    <col min="7978" max="7978" width="69.85546875" style="585" customWidth="1"/>
    <col min="7979" max="7982" width="11.7109375" style="585" customWidth="1"/>
    <col min="7983" max="7983" width="9.140625" style="585"/>
    <col min="7984" max="7984" width="11.7109375" style="585" customWidth="1"/>
    <col min="7985" max="7985" width="95.140625" style="585" customWidth="1"/>
    <col min="7986" max="7989" width="11.7109375" style="585" customWidth="1"/>
    <col min="7990" max="7990" width="9.140625" style="585"/>
    <col min="7991" max="7991" width="11.7109375" style="585" customWidth="1"/>
    <col min="7992" max="7992" width="95.140625" style="585" customWidth="1"/>
    <col min="7993" max="7996" width="11.7109375" style="585" customWidth="1"/>
    <col min="7997" max="7997" width="11.5703125" style="585" customWidth="1"/>
    <col min="7998" max="7998" width="11.7109375" style="585" customWidth="1"/>
    <col min="7999" max="7999" width="95.140625" style="585" customWidth="1"/>
    <col min="8000" max="8003" width="11.7109375" style="585" customWidth="1"/>
    <col min="8004" max="8192" width="9.140625" style="585"/>
    <col min="8193" max="8193" width="11.5703125" style="585" customWidth="1"/>
    <col min="8194" max="8194" width="103.140625" style="585" customWidth="1"/>
    <col min="8195" max="8198" width="11.7109375" style="585" customWidth="1"/>
    <col min="8199" max="8200" width="9.140625" style="585"/>
    <col min="8201" max="8201" width="11.7109375" style="585" customWidth="1"/>
    <col min="8202" max="8202" width="78.5703125" style="585" customWidth="1"/>
    <col min="8203" max="8206" width="11.7109375" style="585" customWidth="1"/>
    <col min="8207" max="8208" width="9.140625" style="585"/>
    <col min="8209" max="8209" width="11.7109375" style="585" customWidth="1"/>
    <col min="8210" max="8210" width="88.42578125" style="585" customWidth="1"/>
    <col min="8211" max="8214" width="11.7109375" style="585" customWidth="1"/>
    <col min="8215" max="8216" width="9.140625" style="585"/>
    <col min="8217" max="8217" width="11.7109375" style="585" customWidth="1"/>
    <col min="8218" max="8218" width="75.5703125" style="585" customWidth="1"/>
    <col min="8219" max="8222" width="11.7109375" style="585" customWidth="1"/>
    <col min="8223" max="8224" width="9.140625" style="585"/>
    <col min="8225" max="8225" width="11.7109375" style="585" customWidth="1"/>
    <col min="8226" max="8226" width="80.42578125" style="585" customWidth="1"/>
    <col min="8227" max="8230" width="11.7109375" style="585" customWidth="1"/>
    <col min="8231" max="8232" width="9.140625" style="585"/>
    <col min="8233" max="8233" width="11.7109375" style="585" customWidth="1"/>
    <col min="8234" max="8234" width="69.85546875" style="585" customWidth="1"/>
    <col min="8235" max="8238" width="11.7109375" style="585" customWidth="1"/>
    <col min="8239" max="8239" width="9.140625" style="585"/>
    <col min="8240" max="8240" width="11.7109375" style="585" customWidth="1"/>
    <col min="8241" max="8241" width="95.140625" style="585" customWidth="1"/>
    <col min="8242" max="8245" width="11.7109375" style="585" customWidth="1"/>
    <col min="8246" max="8246" width="9.140625" style="585"/>
    <col min="8247" max="8247" width="11.7109375" style="585" customWidth="1"/>
    <col min="8248" max="8248" width="95.140625" style="585" customWidth="1"/>
    <col min="8249" max="8252" width="11.7109375" style="585" customWidth="1"/>
    <col min="8253" max="8253" width="11.5703125" style="585" customWidth="1"/>
    <col min="8254" max="8254" width="11.7109375" style="585" customWidth="1"/>
    <col min="8255" max="8255" width="95.140625" style="585" customWidth="1"/>
    <col min="8256" max="8259" width="11.7109375" style="585" customWidth="1"/>
    <col min="8260" max="8448" width="9.140625" style="585"/>
    <col min="8449" max="8449" width="11.5703125" style="585" customWidth="1"/>
    <col min="8450" max="8450" width="103.140625" style="585" customWidth="1"/>
    <col min="8451" max="8454" width="11.7109375" style="585" customWidth="1"/>
    <col min="8455" max="8456" width="9.140625" style="585"/>
    <col min="8457" max="8457" width="11.7109375" style="585" customWidth="1"/>
    <col min="8458" max="8458" width="78.5703125" style="585" customWidth="1"/>
    <col min="8459" max="8462" width="11.7109375" style="585" customWidth="1"/>
    <col min="8463" max="8464" width="9.140625" style="585"/>
    <col min="8465" max="8465" width="11.7109375" style="585" customWidth="1"/>
    <col min="8466" max="8466" width="88.42578125" style="585" customWidth="1"/>
    <col min="8467" max="8470" width="11.7109375" style="585" customWidth="1"/>
    <col min="8471" max="8472" width="9.140625" style="585"/>
    <col min="8473" max="8473" width="11.7109375" style="585" customWidth="1"/>
    <col min="8474" max="8474" width="75.5703125" style="585" customWidth="1"/>
    <col min="8475" max="8478" width="11.7109375" style="585" customWidth="1"/>
    <col min="8479" max="8480" width="9.140625" style="585"/>
    <col min="8481" max="8481" width="11.7109375" style="585" customWidth="1"/>
    <col min="8482" max="8482" width="80.42578125" style="585" customWidth="1"/>
    <col min="8483" max="8486" width="11.7109375" style="585" customWidth="1"/>
    <col min="8487" max="8488" width="9.140625" style="585"/>
    <col min="8489" max="8489" width="11.7109375" style="585" customWidth="1"/>
    <col min="8490" max="8490" width="69.85546875" style="585" customWidth="1"/>
    <col min="8491" max="8494" width="11.7109375" style="585" customWidth="1"/>
    <col min="8495" max="8495" width="9.140625" style="585"/>
    <col min="8496" max="8496" width="11.7109375" style="585" customWidth="1"/>
    <col min="8497" max="8497" width="95.140625" style="585" customWidth="1"/>
    <col min="8498" max="8501" width="11.7109375" style="585" customWidth="1"/>
    <col min="8502" max="8502" width="9.140625" style="585"/>
    <col min="8503" max="8503" width="11.7109375" style="585" customWidth="1"/>
    <col min="8504" max="8504" width="95.140625" style="585" customWidth="1"/>
    <col min="8505" max="8508" width="11.7109375" style="585" customWidth="1"/>
    <col min="8509" max="8509" width="11.5703125" style="585" customWidth="1"/>
    <col min="8510" max="8510" width="11.7109375" style="585" customWidth="1"/>
    <col min="8511" max="8511" width="95.140625" style="585" customWidth="1"/>
    <col min="8512" max="8515" width="11.7109375" style="585" customWidth="1"/>
    <col min="8516" max="8704" width="9.140625" style="585"/>
    <col min="8705" max="8705" width="11.5703125" style="585" customWidth="1"/>
    <col min="8706" max="8706" width="103.140625" style="585" customWidth="1"/>
    <col min="8707" max="8710" width="11.7109375" style="585" customWidth="1"/>
    <col min="8711" max="8712" width="9.140625" style="585"/>
    <col min="8713" max="8713" width="11.7109375" style="585" customWidth="1"/>
    <col min="8714" max="8714" width="78.5703125" style="585" customWidth="1"/>
    <col min="8715" max="8718" width="11.7109375" style="585" customWidth="1"/>
    <col min="8719" max="8720" width="9.140625" style="585"/>
    <col min="8721" max="8721" width="11.7109375" style="585" customWidth="1"/>
    <col min="8722" max="8722" width="88.42578125" style="585" customWidth="1"/>
    <col min="8723" max="8726" width="11.7109375" style="585" customWidth="1"/>
    <col min="8727" max="8728" width="9.140625" style="585"/>
    <col min="8729" max="8729" width="11.7109375" style="585" customWidth="1"/>
    <col min="8730" max="8730" width="75.5703125" style="585" customWidth="1"/>
    <col min="8731" max="8734" width="11.7109375" style="585" customWidth="1"/>
    <col min="8735" max="8736" width="9.140625" style="585"/>
    <col min="8737" max="8737" width="11.7109375" style="585" customWidth="1"/>
    <col min="8738" max="8738" width="80.42578125" style="585" customWidth="1"/>
    <col min="8739" max="8742" width="11.7109375" style="585" customWidth="1"/>
    <col min="8743" max="8744" width="9.140625" style="585"/>
    <col min="8745" max="8745" width="11.7109375" style="585" customWidth="1"/>
    <col min="8746" max="8746" width="69.85546875" style="585" customWidth="1"/>
    <col min="8747" max="8750" width="11.7109375" style="585" customWidth="1"/>
    <col min="8751" max="8751" width="9.140625" style="585"/>
    <col min="8752" max="8752" width="11.7109375" style="585" customWidth="1"/>
    <col min="8753" max="8753" width="95.140625" style="585" customWidth="1"/>
    <col min="8754" max="8757" width="11.7109375" style="585" customWidth="1"/>
    <col min="8758" max="8758" width="9.140625" style="585"/>
    <col min="8759" max="8759" width="11.7109375" style="585" customWidth="1"/>
    <col min="8760" max="8760" width="95.140625" style="585" customWidth="1"/>
    <col min="8761" max="8764" width="11.7109375" style="585" customWidth="1"/>
    <col min="8765" max="8765" width="11.5703125" style="585" customWidth="1"/>
    <col min="8766" max="8766" width="11.7109375" style="585" customWidth="1"/>
    <col min="8767" max="8767" width="95.140625" style="585" customWidth="1"/>
    <col min="8768" max="8771" width="11.7109375" style="585" customWidth="1"/>
    <col min="8772" max="8960" width="9.140625" style="585"/>
    <col min="8961" max="8961" width="11.5703125" style="585" customWidth="1"/>
    <col min="8962" max="8962" width="103.140625" style="585" customWidth="1"/>
    <col min="8963" max="8966" width="11.7109375" style="585" customWidth="1"/>
    <col min="8967" max="8968" width="9.140625" style="585"/>
    <col min="8969" max="8969" width="11.7109375" style="585" customWidth="1"/>
    <col min="8970" max="8970" width="78.5703125" style="585" customWidth="1"/>
    <col min="8971" max="8974" width="11.7109375" style="585" customWidth="1"/>
    <col min="8975" max="8976" width="9.140625" style="585"/>
    <col min="8977" max="8977" width="11.7109375" style="585" customWidth="1"/>
    <col min="8978" max="8978" width="88.42578125" style="585" customWidth="1"/>
    <col min="8979" max="8982" width="11.7109375" style="585" customWidth="1"/>
    <col min="8983" max="8984" width="9.140625" style="585"/>
    <col min="8985" max="8985" width="11.7109375" style="585" customWidth="1"/>
    <col min="8986" max="8986" width="75.5703125" style="585" customWidth="1"/>
    <col min="8987" max="8990" width="11.7109375" style="585" customWidth="1"/>
    <col min="8991" max="8992" width="9.140625" style="585"/>
    <col min="8993" max="8993" width="11.7109375" style="585" customWidth="1"/>
    <col min="8994" max="8994" width="80.42578125" style="585" customWidth="1"/>
    <col min="8995" max="8998" width="11.7109375" style="585" customWidth="1"/>
    <col min="8999" max="9000" width="9.140625" style="585"/>
    <col min="9001" max="9001" width="11.7109375" style="585" customWidth="1"/>
    <col min="9002" max="9002" width="69.85546875" style="585" customWidth="1"/>
    <col min="9003" max="9006" width="11.7109375" style="585" customWidth="1"/>
    <col min="9007" max="9007" width="9.140625" style="585"/>
    <col min="9008" max="9008" width="11.7109375" style="585" customWidth="1"/>
    <col min="9009" max="9009" width="95.140625" style="585" customWidth="1"/>
    <col min="9010" max="9013" width="11.7109375" style="585" customWidth="1"/>
    <col min="9014" max="9014" width="9.140625" style="585"/>
    <col min="9015" max="9015" width="11.7109375" style="585" customWidth="1"/>
    <col min="9016" max="9016" width="95.140625" style="585" customWidth="1"/>
    <col min="9017" max="9020" width="11.7109375" style="585" customWidth="1"/>
    <col min="9021" max="9021" width="11.5703125" style="585" customWidth="1"/>
    <col min="9022" max="9022" width="11.7109375" style="585" customWidth="1"/>
    <col min="9023" max="9023" width="95.140625" style="585" customWidth="1"/>
    <col min="9024" max="9027" width="11.7109375" style="585" customWidth="1"/>
    <col min="9028" max="9216" width="9.140625" style="585"/>
    <col min="9217" max="9217" width="11.5703125" style="585" customWidth="1"/>
    <col min="9218" max="9218" width="103.140625" style="585" customWidth="1"/>
    <col min="9219" max="9222" width="11.7109375" style="585" customWidth="1"/>
    <col min="9223" max="9224" width="9.140625" style="585"/>
    <col min="9225" max="9225" width="11.7109375" style="585" customWidth="1"/>
    <col min="9226" max="9226" width="78.5703125" style="585" customWidth="1"/>
    <col min="9227" max="9230" width="11.7109375" style="585" customWidth="1"/>
    <col min="9231" max="9232" width="9.140625" style="585"/>
    <col min="9233" max="9233" width="11.7109375" style="585" customWidth="1"/>
    <col min="9234" max="9234" width="88.42578125" style="585" customWidth="1"/>
    <col min="9235" max="9238" width="11.7109375" style="585" customWidth="1"/>
    <col min="9239" max="9240" width="9.140625" style="585"/>
    <col min="9241" max="9241" width="11.7109375" style="585" customWidth="1"/>
    <col min="9242" max="9242" width="75.5703125" style="585" customWidth="1"/>
    <col min="9243" max="9246" width="11.7109375" style="585" customWidth="1"/>
    <col min="9247" max="9248" width="9.140625" style="585"/>
    <col min="9249" max="9249" width="11.7109375" style="585" customWidth="1"/>
    <col min="9250" max="9250" width="80.42578125" style="585" customWidth="1"/>
    <col min="9251" max="9254" width="11.7109375" style="585" customWidth="1"/>
    <col min="9255" max="9256" width="9.140625" style="585"/>
    <col min="9257" max="9257" width="11.7109375" style="585" customWidth="1"/>
    <col min="9258" max="9258" width="69.85546875" style="585" customWidth="1"/>
    <col min="9259" max="9262" width="11.7109375" style="585" customWidth="1"/>
    <col min="9263" max="9263" width="9.140625" style="585"/>
    <col min="9264" max="9264" width="11.7109375" style="585" customWidth="1"/>
    <col min="9265" max="9265" width="95.140625" style="585" customWidth="1"/>
    <col min="9266" max="9269" width="11.7109375" style="585" customWidth="1"/>
    <col min="9270" max="9270" width="9.140625" style="585"/>
    <col min="9271" max="9271" width="11.7109375" style="585" customWidth="1"/>
    <col min="9272" max="9272" width="95.140625" style="585" customWidth="1"/>
    <col min="9273" max="9276" width="11.7109375" style="585" customWidth="1"/>
    <col min="9277" max="9277" width="11.5703125" style="585" customWidth="1"/>
    <col min="9278" max="9278" width="11.7109375" style="585" customWidth="1"/>
    <col min="9279" max="9279" width="95.140625" style="585" customWidth="1"/>
    <col min="9280" max="9283" width="11.7109375" style="585" customWidth="1"/>
    <col min="9284" max="9472" width="9.140625" style="585"/>
    <col min="9473" max="9473" width="11.5703125" style="585" customWidth="1"/>
    <col min="9474" max="9474" width="103.140625" style="585" customWidth="1"/>
    <col min="9475" max="9478" width="11.7109375" style="585" customWidth="1"/>
    <col min="9479" max="9480" width="9.140625" style="585"/>
    <col min="9481" max="9481" width="11.7109375" style="585" customWidth="1"/>
    <col min="9482" max="9482" width="78.5703125" style="585" customWidth="1"/>
    <col min="9483" max="9486" width="11.7109375" style="585" customWidth="1"/>
    <col min="9487" max="9488" width="9.140625" style="585"/>
    <col min="9489" max="9489" width="11.7109375" style="585" customWidth="1"/>
    <col min="9490" max="9490" width="88.42578125" style="585" customWidth="1"/>
    <col min="9491" max="9494" width="11.7109375" style="585" customWidth="1"/>
    <col min="9495" max="9496" width="9.140625" style="585"/>
    <col min="9497" max="9497" width="11.7109375" style="585" customWidth="1"/>
    <col min="9498" max="9498" width="75.5703125" style="585" customWidth="1"/>
    <col min="9499" max="9502" width="11.7109375" style="585" customWidth="1"/>
    <col min="9503" max="9504" width="9.140625" style="585"/>
    <col min="9505" max="9505" width="11.7109375" style="585" customWidth="1"/>
    <col min="9506" max="9506" width="80.42578125" style="585" customWidth="1"/>
    <col min="9507" max="9510" width="11.7109375" style="585" customWidth="1"/>
    <col min="9511" max="9512" width="9.140625" style="585"/>
    <col min="9513" max="9513" width="11.7109375" style="585" customWidth="1"/>
    <col min="9514" max="9514" width="69.85546875" style="585" customWidth="1"/>
    <col min="9515" max="9518" width="11.7109375" style="585" customWidth="1"/>
    <col min="9519" max="9519" width="9.140625" style="585"/>
    <col min="9520" max="9520" width="11.7109375" style="585" customWidth="1"/>
    <col min="9521" max="9521" width="95.140625" style="585" customWidth="1"/>
    <col min="9522" max="9525" width="11.7109375" style="585" customWidth="1"/>
    <col min="9526" max="9526" width="9.140625" style="585"/>
    <col min="9527" max="9527" width="11.7109375" style="585" customWidth="1"/>
    <col min="9528" max="9528" width="95.140625" style="585" customWidth="1"/>
    <col min="9529" max="9532" width="11.7109375" style="585" customWidth="1"/>
    <col min="9533" max="9533" width="11.5703125" style="585" customWidth="1"/>
    <col min="9534" max="9534" width="11.7109375" style="585" customWidth="1"/>
    <col min="9535" max="9535" width="95.140625" style="585" customWidth="1"/>
    <col min="9536" max="9539" width="11.7109375" style="585" customWidth="1"/>
    <col min="9540" max="9728" width="9.140625" style="585"/>
    <col min="9729" max="9729" width="11.5703125" style="585" customWidth="1"/>
    <col min="9730" max="9730" width="103.140625" style="585" customWidth="1"/>
    <col min="9731" max="9734" width="11.7109375" style="585" customWidth="1"/>
    <col min="9735" max="9736" width="9.140625" style="585"/>
    <col min="9737" max="9737" width="11.7109375" style="585" customWidth="1"/>
    <col min="9738" max="9738" width="78.5703125" style="585" customWidth="1"/>
    <col min="9739" max="9742" width="11.7109375" style="585" customWidth="1"/>
    <col min="9743" max="9744" width="9.140625" style="585"/>
    <col min="9745" max="9745" width="11.7109375" style="585" customWidth="1"/>
    <col min="9746" max="9746" width="88.42578125" style="585" customWidth="1"/>
    <col min="9747" max="9750" width="11.7109375" style="585" customWidth="1"/>
    <col min="9751" max="9752" width="9.140625" style="585"/>
    <col min="9753" max="9753" width="11.7109375" style="585" customWidth="1"/>
    <col min="9754" max="9754" width="75.5703125" style="585" customWidth="1"/>
    <col min="9755" max="9758" width="11.7109375" style="585" customWidth="1"/>
    <col min="9759" max="9760" width="9.140625" style="585"/>
    <col min="9761" max="9761" width="11.7109375" style="585" customWidth="1"/>
    <col min="9762" max="9762" width="80.42578125" style="585" customWidth="1"/>
    <col min="9763" max="9766" width="11.7109375" style="585" customWidth="1"/>
    <col min="9767" max="9768" width="9.140625" style="585"/>
    <col min="9769" max="9769" width="11.7109375" style="585" customWidth="1"/>
    <col min="9770" max="9770" width="69.85546875" style="585" customWidth="1"/>
    <col min="9771" max="9774" width="11.7109375" style="585" customWidth="1"/>
    <col min="9775" max="9775" width="9.140625" style="585"/>
    <col min="9776" max="9776" width="11.7109375" style="585" customWidth="1"/>
    <col min="9777" max="9777" width="95.140625" style="585" customWidth="1"/>
    <col min="9778" max="9781" width="11.7109375" style="585" customWidth="1"/>
    <col min="9782" max="9782" width="9.140625" style="585"/>
    <col min="9783" max="9783" width="11.7109375" style="585" customWidth="1"/>
    <col min="9784" max="9784" width="95.140625" style="585" customWidth="1"/>
    <col min="9785" max="9788" width="11.7109375" style="585" customWidth="1"/>
    <col min="9789" max="9789" width="11.5703125" style="585" customWidth="1"/>
    <col min="9790" max="9790" width="11.7109375" style="585" customWidth="1"/>
    <col min="9791" max="9791" width="95.140625" style="585" customWidth="1"/>
    <col min="9792" max="9795" width="11.7109375" style="585" customWidth="1"/>
    <col min="9796" max="9984" width="9.140625" style="585"/>
    <col min="9985" max="9985" width="11.5703125" style="585" customWidth="1"/>
    <col min="9986" max="9986" width="103.140625" style="585" customWidth="1"/>
    <col min="9987" max="9990" width="11.7109375" style="585" customWidth="1"/>
    <col min="9991" max="9992" width="9.140625" style="585"/>
    <col min="9993" max="9993" width="11.7109375" style="585" customWidth="1"/>
    <col min="9994" max="9994" width="78.5703125" style="585" customWidth="1"/>
    <col min="9995" max="9998" width="11.7109375" style="585" customWidth="1"/>
    <col min="9999" max="10000" width="9.140625" style="585"/>
    <col min="10001" max="10001" width="11.7109375" style="585" customWidth="1"/>
    <col min="10002" max="10002" width="88.42578125" style="585" customWidth="1"/>
    <col min="10003" max="10006" width="11.7109375" style="585" customWidth="1"/>
    <col min="10007" max="10008" width="9.140625" style="585"/>
    <col min="10009" max="10009" width="11.7109375" style="585" customWidth="1"/>
    <col min="10010" max="10010" width="75.5703125" style="585" customWidth="1"/>
    <col min="10011" max="10014" width="11.7109375" style="585" customWidth="1"/>
    <col min="10015" max="10016" width="9.140625" style="585"/>
    <col min="10017" max="10017" width="11.7109375" style="585" customWidth="1"/>
    <col min="10018" max="10018" width="80.42578125" style="585" customWidth="1"/>
    <col min="10019" max="10022" width="11.7109375" style="585" customWidth="1"/>
    <col min="10023" max="10024" width="9.140625" style="585"/>
    <col min="10025" max="10025" width="11.7109375" style="585" customWidth="1"/>
    <col min="10026" max="10026" width="69.85546875" style="585" customWidth="1"/>
    <col min="10027" max="10030" width="11.7109375" style="585" customWidth="1"/>
    <col min="10031" max="10031" width="9.140625" style="585"/>
    <col min="10032" max="10032" width="11.7109375" style="585" customWidth="1"/>
    <col min="10033" max="10033" width="95.140625" style="585" customWidth="1"/>
    <col min="10034" max="10037" width="11.7109375" style="585" customWidth="1"/>
    <col min="10038" max="10038" width="9.140625" style="585"/>
    <col min="10039" max="10039" width="11.7109375" style="585" customWidth="1"/>
    <col min="10040" max="10040" width="95.140625" style="585" customWidth="1"/>
    <col min="10041" max="10044" width="11.7109375" style="585" customWidth="1"/>
    <col min="10045" max="10045" width="11.5703125" style="585" customWidth="1"/>
    <col min="10046" max="10046" width="11.7109375" style="585" customWidth="1"/>
    <col min="10047" max="10047" width="95.140625" style="585" customWidth="1"/>
    <col min="10048" max="10051" width="11.7109375" style="585" customWidth="1"/>
    <col min="10052" max="10240" width="9.140625" style="585"/>
    <col min="10241" max="10241" width="11.5703125" style="585" customWidth="1"/>
    <col min="10242" max="10242" width="103.140625" style="585" customWidth="1"/>
    <col min="10243" max="10246" width="11.7109375" style="585" customWidth="1"/>
    <col min="10247" max="10248" width="9.140625" style="585"/>
    <col min="10249" max="10249" width="11.7109375" style="585" customWidth="1"/>
    <col min="10250" max="10250" width="78.5703125" style="585" customWidth="1"/>
    <col min="10251" max="10254" width="11.7109375" style="585" customWidth="1"/>
    <col min="10255" max="10256" width="9.140625" style="585"/>
    <col min="10257" max="10257" width="11.7109375" style="585" customWidth="1"/>
    <col min="10258" max="10258" width="88.42578125" style="585" customWidth="1"/>
    <col min="10259" max="10262" width="11.7109375" style="585" customWidth="1"/>
    <col min="10263" max="10264" width="9.140625" style="585"/>
    <col min="10265" max="10265" width="11.7109375" style="585" customWidth="1"/>
    <col min="10266" max="10266" width="75.5703125" style="585" customWidth="1"/>
    <col min="10267" max="10270" width="11.7109375" style="585" customWidth="1"/>
    <col min="10271" max="10272" width="9.140625" style="585"/>
    <col min="10273" max="10273" width="11.7109375" style="585" customWidth="1"/>
    <col min="10274" max="10274" width="80.42578125" style="585" customWidth="1"/>
    <col min="10275" max="10278" width="11.7109375" style="585" customWidth="1"/>
    <col min="10279" max="10280" width="9.140625" style="585"/>
    <col min="10281" max="10281" width="11.7109375" style="585" customWidth="1"/>
    <col min="10282" max="10282" width="69.85546875" style="585" customWidth="1"/>
    <col min="10283" max="10286" width="11.7109375" style="585" customWidth="1"/>
    <col min="10287" max="10287" width="9.140625" style="585"/>
    <col min="10288" max="10288" width="11.7109375" style="585" customWidth="1"/>
    <col min="10289" max="10289" width="95.140625" style="585" customWidth="1"/>
    <col min="10290" max="10293" width="11.7109375" style="585" customWidth="1"/>
    <col min="10294" max="10294" width="9.140625" style="585"/>
    <col min="10295" max="10295" width="11.7109375" style="585" customWidth="1"/>
    <col min="10296" max="10296" width="95.140625" style="585" customWidth="1"/>
    <col min="10297" max="10300" width="11.7109375" style="585" customWidth="1"/>
    <col min="10301" max="10301" width="11.5703125" style="585" customWidth="1"/>
    <col min="10302" max="10302" width="11.7109375" style="585" customWidth="1"/>
    <col min="10303" max="10303" width="95.140625" style="585" customWidth="1"/>
    <col min="10304" max="10307" width="11.7109375" style="585" customWidth="1"/>
    <col min="10308" max="10496" width="9.140625" style="585"/>
    <col min="10497" max="10497" width="11.5703125" style="585" customWidth="1"/>
    <col min="10498" max="10498" width="103.140625" style="585" customWidth="1"/>
    <col min="10499" max="10502" width="11.7109375" style="585" customWidth="1"/>
    <col min="10503" max="10504" width="9.140625" style="585"/>
    <col min="10505" max="10505" width="11.7109375" style="585" customWidth="1"/>
    <col min="10506" max="10506" width="78.5703125" style="585" customWidth="1"/>
    <col min="10507" max="10510" width="11.7109375" style="585" customWidth="1"/>
    <col min="10511" max="10512" width="9.140625" style="585"/>
    <col min="10513" max="10513" width="11.7109375" style="585" customWidth="1"/>
    <col min="10514" max="10514" width="88.42578125" style="585" customWidth="1"/>
    <col min="10515" max="10518" width="11.7109375" style="585" customWidth="1"/>
    <col min="10519" max="10520" width="9.140625" style="585"/>
    <col min="10521" max="10521" width="11.7109375" style="585" customWidth="1"/>
    <col min="10522" max="10522" width="75.5703125" style="585" customWidth="1"/>
    <col min="10523" max="10526" width="11.7109375" style="585" customWidth="1"/>
    <col min="10527" max="10528" width="9.140625" style="585"/>
    <col min="10529" max="10529" width="11.7109375" style="585" customWidth="1"/>
    <col min="10530" max="10530" width="80.42578125" style="585" customWidth="1"/>
    <col min="10531" max="10534" width="11.7109375" style="585" customWidth="1"/>
    <col min="10535" max="10536" width="9.140625" style="585"/>
    <col min="10537" max="10537" width="11.7109375" style="585" customWidth="1"/>
    <col min="10538" max="10538" width="69.85546875" style="585" customWidth="1"/>
    <col min="10539" max="10542" width="11.7109375" style="585" customWidth="1"/>
    <col min="10543" max="10543" width="9.140625" style="585"/>
    <col min="10544" max="10544" width="11.7109375" style="585" customWidth="1"/>
    <col min="10545" max="10545" width="95.140625" style="585" customWidth="1"/>
    <col min="10546" max="10549" width="11.7109375" style="585" customWidth="1"/>
    <col min="10550" max="10550" width="9.140625" style="585"/>
    <col min="10551" max="10551" width="11.7109375" style="585" customWidth="1"/>
    <col min="10552" max="10552" width="95.140625" style="585" customWidth="1"/>
    <col min="10553" max="10556" width="11.7109375" style="585" customWidth="1"/>
    <col min="10557" max="10557" width="11.5703125" style="585" customWidth="1"/>
    <col min="10558" max="10558" width="11.7109375" style="585" customWidth="1"/>
    <col min="10559" max="10559" width="95.140625" style="585" customWidth="1"/>
    <col min="10560" max="10563" width="11.7109375" style="585" customWidth="1"/>
    <col min="10564" max="10752" width="9.140625" style="585"/>
    <col min="10753" max="10753" width="11.5703125" style="585" customWidth="1"/>
    <col min="10754" max="10754" width="103.140625" style="585" customWidth="1"/>
    <col min="10755" max="10758" width="11.7109375" style="585" customWidth="1"/>
    <col min="10759" max="10760" width="9.140625" style="585"/>
    <col min="10761" max="10761" width="11.7109375" style="585" customWidth="1"/>
    <col min="10762" max="10762" width="78.5703125" style="585" customWidth="1"/>
    <col min="10763" max="10766" width="11.7109375" style="585" customWidth="1"/>
    <col min="10767" max="10768" width="9.140625" style="585"/>
    <col min="10769" max="10769" width="11.7109375" style="585" customWidth="1"/>
    <col min="10770" max="10770" width="88.42578125" style="585" customWidth="1"/>
    <col min="10771" max="10774" width="11.7109375" style="585" customWidth="1"/>
    <col min="10775" max="10776" width="9.140625" style="585"/>
    <col min="10777" max="10777" width="11.7109375" style="585" customWidth="1"/>
    <col min="10778" max="10778" width="75.5703125" style="585" customWidth="1"/>
    <col min="10779" max="10782" width="11.7109375" style="585" customWidth="1"/>
    <col min="10783" max="10784" width="9.140625" style="585"/>
    <col min="10785" max="10785" width="11.7109375" style="585" customWidth="1"/>
    <col min="10786" max="10786" width="80.42578125" style="585" customWidth="1"/>
    <col min="10787" max="10790" width="11.7109375" style="585" customWidth="1"/>
    <col min="10791" max="10792" width="9.140625" style="585"/>
    <col min="10793" max="10793" width="11.7109375" style="585" customWidth="1"/>
    <col min="10794" max="10794" width="69.85546875" style="585" customWidth="1"/>
    <col min="10795" max="10798" width="11.7109375" style="585" customWidth="1"/>
    <col min="10799" max="10799" width="9.140625" style="585"/>
    <col min="10800" max="10800" width="11.7109375" style="585" customWidth="1"/>
    <col min="10801" max="10801" width="95.140625" style="585" customWidth="1"/>
    <col min="10802" max="10805" width="11.7109375" style="585" customWidth="1"/>
    <col min="10806" max="10806" width="9.140625" style="585"/>
    <col min="10807" max="10807" width="11.7109375" style="585" customWidth="1"/>
    <col min="10808" max="10808" width="95.140625" style="585" customWidth="1"/>
    <col min="10809" max="10812" width="11.7109375" style="585" customWidth="1"/>
    <col min="10813" max="10813" width="11.5703125" style="585" customWidth="1"/>
    <col min="10814" max="10814" width="11.7109375" style="585" customWidth="1"/>
    <col min="10815" max="10815" width="95.140625" style="585" customWidth="1"/>
    <col min="10816" max="10819" width="11.7109375" style="585" customWidth="1"/>
    <col min="10820" max="11008" width="9.140625" style="585"/>
    <col min="11009" max="11009" width="11.5703125" style="585" customWidth="1"/>
    <col min="11010" max="11010" width="103.140625" style="585" customWidth="1"/>
    <col min="11011" max="11014" width="11.7109375" style="585" customWidth="1"/>
    <col min="11015" max="11016" width="9.140625" style="585"/>
    <col min="11017" max="11017" width="11.7109375" style="585" customWidth="1"/>
    <col min="11018" max="11018" width="78.5703125" style="585" customWidth="1"/>
    <col min="11019" max="11022" width="11.7109375" style="585" customWidth="1"/>
    <col min="11023" max="11024" width="9.140625" style="585"/>
    <col min="11025" max="11025" width="11.7109375" style="585" customWidth="1"/>
    <col min="11026" max="11026" width="88.42578125" style="585" customWidth="1"/>
    <col min="11027" max="11030" width="11.7109375" style="585" customWidth="1"/>
    <col min="11031" max="11032" width="9.140625" style="585"/>
    <col min="11033" max="11033" width="11.7109375" style="585" customWidth="1"/>
    <col min="11034" max="11034" width="75.5703125" style="585" customWidth="1"/>
    <col min="11035" max="11038" width="11.7109375" style="585" customWidth="1"/>
    <col min="11039" max="11040" width="9.140625" style="585"/>
    <col min="11041" max="11041" width="11.7109375" style="585" customWidth="1"/>
    <col min="11042" max="11042" width="80.42578125" style="585" customWidth="1"/>
    <col min="11043" max="11046" width="11.7109375" style="585" customWidth="1"/>
    <col min="11047" max="11048" width="9.140625" style="585"/>
    <col min="11049" max="11049" width="11.7109375" style="585" customWidth="1"/>
    <col min="11050" max="11050" width="69.85546875" style="585" customWidth="1"/>
    <col min="11051" max="11054" width="11.7109375" style="585" customWidth="1"/>
    <col min="11055" max="11055" width="9.140625" style="585"/>
    <col min="11056" max="11056" width="11.7109375" style="585" customWidth="1"/>
    <col min="11057" max="11057" width="95.140625" style="585" customWidth="1"/>
    <col min="11058" max="11061" width="11.7109375" style="585" customWidth="1"/>
    <col min="11062" max="11062" width="9.140625" style="585"/>
    <col min="11063" max="11063" width="11.7109375" style="585" customWidth="1"/>
    <col min="11064" max="11064" width="95.140625" style="585" customWidth="1"/>
    <col min="11065" max="11068" width="11.7109375" style="585" customWidth="1"/>
    <col min="11069" max="11069" width="11.5703125" style="585" customWidth="1"/>
    <col min="11070" max="11070" width="11.7109375" style="585" customWidth="1"/>
    <col min="11071" max="11071" width="95.140625" style="585" customWidth="1"/>
    <col min="11072" max="11075" width="11.7109375" style="585" customWidth="1"/>
    <col min="11076" max="11264" width="9.140625" style="585"/>
    <col min="11265" max="11265" width="11.5703125" style="585" customWidth="1"/>
    <col min="11266" max="11266" width="103.140625" style="585" customWidth="1"/>
    <col min="11267" max="11270" width="11.7109375" style="585" customWidth="1"/>
    <col min="11271" max="11272" width="9.140625" style="585"/>
    <col min="11273" max="11273" width="11.7109375" style="585" customWidth="1"/>
    <col min="11274" max="11274" width="78.5703125" style="585" customWidth="1"/>
    <col min="11275" max="11278" width="11.7109375" style="585" customWidth="1"/>
    <col min="11279" max="11280" width="9.140625" style="585"/>
    <col min="11281" max="11281" width="11.7109375" style="585" customWidth="1"/>
    <col min="11282" max="11282" width="88.42578125" style="585" customWidth="1"/>
    <col min="11283" max="11286" width="11.7109375" style="585" customWidth="1"/>
    <col min="11287" max="11288" width="9.140625" style="585"/>
    <col min="11289" max="11289" width="11.7109375" style="585" customWidth="1"/>
    <col min="11290" max="11290" width="75.5703125" style="585" customWidth="1"/>
    <col min="11291" max="11294" width="11.7109375" style="585" customWidth="1"/>
    <col min="11295" max="11296" width="9.140625" style="585"/>
    <col min="11297" max="11297" width="11.7109375" style="585" customWidth="1"/>
    <col min="11298" max="11298" width="80.42578125" style="585" customWidth="1"/>
    <col min="11299" max="11302" width="11.7109375" style="585" customWidth="1"/>
    <col min="11303" max="11304" width="9.140625" style="585"/>
    <col min="11305" max="11305" width="11.7109375" style="585" customWidth="1"/>
    <col min="11306" max="11306" width="69.85546875" style="585" customWidth="1"/>
    <col min="11307" max="11310" width="11.7109375" style="585" customWidth="1"/>
    <col min="11311" max="11311" width="9.140625" style="585"/>
    <col min="11312" max="11312" width="11.7109375" style="585" customWidth="1"/>
    <col min="11313" max="11313" width="95.140625" style="585" customWidth="1"/>
    <col min="11314" max="11317" width="11.7109375" style="585" customWidth="1"/>
    <col min="11318" max="11318" width="9.140625" style="585"/>
    <col min="11319" max="11319" width="11.7109375" style="585" customWidth="1"/>
    <col min="11320" max="11320" width="95.140625" style="585" customWidth="1"/>
    <col min="11321" max="11324" width="11.7109375" style="585" customWidth="1"/>
    <col min="11325" max="11325" width="11.5703125" style="585" customWidth="1"/>
    <col min="11326" max="11326" width="11.7109375" style="585" customWidth="1"/>
    <col min="11327" max="11327" width="95.140625" style="585" customWidth="1"/>
    <col min="11328" max="11331" width="11.7109375" style="585" customWidth="1"/>
    <col min="11332" max="11520" width="9.140625" style="585"/>
    <col min="11521" max="11521" width="11.5703125" style="585" customWidth="1"/>
    <col min="11522" max="11522" width="103.140625" style="585" customWidth="1"/>
    <col min="11523" max="11526" width="11.7109375" style="585" customWidth="1"/>
    <col min="11527" max="11528" width="9.140625" style="585"/>
    <col min="11529" max="11529" width="11.7109375" style="585" customWidth="1"/>
    <col min="11530" max="11530" width="78.5703125" style="585" customWidth="1"/>
    <col min="11531" max="11534" width="11.7109375" style="585" customWidth="1"/>
    <col min="11535" max="11536" width="9.140625" style="585"/>
    <col min="11537" max="11537" width="11.7109375" style="585" customWidth="1"/>
    <col min="11538" max="11538" width="88.42578125" style="585" customWidth="1"/>
    <col min="11539" max="11542" width="11.7109375" style="585" customWidth="1"/>
    <col min="11543" max="11544" width="9.140625" style="585"/>
    <col min="11545" max="11545" width="11.7109375" style="585" customWidth="1"/>
    <col min="11546" max="11546" width="75.5703125" style="585" customWidth="1"/>
    <col min="11547" max="11550" width="11.7109375" style="585" customWidth="1"/>
    <col min="11551" max="11552" width="9.140625" style="585"/>
    <col min="11553" max="11553" width="11.7109375" style="585" customWidth="1"/>
    <col min="11554" max="11554" width="80.42578125" style="585" customWidth="1"/>
    <col min="11555" max="11558" width="11.7109375" style="585" customWidth="1"/>
    <col min="11559" max="11560" width="9.140625" style="585"/>
    <col min="11561" max="11561" width="11.7109375" style="585" customWidth="1"/>
    <col min="11562" max="11562" width="69.85546875" style="585" customWidth="1"/>
    <col min="11563" max="11566" width="11.7109375" style="585" customWidth="1"/>
    <col min="11567" max="11567" width="9.140625" style="585"/>
    <col min="11568" max="11568" width="11.7109375" style="585" customWidth="1"/>
    <col min="11569" max="11569" width="95.140625" style="585" customWidth="1"/>
    <col min="11570" max="11573" width="11.7109375" style="585" customWidth="1"/>
    <col min="11574" max="11574" width="9.140625" style="585"/>
    <col min="11575" max="11575" width="11.7109375" style="585" customWidth="1"/>
    <col min="11576" max="11576" width="95.140625" style="585" customWidth="1"/>
    <col min="11577" max="11580" width="11.7109375" style="585" customWidth="1"/>
    <col min="11581" max="11581" width="11.5703125" style="585" customWidth="1"/>
    <col min="11582" max="11582" width="11.7109375" style="585" customWidth="1"/>
    <col min="11583" max="11583" width="95.140625" style="585" customWidth="1"/>
    <col min="11584" max="11587" width="11.7109375" style="585" customWidth="1"/>
    <col min="11588" max="11776" width="9.140625" style="585"/>
    <col min="11777" max="11777" width="11.5703125" style="585" customWidth="1"/>
    <col min="11778" max="11778" width="103.140625" style="585" customWidth="1"/>
    <col min="11779" max="11782" width="11.7109375" style="585" customWidth="1"/>
    <col min="11783" max="11784" width="9.140625" style="585"/>
    <col min="11785" max="11785" width="11.7109375" style="585" customWidth="1"/>
    <col min="11786" max="11786" width="78.5703125" style="585" customWidth="1"/>
    <col min="11787" max="11790" width="11.7109375" style="585" customWidth="1"/>
    <col min="11791" max="11792" width="9.140625" style="585"/>
    <col min="11793" max="11793" width="11.7109375" style="585" customWidth="1"/>
    <col min="11794" max="11794" width="88.42578125" style="585" customWidth="1"/>
    <col min="11795" max="11798" width="11.7109375" style="585" customWidth="1"/>
    <col min="11799" max="11800" width="9.140625" style="585"/>
    <col min="11801" max="11801" width="11.7109375" style="585" customWidth="1"/>
    <col min="11802" max="11802" width="75.5703125" style="585" customWidth="1"/>
    <col min="11803" max="11806" width="11.7109375" style="585" customWidth="1"/>
    <col min="11807" max="11808" width="9.140625" style="585"/>
    <col min="11809" max="11809" width="11.7109375" style="585" customWidth="1"/>
    <col min="11810" max="11810" width="80.42578125" style="585" customWidth="1"/>
    <col min="11811" max="11814" width="11.7109375" style="585" customWidth="1"/>
    <col min="11815" max="11816" width="9.140625" style="585"/>
    <col min="11817" max="11817" width="11.7109375" style="585" customWidth="1"/>
    <col min="11818" max="11818" width="69.85546875" style="585" customWidth="1"/>
    <col min="11819" max="11822" width="11.7109375" style="585" customWidth="1"/>
    <col min="11823" max="11823" width="9.140625" style="585"/>
    <col min="11824" max="11824" width="11.7109375" style="585" customWidth="1"/>
    <col min="11825" max="11825" width="95.140625" style="585" customWidth="1"/>
    <col min="11826" max="11829" width="11.7109375" style="585" customWidth="1"/>
    <col min="11830" max="11830" width="9.140625" style="585"/>
    <col min="11831" max="11831" width="11.7109375" style="585" customWidth="1"/>
    <col min="11832" max="11832" width="95.140625" style="585" customWidth="1"/>
    <col min="11833" max="11836" width="11.7109375" style="585" customWidth="1"/>
    <col min="11837" max="11837" width="11.5703125" style="585" customWidth="1"/>
    <col min="11838" max="11838" width="11.7109375" style="585" customWidth="1"/>
    <col min="11839" max="11839" width="95.140625" style="585" customWidth="1"/>
    <col min="11840" max="11843" width="11.7109375" style="585" customWidth="1"/>
    <col min="11844" max="12032" width="9.140625" style="585"/>
    <col min="12033" max="12033" width="11.5703125" style="585" customWidth="1"/>
    <col min="12034" max="12034" width="103.140625" style="585" customWidth="1"/>
    <col min="12035" max="12038" width="11.7109375" style="585" customWidth="1"/>
    <col min="12039" max="12040" width="9.140625" style="585"/>
    <col min="12041" max="12041" width="11.7109375" style="585" customWidth="1"/>
    <col min="12042" max="12042" width="78.5703125" style="585" customWidth="1"/>
    <col min="12043" max="12046" width="11.7109375" style="585" customWidth="1"/>
    <col min="12047" max="12048" width="9.140625" style="585"/>
    <col min="12049" max="12049" width="11.7109375" style="585" customWidth="1"/>
    <col min="12050" max="12050" width="88.42578125" style="585" customWidth="1"/>
    <col min="12051" max="12054" width="11.7109375" style="585" customWidth="1"/>
    <col min="12055" max="12056" width="9.140625" style="585"/>
    <col min="12057" max="12057" width="11.7109375" style="585" customWidth="1"/>
    <col min="12058" max="12058" width="75.5703125" style="585" customWidth="1"/>
    <col min="12059" max="12062" width="11.7109375" style="585" customWidth="1"/>
    <col min="12063" max="12064" width="9.140625" style="585"/>
    <col min="12065" max="12065" width="11.7109375" style="585" customWidth="1"/>
    <col min="12066" max="12066" width="80.42578125" style="585" customWidth="1"/>
    <col min="12067" max="12070" width="11.7109375" style="585" customWidth="1"/>
    <col min="12071" max="12072" width="9.140625" style="585"/>
    <col min="12073" max="12073" width="11.7109375" style="585" customWidth="1"/>
    <col min="12074" max="12074" width="69.85546875" style="585" customWidth="1"/>
    <col min="12075" max="12078" width="11.7109375" style="585" customWidth="1"/>
    <col min="12079" max="12079" width="9.140625" style="585"/>
    <col min="12080" max="12080" width="11.7109375" style="585" customWidth="1"/>
    <col min="12081" max="12081" width="95.140625" style="585" customWidth="1"/>
    <col min="12082" max="12085" width="11.7109375" style="585" customWidth="1"/>
    <col min="12086" max="12086" width="9.140625" style="585"/>
    <col min="12087" max="12087" width="11.7109375" style="585" customWidth="1"/>
    <col min="12088" max="12088" width="95.140625" style="585" customWidth="1"/>
    <col min="12089" max="12092" width="11.7109375" style="585" customWidth="1"/>
    <col min="12093" max="12093" width="11.5703125" style="585" customWidth="1"/>
    <col min="12094" max="12094" width="11.7109375" style="585" customWidth="1"/>
    <col min="12095" max="12095" width="95.140625" style="585" customWidth="1"/>
    <col min="12096" max="12099" width="11.7109375" style="585" customWidth="1"/>
    <col min="12100" max="12288" width="9.140625" style="585"/>
    <col min="12289" max="12289" width="11.5703125" style="585" customWidth="1"/>
    <col min="12290" max="12290" width="103.140625" style="585" customWidth="1"/>
    <col min="12291" max="12294" width="11.7109375" style="585" customWidth="1"/>
    <col min="12295" max="12296" width="9.140625" style="585"/>
    <col min="12297" max="12297" width="11.7109375" style="585" customWidth="1"/>
    <col min="12298" max="12298" width="78.5703125" style="585" customWidth="1"/>
    <col min="12299" max="12302" width="11.7109375" style="585" customWidth="1"/>
    <col min="12303" max="12304" width="9.140625" style="585"/>
    <col min="12305" max="12305" width="11.7109375" style="585" customWidth="1"/>
    <col min="12306" max="12306" width="88.42578125" style="585" customWidth="1"/>
    <col min="12307" max="12310" width="11.7109375" style="585" customWidth="1"/>
    <col min="12311" max="12312" width="9.140625" style="585"/>
    <col min="12313" max="12313" width="11.7109375" style="585" customWidth="1"/>
    <col min="12314" max="12314" width="75.5703125" style="585" customWidth="1"/>
    <col min="12315" max="12318" width="11.7109375" style="585" customWidth="1"/>
    <col min="12319" max="12320" width="9.140625" style="585"/>
    <col min="12321" max="12321" width="11.7109375" style="585" customWidth="1"/>
    <col min="12322" max="12322" width="80.42578125" style="585" customWidth="1"/>
    <col min="12323" max="12326" width="11.7109375" style="585" customWidth="1"/>
    <col min="12327" max="12328" width="9.140625" style="585"/>
    <col min="12329" max="12329" width="11.7109375" style="585" customWidth="1"/>
    <col min="12330" max="12330" width="69.85546875" style="585" customWidth="1"/>
    <col min="12331" max="12334" width="11.7109375" style="585" customWidth="1"/>
    <col min="12335" max="12335" width="9.140625" style="585"/>
    <col min="12336" max="12336" width="11.7109375" style="585" customWidth="1"/>
    <col min="12337" max="12337" width="95.140625" style="585" customWidth="1"/>
    <col min="12338" max="12341" width="11.7109375" style="585" customWidth="1"/>
    <col min="12342" max="12342" width="9.140625" style="585"/>
    <col min="12343" max="12343" width="11.7109375" style="585" customWidth="1"/>
    <col min="12344" max="12344" width="95.140625" style="585" customWidth="1"/>
    <col min="12345" max="12348" width="11.7109375" style="585" customWidth="1"/>
    <col min="12349" max="12349" width="11.5703125" style="585" customWidth="1"/>
    <col min="12350" max="12350" width="11.7109375" style="585" customWidth="1"/>
    <col min="12351" max="12351" width="95.140625" style="585" customWidth="1"/>
    <col min="12352" max="12355" width="11.7109375" style="585" customWidth="1"/>
    <col min="12356" max="12544" width="9.140625" style="585"/>
    <col min="12545" max="12545" width="11.5703125" style="585" customWidth="1"/>
    <col min="12546" max="12546" width="103.140625" style="585" customWidth="1"/>
    <col min="12547" max="12550" width="11.7109375" style="585" customWidth="1"/>
    <col min="12551" max="12552" width="9.140625" style="585"/>
    <col min="12553" max="12553" width="11.7109375" style="585" customWidth="1"/>
    <col min="12554" max="12554" width="78.5703125" style="585" customWidth="1"/>
    <col min="12555" max="12558" width="11.7109375" style="585" customWidth="1"/>
    <col min="12559" max="12560" width="9.140625" style="585"/>
    <col min="12561" max="12561" width="11.7109375" style="585" customWidth="1"/>
    <col min="12562" max="12562" width="88.42578125" style="585" customWidth="1"/>
    <col min="12563" max="12566" width="11.7109375" style="585" customWidth="1"/>
    <col min="12567" max="12568" width="9.140625" style="585"/>
    <col min="12569" max="12569" width="11.7109375" style="585" customWidth="1"/>
    <col min="12570" max="12570" width="75.5703125" style="585" customWidth="1"/>
    <col min="12571" max="12574" width="11.7109375" style="585" customWidth="1"/>
    <col min="12575" max="12576" width="9.140625" style="585"/>
    <col min="12577" max="12577" width="11.7109375" style="585" customWidth="1"/>
    <col min="12578" max="12578" width="80.42578125" style="585" customWidth="1"/>
    <col min="12579" max="12582" width="11.7109375" style="585" customWidth="1"/>
    <col min="12583" max="12584" width="9.140625" style="585"/>
    <col min="12585" max="12585" width="11.7109375" style="585" customWidth="1"/>
    <col min="12586" max="12586" width="69.85546875" style="585" customWidth="1"/>
    <col min="12587" max="12590" width="11.7109375" style="585" customWidth="1"/>
    <col min="12591" max="12591" width="9.140625" style="585"/>
    <col min="12592" max="12592" width="11.7109375" style="585" customWidth="1"/>
    <col min="12593" max="12593" width="95.140625" style="585" customWidth="1"/>
    <col min="12594" max="12597" width="11.7109375" style="585" customWidth="1"/>
    <col min="12598" max="12598" width="9.140625" style="585"/>
    <col min="12599" max="12599" width="11.7109375" style="585" customWidth="1"/>
    <col min="12600" max="12600" width="95.140625" style="585" customWidth="1"/>
    <col min="12601" max="12604" width="11.7109375" style="585" customWidth="1"/>
    <col min="12605" max="12605" width="11.5703125" style="585" customWidth="1"/>
    <col min="12606" max="12606" width="11.7109375" style="585" customWidth="1"/>
    <col min="12607" max="12607" width="95.140625" style="585" customWidth="1"/>
    <col min="12608" max="12611" width="11.7109375" style="585" customWidth="1"/>
    <col min="12612" max="12800" width="9.140625" style="585"/>
    <col min="12801" max="12801" width="11.5703125" style="585" customWidth="1"/>
    <col min="12802" max="12802" width="103.140625" style="585" customWidth="1"/>
    <col min="12803" max="12806" width="11.7109375" style="585" customWidth="1"/>
    <col min="12807" max="12808" width="9.140625" style="585"/>
    <col min="12809" max="12809" width="11.7109375" style="585" customWidth="1"/>
    <col min="12810" max="12810" width="78.5703125" style="585" customWidth="1"/>
    <col min="12811" max="12814" width="11.7109375" style="585" customWidth="1"/>
    <col min="12815" max="12816" width="9.140625" style="585"/>
    <col min="12817" max="12817" width="11.7109375" style="585" customWidth="1"/>
    <col min="12818" max="12818" width="88.42578125" style="585" customWidth="1"/>
    <col min="12819" max="12822" width="11.7109375" style="585" customWidth="1"/>
    <col min="12823" max="12824" width="9.140625" style="585"/>
    <col min="12825" max="12825" width="11.7109375" style="585" customWidth="1"/>
    <col min="12826" max="12826" width="75.5703125" style="585" customWidth="1"/>
    <col min="12827" max="12830" width="11.7109375" style="585" customWidth="1"/>
    <col min="12831" max="12832" width="9.140625" style="585"/>
    <col min="12833" max="12833" width="11.7109375" style="585" customWidth="1"/>
    <col min="12834" max="12834" width="80.42578125" style="585" customWidth="1"/>
    <col min="12835" max="12838" width="11.7109375" style="585" customWidth="1"/>
    <col min="12839" max="12840" width="9.140625" style="585"/>
    <col min="12841" max="12841" width="11.7109375" style="585" customWidth="1"/>
    <col min="12842" max="12842" width="69.85546875" style="585" customWidth="1"/>
    <col min="12843" max="12846" width="11.7109375" style="585" customWidth="1"/>
    <col min="12847" max="12847" width="9.140625" style="585"/>
    <col min="12848" max="12848" width="11.7109375" style="585" customWidth="1"/>
    <col min="12849" max="12849" width="95.140625" style="585" customWidth="1"/>
    <col min="12850" max="12853" width="11.7109375" style="585" customWidth="1"/>
    <col min="12854" max="12854" width="9.140625" style="585"/>
    <col min="12855" max="12855" width="11.7109375" style="585" customWidth="1"/>
    <col min="12856" max="12856" width="95.140625" style="585" customWidth="1"/>
    <col min="12857" max="12860" width="11.7109375" style="585" customWidth="1"/>
    <col min="12861" max="12861" width="11.5703125" style="585" customWidth="1"/>
    <col min="12862" max="12862" width="11.7109375" style="585" customWidth="1"/>
    <col min="12863" max="12863" width="95.140625" style="585" customWidth="1"/>
    <col min="12864" max="12867" width="11.7109375" style="585" customWidth="1"/>
    <col min="12868" max="13056" width="9.140625" style="585"/>
    <col min="13057" max="13057" width="11.5703125" style="585" customWidth="1"/>
    <col min="13058" max="13058" width="103.140625" style="585" customWidth="1"/>
    <col min="13059" max="13062" width="11.7109375" style="585" customWidth="1"/>
    <col min="13063" max="13064" width="9.140625" style="585"/>
    <col min="13065" max="13065" width="11.7109375" style="585" customWidth="1"/>
    <col min="13066" max="13066" width="78.5703125" style="585" customWidth="1"/>
    <col min="13067" max="13070" width="11.7109375" style="585" customWidth="1"/>
    <col min="13071" max="13072" width="9.140625" style="585"/>
    <col min="13073" max="13073" width="11.7109375" style="585" customWidth="1"/>
    <col min="13074" max="13074" width="88.42578125" style="585" customWidth="1"/>
    <col min="13075" max="13078" width="11.7109375" style="585" customWidth="1"/>
    <col min="13079" max="13080" width="9.140625" style="585"/>
    <col min="13081" max="13081" width="11.7109375" style="585" customWidth="1"/>
    <col min="13082" max="13082" width="75.5703125" style="585" customWidth="1"/>
    <col min="13083" max="13086" width="11.7109375" style="585" customWidth="1"/>
    <col min="13087" max="13088" width="9.140625" style="585"/>
    <col min="13089" max="13089" width="11.7109375" style="585" customWidth="1"/>
    <col min="13090" max="13090" width="80.42578125" style="585" customWidth="1"/>
    <col min="13091" max="13094" width="11.7109375" style="585" customWidth="1"/>
    <col min="13095" max="13096" width="9.140625" style="585"/>
    <col min="13097" max="13097" width="11.7109375" style="585" customWidth="1"/>
    <col min="13098" max="13098" width="69.85546875" style="585" customWidth="1"/>
    <col min="13099" max="13102" width="11.7109375" style="585" customWidth="1"/>
    <col min="13103" max="13103" width="9.140625" style="585"/>
    <col min="13104" max="13104" width="11.7109375" style="585" customWidth="1"/>
    <col min="13105" max="13105" width="95.140625" style="585" customWidth="1"/>
    <col min="13106" max="13109" width="11.7109375" style="585" customWidth="1"/>
    <col min="13110" max="13110" width="9.140625" style="585"/>
    <col min="13111" max="13111" width="11.7109375" style="585" customWidth="1"/>
    <col min="13112" max="13112" width="95.140625" style="585" customWidth="1"/>
    <col min="13113" max="13116" width="11.7109375" style="585" customWidth="1"/>
    <col min="13117" max="13117" width="11.5703125" style="585" customWidth="1"/>
    <col min="13118" max="13118" width="11.7109375" style="585" customWidth="1"/>
    <col min="13119" max="13119" width="95.140625" style="585" customWidth="1"/>
    <col min="13120" max="13123" width="11.7109375" style="585" customWidth="1"/>
    <col min="13124" max="13312" width="9.140625" style="585"/>
    <col min="13313" max="13313" width="11.5703125" style="585" customWidth="1"/>
    <col min="13314" max="13314" width="103.140625" style="585" customWidth="1"/>
    <col min="13315" max="13318" width="11.7109375" style="585" customWidth="1"/>
    <col min="13319" max="13320" width="9.140625" style="585"/>
    <col min="13321" max="13321" width="11.7109375" style="585" customWidth="1"/>
    <col min="13322" max="13322" width="78.5703125" style="585" customWidth="1"/>
    <col min="13323" max="13326" width="11.7109375" style="585" customWidth="1"/>
    <col min="13327" max="13328" width="9.140625" style="585"/>
    <col min="13329" max="13329" width="11.7109375" style="585" customWidth="1"/>
    <col min="13330" max="13330" width="88.42578125" style="585" customWidth="1"/>
    <col min="13331" max="13334" width="11.7109375" style="585" customWidth="1"/>
    <col min="13335" max="13336" width="9.140625" style="585"/>
    <col min="13337" max="13337" width="11.7109375" style="585" customWidth="1"/>
    <col min="13338" max="13338" width="75.5703125" style="585" customWidth="1"/>
    <col min="13339" max="13342" width="11.7109375" style="585" customWidth="1"/>
    <col min="13343" max="13344" width="9.140625" style="585"/>
    <col min="13345" max="13345" width="11.7109375" style="585" customWidth="1"/>
    <col min="13346" max="13346" width="80.42578125" style="585" customWidth="1"/>
    <col min="13347" max="13350" width="11.7109375" style="585" customWidth="1"/>
    <col min="13351" max="13352" width="9.140625" style="585"/>
    <col min="13353" max="13353" width="11.7109375" style="585" customWidth="1"/>
    <col min="13354" max="13354" width="69.85546875" style="585" customWidth="1"/>
    <col min="13355" max="13358" width="11.7109375" style="585" customWidth="1"/>
    <col min="13359" max="13359" width="9.140625" style="585"/>
    <col min="13360" max="13360" width="11.7109375" style="585" customWidth="1"/>
    <col min="13361" max="13361" width="95.140625" style="585" customWidth="1"/>
    <col min="13362" max="13365" width="11.7109375" style="585" customWidth="1"/>
    <col min="13366" max="13366" width="9.140625" style="585"/>
    <col min="13367" max="13367" width="11.7109375" style="585" customWidth="1"/>
    <col min="13368" max="13368" width="95.140625" style="585" customWidth="1"/>
    <col min="13369" max="13372" width="11.7109375" style="585" customWidth="1"/>
    <col min="13373" max="13373" width="11.5703125" style="585" customWidth="1"/>
    <col min="13374" max="13374" width="11.7109375" style="585" customWidth="1"/>
    <col min="13375" max="13375" width="95.140625" style="585" customWidth="1"/>
    <col min="13376" max="13379" width="11.7109375" style="585" customWidth="1"/>
    <col min="13380" max="13568" width="9.140625" style="585"/>
    <col min="13569" max="13569" width="11.5703125" style="585" customWidth="1"/>
    <col min="13570" max="13570" width="103.140625" style="585" customWidth="1"/>
    <col min="13571" max="13574" width="11.7109375" style="585" customWidth="1"/>
    <col min="13575" max="13576" width="9.140625" style="585"/>
    <col min="13577" max="13577" width="11.7109375" style="585" customWidth="1"/>
    <col min="13578" max="13578" width="78.5703125" style="585" customWidth="1"/>
    <col min="13579" max="13582" width="11.7109375" style="585" customWidth="1"/>
    <col min="13583" max="13584" width="9.140625" style="585"/>
    <col min="13585" max="13585" width="11.7109375" style="585" customWidth="1"/>
    <col min="13586" max="13586" width="88.42578125" style="585" customWidth="1"/>
    <col min="13587" max="13590" width="11.7109375" style="585" customWidth="1"/>
    <col min="13591" max="13592" width="9.140625" style="585"/>
    <col min="13593" max="13593" width="11.7109375" style="585" customWidth="1"/>
    <col min="13594" max="13594" width="75.5703125" style="585" customWidth="1"/>
    <col min="13595" max="13598" width="11.7109375" style="585" customWidth="1"/>
    <col min="13599" max="13600" width="9.140625" style="585"/>
    <col min="13601" max="13601" width="11.7109375" style="585" customWidth="1"/>
    <col min="13602" max="13602" width="80.42578125" style="585" customWidth="1"/>
    <col min="13603" max="13606" width="11.7109375" style="585" customWidth="1"/>
    <col min="13607" max="13608" width="9.140625" style="585"/>
    <col min="13609" max="13609" width="11.7109375" style="585" customWidth="1"/>
    <col min="13610" max="13610" width="69.85546875" style="585" customWidth="1"/>
    <col min="13611" max="13614" width="11.7109375" style="585" customWidth="1"/>
    <col min="13615" max="13615" width="9.140625" style="585"/>
    <col min="13616" max="13616" width="11.7109375" style="585" customWidth="1"/>
    <col min="13617" max="13617" width="95.140625" style="585" customWidth="1"/>
    <col min="13618" max="13621" width="11.7109375" style="585" customWidth="1"/>
    <col min="13622" max="13622" width="9.140625" style="585"/>
    <col min="13623" max="13623" width="11.7109375" style="585" customWidth="1"/>
    <col min="13624" max="13624" width="95.140625" style="585" customWidth="1"/>
    <col min="13625" max="13628" width="11.7109375" style="585" customWidth="1"/>
    <col min="13629" max="13629" width="11.5703125" style="585" customWidth="1"/>
    <col min="13630" max="13630" width="11.7109375" style="585" customWidth="1"/>
    <col min="13631" max="13631" width="95.140625" style="585" customWidth="1"/>
    <col min="13632" max="13635" width="11.7109375" style="585" customWidth="1"/>
    <col min="13636" max="13824" width="9.140625" style="585"/>
    <col min="13825" max="13825" width="11.5703125" style="585" customWidth="1"/>
    <col min="13826" max="13826" width="103.140625" style="585" customWidth="1"/>
    <col min="13827" max="13830" width="11.7109375" style="585" customWidth="1"/>
    <col min="13831" max="13832" width="9.140625" style="585"/>
    <col min="13833" max="13833" width="11.7109375" style="585" customWidth="1"/>
    <col min="13834" max="13834" width="78.5703125" style="585" customWidth="1"/>
    <col min="13835" max="13838" width="11.7109375" style="585" customWidth="1"/>
    <col min="13839" max="13840" width="9.140625" style="585"/>
    <col min="13841" max="13841" width="11.7109375" style="585" customWidth="1"/>
    <col min="13842" max="13842" width="88.42578125" style="585" customWidth="1"/>
    <col min="13843" max="13846" width="11.7109375" style="585" customWidth="1"/>
    <col min="13847" max="13848" width="9.140625" style="585"/>
    <col min="13849" max="13849" width="11.7109375" style="585" customWidth="1"/>
    <col min="13850" max="13850" width="75.5703125" style="585" customWidth="1"/>
    <col min="13851" max="13854" width="11.7109375" style="585" customWidth="1"/>
    <col min="13855" max="13856" width="9.140625" style="585"/>
    <col min="13857" max="13857" width="11.7109375" style="585" customWidth="1"/>
    <col min="13858" max="13858" width="80.42578125" style="585" customWidth="1"/>
    <col min="13859" max="13862" width="11.7109375" style="585" customWidth="1"/>
    <col min="13863" max="13864" width="9.140625" style="585"/>
    <col min="13865" max="13865" width="11.7109375" style="585" customWidth="1"/>
    <col min="13866" max="13866" width="69.85546875" style="585" customWidth="1"/>
    <col min="13867" max="13870" width="11.7109375" style="585" customWidth="1"/>
    <col min="13871" max="13871" width="9.140625" style="585"/>
    <col min="13872" max="13872" width="11.7109375" style="585" customWidth="1"/>
    <col min="13873" max="13873" width="95.140625" style="585" customWidth="1"/>
    <col min="13874" max="13877" width="11.7109375" style="585" customWidth="1"/>
    <col min="13878" max="13878" width="9.140625" style="585"/>
    <col min="13879" max="13879" width="11.7109375" style="585" customWidth="1"/>
    <col min="13880" max="13880" width="95.140625" style="585" customWidth="1"/>
    <col min="13881" max="13884" width="11.7109375" style="585" customWidth="1"/>
    <col min="13885" max="13885" width="11.5703125" style="585" customWidth="1"/>
    <col min="13886" max="13886" width="11.7109375" style="585" customWidth="1"/>
    <col min="13887" max="13887" width="95.140625" style="585" customWidth="1"/>
    <col min="13888" max="13891" width="11.7109375" style="585" customWidth="1"/>
    <col min="13892" max="14080" width="9.140625" style="585"/>
    <col min="14081" max="14081" width="11.5703125" style="585" customWidth="1"/>
    <col min="14082" max="14082" width="103.140625" style="585" customWidth="1"/>
    <col min="14083" max="14086" width="11.7109375" style="585" customWidth="1"/>
    <col min="14087" max="14088" width="9.140625" style="585"/>
    <col min="14089" max="14089" width="11.7109375" style="585" customWidth="1"/>
    <col min="14090" max="14090" width="78.5703125" style="585" customWidth="1"/>
    <col min="14091" max="14094" width="11.7109375" style="585" customWidth="1"/>
    <col min="14095" max="14096" width="9.140625" style="585"/>
    <col min="14097" max="14097" width="11.7109375" style="585" customWidth="1"/>
    <col min="14098" max="14098" width="88.42578125" style="585" customWidth="1"/>
    <col min="14099" max="14102" width="11.7109375" style="585" customWidth="1"/>
    <col min="14103" max="14104" width="9.140625" style="585"/>
    <col min="14105" max="14105" width="11.7109375" style="585" customWidth="1"/>
    <col min="14106" max="14106" width="75.5703125" style="585" customWidth="1"/>
    <col min="14107" max="14110" width="11.7109375" style="585" customWidth="1"/>
    <col min="14111" max="14112" width="9.140625" style="585"/>
    <col min="14113" max="14113" width="11.7109375" style="585" customWidth="1"/>
    <col min="14114" max="14114" width="80.42578125" style="585" customWidth="1"/>
    <col min="14115" max="14118" width="11.7109375" style="585" customWidth="1"/>
    <col min="14119" max="14120" width="9.140625" style="585"/>
    <col min="14121" max="14121" width="11.7109375" style="585" customWidth="1"/>
    <col min="14122" max="14122" width="69.85546875" style="585" customWidth="1"/>
    <col min="14123" max="14126" width="11.7109375" style="585" customWidth="1"/>
    <col min="14127" max="14127" width="9.140625" style="585"/>
    <col min="14128" max="14128" width="11.7109375" style="585" customWidth="1"/>
    <col min="14129" max="14129" width="95.140625" style="585" customWidth="1"/>
    <col min="14130" max="14133" width="11.7109375" style="585" customWidth="1"/>
    <col min="14134" max="14134" width="9.140625" style="585"/>
    <col min="14135" max="14135" width="11.7109375" style="585" customWidth="1"/>
    <col min="14136" max="14136" width="95.140625" style="585" customWidth="1"/>
    <col min="14137" max="14140" width="11.7109375" style="585" customWidth="1"/>
    <col min="14141" max="14141" width="11.5703125" style="585" customWidth="1"/>
    <col min="14142" max="14142" width="11.7109375" style="585" customWidth="1"/>
    <col min="14143" max="14143" width="95.140625" style="585" customWidth="1"/>
    <col min="14144" max="14147" width="11.7109375" style="585" customWidth="1"/>
    <col min="14148" max="14336" width="9.140625" style="585"/>
    <col min="14337" max="14337" width="11.5703125" style="585" customWidth="1"/>
    <col min="14338" max="14338" width="103.140625" style="585" customWidth="1"/>
    <col min="14339" max="14342" width="11.7109375" style="585" customWidth="1"/>
    <col min="14343" max="14344" width="9.140625" style="585"/>
    <col min="14345" max="14345" width="11.7109375" style="585" customWidth="1"/>
    <col min="14346" max="14346" width="78.5703125" style="585" customWidth="1"/>
    <col min="14347" max="14350" width="11.7109375" style="585" customWidth="1"/>
    <col min="14351" max="14352" width="9.140625" style="585"/>
    <col min="14353" max="14353" width="11.7109375" style="585" customWidth="1"/>
    <col min="14354" max="14354" width="88.42578125" style="585" customWidth="1"/>
    <col min="14355" max="14358" width="11.7109375" style="585" customWidth="1"/>
    <col min="14359" max="14360" width="9.140625" style="585"/>
    <col min="14361" max="14361" width="11.7109375" style="585" customWidth="1"/>
    <col min="14362" max="14362" width="75.5703125" style="585" customWidth="1"/>
    <col min="14363" max="14366" width="11.7109375" style="585" customWidth="1"/>
    <col min="14367" max="14368" width="9.140625" style="585"/>
    <col min="14369" max="14369" width="11.7109375" style="585" customWidth="1"/>
    <col min="14370" max="14370" width="80.42578125" style="585" customWidth="1"/>
    <col min="14371" max="14374" width="11.7109375" style="585" customWidth="1"/>
    <col min="14375" max="14376" width="9.140625" style="585"/>
    <col min="14377" max="14377" width="11.7109375" style="585" customWidth="1"/>
    <col min="14378" max="14378" width="69.85546875" style="585" customWidth="1"/>
    <col min="14379" max="14382" width="11.7109375" style="585" customWidth="1"/>
    <col min="14383" max="14383" width="9.140625" style="585"/>
    <col min="14384" max="14384" width="11.7109375" style="585" customWidth="1"/>
    <col min="14385" max="14385" width="95.140625" style="585" customWidth="1"/>
    <col min="14386" max="14389" width="11.7109375" style="585" customWidth="1"/>
    <col min="14390" max="14390" width="9.140625" style="585"/>
    <col min="14391" max="14391" width="11.7109375" style="585" customWidth="1"/>
    <col min="14392" max="14392" width="95.140625" style="585" customWidth="1"/>
    <col min="14393" max="14396" width="11.7109375" style="585" customWidth="1"/>
    <col min="14397" max="14397" width="11.5703125" style="585" customWidth="1"/>
    <col min="14398" max="14398" width="11.7109375" style="585" customWidth="1"/>
    <col min="14399" max="14399" width="95.140625" style="585" customWidth="1"/>
    <col min="14400" max="14403" width="11.7109375" style="585" customWidth="1"/>
    <col min="14404" max="14592" width="9.140625" style="585"/>
    <col min="14593" max="14593" width="11.5703125" style="585" customWidth="1"/>
    <col min="14594" max="14594" width="103.140625" style="585" customWidth="1"/>
    <col min="14595" max="14598" width="11.7109375" style="585" customWidth="1"/>
    <col min="14599" max="14600" width="9.140625" style="585"/>
    <col min="14601" max="14601" width="11.7109375" style="585" customWidth="1"/>
    <col min="14602" max="14602" width="78.5703125" style="585" customWidth="1"/>
    <col min="14603" max="14606" width="11.7109375" style="585" customWidth="1"/>
    <col min="14607" max="14608" width="9.140625" style="585"/>
    <col min="14609" max="14609" width="11.7109375" style="585" customWidth="1"/>
    <col min="14610" max="14610" width="88.42578125" style="585" customWidth="1"/>
    <col min="14611" max="14614" width="11.7109375" style="585" customWidth="1"/>
    <col min="14615" max="14616" width="9.140625" style="585"/>
    <col min="14617" max="14617" width="11.7109375" style="585" customWidth="1"/>
    <col min="14618" max="14618" width="75.5703125" style="585" customWidth="1"/>
    <col min="14619" max="14622" width="11.7109375" style="585" customWidth="1"/>
    <col min="14623" max="14624" width="9.140625" style="585"/>
    <col min="14625" max="14625" width="11.7109375" style="585" customWidth="1"/>
    <col min="14626" max="14626" width="80.42578125" style="585" customWidth="1"/>
    <col min="14627" max="14630" width="11.7109375" style="585" customWidth="1"/>
    <col min="14631" max="14632" width="9.140625" style="585"/>
    <col min="14633" max="14633" width="11.7109375" style="585" customWidth="1"/>
    <col min="14634" max="14634" width="69.85546875" style="585" customWidth="1"/>
    <col min="14635" max="14638" width="11.7109375" style="585" customWidth="1"/>
    <col min="14639" max="14639" width="9.140625" style="585"/>
    <col min="14640" max="14640" width="11.7109375" style="585" customWidth="1"/>
    <col min="14641" max="14641" width="95.140625" style="585" customWidth="1"/>
    <col min="14642" max="14645" width="11.7109375" style="585" customWidth="1"/>
    <col min="14646" max="14646" width="9.140625" style="585"/>
    <col min="14647" max="14647" width="11.7109375" style="585" customWidth="1"/>
    <col min="14648" max="14648" width="95.140625" style="585" customWidth="1"/>
    <col min="14649" max="14652" width="11.7109375" style="585" customWidth="1"/>
    <col min="14653" max="14653" width="11.5703125" style="585" customWidth="1"/>
    <col min="14654" max="14654" width="11.7109375" style="585" customWidth="1"/>
    <col min="14655" max="14655" width="95.140625" style="585" customWidth="1"/>
    <col min="14656" max="14659" width="11.7109375" style="585" customWidth="1"/>
    <col min="14660" max="14848" width="9.140625" style="585"/>
    <col min="14849" max="14849" width="11.5703125" style="585" customWidth="1"/>
    <col min="14850" max="14850" width="103.140625" style="585" customWidth="1"/>
    <col min="14851" max="14854" width="11.7109375" style="585" customWidth="1"/>
    <col min="14855" max="14856" width="9.140625" style="585"/>
    <col min="14857" max="14857" width="11.7109375" style="585" customWidth="1"/>
    <col min="14858" max="14858" width="78.5703125" style="585" customWidth="1"/>
    <col min="14859" max="14862" width="11.7109375" style="585" customWidth="1"/>
    <col min="14863" max="14864" width="9.140625" style="585"/>
    <col min="14865" max="14865" width="11.7109375" style="585" customWidth="1"/>
    <col min="14866" max="14866" width="88.42578125" style="585" customWidth="1"/>
    <col min="14867" max="14870" width="11.7109375" style="585" customWidth="1"/>
    <col min="14871" max="14872" width="9.140625" style="585"/>
    <col min="14873" max="14873" width="11.7109375" style="585" customWidth="1"/>
    <col min="14874" max="14874" width="75.5703125" style="585" customWidth="1"/>
    <col min="14875" max="14878" width="11.7109375" style="585" customWidth="1"/>
    <col min="14879" max="14880" width="9.140625" style="585"/>
    <col min="14881" max="14881" width="11.7109375" style="585" customWidth="1"/>
    <col min="14882" max="14882" width="80.42578125" style="585" customWidth="1"/>
    <col min="14883" max="14886" width="11.7109375" style="585" customWidth="1"/>
    <col min="14887" max="14888" width="9.140625" style="585"/>
    <col min="14889" max="14889" width="11.7109375" style="585" customWidth="1"/>
    <col min="14890" max="14890" width="69.85546875" style="585" customWidth="1"/>
    <col min="14891" max="14894" width="11.7109375" style="585" customWidth="1"/>
    <col min="14895" max="14895" width="9.140625" style="585"/>
    <col min="14896" max="14896" width="11.7109375" style="585" customWidth="1"/>
    <col min="14897" max="14897" width="95.140625" style="585" customWidth="1"/>
    <col min="14898" max="14901" width="11.7109375" style="585" customWidth="1"/>
    <col min="14902" max="14902" width="9.140625" style="585"/>
    <col min="14903" max="14903" width="11.7109375" style="585" customWidth="1"/>
    <col min="14904" max="14904" width="95.140625" style="585" customWidth="1"/>
    <col min="14905" max="14908" width="11.7109375" style="585" customWidth="1"/>
    <col min="14909" max="14909" width="11.5703125" style="585" customWidth="1"/>
    <col min="14910" max="14910" width="11.7109375" style="585" customWidth="1"/>
    <col min="14911" max="14911" width="95.140625" style="585" customWidth="1"/>
    <col min="14912" max="14915" width="11.7109375" style="585" customWidth="1"/>
    <col min="14916" max="15104" width="9.140625" style="585"/>
    <col min="15105" max="15105" width="11.5703125" style="585" customWidth="1"/>
    <col min="15106" max="15106" width="103.140625" style="585" customWidth="1"/>
    <col min="15107" max="15110" width="11.7109375" style="585" customWidth="1"/>
    <col min="15111" max="15112" width="9.140625" style="585"/>
    <col min="15113" max="15113" width="11.7109375" style="585" customWidth="1"/>
    <col min="15114" max="15114" width="78.5703125" style="585" customWidth="1"/>
    <col min="15115" max="15118" width="11.7109375" style="585" customWidth="1"/>
    <col min="15119" max="15120" width="9.140625" style="585"/>
    <col min="15121" max="15121" width="11.7109375" style="585" customWidth="1"/>
    <col min="15122" max="15122" width="88.42578125" style="585" customWidth="1"/>
    <col min="15123" max="15126" width="11.7109375" style="585" customWidth="1"/>
    <col min="15127" max="15128" width="9.140625" style="585"/>
    <col min="15129" max="15129" width="11.7109375" style="585" customWidth="1"/>
    <col min="15130" max="15130" width="75.5703125" style="585" customWidth="1"/>
    <col min="15131" max="15134" width="11.7109375" style="585" customWidth="1"/>
    <col min="15135" max="15136" width="9.140625" style="585"/>
    <col min="15137" max="15137" width="11.7109375" style="585" customWidth="1"/>
    <col min="15138" max="15138" width="80.42578125" style="585" customWidth="1"/>
    <col min="15139" max="15142" width="11.7109375" style="585" customWidth="1"/>
    <col min="15143" max="15144" width="9.140625" style="585"/>
    <col min="15145" max="15145" width="11.7109375" style="585" customWidth="1"/>
    <col min="15146" max="15146" width="69.85546875" style="585" customWidth="1"/>
    <col min="15147" max="15150" width="11.7109375" style="585" customWidth="1"/>
    <col min="15151" max="15151" width="9.140625" style="585"/>
    <col min="15152" max="15152" width="11.7109375" style="585" customWidth="1"/>
    <col min="15153" max="15153" width="95.140625" style="585" customWidth="1"/>
    <col min="15154" max="15157" width="11.7109375" style="585" customWidth="1"/>
    <col min="15158" max="15158" width="9.140625" style="585"/>
    <col min="15159" max="15159" width="11.7109375" style="585" customWidth="1"/>
    <col min="15160" max="15160" width="95.140625" style="585" customWidth="1"/>
    <col min="15161" max="15164" width="11.7109375" style="585" customWidth="1"/>
    <col min="15165" max="15165" width="11.5703125" style="585" customWidth="1"/>
    <col min="15166" max="15166" width="11.7109375" style="585" customWidth="1"/>
    <col min="15167" max="15167" width="95.140625" style="585" customWidth="1"/>
    <col min="15168" max="15171" width="11.7109375" style="585" customWidth="1"/>
    <col min="15172" max="15360" width="9.140625" style="585"/>
    <col min="15361" max="15361" width="11.5703125" style="585" customWidth="1"/>
    <col min="15362" max="15362" width="103.140625" style="585" customWidth="1"/>
    <col min="15363" max="15366" width="11.7109375" style="585" customWidth="1"/>
    <col min="15367" max="15368" width="9.140625" style="585"/>
    <col min="15369" max="15369" width="11.7109375" style="585" customWidth="1"/>
    <col min="15370" max="15370" width="78.5703125" style="585" customWidth="1"/>
    <col min="15371" max="15374" width="11.7109375" style="585" customWidth="1"/>
    <col min="15375" max="15376" width="9.140625" style="585"/>
    <col min="15377" max="15377" width="11.7109375" style="585" customWidth="1"/>
    <col min="15378" max="15378" width="88.42578125" style="585" customWidth="1"/>
    <col min="15379" max="15382" width="11.7109375" style="585" customWidth="1"/>
    <col min="15383" max="15384" width="9.140625" style="585"/>
    <col min="15385" max="15385" width="11.7109375" style="585" customWidth="1"/>
    <col min="15386" max="15386" width="75.5703125" style="585" customWidth="1"/>
    <col min="15387" max="15390" width="11.7109375" style="585" customWidth="1"/>
    <col min="15391" max="15392" width="9.140625" style="585"/>
    <col min="15393" max="15393" width="11.7109375" style="585" customWidth="1"/>
    <col min="15394" max="15394" width="80.42578125" style="585" customWidth="1"/>
    <col min="15395" max="15398" width="11.7109375" style="585" customWidth="1"/>
    <col min="15399" max="15400" width="9.140625" style="585"/>
    <col min="15401" max="15401" width="11.7109375" style="585" customWidth="1"/>
    <col min="15402" max="15402" width="69.85546875" style="585" customWidth="1"/>
    <col min="15403" max="15406" width="11.7109375" style="585" customWidth="1"/>
    <col min="15407" max="15407" width="9.140625" style="585"/>
    <col min="15408" max="15408" width="11.7109375" style="585" customWidth="1"/>
    <col min="15409" max="15409" width="95.140625" style="585" customWidth="1"/>
    <col min="15410" max="15413" width="11.7109375" style="585" customWidth="1"/>
    <col min="15414" max="15414" width="9.140625" style="585"/>
    <col min="15415" max="15415" width="11.7109375" style="585" customWidth="1"/>
    <col min="15416" max="15416" width="95.140625" style="585" customWidth="1"/>
    <col min="15417" max="15420" width="11.7109375" style="585" customWidth="1"/>
    <col min="15421" max="15421" width="11.5703125" style="585" customWidth="1"/>
    <col min="15422" max="15422" width="11.7109375" style="585" customWidth="1"/>
    <col min="15423" max="15423" width="95.140625" style="585" customWidth="1"/>
    <col min="15424" max="15427" width="11.7109375" style="585" customWidth="1"/>
    <col min="15428" max="15616" width="9.140625" style="585"/>
    <col min="15617" max="15617" width="11.5703125" style="585" customWidth="1"/>
    <col min="15618" max="15618" width="103.140625" style="585" customWidth="1"/>
    <col min="15619" max="15622" width="11.7109375" style="585" customWidth="1"/>
    <col min="15623" max="15624" width="9.140625" style="585"/>
    <col min="15625" max="15625" width="11.7109375" style="585" customWidth="1"/>
    <col min="15626" max="15626" width="78.5703125" style="585" customWidth="1"/>
    <col min="15627" max="15630" width="11.7109375" style="585" customWidth="1"/>
    <col min="15631" max="15632" width="9.140625" style="585"/>
    <col min="15633" max="15633" width="11.7109375" style="585" customWidth="1"/>
    <col min="15634" max="15634" width="88.42578125" style="585" customWidth="1"/>
    <col min="15635" max="15638" width="11.7109375" style="585" customWidth="1"/>
    <col min="15639" max="15640" width="9.140625" style="585"/>
    <col min="15641" max="15641" width="11.7109375" style="585" customWidth="1"/>
    <col min="15642" max="15642" width="75.5703125" style="585" customWidth="1"/>
    <col min="15643" max="15646" width="11.7109375" style="585" customWidth="1"/>
    <col min="15647" max="15648" width="9.140625" style="585"/>
    <col min="15649" max="15649" width="11.7109375" style="585" customWidth="1"/>
    <col min="15650" max="15650" width="80.42578125" style="585" customWidth="1"/>
    <col min="15651" max="15654" width="11.7109375" style="585" customWidth="1"/>
    <col min="15655" max="15656" width="9.140625" style="585"/>
    <col min="15657" max="15657" width="11.7109375" style="585" customWidth="1"/>
    <col min="15658" max="15658" width="69.85546875" style="585" customWidth="1"/>
    <col min="15659" max="15662" width="11.7109375" style="585" customWidth="1"/>
    <col min="15663" max="15663" width="9.140625" style="585"/>
    <col min="15664" max="15664" width="11.7109375" style="585" customWidth="1"/>
    <col min="15665" max="15665" width="95.140625" style="585" customWidth="1"/>
    <col min="15666" max="15669" width="11.7109375" style="585" customWidth="1"/>
    <col min="15670" max="15670" width="9.140625" style="585"/>
    <col min="15671" max="15671" width="11.7109375" style="585" customWidth="1"/>
    <col min="15672" max="15672" width="95.140625" style="585" customWidth="1"/>
    <col min="15673" max="15676" width="11.7109375" style="585" customWidth="1"/>
    <col min="15677" max="15677" width="11.5703125" style="585" customWidth="1"/>
    <col min="15678" max="15678" width="11.7109375" style="585" customWidth="1"/>
    <col min="15679" max="15679" width="95.140625" style="585" customWidth="1"/>
    <col min="15680" max="15683" width="11.7109375" style="585" customWidth="1"/>
    <col min="15684" max="15872" width="9.140625" style="585"/>
    <col min="15873" max="15873" width="11.5703125" style="585" customWidth="1"/>
    <col min="15874" max="15874" width="103.140625" style="585" customWidth="1"/>
    <col min="15875" max="15878" width="11.7109375" style="585" customWidth="1"/>
    <col min="15879" max="15880" width="9.140625" style="585"/>
    <col min="15881" max="15881" width="11.7109375" style="585" customWidth="1"/>
    <col min="15882" max="15882" width="78.5703125" style="585" customWidth="1"/>
    <col min="15883" max="15886" width="11.7109375" style="585" customWidth="1"/>
    <col min="15887" max="15888" width="9.140625" style="585"/>
    <col min="15889" max="15889" width="11.7109375" style="585" customWidth="1"/>
    <col min="15890" max="15890" width="88.42578125" style="585" customWidth="1"/>
    <col min="15891" max="15894" width="11.7109375" style="585" customWidth="1"/>
    <col min="15895" max="15896" width="9.140625" style="585"/>
    <col min="15897" max="15897" width="11.7109375" style="585" customWidth="1"/>
    <col min="15898" max="15898" width="75.5703125" style="585" customWidth="1"/>
    <col min="15899" max="15902" width="11.7109375" style="585" customWidth="1"/>
    <col min="15903" max="15904" width="9.140625" style="585"/>
    <col min="15905" max="15905" width="11.7109375" style="585" customWidth="1"/>
    <col min="15906" max="15906" width="80.42578125" style="585" customWidth="1"/>
    <col min="15907" max="15910" width="11.7109375" style="585" customWidth="1"/>
    <col min="15911" max="15912" width="9.140625" style="585"/>
    <col min="15913" max="15913" width="11.7109375" style="585" customWidth="1"/>
    <col min="15914" max="15914" width="69.85546875" style="585" customWidth="1"/>
    <col min="15915" max="15918" width="11.7109375" style="585" customWidth="1"/>
    <col min="15919" max="15919" width="9.140625" style="585"/>
    <col min="15920" max="15920" width="11.7109375" style="585" customWidth="1"/>
    <col min="15921" max="15921" width="95.140625" style="585" customWidth="1"/>
    <col min="15922" max="15925" width="11.7109375" style="585" customWidth="1"/>
    <col min="15926" max="15926" width="9.140625" style="585"/>
    <col min="15927" max="15927" width="11.7109375" style="585" customWidth="1"/>
    <col min="15928" max="15928" width="95.140625" style="585" customWidth="1"/>
    <col min="15929" max="15932" width="11.7109375" style="585" customWidth="1"/>
    <col min="15933" max="15933" width="11.5703125" style="585" customWidth="1"/>
    <col min="15934" max="15934" width="11.7109375" style="585" customWidth="1"/>
    <col min="15935" max="15935" width="95.140625" style="585" customWidth="1"/>
    <col min="15936" max="15939" width="11.7109375" style="585" customWidth="1"/>
    <col min="15940" max="16128" width="9.140625" style="585"/>
    <col min="16129" max="16129" width="11.5703125" style="585" customWidth="1"/>
    <col min="16130" max="16130" width="103.140625" style="585" customWidth="1"/>
    <col min="16131" max="16134" width="11.7109375" style="585" customWidth="1"/>
    <col min="16135" max="16136" width="9.140625" style="585"/>
    <col min="16137" max="16137" width="11.7109375" style="585" customWidth="1"/>
    <col min="16138" max="16138" width="78.5703125" style="585" customWidth="1"/>
    <col min="16139" max="16142" width="11.7109375" style="585" customWidth="1"/>
    <col min="16143" max="16144" width="9.140625" style="585"/>
    <col min="16145" max="16145" width="11.7109375" style="585" customWidth="1"/>
    <col min="16146" max="16146" width="88.42578125" style="585" customWidth="1"/>
    <col min="16147" max="16150" width="11.7109375" style="585" customWidth="1"/>
    <col min="16151" max="16152" width="9.140625" style="585"/>
    <col min="16153" max="16153" width="11.7109375" style="585" customWidth="1"/>
    <col min="16154" max="16154" width="75.5703125" style="585" customWidth="1"/>
    <col min="16155" max="16158" width="11.7109375" style="585" customWidth="1"/>
    <col min="16159" max="16160" width="9.140625" style="585"/>
    <col min="16161" max="16161" width="11.7109375" style="585" customWidth="1"/>
    <col min="16162" max="16162" width="80.42578125" style="585" customWidth="1"/>
    <col min="16163" max="16166" width="11.7109375" style="585" customWidth="1"/>
    <col min="16167" max="16168" width="9.140625" style="585"/>
    <col min="16169" max="16169" width="11.7109375" style="585" customWidth="1"/>
    <col min="16170" max="16170" width="69.85546875" style="585" customWidth="1"/>
    <col min="16171" max="16174" width="11.7109375" style="585" customWidth="1"/>
    <col min="16175" max="16175" width="9.140625" style="585"/>
    <col min="16176" max="16176" width="11.7109375" style="585" customWidth="1"/>
    <col min="16177" max="16177" width="95.140625" style="585" customWidth="1"/>
    <col min="16178" max="16181" width="11.7109375" style="585" customWidth="1"/>
    <col min="16182" max="16182" width="9.140625" style="585"/>
    <col min="16183" max="16183" width="11.7109375" style="585" customWidth="1"/>
    <col min="16184" max="16184" width="95.140625" style="585" customWidth="1"/>
    <col min="16185" max="16188" width="11.7109375" style="585" customWidth="1"/>
    <col min="16189" max="16189" width="11.5703125" style="585" customWidth="1"/>
    <col min="16190" max="16190" width="11.7109375" style="585" customWidth="1"/>
    <col min="16191" max="16191" width="95.140625" style="585" customWidth="1"/>
    <col min="16192" max="16195" width="11.7109375" style="585" customWidth="1"/>
    <col min="16196" max="16384" width="9.140625" style="585"/>
  </cols>
  <sheetData>
    <row r="1" spans="1:67" ht="12.75" customHeight="1">
      <c r="A1" s="1557" t="s">
        <v>7834</v>
      </c>
      <c r="I1" s="1557" t="s">
        <v>7835</v>
      </c>
      <c r="Q1" s="1557" t="s">
        <v>7836</v>
      </c>
      <c r="Y1" s="1557" t="s">
        <v>7837</v>
      </c>
      <c r="AG1" s="1557" t="s">
        <v>7838</v>
      </c>
      <c r="AO1" s="1557" t="s">
        <v>7839</v>
      </c>
      <c r="AV1" s="1557"/>
      <c r="AW1" s="1558"/>
      <c r="AX1" s="1558"/>
      <c r="AY1" s="1558"/>
      <c r="AZ1" s="1558"/>
      <c r="BA1" s="1558"/>
      <c r="BC1" s="1557"/>
      <c r="BD1" s="1558"/>
      <c r="BE1" s="1558"/>
      <c r="BF1" s="1558"/>
      <c r="BG1" s="1558"/>
      <c r="BH1" s="1558"/>
      <c r="BJ1" s="1557"/>
      <c r="BK1" s="1558"/>
      <c r="BL1" s="1558"/>
      <c r="BM1" s="1558"/>
      <c r="BN1" s="1558"/>
      <c r="BO1" s="1558"/>
    </row>
    <row r="2" spans="1:67" ht="12.75" customHeight="1">
      <c r="A2" s="1559" t="s">
        <v>7003</v>
      </c>
      <c r="B2" s="1560" t="s">
        <v>7003</v>
      </c>
      <c r="C2" s="1561" t="s">
        <v>3173</v>
      </c>
      <c r="D2" s="1561" t="s">
        <v>7265</v>
      </c>
      <c r="E2" s="1561" t="s">
        <v>7266</v>
      </c>
      <c r="F2" s="1562" t="s">
        <v>7267</v>
      </c>
      <c r="I2" s="1559" t="s">
        <v>7003</v>
      </c>
      <c r="J2" s="1560" t="s">
        <v>7003</v>
      </c>
      <c r="K2" s="1561" t="s">
        <v>3173</v>
      </c>
      <c r="L2" s="1561" t="s">
        <v>7265</v>
      </c>
      <c r="M2" s="1561" t="s">
        <v>119</v>
      </c>
      <c r="N2" s="1562" t="s">
        <v>7267</v>
      </c>
      <c r="Q2" s="1559" t="s">
        <v>7003</v>
      </c>
      <c r="R2" s="1560" t="s">
        <v>7003</v>
      </c>
      <c r="S2" s="1561" t="s">
        <v>3173</v>
      </c>
      <c r="T2" s="1561" t="s">
        <v>7265</v>
      </c>
      <c r="U2" s="1561" t="s">
        <v>119</v>
      </c>
      <c r="V2" s="1562" t="s">
        <v>7267</v>
      </c>
      <c r="Y2" s="1559" t="s">
        <v>7003</v>
      </c>
      <c r="Z2" s="1560" t="s">
        <v>7003</v>
      </c>
      <c r="AA2" s="1561" t="s">
        <v>3173</v>
      </c>
      <c r="AB2" s="1561" t="s">
        <v>7265</v>
      </c>
      <c r="AC2" s="1561" t="s">
        <v>119</v>
      </c>
      <c r="AD2" s="1562" t="s">
        <v>7267</v>
      </c>
      <c r="AG2" s="1559" t="s">
        <v>7003</v>
      </c>
      <c r="AH2" s="1560" t="s">
        <v>7003</v>
      </c>
      <c r="AI2" s="1561" t="s">
        <v>3173</v>
      </c>
      <c r="AJ2" s="1561" t="s">
        <v>7265</v>
      </c>
      <c r="AK2" s="1561" t="s">
        <v>119</v>
      </c>
      <c r="AL2" s="1562" t="s">
        <v>7267</v>
      </c>
      <c r="AO2" s="1559" t="s">
        <v>7003</v>
      </c>
      <c r="AP2" s="1560" t="s">
        <v>7003</v>
      </c>
      <c r="AQ2" s="1561" t="s">
        <v>3173</v>
      </c>
      <c r="AR2" s="1561" t="s">
        <v>7265</v>
      </c>
      <c r="AS2" s="1561" t="s">
        <v>119</v>
      </c>
      <c r="AT2" s="1562" t="s">
        <v>7267</v>
      </c>
      <c r="AV2" s="1862"/>
      <c r="AW2" s="1862"/>
      <c r="AX2" s="1861"/>
      <c r="AY2" s="1861"/>
      <c r="AZ2" s="1861"/>
      <c r="BA2" s="1861"/>
      <c r="BC2" s="1862"/>
      <c r="BD2" s="1862"/>
      <c r="BE2" s="1861"/>
      <c r="BF2" s="1861"/>
      <c r="BG2" s="1861"/>
      <c r="BH2" s="1861"/>
      <c r="BJ2" s="1862"/>
      <c r="BK2" s="1862"/>
      <c r="BL2" s="1861"/>
      <c r="BM2" s="1861"/>
      <c r="BN2" s="1861"/>
      <c r="BO2" s="1861"/>
    </row>
    <row r="3" spans="1:67" ht="12.75" customHeight="1">
      <c r="A3" s="1563" t="s">
        <v>135</v>
      </c>
      <c r="B3" s="1564" t="s">
        <v>7268</v>
      </c>
      <c r="C3" s="1565" t="s">
        <v>7269</v>
      </c>
      <c r="D3" s="1565" t="s">
        <v>7270</v>
      </c>
      <c r="E3" s="1565" t="s">
        <v>7271</v>
      </c>
      <c r="F3" s="1566" t="s">
        <v>7272</v>
      </c>
      <c r="I3" s="1563" t="s">
        <v>135</v>
      </c>
      <c r="J3" s="1564" t="s">
        <v>7268</v>
      </c>
      <c r="K3" s="1565" t="s">
        <v>7269</v>
      </c>
      <c r="L3" s="1565" t="s">
        <v>7270</v>
      </c>
      <c r="M3" s="1565" t="s">
        <v>7273</v>
      </c>
      <c r="N3" s="1566" t="s">
        <v>7272</v>
      </c>
      <c r="Q3" s="1563" t="s">
        <v>135</v>
      </c>
      <c r="R3" s="1564" t="s">
        <v>7268</v>
      </c>
      <c r="S3" s="1565" t="s">
        <v>7269</v>
      </c>
      <c r="T3" s="1565" t="s">
        <v>7270</v>
      </c>
      <c r="U3" s="1565" t="s">
        <v>7273</v>
      </c>
      <c r="V3" s="1566" t="s">
        <v>7272</v>
      </c>
      <c r="Y3" s="1563" t="s">
        <v>135</v>
      </c>
      <c r="Z3" s="1564" t="s">
        <v>7268</v>
      </c>
      <c r="AA3" s="1565" t="s">
        <v>7269</v>
      </c>
      <c r="AB3" s="1565" t="s">
        <v>7270</v>
      </c>
      <c r="AC3" s="1565" t="s">
        <v>7273</v>
      </c>
      <c r="AD3" s="1566" t="s">
        <v>7272</v>
      </c>
      <c r="AG3" s="1563" t="s">
        <v>135</v>
      </c>
      <c r="AH3" s="1564" t="s">
        <v>7268</v>
      </c>
      <c r="AI3" s="1565" t="s">
        <v>7269</v>
      </c>
      <c r="AJ3" s="1565" t="s">
        <v>7270</v>
      </c>
      <c r="AK3" s="1565" t="s">
        <v>7273</v>
      </c>
      <c r="AL3" s="1566" t="s">
        <v>7272</v>
      </c>
      <c r="AO3" s="1567" t="s">
        <v>135</v>
      </c>
      <c r="AP3" s="1564" t="s">
        <v>7268</v>
      </c>
      <c r="AQ3" s="1565" t="s">
        <v>7269</v>
      </c>
      <c r="AR3" s="1565" t="s">
        <v>7270</v>
      </c>
      <c r="AS3" s="1565" t="s">
        <v>7273</v>
      </c>
      <c r="AT3" s="1566" t="s">
        <v>7272</v>
      </c>
      <c r="AV3" s="1862"/>
      <c r="AW3" s="1862"/>
      <c r="AX3" s="1861"/>
      <c r="AY3" s="1861"/>
      <c r="AZ3" s="1861"/>
      <c r="BA3" s="1861"/>
      <c r="BC3" s="1862"/>
      <c r="BD3" s="1862"/>
      <c r="BE3" s="1861"/>
      <c r="BF3" s="1861"/>
      <c r="BG3" s="1861"/>
      <c r="BH3" s="1861"/>
      <c r="BJ3" s="1862"/>
      <c r="BK3" s="1862"/>
      <c r="BL3" s="1861"/>
      <c r="BM3" s="1861"/>
      <c r="BN3" s="1861"/>
      <c r="BO3" s="1861"/>
    </row>
    <row r="4" spans="1:67" ht="12.75" customHeight="1">
      <c r="A4" s="1568" t="s">
        <v>7274</v>
      </c>
      <c r="B4" s="1569" t="s">
        <v>7275</v>
      </c>
      <c r="C4" s="872">
        <v>59470</v>
      </c>
      <c r="D4" s="1570">
        <v>20.05</v>
      </c>
      <c r="E4" s="872">
        <v>41690</v>
      </c>
      <c r="F4" s="1571">
        <v>0.9</v>
      </c>
      <c r="G4" s="1572"/>
      <c r="I4" s="1568" t="s">
        <v>7276</v>
      </c>
      <c r="J4" s="1569" t="s">
        <v>7277</v>
      </c>
      <c r="K4" s="872">
        <v>970</v>
      </c>
      <c r="L4" s="1570">
        <v>32.1</v>
      </c>
      <c r="M4" s="872">
        <v>66770</v>
      </c>
      <c r="N4" s="1571">
        <v>1.2</v>
      </c>
      <c r="Q4" s="1568" t="s">
        <v>7278</v>
      </c>
      <c r="R4" s="1569" t="s">
        <v>7279</v>
      </c>
      <c r="S4" s="872">
        <v>1980</v>
      </c>
      <c r="T4" s="1570">
        <v>36.770000000000003</v>
      </c>
      <c r="U4" s="872">
        <v>76490</v>
      </c>
      <c r="V4" s="1571">
        <v>3.7</v>
      </c>
      <c r="W4" s="1573"/>
      <c r="Y4" s="1568" t="s">
        <v>7280</v>
      </c>
      <c r="Z4" s="1569" t="s">
        <v>7281</v>
      </c>
      <c r="AA4" s="872">
        <v>2260</v>
      </c>
      <c r="AB4" s="1570">
        <v>11.08</v>
      </c>
      <c r="AC4" s="872">
        <v>23040</v>
      </c>
      <c r="AD4" s="1571">
        <v>0.6</v>
      </c>
      <c r="AE4" s="585"/>
      <c r="AG4" s="1577" t="s">
        <v>7798</v>
      </c>
      <c r="AH4" s="845" t="s">
        <v>7799</v>
      </c>
      <c r="AI4" s="872">
        <v>80</v>
      </c>
      <c r="AJ4" s="1570">
        <v>15.59</v>
      </c>
      <c r="AK4" s="872">
        <v>32430</v>
      </c>
      <c r="AL4" s="1571">
        <v>1.7</v>
      </c>
      <c r="AM4" s="585"/>
      <c r="AO4" s="1577" t="s">
        <v>7496</v>
      </c>
      <c r="AP4" s="845" t="s">
        <v>7497</v>
      </c>
      <c r="AQ4" s="872">
        <v>770</v>
      </c>
      <c r="AR4" s="1570">
        <v>14.35</v>
      </c>
      <c r="AS4" s="872">
        <v>29850</v>
      </c>
      <c r="AT4" s="1571">
        <v>1.2</v>
      </c>
      <c r="AU4" s="1574"/>
      <c r="AV4" s="1585"/>
      <c r="AW4" s="1586"/>
      <c r="AX4" s="1873"/>
      <c r="AY4" s="1588"/>
      <c r="AZ4" s="1874"/>
      <c r="BA4" s="912"/>
      <c r="BC4" s="1863"/>
      <c r="BD4" s="621"/>
      <c r="BE4" s="439"/>
      <c r="BF4" s="1575"/>
      <c r="BG4" s="1576"/>
      <c r="BH4" s="1575"/>
      <c r="BJ4" s="1863"/>
      <c r="BK4" s="621"/>
      <c r="BL4" s="439"/>
      <c r="BM4" s="1575"/>
      <c r="BN4" s="1576"/>
      <c r="BO4" s="1575"/>
    </row>
    <row r="5" spans="1:67" ht="12.75" customHeight="1">
      <c r="A5" s="1568" t="s">
        <v>7288</v>
      </c>
      <c r="B5" s="1569" t="s">
        <v>7289</v>
      </c>
      <c r="C5" s="872">
        <v>5240</v>
      </c>
      <c r="D5" s="1570">
        <v>40.58</v>
      </c>
      <c r="E5" s="872">
        <v>84410</v>
      </c>
      <c r="F5" s="1571">
        <v>5.4</v>
      </c>
      <c r="G5" s="1572"/>
      <c r="I5" s="1577" t="s">
        <v>7290</v>
      </c>
      <c r="J5" s="845" t="s">
        <v>7291</v>
      </c>
      <c r="K5" s="872">
        <v>60</v>
      </c>
      <c r="L5" s="1570">
        <v>38.880000000000003</v>
      </c>
      <c r="M5" s="872">
        <v>80860</v>
      </c>
      <c r="N5" s="1571">
        <v>3.8</v>
      </c>
      <c r="Q5" s="1577" t="s">
        <v>7292</v>
      </c>
      <c r="R5" s="845" t="s">
        <v>7293</v>
      </c>
      <c r="S5" s="872">
        <v>90</v>
      </c>
      <c r="T5" s="1570">
        <v>53.77</v>
      </c>
      <c r="U5" s="872">
        <v>111850</v>
      </c>
      <c r="V5" s="1571">
        <v>1.1000000000000001</v>
      </c>
      <c r="W5" s="1573"/>
      <c r="Y5" s="1577" t="s">
        <v>7294</v>
      </c>
      <c r="Z5" s="845" t="s">
        <v>7295</v>
      </c>
      <c r="AA5" s="872">
        <v>120</v>
      </c>
      <c r="AB5" s="1570">
        <v>13.96</v>
      </c>
      <c r="AC5" s="872">
        <v>29030</v>
      </c>
      <c r="AD5" s="1571">
        <v>1.9</v>
      </c>
      <c r="AE5" s="585"/>
      <c r="AG5" s="1577" t="s">
        <v>7340</v>
      </c>
      <c r="AH5" s="845" t="s">
        <v>7341</v>
      </c>
      <c r="AI5" s="872">
        <v>240</v>
      </c>
      <c r="AJ5" s="1570">
        <v>10.74</v>
      </c>
      <c r="AK5" s="872">
        <v>22350</v>
      </c>
      <c r="AL5" s="1571">
        <v>3.5</v>
      </c>
      <c r="AM5" s="585"/>
      <c r="AO5" s="1577" t="s">
        <v>7522</v>
      </c>
      <c r="AP5" s="845" t="s">
        <v>7523</v>
      </c>
      <c r="AQ5" s="872">
        <v>370</v>
      </c>
      <c r="AR5" s="1570">
        <v>12.42</v>
      </c>
      <c r="AS5" s="872">
        <v>25830</v>
      </c>
      <c r="AT5" s="1571">
        <v>1.5</v>
      </c>
      <c r="AU5" s="1574"/>
      <c r="AV5" s="1585"/>
      <c r="AW5" s="1586"/>
      <c r="AX5" s="1873"/>
      <c r="AY5" s="1588"/>
      <c r="AZ5" s="1874"/>
      <c r="BA5" s="912"/>
      <c r="BC5" s="1578"/>
      <c r="BD5" s="382"/>
      <c r="BE5" s="439"/>
      <c r="BF5" s="1575"/>
      <c r="BG5" s="1576"/>
      <c r="BH5" s="1575"/>
      <c r="BJ5" s="1578"/>
      <c r="BK5" s="382"/>
      <c r="BL5" s="439"/>
      <c r="BM5" s="1575"/>
      <c r="BN5" s="1576"/>
      <c r="BO5" s="1575"/>
    </row>
    <row r="6" spans="1:67" ht="12.75" customHeight="1">
      <c r="A6" s="1577" t="s">
        <v>7302</v>
      </c>
      <c r="B6" s="845" t="s">
        <v>7303</v>
      </c>
      <c r="C6" s="872">
        <v>340</v>
      </c>
      <c r="D6" s="1570">
        <v>57.6</v>
      </c>
      <c r="E6" s="872">
        <v>119810</v>
      </c>
      <c r="F6" s="1571">
        <v>4.0999999999999996</v>
      </c>
      <c r="G6" s="1572"/>
      <c r="I6" s="1577" t="s">
        <v>7320</v>
      </c>
      <c r="J6" s="845" t="s">
        <v>7321</v>
      </c>
      <c r="K6" s="872">
        <v>310</v>
      </c>
      <c r="L6" s="1570">
        <v>32.200000000000003</v>
      </c>
      <c r="M6" s="872">
        <v>66970</v>
      </c>
      <c r="N6" s="1571">
        <v>2.2000000000000002</v>
      </c>
      <c r="Q6" s="1577" t="s">
        <v>7840</v>
      </c>
      <c r="R6" s="845" t="s">
        <v>7841</v>
      </c>
      <c r="S6" s="872">
        <v>30</v>
      </c>
      <c r="T6" s="1570">
        <v>33</v>
      </c>
      <c r="U6" s="872">
        <v>68640</v>
      </c>
      <c r="V6" s="1571">
        <v>1.4</v>
      </c>
      <c r="W6" s="1573"/>
      <c r="Y6" s="1577" t="s">
        <v>7309</v>
      </c>
      <c r="Z6" s="845" t="s">
        <v>7310</v>
      </c>
      <c r="AA6" s="872">
        <v>60</v>
      </c>
      <c r="AB6" s="1570">
        <v>16.22</v>
      </c>
      <c r="AC6" s="872">
        <v>33740</v>
      </c>
      <c r="AD6" s="1571">
        <v>1.4</v>
      </c>
      <c r="AE6" s="585"/>
      <c r="AG6" s="1577" t="s">
        <v>7354</v>
      </c>
      <c r="AH6" s="845" t="s">
        <v>7355</v>
      </c>
      <c r="AI6" s="872">
        <v>100</v>
      </c>
      <c r="AJ6" s="1570">
        <v>22.25</v>
      </c>
      <c r="AK6" s="872">
        <v>46290</v>
      </c>
      <c r="AL6" s="1571">
        <v>0.4</v>
      </c>
      <c r="AM6" s="585"/>
      <c r="AO6" s="1577" t="s">
        <v>7535</v>
      </c>
      <c r="AP6" s="845" t="s">
        <v>7536</v>
      </c>
      <c r="AQ6" s="872">
        <v>80</v>
      </c>
      <c r="AR6" s="1570">
        <v>18.48</v>
      </c>
      <c r="AS6" s="872">
        <v>38440</v>
      </c>
      <c r="AT6" s="1571">
        <v>3.1</v>
      </c>
      <c r="AU6" s="1574"/>
      <c r="AV6" s="1585"/>
      <c r="AW6" s="1586"/>
      <c r="AX6" s="1873"/>
      <c r="AY6" s="1588"/>
      <c r="AZ6" s="1874"/>
      <c r="BA6" s="912"/>
      <c r="BC6" s="1578"/>
      <c r="BD6" s="382"/>
      <c r="BE6" s="439"/>
      <c r="BF6" s="1575"/>
      <c r="BG6" s="1576"/>
      <c r="BH6" s="1575"/>
      <c r="BJ6" s="1578"/>
      <c r="BK6" s="382"/>
      <c r="BL6" s="439"/>
      <c r="BM6" s="1575"/>
      <c r="BN6" s="1576"/>
      <c r="BO6" s="1575"/>
    </row>
    <row r="7" spans="1:67" ht="12.75" customHeight="1">
      <c r="A7" s="1577" t="s">
        <v>7318</v>
      </c>
      <c r="B7" s="845" t="s">
        <v>7319</v>
      </c>
      <c r="C7" s="872">
        <v>1290</v>
      </c>
      <c r="D7" s="1570">
        <v>34.799999999999997</v>
      </c>
      <c r="E7" s="872">
        <v>72390</v>
      </c>
      <c r="F7" s="1571">
        <v>2.4</v>
      </c>
      <c r="G7" s="1572"/>
      <c r="I7" s="1577" t="s">
        <v>7334</v>
      </c>
      <c r="J7" s="845" t="s">
        <v>7335</v>
      </c>
      <c r="K7" s="872">
        <v>60</v>
      </c>
      <c r="L7" s="1570">
        <v>38.33</v>
      </c>
      <c r="M7" s="872">
        <v>79720</v>
      </c>
      <c r="N7" s="1571">
        <v>4.2</v>
      </c>
      <c r="Q7" s="1577" t="s">
        <v>7306</v>
      </c>
      <c r="R7" s="845" t="s">
        <v>7307</v>
      </c>
      <c r="S7" s="872">
        <v>660</v>
      </c>
      <c r="T7" s="1570" t="s">
        <v>7308</v>
      </c>
      <c r="U7" s="1570" t="s">
        <v>7308</v>
      </c>
      <c r="V7" s="1570" t="s">
        <v>7308</v>
      </c>
      <c r="W7" s="1573"/>
      <c r="Y7" s="1577" t="s">
        <v>7324</v>
      </c>
      <c r="Z7" s="845" t="s">
        <v>7325</v>
      </c>
      <c r="AA7" s="872">
        <v>750</v>
      </c>
      <c r="AB7" s="1570">
        <v>11.23</v>
      </c>
      <c r="AC7" s="872">
        <v>23360</v>
      </c>
      <c r="AD7" s="1571">
        <v>0.9</v>
      </c>
      <c r="AE7" s="585"/>
      <c r="AG7" s="1577" t="s">
        <v>7382</v>
      </c>
      <c r="AH7" s="845" t="s">
        <v>7383</v>
      </c>
      <c r="AI7" s="872">
        <v>60</v>
      </c>
      <c r="AJ7" s="1570">
        <v>11.92</v>
      </c>
      <c r="AK7" s="872">
        <v>24790</v>
      </c>
      <c r="AL7" s="1571">
        <v>2.6</v>
      </c>
      <c r="AM7" s="585"/>
      <c r="AO7" s="1568" t="s">
        <v>7548</v>
      </c>
      <c r="AP7" s="1569" t="s">
        <v>7549</v>
      </c>
      <c r="AQ7" s="872">
        <v>1530</v>
      </c>
      <c r="AR7" s="1570">
        <v>16.63</v>
      </c>
      <c r="AS7" s="872">
        <v>34590</v>
      </c>
      <c r="AT7" s="1571">
        <v>1</v>
      </c>
      <c r="AU7" s="1574"/>
      <c r="AV7" s="1585"/>
      <c r="AW7" s="1586"/>
      <c r="AX7" s="1873"/>
      <c r="AY7" s="1588"/>
      <c r="AZ7" s="1874"/>
      <c r="BA7" s="1588"/>
      <c r="BC7" s="1578"/>
      <c r="BD7" s="382"/>
      <c r="BE7" s="439"/>
      <c r="BF7" s="1575"/>
      <c r="BG7" s="1576"/>
      <c r="BH7" s="1575"/>
      <c r="BJ7" s="1578"/>
      <c r="BK7" s="382"/>
      <c r="BL7" s="439"/>
      <c r="BM7" s="1575"/>
      <c r="BN7" s="1576"/>
      <c r="BO7" s="1575"/>
    </row>
    <row r="8" spans="1:67" ht="12.75" customHeight="1">
      <c r="A8" s="1577" t="s">
        <v>7332</v>
      </c>
      <c r="B8" s="845" t="s">
        <v>7333</v>
      </c>
      <c r="C8" s="872">
        <v>160</v>
      </c>
      <c r="D8" s="1570" t="s">
        <v>7308</v>
      </c>
      <c r="E8" s="1570" t="s">
        <v>7308</v>
      </c>
      <c r="F8" s="1570" t="s">
        <v>7308</v>
      </c>
      <c r="G8" s="1572"/>
      <c r="I8" s="1577" t="s">
        <v>7362</v>
      </c>
      <c r="J8" s="845" t="s">
        <v>7363</v>
      </c>
      <c r="K8" s="872">
        <v>40</v>
      </c>
      <c r="L8" s="1570">
        <v>32.1</v>
      </c>
      <c r="M8" s="872">
        <v>66760</v>
      </c>
      <c r="N8" s="1571">
        <v>2.4</v>
      </c>
      <c r="Q8" s="1577" t="s">
        <v>7782</v>
      </c>
      <c r="R8" s="845" t="s">
        <v>7783</v>
      </c>
      <c r="S8" s="872">
        <v>40</v>
      </c>
      <c r="T8" s="1570">
        <v>93.74</v>
      </c>
      <c r="U8" s="872">
        <v>194980</v>
      </c>
      <c r="V8" s="1571">
        <v>21.9</v>
      </c>
      <c r="W8" s="1573"/>
      <c r="Y8" s="1577" t="s">
        <v>7338</v>
      </c>
      <c r="Z8" s="845" t="s">
        <v>7842</v>
      </c>
      <c r="AA8" s="872">
        <v>700</v>
      </c>
      <c r="AB8" s="1570">
        <v>9.76</v>
      </c>
      <c r="AC8" s="872">
        <v>20300</v>
      </c>
      <c r="AD8" s="1571">
        <v>0.7</v>
      </c>
      <c r="AE8" s="585"/>
      <c r="AG8" s="1577" t="s">
        <v>7843</v>
      </c>
      <c r="AH8" s="845" t="s">
        <v>7844</v>
      </c>
      <c r="AI8" s="872">
        <v>130</v>
      </c>
      <c r="AJ8" s="1570" t="s">
        <v>7308</v>
      </c>
      <c r="AK8" s="1570" t="s">
        <v>7308</v>
      </c>
      <c r="AL8" s="1570" t="s">
        <v>7308</v>
      </c>
      <c r="AM8" s="585"/>
      <c r="AO8" s="1577" t="s">
        <v>7561</v>
      </c>
      <c r="AP8" s="845" t="s">
        <v>7562</v>
      </c>
      <c r="AQ8" s="872">
        <v>110</v>
      </c>
      <c r="AR8" s="1570">
        <v>28.26</v>
      </c>
      <c r="AS8" s="872">
        <v>58780</v>
      </c>
      <c r="AT8" s="1571">
        <v>3.4</v>
      </c>
      <c r="AU8" s="1574"/>
      <c r="AV8" s="1585"/>
      <c r="AW8" s="1586"/>
      <c r="AX8" s="1873"/>
      <c r="AY8" s="1588"/>
      <c r="AZ8" s="1874"/>
      <c r="BA8" s="1588"/>
      <c r="BC8" s="1578"/>
      <c r="BD8" s="382"/>
      <c r="BE8" s="439"/>
      <c r="BF8" s="1575"/>
      <c r="BG8" s="1576"/>
      <c r="BH8" s="1575"/>
      <c r="BJ8" s="1578"/>
      <c r="BK8" s="382"/>
      <c r="BL8" s="439"/>
      <c r="BM8" s="1575"/>
      <c r="BN8" s="1576"/>
      <c r="BO8" s="1575"/>
    </row>
    <row r="9" spans="1:67" ht="12.75" customHeight="1">
      <c r="A9" s="1577">
        <f ca="1">A1:F4051-0</f>
        <v>0</v>
      </c>
      <c r="B9" s="845" t="s">
        <v>7347</v>
      </c>
      <c r="C9" s="872">
        <v>180</v>
      </c>
      <c r="D9" s="1570">
        <v>31.19</v>
      </c>
      <c r="E9" s="872">
        <v>64880</v>
      </c>
      <c r="F9" s="1571">
        <v>8.1</v>
      </c>
      <c r="G9" s="1572"/>
      <c r="I9" s="1577" t="s">
        <v>7390</v>
      </c>
      <c r="J9" s="845" t="s">
        <v>7391</v>
      </c>
      <c r="K9" s="872">
        <v>80</v>
      </c>
      <c r="L9" s="1570">
        <v>20.97</v>
      </c>
      <c r="M9" s="872">
        <v>43620</v>
      </c>
      <c r="N9" s="1571">
        <v>4.2</v>
      </c>
      <c r="Q9" s="1577" t="s">
        <v>7845</v>
      </c>
      <c r="R9" s="845" t="s">
        <v>7846</v>
      </c>
      <c r="S9" s="872">
        <v>30</v>
      </c>
      <c r="T9" s="1570">
        <v>110.81</v>
      </c>
      <c r="U9" s="872">
        <v>230480</v>
      </c>
      <c r="V9" s="1571">
        <v>7.8</v>
      </c>
      <c r="W9" s="1573"/>
      <c r="Y9" s="1577" t="s">
        <v>7366</v>
      </c>
      <c r="Z9" s="845" t="s">
        <v>7367</v>
      </c>
      <c r="AA9" s="872">
        <v>560</v>
      </c>
      <c r="AB9" s="1570">
        <v>11.05</v>
      </c>
      <c r="AC9" s="872">
        <v>22980</v>
      </c>
      <c r="AD9" s="1571">
        <v>1.6</v>
      </c>
      <c r="AE9" s="585"/>
      <c r="AG9" s="1577" t="s">
        <v>7808</v>
      </c>
      <c r="AH9" s="845" t="s">
        <v>7809</v>
      </c>
      <c r="AI9" s="872">
        <v>30</v>
      </c>
      <c r="AJ9" s="1570">
        <v>29.27</v>
      </c>
      <c r="AK9" s="872">
        <v>60890</v>
      </c>
      <c r="AL9" s="1571">
        <v>0</v>
      </c>
      <c r="AM9" s="585"/>
      <c r="AO9" s="1577" t="s">
        <v>7574</v>
      </c>
      <c r="AP9" s="845" t="s">
        <v>7575</v>
      </c>
      <c r="AQ9" s="872">
        <v>120</v>
      </c>
      <c r="AR9" s="1570">
        <v>11.52</v>
      </c>
      <c r="AS9" s="872">
        <v>23970</v>
      </c>
      <c r="AT9" s="1571">
        <v>1.6</v>
      </c>
      <c r="AU9" s="1574"/>
      <c r="AV9" s="1585"/>
      <c r="AW9" s="1586"/>
      <c r="AX9" s="1873"/>
      <c r="AY9" s="1588"/>
      <c r="AZ9" s="1874"/>
      <c r="BA9" s="1588"/>
      <c r="BC9" s="1578"/>
      <c r="BD9" s="382"/>
      <c r="BE9" s="439"/>
      <c r="BF9" s="1575"/>
      <c r="BG9" s="1576"/>
      <c r="BH9" s="1575"/>
      <c r="BJ9" s="1578"/>
      <c r="BK9" s="382"/>
      <c r="BL9" s="439"/>
      <c r="BM9" s="1575"/>
      <c r="BN9" s="1576"/>
      <c r="BO9" s="1575"/>
    </row>
    <row r="10" spans="1:67" ht="12.75" customHeight="1">
      <c r="A10" s="1577" t="s">
        <v>7360</v>
      </c>
      <c r="B10" s="845" t="s">
        <v>7361</v>
      </c>
      <c r="C10" s="872">
        <v>1080</v>
      </c>
      <c r="D10" s="1570">
        <v>28.95</v>
      </c>
      <c r="E10" s="872">
        <v>60220</v>
      </c>
      <c r="F10" s="1571">
        <v>1.9</v>
      </c>
      <c r="G10" s="1572"/>
      <c r="I10" s="1577" t="s">
        <v>7786</v>
      </c>
      <c r="J10" s="845" t="s">
        <v>7787</v>
      </c>
      <c r="K10" s="872">
        <v>70</v>
      </c>
      <c r="L10" s="1570">
        <v>36.54</v>
      </c>
      <c r="M10" s="872">
        <v>76000</v>
      </c>
      <c r="N10" s="1571">
        <v>0.3</v>
      </c>
      <c r="Q10" s="1577" t="s">
        <v>7350</v>
      </c>
      <c r="R10" s="845" t="s">
        <v>7351</v>
      </c>
      <c r="S10" s="872" t="s">
        <v>7311</v>
      </c>
      <c r="T10" s="1570">
        <v>28.53</v>
      </c>
      <c r="U10" s="872">
        <v>59350</v>
      </c>
      <c r="V10" s="1571">
        <v>2.4</v>
      </c>
      <c r="W10" s="1573"/>
      <c r="Y10" s="1568" t="s">
        <v>7380</v>
      </c>
      <c r="Z10" s="1569" t="s">
        <v>7381</v>
      </c>
      <c r="AA10" s="872">
        <v>780</v>
      </c>
      <c r="AB10" s="1570">
        <v>11.11</v>
      </c>
      <c r="AC10" s="872">
        <v>23110</v>
      </c>
      <c r="AD10" s="1571">
        <v>1.8</v>
      </c>
      <c r="AE10" s="585"/>
      <c r="AG10" s="1577" t="s">
        <v>7396</v>
      </c>
      <c r="AH10" s="845" t="s">
        <v>7397</v>
      </c>
      <c r="AI10" s="872">
        <v>50</v>
      </c>
      <c r="AJ10" s="1570">
        <v>24.76</v>
      </c>
      <c r="AK10" s="872">
        <v>51490</v>
      </c>
      <c r="AL10" s="1571">
        <v>0</v>
      </c>
      <c r="AM10" s="585"/>
      <c r="AO10" s="1577" t="s">
        <v>7587</v>
      </c>
      <c r="AP10" s="845" t="s">
        <v>7588</v>
      </c>
      <c r="AQ10" s="872">
        <v>60</v>
      </c>
      <c r="AR10" s="1570">
        <v>16.23</v>
      </c>
      <c r="AS10" s="872">
        <v>33750</v>
      </c>
      <c r="AT10" s="1571">
        <v>7.8</v>
      </c>
      <c r="AU10" s="1574"/>
      <c r="AV10" s="1585"/>
      <c r="AW10" s="1586"/>
      <c r="AX10" s="1873"/>
      <c r="AY10" s="1877"/>
      <c r="AZ10" s="1875"/>
      <c r="BA10" s="1588"/>
      <c r="BC10" s="1578"/>
      <c r="BD10" s="382"/>
      <c r="BE10" s="439"/>
      <c r="BF10" s="1575"/>
      <c r="BG10" s="1576"/>
      <c r="BH10" s="1575"/>
      <c r="BJ10" s="1578"/>
      <c r="BK10" s="382"/>
      <c r="BL10" s="439"/>
      <c r="BM10" s="1575"/>
      <c r="BN10" s="1576"/>
      <c r="BO10" s="1575"/>
    </row>
    <row r="11" spans="1:67" ht="12.75" customHeight="1">
      <c r="A11" s="1577" t="s">
        <v>7374</v>
      </c>
      <c r="B11" s="845" t="s">
        <v>7375</v>
      </c>
      <c r="C11" s="872">
        <v>70</v>
      </c>
      <c r="D11" s="1570">
        <v>31.35</v>
      </c>
      <c r="E11" s="872">
        <v>65200</v>
      </c>
      <c r="F11" s="1571">
        <v>3.3</v>
      </c>
      <c r="G11" s="1550"/>
      <c r="I11" s="1577" t="s">
        <v>7404</v>
      </c>
      <c r="J11" s="845" t="s">
        <v>7405</v>
      </c>
      <c r="K11" s="872">
        <v>50</v>
      </c>
      <c r="L11" s="1570">
        <v>18.13</v>
      </c>
      <c r="M11" s="872">
        <v>37700</v>
      </c>
      <c r="N11" s="1571">
        <v>3.8</v>
      </c>
      <c r="Q11" s="1577" t="s">
        <v>7378</v>
      </c>
      <c r="R11" s="845" t="s">
        <v>7379</v>
      </c>
      <c r="S11" s="872">
        <v>130</v>
      </c>
      <c r="T11" s="1570">
        <v>14.6</v>
      </c>
      <c r="U11" s="872">
        <v>30360</v>
      </c>
      <c r="V11" s="1571">
        <v>1.3</v>
      </c>
      <c r="W11" s="1573"/>
      <c r="Y11" s="1577" t="s">
        <v>7436</v>
      </c>
      <c r="Z11" s="845" t="s">
        <v>7437</v>
      </c>
      <c r="AA11" s="872">
        <v>150</v>
      </c>
      <c r="AB11" s="1570">
        <v>9.69</v>
      </c>
      <c r="AC11" s="872">
        <v>20160</v>
      </c>
      <c r="AD11" s="1571">
        <v>1.7</v>
      </c>
      <c r="AE11" s="585"/>
      <c r="AG11" s="1577" t="s">
        <v>7410</v>
      </c>
      <c r="AH11" s="845" t="s">
        <v>7411</v>
      </c>
      <c r="AI11" s="872">
        <v>40</v>
      </c>
      <c r="AJ11" s="1570">
        <v>25.46</v>
      </c>
      <c r="AK11" s="872">
        <v>52950</v>
      </c>
      <c r="AL11" s="1571">
        <v>0</v>
      </c>
      <c r="AM11" s="585"/>
      <c r="AO11" s="1577" t="s">
        <v>7600</v>
      </c>
      <c r="AP11" s="845" t="s">
        <v>7601</v>
      </c>
      <c r="AQ11" s="872">
        <v>50</v>
      </c>
      <c r="AR11" s="1570">
        <v>13.11</v>
      </c>
      <c r="AS11" s="872">
        <v>27280</v>
      </c>
      <c r="AT11" s="1571">
        <v>3.2</v>
      </c>
      <c r="AU11" s="1574"/>
      <c r="AV11" s="1585"/>
      <c r="AW11" s="1586"/>
      <c r="AX11" s="1873"/>
      <c r="AY11" s="1588"/>
      <c r="AZ11" s="1874"/>
      <c r="BA11" s="1588"/>
      <c r="BC11" s="1578"/>
      <c r="BD11" s="382"/>
      <c r="BE11" s="439"/>
      <c r="BF11" s="1575"/>
      <c r="BG11" s="1576"/>
      <c r="BH11" s="1575"/>
      <c r="BJ11" s="1578"/>
      <c r="BK11" s="382"/>
      <c r="BL11" s="439"/>
      <c r="BM11" s="1575"/>
      <c r="BN11" s="1576"/>
      <c r="BO11" s="1575"/>
    </row>
    <row r="12" spans="1:67" ht="12.75" customHeight="1">
      <c r="A12" s="1577" t="s">
        <v>7388</v>
      </c>
      <c r="B12" s="845" t="s">
        <v>7389</v>
      </c>
      <c r="C12" s="872">
        <v>380</v>
      </c>
      <c r="D12" s="1570">
        <v>38.200000000000003</v>
      </c>
      <c r="E12" s="872">
        <v>79460</v>
      </c>
      <c r="F12" s="1571">
        <v>2.2999999999999998</v>
      </c>
      <c r="G12" s="1572"/>
      <c r="I12" s="1568" t="s">
        <v>7418</v>
      </c>
      <c r="J12" s="1569" t="s">
        <v>7419</v>
      </c>
      <c r="K12" s="872">
        <v>670</v>
      </c>
      <c r="L12" s="1570">
        <v>27.48</v>
      </c>
      <c r="M12" s="872">
        <v>57160</v>
      </c>
      <c r="N12" s="1571">
        <v>1.3</v>
      </c>
      <c r="Q12" s="1577" t="s">
        <v>7392</v>
      </c>
      <c r="R12" s="845" t="s">
        <v>7393</v>
      </c>
      <c r="S12" s="872">
        <v>100</v>
      </c>
      <c r="T12" s="1570">
        <v>20.100000000000001</v>
      </c>
      <c r="U12" s="872">
        <v>41810</v>
      </c>
      <c r="V12" s="1571">
        <v>2.2000000000000002</v>
      </c>
      <c r="W12" s="1573"/>
      <c r="Y12" s="1577" t="s">
        <v>7450</v>
      </c>
      <c r="Z12" s="845" t="s">
        <v>7451</v>
      </c>
      <c r="AA12" s="872">
        <v>60</v>
      </c>
      <c r="AB12" s="1570">
        <v>14.37</v>
      </c>
      <c r="AC12" s="872">
        <v>29890</v>
      </c>
      <c r="AD12" s="1571">
        <v>12.4</v>
      </c>
      <c r="AE12" s="585"/>
      <c r="AG12" s="1577" t="s">
        <v>7438</v>
      </c>
      <c r="AH12" s="845" t="s">
        <v>7439</v>
      </c>
      <c r="AI12" s="872">
        <v>550</v>
      </c>
      <c r="AJ12" s="1570">
        <v>13.69</v>
      </c>
      <c r="AK12" s="872">
        <v>28480</v>
      </c>
      <c r="AL12" s="1571">
        <v>3.6</v>
      </c>
      <c r="AM12" s="585"/>
      <c r="AO12" s="1577" t="s">
        <v>7639</v>
      </c>
      <c r="AP12" s="845" t="s">
        <v>7640</v>
      </c>
      <c r="AQ12" s="872">
        <v>90</v>
      </c>
      <c r="AR12" s="1570">
        <v>10.130000000000001</v>
      </c>
      <c r="AS12" s="872">
        <v>21060</v>
      </c>
      <c r="AT12" s="1571">
        <v>0.7</v>
      </c>
      <c r="AU12" s="1574"/>
      <c r="AV12" s="1585"/>
      <c r="AW12" s="1586"/>
      <c r="AX12" s="1873"/>
      <c r="AY12" s="1588"/>
      <c r="AZ12" s="1874"/>
      <c r="BA12" s="1588"/>
      <c r="BC12" s="1578"/>
      <c r="BD12" s="382"/>
      <c r="BE12" s="435"/>
      <c r="BF12" s="1575"/>
      <c r="BG12" s="1576"/>
      <c r="BH12" s="1575"/>
      <c r="BJ12" s="1578"/>
      <c r="BK12" s="382"/>
      <c r="BL12" s="435"/>
      <c r="BM12" s="1575"/>
      <c r="BN12" s="1576"/>
      <c r="BO12" s="1575"/>
    </row>
    <row r="13" spans="1:67" ht="12.75" customHeight="1">
      <c r="A13" s="1577" t="s">
        <v>7402</v>
      </c>
      <c r="B13" s="845" t="s">
        <v>7403</v>
      </c>
      <c r="C13" s="872">
        <v>50</v>
      </c>
      <c r="D13" s="1570">
        <v>31.19</v>
      </c>
      <c r="E13" s="872">
        <v>64870</v>
      </c>
      <c r="F13" s="1571">
        <v>3.5</v>
      </c>
      <c r="G13" s="1572"/>
      <c r="I13" s="1577" t="s">
        <v>7446</v>
      </c>
      <c r="J13" s="845" t="s">
        <v>7447</v>
      </c>
      <c r="K13" s="872">
        <v>100</v>
      </c>
      <c r="L13" s="1570">
        <v>32.06</v>
      </c>
      <c r="M13" s="872">
        <v>66680</v>
      </c>
      <c r="N13" s="1571">
        <v>2.4</v>
      </c>
      <c r="Q13" s="1577" t="s">
        <v>7406</v>
      </c>
      <c r="R13" s="845" t="s">
        <v>7407</v>
      </c>
      <c r="S13" s="872">
        <v>100</v>
      </c>
      <c r="T13" s="1570">
        <v>16.739999999999998</v>
      </c>
      <c r="U13" s="872">
        <v>34820</v>
      </c>
      <c r="V13" s="1571">
        <v>3.2</v>
      </c>
      <c r="W13" s="1573"/>
      <c r="Y13" s="1577" t="s">
        <v>7847</v>
      </c>
      <c r="Z13" s="845" t="s">
        <v>7848</v>
      </c>
      <c r="AA13" s="872">
        <v>50</v>
      </c>
      <c r="AB13" s="1570">
        <v>10</v>
      </c>
      <c r="AC13" s="872">
        <v>20800</v>
      </c>
      <c r="AD13" s="1571">
        <v>1.2</v>
      </c>
      <c r="AE13" s="585"/>
      <c r="AG13" s="1577" t="s">
        <v>7466</v>
      </c>
      <c r="AH13" s="845" t="s">
        <v>7467</v>
      </c>
      <c r="AI13" s="872">
        <v>60</v>
      </c>
      <c r="AJ13" s="1570">
        <v>17.86</v>
      </c>
      <c r="AK13" s="872">
        <v>37150</v>
      </c>
      <c r="AL13" s="1571">
        <v>6</v>
      </c>
      <c r="AM13" s="585"/>
      <c r="AO13" s="1577" t="s">
        <v>7849</v>
      </c>
      <c r="AP13" s="845" t="s">
        <v>7850</v>
      </c>
      <c r="AQ13" s="872">
        <v>30</v>
      </c>
      <c r="AR13" s="1570">
        <v>20.77</v>
      </c>
      <c r="AS13" s="872">
        <v>43210</v>
      </c>
      <c r="AT13" s="1571">
        <v>3.2</v>
      </c>
      <c r="AU13" s="1574"/>
      <c r="AV13" s="1585"/>
      <c r="AW13" s="1586"/>
      <c r="AX13" s="1873"/>
      <c r="AY13" s="1877"/>
      <c r="AZ13" s="1874"/>
      <c r="BA13" s="1588"/>
      <c r="BC13" s="1578"/>
      <c r="BD13" s="382"/>
      <c r="BE13" s="439"/>
      <c r="BF13" s="1575"/>
      <c r="BG13" s="1576"/>
      <c r="BH13" s="1575"/>
      <c r="BJ13" s="1578"/>
      <c r="BK13" s="382"/>
      <c r="BL13" s="439"/>
      <c r="BM13" s="1575"/>
      <c r="BN13" s="1576"/>
      <c r="BO13" s="1575"/>
    </row>
    <row r="14" spans="1:67" ht="12.75" customHeight="1">
      <c r="A14" s="1577" t="s">
        <v>7416</v>
      </c>
      <c r="B14" s="845" t="s">
        <v>7417</v>
      </c>
      <c r="C14" s="872">
        <v>140</v>
      </c>
      <c r="D14" s="1570">
        <v>36.770000000000003</v>
      </c>
      <c r="E14" s="872">
        <v>76480</v>
      </c>
      <c r="F14" s="1571">
        <v>2.7</v>
      </c>
      <c r="G14" s="1572"/>
      <c r="I14" s="1577" t="s">
        <v>7474</v>
      </c>
      <c r="J14" s="845" t="s">
        <v>7475</v>
      </c>
      <c r="K14" s="872">
        <v>90</v>
      </c>
      <c r="L14" s="1570">
        <v>19.91</v>
      </c>
      <c r="M14" s="872">
        <v>41410</v>
      </c>
      <c r="N14" s="1571">
        <v>0.1</v>
      </c>
      <c r="Q14" s="1568" t="s">
        <v>7420</v>
      </c>
      <c r="R14" s="1569" t="s">
        <v>7421</v>
      </c>
      <c r="S14" s="872">
        <v>1140</v>
      </c>
      <c r="T14" s="1570">
        <v>14.37</v>
      </c>
      <c r="U14" s="872">
        <v>29880</v>
      </c>
      <c r="V14" s="1571">
        <v>2.2000000000000002</v>
      </c>
      <c r="W14" s="1573"/>
      <c r="Y14" s="1577" t="s">
        <v>7851</v>
      </c>
      <c r="Z14" s="845" t="s">
        <v>7852</v>
      </c>
      <c r="AA14" s="872">
        <v>80</v>
      </c>
      <c r="AB14" s="1570">
        <v>10.210000000000001</v>
      </c>
      <c r="AC14" s="872">
        <v>21230</v>
      </c>
      <c r="AD14" s="1571">
        <v>1</v>
      </c>
      <c r="AE14" s="585"/>
      <c r="AG14" s="1577" t="s">
        <v>7480</v>
      </c>
      <c r="AH14" s="845" t="s">
        <v>7481</v>
      </c>
      <c r="AI14" s="872">
        <v>250</v>
      </c>
      <c r="AJ14" s="1570">
        <v>14.69</v>
      </c>
      <c r="AK14" s="872">
        <v>30550</v>
      </c>
      <c r="AL14" s="1571">
        <v>2.7</v>
      </c>
      <c r="AM14" s="585"/>
      <c r="AO14" s="1577" t="s">
        <v>7663</v>
      </c>
      <c r="AP14" s="845" t="s">
        <v>7664</v>
      </c>
      <c r="AQ14" s="872">
        <v>40</v>
      </c>
      <c r="AR14" s="1570">
        <v>20.25</v>
      </c>
      <c r="AS14" s="872">
        <v>42120</v>
      </c>
      <c r="AT14" s="1571">
        <v>2.9</v>
      </c>
      <c r="AU14" s="1574"/>
      <c r="AV14" s="1585"/>
      <c r="AW14" s="1586"/>
      <c r="AX14" s="1876"/>
      <c r="AY14" s="1588"/>
      <c r="AZ14" s="1874"/>
      <c r="BA14" s="1588"/>
      <c r="BC14" s="1578"/>
      <c r="BD14" s="382"/>
      <c r="BE14" s="439"/>
      <c r="BF14" s="1575"/>
      <c r="BG14" s="1576"/>
      <c r="BH14" s="1575"/>
      <c r="BJ14" s="1578"/>
      <c r="BK14" s="382"/>
      <c r="BL14" s="439"/>
      <c r="BM14" s="1575"/>
      <c r="BN14" s="1576"/>
      <c r="BO14" s="1575"/>
    </row>
    <row r="15" spans="1:67" ht="12.75" customHeight="1">
      <c r="A15" s="1577" t="s">
        <v>7430</v>
      </c>
      <c r="B15" s="845" t="s">
        <v>7431</v>
      </c>
      <c r="C15" s="872">
        <v>70</v>
      </c>
      <c r="D15" s="1570" t="s">
        <v>7308</v>
      </c>
      <c r="E15" s="1570" t="s">
        <v>7308</v>
      </c>
      <c r="F15" s="1570" t="s">
        <v>7308</v>
      </c>
      <c r="G15" s="1572"/>
      <c r="I15" s="1577" t="s">
        <v>7501</v>
      </c>
      <c r="J15" s="845" t="s">
        <v>7502</v>
      </c>
      <c r="K15" s="872" t="s">
        <v>7853</v>
      </c>
      <c r="L15" s="1570">
        <v>17.82</v>
      </c>
      <c r="M15" s="872">
        <v>37060</v>
      </c>
      <c r="N15" s="1571">
        <v>2.4</v>
      </c>
      <c r="Q15" s="1577" t="s">
        <v>7802</v>
      </c>
      <c r="R15" s="845" t="s">
        <v>7803</v>
      </c>
      <c r="S15" s="872">
        <v>190</v>
      </c>
      <c r="T15" s="1570">
        <v>11.4</v>
      </c>
      <c r="U15" s="872">
        <v>23720</v>
      </c>
      <c r="V15" s="1571">
        <v>1.2</v>
      </c>
      <c r="W15" s="1573"/>
      <c r="Y15" s="1577" t="s">
        <v>7478</v>
      </c>
      <c r="Z15" s="845" t="s">
        <v>7479</v>
      </c>
      <c r="AA15" s="872">
        <v>180</v>
      </c>
      <c r="AB15" s="1570">
        <v>9.92</v>
      </c>
      <c r="AC15" s="872">
        <v>20640</v>
      </c>
      <c r="AD15" s="1571">
        <v>1</v>
      </c>
      <c r="AE15" s="585"/>
      <c r="AG15" s="1577" t="s">
        <v>7494</v>
      </c>
      <c r="AH15" s="845" t="s">
        <v>7495</v>
      </c>
      <c r="AI15" s="872">
        <v>1180</v>
      </c>
      <c r="AJ15" s="1570">
        <v>16.07</v>
      </c>
      <c r="AK15" s="872">
        <v>33420</v>
      </c>
      <c r="AL15" s="1571">
        <v>0.9</v>
      </c>
      <c r="AM15" s="585"/>
      <c r="AO15" s="1577" t="s">
        <v>7673</v>
      </c>
      <c r="AP15" s="845" t="s">
        <v>7674</v>
      </c>
      <c r="AQ15" s="872">
        <v>310</v>
      </c>
      <c r="AR15" s="1570">
        <v>10.48</v>
      </c>
      <c r="AS15" s="872">
        <v>21800</v>
      </c>
      <c r="AT15" s="1571">
        <v>0.6</v>
      </c>
      <c r="AU15" s="1574"/>
      <c r="AV15" s="1585"/>
      <c r="AW15" s="1586"/>
      <c r="AX15" s="1873"/>
      <c r="AY15" s="1588"/>
      <c r="AZ15" s="1874"/>
      <c r="BA15" s="1588"/>
      <c r="BC15" s="1578"/>
      <c r="BD15" s="382"/>
      <c r="BE15" s="439"/>
      <c r="BF15" s="1575"/>
      <c r="BG15" s="1576"/>
      <c r="BH15" s="1575"/>
      <c r="BJ15" s="1578"/>
      <c r="BK15" s="382"/>
      <c r="BL15" s="439"/>
      <c r="BM15" s="1575"/>
      <c r="BN15" s="1576"/>
      <c r="BO15" s="1575"/>
    </row>
    <row r="16" spans="1:67" ht="12.75" customHeight="1">
      <c r="A16" s="1577" t="s">
        <v>7444</v>
      </c>
      <c r="B16" s="845" t="s">
        <v>7445</v>
      </c>
      <c r="C16" s="872">
        <v>310</v>
      </c>
      <c r="D16" s="1570">
        <v>39.69</v>
      </c>
      <c r="E16" s="872">
        <v>82540</v>
      </c>
      <c r="F16" s="1571">
        <v>7.5</v>
      </c>
      <c r="G16" s="1572"/>
      <c r="I16" s="1568" t="s">
        <v>7514</v>
      </c>
      <c r="J16" s="1569" t="s">
        <v>7515</v>
      </c>
      <c r="K16" s="872">
        <v>730</v>
      </c>
      <c r="L16" s="1570">
        <v>23.06</v>
      </c>
      <c r="M16" s="872">
        <v>47960</v>
      </c>
      <c r="N16" s="1571">
        <v>1.5</v>
      </c>
      <c r="Q16" s="1577" t="s">
        <v>7434</v>
      </c>
      <c r="R16" s="845" t="s">
        <v>7435</v>
      </c>
      <c r="S16" s="872">
        <v>300</v>
      </c>
      <c r="T16" s="1570">
        <v>14.71</v>
      </c>
      <c r="U16" s="872">
        <v>30590</v>
      </c>
      <c r="V16" s="1571">
        <v>1.3</v>
      </c>
      <c r="W16" s="1573"/>
      <c r="Y16" s="1577" t="s">
        <v>7505</v>
      </c>
      <c r="Z16" s="845" t="s">
        <v>7506</v>
      </c>
      <c r="AA16" s="872">
        <v>70</v>
      </c>
      <c r="AB16" s="1570">
        <v>11.66</v>
      </c>
      <c r="AC16" s="872">
        <v>24250</v>
      </c>
      <c r="AD16" s="1571">
        <v>0.5</v>
      </c>
      <c r="AE16" s="585"/>
      <c r="AG16" s="1577" t="s">
        <v>7507</v>
      </c>
      <c r="AH16" s="845" t="s">
        <v>7508</v>
      </c>
      <c r="AI16" s="872">
        <v>90</v>
      </c>
      <c r="AJ16" s="1570" t="s">
        <v>7308</v>
      </c>
      <c r="AK16" s="1570" t="s">
        <v>7308</v>
      </c>
      <c r="AL16" s="1570" t="s">
        <v>7308</v>
      </c>
      <c r="AM16" s="585"/>
      <c r="AO16" s="1568" t="s">
        <v>7286</v>
      </c>
      <c r="AP16" s="1569" t="s">
        <v>7287</v>
      </c>
      <c r="AQ16" s="872">
        <v>4680</v>
      </c>
      <c r="AR16" s="1570">
        <v>17.03</v>
      </c>
      <c r="AS16" s="872">
        <v>35430</v>
      </c>
      <c r="AT16" s="1571">
        <v>1.5</v>
      </c>
      <c r="AU16" s="1574"/>
      <c r="AV16" s="1585"/>
      <c r="AW16" s="1586"/>
      <c r="AX16" s="1873"/>
      <c r="AY16" s="1588"/>
      <c r="AZ16" s="1874"/>
      <c r="BA16" s="1588"/>
      <c r="BC16" s="1578"/>
      <c r="BD16" s="382"/>
      <c r="BE16" s="439"/>
      <c r="BF16" s="1575"/>
      <c r="BG16" s="1576"/>
      <c r="BH16" s="1575"/>
      <c r="BJ16" s="1578"/>
      <c r="BK16" s="382"/>
      <c r="BL16" s="439"/>
      <c r="BM16" s="1575"/>
      <c r="BN16" s="1576"/>
      <c r="BO16" s="1575"/>
    </row>
    <row r="17" spans="1:67" ht="12.75" customHeight="1">
      <c r="A17" s="1577" t="s">
        <v>7794</v>
      </c>
      <c r="B17" s="845" t="s">
        <v>7795</v>
      </c>
      <c r="C17" s="872">
        <v>40</v>
      </c>
      <c r="D17" s="1570">
        <v>16.78</v>
      </c>
      <c r="E17" s="872">
        <v>34900</v>
      </c>
      <c r="F17" s="1571">
        <v>9.6999999999999993</v>
      </c>
      <c r="G17" s="1572"/>
      <c r="I17" s="1577" t="s">
        <v>7527</v>
      </c>
      <c r="J17" s="845" t="s">
        <v>7528</v>
      </c>
      <c r="K17" s="872">
        <v>150</v>
      </c>
      <c r="L17" s="1570">
        <v>26.99</v>
      </c>
      <c r="M17" s="872">
        <v>56130</v>
      </c>
      <c r="N17" s="1571">
        <v>1.1000000000000001</v>
      </c>
      <c r="Q17" s="1577" t="s">
        <v>7448</v>
      </c>
      <c r="R17" s="845" t="s">
        <v>7449</v>
      </c>
      <c r="S17" s="872">
        <v>70</v>
      </c>
      <c r="T17" s="1570">
        <v>12.58</v>
      </c>
      <c r="U17" s="872">
        <v>26170</v>
      </c>
      <c r="V17" s="1571">
        <v>0.9</v>
      </c>
      <c r="W17" s="1573"/>
      <c r="Y17" s="1568" t="s">
        <v>7531</v>
      </c>
      <c r="Z17" s="1569" t="s">
        <v>7532</v>
      </c>
      <c r="AA17" s="872">
        <v>4760</v>
      </c>
      <c r="AB17" s="1570">
        <v>12.87</v>
      </c>
      <c r="AC17" s="872">
        <v>26780</v>
      </c>
      <c r="AD17" s="1571">
        <v>2.2000000000000002</v>
      </c>
      <c r="AE17" s="585"/>
      <c r="AG17" s="1577" t="s">
        <v>7520</v>
      </c>
      <c r="AH17" s="845" t="s">
        <v>7521</v>
      </c>
      <c r="AI17" s="872">
        <v>80</v>
      </c>
      <c r="AJ17" s="1570">
        <v>13.86</v>
      </c>
      <c r="AK17" s="872">
        <v>28840</v>
      </c>
      <c r="AL17" s="1571">
        <v>1.1000000000000001</v>
      </c>
      <c r="AM17" s="585"/>
      <c r="AO17" s="1577" t="s">
        <v>7300</v>
      </c>
      <c r="AP17" s="845" t="s">
        <v>7301</v>
      </c>
      <c r="AQ17" s="872">
        <v>230</v>
      </c>
      <c r="AR17" s="1570">
        <v>19.75</v>
      </c>
      <c r="AS17" s="872">
        <v>41070</v>
      </c>
      <c r="AT17" s="1571">
        <v>4</v>
      </c>
      <c r="AU17" s="1574"/>
      <c r="AV17" s="1585"/>
      <c r="AW17" s="1586"/>
      <c r="AX17" s="1873"/>
      <c r="AY17" s="1588"/>
      <c r="AZ17" s="1874"/>
      <c r="BA17" s="1588"/>
      <c r="BC17" s="1578"/>
      <c r="BD17" s="382"/>
      <c r="BE17" s="439"/>
      <c r="BF17" s="1575"/>
      <c r="BG17" s="1576"/>
      <c r="BH17" s="1575"/>
      <c r="BJ17" s="1578"/>
      <c r="BK17" s="382"/>
      <c r="BL17" s="439"/>
      <c r="BM17" s="1575"/>
      <c r="BN17" s="1576"/>
      <c r="BO17" s="1575"/>
    </row>
    <row r="18" spans="1:67" ht="12.75" customHeight="1">
      <c r="A18" s="1577" t="s">
        <v>7458</v>
      </c>
      <c r="B18" s="845" t="s">
        <v>7459</v>
      </c>
      <c r="C18" s="872">
        <v>120</v>
      </c>
      <c r="D18" s="1570" t="s">
        <v>7308</v>
      </c>
      <c r="E18" s="872">
        <v>73580</v>
      </c>
      <c r="F18" s="1571">
        <v>0.6</v>
      </c>
      <c r="G18" s="1572"/>
      <c r="I18" s="1577" t="s">
        <v>7540</v>
      </c>
      <c r="J18" s="845" t="s">
        <v>7541</v>
      </c>
      <c r="K18" s="872">
        <v>100</v>
      </c>
      <c r="L18" s="1570">
        <v>18.87</v>
      </c>
      <c r="M18" s="872">
        <v>39240</v>
      </c>
      <c r="N18" s="1571">
        <v>1.2</v>
      </c>
      <c r="Q18" s="1577" t="s">
        <v>7462</v>
      </c>
      <c r="R18" s="845" t="s">
        <v>7463</v>
      </c>
      <c r="S18" s="872">
        <v>100</v>
      </c>
      <c r="T18" s="1570">
        <v>18.510000000000002</v>
      </c>
      <c r="U18" s="872">
        <v>38490</v>
      </c>
      <c r="V18" s="1571">
        <v>8.9</v>
      </c>
      <c r="W18" s="1573"/>
      <c r="Y18" s="1577" t="s">
        <v>7544</v>
      </c>
      <c r="Z18" s="845" t="s">
        <v>7545</v>
      </c>
      <c r="AA18" s="872">
        <v>470</v>
      </c>
      <c r="AB18" s="1570">
        <v>16.16</v>
      </c>
      <c r="AC18" s="872">
        <v>33620</v>
      </c>
      <c r="AD18" s="1571">
        <v>2.7</v>
      </c>
      <c r="AE18" s="585"/>
      <c r="AG18" s="1577" t="s">
        <v>7533</v>
      </c>
      <c r="AH18" s="845" t="s">
        <v>7534</v>
      </c>
      <c r="AI18" s="872">
        <v>700</v>
      </c>
      <c r="AJ18" s="1570">
        <v>12.38</v>
      </c>
      <c r="AK18" s="872">
        <v>25750</v>
      </c>
      <c r="AL18" s="1571">
        <v>2.4</v>
      </c>
      <c r="AM18" s="585"/>
      <c r="AO18" s="1577" t="s">
        <v>7330</v>
      </c>
      <c r="AP18" s="845" t="s">
        <v>7331</v>
      </c>
      <c r="AQ18" s="872">
        <v>440</v>
      </c>
      <c r="AR18" s="1570">
        <v>10.78</v>
      </c>
      <c r="AS18" s="872">
        <v>22420</v>
      </c>
      <c r="AT18" s="1571">
        <v>4.4000000000000004</v>
      </c>
      <c r="AU18" s="1574"/>
      <c r="AV18" s="1585"/>
      <c r="AW18" s="1586"/>
      <c r="AX18" s="1873"/>
      <c r="AY18" s="1588"/>
      <c r="AZ18" s="1874"/>
      <c r="BA18" s="1588"/>
      <c r="BC18" s="1578"/>
      <c r="BD18" s="382"/>
      <c r="BE18" s="439"/>
      <c r="BF18" s="1575"/>
      <c r="BG18" s="1576"/>
      <c r="BH18" s="1575"/>
      <c r="BJ18" s="1578"/>
      <c r="BK18" s="382"/>
      <c r="BL18" s="439"/>
      <c r="BM18" s="1575"/>
      <c r="BN18" s="1576"/>
      <c r="BO18" s="1575"/>
    </row>
    <row r="19" spans="1:67" ht="12.75" customHeight="1">
      <c r="A19" s="1577" t="s">
        <v>7472</v>
      </c>
      <c r="B19" s="845" t="s">
        <v>7473</v>
      </c>
      <c r="C19" s="872">
        <v>200</v>
      </c>
      <c r="D19" s="1570" t="s">
        <v>7308</v>
      </c>
      <c r="E19" s="1570" t="s">
        <v>7308</v>
      </c>
      <c r="F19" s="1570" t="s">
        <v>7308</v>
      </c>
      <c r="G19" s="1572"/>
      <c r="I19" s="1577" t="s">
        <v>7553</v>
      </c>
      <c r="J19" s="845" t="s">
        <v>7554</v>
      </c>
      <c r="K19" s="872">
        <v>80</v>
      </c>
      <c r="L19" s="1570">
        <v>23.37</v>
      </c>
      <c r="M19" s="872">
        <v>48600</v>
      </c>
      <c r="N19" s="1571">
        <v>0.4</v>
      </c>
      <c r="Q19" s="1577" t="s">
        <v>7476</v>
      </c>
      <c r="R19" s="845" t="s">
        <v>7477</v>
      </c>
      <c r="S19" s="872">
        <v>260</v>
      </c>
      <c r="T19" s="1570">
        <v>13.69</v>
      </c>
      <c r="U19" s="872">
        <v>28480</v>
      </c>
      <c r="V19" s="1571">
        <v>3</v>
      </c>
      <c r="W19" s="1573"/>
      <c r="Y19" s="1577" t="s">
        <v>7557</v>
      </c>
      <c r="Z19" s="845" t="s">
        <v>7558</v>
      </c>
      <c r="AA19" s="872">
        <v>60</v>
      </c>
      <c r="AB19" s="1570">
        <v>22.34</v>
      </c>
      <c r="AC19" s="872">
        <v>46470</v>
      </c>
      <c r="AD19" s="1571">
        <v>5.8</v>
      </c>
      <c r="AE19" s="585"/>
      <c r="AG19" s="1577" t="s">
        <v>7546</v>
      </c>
      <c r="AH19" s="845" t="s">
        <v>7547</v>
      </c>
      <c r="AI19" s="872">
        <v>70</v>
      </c>
      <c r="AJ19" s="1570">
        <v>19.05</v>
      </c>
      <c r="AK19" s="872">
        <v>39630</v>
      </c>
      <c r="AL19" s="1571">
        <v>1.3</v>
      </c>
      <c r="AM19" s="585"/>
      <c r="AO19" s="1577" t="s">
        <v>7344</v>
      </c>
      <c r="AP19" s="845" t="s">
        <v>7345</v>
      </c>
      <c r="AQ19" s="872">
        <v>510</v>
      </c>
      <c r="AR19" s="1570">
        <v>17.46</v>
      </c>
      <c r="AS19" s="872">
        <v>36310</v>
      </c>
      <c r="AT19" s="1571">
        <v>3.8</v>
      </c>
      <c r="AU19" s="1574"/>
      <c r="AV19" s="1585"/>
      <c r="AW19" s="1586"/>
      <c r="AX19" s="1873"/>
      <c r="AY19" s="1588"/>
      <c r="AZ19" s="1874"/>
      <c r="BA19" s="1588"/>
      <c r="BC19" s="1578"/>
      <c r="BD19" s="382"/>
      <c r="BE19" s="439"/>
      <c r="BF19" s="912"/>
      <c r="BG19" s="912"/>
      <c r="BH19" s="1575"/>
      <c r="BJ19" s="1578"/>
      <c r="BK19" s="382"/>
      <c r="BL19" s="439"/>
      <c r="BM19" s="1575"/>
      <c r="BN19" s="1576"/>
      <c r="BO19" s="1575"/>
    </row>
    <row r="20" spans="1:67" ht="12.75" customHeight="1">
      <c r="A20" s="1577" t="s">
        <v>7486</v>
      </c>
      <c r="B20" s="845" t="s">
        <v>7487</v>
      </c>
      <c r="C20" s="872">
        <v>50</v>
      </c>
      <c r="D20" s="1570">
        <v>48.43</v>
      </c>
      <c r="E20" s="872">
        <v>100730</v>
      </c>
      <c r="F20" s="1571">
        <v>3.2</v>
      </c>
      <c r="G20" s="1572"/>
      <c r="I20" s="1577" t="s">
        <v>7566</v>
      </c>
      <c r="J20" s="845" t="s">
        <v>7567</v>
      </c>
      <c r="K20" s="872">
        <v>140</v>
      </c>
      <c r="L20" s="1570">
        <v>15.55</v>
      </c>
      <c r="M20" s="872">
        <v>32350</v>
      </c>
      <c r="N20" s="1571">
        <v>0.2</v>
      </c>
      <c r="Q20" s="1577" t="s">
        <v>7490</v>
      </c>
      <c r="R20" s="845" t="s">
        <v>7491</v>
      </c>
      <c r="S20" s="872">
        <v>50</v>
      </c>
      <c r="T20" s="1570">
        <v>20.92</v>
      </c>
      <c r="U20" s="872">
        <v>43520</v>
      </c>
      <c r="V20" s="1571">
        <v>9.9</v>
      </c>
      <c r="W20" s="1573"/>
      <c r="Y20" s="1577" t="s">
        <v>7570</v>
      </c>
      <c r="Z20" s="845" t="s">
        <v>7571</v>
      </c>
      <c r="AA20" s="872">
        <v>2230</v>
      </c>
      <c r="AB20" s="1570">
        <v>10.85</v>
      </c>
      <c r="AC20" s="872">
        <v>22580</v>
      </c>
      <c r="AD20" s="1571">
        <v>0.6</v>
      </c>
      <c r="AE20" s="585"/>
      <c r="AG20" s="1568" t="s">
        <v>7559</v>
      </c>
      <c r="AH20" s="1569" t="s">
        <v>7560</v>
      </c>
      <c r="AI20" s="872">
        <v>40</v>
      </c>
      <c r="AJ20" s="1570">
        <v>16.53</v>
      </c>
      <c r="AK20" s="872">
        <v>34390</v>
      </c>
      <c r="AL20" s="1571">
        <v>5.8</v>
      </c>
      <c r="AM20" s="585"/>
      <c r="AO20" s="1577" t="s">
        <v>7358</v>
      </c>
      <c r="AP20" s="845" t="s">
        <v>7359</v>
      </c>
      <c r="AQ20" s="872">
        <v>370</v>
      </c>
      <c r="AR20" s="1570">
        <v>11.86</v>
      </c>
      <c r="AS20" s="872">
        <v>24670</v>
      </c>
      <c r="AT20" s="1571">
        <v>2.5</v>
      </c>
      <c r="AU20" s="1574"/>
      <c r="AV20" s="1878"/>
      <c r="AW20" s="1879"/>
      <c r="AX20" s="1873"/>
      <c r="AY20" s="1588"/>
      <c r="AZ20" s="1874"/>
      <c r="BA20" s="1588"/>
      <c r="BC20" s="1578"/>
      <c r="BD20" s="382"/>
      <c r="BE20" s="439"/>
      <c r="BF20" s="1575"/>
      <c r="BG20" s="1576"/>
      <c r="BH20" s="1575"/>
      <c r="BJ20" s="1578"/>
      <c r="BK20" s="382"/>
      <c r="BL20" s="439"/>
      <c r="BM20" s="1575"/>
      <c r="BN20" s="1576"/>
      <c r="BO20" s="1575"/>
    </row>
    <row r="21" spans="1:67" ht="12.75" customHeight="1">
      <c r="A21" s="1577" t="s">
        <v>7499</v>
      </c>
      <c r="B21" s="845" t="s">
        <v>7500</v>
      </c>
      <c r="C21" s="872">
        <v>110</v>
      </c>
      <c r="D21" s="1570">
        <v>20.48</v>
      </c>
      <c r="E21" s="872">
        <v>42590</v>
      </c>
      <c r="F21" s="1571">
        <v>2.2000000000000002</v>
      </c>
      <c r="G21" s="1572"/>
      <c r="I21" s="1568" t="s">
        <v>7592</v>
      </c>
      <c r="J21" s="1569" t="s">
        <v>7593</v>
      </c>
      <c r="K21" s="872">
        <v>340</v>
      </c>
      <c r="L21" s="1570">
        <v>38.58</v>
      </c>
      <c r="M21" s="872">
        <v>80250</v>
      </c>
      <c r="N21" s="1571">
        <v>6.2</v>
      </c>
      <c r="Q21" s="1568" t="s">
        <v>7503</v>
      </c>
      <c r="R21" s="1569" t="s">
        <v>7504</v>
      </c>
      <c r="S21" s="872">
        <v>3300</v>
      </c>
      <c r="T21" s="1570">
        <v>17.100000000000001</v>
      </c>
      <c r="U21" s="872">
        <v>35570</v>
      </c>
      <c r="V21" s="1571">
        <v>0.7</v>
      </c>
      <c r="W21" s="1573"/>
      <c r="Y21" s="1577" t="s">
        <v>7583</v>
      </c>
      <c r="Z21" s="845" t="s">
        <v>7584</v>
      </c>
      <c r="AA21" s="872">
        <v>220</v>
      </c>
      <c r="AB21" s="1570">
        <v>11.19</v>
      </c>
      <c r="AC21" s="872">
        <v>23280</v>
      </c>
      <c r="AD21" s="1571">
        <v>1.5</v>
      </c>
      <c r="AE21" s="585"/>
      <c r="AG21" s="1568" t="s">
        <v>7572</v>
      </c>
      <c r="AH21" s="1569" t="s">
        <v>7573</v>
      </c>
      <c r="AI21" s="872">
        <v>6310</v>
      </c>
      <c r="AJ21" s="1570">
        <v>17.45</v>
      </c>
      <c r="AK21" s="872">
        <v>36300</v>
      </c>
      <c r="AL21" s="1571">
        <v>1.4</v>
      </c>
      <c r="AM21" s="585"/>
      <c r="AO21" s="1577" t="s">
        <v>7772</v>
      </c>
      <c r="AP21" s="845" t="s">
        <v>7773</v>
      </c>
      <c r="AQ21" s="872">
        <v>130</v>
      </c>
      <c r="AR21" s="1570">
        <v>16.16</v>
      </c>
      <c r="AS21" s="872">
        <v>33610</v>
      </c>
      <c r="AT21" s="1571">
        <v>0.4</v>
      </c>
      <c r="AU21" s="1574"/>
      <c r="AV21" s="1585"/>
      <c r="AW21" s="1586"/>
      <c r="AX21" s="435"/>
      <c r="AY21" s="1877"/>
      <c r="AZ21" s="1875"/>
      <c r="BA21" s="1588"/>
      <c r="BC21" s="1578"/>
      <c r="BD21" s="382"/>
      <c r="BE21" s="439"/>
      <c r="BF21" s="1575"/>
      <c r="BG21" s="1576"/>
      <c r="BH21" s="1575"/>
      <c r="BJ21" s="1578"/>
      <c r="BK21" s="382"/>
      <c r="BL21" s="439"/>
      <c r="BM21" s="1575"/>
      <c r="BN21" s="1576"/>
      <c r="BO21" s="1575"/>
    </row>
    <row r="22" spans="1:67" ht="12.75" customHeight="1">
      <c r="A22" s="1577" t="s">
        <v>7806</v>
      </c>
      <c r="B22" s="845" t="s">
        <v>7807</v>
      </c>
      <c r="C22" s="872">
        <v>80</v>
      </c>
      <c r="D22" s="1570">
        <v>24.04</v>
      </c>
      <c r="E22" s="872">
        <v>50000</v>
      </c>
      <c r="F22" s="1571">
        <v>3.8</v>
      </c>
      <c r="G22" s="1572"/>
      <c r="I22" s="1577" t="s">
        <v>7605</v>
      </c>
      <c r="J22" s="845" t="s">
        <v>7606</v>
      </c>
      <c r="K22" s="872">
        <v>180</v>
      </c>
      <c r="L22" s="1570">
        <v>52.18</v>
      </c>
      <c r="M22" s="872">
        <v>108540</v>
      </c>
      <c r="N22" s="1571">
        <v>6.7</v>
      </c>
      <c r="Q22" s="1577" t="s">
        <v>7529</v>
      </c>
      <c r="R22" s="845" t="s">
        <v>7530</v>
      </c>
      <c r="S22" s="872">
        <v>60</v>
      </c>
      <c r="T22" s="1570">
        <v>16.55</v>
      </c>
      <c r="U22" s="872">
        <v>34430</v>
      </c>
      <c r="V22" s="1571">
        <v>3.9</v>
      </c>
      <c r="W22" s="1573"/>
      <c r="Y22" s="1577" t="s">
        <v>7596</v>
      </c>
      <c r="Z22" s="845" t="s">
        <v>7597</v>
      </c>
      <c r="AA22" s="872">
        <v>100</v>
      </c>
      <c r="AB22" s="1570">
        <v>13.77</v>
      </c>
      <c r="AC22" s="872">
        <v>28640</v>
      </c>
      <c r="AD22" s="1571">
        <v>5.7</v>
      </c>
      <c r="AE22" s="585"/>
      <c r="AG22" s="1577" t="s">
        <v>7585</v>
      </c>
      <c r="AH22" s="845" t="s">
        <v>7586</v>
      </c>
      <c r="AI22" s="872">
        <v>420</v>
      </c>
      <c r="AJ22" s="1570">
        <v>24.27</v>
      </c>
      <c r="AK22" s="872">
        <v>50480</v>
      </c>
      <c r="AL22" s="1571">
        <v>2.4</v>
      </c>
      <c r="AM22" s="585"/>
      <c r="AO22" s="1577" t="s">
        <v>7372</v>
      </c>
      <c r="AP22" s="845" t="s">
        <v>7373</v>
      </c>
      <c r="AQ22" s="872">
        <v>80</v>
      </c>
      <c r="AR22" s="1570">
        <v>11.19</v>
      </c>
      <c r="AS22" s="872">
        <v>23280</v>
      </c>
      <c r="AT22" s="1571">
        <v>1.7</v>
      </c>
      <c r="AU22" s="1574"/>
      <c r="AV22" s="1878"/>
      <c r="AW22" s="1879"/>
      <c r="AX22" s="1876"/>
      <c r="AY22" s="1588"/>
      <c r="AZ22" s="1874"/>
      <c r="BA22" s="1588"/>
      <c r="BC22" s="1578"/>
      <c r="BD22" s="382"/>
      <c r="BE22" s="439"/>
      <c r="BF22" s="1575"/>
      <c r="BG22" s="1576"/>
      <c r="BH22" s="1575"/>
      <c r="BJ22" s="1578"/>
      <c r="BK22" s="382"/>
      <c r="BL22" s="439"/>
      <c r="BM22" s="1575"/>
      <c r="BN22" s="1576"/>
      <c r="BO22" s="1575"/>
    </row>
    <row r="23" spans="1:67" ht="12.75" customHeight="1">
      <c r="A23" s="1577" t="s">
        <v>7512</v>
      </c>
      <c r="B23" s="845" t="s">
        <v>7513</v>
      </c>
      <c r="C23" s="872">
        <v>90</v>
      </c>
      <c r="D23" s="1570">
        <v>55.62</v>
      </c>
      <c r="E23" s="872">
        <v>115700</v>
      </c>
      <c r="F23" s="1571">
        <v>2.5</v>
      </c>
      <c r="G23" s="1572"/>
      <c r="I23" s="1577" t="s">
        <v>7618</v>
      </c>
      <c r="J23" s="845" t="s">
        <v>7619</v>
      </c>
      <c r="K23" s="872">
        <v>80</v>
      </c>
      <c r="L23" s="1570">
        <v>19.62</v>
      </c>
      <c r="M23" s="872">
        <v>40810</v>
      </c>
      <c r="N23" s="1571">
        <v>3.1</v>
      </c>
      <c r="Q23" s="1577" t="s">
        <v>7854</v>
      </c>
      <c r="R23" s="845" t="s">
        <v>7855</v>
      </c>
      <c r="S23" s="872">
        <v>310</v>
      </c>
      <c r="T23" s="1570">
        <v>23.38</v>
      </c>
      <c r="U23" s="872">
        <v>48640</v>
      </c>
      <c r="V23" s="1571">
        <v>0.1</v>
      </c>
      <c r="W23" s="1573"/>
      <c r="Y23" s="1577" t="s">
        <v>7609</v>
      </c>
      <c r="Z23" s="845" t="s">
        <v>7610</v>
      </c>
      <c r="AA23" s="872">
        <v>1120</v>
      </c>
      <c r="AB23" s="1570">
        <v>12.16</v>
      </c>
      <c r="AC23" s="872">
        <v>25300</v>
      </c>
      <c r="AD23" s="1571">
        <v>2.6</v>
      </c>
      <c r="AE23" s="585"/>
      <c r="AG23" s="1577" t="s">
        <v>7598</v>
      </c>
      <c r="AH23" s="845" t="s">
        <v>7599</v>
      </c>
      <c r="AI23" s="872">
        <v>1380</v>
      </c>
      <c r="AJ23" s="1570">
        <v>17.52</v>
      </c>
      <c r="AK23" s="872">
        <v>36440</v>
      </c>
      <c r="AL23" s="1571">
        <v>1.4</v>
      </c>
      <c r="AM23" s="585"/>
      <c r="AO23" s="1577" t="s">
        <v>7856</v>
      </c>
      <c r="AP23" s="845" t="s">
        <v>7857</v>
      </c>
      <c r="AQ23" s="872">
        <v>50</v>
      </c>
      <c r="AR23" s="1570">
        <v>12.32</v>
      </c>
      <c r="AS23" s="872">
        <v>25620</v>
      </c>
      <c r="AT23" s="1571">
        <v>2.7</v>
      </c>
      <c r="AU23" s="1583"/>
      <c r="AV23" s="1585"/>
      <c r="AW23" s="1586"/>
      <c r="AX23" s="1873"/>
      <c r="AY23" s="1588"/>
      <c r="AZ23" s="1874"/>
      <c r="BA23" s="1588"/>
      <c r="BC23" s="1578"/>
      <c r="BD23" s="382"/>
      <c r="BE23" s="439"/>
      <c r="BF23" s="1575"/>
      <c r="BG23" s="1576"/>
      <c r="BH23" s="1575"/>
      <c r="BJ23" s="1578"/>
      <c r="BK23" s="382"/>
      <c r="BL23" s="439"/>
      <c r="BM23" s="1575"/>
      <c r="BN23" s="1576"/>
      <c r="BO23" s="1575"/>
    </row>
    <row r="24" spans="1:67" ht="12.75" customHeight="1">
      <c r="A24" s="1577" t="s">
        <v>7538</v>
      </c>
      <c r="B24" s="845" t="s">
        <v>7539</v>
      </c>
      <c r="C24" s="872">
        <v>60</v>
      </c>
      <c r="D24" s="1570">
        <v>35.950000000000003</v>
      </c>
      <c r="E24" s="872">
        <v>74780</v>
      </c>
      <c r="F24" s="1571">
        <v>13.2</v>
      </c>
      <c r="G24" s="1572"/>
      <c r="I24" s="1568" t="s">
        <v>7631</v>
      </c>
      <c r="J24" s="1569" t="s">
        <v>7632</v>
      </c>
      <c r="K24" s="872">
        <v>3470</v>
      </c>
      <c r="L24" s="1570">
        <v>24.05</v>
      </c>
      <c r="M24" s="872">
        <v>50010</v>
      </c>
      <c r="N24" s="1571">
        <v>0.7</v>
      </c>
      <c r="Q24" s="1577" t="s">
        <v>7542</v>
      </c>
      <c r="R24" s="845" t="s">
        <v>7543</v>
      </c>
      <c r="S24" s="872">
        <v>890</v>
      </c>
      <c r="T24" s="1570">
        <v>10.51</v>
      </c>
      <c r="U24" s="872">
        <v>21860</v>
      </c>
      <c r="V24" s="1571">
        <v>0.9</v>
      </c>
      <c r="W24" s="1573"/>
      <c r="Y24" s="1577" t="s">
        <v>7622</v>
      </c>
      <c r="Z24" s="845" t="s">
        <v>7623</v>
      </c>
      <c r="AA24" s="872" t="s">
        <v>7311</v>
      </c>
      <c r="AB24" s="1570">
        <v>19.71</v>
      </c>
      <c r="AC24" s="872">
        <v>41000</v>
      </c>
      <c r="AD24" s="1571">
        <v>8.6</v>
      </c>
      <c r="AE24" s="585"/>
      <c r="AG24" s="1577" t="s">
        <v>7611</v>
      </c>
      <c r="AH24" s="845" t="s">
        <v>7612</v>
      </c>
      <c r="AI24" s="872">
        <v>650</v>
      </c>
      <c r="AJ24" s="1570">
        <v>16.93</v>
      </c>
      <c r="AK24" s="872">
        <v>35220</v>
      </c>
      <c r="AL24" s="1571">
        <v>2.1</v>
      </c>
      <c r="AM24" s="585"/>
      <c r="AO24" s="1577" t="s">
        <v>7414</v>
      </c>
      <c r="AP24" s="845" t="s">
        <v>7415</v>
      </c>
      <c r="AQ24" s="872">
        <v>70</v>
      </c>
      <c r="AR24" s="1570" t="s">
        <v>7308</v>
      </c>
      <c r="AS24" s="1570" t="s">
        <v>7308</v>
      </c>
      <c r="AT24" s="1570" t="s">
        <v>7308</v>
      </c>
      <c r="AU24" s="1583"/>
      <c r="AV24" s="1585"/>
      <c r="AW24" s="1586"/>
      <c r="AX24" s="1873"/>
      <c r="AY24" s="1588"/>
      <c r="AZ24" s="1874"/>
      <c r="BA24" s="1588"/>
      <c r="BC24" s="1578"/>
      <c r="BD24" s="382"/>
      <c r="BE24" s="439"/>
      <c r="BF24" s="1575"/>
      <c r="BG24" s="1576"/>
      <c r="BH24" s="1575"/>
      <c r="BJ24" s="1578"/>
      <c r="BK24" s="382"/>
      <c r="BL24" s="439"/>
      <c r="BM24" s="1575"/>
      <c r="BN24" s="1576"/>
      <c r="BO24" s="1575"/>
    </row>
    <row r="25" spans="1:67" ht="12.75" customHeight="1">
      <c r="A25" s="1577" t="s">
        <v>7551</v>
      </c>
      <c r="B25" s="845" t="s">
        <v>7552</v>
      </c>
      <c r="C25" s="872">
        <v>150</v>
      </c>
      <c r="D25" s="1570">
        <v>43.56</v>
      </c>
      <c r="E25" s="872">
        <v>90610</v>
      </c>
      <c r="F25" s="1571">
        <v>1.8</v>
      </c>
      <c r="G25" s="1572"/>
      <c r="I25" s="1577" t="s">
        <v>7655</v>
      </c>
      <c r="J25" s="845" t="s">
        <v>7656</v>
      </c>
      <c r="K25" s="872">
        <v>100</v>
      </c>
      <c r="L25" s="1570">
        <v>16.37</v>
      </c>
      <c r="M25" s="872">
        <v>34050</v>
      </c>
      <c r="N25" s="1571">
        <v>2</v>
      </c>
      <c r="Q25" s="1577" t="s">
        <v>7555</v>
      </c>
      <c r="R25" s="845" t="s">
        <v>7556</v>
      </c>
      <c r="S25" s="872">
        <v>40</v>
      </c>
      <c r="T25" s="1570">
        <v>10.72</v>
      </c>
      <c r="U25" s="872">
        <v>22300</v>
      </c>
      <c r="V25" s="1571">
        <v>0.9</v>
      </c>
      <c r="W25" s="1573"/>
      <c r="Y25" s="1577" t="s">
        <v>7635</v>
      </c>
      <c r="Z25" s="845" t="s">
        <v>7636</v>
      </c>
      <c r="AA25" s="872">
        <v>30</v>
      </c>
      <c r="AB25" s="1570">
        <v>13.7</v>
      </c>
      <c r="AC25" s="872">
        <v>28490</v>
      </c>
      <c r="AD25" s="1571">
        <v>8.1</v>
      </c>
      <c r="AE25" s="585"/>
      <c r="AG25" s="1577" t="s">
        <v>7624</v>
      </c>
      <c r="AH25" s="845" t="s">
        <v>7625</v>
      </c>
      <c r="AI25" s="872">
        <v>1090</v>
      </c>
      <c r="AJ25" s="1570">
        <v>12.65</v>
      </c>
      <c r="AK25" s="872">
        <v>26300</v>
      </c>
      <c r="AL25" s="1571">
        <v>3.6</v>
      </c>
      <c r="AM25" s="585"/>
      <c r="AO25" s="1577" t="s">
        <v>7428</v>
      </c>
      <c r="AP25" s="845" t="s">
        <v>7429</v>
      </c>
      <c r="AQ25" s="872">
        <v>60</v>
      </c>
      <c r="AR25" s="1570">
        <v>16.66</v>
      </c>
      <c r="AS25" s="872">
        <v>34660</v>
      </c>
      <c r="AT25" s="1571">
        <v>3.7</v>
      </c>
      <c r="AU25" s="1583"/>
      <c r="AV25" s="1585"/>
      <c r="AW25" s="1586"/>
      <c r="AX25" s="1873"/>
      <c r="AY25" s="1588"/>
      <c r="AZ25" s="1874"/>
      <c r="BA25" s="1588"/>
      <c r="BC25" s="1578"/>
      <c r="BD25" s="382"/>
      <c r="BE25" s="439"/>
      <c r="BF25" s="1575"/>
      <c r="BG25" s="1576"/>
      <c r="BH25" s="1575"/>
      <c r="BJ25" s="1578"/>
      <c r="BK25" s="382"/>
      <c r="BL25" s="439"/>
      <c r="BM25" s="1575"/>
      <c r="BN25" s="1576"/>
      <c r="BO25" s="1575"/>
    </row>
    <row r="26" spans="1:67" ht="12.75" customHeight="1">
      <c r="A26" s="1568" t="s">
        <v>7564</v>
      </c>
      <c r="B26" s="1569" t="s">
        <v>7565</v>
      </c>
      <c r="C26" s="872">
        <v>2730</v>
      </c>
      <c r="D26" s="1570">
        <v>27.96</v>
      </c>
      <c r="E26" s="872">
        <v>58170</v>
      </c>
      <c r="F26" s="1571">
        <v>0.9</v>
      </c>
      <c r="G26" s="1572"/>
      <c r="I26" s="1577" t="s">
        <v>7818</v>
      </c>
      <c r="J26" s="845" t="s">
        <v>7819</v>
      </c>
      <c r="K26" s="872">
        <v>90</v>
      </c>
      <c r="L26" s="1570" t="s">
        <v>7308</v>
      </c>
      <c r="M26" s="872">
        <v>52870</v>
      </c>
      <c r="N26" s="1571">
        <v>1.2</v>
      </c>
      <c r="Q26" s="1568" t="s">
        <v>7581</v>
      </c>
      <c r="R26" s="1569" t="s">
        <v>7582</v>
      </c>
      <c r="S26" s="872">
        <v>5830</v>
      </c>
      <c r="T26" s="1570">
        <v>10.74</v>
      </c>
      <c r="U26" s="872">
        <v>22330</v>
      </c>
      <c r="V26" s="1571">
        <v>0.7</v>
      </c>
      <c r="W26" s="1573"/>
      <c r="Y26" s="1577" t="s">
        <v>7647</v>
      </c>
      <c r="Z26" s="845" t="s">
        <v>7648</v>
      </c>
      <c r="AA26" s="872">
        <v>120</v>
      </c>
      <c r="AB26" s="1570">
        <v>21.72</v>
      </c>
      <c r="AC26" s="872">
        <v>45180</v>
      </c>
      <c r="AD26" s="1571">
        <v>5.3</v>
      </c>
      <c r="AE26" s="585"/>
      <c r="AG26" s="1577" t="s">
        <v>7637</v>
      </c>
      <c r="AH26" s="845" t="s">
        <v>7638</v>
      </c>
      <c r="AI26" s="872">
        <v>550</v>
      </c>
      <c r="AJ26" s="1570">
        <v>18.5</v>
      </c>
      <c r="AK26" s="872">
        <v>38470</v>
      </c>
      <c r="AL26" s="1571">
        <v>1.8</v>
      </c>
      <c r="AM26" s="585"/>
      <c r="AO26" s="1577" t="s">
        <v>7442</v>
      </c>
      <c r="AP26" s="845" t="s">
        <v>7443</v>
      </c>
      <c r="AQ26" s="872">
        <v>140</v>
      </c>
      <c r="AR26" s="1570">
        <v>10.18</v>
      </c>
      <c r="AS26" s="872">
        <v>21170</v>
      </c>
      <c r="AT26" s="1571">
        <v>2.4</v>
      </c>
      <c r="AU26" s="1583"/>
      <c r="AV26" s="1585"/>
      <c r="AW26" s="1586"/>
      <c r="AX26" s="1873"/>
      <c r="AY26" s="1588"/>
      <c r="AZ26" s="1874"/>
      <c r="BA26" s="1588"/>
      <c r="BC26" s="1578"/>
      <c r="BD26" s="382"/>
      <c r="BE26" s="439"/>
      <c r="BF26" s="1575"/>
      <c r="BG26" s="1576"/>
      <c r="BH26" s="1575"/>
      <c r="BJ26" s="1578"/>
      <c r="BK26" s="382"/>
      <c r="BL26" s="439"/>
      <c r="BM26" s="912"/>
      <c r="BN26" s="912"/>
      <c r="BO26" s="912"/>
    </row>
    <row r="27" spans="1:67" ht="12.75" customHeight="1">
      <c r="A27" s="1577" t="s">
        <v>7577</v>
      </c>
      <c r="B27" s="845" t="s">
        <v>7578</v>
      </c>
      <c r="C27" s="872">
        <v>190</v>
      </c>
      <c r="D27" s="1570">
        <v>28.55</v>
      </c>
      <c r="E27" s="872">
        <v>59390</v>
      </c>
      <c r="F27" s="1571">
        <v>2</v>
      </c>
      <c r="G27" s="1572"/>
      <c r="I27" s="1577" t="s">
        <v>7667</v>
      </c>
      <c r="J27" s="845" t="s">
        <v>7668</v>
      </c>
      <c r="K27" s="872">
        <v>750</v>
      </c>
      <c r="L27" s="1570" t="s">
        <v>7308</v>
      </c>
      <c r="M27" s="872">
        <v>49450</v>
      </c>
      <c r="N27" s="1571">
        <v>1.4</v>
      </c>
      <c r="Q27" s="1577" t="s">
        <v>7594</v>
      </c>
      <c r="R27" s="845" t="s">
        <v>7595</v>
      </c>
      <c r="S27" s="872">
        <v>130</v>
      </c>
      <c r="T27" s="1570">
        <v>21.11</v>
      </c>
      <c r="U27" s="872">
        <v>43920</v>
      </c>
      <c r="V27" s="1571">
        <v>2.7</v>
      </c>
      <c r="W27" s="1573"/>
      <c r="Y27" s="1577" t="s">
        <v>7659</v>
      </c>
      <c r="Z27" s="845" t="s">
        <v>7660</v>
      </c>
      <c r="AA27" s="872">
        <v>230</v>
      </c>
      <c r="AB27" s="1570">
        <v>16.059999999999999</v>
      </c>
      <c r="AC27" s="872">
        <v>33410</v>
      </c>
      <c r="AD27" s="1571">
        <v>6.7</v>
      </c>
      <c r="AE27" s="585"/>
      <c r="AG27" s="1577" t="s">
        <v>7649</v>
      </c>
      <c r="AH27" s="845" t="s">
        <v>7650</v>
      </c>
      <c r="AI27" s="872">
        <v>590</v>
      </c>
      <c r="AJ27" s="1570">
        <v>21.07</v>
      </c>
      <c r="AK27" s="872">
        <v>43820</v>
      </c>
      <c r="AL27" s="1571">
        <v>1.1000000000000001</v>
      </c>
      <c r="AM27" s="585"/>
      <c r="AO27" s="1577" t="s">
        <v>7456</v>
      </c>
      <c r="AP27" s="845" t="s">
        <v>7457</v>
      </c>
      <c r="AQ27" s="872">
        <v>310</v>
      </c>
      <c r="AR27" s="1570">
        <v>19.03</v>
      </c>
      <c r="AS27" s="872">
        <v>39580</v>
      </c>
      <c r="AT27" s="1571">
        <v>6.3</v>
      </c>
      <c r="AU27" s="1583"/>
      <c r="AV27" s="1585"/>
      <c r="AW27" s="1586"/>
      <c r="AX27" s="1876"/>
      <c r="AY27" s="1588"/>
      <c r="AZ27" s="1874"/>
      <c r="BA27" s="1588"/>
      <c r="BC27" s="1578"/>
      <c r="BD27" s="382"/>
      <c r="BE27" s="439"/>
      <c r="BF27" s="1575"/>
      <c r="BG27" s="1576"/>
      <c r="BH27" s="1575"/>
      <c r="BJ27" s="1578"/>
      <c r="BK27" s="382"/>
      <c r="BL27" s="439"/>
      <c r="BM27" s="1575"/>
      <c r="BN27" s="1576"/>
      <c r="BO27" s="1575"/>
    </row>
    <row r="28" spans="1:67" ht="12.75" customHeight="1">
      <c r="A28" s="1577" t="s">
        <v>7590</v>
      </c>
      <c r="B28" s="845" t="s">
        <v>7591</v>
      </c>
      <c r="C28" s="872">
        <v>70</v>
      </c>
      <c r="D28" s="1570">
        <v>23.05</v>
      </c>
      <c r="E28" s="872">
        <v>47940</v>
      </c>
      <c r="F28" s="1571">
        <v>2</v>
      </c>
      <c r="G28" s="1572"/>
      <c r="I28" s="1577" t="s">
        <v>7677</v>
      </c>
      <c r="J28" s="845" t="s">
        <v>7678</v>
      </c>
      <c r="K28" s="872">
        <v>510</v>
      </c>
      <c r="L28" s="1570" t="s">
        <v>7308</v>
      </c>
      <c r="M28" s="872">
        <v>47070</v>
      </c>
      <c r="N28" s="1571">
        <v>0.7</v>
      </c>
      <c r="Q28" s="1577" t="s">
        <v>7607</v>
      </c>
      <c r="R28" s="845" t="s">
        <v>7608</v>
      </c>
      <c r="S28" s="872">
        <v>820</v>
      </c>
      <c r="T28" s="1570">
        <v>12.29</v>
      </c>
      <c r="U28" s="872">
        <v>25570</v>
      </c>
      <c r="V28" s="1571">
        <v>2.2999999999999998</v>
      </c>
      <c r="W28" s="1573"/>
      <c r="Y28" s="1577" t="s">
        <v>7830</v>
      </c>
      <c r="Z28" s="845" t="s">
        <v>7831</v>
      </c>
      <c r="AA28" s="872">
        <v>40</v>
      </c>
      <c r="AB28" s="1570">
        <v>15.31</v>
      </c>
      <c r="AC28" s="872">
        <v>31830</v>
      </c>
      <c r="AD28" s="1571">
        <v>0.8</v>
      </c>
      <c r="AE28" s="585"/>
      <c r="AG28" s="1577" t="s">
        <v>7661</v>
      </c>
      <c r="AH28" s="845" t="s">
        <v>7662</v>
      </c>
      <c r="AI28" s="872">
        <v>320</v>
      </c>
      <c r="AJ28" s="1570">
        <v>17.170000000000002</v>
      </c>
      <c r="AK28" s="872">
        <v>35710</v>
      </c>
      <c r="AL28" s="1571">
        <v>1.3</v>
      </c>
      <c r="AM28" s="585"/>
      <c r="AO28" s="1577" t="s">
        <v>7470</v>
      </c>
      <c r="AP28" s="845" t="s">
        <v>7471</v>
      </c>
      <c r="AQ28" s="872">
        <v>220</v>
      </c>
      <c r="AR28" s="1570">
        <v>10.02</v>
      </c>
      <c r="AS28" s="872">
        <v>20840</v>
      </c>
      <c r="AT28" s="1571">
        <v>1.1000000000000001</v>
      </c>
      <c r="AU28" s="1583"/>
      <c r="AV28" s="1585"/>
      <c r="AW28" s="1586"/>
      <c r="AX28" s="1873"/>
      <c r="AY28" s="1588"/>
      <c r="AZ28" s="1874"/>
      <c r="BA28" s="1588"/>
      <c r="BC28" s="1578"/>
      <c r="BD28" s="382"/>
      <c r="BE28" s="439"/>
      <c r="BF28" s="1575"/>
      <c r="BG28" s="1576"/>
      <c r="BH28" s="1575"/>
      <c r="BJ28" s="1557"/>
      <c r="BK28" s="1558"/>
      <c r="BL28" s="1558"/>
      <c r="BM28" s="1558"/>
      <c r="BN28" s="1558"/>
      <c r="BO28" s="1558"/>
    </row>
    <row r="29" spans="1:67" ht="12.75" customHeight="1">
      <c r="A29" s="1577" t="s">
        <v>7603</v>
      </c>
      <c r="B29" s="845" t="s">
        <v>7604</v>
      </c>
      <c r="C29" s="872">
        <v>60</v>
      </c>
      <c r="D29" s="1570">
        <v>28.56</v>
      </c>
      <c r="E29" s="872">
        <v>59410</v>
      </c>
      <c r="F29" s="1571">
        <v>6.8</v>
      </c>
      <c r="G29" s="1572"/>
      <c r="I29" s="1577" t="s">
        <v>7687</v>
      </c>
      <c r="J29" s="845" t="s">
        <v>7688</v>
      </c>
      <c r="K29" s="872">
        <v>620</v>
      </c>
      <c r="L29" s="1570" t="s">
        <v>7308</v>
      </c>
      <c r="M29" s="872">
        <v>48830</v>
      </c>
      <c r="N29" s="1571">
        <v>1</v>
      </c>
      <c r="Q29" s="1577" t="s">
        <v>7620</v>
      </c>
      <c r="R29" s="845" t="s">
        <v>7621</v>
      </c>
      <c r="S29" s="872">
        <v>180</v>
      </c>
      <c r="T29" s="1570">
        <v>9.51</v>
      </c>
      <c r="U29" s="872">
        <v>19770</v>
      </c>
      <c r="V29" s="1571">
        <v>1.3</v>
      </c>
      <c r="W29" s="1573"/>
      <c r="Y29" s="1568" t="s">
        <v>7282</v>
      </c>
      <c r="Z29" s="1569" t="s">
        <v>7283</v>
      </c>
      <c r="AA29" s="872">
        <v>8140</v>
      </c>
      <c r="AB29" s="1570">
        <v>15.99</v>
      </c>
      <c r="AC29" s="872">
        <v>33260</v>
      </c>
      <c r="AD29" s="1571">
        <v>0.7</v>
      </c>
      <c r="AE29" s="585"/>
      <c r="AG29" s="1577" t="s">
        <v>7683</v>
      </c>
      <c r="AH29" s="845" t="s">
        <v>7684</v>
      </c>
      <c r="AI29" s="872">
        <v>400</v>
      </c>
      <c r="AJ29" s="1570">
        <v>17.239999999999998</v>
      </c>
      <c r="AK29" s="872">
        <v>35870</v>
      </c>
      <c r="AL29" s="1571">
        <v>1.6</v>
      </c>
      <c r="AM29" s="585"/>
      <c r="AO29" s="1577" t="s">
        <v>7484</v>
      </c>
      <c r="AP29" s="845" t="s">
        <v>7485</v>
      </c>
      <c r="AQ29" s="872">
        <v>1330</v>
      </c>
      <c r="AR29" s="1570">
        <v>11.36</v>
      </c>
      <c r="AS29" s="872">
        <v>23640</v>
      </c>
      <c r="AT29" s="1571">
        <v>1.3</v>
      </c>
      <c r="AU29" s="1583"/>
      <c r="AV29" s="1585"/>
      <c r="AW29" s="1586"/>
      <c r="AX29" s="1873"/>
      <c r="AY29" s="1588"/>
      <c r="AZ29" s="1874"/>
      <c r="BA29" s="1588"/>
      <c r="BC29" s="1863"/>
      <c r="BD29" s="621"/>
      <c r="BE29" s="439"/>
      <c r="BF29" s="1575"/>
      <c r="BG29" s="1576"/>
      <c r="BH29" s="1575"/>
      <c r="BJ29" s="2236"/>
      <c r="BK29" s="2236"/>
      <c r="BL29" s="2236"/>
      <c r="BM29" s="2236"/>
      <c r="BN29" s="2236"/>
      <c r="BO29" s="2236"/>
    </row>
    <row r="30" spans="1:67" ht="12.75" customHeight="1">
      <c r="A30" s="1577" t="s">
        <v>7616</v>
      </c>
      <c r="B30" s="845" t="s">
        <v>7617</v>
      </c>
      <c r="C30" s="872">
        <v>310</v>
      </c>
      <c r="D30" s="1570">
        <v>26</v>
      </c>
      <c r="E30" s="872">
        <v>54090</v>
      </c>
      <c r="F30" s="1571">
        <v>0.8</v>
      </c>
      <c r="G30" s="1572"/>
      <c r="I30" s="1577" t="s">
        <v>7820</v>
      </c>
      <c r="J30" s="845" t="s">
        <v>7821</v>
      </c>
      <c r="K30" s="872">
        <v>40</v>
      </c>
      <c r="L30" s="1570">
        <v>19.45</v>
      </c>
      <c r="M30" s="872">
        <v>40460</v>
      </c>
      <c r="N30" s="1571">
        <v>3</v>
      </c>
      <c r="Q30" s="1577" t="s">
        <v>7633</v>
      </c>
      <c r="R30" s="845" t="s">
        <v>7634</v>
      </c>
      <c r="S30" s="872">
        <v>60</v>
      </c>
      <c r="T30" s="1570">
        <v>12.56</v>
      </c>
      <c r="U30" s="872">
        <v>26120</v>
      </c>
      <c r="V30" s="1571">
        <v>1.3</v>
      </c>
      <c r="W30" s="1573"/>
      <c r="Y30" s="1577" t="s">
        <v>7681</v>
      </c>
      <c r="Z30" s="845" t="s">
        <v>7682</v>
      </c>
      <c r="AA30" s="872">
        <v>1030</v>
      </c>
      <c r="AB30" s="1570">
        <v>20.99</v>
      </c>
      <c r="AC30" s="872">
        <v>43660</v>
      </c>
      <c r="AD30" s="1571">
        <v>1</v>
      </c>
      <c r="AE30" s="585"/>
      <c r="AG30" s="1577" t="s">
        <v>7693</v>
      </c>
      <c r="AH30" s="845" t="s">
        <v>7694</v>
      </c>
      <c r="AI30" s="872">
        <v>40</v>
      </c>
      <c r="AJ30" s="1570">
        <v>15.31</v>
      </c>
      <c r="AK30" s="872">
        <v>31840</v>
      </c>
      <c r="AL30" s="1571">
        <v>5.3</v>
      </c>
      <c r="AM30" s="585"/>
      <c r="AO30" s="1577" t="s">
        <v>7800</v>
      </c>
      <c r="AP30" s="845" t="s">
        <v>7801</v>
      </c>
      <c r="AQ30" s="872">
        <v>140</v>
      </c>
      <c r="AR30" s="1570">
        <v>12.73</v>
      </c>
      <c r="AS30" s="872">
        <v>26480</v>
      </c>
      <c r="AT30" s="1571">
        <v>3.2</v>
      </c>
      <c r="AU30" s="1583"/>
      <c r="AV30" s="1585"/>
      <c r="AW30" s="1586"/>
      <c r="AX30" s="1873"/>
      <c r="AY30" s="1588"/>
      <c r="AZ30" s="1874"/>
      <c r="BA30" s="1588"/>
      <c r="BC30" s="1578"/>
      <c r="BD30" s="382"/>
      <c r="BE30" s="439"/>
      <c r="BF30" s="1575"/>
      <c r="BG30" s="1576"/>
      <c r="BH30" s="1575"/>
      <c r="BJ30" s="2236"/>
      <c r="BK30" s="2236"/>
      <c r="BL30" s="2236"/>
      <c r="BM30" s="2236"/>
      <c r="BN30" s="2236"/>
      <c r="BO30" s="2236"/>
    </row>
    <row r="31" spans="1:67" ht="12.75" customHeight="1">
      <c r="A31" s="1577" t="s">
        <v>7629</v>
      </c>
      <c r="B31" s="845" t="s">
        <v>7630</v>
      </c>
      <c r="C31" s="872">
        <v>100</v>
      </c>
      <c r="D31" s="1570">
        <v>30.66</v>
      </c>
      <c r="E31" s="872">
        <v>63770</v>
      </c>
      <c r="F31" s="1571">
        <v>0.9</v>
      </c>
      <c r="G31" s="1572"/>
      <c r="I31" s="1577" t="s">
        <v>7824</v>
      </c>
      <c r="J31" s="845" t="s">
        <v>7825</v>
      </c>
      <c r="K31" s="872">
        <v>190</v>
      </c>
      <c r="L31" s="1570">
        <v>13.3</v>
      </c>
      <c r="M31" s="872">
        <v>27670</v>
      </c>
      <c r="N31" s="1571">
        <v>0.8</v>
      </c>
      <c r="Q31" s="1577" t="s">
        <v>7645</v>
      </c>
      <c r="R31" s="845" t="s">
        <v>7646</v>
      </c>
      <c r="S31" s="872">
        <v>860</v>
      </c>
      <c r="T31" s="1570">
        <v>11.52</v>
      </c>
      <c r="U31" s="872">
        <v>23960</v>
      </c>
      <c r="V31" s="1571">
        <v>2</v>
      </c>
      <c r="W31" s="1573"/>
      <c r="Y31" s="1577" t="s">
        <v>7691</v>
      </c>
      <c r="Z31" s="845" t="s">
        <v>7692</v>
      </c>
      <c r="AA31" s="872">
        <v>80</v>
      </c>
      <c r="AB31" s="1570">
        <v>14.7</v>
      </c>
      <c r="AC31" s="872">
        <v>30570</v>
      </c>
      <c r="AD31" s="1571">
        <v>3.5</v>
      </c>
      <c r="AE31" s="585"/>
      <c r="AG31" s="1577" t="s">
        <v>7723</v>
      </c>
      <c r="AH31" s="845" t="s">
        <v>7724</v>
      </c>
      <c r="AI31" s="872">
        <v>40</v>
      </c>
      <c r="AJ31" s="1570">
        <v>14.6</v>
      </c>
      <c r="AK31" s="872">
        <v>30370</v>
      </c>
      <c r="AL31" s="1571">
        <v>2.6</v>
      </c>
      <c r="AM31" s="585"/>
      <c r="AO31" s="2244" t="s">
        <v>7498</v>
      </c>
      <c r="AP31" s="2244"/>
      <c r="AQ31" s="2244"/>
      <c r="AR31" s="2244"/>
      <c r="AS31" s="2244"/>
      <c r="AT31" s="2244"/>
      <c r="AU31" s="1583"/>
      <c r="AV31" s="1585"/>
      <c r="AW31" s="1586"/>
      <c r="AX31" s="1873"/>
      <c r="AY31" s="1588"/>
      <c r="AZ31" s="1874"/>
      <c r="BA31" s="1588"/>
      <c r="BC31" s="1578"/>
      <c r="BD31" s="382"/>
      <c r="BE31" s="439"/>
      <c r="BF31" s="1575"/>
      <c r="BG31" s="1576"/>
      <c r="BH31" s="1575"/>
      <c r="BJ31" s="2234"/>
      <c r="BK31" s="2234"/>
      <c r="BL31" s="2234"/>
      <c r="BM31" s="1581"/>
      <c r="BN31" s="1581"/>
      <c r="BO31" s="1581"/>
    </row>
    <row r="32" spans="1:67" ht="12.75" customHeight="1">
      <c r="A32" s="1577" t="s">
        <v>7641</v>
      </c>
      <c r="B32" s="845" t="s">
        <v>7642</v>
      </c>
      <c r="C32" s="872">
        <v>160</v>
      </c>
      <c r="D32" s="1570">
        <v>30.72</v>
      </c>
      <c r="E32" s="872">
        <v>63900</v>
      </c>
      <c r="F32" s="1571">
        <v>3.5</v>
      </c>
      <c r="G32" s="1572"/>
      <c r="I32" s="1577" t="s">
        <v>7697</v>
      </c>
      <c r="J32" s="845" t="s">
        <v>7698</v>
      </c>
      <c r="K32" s="872">
        <v>150</v>
      </c>
      <c r="L32" s="1570" t="s">
        <v>7308</v>
      </c>
      <c r="M32" s="872">
        <v>46410</v>
      </c>
      <c r="N32" s="1571">
        <v>0.5</v>
      </c>
      <c r="Q32" s="1577" t="s">
        <v>7657</v>
      </c>
      <c r="R32" s="845" t="s">
        <v>7658</v>
      </c>
      <c r="S32" s="872">
        <v>60</v>
      </c>
      <c r="T32" s="1570">
        <v>9.8800000000000008</v>
      </c>
      <c r="U32" s="872">
        <v>20550</v>
      </c>
      <c r="V32" s="1571">
        <v>2.6</v>
      </c>
      <c r="W32" s="1573"/>
      <c r="Y32" s="1577" t="s">
        <v>7701</v>
      </c>
      <c r="Z32" s="845" t="s">
        <v>7702</v>
      </c>
      <c r="AA32" s="872">
        <v>100</v>
      </c>
      <c r="AB32" s="1570" t="s">
        <v>7308</v>
      </c>
      <c r="AC32" s="1570" t="s">
        <v>7308</v>
      </c>
      <c r="AD32" s="1570" t="s">
        <v>7308</v>
      </c>
      <c r="AE32" s="585"/>
      <c r="AG32" s="1577" t="s">
        <v>7742</v>
      </c>
      <c r="AH32" s="845" t="s">
        <v>7743</v>
      </c>
      <c r="AI32" s="872">
        <v>40</v>
      </c>
      <c r="AJ32" s="1570">
        <v>23.16</v>
      </c>
      <c r="AK32" s="872">
        <v>48180</v>
      </c>
      <c r="AL32" s="1571">
        <v>6.2</v>
      </c>
      <c r="AM32" s="585"/>
      <c r="AO32" s="2240" t="s">
        <v>8754</v>
      </c>
      <c r="AP32" s="2240"/>
      <c r="AQ32" s="2240"/>
      <c r="AR32" s="2240"/>
      <c r="AS32" s="2240"/>
      <c r="AT32" s="2240"/>
      <c r="AU32" s="1583"/>
      <c r="AV32" s="1585"/>
      <c r="AW32" s="1586"/>
      <c r="AX32" s="1873"/>
      <c r="AY32" s="1588"/>
      <c r="AZ32" s="1874"/>
      <c r="BA32" s="1588"/>
      <c r="BC32" s="1578"/>
      <c r="BD32" s="382"/>
      <c r="BE32" s="439"/>
      <c r="BF32" s="1575"/>
      <c r="BG32" s="1576"/>
      <c r="BH32" s="1575"/>
      <c r="BJ32" s="2237"/>
      <c r="BK32" s="2237"/>
      <c r="BL32" s="2237"/>
      <c r="BM32" s="1581"/>
      <c r="BN32" s="1581"/>
      <c r="BO32" s="1581"/>
    </row>
    <row r="33" spans="1:67" ht="12.75" customHeight="1">
      <c r="A33" s="1577" t="s">
        <v>7653</v>
      </c>
      <c r="B33" s="845" t="s">
        <v>7654</v>
      </c>
      <c r="C33" s="872" t="s">
        <v>7311</v>
      </c>
      <c r="D33" s="1570">
        <v>32.950000000000003</v>
      </c>
      <c r="E33" s="872">
        <v>68540</v>
      </c>
      <c r="F33" s="1571">
        <v>1.9</v>
      </c>
      <c r="G33" s="1572"/>
      <c r="I33" s="1577" t="s">
        <v>7858</v>
      </c>
      <c r="J33" s="845" t="s">
        <v>7859</v>
      </c>
      <c r="K33" s="872">
        <v>40</v>
      </c>
      <c r="L33" s="1570">
        <v>14.92</v>
      </c>
      <c r="M33" s="872">
        <v>31030</v>
      </c>
      <c r="N33" s="1571">
        <v>0.8</v>
      </c>
      <c r="Q33" s="1577" t="s">
        <v>7669</v>
      </c>
      <c r="R33" s="845" t="s">
        <v>7670</v>
      </c>
      <c r="S33" s="872">
        <v>260</v>
      </c>
      <c r="T33" s="1570">
        <v>10.27</v>
      </c>
      <c r="U33" s="872">
        <v>21360</v>
      </c>
      <c r="V33" s="1571">
        <v>1.3</v>
      </c>
      <c r="W33" s="1573"/>
      <c r="Y33" s="1577" t="s">
        <v>7711</v>
      </c>
      <c r="Z33" s="845" t="s">
        <v>7712</v>
      </c>
      <c r="AA33" s="872">
        <v>870</v>
      </c>
      <c r="AB33" s="1570">
        <v>14.78</v>
      </c>
      <c r="AC33" s="872">
        <v>30750</v>
      </c>
      <c r="AD33" s="1571">
        <v>0.9</v>
      </c>
      <c r="AE33" s="1574"/>
      <c r="AG33" s="1577" t="s">
        <v>7752</v>
      </c>
      <c r="AH33" s="845" t="s">
        <v>7753</v>
      </c>
      <c r="AI33" s="872" t="s">
        <v>7311</v>
      </c>
      <c r="AJ33" s="1570">
        <v>21.06</v>
      </c>
      <c r="AK33" s="872">
        <v>43810</v>
      </c>
      <c r="AL33" s="1571">
        <v>2.2000000000000002</v>
      </c>
      <c r="AM33" s="585"/>
      <c r="AO33" s="2240" t="s">
        <v>8755</v>
      </c>
      <c r="AP33" s="2240"/>
      <c r="AQ33" s="2240"/>
      <c r="AR33" s="2240"/>
      <c r="AS33" s="2240"/>
      <c r="AT33" s="2240"/>
      <c r="AU33" s="1583"/>
      <c r="AV33" s="1578"/>
      <c r="AW33" s="382"/>
      <c r="AX33" s="439"/>
      <c r="AY33" s="1575"/>
      <c r="AZ33" s="1576"/>
      <c r="BA33" s="1575"/>
      <c r="BC33" s="1578"/>
      <c r="BD33" s="382"/>
      <c r="BE33" s="439"/>
      <c r="BF33" s="1575"/>
      <c r="BG33" s="1576"/>
      <c r="BH33" s="1575"/>
      <c r="BJ33" s="1558"/>
      <c r="BK33" s="1584"/>
      <c r="BL33" s="1584"/>
      <c r="BM33" s="1584"/>
      <c r="BN33" s="1584"/>
      <c r="BO33" s="1584"/>
    </row>
    <row r="34" spans="1:67" ht="12.75" customHeight="1">
      <c r="A34" s="1577" t="s">
        <v>7665</v>
      </c>
      <c r="B34" s="845" t="s">
        <v>7666</v>
      </c>
      <c r="C34" s="872">
        <v>40</v>
      </c>
      <c r="D34" s="1570">
        <v>20.02</v>
      </c>
      <c r="E34" s="872">
        <v>41630</v>
      </c>
      <c r="F34" s="1571">
        <v>3.3</v>
      </c>
      <c r="G34" s="1572"/>
      <c r="I34" s="1577" t="s">
        <v>7826</v>
      </c>
      <c r="J34" s="845" t="s">
        <v>7827</v>
      </c>
      <c r="K34" s="872">
        <v>130</v>
      </c>
      <c r="L34" s="1570">
        <v>29.33</v>
      </c>
      <c r="M34" s="872">
        <v>61010</v>
      </c>
      <c r="N34" s="1571">
        <v>0.7</v>
      </c>
      <c r="Q34" s="1577" t="s">
        <v>7679</v>
      </c>
      <c r="R34" s="845" t="s">
        <v>7680</v>
      </c>
      <c r="S34" s="872">
        <v>190</v>
      </c>
      <c r="T34" s="1570">
        <v>10.45</v>
      </c>
      <c r="U34" s="872">
        <v>21740</v>
      </c>
      <c r="V34" s="1571">
        <v>1.2</v>
      </c>
      <c r="W34" s="1573"/>
      <c r="Y34" s="1577" t="s">
        <v>7721</v>
      </c>
      <c r="Z34" s="845" t="s">
        <v>7722</v>
      </c>
      <c r="AA34" s="872">
        <v>70</v>
      </c>
      <c r="AB34" s="1570">
        <v>16.32</v>
      </c>
      <c r="AC34" s="872">
        <v>33950</v>
      </c>
      <c r="AD34" s="1571">
        <v>0.9</v>
      </c>
      <c r="AE34" s="1574"/>
      <c r="AG34" s="1568" t="s">
        <v>7284</v>
      </c>
      <c r="AH34" s="1569" t="s">
        <v>7285</v>
      </c>
      <c r="AI34" s="872">
        <v>3360</v>
      </c>
      <c r="AJ34" s="1570">
        <v>18.73</v>
      </c>
      <c r="AK34" s="872">
        <v>38950</v>
      </c>
      <c r="AL34" s="1571">
        <v>0.9</v>
      </c>
      <c r="AM34" s="585"/>
      <c r="AO34" s="2238" t="s">
        <v>7537</v>
      </c>
      <c r="AP34" s="2238"/>
      <c r="AQ34" s="2238"/>
      <c r="AR34" s="2238"/>
      <c r="AS34" s="2238"/>
      <c r="AT34" s="2238"/>
      <c r="AU34" s="1583"/>
      <c r="AV34" s="1578"/>
      <c r="AW34" s="382"/>
      <c r="AX34" s="439"/>
      <c r="AY34" s="1575"/>
      <c r="AZ34" s="1576"/>
      <c r="BA34" s="1575"/>
      <c r="BC34" s="1578"/>
      <c r="BD34" s="382"/>
      <c r="BE34" s="439"/>
      <c r="BF34" s="1575"/>
      <c r="BG34" s="1576"/>
      <c r="BH34" s="1575"/>
      <c r="BJ34" s="2236"/>
      <c r="BK34" s="2236"/>
      <c r="BL34" s="2236"/>
      <c r="BM34" s="2236"/>
      <c r="BN34" s="2236"/>
      <c r="BO34" s="2236"/>
    </row>
    <row r="35" spans="1:67" ht="12.75" customHeight="1">
      <c r="A35" s="1577" t="s">
        <v>7675</v>
      </c>
      <c r="B35" s="845" t="s">
        <v>7676</v>
      </c>
      <c r="C35" s="872">
        <v>50</v>
      </c>
      <c r="D35" s="1570">
        <v>22.23</v>
      </c>
      <c r="E35" s="872">
        <v>46250</v>
      </c>
      <c r="F35" s="1571">
        <v>1.8</v>
      </c>
      <c r="G35" s="1572"/>
      <c r="I35" s="1577" t="s">
        <v>7707</v>
      </c>
      <c r="J35" s="845" t="s">
        <v>7708</v>
      </c>
      <c r="K35" s="872">
        <v>110</v>
      </c>
      <c r="L35" s="1570" t="s">
        <v>7308</v>
      </c>
      <c r="M35" s="872">
        <v>23920</v>
      </c>
      <c r="N35" s="1571">
        <v>1.9</v>
      </c>
      <c r="Q35" s="1577" t="s">
        <v>7689</v>
      </c>
      <c r="R35" s="845" t="s">
        <v>7690</v>
      </c>
      <c r="S35" s="872">
        <v>920</v>
      </c>
      <c r="T35" s="1570">
        <v>9.9499999999999993</v>
      </c>
      <c r="U35" s="872">
        <v>20700</v>
      </c>
      <c r="V35" s="1571">
        <v>2</v>
      </c>
      <c r="W35" s="1573"/>
      <c r="Y35" s="1577" t="s">
        <v>7732</v>
      </c>
      <c r="Z35" s="845" t="s">
        <v>7733</v>
      </c>
      <c r="AA35" s="872">
        <v>90</v>
      </c>
      <c r="AB35" s="1570">
        <v>17.02</v>
      </c>
      <c r="AC35" s="872">
        <v>35400</v>
      </c>
      <c r="AD35" s="1571">
        <v>1.8</v>
      </c>
      <c r="AE35" s="1574"/>
      <c r="AG35" s="1577" t="s">
        <v>7298</v>
      </c>
      <c r="AH35" s="845" t="s">
        <v>7299</v>
      </c>
      <c r="AI35" s="872">
        <v>260</v>
      </c>
      <c r="AJ35" s="1570">
        <v>24.66</v>
      </c>
      <c r="AK35" s="872">
        <v>51290</v>
      </c>
      <c r="AL35" s="1571">
        <v>1.5</v>
      </c>
      <c r="AM35" s="585"/>
      <c r="AO35" s="2245" t="s">
        <v>8752</v>
      </c>
      <c r="AP35" s="2245"/>
      <c r="AQ35" s="2245"/>
      <c r="AR35" s="2245"/>
      <c r="AS35" s="2245"/>
      <c r="AT35" s="2245"/>
      <c r="AU35" s="1583"/>
      <c r="AV35" s="1578"/>
      <c r="AW35" s="382"/>
      <c r="AX35" s="439"/>
      <c r="AY35" s="1575"/>
      <c r="AZ35" s="1576"/>
      <c r="BA35" s="1575"/>
      <c r="BC35" s="1578"/>
      <c r="BD35" s="382"/>
      <c r="BE35" s="439"/>
      <c r="BF35" s="1575"/>
      <c r="BG35" s="1576"/>
      <c r="BH35" s="1575"/>
      <c r="BJ35" s="1558"/>
      <c r="BK35" s="1584"/>
      <c r="BL35" s="1584"/>
      <c r="BM35" s="1584"/>
      <c r="BN35" s="1584"/>
      <c r="BO35" s="1584"/>
    </row>
    <row r="36" spans="1:67" ht="12.75" customHeight="1">
      <c r="A36" s="1577" t="s">
        <v>7685</v>
      </c>
      <c r="B36" s="845" t="s">
        <v>7686</v>
      </c>
      <c r="C36" s="872">
        <v>370</v>
      </c>
      <c r="D36" s="1570">
        <v>36.99</v>
      </c>
      <c r="E36" s="872">
        <v>76930</v>
      </c>
      <c r="F36" s="1571">
        <v>0.3</v>
      </c>
      <c r="G36" s="1572"/>
      <c r="I36" s="1577" t="s">
        <v>7717</v>
      </c>
      <c r="J36" s="845" t="s">
        <v>7718</v>
      </c>
      <c r="K36" s="872">
        <v>40</v>
      </c>
      <c r="L36" s="1570">
        <v>19.77</v>
      </c>
      <c r="M36" s="872">
        <v>41120</v>
      </c>
      <c r="N36" s="1571">
        <v>2.4</v>
      </c>
      <c r="Q36" s="1577" t="s">
        <v>7699</v>
      </c>
      <c r="R36" s="845" t="s">
        <v>7700</v>
      </c>
      <c r="S36" s="872">
        <v>1310</v>
      </c>
      <c r="T36" s="1570">
        <v>9.7899999999999991</v>
      </c>
      <c r="U36" s="872">
        <v>20360</v>
      </c>
      <c r="V36" s="1571">
        <v>0.7</v>
      </c>
      <c r="W36" s="1573"/>
      <c r="Y36" s="1577" t="s">
        <v>7296</v>
      </c>
      <c r="Z36" s="845" t="s">
        <v>7297</v>
      </c>
      <c r="AA36" s="872">
        <v>780</v>
      </c>
      <c r="AB36" s="1570">
        <v>13.51</v>
      </c>
      <c r="AC36" s="872">
        <v>28090</v>
      </c>
      <c r="AD36" s="1571">
        <v>1.3</v>
      </c>
      <c r="AE36" s="1574"/>
      <c r="AG36" s="1577" t="s">
        <v>7342</v>
      </c>
      <c r="AH36" s="845" t="s">
        <v>7343</v>
      </c>
      <c r="AI36" s="872">
        <v>110</v>
      </c>
      <c r="AJ36" s="1570">
        <v>16.260000000000002</v>
      </c>
      <c r="AK36" s="872">
        <v>33810</v>
      </c>
      <c r="AL36" s="1571">
        <v>6</v>
      </c>
      <c r="AM36" s="585"/>
      <c r="AO36" s="2240" t="s">
        <v>8738</v>
      </c>
      <c r="AP36" s="2240"/>
      <c r="AQ36" s="2240"/>
      <c r="AR36" s="2240"/>
      <c r="AS36" s="2240"/>
      <c r="AT36" s="2240"/>
      <c r="AU36" s="1583"/>
      <c r="AV36" s="1578"/>
      <c r="AW36" s="382"/>
      <c r="AX36" s="439"/>
      <c r="AY36" s="1575"/>
      <c r="AZ36" s="1576"/>
      <c r="BA36" s="1575"/>
      <c r="BC36" s="1578"/>
      <c r="BD36" s="382"/>
      <c r="BE36" s="439"/>
      <c r="BF36" s="1575"/>
      <c r="BG36" s="1576"/>
      <c r="BH36" s="1575"/>
      <c r="BJ36" s="2234"/>
      <c r="BK36" s="2234"/>
      <c r="BL36" s="2234"/>
      <c r="BM36" s="2234"/>
      <c r="BN36" s="2234"/>
      <c r="BO36" s="2234"/>
    </row>
    <row r="37" spans="1:67" ht="12.75" customHeight="1">
      <c r="A37" s="1577" t="s">
        <v>7695</v>
      </c>
      <c r="B37" s="845" t="s">
        <v>7696</v>
      </c>
      <c r="C37" s="872">
        <v>450</v>
      </c>
      <c r="D37" s="1570">
        <v>23.01</v>
      </c>
      <c r="E37" s="872">
        <v>47860</v>
      </c>
      <c r="F37" s="1571">
        <v>3.3</v>
      </c>
      <c r="G37" s="1572"/>
      <c r="I37" s="1568" t="s">
        <v>7728</v>
      </c>
      <c r="J37" s="1569" t="s">
        <v>7729</v>
      </c>
      <c r="K37" s="872">
        <v>430</v>
      </c>
      <c r="L37" s="1570">
        <v>20.440000000000001</v>
      </c>
      <c r="M37" s="872">
        <v>42520</v>
      </c>
      <c r="N37" s="1571">
        <v>3.3</v>
      </c>
      <c r="Q37" s="1577" t="s">
        <v>7860</v>
      </c>
      <c r="R37" s="845" t="s">
        <v>7861</v>
      </c>
      <c r="S37" s="872">
        <v>70</v>
      </c>
      <c r="T37" s="1570">
        <v>10.09</v>
      </c>
      <c r="U37" s="872">
        <v>20990</v>
      </c>
      <c r="V37" s="1571">
        <v>0.4</v>
      </c>
      <c r="W37" s="1573"/>
      <c r="Y37" s="1577" t="s">
        <v>7312</v>
      </c>
      <c r="Z37" s="845" t="s">
        <v>7313</v>
      </c>
      <c r="AA37" s="872">
        <v>40</v>
      </c>
      <c r="AB37" s="1570">
        <v>16.399999999999999</v>
      </c>
      <c r="AC37" s="872">
        <v>34120</v>
      </c>
      <c r="AD37" s="1571">
        <v>1</v>
      </c>
      <c r="AE37" s="1574"/>
      <c r="AG37" s="1577" t="s">
        <v>7370</v>
      </c>
      <c r="AH37" s="845" t="s">
        <v>7371</v>
      </c>
      <c r="AI37" s="872">
        <v>220</v>
      </c>
      <c r="AJ37" s="1570">
        <v>17.09</v>
      </c>
      <c r="AK37" s="872">
        <v>35550</v>
      </c>
      <c r="AL37" s="1571">
        <v>2.5</v>
      </c>
      <c r="AM37" s="585"/>
      <c r="AO37" s="2238" t="s">
        <v>7602</v>
      </c>
      <c r="AP37" s="2238"/>
      <c r="AQ37" s="2238"/>
      <c r="AR37" s="2238"/>
      <c r="AS37" s="2238"/>
      <c r="AT37" s="2238"/>
      <c r="AU37" s="1583"/>
      <c r="AV37" s="1578"/>
      <c r="AW37" s="382"/>
      <c r="AX37" s="439"/>
      <c r="AY37" s="1575"/>
      <c r="AZ37" s="1576"/>
      <c r="BA37" s="1575"/>
      <c r="BC37" s="1578"/>
      <c r="BD37" s="382"/>
      <c r="BE37" s="439"/>
      <c r="BF37" s="1575"/>
      <c r="BG37" s="1576"/>
      <c r="BH37" s="1575"/>
      <c r="BJ37" s="2234"/>
      <c r="BK37" s="2234"/>
      <c r="BL37" s="2234"/>
      <c r="BM37" s="2234"/>
      <c r="BN37" s="2234"/>
      <c r="BO37" s="2234"/>
    </row>
    <row r="38" spans="1:67" ht="12.75" customHeight="1">
      <c r="A38" s="1577" t="s">
        <v>7828</v>
      </c>
      <c r="B38" s="845" t="s">
        <v>7829</v>
      </c>
      <c r="C38" s="872">
        <v>70</v>
      </c>
      <c r="D38" s="1570">
        <v>26.39</v>
      </c>
      <c r="E38" s="872">
        <v>54890</v>
      </c>
      <c r="F38" s="1571">
        <v>6.5</v>
      </c>
      <c r="G38" s="1572"/>
      <c r="I38" s="1577" t="s">
        <v>7738</v>
      </c>
      <c r="J38" s="845" t="s">
        <v>7739</v>
      </c>
      <c r="K38" s="872">
        <v>60</v>
      </c>
      <c r="L38" s="1570">
        <v>15.77</v>
      </c>
      <c r="M38" s="872">
        <v>32790</v>
      </c>
      <c r="N38" s="1571">
        <v>2.7</v>
      </c>
      <c r="Q38" s="1577" t="s">
        <v>7709</v>
      </c>
      <c r="R38" s="845" t="s">
        <v>7710</v>
      </c>
      <c r="S38" s="872">
        <v>80</v>
      </c>
      <c r="T38" s="1570">
        <v>10.08</v>
      </c>
      <c r="U38" s="872">
        <v>20960</v>
      </c>
      <c r="V38" s="1571">
        <v>0.9</v>
      </c>
      <c r="W38" s="1573"/>
      <c r="Y38" s="1577" t="s">
        <v>7790</v>
      </c>
      <c r="Z38" s="845" t="s">
        <v>7791</v>
      </c>
      <c r="AA38" s="872">
        <v>60</v>
      </c>
      <c r="AB38" s="1570">
        <v>13.89</v>
      </c>
      <c r="AC38" s="872">
        <v>28890</v>
      </c>
      <c r="AD38" s="1571">
        <v>2.5</v>
      </c>
      <c r="AE38" s="1574"/>
      <c r="AG38" s="1577" t="s">
        <v>7862</v>
      </c>
      <c r="AH38" s="845" t="s">
        <v>7863</v>
      </c>
      <c r="AI38" s="872">
        <v>70</v>
      </c>
      <c r="AJ38" s="1570">
        <v>24.33</v>
      </c>
      <c r="AK38" s="872">
        <v>50600</v>
      </c>
      <c r="AL38" s="1571">
        <v>6.1</v>
      </c>
      <c r="AM38" s="585"/>
      <c r="AO38" s="2238" t="s">
        <v>7615</v>
      </c>
      <c r="AP38" s="2238"/>
      <c r="AQ38" s="2238"/>
      <c r="AR38" s="2238"/>
      <c r="AS38" s="2238"/>
      <c r="AT38" s="2238"/>
      <c r="AU38" s="1583"/>
      <c r="AV38" s="1578"/>
      <c r="AW38" s="382"/>
      <c r="AX38" s="439"/>
      <c r="AY38" s="1575"/>
      <c r="AZ38" s="1576"/>
      <c r="BA38" s="1575"/>
      <c r="BC38" s="1578"/>
      <c r="BD38" s="382"/>
      <c r="BE38" s="439"/>
      <c r="BF38" s="1575"/>
      <c r="BG38" s="1576"/>
      <c r="BH38" s="1575"/>
      <c r="BJ38" s="2234"/>
      <c r="BK38" s="2234"/>
      <c r="BL38" s="2234"/>
      <c r="BM38" s="2234"/>
      <c r="BN38" s="2234"/>
      <c r="BO38" s="2234"/>
    </row>
    <row r="39" spans="1:67" ht="12.75" customHeight="1">
      <c r="A39" s="1577" t="s">
        <v>7715</v>
      </c>
      <c r="B39" s="845" t="s">
        <v>7716</v>
      </c>
      <c r="C39" s="872">
        <v>50</v>
      </c>
      <c r="D39" s="1570">
        <v>12.18</v>
      </c>
      <c r="E39" s="872">
        <v>25340</v>
      </c>
      <c r="F39" s="1571">
        <v>8.5</v>
      </c>
      <c r="G39" s="1572"/>
      <c r="I39" s="1577" t="s">
        <v>7750</v>
      </c>
      <c r="J39" s="845" t="s">
        <v>7751</v>
      </c>
      <c r="K39" s="872">
        <v>40</v>
      </c>
      <c r="L39" s="1570">
        <v>35.54</v>
      </c>
      <c r="M39" s="872">
        <v>73930</v>
      </c>
      <c r="N39" s="1571">
        <v>0.4</v>
      </c>
      <c r="Q39" s="1577" t="s">
        <v>7719</v>
      </c>
      <c r="R39" s="845" t="s">
        <v>7720</v>
      </c>
      <c r="S39" s="872">
        <v>310</v>
      </c>
      <c r="T39" s="1570">
        <v>9.7100000000000009</v>
      </c>
      <c r="U39" s="872">
        <v>20200</v>
      </c>
      <c r="V39" s="1571">
        <v>0.6</v>
      </c>
      <c r="W39" s="1573"/>
      <c r="Y39" s="1577" t="s">
        <v>7326</v>
      </c>
      <c r="Z39" s="845" t="s">
        <v>7327</v>
      </c>
      <c r="AA39" s="872">
        <v>110</v>
      </c>
      <c r="AB39" s="1570">
        <v>9.98</v>
      </c>
      <c r="AC39" s="872">
        <v>20760</v>
      </c>
      <c r="AD39" s="1571">
        <v>1</v>
      </c>
      <c r="AE39" s="1574"/>
      <c r="AG39" s="1577" t="s">
        <v>7384</v>
      </c>
      <c r="AH39" s="845" t="s">
        <v>7385</v>
      </c>
      <c r="AI39" s="872">
        <v>160</v>
      </c>
      <c r="AJ39" s="1570">
        <v>20.91</v>
      </c>
      <c r="AK39" s="872">
        <v>43480</v>
      </c>
      <c r="AL39" s="1571">
        <v>2</v>
      </c>
      <c r="AM39" s="585"/>
      <c r="AO39" s="2238" t="s">
        <v>7754</v>
      </c>
      <c r="AP39" s="2238"/>
      <c r="AQ39" s="2238"/>
      <c r="AR39" s="2238"/>
      <c r="AS39" s="2238"/>
      <c r="AT39" s="2238"/>
      <c r="AU39" s="1583"/>
      <c r="AV39" s="1578"/>
      <c r="AW39" s="382"/>
      <c r="AX39" s="435"/>
      <c r="AY39" s="1575"/>
      <c r="AZ39" s="1576"/>
      <c r="BA39" s="1575"/>
      <c r="BC39" s="1578"/>
      <c r="BD39" s="382"/>
      <c r="BE39" s="439"/>
      <c r="BF39" s="1575"/>
      <c r="BG39" s="1576"/>
      <c r="BH39" s="1575"/>
    </row>
    <row r="40" spans="1:67" ht="12.75" customHeight="1">
      <c r="A40" s="1568" t="s">
        <v>7726</v>
      </c>
      <c r="B40" s="1569" t="s">
        <v>7727</v>
      </c>
      <c r="C40" s="872">
        <v>770</v>
      </c>
      <c r="D40" s="1570">
        <v>24.59</v>
      </c>
      <c r="E40" s="872">
        <v>51150</v>
      </c>
      <c r="F40" s="1571">
        <v>1</v>
      </c>
      <c r="G40" s="1572"/>
      <c r="I40" s="2244" t="s">
        <v>7498</v>
      </c>
      <c r="J40" s="2244"/>
      <c r="K40" s="2244"/>
      <c r="L40" s="2244"/>
      <c r="M40" s="2244"/>
      <c r="N40" s="2244"/>
      <c r="Q40" s="1577" t="s">
        <v>7730</v>
      </c>
      <c r="R40" s="845" t="s">
        <v>7731</v>
      </c>
      <c r="S40" s="872">
        <v>120</v>
      </c>
      <c r="T40" s="1570">
        <v>9.58</v>
      </c>
      <c r="U40" s="872">
        <v>19930</v>
      </c>
      <c r="V40" s="1571">
        <v>0.9</v>
      </c>
      <c r="W40" s="1573"/>
      <c r="Y40" s="1577" t="s">
        <v>7792</v>
      </c>
      <c r="Z40" s="845" t="s">
        <v>7793</v>
      </c>
      <c r="AA40" s="872">
        <v>40</v>
      </c>
      <c r="AB40" s="1570">
        <v>14.13</v>
      </c>
      <c r="AC40" s="872">
        <v>29400</v>
      </c>
      <c r="AD40" s="1571">
        <v>2.5</v>
      </c>
      <c r="AG40" s="1577" t="s">
        <v>7398</v>
      </c>
      <c r="AH40" s="845" t="s">
        <v>7399</v>
      </c>
      <c r="AI40" s="872">
        <v>30</v>
      </c>
      <c r="AJ40" s="1570">
        <v>14.92</v>
      </c>
      <c r="AK40" s="872">
        <v>31030</v>
      </c>
      <c r="AL40" s="1571">
        <v>4.2</v>
      </c>
      <c r="AM40" s="585"/>
      <c r="AO40" s="1869"/>
      <c r="AP40" s="1869"/>
      <c r="AQ40" s="1869"/>
      <c r="AR40" s="1870"/>
      <c r="AS40" s="1871"/>
      <c r="AT40" s="1872"/>
      <c r="AU40" s="1583"/>
      <c r="AV40" s="1578"/>
      <c r="AW40" s="382"/>
      <c r="AX40" s="435"/>
      <c r="AY40" s="1575"/>
      <c r="AZ40" s="1576"/>
      <c r="BA40" s="1575"/>
      <c r="BC40" s="1578"/>
      <c r="BD40" s="382"/>
      <c r="BE40" s="439"/>
      <c r="BF40" s="1575"/>
      <c r="BG40" s="1576"/>
      <c r="BH40" s="1575"/>
    </row>
    <row r="41" spans="1:67" ht="12.75" customHeight="1">
      <c r="A41" s="1577" t="s">
        <v>7864</v>
      </c>
      <c r="B41" s="845" t="s">
        <v>7865</v>
      </c>
      <c r="C41" s="872">
        <v>50</v>
      </c>
      <c r="D41" s="1570">
        <v>21.05</v>
      </c>
      <c r="E41" s="872">
        <v>43770</v>
      </c>
      <c r="F41" s="1571">
        <v>1.7</v>
      </c>
      <c r="G41" s="1572"/>
      <c r="I41" s="2240" t="s">
        <v>7511</v>
      </c>
      <c r="J41" s="2240"/>
      <c r="K41" s="2240"/>
      <c r="L41" s="2240"/>
      <c r="M41" s="2240"/>
      <c r="N41" s="2240"/>
      <c r="Q41" s="1577" t="s">
        <v>7740</v>
      </c>
      <c r="R41" s="845" t="s">
        <v>7741</v>
      </c>
      <c r="S41" s="872">
        <v>470</v>
      </c>
      <c r="T41" s="1570">
        <v>9.74</v>
      </c>
      <c r="U41" s="872">
        <v>20260</v>
      </c>
      <c r="V41" s="1571">
        <v>0.8</v>
      </c>
      <c r="W41" s="1573"/>
      <c r="Y41" s="2242" t="s">
        <v>7498</v>
      </c>
      <c r="Z41" s="2242"/>
      <c r="AA41" s="2242"/>
      <c r="AB41" s="2242"/>
      <c r="AC41" s="2242"/>
      <c r="AD41" s="2242"/>
      <c r="AG41" s="1577" t="s">
        <v>7412</v>
      </c>
      <c r="AH41" s="845" t="s">
        <v>7413</v>
      </c>
      <c r="AI41" s="872">
        <v>40</v>
      </c>
      <c r="AJ41" s="1570">
        <v>12.57</v>
      </c>
      <c r="AK41" s="872">
        <v>26150</v>
      </c>
      <c r="AL41" s="1571">
        <v>1.9</v>
      </c>
      <c r="AM41" s="585"/>
      <c r="AO41" s="1594"/>
      <c r="AP41" s="1600"/>
      <c r="AQ41" s="1601"/>
      <c r="AR41" s="1596"/>
      <c r="AS41" s="1597"/>
      <c r="AT41" s="1595"/>
      <c r="AU41" s="1583"/>
      <c r="AV41" s="1578"/>
      <c r="AW41" s="382"/>
      <c r="AX41" s="439"/>
      <c r="AY41" s="1575"/>
      <c r="AZ41" s="1576"/>
      <c r="BA41" s="1575"/>
      <c r="BC41" s="1578"/>
      <c r="BD41" s="382"/>
      <c r="BE41" s="439"/>
      <c r="BF41" s="1575"/>
      <c r="BG41" s="1576"/>
      <c r="BH41" s="1575"/>
    </row>
    <row r="42" spans="1:67" ht="12.75" customHeight="1">
      <c r="A42" s="1577" t="s">
        <v>7736</v>
      </c>
      <c r="B42" s="845" t="s">
        <v>7737</v>
      </c>
      <c r="C42" s="872">
        <v>180</v>
      </c>
      <c r="D42" s="1570">
        <v>16.07</v>
      </c>
      <c r="E42" s="872">
        <v>33420</v>
      </c>
      <c r="F42" s="1571">
        <v>1.5</v>
      </c>
      <c r="G42" s="1572"/>
      <c r="I42" s="2240" t="s">
        <v>7524</v>
      </c>
      <c r="J42" s="2240"/>
      <c r="K42" s="2240"/>
      <c r="L42" s="2240"/>
      <c r="M42" s="2240"/>
      <c r="N42" s="2240"/>
      <c r="Q42" s="2242" t="s">
        <v>7498</v>
      </c>
      <c r="R42" s="2242"/>
      <c r="S42" s="2242"/>
      <c r="T42" s="2242"/>
      <c r="U42" s="2242"/>
      <c r="V42" s="2242"/>
      <c r="W42" s="1573"/>
      <c r="Y42" s="2236" t="s">
        <v>8751</v>
      </c>
      <c r="Z42" s="2236"/>
      <c r="AA42" s="2236"/>
      <c r="AB42" s="2236"/>
      <c r="AC42" s="2236"/>
      <c r="AD42" s="2236"/>
      <c r="AG42" s="1577" t="s">
        <v>7426</v>
      </c>
      <c r="AH42" s="845" t="s">
        <v>7427</v>
      </c>
      <c r="AI42" s="872">
        <v>300</v>
      </c>
      <c r="AJ42" s="1570">
        <v>22.58</v>
      </c>
      <c r="AK42" s="872">
        <v>46970</v>
      </c>
      <c r="AL42" s="1571">
        <v>5.4</v>
      </c>
      <c r="AM42" s="585"/>
      <c r="AO42" s="1594"/>
      <c r="AP42" s="1594"/>
      <c r="AQ42" s="1595"/>
      <c r="AR42" s="1596"/>
      <c r="AS42" s="1597"/>
      <c r="AT42" s="1595"/>
      <c r="AU42" s="1583"/>
      <c r="AV42" s="1578"/>
      <c r="AW42" s="382"/>
      <c r="AX42" s="439"/>
      <c r="AY42" s="1575"/>
      <c r="AZ42" s="1576"/>
      <c r="BA42" s="1575"/>
      <c r="BC42" s="1578"/>
      <c r="BD42" s="382"/>
      <c r="BE42" s="439"/>
      <c r="BF42" s="1575"/>
      <c r="BG42" s="1576"/>
      <c r="BH42" s="1575"/>
    </row>
    <row r="43" spans="1:67" ht="12.75" customHeight="1">
      <c r="A43" s="1577" t="s">
        <v>7866</v>
      </c>
      <c r="B43" s="845" t="s">
        <v>7867</v>
      </c>
      <c r="C43" s="872">
        <v>30</v>
      </c>
      <c r="D43" s="1570">
        <v>19.399999999999999</v>
      </c>
      <c r="E43" s="872">
        <v>40350</v>
      </c>
      <c r="F43" s="1571">
        <v>4.0999999999999996</v>
      </c>
      <c r="G43" s="1572"/>
      <c r="I43" s="2238" t="s">
        <v>7537</v>
      </c>
      <c r="J43" s="2238"/>
      <c r="K43" s="2238"/>
      <c r="L43" s="2238"/>
      <c r="M43" s="2238"/>
      <c r="N43" s="2238"/>
      <c r="Q43" s="2236" t="s">
        <v>7511</v>
      </c>
      <c r="R43" s="2236"/>
      <c r="S43" s="2236"/>
      <c r="T43" s="2236"/>
      <c r="U43" s="2236"/>
      <c r="V43" s="2236"/>
      <c r="W43" s="1573"/>
      <c r="Y43" s="2234" t="s">
        <v>7537</v>
      </c>
      <c r="Z43" s="2234"/>
      <c r="AA43" s="2234"/>
      <c r="AB43" s="2234"/>
      <c r="AC43" s="2234"/>
      <c r="AD43" s="2234"/>
      <c r="AG43" s="2244" t="s">
        <v>7498</v>
      </c>
      <c r="AH43" s="2244"/>
      <c r="AI43" s="2244"/>
      <c r="AJ43" s="2244"/>
      <c r="AK43" s="2244"/>
      <c r="AL43" s="2244"/>
      <c r="AM43" s="585"/>
      <c r="AO43" s="1594"/>
      <c r="AP43" s="1594"/>
      <c r="AQ43" s="1595"/>
      <c r="AR43" s="1596"/>
      <c r="AS43" s="1597"/>
      <c r="AT43" s="1595"/>
      <c r="AV43" s="1578"/>
      <c r="AW43" s="382"/>
      <c r="AX43" s="435"/>
      <c r="AY43" s="1575"/>
      <c r="AZ43" s="1576"/>
      <c r="BA43" s="1575"/>
      <c r="BC43" s="1578"/>
      <c r="BD43" s="382"/>
      <c r="BE43" s="439"/>
      <c r="BF43" s="1575"/>
      <c r="BG43" s="1576"/>
      <c r="BH43" s="1575"/>
    </row>
    <row r="44" spans="1:67" ht="12.75" customHeight="1">
      <c r="A44" s="2244" t="s">
        <v>7498</v>
      </c>
      <c r="B44" s="2244"/>
      <c r="C44" s="2244"/>
      <c r="D44" s="2244"/>
      <c r="E44" s="2244"/>
      <c r="F44" s="2244"/>
      <c r="G44" s="1572"/>
      <c r="I44" s="2245" t="s">
        <v>7550</v>
      </c>
      <c r="J44" s="2245"/>
      <c r="K44" s="2245"/>
      <c r="L44" s="2245"/>
      <c r="M44" s="2245"/>
      <c r="N44" s="2245"/>
      <c r="Q44" s="2236" t="s">
        <v>7524</v>
      </c>
      <c r="R44" s="2236"/>
      <c r="S44" s="2236"/>
      <c r="T44" s="2236"/>
      <c r="U44" s="2236"/>
      <c r="V44" s="2236"/>
      <c r="W44" s="1573"/>
      <c r="Y44" s="2237" t="s">
        <v>8752</v>
      </c>
      <c r="Z44" s="2237"/>
      <c r="AA44" s="2237"/>
      <c r="AB44" s="2237"/>
      <c r="AC44" s="2237"/>
      <c r="AD44" s="2237"/>
      <c r="AG44" s="2240" t="s">
        <v>7511</v>
      </c>
      <c r="AH44" s="2240"/>
      <c r="AI44" s="2240"/>
      <c r="AJ44" s="2240"/>
      <c r="AK44" s="2240"/>
      <c r="AL44" s="2240"/>
      <c r="AM44" s="585"/>
      <c r="AO44" s="1594"/>
      <c r="AP44" s="1594"/>
      <c r="AQ44" s="1595"/>
      <c r="AR44" s="1596"/>
      <c r="AS44" s="1597"/>
      <c r="AT44" s="1595"/>
      <c r="AV44" s="1557"/>
      <c r="AW44" s="1558"/>
      <c r="AX44" s="1558"/>
      <c r="AY44" s="1558"/>
      <c r="AZ44" s="1558"/>
      <c r="BA44" s="1558"/>
      <c r="BC44" s="1578"/>
      <c r="BD44" s="382"/>
      <c r="BE44" s="439"/>
      <c r="BF44" s="1575"/>
      <c r="BG44" s="1576"/>
      <c r="BH44" s="1575"/>
    </row>
    <row r="45" spans="1:67" ht="12.75" customHeight="1">
      <c r="A45" s="2240" t="s">
        <v>7511</v>
      </c>
      <c r="B45" s="2240"/>
      <c r="C45" s="2240"/>
      <c r="D45" s="2240"/>
      <c r="E45" s="2240"/>
      <c r="F45" s="2240"/>
      <c r="G45" s="1572"/>
      <c r="I45" s="2239" t="s">
        <v>7563</v>
      </c>
      <c r="J45" s="2239"/>
      <c r="K45" s="2239"/>
      <c r="L45" s="2239"/>
      <c r="M45" s="2239"/>
      <c r="N45" s="2239"/>
      <c r="Q45" s="2234" t="s">
        <v>7537</v>
      </c>
      <c r="R45" s="2234"/>
      <c r="S45" s="2234"/>
      <c r="T45" s="2234"/>
      <c r="U45" s="2234"/>
      <c r="V45" s="2234"/>
      <c r="W45" s="1573"/>
      <c r="Y45" s="2236" t="s">
        <v>8753</v>
      </c>
      <c r="Z45" s="2236"/>
      <c r="AA45" s="2236"/>
      <c r="AB45" s="2236"/>
      <c r="AC45" s="2236"/>
      <c r="AD45" s="2236"/>
      <c r="AG45" s="2240" t="s">
        <v>7524</v>
      </c>
      <c r="AH45" s="2240"/>
      <c r="AI45" s="2240"/>
      <c r="AJ45" s="2240"/>
      <c r="AK45" s="2240"/>
      <c r="AL45" s="2240"/>
      <c r="AM45" s="585"/>
      <c r="AO45" s="1594"/>
      <c r="AP45" s="1594"/>
      <c r="AQ45" s="1595"/>
      <c r="AR45" s="1596"/>
      <c r="AS45" s="1597"/>
      <c r="AT45" s="1595"/>
      <c r="AV45" s="2236"/>
      <c r="AW45" s="2236"/>
      <c r="AX45" s="2236"/>
      <c r="AY45" s="2236"/>
      <c r="AZ45" s="2236"/>
      <c r="BA45" s="2236"/>
      <c r="BC45" s="1578"/>
      <c r="BD45" s="382"/>
      <c r="BE45" s="439"/>
      <c r="BF45" s="1575"/>
      <c r="BG45" s="1576"/>
      <c r="BH45" s="1575"/>
    </row>
    <row r="46" spans="1:67" ht="12.75" customHeight="1">
      <c r="A46" s="2240" t="s">
        <v>7524</v>
      </c>
      <c r="B46" s="2240"/>
      <c r="C46" s="2240"/>
      <c r="D46" s="2240"/>
      <c r="E46" s="2240"/>
      <c r="F46" s="2240"/>
      <c r="G46" s="1572"/>
      <c r="I46" s="2240" t="s">
        <v>7576</v>
      </c>
      <c r="J46" s="2240"/>
      <c r="K46" s="2240"/>
      <c r="L46" s="2240"/>
      <c r="M46" s="2240"/>
      <c r="N46" s="2240"/>
      <c r="Q46" s="2237" t="s">
        <v>7550</v>
      </c>
      <c r="R46" s="2237"/>
      <c r="S46" s="2237"/>
      <c r="T46" s="2237"/>
      <c r="U46" s="2237"/>
      <c r="V46" s="2237"/>
      <c r="W46" s="1574"/>
      <c r="Y46" s="2234" t="s">
        <v>7602</v>
      </c>
      <c r="Z46" s="2234"/>
      <c r="AA46" s="2234"/>
      <c r="AB46" s="2234"/>
      <c r="AC46" s="2234"/>
      <c r="AD46" s="2234"/>
      <c r="AG46" s="2238" t="s">
        <v>7537</v>
      </c>
      <c r="AH46" s="2238"/>
      <c r="AI46" s="2238"/>
      <c r="AJ46" s="2238"/>
      <c r="AK46" s="2238"/>
      <c r="AL46" s="2238"/>
      <c r="AM46" s="585"/>
      <c r="AO46" s="1594"/>
      <c r="AP46" s="1594"/>
      <c r="AQ46" s="1595"/>
      <c r="AR46" s="1596"/>
      <c r="AS46" s="1597"/>
      <c r="AT46" s="1595"/>
      <c r="AV46" s="2236"/>
      <c r="AW46" s="2236"/>
      <c r="AX46" s="2236"/>
      <c r="AY46" s="2236"/>
      <c r="AZ46" s="2236"/>
      <c r="BA46" s="2236"/>
      <c r="BC46" s="1578"/>
      <c r="BD46" s="382"/>
      <c r="BE46" s="439"/>
      <c r="BF46" s="1575"/>
      <c r="BG46" s="1576"/>
      <c r="BH46" s="1575"/>
    </row>
    <row r="47" spans="1:67" ht="12.75" customHeight="1">
      <c r="A47" s="2238" t="s">
        <v>7537</v>
      </c>
      <c r="B47" s="2238"/>
      <c r="C47" s="2238"/>
      <c r="D47" s="2238"/>
      <c r="E47" s="2238"/>
      <c r="F47" s="2238"/>
      <c r="G47" s="1572"/>
      <c r="I47" s="2239" t="s">
        <v>7589</v>
      </c>
      <c r="J47" s="2239"/>
      <c r="K47" s="2239"/>
      <c r="L47" s="2239"/>
      <c r="M47" s="2239"/>
      <c r="N47" s="2239"/>
      <c r="Q47" s="2243" t="s">
        <v>7563</v>
      </c>
      <c r="R47" s="2243"/>
      <c r="S47" s="2243"/>
      <c r="T47" s="2243"/>
      <c r="U47" s="2243"/>
      <c r="V47" s="2243"/>
      <c r="W47" s="1574"/>
      <c r="Y47" s="2234" t="s">
        <v>7615</v>
      </c>
      <c r="Z47" s="2234"/>
      <c r="AA47" s="2234"/>
      <c r="AB47" s="2234"/>
      <c r="AC47" s="2234"/>
      <c r="AD47" s="2234"/>
      <c r="AG47" s="2245" t="s">
        <v>8752</v>
      </c>
      <c r="AH47" s="2245"/>
      <c r="AI47" s="2245"/>
      <c r="AJ47" s="2245"/>
      <c r="AK47" s="2245"/>
      <c r="AL47" s="2245"/>
      <c r="AM47" s="585"/>
      <c r="AO47" s="1594"/>
      <c r="AP47" s="1594"/>
      <c r="AQ47" s="1595"/>
      <c r="AR47" s="1596"/>
      <c r="AS47" s="1597"/>
      <c r="AT47" s="1595"/>
      <c r="AV47" s="2234"/>
      <c r="AW47" s="2234"/>
      <c r="AX47" s="2234"/>
      <c r="AY47" s="1581"/>
      <c r="AZ47" s="1581"/>
      <c r="BA47" s="1581"/>
      <c r="BC47" s="1578"/>
      <c r="BD47" s="382"/>
      <c r="BE47" s="439"/>
      <c r="BF47" s="1575"/>
      <c r="BG47" s="1576"/>
      <c r="BH47" s="1575"/>
    </row>
    <row r="48" spans="1:67" ht="12.75" customHeight="1">
      <c r="A48" s="2245" t="s">
        <v>7550</v>
      </c>
      <c r="B48" s="2245"/>
      <c r="C48" s="2245"/>
      <c r="D48" s="2245"/>
      <c r="E48" s="2245"/>
      <c r="F48" s="2245"/>
      <c r="G48" s="1572"/>
      <c r="I48" s="2238" t="s">
        <v>7602</v>
      </c>
      <c r="J48" s="2238"/>
      <c r="K48" s="2238"/>
      <c r="L48" s="2238"/>
      <c r="M48" s="2238"/>
      <c r="N48" s="2238"/>
      <c r="Q48" s="2236" t="s">
        <v>7576</v>
      </c>
      <c r="R48" s="2236"/>
      <c r="S48" s="2236"/>
      <c r="T48" s="2236"/>
      <c r="U48" s="2236"/>
      <c r="V48" s="2236"/>
      <c r="W48" s="1574"/>
      <c r="Y48" s="2234" t="s">
        <v>7754</v>
      </c>
      <c r="Z48" s="2234"/>
      <c r="AA48" s="2234"/>
      <c r="AB48" s="2234"/>
      <c r="AC48" s="2234"/>
      <c r="AD48" s="2234"/>
      <c r="AG48" s="2240" t="s">
        <v>8738</v>
      </c>
      <c r="AH48" s="2240"/>
      <c r="AI48" s="2240"/>
      <c r="AJ48" s="2240"/>
      <c r="AK48" s="2240"/>
      <c r="AL48" s="2240"/>
      <c r="AM48" s="585"/>
      <c r="AO48" s="1594"/>
      <c r="AP48" s="1594"/>
      <c r="AQ48" s="1595"/>
      <c r="AR48" s="1596"/>
      <c r="AS48" s="1597"/>
      <c r="AT48" s="1595"/>
      <c r="AV48" s="2237"/>
      <c r="AW48" s="2237"/>
      <c r="AX48" s="2237"/>
      <c r="AY48" s="1581"/>
      <c r="AZ48" s="1581"/>
      <c r="BA48" s="1581"/>
      <c r="BC48" s="1578"/>
      <c r="BD48" s="382"/>
      <c r="BE48" s="439"/>
      <c r="BF48" s="1575"/>
      <c r="BG48" s="1576"/>
      <c r="BH48" s="1575"/>
    </row>
    <row r="49" spans="1:60" ht="12.75" customHeight="1">
      <c r="A49" s="2239" t="s">
        <v>7563</v>
      </c>
      <c r="B49" s="2239"/>
      <c r="C49" s="2239"/>
      <c r="D49" s="2239"/>
      <c r="E49" s="2239"/>
      <c r="F49" s="2239"/>
      <c r="G49" s="1572"/>
      <c r="I49" s="2238" t="s">
        <v>7615</v>
      </c>
      <c r="J49" s="2238"/>
      <c r="K49" s="2238"/>
      <c r="L49" s="2238"/>
      <c r="M49" s="2238"/>
      <c r="N49" s="2238"/>
      <c r="Q49" s="2243" t="s">
        <v>7589</v>
      </c>
      <c r="R49" s="2243"/>
      <c r="S49" s="2243"/>
      <c r="T49" s="2243"/>
      <c r="U49" s="2243"/>
      <c r="V49" s="2243"/>
      <c r="AG49" s="2238" t="s">
        <v>7602</v>
      </c>
      <c r="AH49" s="2238"/>
      <c r="AI49" s="2238"/>
      <c r="AJ49" s="2238"/>
      <c r="AK49" s="2238"/>
      <c r="AL49" s="2238"/>
      <c r="AM49" s="585"/>
      <c r="AO49" s="1594"/>
      <c r="AP49" s="1594"/>
      <c r="AQ49" s="1595"/>
      <c r="AR49" s="1596"/>
      <c r="AS49" s="1597"/>
      <c r="AT49" s="1595"/>
      <c r="AW49" s="1584"/>
      <c r="AX49" s="1584"/>
      <c r="AY49" s="1584"/>
      <c r="AZ49" s="1584"/>
      <c r="BA49" s="1584"/>
      <c r="BC49" s="1578"/>
      <c r="BD49" s="382"/>
      <c r="BE49" s="439"/>
      <c r="BF49" s="1575"/>
      <c r="BG49" s="1576"/>
      <c r="BH49" s="1575"/>
    </row>
    <row r="50" spans="1:60" ht="12.75" customHeight="1">
      <c r="A50" s="2240" t="s">
        <v>7576</v>
      </c>
      <c r="B50" s="2240"/>
      <c r="C50" s="2240"/>
      <c r="D50" s="2240"/>
      <c r="E50" s="2240"/>
      <c r="F50" s="2240"/>
      <c r="G50" s="1572"/>
      <c r="I50" s="2238" t="s">
        <v>7754</v>
      </c>
      <c r="J50" s="2238"/>
      <c r="K50" s="2238"/>
      <c r="L50" s="2238"/>
      <c r="M50" s="2238"/>
      <c r="N50" s="2238"/>
      <c r="Q50" s="2234" t="s">
        <v>7602</v>
      </c>
      <c r="R50" s="2234"/>
      <c r="S50" s="2234"/>
      <c r="T50" s="2234"/>
      <c r="U50" s="2234"/>
      <c r="V50" s="2234"/>
      <c r="AG50" s="2238" t="s">
        <v>7615</v>
      </c>
      <c r="AH50" s="2238"/>
      <c r="AI50" s="2238"/>
      <c r="AJ50" s="2238"/>
      <c r="AK50" s="2238"/>
      <c r="AL50" s="2238"/>
      <c r="AM50" s="585"/>
      <c r="AO50" s="1594"/>
      <c r="AP50" s="1594"/>
      <c r="AQ50" s="1595"/>
      <c r="AR50" s="1596"/>
      <c r="AS50" s="1597"/>
      <c r="AT50" s="1595"/>
      <c r="AV50" s="2236"/>
      <c r="AW50" s="2236"/>
      <c r="AX50" s="2236"/>
      <c r="AY50" s="2236"/>
      <c r="AZ50" s="2236"/>
      <c r="BA50" s="2236"/>
      <c r="BC50" s="1557"/>
      <c r="BD50" s="1558"/>
      <c r="BE50" s="1558"/>
      <c r="BF50" s="1558"/>
      <c r="BG50" s="1558"/>
      <c r="BH50" s="1558"/>
    </row>
    <row r="51" spans="1:60" ht="12.75" customHeight="1">
      <c r="A51" s="2239" t="s">
        <v>7589</v>
      </c>
      <c r="B51" s="2239"/>
      <c r="C51" s="2239"/>
      <c r="D51" s="2239"/>
      <c r="E51" s="2239"/>
      <c r="F51" s="2239"/>
      <c r="G51" s="1572"/>
      <c r="Q51" s="2234" t="s">
        <v>7615</v>
      </c>
      <c r="R51" s="2234"/>
      <c r="S51" s="2234"/>
      <c r="T51" s="2234"/>
      <c r="U51" s="2234"/>
      <c r="V51" s="2234"/>
      <c r="AG51" s="2238" t="s">
        <v>7754</v>
      </c>
      <c r="AH51" s="2238"/>
      <c r="AI51" s="2238"/>
      <c r="AJ51" s="2238"/>
      <c r="AK51" s="2238"/>
      <c r="AL51" s="2238"/>
      <c r="AM51" s="585"/>
      <c r="AO51" s="1557"/>
      <c r="AW51" s="1584"/>
      <c r="AX51" s="1584"/>
      <c r="AY51" s="1584"/>
      <c r="AZ51" s="1584"/>
      <c r="BA51" s="1584"/>
      <c r="BC51" s="2236"/>
      <c r="BD51" s="2236"/>
      <c r="BE51" s="2236"/>
      <c r="BF51" s="2236"/>
      <c r="BG51" s="2236"/>
      <c r="BH51" s="2236"/>
    </row>
    <row r="52" spans="1:60" ht="12.75" customHeight="1">
      <c r="A52" s="2238" t="s">
        <v>7602</v>
      </c>
      <c r="B52" s="2238"/>
      <c r="C52" s="2238"/>
      <c r="D52" s="2238"/>
      <c r="E52" s="2238"/>
      <c r="F52" s="2238"/>
      <c r="G52" s="1572"/>
      <c r="Q52" s="2234" t="s">
        <v>7754</v>
      </c>
      <c r="R52" s="2234"/>
      <c r="S52" s="2234"/>
      <c r="T52" s="2234"/>
      <c r="U52" s="2234"/>
      <c r="V52" s="2234"/>
      <c r="AG52" s="2240"/>
      <c r="AH52" s="2240"/>
      <c r="AI52" s="2240"/>
      <c r="AJ52" s="2240"/>
      <c r="AK52" s="2240"/>
      <c r="AL52" s="2240"/>
      <c r="AM52" s="585"/>
      <c r="AO52" s="2236"/>
      <c r="AP52" s="2236"/>
      <c r="AQ52" s="2236"/>
      <c r="AR52" s="2236"/>
      <c r="AS52" s="2236"/>
      <c r="AT52" s="2236"/>
      <c r="AV52" s="2234"/>
      <c r="AW52" s="2234"/>
      <c r="AX52" s="2234"/>
      <c r="AY52" s="2234"/>
      <c r="AZ52" s="2234"/>
      <c r="BA52" s="2234"/>
      <c r="BC52" s="2236"/>
      <c r="BD52" s="2236"/>
      <c r="BE52" s="2236"/>
      <c r="BF52" s="2236"/>
      <c r="BG52" s="2236"/>
      <c r="BH52" s="2236"/>
    </row>
    <row r="53" spans="1:60" ht="12.75" customHeight="1">
      <c r="A53" s="2238" t="s">
        <v>7615</v>
      </c>
      <c r="B53" s="2238"/>
      <c r="C53" s="2238"/>
      <c r="D53" s="2238"/>
      <c r="E53" s="2238"/>
      <c r="F53" s="2238"/>
      <c r="Q53" s="2243"/>
      <c r="R53" s="2243"/>
      <c r="S53" s="2243"/>
      <c r="T53" s="2243"/>
      <c r="U53" s="2243"/>
      <c r="V53" s="2243"/>
      <c r="AG53" s="2234"/>
      <c r="AH53" s="2234"/>
      <c r="AI53" s="2234"/>
      <c r="AJ53" s="1581"/>
      <c r="AK53" s="1581"/>
      <c r="AL53" s="1581"/>
      <c r="AM53" s="585"/>
      <c r="AO53" s="2236"/>
      <c r="AP53" s="2236"/>
      <c r="AQ53" s="2236"/>
      <c r="AR53" s="2236"/>
      <c r="AS53" s="2236"/>
      <c r="AT53" s="2236"/>
      <c r="AV53" s="2234"/>
      <c r="AW53" s="2234"/>
      <c r="AX53" s="2234"/>
      <c r="AY53" s="2234"/>
      <c r="AZ53" s="2234"/>
      <c r="BA53" s="2234"/>
      <c r="BC53" s="2234"/>
      <c r="BD53" s="2234"/>
      <c r="BE53" s="2234"/>
      <c r="BF53" s="1581"/>
      <c r="BG53" s="1581"/>
      <c r="BH53" s="1581"/>
    </row>
    <row r="54" spans="1:60" ht="12.75" customHeight="1">
      <c r="A54" s="2238" t="s">
        <v>7754</v>
      </c>
      <c r="B54" s="2238"/>
      <c r="C54" s="2238"/>
      <c r="D54" s="2238"/>
      <c r="E54" s="2238"/>
      <c r="F54" s="2238"/>
      <c r="Q54" s="2236"/>
      <c r="R54" s="2236"/>
      <c r="S54" s="2236"/>
      <c r="T54" s="2236"/>
      <c r="U54" s="2236"/>
      <c r="V54" s="2236"/>
      <c r="AG54" s="2237"/>
      <c r="AH54" s="2237"/>
      <c r="AI54" s="2237"/>
      <c r="AJ54" s="1581"/>
      <c r="AK54" s="1581"/>
      <c r="AL54" s="1581"/>
      <c r="AM54" s="585"/>
      <c r="AO54" s="2234"/>
      <c r="AP54" s="2234"/>
      <c r="AQ54" s="2234"/>
      <c r="AR54" s="1581"/>
      <c r="AS54" s="1581"/>
      <c r="AT54" s="1581"/>
      <c r="AV54" s="2234"/>
      <c r="AW54" s="2234"/>
      <c r="AX54" s="2234"/>
      <c r="AY54" s="2234"/>
      <c r="AZ54" s="2234"/>
      <c r="BA54" s="2234"/>
      <c r="BC54" s="2237"/>
      <c r="BD54" s="2237"/>
      <c r="BE54" s="2237"/>
      <c r="BF54" s="1581"/>
      <c r="BG54" s="1581"/>
      <c r="BH54" s="1581"/>
    </row>
    <row r="55" spans="1:60" ht="12.75" customHeight="1">
      <c r="R55" s="1584"/>
      <c r="S55" s="1584"/>
      <c r="T55" s="1584"/>
      <c r="U55" s="1584"/>
      <c r="V55" s="1584"/>
      <c r="AH55" s="1584"/>
      <c r="AI55" s="1584"/>
      <c r="AJ55" s="1584"/>
      <c r="AK55" s="1584"/>
      <c r="AL55" s="1584"/>
      <c r="AM55" s="585"/>
      <c r="AO55" s="2237"/>
      <c r="AP55" s="2237"/>
      <c r="AQ55" s="2237"/>
      <c r="AR55" s="1581"/>
      <c r="AS55" s="1581"/>
      <c r="AT55" s="1581"/>
      <c r="BC55" s="1558"/>
      <c r="BD55" s="1584"/>
      <c r="BE55" s="1584"/>
      <c r="BF55" s="1584"/>
      <c r="BG55" s="1584"/>
      <c r="BH55" s="1584"/>
    </row>
    <row r="56" spans="1:60" ht="12.75" customHeight="1">
      <c r="Q56" s="2234"/>
      <c r="R56" s="2234"/>
      <c r="S56" s="2234"/>
      <c r="T56" s="2234"/>
      <c r="U56" s="2234"/>
      <c r="V56" s="2234"/>
      <c r="AG56" s="2236"/>
      <c r="AH56" s="2236"/>
      <c r="AI56" s="2236"/>
      <c r="AJ56" s="2236"/>
      <c r="AK56" s="2236"/>
      <c r="AL56" s="2236"/>
      <c r="AM56" s="585"/>
      <c r="AP56" s="1584"/>
      <c r="AQ56" s="1584"/>
      <c r="AR56" s="1584"/>
      <c r="AS56" s="1584"/>
      <c r="AT56" s="1584"/>
      <c r="BC56" s="2236"/>
      <c r="BD56" s="2236"/>
      <c r="BE56" s="2236"/>
      <c r="BF56" s="2236"/>
      <c r="BG56" s="2236"/>
      <c r="BH56" s="2236"/>
    </row>
    <row r="57" spans="1:60" ht="12.75" customHeight="1">
      <c r="Q57" s="2234"/>
      <c r="R57" s="2234"/>
      <c r="S57" s="2234"/>
      <c r="T57" s="2234"/>
      <c r="U57" s="2234"/>
      <c r="V57" s="2234"/>
      <c r="AH57" s="1584"/>
      <c r="AI57" s="1584"/>
      <c r="AJ57" s="1584"/>
      <c r="AK57" s="1584"/>
      <c r="AL57" s="1584"/>
      <c r="AM57" s="585"/>
      <c r="AO57" s="2236"/>
      <c r="AP57" s="2236"/>
      <c r="AQ57" s="2236"/>
      <c r="AR57" s="2236"/>
      <c r="AS57" s="2236"/>
      <c r="AT57" s="2236"/>
      <c r="BC57" s="1558"/>
      <c r="BD57" s="1584"/>
      <c r="BE57" s="1584"/>
      <c r="BF57" s="1584"/>
      <c r="BG57" s="1584"/>
      <c r="BH57" s="1584"/>
    </row>
    <row r="58" spans="1:60" ht="12.75" customHeight="1">
      <c r="Q58" s="2234"/>
      <c r="R58" s="2234"/>
      <c r="S58" s="2234"/>
      <c r="T58" s="2234"/>
      <c r="U58" s="2234"/>
      <c r="V58" s="2234"/>
      <c r="AG58" s="2234"/>
      <c r="AH58" s="2234"/>
      <c r="AI58" s="2234"/>
      <c r="AJ58" s="2234"/>
      <c r="AK58" s="2234"/>
      <c r="AL58" s="2234"/>
      <c r="AM58" s="585"/>
      <c r="AP58" s="1584"/>
      <c r="AQ58" s="1584"/>
      <c r="AR58" s="1584"/>
      <c r="AS58" s="1584"/>
      <c r="AT58" s="1584"/>
      <c r="BC58" s="2234"/>
      <c r="BD58" s="2234"/>
      <c r="BE58" s="2234"/>
      <c r="BF58" s="2234"/>
      <c r="BG58" s="2234"/>
      <c r="BH58" s="2234"/>
    </row>
    <row r="59" spans="1:60" ht="12.75" customHeight="1">
      <c r="A59" s="1598"/>
      <c r="Q59" s="2236"/>
      <c r="R59" s="2236"/>
      <c r="S59" s="2236"/>
      <c r="T59" s="2236"/>
      <c r="U59" s="2236"/>
      <c r="V59" s="2236"/>
      <c r="AG59" s="2234"/>
      <c r="AH59" s="2234"/>
      <c r="AI59" s="2234"/>
      <c r="AJ59" s="2234"/>
      <c r="AK59" s="2234"/>
      <c r="AL59" s="2234"/>
      <c r="AO59" s="2236"/>
      <c r="AP59" s="2236"/>
      <c r="AQ59" s="2236"/>
      <c r="AR59" s="2236"/>
      <c r="AS59" s="2236"/>
      <c r="AT59" s="2236"/>
      <c r="BC59" s="2234"/>
      <c r="BD59" s="2234"/>
      <c r="BE59" s="2234"/>
      <c r="BF59" s="2234"/>
      <c r="BG59" s="2234"/>
      <c r="BH59" s="2234"/>
    </row>
    <row r="60" spans="1:60" ht="12.75" customHeight="1">
      <c r="A60" s="1599"/>
      <c r="Q60" s="2235"/>
      <c r="R60" s="2235"/>
      <c r="S60" s="2235"/>
      <c r="T60" s="2235"/>
      <c r="U60" s="2235"/>
      <c r="V60" s="2235"/>
      <c r="AG60" s="2234"/>
      <c r="AH60" s="2234"/>
      <c r="AI60" s="2234"/>
      <c r="AJ60" s="2234"/>
      <c r="AK60" s="2234"/>
      <c r="AL60" s="2234"/>
      <c r="AO60" s="2234"/>
      <c r="AP60" s="2234"/>
      <c r="AQ60" s="1581"/>
      <c r="AR60" s="1581"/>
      <c r="AS60" s="1581"/>
      <c r="AT60" s="1581"/>
      <c r="BC60" s="2234"/>
      <c r="BD60" s="2234"/>
      <c r="BE60" s="2234"/>
      <c r="BF60" s="2234"/>
      <c r="BG60" s="2234"/>
      <c r="BH60" s="2234"/>
    </row>
    <row r="61" spans="1:60" ht="12.75" customHeight="1">
      <c r="A61" s="1599"/>
      <c r="Q61" s="2235"/>
      <c r="R61" s="2235"/>
      <c r="S61" s="2235"/>
      <c r="T61" s="2235"/>
      <c r="U61" s="2235"/>
      <c r="V61" s="2235"/>
      <c r="AG61" s="2236"/>
      <c r="AH61" s="2236"/>
      <c r="AI61" s="2236"/>
      <c r="AJ61" s="2236"/>
      <c r="AK61" s="2236"/>
      <c r="AL61" s="2236"/>
      <c r="AO61" s="2234"/>
      <c r="AP61" s="2234"/>
      <c r="AQ61" s="1581"/>
      <c r="AR61" s="1581"/>
      <c r="AS61" s="1581"/>
      <c r="AT61" s="1581"/>
    </row>
    <row r="62" spans="1:60" ht="12.75" customHeight="1">
      <c r="A62" s="1599"/>
      <c r="AG62" s="2235"/>
      <c r="AH62" s="2235"/>
      <c r="AI62" s="2235"/>
      <c r="AJ62" s="2235"/>
      <c r="AK62" s="2235"/>
      <c r="AL62" s="2235"/>
    </row>
    <row r="63" spans="1:60" ht="12.75" customHeight="1">
      <c r="AG63" s="2235"/>
      <c r="AH63" s="2235"/>
      <c r="AI63" s="2235"/>
      <c r="AJ63" s="2235"/>
      <c r="AK63" s="2235"/>
      <c r="AL63" s="2235"/>
    </row>
  </sheetData>
  <mergeCells count="109">
    <mergeCell ref="BJ29:BO29"/>
    <mergeCell ref="BJ30:BO30"/>
    <mergeCell ref="BJ31:BL31"/>
    <mergeCell ref="AO32:AT32"/>
    <mergeCell ref="BJ32:BL32"/>
    <mergeCell ref="AO31:AT31"/>
    <mergeCell ref="I42:N42"/>
    <mergeCell ref="Y42:AD42"/>
    <mergeCell ref="BJ34:BO34"/>
    <mergeCell ref="BJ36:BO36"/>
    <mergeCell ref="BJ37:BO37"/>
    <mergeCell ref="BJ38:BO38"/>
    <mergeCell ref="AO37:AT37"/>
    <mergeCell ref="AO38:AT38"/>
    <mergeCell ref="I41:N41"/>
    <mergeCell ref="AO39:AT39"/>
    <mergeCell ref="Q42:V42"/>
    <mergeCell ref="Y41:AD41"/>
    <mergeCell ref="AO34:AT34"/>
    <mergeCell ref="I40:N40"/>
    <mergeCell ref="AO35:AT35"/>
    <mergeCell ref="AO36:AT36"/>
    <mergeCell ref="AG44:AL44"/>
    <mergeCell ref="A45:F45"/>
    <mergeCell ref="AG45:AL45"/>
    <mergeCell ref="AV45:BA45"/>
    <mergeCell ref="A46:F46"/>
    <mergeCell ref="I46:N46"/>
    <mergeCell ref="AV46:BA46"/>
    <mergeCell ref="A44:F44"/>
    <mergeCell ref="AO33:AT33"/>
    <mergeCell ref="I43:N43"/>
    <mergeCell ref="I44:N44"/>
    <mergeCell ref="I45:N45"/>
    <mergeCell ref="Q43:V43"/>
    <mergeCell ref="Q44:V44"/>
    <mergeCell ref="Y44:AD44"/>
    <mergeCell ref="Y45:AD45"/>
    <mergeCell ref="AG43:AL43"/>
    <mergeCell ref="AG46:AL46"/>
    <mergeCell ref="Q45:V45"/>
    <mergeCell ref="Q46:V46"/>
    <mergeCell ref="Y43:AD43"/>
    <mergeCell ref="Y46:AD46"/>
    <mergeCell ref="AG48:AL48"/>
    <mergeCell ref="AG47:AL47"/>
    <mergeCell ref="A50:F50"/>
    <mergeCell ref="I50:N50"/>
    <mergeCell ref="Q50:V50"/>
    <mergeCell ref="Y47:AD47"/>
    <mergeCell ref="AV50:BA50"/>
    <mergeCell ref="AV47:AX47"/>
    <mergeCell ref="Q49:V49"/>
    <mergeCell ref="A47:F47"/>
    <mergeCell ref="A48:F48"/>
    <mergeCell ref="A49:F49"/>
    <mergeCell ref="I47:N47"/>
    <mergeCell ref="I48:N48"/>
    <mergeCell ref="Q48:V48"/>
    <mergeCell ref="Q47:V47"/>
    <mergeCell ref="BC51:BH51"/>
    <mergeCell ref="A52:F52"/>
    <mergeCell ref="Q52:V52"/>
    <mergeCell ref="AG50:AL50"/>
    <mergeCell ref="AV52:BA52"/>
    <mergeCell ref="BC52:BH52"/>
    <mergeCell ref="Q51:V51"/>
    <mergeCell ref="Y48:AD48"/>
    <mergeCell ref="AG49:AL49"/>
    <mergeCell ref="AG51:AL51"/>
    <mergeCell ref="AV48:AX48"/>
    <mergeCell ref="I49:N49"/>
    <mergeCell ref="A51:F51"/>
    <mergeCell ref="AV53:BA53"/>
    <mergeCell ref="BC53:BE53"/>
    <mergeCell ref="A54:F54"/>
    <mergeCell ref="Q54:V54"/>
    <mergeCell ref="AG52:AL52"/>
    <mergeCell ref="AO52:AT52"/>
    <mergeCell ref="AV54:BA54"/>
    <mergeCell ref="BC54:BE54"/>
    <mergeCell ref="Q59:V59"/>
    <mergeCell ref="AO57:AT57"/>
    <mergeCell ref="BC59:BH59"/>
    <mergeCell ref="AG53:AI53"/>
    <mergeCell ref="AO53:AT53"/>
    <mergeCell ref="Q56:V56"/>
    <mergeCell ref="AG54:AI54"/>
    <mergeCell ref="AO54:AQ54"/>
    <mergeCell ref="BC56:BH56"/>
    <mergeCell ref="Q57:V57"/>
    <mergeCell ref="AO55:AQ55"/>
    <mergeCell ref="Q58:V58"/>
    <mergeCell ref="AG56:AL56"/>
    <mergeCell ref="BC58:BH58"/>
    <mergeCell ref="Q53:V53"/>
    <mergeCell ref="A53:F53"/>
    <mergeCell ref="AG63:AL63"/>
    <mergeCell ref="Q60:V60"/>
    <mergeCell ref="AG58:AL58"/>
    <mergeCell ref="BC60:BH60"/>
    <mergeCell ref="Q61:V61"/>
    <mergeCell ref="AG59:AL59"/>
    <mergeCell ref="AO59:AT59"/>
    <mergeCell ref="AG60:AL60"/>
    <mergeCell ref="AO60:AP60"/>
    <mergeCell ref="AG61:AL61"/>
    <mergeCell ref="AO61:AP61"/>
    <mergeCell ref="AG62:AL62"/>
  </mergeCells>
  <hyperlinks>
    <hyperlink ref="E3" location="(2)" display="(2)" xr:uid="{4174356B-7CD8-46A8-A893-A011B418CBCD}"/>
    <hyperlink ref="F3" location="(3)" display="(3)" xr:uid="{A34C2A3D-8D16-4D01-897D-52A1F0E68AD6}"/>
    <hyperlink ref="K3" location="(1)" display="(1)" xr:uid="{28BAE3A3-6FF2-48C5-ACB8-B7C6C313EA8B}"/>
    <hyperlink ref="M3" location="(2)" display="(2)" xr:uid="{B5081C13-A80C-4051-B7D5-A9EDBE215502}"/>
    <hyperlink ref="N3" location="(3)" display="(3)" xr:uid="{47B48997-157F-47E8-8ABF-DBD7E2114F2C}"/>
    <hyperlink ref="S3" location="(1)" display="(1)" xr:uid="{0861AEC4-4666-4A26-AC63-E49E35ED12F3}"/>
    <hyperlink ref="U3" location="(2)" display="(2)" xr:uid="{DF364C60-E194-4087-911E-E5A2B105F1A8}"/>
    <hyperlink ref="V3" location="(3)" display="(3)" xr:uid="{C0E3557B-DCF3-4F91-B29E-4ECBB784406B}"/>
    <hyperlink ref="AA3" location="(1)" display="(1)" xr:uid="{E8A0C34D-1747-4179-B452-860154720154}"/>
    <hyperlink ref="AC3" location="(2)" display="(2)" xr:uid="{F83EA0E4-FA9D-49FA-BDAA-351D1AA1D595}"/>
    <hyperlink ref="AD3" location="(3)" display="(3)" xr:uid="{C693E024-A3F8-4E09-BF18-C93EC49FDB57}"/>
    <hyperlink ref="AI3" location="(1)" display="(1)" xr:uid="{42A35C3C-E4FF-416B-AA2C-ED8B74CB5A6F}"/>
    <hyperlink ref="AK3" location="(2)" display="(2)" xr:uid="{3FFF86BB-BF71-426B-B15A-74D4472E816C}"/>
    <hyperlink ref="AL3" location="(3)" display="(3)" xr:uid="{C0DDEF4E-A6C0-47F7-857C-CC0A7E609E4D}"/>
    <hyperlink ref="AQ3" location="(1)" display="(1)" xr:uid="{4D68124D-EBCA-484F-9778-9C32D16EF79F}"/>
    <hyperlink ref="AS3" location="(2)" display="(2)" xr:uid="{EDCB77DF-38C5-4D9E-81D0-1D5ACDB7F69A}"/>
    <hyperlink ref="AT3" location="(3)" display="(3)" xr:uid="{2464F0E3-0600-476D-8530-74553D0C53DE}"/>
    <hyperlink ref="C3" location="(1)" display="(1)" xr:uid="{48C93A4C-08C0-4BC2-8CFB-F52E93653E4F}"/>
  </hyperlinks>
  <pageMargins left="0.7" right="0.7" top="0.75" bottom="0.75" header="0.3" footer="0.3"/>
  <pageSetup scale="1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C19A3-AD2A-4196-B0D2-FE25AEA3F698}">
  <sheetPr>
    <tabColor rgb="FFFFFF00"/>
  </sheetPr>
  <dimension ref="A1:BR158"/>
  <sheetViews>
    <sheetView showGridLines="0" topLeftCell="AT1" zoomScale="90" zoomScaleNormal="90" workbookViewId="0">
      <selection activeCell="N42" sqref="N42"/>
    </sheetView>
  </sheetViews>
  <sheetFormatPr defaultRowHeight="15"/>
  <cols>
    <col min="1" max="1" width="30.7109375" customWidth="1"/>
    <col min="8" max="9" width="6.28515625" customWidth="1"/>
    <col min="10" max="10" width="7.7109375" customWidth="1"/>
    <col min="11" max="11" width="6.7109375" customWidth="1"/>
    <col min="12" max="12" width="22.28515625" customWidth="1"/>
    <col min="13" max="17" width="10.7109375" customWidth="1"/>
    <col min="20" max="20" width="17.5703125" customWidth="1"/>
    <col min="23" max="23" width="24.42578125" customWidth="1"/>
    <col min="24" max="27" width="11.7109375" customWidth="1"/>
    <col min="32" max="32" width="30.140625" customWidth="1"/>
    <col min="33" max="33" width="9.42578125" customWidth="1"/>
    <col min="34" max="43" width="12.7109375" customWidth="1"/>
    <col min="44" max="44" width="10" customWidth="1"/>
    <col min="45" max="45" width="13.5703125" customWidth="1"/>
    <col min="48" max="48" width="32.5703125" customWidth="1"/>
    <col min="49" max="49" width="10.140625" customWidth="1"/>
    <col min="50" max="50" width="9.7109375" customWidth="1"/>
    <col min="51" max="51" width="12.28515625" customWidth="1"/>
    <col min="52" max="52" width="9.140625" customWidth="1"/>
    <col min="53" max="53" width="10.140625" customWidth="1"/>
    <col min="54" max="54" width="9.85546875" customWidth="1"/>
    <col min="55" max="55" width="12.28515625" customWidth="1"/>
    <col min="56" max="56" width="10.5703125" customWidth="1"/>
    <col min="57" max="58" width="10" customWidth="1"/>
    <col min="59" max="59" width="11.42578125" customWidth="1"/>
    <col min="60" max="60" width="11" customWidth="1"/>
    <col min="61" max="61" width="12.28515625" customWidth="1"/>
    <col min="62" max="62" width="11.42578125" customWidth="1"/>
    <col min="63" max="63" width="11.85546875" customWidth="1"/>
    <col min="64" max="64" width="26.5703125" customWidth="1"/>
  </cols>
  <sheetData>
    <row r="1" spans="1:70" ht="17.25" customHeight="1">
      <c r="A1" s="219" t="s">
        <v>2247</v>
      </c>
      <c r="B1" s="202"/>
      <c r="C1" s="202"/>
      <c r="D1" s="202"/>
      <c r="E1" s="202"/>
      <c r="F1" s="202"/>
      <c r="L1" s="2248" t="s">
        <v>2279</v>
      </c>
      <c r="M1" s="2248"/>
      <c r="N1" s="2248"/>
      <c r="O1" s="2248"/>
      <c r="P1" s="2248"/>
      <c r="Q1" s="2248"/>
      <c r="R1" s="2248"/>
      <c r="S1" s="2248"/>
      <c r="T1" s="2248"/>
      <c r="U1" s="1853"/>
      <c r="V1" s="265"/>
      <c r="W1" s="1" t="s">
        <v>2493</v>
      </c>
      <c r="X1" s="2"/>
      <c r="Y1" s="2"/>
      <c r="Z1" s="2"/>
      <c r="AA1" s="2"/>
      <c r="AB1" s="2"/>
      <c r="AF1" s="1" t="s">
        <v>2303</v>
      </c>
      <c r="AG1" s="2"/>
      <c r="AH1" s="2"/>
      <c r="AI1" s="2"/>
      <c r="AJ1" s="2"/>
      <c r="AK1" s="2"/>
      <c r="AL1" s="2"/>
      <c r="AM1" s="2"/>
      <c r="AN1" s="2"/>
      <c r="AO1" s="2"/>
      <c r="AP1" s="2"/>
      <c r="AQ1" s="2"/>
      <c r="AV1" s="1" t="s">
        <v>2380</v>
      </c>
      <c r="AW1" s="3"/>
      <c r="AX1" s="3"/>
      <c r="AY1" s="3"/>
      <c r="AZ1" s="3"/>
      <c r="BA1" s="2"/>
      <c r="BB1" s="2"/>
      <c r="BC1" s="2"/>
      <c r="BD1" s="2"/>
      <c r="BE1" s="2"/>
      <c r="BF1" s="2"/>
      <c r="BG1" s="2"/>
      <c r="BH1" s="2"/>
      <c r="BI1" s="2"/>
      <c r="BL1" s="1" t="s">
        <v>2390</v>
      </c>
      <c r="BM1" s="2"/>
      <c r="BN1" s="2"/>
      <c r="BO1" s="2"/>
      <c r="BP1" s="2"/>
      <c r="BQ1" s="2"/>
      <c r="BR1" s="2"/>
    </row>
    <row r="2" spans="1:70" ht="13.5" customHeight="1">
      <c r="A2" s="202" t="s">
        <v>2248</v>
      </c>
      <c r="B2" s="202"/>
      <c r="C2" s="202"/>
      <c r="D2" s="202"/>
      <c r="E2" s="202"/>
      <c r="F2" s="202"/>
      <c r="L2" s="2249" t="s">
        <v>2280</v>
      </c>
      <c r="M2" s="2249"/>
      <c r="N2" s="2249"/>
      <c r="O2" s="318"/>
      <c r="P2" s="318"/>
      <c r="Q2" s="318"/>
      <c r="R2" s="346"/>
      <c r="S2" s="346"/>
      <c r="T2" s="346"/>
      <c r="U2" s="346"/>
      <c r="V2" s="265"/>
      <c r="W2" s="345" t="s">
        <v>2249</v>
      </c>
      <c r="X2" s="17">
        <v>2023</v>
      </c>
      <c r="Y2" s="17">
        <v>2022</v>
      </c>
      <c r="Z2" s="17">
        <v>2021</v>
      </c>
      <c r="AA2" s="28">
        <v>2020</v>
      </c>
      <c r="AB2" s="2"/>
      <c r="AF2" s="8"/>
      <c r="AG2" s="277"/>
      <c r="AH2" s="2063" t="s">
        <v>2304</v>
      </c>
      <c r="AI2" s="2063"/>
      <c r="AJ2" s="2047" t="s">
        <v>2305</v>
      </c>
      <c r="AK2" s="2047"/>
      <c r="AL2" s="2047" t="s">
        <v>2306</v>
      </c>
      <c r="AM2" s="2047"/>
      <c r="AN2" s="2047" t="s">
        <v>2307</v>
      </c>
      <c r="AO2" s="2047"/>
      <c r="AP2" s="2047" t="s">
        <v>2308</v>
      </c>
      <c r="AQ2" s="2042"/>
      <c r="AV2" s="2254" t="s">
        <v>2332</v>
      </c>
      <c r="AW2" s="2033" t="s">
        <v>2331</v>
      </c>
      <c r="AX2" s="2034"/>
      <c r="AY2" s="2034"/>
      <c r="AZ2" s="2034"/>
      <c r="BA2" s="2034"/>
      <c r="BB2" s="2034"/>
      <c r="BC2" s="2034"/>
      <c r="BD2" s="2034"/>
      <c r="BE2" s="2034"/>
      <c r="BF2" s="2034"/>
      <c r="BG2" s="2034"/>
      <c r="BH2" s="2034"/>
      <c r="BI2" s="2261"/>
      <c r="BL2" s="288" t="s">
        <v>1648</v>
      </c>
      <c r="BM2" s="15">
        <v>2024</v>
      </c>
      <c r="BN2" s="17">
        <v>2023</v>
      </c>
      <c r="BO2" s="28">
        <v>2022</v>
      </c>
      <c r="BP2" s="2"/>
      <c r="BQ2" s="3"/>
      <c r="BR2" s="2"/>
    </row>
    <row r="3" spans="1:70" ht="14.25" customHeight="1">
      <c r="A3" s="340" t="s">
        <v>2249</v>
      </c>
      <c r="B3" s="314">
        <v>2023</v>
      </c>
      <c r="C3" s="314">
        <v>2022</v>
      </c>
      <c r="D3" s="314">
        <v>2021</v>
      </c>
      <c r="E3" s="315">
        <v>2020</v>
      </c>
      <c r="F3" s="202"/>
      <c r="L3" s="2247" t="s">
        <v>2281</v>
      </c>
      <c r="M3" s="2247"/>
      <c r="N3" s="2247"/>
      <c r="O3" s="2247"/>
      <c r="P3" s="202"/>
      <c r="Q3" s="202"/>
      <c r="R3" s="265"/>
      <c r="S3" s="265"/>
      <c r="T3" s="265"/>
      <c r="U3" s="265"/>
      <c r="V3" s="265"/>
      <c r="W3" s="30" t="s">
        <v>129</v>
      </c>
      <c r="X3" s="53">
        <v>39029</v>
      </c>
      <c r="Y3" s="53">
        <v>38764</v>
      </c>
      <c r="Z3" s="53">
        <v>38510</v>
      </c>
      <c r="AA3" s="53">
        <v>39399</v>
      </c>
      <c r="AB3" s="2"/>
      <c r="AF3" s="2"/>
      <c r="AG3" s="232" t="s">
        <v>2309</v>
      </c>
      <c r="AH3" s="113"/>
      <c r="AI3" s="351" t="s">
        <v>2310</v>
      </c>
      <c r="AJ3" s="117"/>
      <c r="AK3" s="302" t="s">
        <v>2310</v>
      </c>
      <c r="AL3" s="117"/>
      <c r="AM3" s="302" t="s">
        <v>2310</v>
      </c>
      <c r="AN3" s="117"/>
      <c r="AO3" s="302" t="s">
        <v>2310</v>
      </c>
      <c r="AP3" s="2"/>
      <c r="AQ3" s="196" t="s">
        <v>2310</v>
      </c>
      <c r="AV3" s="2255"/>
      <c r="AW3" s="2257" t="s">
        <v>129</v>
      </c>
      <c r="AX3" s="2259" t="s">
        <v>2320</v>
      </c>
      <c r="AY3" s="2257" t="s">
        <v>2333</v>
      </c>
      <c r="AZ3" s="2259" t="s">
        <v>2334</v>
      </c>
      <c r="BA3" s="353" t="s">
        <v>2335</v>
      </c>
      <c r="BB3" s="357" t="s">
        <v>2336</v>
      </c>
      <c r="BC3" s="353" t="s">
        <v>2337</v>
      </c>
      <c r="BD3" s="358" t="s">
        <v>2338</v>
      </c>
      <c r="BE3" s="2257" t="s">
        <v>2339</v>
      </c>
      <c r="BF3" s="2257" t="s">
        <v>2340</v>
      </c>
      <c r="BG3" s="353" t="s">
        <v>2341</v>
      </c>
      <c r="BH3" s="357" t="s">
        <v>2342</v>
      </c>
      <c r="BI3" s="2263" t="s">
        <v>2322</v>
      </c>
      <c r="BL3" s="3" t="s">
        <v>129</v>
      </c>
      <c r="BM3" s="22">
        <v>298</v>
      </c>
      <c r="BN3" s="22">
        <v>233</v>
      </c>
      <c r="BO3" s="22">
        <v>246</v>
      </c>
      <c r="BP3" s="2"/>
      <c r="BQ3" s="2"/>
      <c r="BR3" s="2"/>
    </row>
    <row r="4" spans="1:70" ht="15.75" customHeight="1">
      <c r="A4" s="207" t="s">
        <v>129</v>
      </c>
      <c r="B4" s="215">
        <v>63228</v>
      </c>
      <c r="C4" s="215">
        <v>62478</v>
      </c>
      <c r="D4" s="215">
        <v>61360</v>
      </c>
      <c r="E4" s="215">
        <v>71216</v>
      </c>
      <c r="F4" s="202"/>
      <c r="L4" s="334" t="s">
        <v>1648</v>
      </c>
      <c r="M4" s="314">
        <v>2024</v>
      </c>
      <c r="N4" s="314">
        <v>2023</v>
      </c>
      <c r="O4" s="314">
        <v>2022</v>
      </c>
      <c r="P4" s="314">
        <v>2021</v>
      </c>
      <c r="Q4" s="315">
        <v>2020</v>
      </c>
      <c r="R4" s="265"/>
      <c r="S4" s="265"/>
      <c r="T4" s="265"/>
      <c r="U4" s="265"/>
      <c r="V4" s="265"/>
      <c r="W4" s="30" t="s">
        <v>2250</v>
      </c>
      <c r="X4" s="22">
        <v>342</v>
      </c>
      <c r="Y4" s="22">
        <v>341</v>
      </c>
      <c r="Z4" s="22">
        <v>339</v>
      </c>
      <c r="AA4" s="22">
        <v>369</v>
      </c>
      <c r="AB4" s="2"/>
      <c r="AF4" s="10" t="s">
        <v>2311</v>
      </c>
      <c r="AG4" s="192" t="s">
        <v>1936</v>
      </c>
      <c r="AH4" s="349" t="s">
        <v>1665</v>
      </c>
      <c r="AI4" s="352" t="s">
        <v>2312</v>
      </c>
      <c r="AJ4" s="350" t="s">
        <v>1665</v>
      </c>
      <c r="AK4" s="68" t="s">
        <v>2312</v>
      </c>
      <c r="AL4" s="350" t="s">
        <v>1665</v>
      </c>
      <c r="AM4" s="68" t="s">
        <v>2312</v>
      </c>
      <c r="AN4" s="350" t="s">
        <v>1665</v>
      </c>
      <c r="AO4" s="68" t="s">
        <v>2312</v>
      </c>
      <c r="AP4" s="58" t="s">
        <v>1665</v>
      </c>
      <c r="AQ4" s="350" t="s">
        <v>2312</v>
      </c>
      <c r="AV4" s="2256"/>
      <c r="AW4" s="2258"/>
      <c r="AX4" s="2260"/>
      <c r="AY4" s="2258"/>
      <c r="AZ4" s="2260"/>
      <c r="BA4" s="352" t="s">
        <v>2343</v>
      </c>
      <c r="BB4" s="354" t="s">
        <v>2344</v>
      </c>
      <c r="BC4" s="352" t="s">
        <v>2345</v>
      </c>
      <c r="BD4" s="355" t="s">
        <v>2346</v>
      </c>
      <c r="BE4" s="2258"/>
      <c r="BF4" s="2258"/>
      <c r="BG4" s="352" t="s">
        <v>2347</v>
      </c>
      <c r="BH4" s="354" t="s">
        <v>2348</v>
      </c>
      <c r="BI4" s="2264"/>
      <c r="BL4" s="3" t="s">
        <v>2334</v>
      </c>
      <c r="BM4" s="22">
        <v>5</v>
      </c>
      <c r="BN4" s="22">
        <v>7</v>
      </c>
      <c r="BO4" s="22">
        <v>7</v>
      </c>
      <c r="BP4" s="2"/>
      <c r="BQ4" s="2"/>
      <c r="BR4" s="2"/>
    </row>
    <row r="5" spans="1:70" ht="12.75" customHeight="1">
      <c r="A5" s="207" t="s">
        <v>2250</v>
      </c>
      <c r="B5" s="215">
        <v>1185</v>
      </c>
      <c r="C5" s="215">
        <v>1180</v>
      </c>
      <c r="D5" s="215">
        <v>1120</v>
      </c>
      <c r="E5" s="215">
        <v>1357</v>
      </c>
      <c r="F5" s="202"/>
      <c r="L5" s="207" t="s">
        <v>2282</v>
      </c>
      <c r="M5" s="344">
        <v>1503.94</v>
      </c>
      <c r="N5" s="344">
        <v>1497.42</v>
      </c>
      <c r="O5" s="344">
        <v>1491.31</v>
      </c>
      <c r="P5" s="344">
        <v>1484.45</v>
      </c>
      <c r="Q5" s="344">
        <v>1461.05</v>
      </c>
      <c r="R5" s="265"/>
      <c r="S5" s="265"/>
      <c r="T5" s="265"/>
      <c r="U5" s="265"/>
      <c r="V5" s="265"/>
      <c r="W5" s="30" t="s">
        <v>2251</v>
      </c>
      <c r="X5" s="22">
        <v>172</v>
      </c>
      <c r="Y5" s="3"/>
      <c r="Z5" s="3"/>
      <c r="AA5" s="3"/>
      <c r="AB5" s="2"/>
      <c r="AF5" s="2" t="s">
        <v>2313</v>
      </c>
      <c r="AG5" s="2"/>
      <c r="AH5" s="5">
        <v>925</v>
      </c>
      <c r="AI5" s="47">
        <v>368403</v>
      </c>
      <c r="AJ5" s="5">
        <v>753</v>
      </c>
      <c r="AK5" s="47">
        <v>183432</v>
      </c>
      <c r="AL5" s="47">
        <v>1006</v>
      </c>
      <c r="AM5" s="47">
        <v>580110</v>
      </c>
      <c r="AN5" s="5">
        <v>937</v>
      </c>
      <c r="AO5" s="47">
        <v>304616</v>
      </c>
      <c r="AP5" s="5">
        <v>627</v>
      </c>
      <c r="AQ5" s="47">
        <v>453039</v>
      </c>
      <c r="AV5" s="2" t="s">
        <v>129</v>
      </c>
      <c r="AW5" s="47">
        <v>1006</v>
      </c>
      <c r="AX5" s="5">
        <v>407</v>
      </c>
      <c r="AY5" s="5">
        <v>123</v>
      </c>
      <c r="AZ5" s="5">
        <v>55</v>
      </c>
      <c r="BA5" s="5">
        <v>1</v>
      </c>
      <c r="BB5" s="5">
        <v>44</v>
      </c>
      <c r="BC5" s="5">
        <v>146</v>
      </c>
      <c r="BD5" s="5">
        <v>7</v>
      </c>
      <c r="BE5" s="5">
        <v>22</v>
      </c>
      <c r="BF5" s="5">
        <v>13</v>
      </c>
      <c r="BG5" s="5">
        <v>57</v>
      </c>
      <c r="BH5" s="5">
        <v>19</v>
      </c>
      <c r="BI5" s="5">
        <v>112</v>
      </c>
      <c r="BL5" s="3" t="s">
        <v>2333</v>
      </c>
      <c r="BM5" s="22">
        <v>13</v>
      </c>
      <c r="BN5" s="22">
        <v>12</v>
      </c>
      <c r="BO5" s="22">
        <v>17</v>
      </c>
      <c r="BP5" s="2"/>
      <c r="BQ5" s="2"/>
      <c r="BR5" s="2"/>
    </row>
    <row r="6" spans="1:70" ht="12.95" customHeight="1">
      <c r="A6" s="207" t="s">
        <v>2251</v>
      </c>
      <c r="B6" s="205">
        <v>283</v>
      </c>
      <c r="C6" s="207"/>
      <c r="D6" s="207"/>
      <c r="E6" s="207"/>
      <c r="F6" s="202"/>
      <c r="L6" s="207" t="s">
        <v>2283</v>
      </c>
      <c r="M6" s="205">
        <v>723.48</v>
      </c>
      <c r="N6" s="205">
        <v>726.69</v>
      </c>
      <c r="O6" s="205">
        <v>728.64</v>
      </c>
      <c r="P6" s="205">
        <v>729.49</v>
      </c>
      <c r="Q6" s="205">
        <v>720.77</v>
      </c>
      <c r="R6" s="265"/>
      <c r="S6" s="265"/>
      <c r="T6" s="265"/>
      <c r="U6" s="265"/>
      <c r="V6" s="265"/>
      <c r="W6" s="30" t="s">
        <v>2252</v>
      </c>
      <c r="X6" s="22">
        <v>512</v>
      </c>
      <c r="Y6" s="22">
        <v>509</v>
      </c>
      <c r="Z6" s="22">
        <v>488</v>
      </c>
      <c r="AA6" s="22">
        <v>517</v>
      </c>
      <c r="AB6" s="2"/>
      <c r="AF6" s="2" t="s">
        <v>2314</v>
      </c>
      <c r="AG6" s="22" t="s">
        <v>2315</v>
      </c>
      <c r="AH6" s="5">
        <v>12</v>
      </c>
      <c r="AI6" s="47">
        <v>35124</v>
      </c>
      <c r="AJ6" s="5">
        <v>32</v>
      </c>
      <c r="AK6" s="47">
        <v>14929</v>
      </c>
      <c r="AL6" s="5">
        <v>26</v>
      </c>
      <c r="AM6" s="47">
        <v>160271</v>
      </c>
      <c r="AN6" s="22">
        <v>13</v>
      </c>
      <c r="AO6" s="53">
        <v>47761</v>
      </c>
      <c r="AP6" s="22">
        <v>15</v>
      </c>
      <c r="AQ6" s="53">
        <v>123089</v>
      </c>
      <c r="AV6" s="2" t="s">
        <v>2349</v>
      </c>
      <c r="AW6" s="5">
        <v>32</v>
      </c>
      <c r="AX6" s="5">
        <v>1</v>
      </c>
      <c r="AY6" s="5">
        <v>12</v>
      </c>
      <c r="AZ6" s="5">
        <v>1</v>
      </c>
      <c r="BA6" s="5">
        <v>0</v>
      </c>
      <c r="BB6" s="5">
        <v>0</v>
      </c>
      <c r="BC6" s="5">
        <v>5</v>
      </c>
      <c r="BD6" s="5">
        <v>3</v>
      </c>
      <c r="BE6" s="5">
        <v>2</v>
      </c>
      <c r="BF6" s="5">
        <v>2</v>
      </c>
      <c r="BG6" s="5">
        <v>3</v>
      </c>
      <c r="BH6" s="5">
        <v>2</v>
      </c>
      <c r="BI6" s="5">
        <v>1</v>
      </c>
      <c r="BL6" s="3" t="s">
        <v>2391</v>
      </c>
      <c r="BM6" s="22">
        <v>10</v>
      </c>
      <c r="BN6" s="22">
        <v>4</v>
      </c>
      <c r="BO6" s="22">
        <v>2</v>
      </c>
      <c r="BP6" s="2"/>
      <c r="BQ6" s="2"/>
      <c r="BR6" s="2"/>
    </row>
    <row r="7" spans="1:70" ht="12.95" customHeight="1">
      <c r="A7" s="207" t="s">
        <v>2252</v>
      </c>
      <c r="B7" s="215">
        <v>1067</v>
      </c>
      <c r="C7" s="215">
        <v>1030</v>
      </c>
      <c r="D7" s="205">
        <v>895</v>
      </c>
      <c r="E7" s="215">
        <v>1110</v>
      </c>
      <c r="F7" s="202"/>
      <c r="L7" s="207" t="s">
        <v>2284</v>
      </c>
      <c r="M7" s="205">
        <v>780.46</v>
      </c>
      <c r="N7" s="205">
        <v>770.73</v>
      </c>
      <c r="O7" s="205">
        <v>762.67</v>
      </c>
      <c r="P7" s="205">
        <v>754.97</v>
      </c>
      <c r="Q7" s="205">
        <v>740.28</v>
      </c>
      <c r="R7" s="265"/>
      <c r="S7" s="265"/>
      <c r="T7" s="265"/>
      <c r="U7" s="265"/>
      <c r="V7" s="265"/>
      <c r="W7" s="30" t="s">
        <v>2253</v>
      </c>
      <c r="X7" s="53">
        <v>4739</v>
      </c>
      <c r="Y7" s="53">
        <v>6027</v>
      </c>
      <c r="Z7" s="53">
        <v>5960</v>
      </c>
      <c r="AA7" s="53">
        <v>6096</v>
      </c>
      <c r="AB7" s="2"/>
      <c r="AF7" s="2"/>
      <c r="AG7" s="22" t="s">
        <v>2316</v>
      </c>
      <c r="AH7" s="5">
        <v>25</v>
      </c>
      <c r="AI7" s="47">
        <v>3394</v>
      </c>
      <c r="AJ7" s="5">
        <v>25</v>
      </c>
      <c r="AK7" s="47">
        <v>8637</v>
      </c>
      <c r="AL7" s="5">
        <v>42</v>
      </c>
      <c r="AM7" s="47">
        <v>40681</v>
      </c>
      <c r="AN7" s="22">
        <v>39</v>
      </c>
      <c r="AO7" s="53">
        <v>2933</v>
      </c>
      <c r="AP7" s="22">
        <v>22</v>
      </c>
      <c r="AQ7" s="53">
        <v>5370</v>
      </c>
      <c r="AV7" s="2" t="s">
        <v>2381</v>
      </c>
      <c r="AW7" s="5">
        <v>22</v>
      </c>
      <c r="AX7" s="5">
        <v>7</v>
      </c>
      <c r="AY7" s="5">
        <v>1</v>
      </c>
      <c r="AZ7" s="5">
        <v>3</v>
      </c>
      <c r="BA7" s="5">
        <v>0</v>
      </c>
      <c r="BB7" s="5">
        <v>1</v>
      </c>
      <c r="BC7" s="5">
        <v>7</v>
      </c>
      <c r="BD7" s="5">
        <v>0</v>
      </c>
      <c r="BE7" s="5">
        <v>0</v>
      </c>
      <c r="BF7" s="5">
        <v>0</v>
      </c>
      <c r="BG7" s="5">
        <v>0</v>
      </c>
      <c r="BH7" s="5">
        <v>0</v>
      </c>
      <c r="BI7" s="5">
        <v>3</v>
      </c>
      <c r="BL7" s="3" t="s">
        <v>2369</v>
      </c>
      <c r="BM7" s="22">
        <v>3</v>
      </c>
      <c r="BN7" s="22">
        <v>0</v>
      </c>
      <c r="BO7" s="22">
        <v>3</v>
      </c>
      <c r="BP7" s="2"/>
      <c r="BQ7" s="2"/>
      <c r="BR7" s="2"/>
    </row>
    <row r="8" spans="1:70" ht="12.95" customHeight="1">
      <c r="A8" s="207" t="s">
        <v>2253</v>
      </c>
      <c r="B8" s="215">
        <v>6949</v>
      </c>
      <c r="C8" s="215">
        <v>9199</v>
      </c>
      <c r="D8" s="215">
        <v>8934</v>
      </c>
      <c r="E8" s="215">
        <v>10631</v>
      </c>
      <c r="F8" s="202"/>
      <c r="L8" s="207"/>
      <c r="M8" s="207"/>
      <c r="N8" s="207"/>
      <c r="O8" s="207"/>
      <c r="P8" s="207"/>
      <c r="Q8" s="207"/>
      <c r="R8" s="265"/>
      <c r="S8" s="265"/>
      <c r="T8" s="265"/>
      <c r="U8" s="265"/>
      <c r="V8" s="265"/>
      <c r="W8" s="30" t="s">
        <v>2254</v>
      </c>
      <c r="X8" s="22">
        <v>705</v>
      </c>
      <c r="Y8" s="3"/>
      <c r="Z8" s="3"/>
      <c r="AA8" s="3"/>
      <c r="AB8" s="2"/>
      <c r="AF8" s="2"/>
      <c r="AG8" s="22" t="s">
        <v>2317</v>
      </c>
      <c r="AH8" s="5">
        <v>71</v>
      </c>
      <c r="AI8" s="47">
        <v>19748</v>
      </c>
      <c r="AJ8" s="5">
        <v>61</v>
      </c>
      <c r="AK8" s="47">
        <v>11791</v>
      </c>
      <c r="AL8" s="5">
        <v>62</v>
      </c>
      <c r="AM8" s="47">
        <v>38690</v>
      </c>
      <c r="AN8" s="22">
        <v>70</v>
      </c>
      <c r="AO8" s="53">
        <v>25030</v>
      </c>
      <c r="AP8" s="22">
        <v>77</v>
      </c>
      <c r="AQ8" s="53">
        <v>20818</v>
      </c>
      <c r="AV8" s="2" t="s">
        <v>2376</v>
      </c>
      <c r="AW8" s="5">
        <v>18</v>
      </c>
      <c r="AX8" s="5">
        <v>9</v>
      </c>
      <c r="AY8" s="5">
        <v>2</v>
      </c>
      <c r="AZ8" s="5">
        <v>1</v>
      </c>
      <c r="BA8" s="5">
        <v>0</v>
      </c>
      <c r="BB8" s="5">
        <v>2</v>
      </c>
      <c r="BC8" s="5">
        <v>1</v>
      </c>
      <c r="BD8" s="5">
        <v>0</v>
      </c>
      <c r="BE8" s="5">
        <v>0</v>
      </c>
      <c r="BF8" s="5">
        <v>0</v>
      </c>
      <c r="BG8" s="5">
        <v>1</v>
      </c>
      <c r="BH8" s="5">
        <v>0</v>
      </c>
      <c r="BI8" s="5">
        <v>2</v>
      </c>
      <c r="BL8" s="3" t="s">
        <v>2370</v>
      </c>
      <c r="BM8" s="22">
        <v>1</v>
      </c>
      <c r="BN8" s="22">
        <v>0</v>
      </c>
      <c r="BO8" s="22">
        <v>4</v>
      </c>
      <c r="BP8" s="2"/>
      <c r="BQ8" s="2"/>
      <c r="BR8" s="2"/>
    </row>
    <row r="9" spans="1:70" ht="12.95" customHeight="1">
      <c r="A9" s="207" t="s">
        <v>2254</v>
      </c>
      <c r="B9" s="215">
        <v>1570</v>
      </c>
      <c r="C9" s="207"/>
      <c r="D9" s="207"/>
      <c r="E9" s="207"/>
      <c r="F9" s="202"/>
      <c r="L9" s="207" t="s">
        <v>2285</v>
      </c>
      <c r="M9" s="344">
        <v>1671.04</v>
      </c>
      <c r="N9" s="344">
        <v>1663.8</v>
      </c>
      <c r="O9" s="344">
        <v>1657.01</v>
      </c>
      <c r="P9" s="344">
        <v>1649.39</v>
      </c>
      <c r="Q9" s="344">
        <v>1623.39</v>
      </c>
      <c r="R9" s="265"/>
      <c r="S9" s="265"/>
      <c r="T9" s="265"/>
      <c r="U9" s="265"/>
      <c r="V9" s="265"/>
      <c r="W9" s="30" t="s">
        <v>2177</v>
      </c>
      <c r="X9" s="53">
        <v>14291</v>
      </c>
      <c r="Y9" s="53">
        <v>15220</v>
      </c>
      <c r="Z9" s="53">
        <v>15130</v>
      </c>
      <c r="AA9" s="53">
        <v>15431</v>
      </c>
      <c r="AB9" s="2"/>
      <c r="AF9" s="2" t="s">
        <v>2318</v>
      </c>
      <c r="AG9" s="22" t="s">
        <v>2315</v>
      </c>
      <c r="AH9" s="5">
        <v>0</v>
      </c>
      <c r="AI9" s="5">
        <v>0</v>
      </c>
      <c r="AJ9" s="5">
        <v>0</v>
      </c>
      <c r="AK9" s="5">
        <v>0</v>
      </c>
      <c r="AL9" s="5">
        <v>0</v>
      </c>
      <c r="AM9" s="5">
        <v>0</v>
      </c>
      <c r="AN9" s="22">
        <v>0</v>
      </c>
      <c r="AO9" s="22">
        <v>0</v>
      </c>
      <c r="AP9" s="22">
        <v>0</v>
      </c>
      <c r="AQ9" s="22">
        <v>0</v>
      </c>
      <c r="AV9" s="2" t="s">
        <v>2253</v>
      </c>
      <c r="AW9" s="5">
        <v>67</v>
      </c>
      <c r="AX9" s="5">
        <v>28</v>
      </c>
      <c r="AY9" s="5">
        <v>11</v>
      </c>
      <c r="AZ9" s="5">
        <v>4</v>
      </c>
      <c r="BA9" s="5">
        <v>0</v>
      </c>
      <c r="BB9" s="5">
        <v>2</v>
      </c>
      <c r="BC9" s="5">
        <v>9</v>
      </c>
      <c r="BD9" s="5">
        <v>0</v>
      </c>
      <c r="BE9" s="5">
        <v>1</v>
      </c>
      <c r="BF9" s="5">
        <v>1</v>
      </c>
      <c r="BG9" s="5">
        <v>3</v>
      </c>
      <c r="BH9" s="5">
        <v>1</v>
      </c>
      <c r="BI9" s="5">
        <v>7</v>
      </c>
      <c r="BL9" s="3" t="s">
        <v>2320</v>
      </c>
      <c r="BM9" s="22">
        <v>191</v>
      </c>
      <c r="BN9" s="22">
        <v>165</v>
      </c>
      <c r="BO9" s="22">
        <v>181</v>
      </c>
      <c r="BP9" s="2"/>
      <c r="BQ9" s="2"/>
      <c r="BR9" s="2"/>
    </row>
    <row r="10" spans="1:70" ht="12.95" customHeight="1">
      <c r="A10" s="207" t="s">
        <v>2177</v>
      </c>
      <c r="B10" s="215">
        <v>17795</v>
      </c>
      <c r="C10" s="215">
        <v>18740</v>
      </c>
      <c r="D10" s="215">
        <v>18335</v>
      </c>
      <c r="E10" s="215">
        <v>21940</v>
      </c>
      <c r="F10" s="202"/>
      <c r="L10" s="207" t="s">
        <v>2283</v>
      </c>
      <c r="M10" s="205">
        <v>803.86</v>
      </c>
      <c r="N10" s="205">
        <v>807.43</v>
      </c>
      <c r="O10" s="205">
        <v>809.6</v>
      </c>
      <c r="P10" s="205">
        <v>810.54</v>
      </c>
      <c r="Q10" s="205">
        <v>800.85</v>
      </c>
      <c r="R10" s="265"/>
      <c r="S10" s="265"/>
      <c r="T10" s="265"/>
      <c r="U10" s="265"/>
      <c r="V10" s="265"/>
      <c r="W10" s="30" t="s">
        <v>2255</v>
      </c>
      <c r="X10" s="53">
        <v>1641</v>
      </c>
      <c r="Y10" s="53">
        <v>1643</v>
      </c>
      <c r="Z10" s="53">
        <v>1643</v>
      </c>
      <c r="AA10" s="53">
        <v>1716</v>
      </c>
      <c r="AB10" s="2"/>
      <c r="AF10" s="2"/>
      <c r="AG10" s="22" t="s">
        <v>2316</v>
      </c>
      <c r="AH10" s="5">
        <v>0</v>
      </c>
      <c r="AI10" s="5">
        <v>0</v>
      </c>
      <c r="AJ10" s="5">
        <v>0</v>
      </c>
      <c r="AK10" s="5">
        <v>0</v>
      </c>
      <c r="AL10" s="5">
        <v>0</v>
      </c>
      <c r="AM10" s="5">
        <v>0</v>
      </c>
      <c r="AN10" s="5">
        <v>0</v>
      </c>
      <c r="AO10" s="5">
        <v>0</v>
      </c>
      <c r="AP10" s="5">
        <v>1</v>
      </c>
      <c r="AQ10" s="5">
        <v>0</v>
      </c>
      <c r="AV10" s="2" t="s">
        <v>2352</v>
      </c>
      <c r="AW10" s="5">
        <v>68</v>
      </c>
      <c r="AX10" s="5">
        <v>41</v>
      </c>
      <c r="AY10" s="5">
        <v>1</v>
      </c>
      <c r="AZ10" s="5">
        <v>1</v>
      </c>
      <c r="BA10" s="5">
        <v>0</v>
      </c>
      <c r="BB10" s="5">
        <v>1</v>
      </c>
      <c r="BC10" s="5">
        <v>10</v>
      </c>
      <c r="BD10" s="5">
        <v>0</v>
      </c>
      <c r="BE10" s="5">
        <v>0</v>
      </c>
      <c r="BF10" s="5">
        <v>1</v>
      </c>
      <c r="BG10" s="5">
        <v>4</v>
      </c>
      <c r="BH10" s="5">
        <v>1</v>
      </c>
      <c r="BI10" s="5">
        <v>8</v>
      </c>
      <c r="BL10" s="3" t="s">
        <v>2392</v>
      </c>
      <c r="BM10" s="22">
        <v>1</v>
      </c>
      <c r="BN10" s="22">
        <v>1</v>
      </c>
      <c r="BO10" s="22">
        <v>1</v>
      </c>
      <c r="BP10" s="2"/>
      <c r="BQ10" s="2"/>
      <c r="BR10" s="2"/>
    </row>
    <row r="11" spans="1:70" ht="12.95" customHeight="1">
      <c r="A11" s="207" t="s">
        <v>2255</v>
      </c>
      <c r="B11" s="215">
        <v>3009</v>
      </c>
      <c r="C11" s="215">
        <v>2956</v>
      </c>
      <c r="D11" s="215">
        <v>2873</v>
      </c>
      <c r="E11" s="215">
        <v>3248</v>
      </c>
      <c r="F11" s="202"/>
      <c r="L11" s="207" t="s">
        <v>2284</v>
      </c>
      <c r="M11" s="205">
        <v>867.18</v>
      </c>
      <c r="N11" s="205">
        <v>856.37</v>
      </c>
      <c r="O11" s="205">
        <v>847.41</v>
      </c>
      <c r="P11" s="205">
        <v>838.85</v>
      </c>
      <c r="Q11" s="205">
        <v>822.53</v>
      </c>
      <c r="R11" s="265"/>
      <c r="S11" s="265"/>
      <c r="T11" s="265"/>
      <c r="U11" s="265"/>
      <c r="V11" s="265"/>
      <c r="W11" s="30" t="s">
        <v>2256</v>
      </c>
      <c r="X11" s="22">
        <v>145</v>
      </c>
      <c r="Y11" s="22">
        <v>145</v>
      </c>
      <c r="Z11" s="22">
        <v>145</v>
      </c>
      <c r="AA11" s="22">
        <v>156</v>
      </c>
      <c r="AB11" s="2"/>
      <c r="AF11" s="2"/>
      <c r="AG11" s="22" t="s">
        <v>2317</v>
      </c>
      <c r="AH11" s="5">
        <v>0</v>
      </c>
      <c r="AI11" s="5">
        <v>0</v>
      </c>
      <c r="AJ11" s="5">
        <v>0</v>
      </c>
      <c r="AK11" s="5">
        <v>0</v>
      </c>
      <c r="AL11" s="5">
        <v>0</v>
      </c>
      <c r="AM11" s="5">
        <v>0</v>
      </c>
      <c r="AN11" s="5">
        <v>0</v>
      </c>
      <c r="AO11" s="5">
        <v>0</v>
      </c>
      <c r="AP11" s="5">
        <v>0</v>
      </c>
      <c r="AQ11" s="5">
        <v>0</v>
      </c>
      <c r="AV11" s="2" t="s">
        <v>2177</v>
      </c>
      <c r="AW11" s="5">
        <v>190</v>
      </c>
      <c r="AX11" s="5">
        <v>70</v>
      </c>
      <c r="AY11" s="5">
        <v>23</v>
      </c>
      <c r="AZ11" s="5">
        <v>10</v>
      </c>
      <c r="BA11" s="5">
        <v>0</v>
      </c>
      <c r="BB11" s="5">
        <v>13</v>
      </c>
      <c r="BC11" s="5">
        <v>26</v>
      </c>
      <c r="BD11" s="5">
        <v>1</v>
      </c>
      <c r="BE11" s="5">
        <v>2</v>
      </c>
      <c r="BF11" s="5">
        <v>2</v>
      </c>
      <c r="BG11" s="5">
        <v>20</v>
      </c>
      <c r="BH11" s="5">
        <v>5</v>
      </c>
      <c r="BI11" s="5">
        <v>18</v>
      </c>
      <c r="BL11" s="3" t="s">
        <v>2393</v>
      </c>
      <c r="BM11" s="22">
        <v>0</v>
      </c>
      <c r="BN11" s="22">
        <v>0</v>
      </c>
      <c r="BO11" s="22">
        <v>0</v>
      </c>
      <c r="BP11" s="2"/>
      <c r="BQ11" s="2"/>
      <c r="BR11" s="2"/>
    </row>
    <row r="12" spans="1:70" ht="12.95" customHeight="1">
      <c r="A12" s="207" t="s">
        <v>2256</v>
      </c>
      <c r="B12" s="205">
        <v>402</v>
      </c>
      <c r="C12" s="205">
        <v>658</v>
      </c>
      <c r="D12" s="205">
        <v>655</v>
      </c>
      <c r="E12" s="205">
        <v>694</v>
      </c>
      <c r="F12" s="202"/>
      <c r="L12" s="207"/>
      <c r="M12" s="207"/>
      <c r="N12" s="207"/>
      <c r="O12" s="207"/>
      <c r="P12" s="207"/>
      <c r="Q12" s="207"/>
      <c r="R12" s="265"/>
      <c r="S12" s="265"/>
      <c r="T12" s="265"/>
      <c r="U12" s="265"/>
      <c r="V12" s="265"/>
      <c r="W12" s="30" t="s">
        <v>2294</v>
      </c>
      <c r="X12" s="22">
        <v>647</v>
      </c>
      <c r="Y12" s="22">
        <v>641</v>
      </c>
      <c r="Z12" s="22">
        <v>642</v>
      </c>
      <c r="AA12" s="22">
        <v>680</v>
      </c>
      <c r="AB12" s="2"/>
      <c r="AF12" s="2" t="s">
        <v>2319</v>
      </c>
      <c r="AG12" s="22" t="s">
        <v>2315</v>
      </c>
      <c r="AH12" s="5">
        <v>41</v>
      </c>
      <c r="AI12" s="47">
        <v>58304</v>
      </c>
      <c r="AJ12" s="5">
        <v>29</v>
      </c>
      <c r="AK12" s="5">
        <v>220</v>
      </c>
      <c r="AL12" s="5">
        <v>45</v>
      </c>
      <c r="AM12" s="47">
        <v>127533</v>
      </c>
      <c r="AN12" s="5">
        <v>35</v>
      </c>
      <c r="AO12" s="53">
        <v>17817</v>
      </c>
      <c r="AP12" s="5">
        <v>1</v>
      </c>
      <c r="AQ12" s="5">
        <v>806</v>
      </c>
      <c r="AV12" s="2" t="s">
        <v>2276</v>
      </c>
      <c r="AW12" s="5">
        <v>10</v>
      </c>
      <c r="AX12" s="5">
        <v>4</v>
      </c>
      <c r="AY12" s="5">
        <v>0</v>
      </c>
      <c r="AZ12" s="5">
        <v>1</v>
      </c>
      <c r="BA12" s="5">
        <v>0</v>
      </c>
      <c r="BB12" s="5">
        <v>0</v>
      </c>
      <c r="BC12" s="5">
        <v>3</v>
      </c>
      <c r="BD12" s="5">
        <v>0</v>
      </c>
      <c r="BE12" s="5">
        <v>0</v>
      </c>
      <c r="BF12" s="5">
        <v>0</v>
      </c>
      <c r="BG12" s="5">
        <v>1</v>
      </c>
      <c r="BH12" s="5">
        <v>0</v>
      </c>
      <c r="BI12" s="5">
        <v>1</v>
      </c>
      <c r="BL12" s="3" t="s">
        <v>2394</v>
      </c>
      <c r="BM12" s="22">
        <v>0</v>
      </c>
      <c r="BN12" s="22">
        <v>0</v>
      </c>
      <c r="BO12" s="22">
        <v>0</v>
      </c>
      <c r="BP12" s="2"/>
      <c r="BQ12" s="2"/>
      <c r="BR12" s="2"/>
    </row>
    <row r="13" spans="1:70" ht="12.95" customHeight="1">
      <c r="A13" s="207" t="s">
        <v>2257</v>
      </c>
      <c r="B13" s="215">
        <v>2226</v>
      </c>
      <c r="C13" s="215">
        <v>2265</v>
      </c>
      <c r="D13" s="215">
        <v>2503</v>
      </c>
      <c r="E13" s="215">
        <v>2499</v>
      </c>
      <c r="F13" s="202"/>
      <c r="L13" s="207" t="s">
        <v>2286</v>
      </c>
      <c r="M13" s="205">
        <v>3.7389999999999999</v>
      </c>
      <c r="N13" s="205">
        <v>3.7040000000000002</v>
      </c>
      <c r="O13" s="205">
        <v>3.87</v>
      </c>
      <c r="P13" s="205">
        <v>3.8530000000000002</v>
      </c>
      <c r="Q13" s="205">
        <v>3.7989999999999999</v>
      </c>
      <c r="R13" s="265"/>
      <c r="S13" s="265"/>
      <c r="T13" s="265"/>
      <c r="U13" s="265"/>
      <c r="V13" s="265"/>
      <c r="W13" s="30" t="s">
        <v>2258</v>
      </c>
      <c r="X13" s="3"/>
      <c r="Y13" s="22">
        <v>695</v>
      </c>
      <c r="Z13" s="22">
        <v>700</v>
      </c>
      <c r="AA13" s="22">
        <v>706</v>
      </c>
      <c r="AB13" s="2"/>
      <c r="AF13" s="2"/>
      <c r="AG13" s="22" t="s">
        <v>2316</v>
      </c>
      <c r="AH13" s="5">
        <v>0</v>
      </c>
      <c r="AI13" s="5">
        <v>0</v>
      </c>
      <c r="AJ13" s="5">
        <v>0</v>
      </c>
      <c r="AK13" s="5">
        <v>0</v>
      </c>
      <c r="AL13" s="5">
        <v>0</v>
      </c>
      <c r="AM13" s="5">
        <v>0</v>
      </c>
      <c r="AN13" s="5">
        <v>0</v>
      </c>
      <c r="AO13" s="5">
        <v>0</v>
      </c>
      <c r="AP13" s="5">
        <v>0</v>
      </c>
      <c r="AQ13" s="5">
        <v>0</v>
      </c>
      <c r="AV13" s="2" t="s">
        <v>2185</v>
      </c>
      <c r="AW13" s="5">
        <v>126</v>
      </c>
      <c r="AX13" s="5">
        <v>47</v>
      </c>
      <c r="AY13" s="5">
        <v>6</v>
      </c>
      <c r="AZ13" s="5">
        <v>6</v>
      </c>
      <c r="BA13" s="5">
        <v>0</v>
      </c>
      <c r="BB13" s="5">
        <v>12</v>
      </c>
      <c r="BC13" s="5">
        <v>21</v>
      </c>
      <c r="BD13" s="5">
        <v>0</v>
      </c>
      <c r="BE13" s="5">
        <v>1</v>
      </c>
      <c r="BF13" s="5">
        <v>1</v>
      </c>
      <c r="BG13" s="5">
        <v>9</v>
      </c>
      <c r="BH13" s="5">
        <v>0</v>
      </c>
      <c r="BI13" s="5">
        <v>23</v>
      </c>
      <c r="BL13" s="3" t="s">
        <v>2395</v>
      </c>
      <c r="BM13" s="22">
        <v>18</v>
      </c>
      <c r="BN13" s="22">
        <v>4</v>
      </c>
      <c r="BO13" s="22">
        <v>2</v>
      </c>
      <c r="BP13" s="2"/>
      <c r="BQ13" s="2"/>
      <c r="BR13" s="2"/>
    </row>
    <row r="14" spans="1:70" ht="12.95" customHeight="1">
      <c r="A14" s="207" t="s">
        <v>2185</v>
      </c>
      <c r="B14" s="215">
        <v>2434</v>
      </c>
      <c r="C14" s="207"/>
      <c r="D14" s="207"/>
      <c r="E14" s="207"/>
      <c r="F14" s="202"/>
      <c r="L14" s="207" t="s">
        <v>2283</v>
      </c>
      <c r="M14" s="205">
        <v>0.70299999999999996</v>
      </c>
      <c r="N14" s="205">
        <v>0.70699999999999996</v>
      </c>
      <c r="O14" s="205">
        <v>0.55000000000000004</v>
      </c>
      <c r="P14" s="205">
        <v>0.55000000000000004</v>
      </c>
      <c r="Q14" s="205">
        <v>0.57399999999999995</v>
      </c>
      <c r="R14" s="265"/>
      <c r="S14" s="265"/>
      <c r="T14" s="265"/>
      <c r="U14" s="265"/>
      <c r="V14" s="265"/>
      <c r="W14" s="30" t="s">
        <v>2185</v>
      </c>
      <c r="X14" s="53">
        <v>1341</v>
      </c>
      <c r="Y14" s="3"/>
      <c r="Z14" s="3"/>
      <c r="AA14" s="3"/>
      <c r="AB14" s="2"/>
      <c r="AF14" s="2"/>
      <c r="AG14" s="22" t="s">
        <v>2317</v>
      </c>
      <c r="AH14" s="5">
        <v>0</v>
      </c>
      <c r="AI14" s="5">
        <v>0</v>
      </c>
      <c r="AJ14" s="5">
        <v>0</v>
      </c>
      <c r="AK14" s="5">
        <v>0</v>
      </c>
      <c r="AL14" s="5">
        <v>0</v>
      </c>
      <c r="AM14" s="5">
        <v>0</v>
      </c>
      <c r="AN14" s="5">
        <v>0</v>
      </c>
      <c r="AO14" s="5">
        <v>0</v>
      </c>
      <c r="AP14" s="5">
        <v>0</v>
      </c>
      <c r="AQ14" s="5">
        <v>0</v>
      </c>
      <c r="AV14" s="2" t="s">
        <v>2353</v>
      </c>
      <c r="AW14" s="5">
        <v>5</v>
      </c>
      <c r="AX14" s="5">
        <v>1</v>
      </c>
      <c r="AY14" s="5">
        <v>2</v>
      </c>
      <c r="AZ14" s="5">
        <v>0</v>
      </c>
      <c r="BA14" s="5">
        <v>0</v>
      </c>
      <c r="BB14" s="5">
        <v>2</v>
      </c>
      <c r="BC14" s="5">
        <v>0</v>
      </c>
      <c r="BD14" s="5">
        <v>0</v>
      </c>
      <c r="BE14" s="5">
        <v>0</v>
      </c>
      <c r="BF14" s="5">
        <v>0</v>
      </c>
      <c r="BG14" s="5">
        <v>0</v>
      </c>
      <c r="BH14" s="5">
        <v>0</v>
      </c>
      <c r="BI14" s="5">
        <v>0</v>
      </c>
      <c r="BL14" s="3" t="s">
        <v>2396</v>
      </c>
      <c r="BM14" s="22">
        <v>29</v>
      </c>
      <c r="BN14" s="22">
        <v>23</v>
      </c>
      <c r="BO14" s="22">
        <v>15</v>
      </c>
      <c r="BP14" s="2"/>
      <c r="BQ14" s="2"/>
      <c r="BR14" s="2"/>
    </row>
    <row r="15" spans="1:70" ht="12.95" customHeight="1">
      <c r="A15" s="207" t="s">
        <v>2258</v>
      </c>
      <c r="B15" s="207"/>
      <c r="C15" s="215">
        <v>1018</v>
      </c>
      <c r="D15" s="215">
        <v>1023</v>
      </c>
      <c r="E15" s="215">
        <v>1227</v>
      </c>
      <c r="F15" s="202"/>
      <c r="L15" s="212" t="s">
        <v>2284</v>
      </c>
      <c r="M15" s="214">
        <v>3.0350000000000001</v>
      </c>
      <c r="N15" s="214">
        <v>2.9969999999999999</v>
      </c>
      <c r="O15" s="214">
        <v>3.32</v>
      </c>
      <c r="P15" s="214">
        <v>3.3029999999999999</v>
      </c>
      <c r="Q15" s="214">
        <v>3.226</v>
      </c>
      <c r="R15" s="265"/>
      <c r="S15" s="265"/>
      <c r="T15" s="265"/>
      <c r="U15" s="265"/>
      <c r="V15" s="265"/>
      <c r="W15" s="30" t="s">
        <v>2259</v>
      </c>
      <c r="X15" s="22">
        <v>396</v>
      </c>
      <c r="Y15" s="22">
        <v>395</v>
      </c>
      <c r="Z15" s="22">
        <v>395</v>
      </c>
      <c r="AA15" s="22">
        <v>421</v>
      </c>
      <c r="AB15" s="2"/>
      <c r="AF15" s="2" t="s">
        <v>2320</v>
      </c>
      <c r="AG15" s="22" t="s">
        <v>2315</v>
      </c>
      <c r="AH15" s="5">
        <v>197</v>
      </c>
      <c r="AI15" s="47">
        <v>62599</v>
      </c>
      <c r="AJ15" s="5">
        <v>159</v>
      </c>
      <c r="AK15" s="47">
        <v>88854</v>
      </c>
      <c r="AL15" s="5">
        <v>293</v>
      </c>
      <c r="AM15" s="47">
        <v>93182</v>
      </c>
      <c r="AN15" s="22">
        <v>294</v>
      </c>
      <c r="AO15" s="53">
        <v>89181</v>
      </c>
      <c r="AP15" s="22">
        <v>124</v>
      </c>
      <c r="AQ15" s="53">
        <v>31479</v>
      </c>
      <c r="AV15" s="2" t="s">
        <v>2377</v>
      </c>
      <c r="AW15" s="5">
        <v>22</v>
      </c>
      <c r="AX15" s="5">
        <v>4</v>
      </c>
      <c r="AY15" s="5">
        <v>3</v>
      </c>
      <c r="AZ15" s="5">
        <v>4</v>
      </c>
      <c r="BA15" s="5">
        <v>0</v>
      </c>
      <c r="BB15" s="5">
        <v>1</v>
      </c>
      <c r="BC15" s="5">
        <v>8</v>
      </c>
      <c r="BD15" s="5">
        <v>0</v>
      </c>
      <c r="BE15" s="5">
        <v>0</v>
      </c>
      <c r="BF15" s="5">
        <v>0</v>
      </c>
      <c r="BG15" s="5">
        <v>1</v>
      </c>
      <c r="BH15" s="5">
        <v>0</v>
      </c>
      <c r="BI15" s="5">
        <v>1</v>
      </c>
      <c r="BL15" s="3" t="s">
        <v>2397</v>
      </c>
      <c r="BM15" s="22">
        <v>1</v>
      </c>
      <c r="BN15" s="22">
        <v>0</v>
      </c>
      <c r="BO15" s="22">
        <v>1</v>
      </c>
      <c r="BP15" s="2"/>
      <c r="BQ15" s="2"/>
      <c r="BR15" s="2"/>
    </row>
    <row r="16" spans="1:70" s="91" customFormat="1" ht="12.95" customHeight="1">
      <c r="A16" s="207" t="s">
        <v>2259</v>
      </c>
      <c r="B16" s="215">
        <v>1290</v>
      </c>
      <c r="C16" s="215">
        <v>1304</v>
      </c>
      <c r="D16" s="215">
        <v>1284</v>
      </c>
      <c r="E16" s="215">
        <v>1446</v>
      </c>
      <c r="F16" s="207"/>
      <c r="L16" s="2250" t="s">
        <v>2265</v>
      </c>
      <c r="M16" s="2250"/>
      <c r="N16" s="2250"/>
      <c r="O16" s="2250"/>
      <c r="P16" s="2250"/>
      <c r="Q16" s="2250"/>
      <c r="R16" s="2250"/>
      <c r="S16" s="2250"/>
      <c r="T16" s="2250"/>
      <c r="U16" s="13"/>
      <c r="V16" s="13"/>
      <c r="W16" s="30" t="s">
        <v>2260</v>
      </c>
      <c r="X16" s="22">
        <v>393</v>
      </c>
      <c r="Y16" s="3"/>
      <c r="Z16" s="3"/>
      <c r="AA16" s="3"/>
      <c r="AB16" s="2"/>
      <c r="AF16" s="2"/>
      <c r="AG16" s="22" t="s">
        <v>2316</v>
      </c>
      <c r="AH16" s="5">
        <v>110</v>
      </c>
      <c r="AI16" s="47">
        <v>11518</v>
      </c>
      <c r="AJ16" s="5">
        <v>56</v>
      </c>
      <c r="AK16" s="47">
        <v>4357</v>
      </c>
      <c r="AL16" s="5">
        <v>75</v>
      </c>
      <c r="AM16" s="47">
        <v>5115</v>
      </c>
      <c r="AN16" s="22">
        <v>116</v>
      </c>
      <c r="AO16" s="53">
        <v>6755</v>
      </c>
      <c r="AP16" s="22">
        <v>47</v>
      </c>
      <c r="AQ16" s="53">
        <v>3370</v>
      </c>
      <c r="AV16" s="2" t="s">
        <v>2195</v>
      </c>
      <c r="AW16" s="5">
        <v>17</v>
      </c>
      <c r="AX16" s="5">
        <v>1</v>
      </c>
      <c r="AY16" s="5">
        <v>2</v>
      </c>
      <c r="AZ16" s="5">
        <v>5</v>
      </c>
      <c r="BA16" s="5">
        <v>0</v>
      </c>
      <c r="BB16" s="5">
        <v>0</v>
      </c>
      <c r="BC16" s="5">
        <v>4</v>
      </c>
      <c r="BD16" s="5">
        <v>0</v>
      </c>
      <c r="BE16" s="5">
        <v>0</v>
      </c>
      <c r="BF16" s="5">
        <v>1</v>
      </c>
      <c r="BG16" s="5">
        <v>0</v>
      </c>
      <c r="BH16" s="5">
        <v>3</v>
      </c>
      <c r="BI16" s="5">
        <v>1</v>
      </c>
      <c r="BL16" s="3" t="s">
        <v>2398</v>
      </c>
      <c r="BM16" s="22">
        <v>2</v>
      </c>
      <c r="BN16" s="22">
        <v>2</v>
      </c>
      <c r="BO16" s="22">
        <v>0</v>
      </c>
      <c r="BP16" s="2"/>
      <c r="BQ16" s="2"/>
      <c r="BR16" s="2"/>
    </row>
    <row r="17" spans="1:70" ht="12.95" customHeight="1">
      <c r="A17" s="207" t="s">
        <v>2260</v>
      </c>
      <c r="B17" s="205">
        <v>574</v>
      </c>
      <c r="C17" s="207"/>
      <c r="D17" s="207"/>
      <c r="E17" s="207"/>
      <c r="F17" s="202"/>
      <c r="L17" s="2045" t="s">
        <v>2287</v>
      </c>
      <c r="M17" s="2045"/>
      <c r="N17" s="2045"/>
      <c r="O17" s="2045"/>
      <c r="P17" s="2045"/>
      <c r="Q17" s="2045"/>
      <c r="R17" s="2045"/>
      <c r="S17" s="2045"/>
      <c r="T17" s="2045"/>
      <c r="U17" s="116"/>
      <c r="V17" s="116"/>
      <c r="W17" s="30" t="s">
        <v>2195</v>
      </c>
      <c r="X17" s="22">
        <v>530</v>
      </c>
      <c r="Y17" s="22">
        <v>529</v>
      </c>
      <c r="Z17" s="22">
        <v>528</v>
      </c>
      <c r="AA17" s="22">
        <v>541</v>
      </c>
      <c r="AB17" s="2"/>
      <c r="AF17" s="2"/>
      <c r="AG17" s="22" t="s">
        <v>2317</v>
      </c>
      <c r="AH17" s="5">
        <v>74</v>
      </c>
      <c r="AI17" s="47">
        <v>7327</v>
      </c>
      <c r="AJ17" s="5">
        <v>25</v>
      </c>
      <c r="AK17" s="47">
        <v>2094</v>
      </c>
      <c r="AL17" s="5">
        <v>39</v>
      </c>
      <c r="AM17" s="47">
        <v>1752</v>
      </c>
      <c r="AN17" s="22">
        <v>33</v>
      </c>
      <c r="AO17" s="53">
        <v>2689</v>
      </c>
      <c r="AP17" s="22">
        <v>38</v>
      </c>
      <c r="AQ17" s="53">
        <v>2330</v>
      </c>
      <c r="AV17" s="2" t="s">
        <v>2198</v>
      </c>
      <c r="AW17" s="5">
        <v>26</v>
      </c>
      <c r="AX17" s="5">
        <v>13</v>
      </c>
      <c r="AY17" s="5">
        <v>1</v>
      </c>
      <c r="AZ17" s="5">
        <v>3</v>
      </c>
      <c r="BA17" s="5">
        <v>0</v>
      </c>
      <c r="BB17" s="5">
        <v>0</v>
      </c>
      <c r="BC17" s="5">
        <v>4</v>
      </c>
      <c r="BD17" s="5">
        <v>0</v>
      </c>
      <c r="BE17" s="5">
        <v>0</v>
      </c>
      <c r="BF17" s="5">
        <v>1</v>
      </c>
      <c r="BG17" s="5">
        <v>0</v>
      </c>
      <c r="BH17" s="5">
        <v>0</v>
      </c>
      <c r="BI17" s="5">
        <v>4</v>
      </c>
      <c r="BL17" s="3" t="s">
        <v>2399</v>
      </c>
      <c r="BM17" s="22">
        <v>6</v>
      </c>
      <c r="BN17" s="22">
        <v>5</v>
      </c>
      <c r="BO17" s="22">
        <v>3</v>
      </c>
      <c r="BP17" s="2"/>
      <c r="BQ17" s="2"/>
      <c r="BR17" s="2"/>
    </row>
    <row r="18" spans="1:70" ht="12.95" customHeight="1">
      <c r="A18" s="207" t="s">
        <v>2195</v>
      </c>
      <c r="B18" s="215">
        <v>1107</v>
      </c>
      <c r="C18" s="205">
        <v>93</v>
      </c>
      <c r="D18" s="215">
        <v>1097</v>
      </c>
      <c r="E18" s="215">
        <v>1227</v>
      </c>
      <c r="F18" s="202"/>
      <c r="L18" s="2250" t="s">
        <v>2288</v>
      </c>
      <c r="M18" s="2250"/>
      <c r="N18" s="2250"/>
      <c r="O18" s="2250"/>
      <c r="P18" s="2250"/>
      <c r="Q18" s="2250"/>
      <c r="R18" s="2250"/>
      <c r="S18" s="2250"/>
      <c r="T18" s="2250"/>
      <c r="U18" s="116"/>
      <c r="V18" s="116"/>
      <c r="W18" s="30" t="s">
        <v>2198</v>
      </c>
      <c r="X18" s="22">
        <v>458</v>
      </c>
      <c r="Y18" s="22">
        <v>449</v>
      </c>
      <c r="Z18" s="22">
        <v>440</v>
      </c>
      <c r="AA18" s="22">
        <v>459</v>
      </c>
      <c r="AB18" s="2"/>
      <c r="AF18" s="2" t="s">
        <v>1709</v>
      </c>
      <c r="AG18" s="22" t="s">
        <v>2315</v>
      </c>
      <c r="AH18" s="5">
        <v>212</v>
      </c>
      <c r="AI18" s="47">
        <v>9954</v>
      </c>
      <c r="AJ18" s="5">
        <v>247</v>
      </c>
      <c r="AK18" s="47">
        <v>9423</v>
      </c>
      <c r="AL18" s="5">
        <v>257</v>
      </c>
      <c r="AM18" s="47">
        <v>8245</v>
      </c>
      <c r="AN18" s="22">
        <v>187</v>
      </c>
      <c r="AO18" s="53">
        <v>6729</v>
      </c>
      <c r="AP18" s="22">
        <v>106</v>
      </c>
      <c r="AQ18" s="53">
        <v>114078</v>
      </c>
      <c r="AV18" s="2" t="s">
        <v>2261</v>
      </c>
      <c r="AW18" s="5">
        <v>18</v>
      </c>
      <c r="AX18" s="5">
        <v>7</v>
      </c>
      <c r="AY18" s="5">
        <v>2</v>
      </c>
      <c r="AZ18" s="5">
        <v>0</v>
      </c>
      <c r="BA18" s="5">
        <v>0</v>
      </c>
      <c r="BB18" s="5">
        <v>0</v>
      </c>
      <c r="BC18" s="5">
        <v>5</v>
      </c>
      <c r="BD18" s="5">
        <v>0</v>
      </c>
      <c r="BE18" s="5">
        <v>1</v>
      </c>
      <c r="BF18" s="5">
        <v>0</v>
      </c>
      <c r="BG18" s="5">
        <v>2</v>
      </c>
      <c r="BH18" s="5">
        <v>1</v>
      </c>
      <c r="BI18" s="5">
        <v>0</v>
      </c>
      <c r="BL18" s="3" t="s">
        <v>2400</v>
      </c>
      <c r="BM18" s="22">
        <v>18</v>
      </c>
      <c r="BN18" s="22">
        <v>10</v>
      </c>
      <c r="BO18" s="22">
        <v>10</v>
      </c>
      <c r="BP18" s="2"/>
      <c r="BQ18" s="2"/>
      <c r="BR18" s="2"/>
    </row>
    <row r="19" spans="1:70" ht="12.95" customHeight="1">
      <c r="A19" s="207" t="s">
        <v>2198</v>
      </c>
      <c r="B19" s="215">
        <v>1024</v>
      </c>
      <c r="C19" s="215">
        <v>1987</v>
      </c>
      <c r="D19" s="205">
        <v>971</v>
      </c>
      <c r="E19" s="215">
        <v>1058</v>
      </c>
      <c r="F19" s="202"/>
      <c r="L19" s="2250" t="s">
        <v>2289</v>
      </c>
      <c r="M19" s="2250"/>
      <c r="N19" s="2250"/>
      <c r="O19" s="2250"/>
      <c r="P19" s="2250"/>
      <c r="Q19" s="2250"/>
      <c r="R19" s="2250"/>
      <c r="S19" s="2250"/>
      <c r="T19" s="2250"/>
      <c r="U19" s="116"/>
      <c r="V19" s="116"/>
      <c r="W19" s="30" t="s">
        <v>2261</v>
      </c>
      <c r="X19" s="53">
        <v>3540</v>
      </c>
      <c r="Y19" s="53">
        <v>4792</v>
      </c>
      <c r="Z19" s="53">
        <v>4781</v>
      </c>
      <c r="AA19" s="53">
        <v>4845</v>
      </c>
      <c r="AB19" s="2"/>
      <c r="AF19" s="2"/>
      <c r="AG19" s="22" t="s">
        <v>2316</v>
      </c>
      <c r="AH19" s="5">
        <v>0</v>
      </c>
      <c r="AI19" s="5">
        <v>0</v>
      </c>
      <c r="AJ19" s="5">
        <v>0</v>
      </c>
      <c r="AK19" s="5">
        <v>0</v>
      </c>
      <c r="AL19" s="5">
        <v>0</v>
      </c>
      <c r="AM19" s="5">
        <v>0</v>
      </c>
      <c r="AN19" s="5">
        <v>0</v>
      </c>
      <c r="AO19" s="5">
        <v>0</v>
      </c>
      <c r="AP19" s="5">
        <v>0</v>
      </c>
      <c r="AQ19" s="5">
        <v>0</v>
      </c>
      <c r="AV19" s="2" t="s">
        <v>2201</v>
      </c>
      <c r="AW19" s="5">
        <v>30</v>
      </c>
      <c r="AX19" s="5">
        <v>20</v>
      </c>
      <c r="AY19" s="5">
        <v>1</v>
      </c>
      <c r="AZ19" s="5">
        <v>0</v>
      </c>
      <c r="BA19" s="5">
        <v>0</v>
      </c>
      <c r="BB19" s="5">
        <v>0</v>
      </c>
      <c r="BC19" s="5">
        <v>5</v>
      </c>
      <c r="BD19" s="5">
        <v>0</v>
      </c>
      <c r="BE19" s="5">
        <v>0</v>
      </c>
      <c r="BF19" s="5">
        <v>0</v>
      </c>
      <c r="BG19" s="5">
        <v>3</v>
      </c>
      <c r="BH19" s="5">
        <v>0</v>
      </c>
      <c r="BI19" s="5">
        <v>1</v>
      </c>
      <c r="BL19" s="2250" t="s">
        <v>2401</v>
      </c>
      <c r="BM19" s="2250"/>
      <c r="BN19" s="2250"/>
      <c r="BO19" s="2250"/>
      <c r="BP19" s="2250"/>
      <c r="BQ19" s="2250"/>
      <c r="BR19" s="2"/>
    </row>
    <row r="20" spans="1:70" ht="12.95" customHeight="1">
      <c r="A20" s="207" t="s">
        <v>2261</v>
      </c>
      <c r="B20" s="215">
        <v>5121</v>
      </c>
      <c r="C20" s="215">
        <v>7354</v>
      </c>
      <c r="D20" s="215">
        <v>7225</v>
      </c>
      <c r="E20" s="215">
        <v>8432</v>
      </c>
      <c r="F20" s="202"/>
      <c r="L20" s="2250" t="s">
        <v>2290</v>
      </c>
      <c r="M20" s="2250"/>
      <c r="N20" s="2250"/>
      <c r="O20" s="2250"/>
      <c r="P20" s="2250"/>
      <c r="Q20" s="2250"/>
      <c r="R20" s="2250"/>
      <c r="S20" s="2250"/>
      <c r="T20" s="2250"/>
      <c r="U20" s="116"/>
      <c r="V20" s="116"/>
      <c r="W20" s="30" t="s">
        <v>2262</v>
      </c>
      <c r="X20" s="3"/>
      <c r="Y20" s="22">
        <v>2</v>
      </c>
      <c r="Z20" s="22">
        <v>2</v>
      </c>
      <c r="AA20" s="22">
        <v>3</v>
      </c>
      <c r="AB20" s="2"/>
      <c r="AF20" s="2"/>
      <c r="AG20" s="22" t="s">
        <v>2317</v>
      </c>
      <c r="AH20" s="5">
        <v>0</v>
      </c>
      <c r="AI20" s="5">
        <v>0</v>
      </c>
      <c r="AJ20" s="5">
        <v>0</v>
      </c>
      <c r="AK20" s="5">
        <v>0</v>
      </c>
      <c r="AL20" s="5">
        <v>0</v>
      </c>
      <c r="AM20" s="5">
        <v>0</v>
      </c>
      <c r="AN20" s="5">
        <v>0</v>
      </c>
      <c r="AO20" s="5">
        <v>0</v>
      </c>
      <c r="AP20" s="5">
        <v>0</v>
      </c>
      <c r="AQ20" s="5">
        <v>0</v>
      </c>
      <c r="AV20" s="2" t="s">
        <v>2264</v>
      </c>
      <c r="AW20" s="5">
        <v>152</v>
      </c>
      <c r="AX20" s="5">
        <v>26</v>
      </c>
      <c r="AY20" s="5">
        <v>51</v>
      </c>
      <c r="AZ20" s="5">
        <v>11</v>
      </c>
      <c r="BA20" s="5">
        <v>1</v>
      </c>
      <c r="BB20" s="5">
        <v>7</v>
      </c>
      <c r="BC20" s="5">
        <v>11</v>
      </c>
      <c r="BD20" s="5">
        <v>3</v>
      </c>
      <c r="BE20" s="5">
        <v>14</v>
      </c>
      <c r="BF20" s="5">
        <v>3</v>
      </c>
      <c r="BG20" s="5">
        <v>6</v>
      </c>
      <c r="BH20" s="5">
        <v>5</v>
      </c>
      <c r="BI20" s="5">
        <v>14</v>
      </c>
      <c r="BL20" s="2250" t="s">
        <v>2402</v>
      </c>
      <c r="BM20" s="2250"/>
      <c r="BN20" s="2250"/>
      <c r="BO20" s="2250"/>
      <c r="BP20" s="2250"/>
      <c r="BQ20" s="2"/>
      <c r="BR20" s="2"/>
    </row>
    <row r="21" spans="1:70" ht="12.95" customHeight="1">
      <c r="A21" s="207" t="s">
        <v>2262</v>
      </c>
      <c r="B21" s="207"/>
      <c r="C21" s="205">
        <v>3</v>
      </c>
      <c r="D21" s="205">
        <v>3</v>
      </c>
      <c r="E21" s="205">
        <v>5</v>
      </c>
      <c r="F21" s="202"/>
      <c r="L21" s="2250" t="s">
        <v>2291</v>
      </c>
      <c r="M21" s="2250"/>
      <c r="N21" s="2250"/>
      <c r="O21" s="2250"/>
      <c r="P21" s="2250"/>
      <c r="Q21" s="2250"/>
      <c r="R21" s="2250"/>
      <c r="S21" s="2250"/>
      <c r="T21" s="2250"/>
      <c r="U21" s="116"/>
      <c r="V21" s="116"/>
      <c r="W21" s="30" t="s">
        <v>2263</v>
      </c>
      <c r="X21" s="22">
        <v>974</v>
      </c>
      <c r="Y21" s="22">
        <v>955</v>
      </c>
      <c r="Z21" s="22">
        <v>949</v>
      </c>
      <c r="AA21" s="22">
        <v>980</v>
      </c>
      <c r="AB21" s="2"/>
      <c r="AF21" s="2" t="s">
        <v>2321</v>
      </c>
      <c r="AG21" s="3"/>
      <c r="AH21" s="5">
        <v>40</v>
      </c>
      <c r="AI21" s="47">
        <v>144374</v>
      </c>
      <c r="AJ21" s="5">
        <v>34</v>
      </c>
      <c r="AK21" s="47">
        <v>41168</v>
      </c>
      <c r="AL21" s="5">
        <v>55</v>
      </c>
      <c r="AM21" s="47">
        <v>82638</v>
      </c>
      <c r="AN21" s="22">
        <v>49</v>
      </c>
      <c r="AO21" s="53">
        <v>100040</v>
      </c>
      <c r="AP21" s="22">
        <v>29</v>
      </c>
      <c r="AQ21" s="53">
        <v>134961</v>
      </c>
      <c r="AV21" s="2" t="s">
        <v>2356</v>
      </c>
      <c r="AW21" s="5">
        <v>1</v>
      </c>
      <c r="AX21" s="5">
        <v>0</v>
      </c>
      <c r="AY21" s="5">
        <v>0</v>
      </c>
      <c r="AZ21" s="5">
        <v>1</v>
      </c>
      <c r="BA21" s="5">
        <v>0</v>
      </c>
      <c r="BB21" s="5">
        <v>0</v>
      </c>
      <c r="BC21" s="5">
        <v>0</v>
      </c>
      <c r="BD21" s="5">
        <v>0</v>
      </c>
      <c r="BE21" s="5">
        <v>0</v>
      </c>
      <c r="BF21" s="5">
        <v>0</v>
      </c>
      <c r="BG21" s="5">
        <v>0</v>
      </c>
      <c r="BH21" s="5">
        <v>0</v>
      </c>
      <c r="BI21" s="5">
        <v>0</v>
      </c>
      <c r="BL21" s="113"/>
      <c r="BM21" s="113"/>
      <c r="BN21" s="113"/>
      <c r="BO21" s="113"/>
      <c r="BP21" s="2"/>
      <c r="BQ21" s="2"/>
      <c r="BR21" s="2"/>
    </row>
    <row r="22" spans="1:70" ht="12.95" customHeight="1">
      <c r="A22" s="207" t="s">
        <v>2263</v>
      </c>
      <c r="B22" s="215">
        <v>2484</v>
      </c>
      <c r="C22" s="215">
        <v>2511</v>
      </c>
      <c r="D22" s="215">
        <v>2487</v>
      </c>
      <c r="E22" s="215">
        <v>2461</v>
      </c>
      <c r="F22" s="202"/>
      <c r="L22" s="2250" t="s">
        <v>2292</v>
      </c>
      <c r="M22" s="2250"/>
      <c r="N22" s="2250"/>
      <c r="O22" s="2250"/>
      <c r="P22" s="2250"/>
      <c r="Q22" s="2250"/>
      <c r="R22" s="2250"/>
      <c r="S22" s="2250"/>
      <c r="T22" s="2250"/>
      <c r="U22" s="116"/>
      <c r="V22" s="116"/>
      <c r="W22" s="30" t="s">
        <v>2202</v>
      </c>
      <c r="X22" s="53">
        <v>1579</v>
      </c>
      <c r="Y22" s="3"/>
      <c r="Z22" s="3"/>
      <c r="AA22" s="3"/>
      <c r="AB22" s="2"/>
      <c r="AF22" s="10" t="s">
        <v>2322</v>
      </c>
      <c r="AG22" s="23"/>
      <c r="AH22" s="11">
        <v>143</v>
      </c>
      <c r="AI22" s="51">
        <v>16061</v>
      </c>
      <c r="AJ22" s="11">
        <v>85</v>
      </c>
      <c r="AK22" s="51">
        <v>1959</v>
      </c>
      <c r="AL22" s="11">
        <v>112</v>
      </c>
      <c r="AM22" s="51">
        <v>22003</v>
      </c>
      <c r="AN22" s="29">
        <v>101</v>
      </c>
      <c r="AO22" s="54">
        <v>5680</v>
      </c>
      <c r="AP22" s="29">
        <v>166</v>
      </c>
      <c r="AQ22" s="54">
        <v>16738</v>
      </c>
      <c r="AV22" s="2" t="s">
        <v>2208</v>
      </c>
      <c r="AW22" s="5">
        <v>160</v>
      </c>
      <c r="AX22" s="5">
        <v>110</v>
      </c>
      <c r="AY22" s="5">
        <v>4</v>
      </c>
      <c r="AZ22" s="5">
        <v>3</v>
      </c>
      <c r="BA22" s="5">
        <v>0</v>
      </c>
      <c r="BB22" s="5">
        <v>1</v>
      </c>
      <c r="BC22" s="5">
        <v>12</v>
      </c>
      <c r="BD22" s="5">
        <v>0</v>
      </c>
      <c r="BE22" s="5">
        <v>1</v>
      </c>
      <c r="BF22" s="5">
        <v>1</v>
      </c>
      <c r="BG22" s="5">
        <v>3</v>
      </c>
      <c r="BH22" s="5">
        <v>1</v>
      </c>
      <c r="BI22" s="5">
        <v>24</v>
      </c>
      <c r="BL22" s="113"/>
      <c r="BM22" s="113"/>
      <c r="BN22" s="113"/>
      <c r="BO22" s="113"/>
      <c r="BP22" s="2"/>
      <c r="BQ22" s="2"/>
      <c r="BR22" s="2"/>
    </row>
    <row r="23" spans="1:70" ht="12.95" customHeight="1">
      <c r="A23" s="207" t="s">
        <v>2264</v>
      </c>
      <c r="B23" s="215">
        <v>1850</v>
      </c>
      <c r="C23" s="207"/>
      <c r="D23" s="207"/>
      <c r="E23" s="207"/>
      <c r="F23" s="202"/>
      <c r="L23" s="2045" t="s">
        <v>2293</v>
      </c>
      <c r="M23" s="2045"/>
      <c r="N23" s="2045"/>
      <c r="O23" s="2045"/>
      <c r="P23" s="2045"/>
      <c r="Q23" s="2045"/>
      <c r="R23" s="2045"/>
      <c r="S23" s="2045"/>
      <c r="T23" s="2045"/>
      <c r="U23" s="116"/>
      <c r="V23" s="116"/>
      <c r="W23" s="30" t="s">
        <v>2208</v>
      </c>
      <c r="X23" s="53">
        <v>4928</v>
      </c>
      <c r="Y23" s="53">
        <v>4734</v>
      </c>
      <c r="Z23" s="53">
        <v>4687</v>
      </c>
      <c r="AA23" s="53">
        <v>4740</v>
      </c>
      <c r="AB23" s="2"/>
      <c r="AF23" s="2252" t="s">
        <v>2323</v>
      </c>
      <c r="AG23" s="2252"/>
      <c r="AH23" s="2252"/>
      <c r="AI23" s="2252"/>
      <c r="AJ23" s="2252"/>
      <c r="AK23" s="2252"/>
      <c r="AL23" s="2252"/>
      <c r="AM23" s="2"/>
      <c r="AN23" s="2"/>
      <c r="AO23" s="2"/>
      <c r="AP23" s="2"/>
      <c r="AQ23" s="2"/>
      <c r="AV23" s="2" t="s">
        <v>2209</v>
      </c>
      <c r="AW23" s="5">
        <v>42</v>
      </c>
      <c r="AX23" s="5">
        <v>18</v>
      </c>
      <c r="AY23" s="5">
        <v>1</v>
      </c>
      <c r="AZ23" s="5">
        <v>1</v>
      </c>
      <c r="BA23" s="5">
        <v>0</v>
      </c>
      <c r="BB23" s="5">
        <v>2</v>
      </c>
      <c r="BC23" s="5">
        <v>15</v>
      </c>
      <c r="BD23" s="5">
        <v>0</v>
      </c>
      <c r="BE23" s="5">
        <v>0</v>
      </c>
      <c r="BF23" s="5">
        <v>0</v>
      </c>
      <c r="BG23" s="5">
        <v>1</v>
      </c>
      <c r="BH23" s="5">
        <v>0</v>
      </c>
      <c r="BI23" s="5">
        <v>4</v>
      </c>
      <c r="BL23" s="113"/>
      <c r="BM23" s="113"/>
      <c r="BN23" s="113"/>
      <c r="BO23" s="113"/>
      <c r="BP23" s="2"/>
      <c r="BQ23" s="2"/>
      <c r="BR23" s="2"/>
    </row>
    <row r="24" spans="1:70" ht="15" customHeight="1">
      <c r="A24" s="207" t="s">
        <v>2208</v>
      </c>
      <c r="B24" s="215">
        <v>9533</v>
      </c>
      <c r="C24" s="215">
        <v>8955</v>
      </c>
      <c r="D24" s="215">
        <v>8761</v>
      </c>
      <c r="E24" s="215">
        <v>10048</v>
      </c>
      <c r="F24" s="202"/>
      <c r="L24" s="116"/>
      <c r="M24" s="116"/>
      <c r="N24" s="116"/>
      <c r="O24" s="116"/>
      <c r="P24" s="116"/>
      <c r="Q24" s="116"/>
      <c r="R24" s="116"/>
      <c r="S24" s="116"/>
      <c r="T24" s="116"/>
      <c r="U24" s="116"/>
      <c r="V24" s="116"/>
      <c r="W24" s="299" t="s">
        <v>2209</v>
      </c>
      <c r="X24" s="54">
        <v>1696</v>
      </c>
      <c r="Y24" s="54">
        <v>1687</v>
      </c>
      <c r="Z24" s="54">
        <v>1681</v>
      </c>
      <c r="AA24" s="54">
        <v>1739</v>
      </c>
      <c r="AB24" s="2"/>
      <c r="AF24" s="2250" t="s">
        <v>2293</v>
      </c>
      <c r="AG24" s="2250"/>
      <c r="AH24" s="2250"/>
      <c r="AI24" s="2250"/>
      <c r="AJ24" s="2250"/>
      <c r="AK24" s="2250"/>
      <c r="AL24" s="2250"/>
      <c r="AM24" s="2"/>
      <c r="AN24" s="2"/>
      <c r="AO24" s="2"/>
      <c r="AP24" s="2"/>
      <c r="AQ24" s="2"/>
      <c r="AV24" s="2"/>
      <c r="AW24" s="2"/>
      <c r="AX24" s="2"/>
      <c r="AY24" s="2"/>
      <c r="AZ24" s="2"/>
      <c r="BA24" s="2"/>
      <c r="BB24" s="2"/>
      <c r="BC24" s="2"/>
      <c r="BD24" s="2"/>
      <c r="BE24" s="2"/>
      <c r="BF24" s="2"/>
      <c r="BG24" s="2"/>
      <c r="BH24" s="2"/>
      <c r="BI24" s="2"/>
      <c r="BL24" s="1" t="s">
        <v>2403</v>
      </c>
      <c r="BM24" s="2"/>
      <c r="BN24" s="2"/>
      <c r="BO24" s="2"/>
      <c r="BP24" s="2"/>
      <c r="BR24" s="2"/>
    </row>
    <row r="25" spans="1:70" ht="12.95" customHeight="1">
      <c r="A25" s="209" t="s">
        <v>2209</v>
      </c>
      <c r="B25" s="216">
        <v>3325</v>
      </c>
      <c r="C25" s="216">
        <v>3225</v>
      </c>
      <c r="D25" s="216">
        <v>3194</v>
      </c>
      <c r="E25" s="216">
        <v>3568</v>
      </c>
      <c r="F25" s="202"/>
      <c r="L25" s="265"/>
      <c r="M25" s="265"/>
      <c r="N25" s="265"/>
      <c r="O25" s="265"/>
      <c r="P25" s="265"/>
      <c r="Q25" s="265"/>
      <c r="R25" s="265"/>
      <c r="S25" s="265"/>
      <c r="T25" s="265"/>
      <c r="U25" s="265"/>
      <c r="V25" s="265"/>
      <c r="W25" s="13" t="s">
        <v>2265</v>
      </c>
      <c r="X25" s="14"/>
      <c r="Y25" s="14"/>
      <c r="Z25" s="14"/>
      <c r="AA25" s="14"/>
      <c r="AB25" s="14"/>
      <c r="AF25" s="2250" t="s">
        <v>2324</v>
      </c>
      <c r="AG25" s="2250"/>
      <c r="AH25" s="2250"/>
      <c r="AI25" s="2250"/>
      <c r="AJ25" s="2250"/>
      <c r="AK25" s="2250"/>
      <c r="AL25" s="2250"/>
      <c r="AM25" s="2"/>
      <c r="AN25" s="2"/>
      <c r="AO25" s="2"/>
      <c r="AP25" s="2"/>
      <c r="AQ25" s="2"/>
      <c r="AV25" s="2" t="s">
        <v>2357</v>
      </c>
      <c r="AW25" s="47">
        <v>2751</v>
      </c>
      <c r="AX25" s="2"/>
      <c r="AY25" s="2"/>
      <c r="AZ25" s="2"/>
      <c r="BA25" s="2"/>
      <c r="BB25" s="2"/>
      <c r="BC25" s="2"/>
      <c r="BD25" s="2"/>
      <c r="BE25" s="2"/>
      <c r="BF25" s="2"/>
      <c r="BG25" s="2"/>
      <c r="BH25" s="2"/>
      <c r="BI25" s="2"/>
      <c r="BL25" s="32" t="s">
        <v>1648</v>
      </c>
      <c r="BM25" s="17">
        <v>2021</v>
      </c>
      <c r="BN25" s="28">
        <v>2020</v>
      </c>
      <c r="BO25" s="17">
        <v>2019</v>
      </c>
      <c r="BP25" s="28">
        <v>2018</v>
      </c>
      <c r="BQ25" s="2"/>
      <c r="BR25" s="2"/>
    </row>
    <row r="26" spans="1:70" ht="15" customHeight="1">
      <c r="A26" s="2250" t="s">
        <v>2265</v>
      </c>
      <c r="B26" s="2250"/>
      <c r="C26" s="2250"/>
      <c r="D26" s="2250"/>
      <c r="E26" s="2250"/>
      <c r="F26" s="2250"/>
      <c r="G26" s="2250"/>
      <c r="W26" s="13" t="s">
        <v>2295</v>
      </c>
      <c r="X26" s="14"/>
      <c r="Y26" s="14"/>
      <c r="Z26" s="14"/>
      <c r="AA26" s="14"/>
      <c r="AB26" s="14"/>
      <c r="AF26" s="2250" t="s">
        <v>2325</v>
      </c>
      <c r="AG26" s="2250"/>
      <c r="AH26" s="2250"/>
      <c r="AI26" s="2250"/>
      <c r="AJ26" s="2250"/>
      <c r="AK26" s="2250"/>
      <c r="AL26" s="2250"/>
      <c r="AM26" s="3"/>
      <c r="AN26" s="3"/>
      <c r="AO26" s="3"/>
      <c r="AP26" s="3"/>
      <c r="AQ26" s="3"/>
      <c r="AV26" s="2" t="s">
        <v>2358</v>
      </c>
      <c r="AW26" s="5">
        <v>972</v>
      </c>
      <c r="AX26" s="5">
        <v>173</v>
      </c>
      <c r="AY26" s="5">
        <v>364</v>
      </c>
      <c r="AZ26" s="5">
        <v>137</v>
      </c>
      <c r="BA26" s="5">
        <v>2</v>
      </c>
      <c r="BB26" s="5">
        <v>208</v>
      </c>
      <c r="BC26" s="5">
        <v>20</v>
      </c>
      <c r="BD26" s="5">
        <v>3</v>
      </c>
      <c r="BE26" s="5">
        <v>4</v>
      </c>
      <c r="BF26" s="5">
        <v>3</v>
      </c>
      <c r="BG26" s="5">
        <v>11</v>
      </c>
      <c r="BH26" s="5">
        <v>3</v>
      </c>
      <c r="BI26" s="5">
        <v>44</v>
      </c>
      <c r="BL26" s="2" t="s">
        <v>129</v>
      </c>
      <c r="BM26" s="5">
        <v>270</v>
      </c>
      <c r="BN26" s="5">
        <v>309</v>
      </c>
      <c r="BO26" s="5">
        <v>346</v>
      </c>
      <c r="BP26" s="5">
        <v>354</v>
      </c>
      <c r="BQ26" s="2"/>
      <c r="BR26" s="2"/>
    </row>
    <row r="27" spans="1:70" ht="12.95" customHeight="1">
      <c r="A27" s="2250" t="s">
        <v>2266</v>
      </c>
      <c r="B27" s="2250"/>
      <c r="C27" s="2250"/>
      <c r="D27" s="2250"/>
      <c r="E27" s="2250"/>
      <c r="F27" s="2250"/>
      <c r="G27" s="2250"/>
      <c r="H27" s="25"/>
      <c r="I27" s="25"/>
      <c r="J27" s="25"/>
      <c r="K27" s="25"/>
      <c r="W27" s="13" t="s">
        <v>2296</v>
      </c>
      <c r="X27" s="14"/>
      <c r="Y27" s="14"/>
      <c r="Z27" s="14"/>
      <c r="AA27" s="14"/>
      <c r="AB27" s="14"/>
      <c r="AF27" s="2250" t="s">
        <v>2326</v>
      </c>
      <c r="AG27" s="2250"/>
      <c r="AH27" s="2250"/>
      <c r="AI27" s="2250"/>
      <c r="AJ27" s="2250"/>
      <c r="AK27" s="2250"/>
      <c r="AL27" s="2250"/>
      <c r="AM27" s="2"/>
      <c r="AN27" s="2"/>
      <c r="AO27" s="2"/>
      <c r="AP27" s="2"/>
      <c r="AQ27" s="2"/>
      <c r="AV27" s="2" t="s">
        <v>2359</v>
      </c>
      <c r="AW27" s="47">
        <v>1779</v>
      </c>
      <c r="AX27" s="5">
        <v>336</v>
      </c>
      <c r="AY27" s="5">
        <v>755</v>
      </c>
      <c r="AZ27" s="5">
        <v>211</v>
      </c>
      <c r="BA27" s="5">
        <v>3</v>
      </c>
      <c r="BB27" s="5">
        <v>321</v>
      </c>
      <c r="BC27" s="5">
        <v>37</v>
      </c>
      <c r="BD27" s="5">
        <v>2</v>
      </c>
      <c r="BE27" s="5">
        <v>8</v>
      </c>
      <c r="BF27" s="5">
        <v>7</v>
      </c>
      <c r="BG27" s="5">
        <v>14</v>
      </c>
      <c r="BH27" s="5">
        <v>5</v>
      </c>
      <c r="BI27" s="5">
        <v>80</v>
      </c>
      <c r="BL27" s="2" t="s">
        <v>2404</v>
      </c>
      <c r="BM27" s="5">
        <v>6</v>
      </c>
      <c r="BN27" s="5">
        <v>17</v>
      </c>
      <c r="BO27" s="5">
        <v>14</v>
      </c>
      <c r="BP27" s="5">
        <v>5</v>
      </c>
      <c r="BQ27" s="2"/>
      <c r="BR27" s="2"/>
    </row>
    <row r="28" spans="1:70" ht="12.95" customHeight="1">
      <c r="A28" s="2250" t="s">
        <v>2267</v>
      </c>
      <c r="B28" s="2250"/>
      <c r="C28" s="2250"/>
      <c r="D28" s="2250"/>
      <c r="E28" s="2250"/>
      <c r="F28" s="2250"/>
      <c r="G28" s="2250"/>
      <c r="H28" s="25"/>
      <c r="I28" s="25"/>
      <c r="J28" s="25"/>
      <c r="K28" s="25"/>
      <c r="W28" s="13" t="s">
        <v>2297</v>
      </c>
      <c r="X28" s="14"/>
      <c r="Y28" s="14"/>
      <c r="Z28" s="14"/>
      <c r="AA28" s="14"/>
      <c r="AB28" s="14"/>
      <c r="AF28" s="2250" t="s">
        <v>2327</v>
      </c>
      <c r="AG28" s="2250"/>
      <c r="AH28" s="2250"/>
      <c r="AI28" s="2250"/>
      <c r="AJ28" s="2250"/>
      <c r="AK28" s="2250"/>
      <c r="AL28" s="2250"/>
      <c r="AM28" s="2"/>
      <c r="AN28" s="2"/>
      <c r="AO28" s="2"/>
      <c r="AP28" s="2"/>
      <c r="AQ28" s="2"/>
      <c r="AV28" s="10" t="s">
        <v>2360</v>
      </c>
      <c r="AW28" s="51">
        <v>580110</v>
      </c>
      <c r="AX28" s="51">
        <v>100049</v>
      </c>
      <c r="AY28" s="51">
        <v>238995</v>
      </c>
      <c r="AZ28" s="51">
        <v>82638</v>
      </c>
      <c r="BA28" s="11">
        <v>486</v>
      </c>
      <c r="BB28" s="51">
        <v>127047</v>
      </c>
      <c r="BC28" s="51">
        <v>5107</v>
      </c>
      <c r="BD28" s="11">
        <v>647</v>
      </c>
      <c r="BE28" s="11">
        <v>262</v>
      </c>
      <c r="BF28" s="11">
        <v>216</v>
      </c>
      <c r="BG28" s="51">
        <v>1782</v>
      </c>
      <c r="BH28" s="11">
        <v>878</v>
      </c>
      <c r="BI28" s="51">
        <v>22003</v>
      </c>
      <c r="BL28" s="2" t="s">
        <v>2318</v>
      </c>
      <c r="BM28" s="5">
        <v>0</v>
      </c>
      <c r="BN28" s="5">
        <v>6</v>
      </c>
      <c r="BO28" s="5">
        <v>0</v>
      </c>
      <c r="BP28" s="5">
        <v>2</v>
      </c>
      <c r="BQ28" s="2"/>
      <c r="BR28" s="2"/>
    </row>
    <row r="29" spans="1:70" ht="12.95" customHeight="1">
      <c r="A29" s="2250" t="s">
        <v>2268</v>
      </c>
      <c r="B29" s="2250"/>
      <c r="C29" s="2250"/>
      <c r="D29" s="2250"/>
      <c r="E29" s="2250"/>
      <c r="F29" s="2250"/>
      <c r="G29" s="2250"/>
      <c r="H29" s="25"/>
      <c r="I29" s="25"/>
      <c r="J29" s="25"/>
      <c r="K29" s="25"/>
      <c r="W29" s="14" t="s">
        <v>2298</v>
      </c>
      <c r="X29" s="14"/>
      <c r="Y29" s="14"/>
      <c r="Z29" s="14"/>
      <c r="AA29" s="14"/>
      <c r="AB29" s="14"/>
      <c r="AF29" s="2250" t="s">
        <v>2328</v>
      </c>
      <c r="AG29" s="2250"/>
      <c r="AH29" s="2250"/>
      <c r="AI29" s="2250"/>
      <c r="AJ29" s="2250"/>
      <c r="AK29" s="2250"/>
      <c r="AL29" s="2250"/>
      <c r="AM29" s="2"/>
      <c r="AN29" s="2"/>
      <c r="AO29" s="2"/>
      <c r="AP29" s="2"/>
      <c r="AQ29" s="2"/>
      <c r="AV29" s="2252" t="s">
        <v>2361</v>
      </c>
      <c r="AW29" s="2252"/>
      <c r="AX29" s="2252"/>
      <c r="AY29" s="2252"/>
      <c r="AZ29" s="2252"/>
      <c r="BA29" s="2252"/>
      <c r="BB29" s="2252"/>
      <c r="BC29" s="2252"/>
      <c r="BD29" s="2252"/>
      <c r="BE29" s="2252"/>
      <c r="BF29" s="2252"/>
      <c r="BG29" s="2252"/>
      <c r="BH29" s="2252"/>
      <c r="BI29" s="2"/>
      <c r="BL29" s="2" t="s">
        <v>2333</v>
      </c>
      <c r="BM29" s="5">
        <v>18</v>
      </c>
      <c r="BN29" s="5">
        <v>14</v>
      </c>
      <c r="BO29" s="5">
        <v>44</v>
      </c>
      <c r="BP29" s="5">
        <v>49</v>
      </c>
      <c r="BQ29" s="2"/>
      <c r="BR29" s="2"/>
    </row>
    <row r="30" spans="1:70" ht="12.95" customHeight="1">
      <c r="A30" s="2250" t="s">
        <v>2269</v>
      </c>
      <c r="B30" s="2250"/>
      <c r="C30" s="2250"/>
      <c r="D30" s="2250"/>
      <c r="E30" s="2250"/>
      <c r="F30" s="2250"/>
      <c r="G30" s="2250"/>
      <c r="H30" s="25"/>
      <c r="I30" s="25"/>
      <c r="J30" s="25"/>
      <c r="K30" s="25"/>
      <c r="W30" s="14" t="s">
        <v>2299</v>
      </c>
      <c r="X30" s="14"/>
      <c r="Y30" s="14"/>
      <c r="Z30" s="14"/>
      <c r="AA30" s="14"/>
      <c r="AB30" s="14"/>
      <c r="AF30" s="2250" t="s">
        <v>2329</v>
      </c>
      <c r="AG30" s="2250"/>
      <c r="AH30" s="2250"/>
      <c r="AI30" s="2250"/>
      <c r="AJ30" s="2250"/>
      <c r="AK30" s="2250"/>
      <c r="AL30" s="2250"/>
      <c r="AM30" s="2"/>
      <c r="AN30" s="2"/>
      <c r="AO30" s="2"/>
      <c r="AP30" s="2"/>
      <c r="AQ30" s="2"/>
      <c r="AV30" s="2045" t="s">
        <v>2293</v>
      </c>
      <c r="AW30" s="2045"/>
      <c r="AX30" s="2045"/>
      <c r="AY30" s="2045"/>
      <c r="AZ30" s="2045"/>
      <c r="BA30" s="2045"/>
      <c r="BB30" s="2045"/>
      <c r="BC30" s="2045"/>
      <c r="BD30" s="2045"/>
      <c r="BE30" s="2045"/>
      <c r="BF30" s="2045"/>
      <c r="BG30" s="2045"/>
      <c r="BH30" s="2045"/>
      <c r="BI30" s="2"/>
      <c r="BL30" s="2" t="s">
        <v>2391</v>
      </c>
      <c r="BM30" s="5">
        <v>0</v>
      </c>
      <c r="BN30" s="5">
        <v>2</v>
      </c>
      <c r="BO30" s="5">
        <v>4</v>
      </c>
      <c r="BP30" s="5">
        <v>3</v>
      </c>
      <c r="BQ30" s="2"/>
      <c r="BR30" s="2"/>
    </row>
    <row r="31" spans="1:70" ht="12.95" customHeight="1">
      <c r="A31" s="2250" t="s">
        <v>2270</v>
      </c>
      <c r="B31" s="2250"/>
      <c r="C31" s="2250"/>
      <c r="D31" s="2250"/>
      <c r="E31" s="2250"/>
      <c r="F31" s="2250"/>
      <c r="G31" s="2250"/>
      <c r="H31" s="25"/>
      <c r="I31" s="25"/>
      <c r="J31" s="25"/>
      <c r="K31" s="25"/>
      <c r="W31" s="13" t="s">
        <v>2300</v>
      </c>
      <c r="X31" s="14"/>
      <c r="Y31" s="14"/>
      <c r="Z31" s="14"/>
      <c r="AA31" s="14"/>
      <c r="AB31" s="14"/>
      <c r="AF31" s="2273"/>
      <c r="AG31" s="2273"/>
      <c r="AH31" s="2273"/>
      <c r="AI31" s="2273"/>
      <c r="AJ31" s="2273"/>
      <c r="AK31" s="2273"/>
      <c r="AL31" s="2273"/>
      <c r="AV31" s="2045"/>
      <c r="AW31" s="2045"/>
      <c r="AX31" s="2045"/>
      <c r="AY31" s="2045"/>
      <c r="AZ31" s="2045"/>
      <c r="BA31" s="2045"/>
      <c r="BB31" s="2045"/>
      <c r="BC31" s="2045"/>
      <c r="BD31" s="2045"/>
      <c r="BE31" s="2045"/>
      <c r="BF31" s="2045"/>
      <c r="BG31" s="2045"/>
      <c r="BH31" s="2045"/>
      <c r="BI31" s="2"/>
      <c r="BL31" s="2" t="s">
        <v>2319</v>
      </c>
      <c r="BM31" s="5">
        <v>0</v>
      </c>
      <c r="BN31" s="5">
        <v>3</v>
      </c>
      <c r="BO31" s="5">
        <v>7</v>
      </c>
      <c r="BP31" s="5">
        <v>12</v>
      </c>
      <c r="BQ31" s="2"/>
      <c r="BR31" s="2"/>
    </row>
    <row r="32" spans="1:70" ht="12.95" customHeight="1">
      <c r="A32" s="2250" t="s">
        <v>2271</v>
      </c>
      <c r="B32" s="2250"/>
      <c r="C32" s="2250"/>
      <c r="D32" s="2250"/>
      <c r="E32" s="2250"/>
      <c r="F32" s="2250"/>
      <c r="G32" s="2250"/>
      <c r="H32" s="25"/>
      <c r="I32" s="25"/>
      <c r="J32" s="25"/>
      <c r="K32" s="25"/>
      <c r="W32" s="13" t="s">
        <v>2293</v>
      </c>
      <c r="X32" s="14"/>
      <c r="Y32" s="14"/>
      <c r="Z32" s="14"/>
      <c r="AA32" s="14"/>
      <c r="AB32" s="14"/>
      <c r="AV32" s="2036"/>
      <c r="AW32" s="2036"/>
      <c r="AX32" s="2036"/>
      <c r="AY32" s="2036"/>
      <c r="AZ32" s="2036"/>
      <c r="BA32" s="2036"/>
      <c r="BB32" s="2036"/>
      <c r="BC32" s="2036"/>
      <c r="BD32" s="2036"/>
      <c r="BE32" s="2036"/>
      <c r="BF32" s="2036"/>
      <c r="BG32" s="2036"/>
      <c r="BH32" s="2036"/>
      <c r="BI32" s="2"/>
      <c r="BL32" s="2" t="s">
        <v>2405</v>
      </c>
      <c r="BM32" s="5">
        <v>2</v>
      </c>
      <c r="BN32" s="5">
        <v>23</v>
      </c>
      <c r="BO32" s="5">
        <v>1</v>
      </c>
      <c r="BP32" s="5">
        <v>0</v>
      </c>
      <c r="BQ32" s="2"/>
      <c r="BR32" s="2"/>
    </row>
    <row r="33" spans="1:70" ht="12.95" customHeight="1">
      <c r="A33" s="2250" t="s">
        <v>2272</v>
      </c>
      <c r="B33" s="2250"/>
      <c r="C33" s="2250"/>
      <c r="D33" s="2250"/>
      <c r="E33" s="2250"/>
      <c r="F33" s="2250"/>
      <c r="G33" s="2250"/>
      <c r="H33" s="25"/>
      <c r="I33" s="25"/>
      <c r="J33" s="25"/>
      <c r="K33" s="25"/>
      <c r="AV33" s="2"/>
      <c r="AW33" s="2"/>
      <c r="AX33" s="2"/>
      <c r="AY33" s="2"/>
      <c r="AZ33" s="2"/>
      <c r="BA33" s="2"/>
      <c r="BB33" s="2"/>
      <c r="BC33" s="2"/>
      <c r="BD33" s="2"/>
      <c r="BE33" s="2"/>
      <c r="BF33" s="2"/>
      <c r="BG33" s="2"/>
      <c r="BH33" s="2"/>
      <c r="BI33" s="2"/>
      <c r="BL33" s="2" t="s">
        <v>2320</v>
      </c>
      <c r="BM33" s="5">
        <v>195</v>
      </c>
      <c r="BN33" s="5">
        <v>131</v>
      </c>
      <c r="BO33" s="5">
        <v>215</v>
      </c>
      <c r="BP33" s="5">
        <v>181</v>
      </c>
      <c r="BQ33" s="2"/>
      <c r="BR33" s="2"/>
    </row>
    <row r="34" spans="1:70" ht="12.95" customHeight="1">
      <c r="A34" s="25"/>
      <c r="B34" s="25"/>
      <c r="C34" s="25"/>
      <c r="D34" s="25"/>
      <c r="E34" s="25"/>
      <c r="F34" s="25"/>
      <c r="G34" s="25"/>
      <c r="H34" s="25"/>
      <c r="I34" s="25"/>
      <c r="J34" s="25"/>
      <c r="K34" s="25"/>
      <c r="AV34" s="1" t="s">
        <v>2382</v>
      </c>
      <c r="AW34" s="2"/>
      <c r="AX34" s="2"/>
      <c r="AY34" s="2"/>
      <c r="AZ34" s="2"/>
      <c r="BA34" s="2"/>
      <c r="BB34" s="2"/>
      <c r="BC34" s="2"/>
      <c r="BD34" s="2"/>
      <c r="BE34" s="2"/>
      <c r="BF34" s="2"/>
      <c r="BG34" s="2"/>
      <c r="BH34" s="2"/>
      <c r="BI34" s="2"/>
      <c r="BL34" s="2" t="s">
        <v>1709</v>
      </c>
      <c r="BM34" s="5">
        <v>0</v>
      </c>
      <c r="BN34" s="5">
        <v>31</v>
      </c>
      <c r="BO34" s="5">
        <v>53</v>
      </c>
      <c r="BP34" s="5">
        <v>75</v>
      </c>
      <c r="BQ34" s="2"/>
      <c r="BR34" s="2"/>
    </row>
    <row r="35" spans="1:70" ht="12.95" customHeight="1">
      <c r="A35" s="25"/>
      <c r="B35" s="25"/>
      <c r="C35" s="25"/>
      <c r="D35" s="25"/>
      <c r="E35" s="25"/>
      <c r="F35" s="25"/>
      <c r="G35" s="25"/>
      <c r="H35" s="25"/>
      <c r="I35" s="25"/>
      <c r="J35" s="25"/>
      <c r="K35" s="25"/>
      <c r="AF35" s="1" t="s">
        <v>2330</v>
      </c>
      <c r="AG35" s="3"/>
      <c r="AH35" s="3"/>
      <c r="AI35" s="3"/>
      <c r="AJ35" s="3"/>
      <c r="AK35" s="3"/>
      <c r="AL35" s="2"/>
      <c r="AM35" s="2"/>
      <c r="AN35" s="2"/>
      <c r="AO35" s="2"/>
      <c r="AP35" s="2"/>
      <c r="AQ35" s="2"/>
      <c r="AR35" s="2"/>
      <c r="AS35" s="2"/>
      <c r="AV35" s="8"/>
      <c r="AW35" s="2120" t="s">
        <v>2363</v>
      </c>
      <c r="AX35" s="2120"/>
      <c r="AY35" s="2120"/>
      <c r="AZ35" s="2120"/>
      <c r="BA35" s="2120" t="s">
        <v>2364</v>
      </c>
      <c r="BB35" s="2120"/>
      <c r="BC35" s="2120"/>
      <c r="BD35" s="2120"/>
      <c r="BE35" s="2120" t="s">
        <v>2365</v>
      </c>
      <c r="BF35" s="2120"/>
      <c r="BG35" s="2120"/>
      <c r="BH35" s="2033"/>
      <c r="BI35" s="2"/>
      <c r="BL35" s="2" t="s">
        <v>2321</v>
      </c>
      <c r="BM35" s="5">
        <v>8</v>
      </c>
      <c r="BN35" s="5">
        <v>6</v>
      </c>
      <c r="BO35" s="5">
        <v>8</v>
      </c>
      <c r="BP35" s="5">
        <v>20</v>
      </c>
      <c r="BQ35" s="2"/>
      <c r="BR35" s="2"/>
    </row>
    <row r="36" spans="1:70" ht="12.95" customHeight="1">
      <c r="AF36" s="2254" t="s">
        <v>2332</v>
      </c>
      <c r="AG36" s="2033" t="s">
        <v>2331</v>
      </c>
      <c r="AH36" s="2034"/>
      <c r="AI36" s="2034"/>
      <c r="AJ36" s="2034"/>
      <c r="AK36" s="2034"/>
      <c r="AL36" s="2034"/>
      <c r="AM36" s="2034"/>
      <c r="AN36" s="2034"/>
      <c r="AO36" s="2034"/>
      <c r="AP36" s="2034"/>
      <c r="AQ36" s="2034"/>
      <c r="AR36" s="2034"/>
      <c r="AS36" s="2261"/>
      <c r="AV36" s="10" t="s">
        <v>2311</v>
      </c>
      <c r="AW36" s="9" t="s">
        <v>129</v>
      </c>
      <c r="AX36" s="9" t="s">
        <v>2366</v>
      </c>
      <c r="AY36" s="9" t="s">
        <v>2367</v>
      </c>
      <c r="AZ36" s="9" t="s">
        <v>2368</v>
      </c>
      <c r="BA36" s="9" t="s">
        <v>129</v>
      </c>
      <c r="BB36" s="9" t="s">
        <v>2366</v>
      </c>
      <c r="BC36" s="9" t="s">
        <v>2367</v>
      </c>
      <c r="BD36" s="9" t="s">
        <v>2368</v>
      </c>
      <c r="BE36" s="9" t="s">
        <v>129</v>
      </c>
      <c r="BF36" s="9" t="s">
        <v>2366</v>
      </c>
      <c r="BG36" s="9" t="s">
        <v>2367</v>
      </c>
      <c r="BH36" s="11" t="s">
        <v>2368</v>
      </c>
      <c r="BI36" s="2"/>
      <c r="BL36" s="10" t="s">
        <v>2322</v>
      </c>
      <c r="BM36" s="11">
        <v>41</v>
      </c>
      <c r="BN36" s="11">
        <v>76</v>
      </c>
      <c r="BO36" s="11">
        <v>0</v>
      </c>
      <c r="BP36" s="11">
        <v>7</v>
      </c>
      <c r="BQ36" s="2"/>
      <c r="BR36" s="2"/>
    </row>
    <row r="37" spans="1:70" ht="12" customHeight="1">
      <c r="A37" s="1" t="s">
        <v>2273</v>
      </c>
      <c r="B37" s="2"/>
      <c r="C37" s="2"/>
      <c r="D37" s="2"/>
      <c r="E37" s="2"/>
      <c r="F37" s="2"/>
      <c r="G37" s="2"/>
      <c r="W37" s="1" t="s">
        <v>2301</v>
      </c>
      <c r="X37" s="2"/>
      <c r="Y37" s="2"/>
      <c r="Z37" s="2"/>
      <c r="AA37" s="2"/>
      <c r="AB37" s="2"/>
      <c r="AF37" s="2255"/>
      <c r="AG37" s="2257" t="s">
        <v>129</v>
      </c>
      <c r="AH37" s="2259" t="s">
        <v>2320</v>
      </c>
      <c r="AI37" s="2257" t="s">
        <v>2333</v>
      </c>
      <c r="AJ37" s="2259" t="s">
        <v>2334</v>
      </c>
      <c r="AK37" s="353" t="s">
        <v>2335</v>
      </c>
      <c r="AL37" s="357" t="s">
        <v>2336</v>
      </c>
      <c r="AM37" s="353" t="s">
        <v>2337</v>
      </c>
      <c r="AN37" s="358" t="s">
        <v>2338</v>
      </c>
      <c r="AO37" s="360"/>
      <c r="AQ37" s="353" t="s">
        <v>2341</v>
      </c>
      <c r="AR37" s="357" t="s">
        <v>2342</v>
      </c>
      <c r="AS37" s="359" t="s">
        <v>2322</v>
      </c>
      <c r="AV37" s="108" t="s">
        <v>129</v>
      </c>
      <c r="AW37" s="107">
        <v>593</v>
      </c>
      <c r="AX37" s="107">
        <v>375</v>
      </c>
      <c r="AY37" s="107">
        <v>117</v>
      </c>
      <c r="AZ37" s="107">
        <v>101</v>
      </c>
      <c r="BA37" s="132">
        <v>423815</v>
      </c>
      <c r="BB37" s="132">
        <v>337577</v>
      </c>
      <c r="BC37" s="132">
        <v>45796</v>
      </c>
      <c r="BD37" s="132">
        <v>40442</v>
      </c>
      <c r="BE37" s="132">
        <v>1308</v>
      </c>
      <c r="BF37" s="107">
        <v>988</v>
      </c>
      <c r="BG37" s="107">
        <v>154</v>
      </c>
      <c r="BH37" s="107">
        <v>166</v>
      </c>
      <c r="BI37" s="3"/>
      <c r="BL37" s="13" t="s">
        <v>2361</v>
      </c>
      <c r="BM37" s="14"/>
      <c r="BN37" s="14"/>
      <c r="BO37" s="14"/>
      <c r="BP37" s="14"/>
      <c r="BQ37" s="14"/>
      <c r="BR37" s="14"/>
    </row>
    <row r="38" spans="1:70" ht="12" customHeight="1">
      <c r="A38" s="2246" t="s">
        <v>2274</v>
      </c>
      <c r="B38" s="2246"/>
      <c r="C38" s="2"/>
      <c r="D38" s="3"/>
      <c r="E38" s="3"/>
      <c r="F38" s="3"/>
      <c r="G38" s="3"/>
      <c r="W38" s="2" t="s">
        <v>2274</v>
      </c>
      <c r="X38" s="2"/>
      <c r="Y38" s="2"/>
      <c r="Z38" s="2"/>
      <c r="AA38" s="2"/>
      <c r="AB38" s="2"/>
      <c r="AF38" s="2256"/>
      <c r="AG38" s="2258"/>
      <c r="AH38" s="2260"/>
      <c r="AI38" s="2258"/>
      <c r="AJ38" s="2260"/>
      <c r="AK38" s="352" t="s">
        <v>2343</v>
      </c>
      <c r="AL38" s="354" t="s">
        <v>2344</v>
      </c>
      <c r="AM38" s="352" t="s">
        <v>2345</v>
      </c>
      <c r="AN38" s="355" t="s">
        <v>2346</v>
      </c>
      <c r="AO38" s="352" t="s">
        <v>2339</v>
      </c>
      <c r="AP38" s="354" t="s">
        <v>2340</v>
      </c>
      <c r="AQ38" s="352" t="s">
        <v>2347</v>
      </c>
      <c r="AR38" s="354" t="s">
        <v>2348</v>
      </c>
      <c r="AS38" s="356"/>
      <c r="AV38" s="3" t="s">
        <v>2320</v>
      </c>
      <c r="AW38" s="22">
        <v>407</v>
      </c>
      <c r="AX38" s="22">
        <v>293</v>
      </c>
      <c r="AY38" s="22">
        <v>75</v>
      </c>
      <c r="AZ38" s="22">
        <v>39</v>
      </c>
      <c r="BA38" s="53">
        <v>100049</v>
      </c>
      <c r="BB38" s="53">
        <v>93182</v>
      </c>
      <c r="BC38" s="53">
        <v>5115</v>
      </c>
      <c r="BD38" s="53">
        <v>1752</v>
      </c>
      <c r="BE38" s="22">
        <v>337</v>
      </c>
      <c r="BF38" s="22">
        <v>304</v>
      </c>
      <c r="BG38" s="22">
        <v>24</v>
      </c>
      <c r="BH38" s="22">
        <v>9</v>
      </c>
      <c r="BI38" s="2"/>
      <c r="BL38" s="13" t="s">
        <v>2406</v>
      </c>
      <c r="BM38" s="14"/>
      <c r="BN38" s="14"/>
      <c r="BO38" s="14"/>
      <c r="BP38" s="14"/>
      <c r="BQ38" s="14"/>
      <c r="BR38" s="14"/>
    </row>
    <row r="39" spans="1:70" ht="12.95" customHeight="1">
      <c r="A39" s="32" t="s">
        <v>2249</v>
      </c>
      <c r="B39" s="17">
        <v>2024</v>
      </c>
      <c r="C39" s="17">
        <v>2023</v>
      </c>
      <c r="D39" s="17">
        <v>2022</v>
      </c>
      <c r="E39" s="17">
        <v>2021</v>
      </c>
      <c r="F39" s="28">
        <v>2020</v>
      </c>
      <c r="G39" s="2"/>
      <c r="W39" s="32" t="s">
        <v>2249</v>
      </c>
      <c r="X39" s="17">
        <v>2024</v>
      </c>
      <c r="Y39" s="17">
        <v>2023</v>
      </c>
      <c r="Z39" s="17">
        <v>2022</v>
      </c>
      <c r="AA39" s="17">
        <v>2021</v>
      </c>
      <c r="AB39" s="28">
        <v>2020</v>
      </c>
      <c r="AF39" s="3" t="s">
        <v>129</v>
      </c>
      <c r="AG39" s="22">
        <v>924</v>
      </c>
      <c r="AH39" s="22">
        <v>380</v>
      </c>
      <c r="AI39" s="22">
        <v>108</v>
      </c>
      <c r="AJ39" s="22">
        <v>40</v>
      </c>
      <c r="AK39" s="22">
        <v>7</v>
      </c>
      <c r="AL39" s="22">
        <v>34</v>
      </c>
      <c r="AM39" s="22">
        <v>124</v>
      </c>
      <c r="AN39" s="22">
        <v>8</v>
      </c>
      <c r="AO39" s="22">
        <v>17</v>
      </c>
      <c r="AP39" s="22">
        <v>7</v>
      </c>
      <c r="AQ39" s="22">
        <v>41</v>
      </c>
      <c r="AR39" s="22">
        <v>15</v>
      </c>
      <c r="AS39" s="22">
        <v>143</v>
      </c>
      <c r="AV39" s="3" t="s">
        <v>2333</v>
      </c>
      <c r="AW39" s="22">
        <v>123</v>
      </c>
      <c r="AX39" s="22">
        <v>19</v>
      </c>
      <c r="AY39" s="22">
        <v>42</v>
      </c>
      <c r="AZ39" s="22">
        <v>62</v>
      </c>
      <c r="BA39" s="53">
        <v>238995</v>
      </c>
      <c r="BB39" s="53">
        <v>159624</v>
      </c>
      <c r="BC39" s="53">
        <v>40681</v>
      </c>
      <c r="BD39" s="53">
        <v>38690</v>
      </c>
      <c r="BE39" s="22">
        <v>755</v>
      </c>
      <c r="BF39" s="22">
        <v>468</v>
      </c>
      <c r="BG39" s="22">
        <v>130</v>
      </c>
      <c r="BH39" s="22">
        <v>157</v>
      </c>
      <c r="BI39" s="2"/>
    </row>
    <row r="40" spans="1:70" ht="12.95" customHeight="1">
      <c r="A40" s="3" t="s">
        <v>129</v>
      </c>
      <c r="B40" s="53">
        <v>803864</v>
      </c>
      <c r="C40" s="53">
        <v>807429</v>
      </c>
      <c r="D40" s="53">
        <v>809603</v>
      </c>
      <c r="E40" s="53">
        <v>810541</v>
      </c>
      <c r="F40" s="53">
        <v>800853</v>
      </c>
      <c r="G40" s="2"/>
      <c r="W40" s="3" t="s">
        <v>129</v>
      </c>
      <c r="X40" s="53">
        <v>867179</v>
      </c>
      <c r="Y40" s="53">
        <v>856374</v>
      </c>
      <c r="Z40" s="53">
        <v>847408</v>
      </c>
      <c r="AA40" s="53">
        <v>838850</v>
      </c>
      <c r="AB40" s="53">
        <v>822532</v>
      </c>
      <c r="AF40" s="3" t="s">
        <v>2349</v>
      </c>
      <c r="AG40" s="22">
        <v>25</v>
      </c>
      <c r="AH40" s="22">
        <v>7</v>
      </c>
      <c r="AI40" s="22">
        <v>3</v>
      </c>
      <c r="AJ40" s="22">
        <v>1</v>
      </c>
      <c r="AK40" s="22">
        <v>1</v>
      </c>
      <c r="AL40" s="22">
        <v>3</v>
      </c>
      <c r="AM40" s="22">
        <v>3</v>
      </c>
      <c r="AN40" s="22">
        <v>2</v>
      </c>
      <c r="AO40" s="22">
        <v>3</v>
      </c>
      <c r="AP40" s="22">
        <v>0</v>
      </c>
      <c r="AQ40" s="22">
        <v>1</v>
      </c>
      <c r="AR40" s="22">
        <v>0</v>
      </c>
      <c r="AS40" s="22">
        <v>1</v>
      </c>
      <c r="AV40" s="3" t="s">
        <v>2346</v>
      </c>
      <c r="AW40" s="22">
        <v>7</v>
      </c>
      <c r="AX40" s="22">
        <v>7</v>
      </c>
      <c r="AY40" s="22" t="s">
        <v>546</v>
      </c>
      <c r="AZ40" s="22" t="s">
        <v>546</v>
      </c>
      <c r="BA40" s="22">
        <v>647</v>
      </c>
      <c r="BB40" s="22">
        <v>647</v>
      </c>
      <c r="BC40" s="22" t="s">
        <v>546</v>
      </c>
      <c r="BD40" s="22" t="s">
        <v>546</v>
      </c>
      <c r="BE40" s="22">
        <v>2</v>
      </c>
      <c r="BF40" s="22">
        <v>2</v>
      </c>
      <c r="BG40" s="22" t="s">
        <v>546</v>
      </c>
      <c r="BH40" s="22" t="s">
        <v>546</v>
      </c>
      <c r="BI40" s="2"/>
    </row>
    <row r="41" spans="1:70" ht="12.95" customHeight="1">
      <c r="A41" s="2" t="s">
        <v>2250</v>
      </c>
      <c r="B41" s="47">
        <v>19038</v>
      </c>
      <c r="C41" s="47">
        <v>19068</v>
      </c>
      <c r="D41" s="47">
        <v>18706</v>
      </c>
      <c r="E41" s="47">
        <v>18805</v>
      </c>
      <c r="F41" s="47">
        <v>19014</v>
      </c>
      <c r="G41" s="2"/>
      <c r="W41" s="3" t="s">
        <v>2250</v>
      </c>
      <c r="X41" s="53">
        <v>21605</v>
      </c>
      <c r="Y41" s="53">
        <v>21607</v>
      </c>
      <c r="Z41" s="53">
        <v>21592</v>
      </c>
      <c r="AA41" s="53">
        <v>21715</v>
      </c>
      <c r="AB41" s="53">
        <v>21722</v>
      </c>
      <c r="AF41" s="3" t="s">
        <v>2350</v>
      </c>
      <c r="AG41" s="22">
        <v>36</v>
      </c>
      <c r="AH41" s="22">
        <v>19</v>
      </c>
      <c r="AI41" s="22">
        <v>3</v>
      </c>
      <c r="AJ41" s="22">
        <v>3</v>
      </c>
      <c r="AK41" s="22">
        <v>0</v>
      </c>
      <c r="AL41" s="22">
        <v>3</v>
      </c>
      <c r="AM41" s="22">
        <v>5</v>
      </c>
      <c r="AN41" s="22">
        <v>0</v>
      </c>
      <c r="AO41" s="22">
        <v>0</v>
      </c>
      <c r="AP41" s="22">
        <v>0</v>
      </c>
      <c r="AQ41" s="22">
        <v>0</v>
      </c>
      <c r="AR41" s="22">
        <v>1</v>
      </c>
      <c r="AS41" s="22">
        <v>2</v>
      </c>
      <c r="AV41" s="3" t="s">
        <v>2334</v>
      </c>
      <c r="AW41" s="22">
        <v>55</v>
      </c>
      <c r="AX41" s="22">
        <v>55</v>
      </c>
      <c r="AY41" s="22" t="s">
        <v>546</v>
      </c>
      <c r="AZ41" s="22" t="s">
        <v>546</v>
      </c>
      <c r="BA41" s="53">
        <v>83638</v>
      </c>
      <c r="BB41" s="53">
        <v>83638</v>
      </c>
      <c r="BC41" s="22" t="s">
        <v>546</v>
      </c>
      <c r="BD41" s="22" t="s">
        <v>546</v>
      </c>
      <c r="BE41" s="22">
        <v>211</v>
      </c>
      <c r="BF41" s="22">
        <v>211</v>
      </c>
      <c r="BG41" s="22" t="s">
        <v>546</v>
      </c>
      <c r="BH41" s="22" t="s">
        <v>546</v>
      </c>
      <c r="BI41" s="2"/>
    </row>
    <row r="42" spans="1:70" ht="12.95" customHeight="1">
      <c r="A42" s="2" t="s">
        <v>2251</v>
      </c>
      <c r="B42" s="47">
        <v>1942</v>
      </c>
      <c r="C42" s="47">
        <v>1910</v>
      </c>
      <c r="D42" s="2"/>
      <c r="E42" s="2"/>
      <c r="F42" s="2"/>
      <c r="G42" s="2"/>
      <c r="W42" s="3" t="s">
        <v>2251</v>
      </c>
      <c r="X42" s="53">
        <v>2441</v>
      </c>
      <c r="Y42" s="53">
        <v>2432</v>
      </c>
      <c r="Z42" s="3"/>
      <c r="AA42" s="3"/>
      <c r="AB42" s="3"/>
      <c r="AF42" s="3" t="s">
        <v>2351</v>
      </c>
      <c r="AG42" s="22">
        <v>21</v>
      </c>
      <c r="AH42" s="22">
        <v>8</v>
      </c>
      <c r="AI42" s="22">
        <v>2</v>
      </c>
      <c r="AJ42" s="22">
        <v>2</v>
      </c>
      <c r="AK42" s="22">
        <v>0</v>
      </c>
      <c r="AL42" s="22">
        <v>2</v>
      </c>
      <c r="AM42" s="22">
        <v>3</v>
      </c>
      <c r="AN42" s="22">
        <v>0</v>
      </c>
      <c r="AO42" s="22">
        <v>1</v>
      </c>
      <c r="AP42" s="22">
        <v>0</v>
      </c>
      <c r="AQ42" s="22">
        <v>1</v>
      </c>
      <c r="AR42" s="22">
        <v>1</v>
      </c>
      <c r="AS42" s="22">
        <v>1</v>
      </c>
      <c r="AV42" s="3" t="s">
        <v>2369</v>
      </c>
      <c r="AW42" s="22">
        <v>1</v>
      </c>
      <c r="AX42" s="22">
        <v>1</v>
      </c>
      <c r="AY42" s="22" t="s">
        <v>546</v>
      </c>
      <c r="AZ42" s="22" t="s">
        <v>546</v>
      </c>
      <c r="BA42" s="22">
        <v>486</v>
      </c>
      <c r="BB42" s="22">
        <v>486</v>
      </c>
      <c r="BC42" s="22" t="s">
        <v>546</v>
      </c>
      <c r="BD42" s="22" t="s">
        <v>546</v>
      </c>
      <c r="BE42" s="22">
        <v>3</v>
      </c>
      <c r="BF42" s="22">
        <v>3</v>
      </c>
      <c r="BG42" s="22" t="s">
        <v>546</v>
      </c>
      <c r="BH42" s="22" t="s">
        <v>546</v>
      </c>
      <c r="BI42" s="2"/>
    </row>
    <row r="43" spans="1:70" ht="12.95" customHeight="1">
      <c r="A43" s="2" t="s">
        <v>2252</v>
      </c>
      <c r="B43" s="47">
        <v>11486</v>
      </c>
      <c r="C43" s="47">
        <v>11967</v>
      </c>
      <c r="D43" s="47">
        <v>11528</v>
      </c>
      <c r="E43" s="47">
        <v>11375</v>
      </c>
      <c r="F43" s="47">
        <v>11203</v>
      </c>
      <c r="G43" s="2"/>
      <c r="W43" s="3" t="s">
        <v>2252</v>
      </c>
      <c r="X43" s="53">
        <v>7961</v>
      </c>
      <c r="Y43" s="53">
        <v>7621</v>
      </c>
      <c r="Z43" s="53">
        <v>7517</v>
      </c>
      <c r="AA43" s="53">
        <v>7490</v>
      </c>
      <c r="AB43" s="53">
        <v>7270</v>
      </c>
      <c r="AF43" s="3" t="s">
        <v>2253</v>
      </c>
      <c r="AG43" s="22">
        <v>76</v>
      </c>
      <c r="AH43" s="22">
        <v>27</v>
      </c>
      <c r="AI43" s="22">
        <v>6</v>
      </c>
      <c r="AJ43" s="22">
        <v>4</v>
      </c>
      <c r="AK43" s="22">
        <v>0</v>
      </c>
      <c r="AL43" s="22">
        <v>1</v>
      </c>
      <c r="AM43" s="22">
        <v>19</v>
      </c>
      <c r="AN43" s="22">
        <v>0</v>
      </c>
      <c r="AO43" s="22">
        <v>1</v>
      </c>
      <c r="AP43" s="22">
        <v>1</v>
      </c>
      <c r="AQ43" s="22">
        <v>4</v>
      </c>
      <c r="AR43" s="22">
        <v>2</v>
      </c>
      <c r="AS43" s="22">
        <v>11</v>
      </c>
      <c r="AV43" s="3" t="s">
        <v>2370</v>
      </c>
      <c r="AW43" s="22">
        <v>44</v>
      </c>
      <c r="AX43" s="22">
        <v>44</v>
      </c>
      <c r="AY43" s="22" t="s">
        <v>546</v>
      </c>
      <c r="AZ43" s="22" t="s">
        <v>546</v>
      </c>
      <c r="BA43" s="53">
        <v>127047</v>
      </c>
      <c r="BB43" s="53">
        <v>127047</v>
      </c>
      <c r="BC43" s="22" t="s">
        <v>546</v>
      </c>
      <c r="BD43" s="22" t="s">
        <v>546</v>
      </c>
      <c r="BE43" s="22">
        <v>321</v>
      </c>
      <c r="BF43" s="22">
        <v>321</v>
      </c>
      <c r="BG43" s="22" t="s">
        <v>546</v>
      </c>
      <c r="BH43" s="22" t="s">
        <v>546</v>
      </c>
      <c r="BI43" s="2"/>
    </row>
    <row r="44" spans="1:70" ht="12.95" customHeight="1">
      <c r="A44" s="2" t="s">
        <v>2253</v>
      </c>
      <c r="B44" s="47">
        <v>97835</v>
      </c>
      <c r="C44" s="47">
        <v>98527</v>
      </c>
      <c r="D44" s="47">
        <v>120465</v>
      </c>
      <c r="E44" s="47">
        <v>120427</v>
      </c>
      <c r="F44" s="47">
        <v>119862</v>
      </c>
      <c r="G44" s="2"/>
      <c r="W44" s="3" t="s">
        <v>2253</v>
      </c>
      <c r="X44" s="53">
        <v>99351</v>
      </c>
      <c r="Y44" s="53">
        <v>98489</v>
      </c>
      <c r="Z44" s="53">
        <v>123840</v>
      </c>
      <c r="AA44" s="53">
        <v>121553</v>
      </c>
      <c r="AB44" s="53">
        <v>119737</v>
      </c>
      <c r="AF44" s="3" t="s">
        <v>2352</v>
      </c>
      <c r="AG44" s="22">
        <v>53</v>
      </c>
      <c r="AH44" s="22">
        <v>26</v>
      </c>
      <c r="AI44" s="22">
        <v>2</v>
      </c>
      <c r="AJ44" s="22">
        <v>3</v>
      </c>
      <c r="AK44" s="22">
        <v>0</v>
      </c>
      <c r="AL44" s="22">
        <v>0</v>
      </c>
      <c r="AM44" s="22">
        <v>6</v>
      </c>
      <c r="AN44" s="22">
        <v>0</v>
      </c>
      <c r="AO44" s="22">
        <v>0</v>
      </c>
      <c r="AP44" s="22">
        <v>0</v>
      </c>
      <c r="AQ44" s="22">
        <v>5</v>
      </c>
      <c r="AR44" s="22">
        <v>0</v>
      </c>
      <c r="AS44" s="22">
        <v>11</v>
      </c>
      <c r="AV44" s="3" t="s">
        <v>2371</v>
      </c>
      <c r="AW44" s="22">
        <v>146</v>
      </c>
      <c r="AX44" s="22">
        <v>146</v>
      </c>
      <c r="AY44" s="22" t="s">
        <v>546</v>
      </c>
      <c r="AZ44" s="22" t="s">
        <v>546</v>
      </c>
      <c r="BA44" s="53">
        <v>5107</v>
      </c>
      <c r="BB44" s="53">
        <v>5107</v>
      </c>
      <c r="BC44" s="22" t="s">
        <v>546</v>
      </c>
      <c r="BD44" s="22" t="s">
        <v>546</v>
      </c>
      <c r="BE44" s="22">
        <v>37</v>
      </c>
      <c r="BF44" s="22">
        <v>37</v>
      </c>
      <c r="BG44" s="22" t="s">
        <v>546</v>
      </c>
      <c r="BH44" s="22" t="s">
        <v>546</v>
      </c>
      <c r="BI44" s="2"/>
    </row>
    <row r="45" spans="1:70" ht="12.95" customHeight="1">
      <c r="A45" s="2" t="s">
        <v>2254</v>
      </c>
      <c r="B45" s="47">
        <v>11183</v>
      </c>
      <c r="C45" s="47">
        <v>11118</v>
      </c>
      <c r="D45" s="2"/>
      <c r="E45" s="2"/>
      <c r="F45" s="2"/>
      <c r="G45" s="2"/>
      <c r="W45" s="3" t="s">
        <v>2254</v>
      </c>
      <c r="X45" s="53">
        <v>11728</v>
      </c>
      <c r="Y45" s="53">
        <v>11424</v>
      </c>
      <c r="Z45" s="3"/>
      <c r="AA45" s="3"/>
      <c r="AB45" s="3"/>
      <c r="AF45" s="3" t="s">
        <v>2177</v>
      </c>
      <c r="AG45" s="22">
        <v>186</v>
      </c>
      <c r="AH45" s="22">
        <v>101</v>
      </c>
      <c r="AI45" s="22">
        <v>22</v>
      </c>
      <c r="AJ45" s="22">
        <v>1</v>
      </c>
      <c r="AK45" s="22">
        <v>4</v>
      </c>
      <c r="AL45" s="22">
        <v>10</v>
      </c>
      <c r="AM45" s="22">
        <v>20</v>
      </c>
      <c r="AN45" s="22">
        <v>1</v>
      </c>
      <c r="AO45" s="22">
        <v>0</v>
      </c>
      <c r="AP45" s="22">
        <v>1</v>
      </c>
      <c r="AQ45" s="22">
        <v>7</v>
      </c>
      <c r="AR45" s="22">
        <v>3</v>
      </c>
      <c r="AS45" s="22">
        <v>17</v>
      </c>
      <c r="AV45" s="3" t="s">
        <v>2339</v>
      </c>
      <c r="AW45" s="22">
        <v>22</v>
      </c>
      <c r="AX45" s="22">
        <v>22</v>
      </c>
      <c r="AY45" s="22" t="s">
        <v>546</v>
      </c>
      <c r="AZ45" s="22" t="s">
        <v>546</v>
      </c>
      <c r="BA45" s="22">
        <v>262</v>
      </c>
      <c r="BB45" s="22">
        <v>262</v>
      </c>
      <c r="BC45" s="22" t="s">
        <v>546</v>
      </c>
      <c r="BD45" s="22" t="s">
        <v>546</v>
      </c>
      <c r="BE45" s="22">
        <v>8</v>
      </c>
      <c r="BF45" s="22">
        <v>8</v>
      </c>
      <c r="BG45" s="22" t="s">
        <v>546</v>
      </c>
      <c r="BH45" s="22" t="s">
        <v>546</v>
      </c>
      <c r="BI45" s="2"/>
    </row>
    <row r="46" spans="1:70" ht="12.95" customHeight="1">
      <c r="A46" s="2" t="s">
        <v>2177</v>
      </c>
      <c r="B46" s="47">
        <v>273531</v>
      </c>
      <c r="C46" s="47">
        <v>281164</v>
      </c>
      <c r="D46" s="47">
        <v>355869</v>
      </c>
      <c r="E46" s="47">
        <v>356918</v>
      </c>
      <c r="F46" s="47">
        <v>348337</v>
      </c>
      <c r="G46" s="2"/>
      <c r="W46" s="3" t="s">
        <v>2177</v>
      </c>
      <c r="X46" s="53">
        <v>333675</v>
      </c>
      <c r="Y46" s="53">
        <v>337059</v>
      </c>
      <c r="Z46" s="53">
        <v>443630</v>
      </c>
      <c r="AA46" s="53">
        <v>440976</v>
      </c>
      <c r="AB46" s="53">
        <v>428379</v>
      </c>
      <c r="AF46" s="3" t="s">
        <v>2276</v>
      </c>
      <c r="AG46" s="22">
        <v>12</v>
      </c>
      <c r="AH46" s="22">
        <v>4</v>
      </c>
      <c r="AI46" s="22">
        <v>0</v>
      </c>
      <c r="AJ46" s="22">
        <v>3</v>
      </c>
      <c r="AK46" s="22">
        <v>0</v>
      </c>
      <c r="AL46" s="22">
        <v>0</v>
      </c>
      <c r="AM46" s="22">
        <v>0</v>
      </c>
      <c r="AN46" s="22">
        <v>0</v>
      </c>
      <c r="AO46" s="22">
        <v>0</v>
      </c>
      <c r="AP46" s="22">
        <v>0</v>
      </c>
      <c r="AQ46" s="22">
        <v>2</v>
      </c>
      <c r="AR46" s="22">
        <v>2</v>
      </c>
      <c r="AS46" s="22">
        <v>1</v>
      </c>
      <c r="AV46" s="3" t="s">
        <v>2340</v>
      </c>
      <c r="AW46" s="22">
        <v>13</v>
      </c>
      <c r="AX46" s="22">
        <v>13</v>
      </c>
      <c r="AY46" s="22" t="s">
        <v>546</v>
      </c>
      <c r="AZ46" s="22" t="s">
        <v>546</v>
      </c>
      <c r="BA46" s="22">
        <v>216</v>
      </c>
      <c r="BB46" s="22">
        <v>216</v>
      </c>
      <c r="BC46" s="22" t="s">
        <v>546</v>
      </c>
      <c r="BD46" s="22" t="s">
        <v>546</v>
      </c>
      <c r="BE46" s="22">
        <v>7</v>
      </c>
      <c r="BF46" s="22">
        <v>7</v>
      </c>
      <c r="BG46" s="22" t="s">
        <v>546</v>
      </c>
      <c r="BH46" s="22" t="s">
        <v>546</v>
      </c>
      <c r="BI46" s="2"/>
    </row>
    <row r="47" spans="1:70" ht="12.95" customHeight="1">
      <c r="A47" s="2" t="s">
        <v>2255</v>
      </c>
      <c r="B47" s="47">
        <v>23542</v>
      </c>
      <c r="C47" s="47">
        <v>23607</v>
      </c>
      <c r="D47" s="47">
        <v>23586</v>
      </c>
      <c r="E47" s="47">
        <v>23566</v>
      </c>
      <c r="F47" s="47">
        <v>23559</v>
      </c>
      <c r="G47" s="2"/>
      <c r="W47" s="3" t="s">
        <v>2255</v>
      </c>
      <c r="X47" s="53">
        <v>21412</v>
      </c>
      <c r="Y47" s="53">
        <v>21390</v>
      </c>
      <c r="Z47" s="53">
        <v>21371</v>
      </c>
      <c r="AA47" s="53">
        <v>21290</v>
      </c>
      <c r="AB47" s="53">
        <v>21143</v>
      </c>
      <c r="AF47" s="3" t="s">
        <v>2185</v>
      </c>
      <c r="AG47" s="22">
        <v>110</v>
      </c>
      <c r="AH47" s="22">
        <v>39</v>
      </c>
      <c r="AI47" s="22">
        <v>2</v>
      </c>
      <c r="AJ47" s="22">
        <v>12</v>
      </c>
      <c r="AK47" s="22">
        <v>0</v>
      </c>
      <c r="AL47" s="22">
        <v>3</v>
      </c>
      <c r="AM47" s="22">
        <v>21</v>
      </c>
      <c r="AN47" s="22">
        <v>0</v>
      </c>
      <c r="AO47" s="22">
        <v>2</v>
      </c>
      <c r="AP47" s="22">
        <v>1</v>
      </c>
      <c r="AQ47" s="22">
        <v>4</v>
      </c>
      <c r="AR47" s="22">
        <v>1</v>
      </c>
      <c r="AS47" s="22">
        <v>25</v>
      </c>
      <c r="AV47" s="3" t="s">
        <v>2372</v>
      </c>
      <c r="AW47" s="22">
        <v>57</v>
      </c>
      <c r="AX47" s="22">
        <v>57</v>
      </c>
      <c r="AY47" s="22" t="s">
        <v>546</v>
      </c>
      <c r="AZ47" s="22" t="s">
        <v>546</v>
      </c>
      <c r="BA47" s="53">
        <v>1782</v>
      </c>
      <c r="BB47" s="53">
        <v>1782</v>
      </c>
      <c r="BC47" s="22" t="s">
        <v>546</v>
      </c>
      <c r="BD47" s="22" t="s">
        <v>546</v>
      </c>
      <c r="BE47" s="22">
        <v>14</v>
      </c>
      <c r="BF47" s="22">
        <v>14</v>
      </c>
      <c r="BG47" s="22" t="s">
        <v>546</v>
      </c>
      <c r="BH47" s="22" t="s">
        <v>546</v>
      </c>
      <c r="BI47" s="2"/>
    </row>
    <row r="48" spans="1:70" ht="15" customHeight="1">
      <c r="A48" s="2" t="s">
        <v>2275</v>
      </c>
      <c r="B48" s="47">
        <v>5406</v>
      </c>
      <c r="C48" s="47">
        <v>5404</v>
      </c>
      <c r="D48" s="47">
        <v>6266</v>
      </c>
      <c r="E48" s="47">
        <v>6337</v>
      </c>
      <c r="F48" s="47">
        <v>6375</v>
      </c>
      <c r="G48" s="2"/>
      <c r="W48" s="3" t="s">
        <v>2256</v>
      </c>
      <c r="X48" s="53">
        <v>1498</v>
      </c>
      <c r="Y48" s="53">
        <v>1479</v>
      </c>
      <c r="Z48" s="53">
        <v>1479</v>
      </c>
      <c r="AA48" s="53">
        <v>1478</v>
      </c>
      <c r="AB48" s="53">
        <v>1485</v>
      </c>
      <c r="AF48" s="3" t="s">
        <v>2353</v>
      </c>
      <c r="AG48" s="22">
        <v>4</v>
      </c>
      <c r="AH48" s="22">
        <v>2</v>
      </c>
      <c r="AI48" s="22">
        <v>0</v>
      </c>
      <c r="AJ48" s="22">
        <v>0</v>
      </c>
      <c r="AK48" s="22">
        <v>0</v>
      </c>
      <c r="AL48" s="22">
        <v>1</v>
      </c>
      <c r="AM48" s="22">
        <v>0</v>
      </c>
      <c r="AN48" s="22">
        <v>0</v>
      </c>
      <c r="AO48" s="22">
        <v>0</v>
      </c>
      <c r="AP48" s="22">
        <v>0</v>
      </c>
      <c r="AQ48" s="22">
        <v>0</v>
      </c>
      <c r="AR48" s="22">
        <v>0</v>
      </c>
      <c r="AS48" s="22">
        <v>1</v>
      </c>
      <c r="AV48" s="3" t="s">
        <v>2373</v>
      </c>
      <c r="AW48" s="22">
        <v>19</v>
      </c>
      <c r="AX48" s="22">
        <v>19</v>
      </c>
      <c r="AY48" s="22" t="s">
        <v>546</v>
      </c>
      <c r="AZ48" s="22" t="s">
        <v>546</v>
      </c>
      <c r="BA48" s="22">
        <v>878</v>
      </c>
      <c r="BB48" s="22">
        <v>878</v>
      </c>
      <c r="BC48" s="22" t="s">
        <v>546</v>
      </c>
      <c r="BD48" s="22" t="s">
        <v>546</v>
      </c>
      <c r="BE48" s="22">
        <v>5</v>
      </c>
      <c r="BF48" s="22">
        <v>5</v>
      </c>
      <c r="BG48" s="22" t="s">
        <v>546</v>
      </c>
      <c r="BH48" s="22" t="s">
        <v>546</v>
      </c>
      <c r="BI48" s="2"/>
    </row>
    <row r="49" spans="1:61" ht="12" customHeight="1">
      <c r="A49" s="2" t="s">
        <v>2276</v>
      </c>
      <c r="B49" s="47">
        <v>21649</v>
      </c>
      <c r="C49" s="47">
        <v>21760</v>
      </c>
      <c r="D49" s="47">
        <v>21822</v>
      </c>
      <c r="E49" s="47">
        <v>21780</v>
      </c>
      <c r="F49" s="47">
        <v>21396</v>
      </c>
      <c r="G49" s="2"/>
      <c r="W49" s="3" t="s">
        <v>2257</v>
      </c>
      <c r="X49" s="53">
        <v>7253</v>
      </c>
      <c r="Y49" s="53">
        <v>7279</v>
      </c>
      <c r="Z49" s="53">
        <v>7212</v>
      </c>
      <c r="AA49" s="53">
        <v>7249</v>
      </c>
      <c r="AB49" s="53">
        <v>7262</v>
      </c>
      <c r="AF49" s="3" t="s">
        <v>2354</v>
      </c>
      <c r="AG49" s="22">
        <v>18</v>
      </c>
      <c r="AH49" s="22">
        <v>15</v>
      </c>
      <c r="AI49" s="22">
        <v>0</v>
      </c>
      <c r="AJ49" s="22">
        <v>0</v>
      </c>
      <c r="AK49" s="22">
        <v>0</v>
      </c>
      <c r="AL49" s="22">
        <v>0</v>
      </c>
      <c r="AM49" s="22">
        <v>3</v>
      </c>
      <c r="AN49" s="22">
        <v>0</v>
      </c>
      <c r="AO49" s="22">
        <v>0</v>
      </c>
      <c r="AP49" s="22">
        <v>0</v>
      </c>
      <c r="AQ49" s="22">
        <v>0</v>
      </c>
      <c r="AR49" s="22">
        <v>0</v>
      </c>
      <c r="AS49" s="22">
        <v>0</v>
      </c>
      <c r="AV49" s="23" t="s">
        <v>2322</v>
      </c>
      <c r="AW49" s="29">
        <v>112</v>
      </c>
      <c r="AX49" s="29">
        <v>112</v>
      </c>
      <c r="AY49" s="29" t="s">
        <v>546</v>
      </c>
      <c r="AZ49" s="29" t="s">
        <v>546</v>
      </c>
      <c r="BA49" s="54">
        <v>22003</v>
      </c>
      <c r="BB49" s="54">
        <v>22003</v>
      </c>
      <c r="BC49" s="29" t="s">
        <v>546</v>
      </c>
      <c r="BD49" s="29" t="s">
        <v>546</v>
      </c>
      <c r="BE49" s="29">
        <v>80</v>
      </c>
      <c r="BF49" s="29">
        <v>80</v>
      </c>
      <c r="BG49" s="29" t="s">
        <v>546</v>
      </c>
      <c r="BH49" s="29" t="s">
        <v>546</v>
      </c>
      <c r="BI49" s="2"/>
    </row>
    <row r="50" spans="1:61" ht="12" customHeight="1">
      <c r="A50" s="2" t="s">
        <v>2185</v>
      </c>
      <c r="B50" s="47">
        <v>22157</v>
      </c>
      <c r="C50" s="47">
        <v>22167</v>
      </c>
      <c r="D50" s="2"/>
      <c r="E50" s="2"/>
      <c r="F50" s="2"/>
      <c r="G50" s="2"/>
      <c r="W50" s="3" t="s">
        <v>2258</v>
      </c>
      <c r="X50" s="53">
        <v>9567</v>
      </c>
      <c r="Y50" s="3"/>
      <c r="Z50" s="53">
        <v>9607</v>
      </c>
      <c r="AA50" s="53">
        <v>9637</v>
      </c>
      <c r="AB50" s="53">
        <v>9723</v>
      </c>
      <c r="AF50" s="3" t="s">
        <v>2261</v>
      </c>
      <c r="AG50" s="22">
        <v>8</v>
      </c>
      <c r="AH50" s="22">
        <v>2</v>
      </c>
      <c r="AI50" s="22">
        <v>3</v>
      </c>
      <c r="AJ50" s="22">
        <v>0</v>
      </c>
      <c r="AK50" s="22">
        <v>0</v>
      </c>
      <c r="AL50" s="22">
        <v>0</v>
      </c>
      <c r="AM50" s="22">
        <v>1</v>
      </c>
      <c r="AN50" s="22">
        <v>0</v>
      </c>
      <c r="AO50" s="22">
        <v>0</v>
      </c>
      <c r="AP50" s="22">
        <v>0</v>
      </c>
      <c r="AQ50" s="22">
        <v>0</v>
      </c>
      <c r="AR50" s="22">
        <v>0</v>
      </c>
      <c r="AS50" s="22">
        <v>2</v>
      </c>
      <c r="AV50" s="2252" t="s">
        <v>2361</v>
      </c>
      <c r="AW50" s="2252"/>
      <c r="AX50" s="2252"/>
      <c r="AY50" s="2252"/>
      <c r="AZ50" s="2252"/>
      <c r="BA50" s="2252"/>
      <c r="BB50" s="2252"/>
      <c r="BC50" s="2252"/>
      <c r="BD50" s="2252"/>
      <c r="BE50" s="2252"/>
      <c r="BF50" s="2252"/>
      <c r="BG50" s="2252"/>
      <c r="BH50" s="2"/>
      <c r="BI50" s="2"/>
    </row>
    <row r="51" spans="1:61" ht="12.95" customHeight="1">
      <c r="A51" s="2" t="s">
        <v>2258</v>
      </c>
      <c r="B51" s="47">
        <v>7128</v>
      </c>
      <c r="C51" s="2"/>
      <c r="D51" s="47">
        <v>7310</v>
      </c>
      <c r="E51" s="47">
        <v>7380</v>
      </c>
      <c r="F51" s="47">
        <v>7477</v>
      </c>
      <c r="G51" s="2"/>
      <c r="W51" s="3" t="s">
        <v>2259</v>
      </c>
      <c r="X51" s="53">
        <v>4467</v>
      </c>
      <c r="Y51" s="53">
        <v>4443</v>
      </c>
      <c r="Z51" s="53">
        <v>4426</v>
      </c>
      <c r="AA51" s="53">
        <v>4420</v>
      </c>
      <c r="AB51" s="53">
        <v>4423</v>
      </c>
      <c r="AF51" s="3" t="s">
        <v>2201</v>
      </c>
      <c r="AG51" s="22">
        <v>25</v>
      </c>
      <c r="AH51" s="22">
        <v>14</v>
      </c>
      <c r="AI51" s="22">
        <v>1</v>
      </c>
      <c r="AJ51" s="22">
        <v>0</v>
      </c>
      <c r="AK51" s="22">
        <v>0</v>
      </c>
      <c r="AL51" s="22">
        <v>0</v>
      </c>
      <c r="AM51" s="22">
        <v>4</v>
      </c>
      <c r="AN51" s="22">
        <v>0</v>
      </c>
      <c r="AO51" s="22">
        <v>0</v>
      </c>
      <c r="AP51" s="22">
        <v>0</v>
      </c>
      <c r="AQ51" s="22">
        <v>0</v>
      </c>
      <c r="AR51" s="22">
        <v>0</v>
      </c>
      <c r="AS51" s="22">
        <v>6</v>
      </c>
      <c r="AV51" s="2045" t="s">
        <v>2293</v>
      </c>
      <c r="AW51" s="2045"/>
      <c r="AX51" s="2045"/>
      <c r="AY51" s="2045"/>
      <c r="AZ51" s="2045"/>
      <c r="BA51" s="2045"/>
      <c r="BB51" s="2045"/>
      <c r="BC51" s="2045"/>
      <c r="BD51" s="2045"/>
      <c r="BE51" s="2045"/>
      <c r="BF51" s="2045"/>
      <c r="BG51" s="2045"/>
      <c r="BH51" s="2"/>
      <c r="BI51" s="2"/>
    </row>
    <row r="52" spans="1:61" ht="12.95" customHeight="1">
      <c r="A52" s="2" t="s">
        <v>2259</v>
      </c>
      <c r="B52" s="47">
        <v>12633</v>
      </c>
      <c r="C52" s="47">
        <v>12649</v>
      </c>
      <c r="D52" s="47">
        <v>12914</v>
      </c>
      <c r="E52" s="47">
        <v>12888</v>
      </c>
      <c r="F52" s="47">
        <v>12882</v>
      </c>
      <c r="G52" s="2"/>
      <c r="W52" s="3" t="s">
        <v>2185</v>
      </c>
      <c r="X52" s="53">
        <v>28703</v>
      </c>
      <c r="Y52" s="53">
        <v>27938</v>
      </c>
      <c r="Z52" s="3"/>
      <c r="AA52" s="3"/>
      <c r="AB52" s="3"/>
      <c r="AF52" s="3" t="s">
        <v>2355</v>
      </c>
      <c r="AG52" s="22">
        <v>165</v>
      </c>
      <c r="AH52" s="22">
        <v>25</v>
      </c>
      <c r="AI52" s="22">
        <v>62</v>
      </c>
      <c r="AJ52" s="22">
        <v>6</v>
      </c>
      <c r="AK52" s="22">
        <v>2</v>
      </c>
      <c r="AL52" s="22">
        <v>5</v>
      </c>
      <c r="AM52" s="22">
        <v>15</v>
      </c>
      <c r="AN52" s="22">
        <v>5</v>
      </c>
      <c r="AO52" s="22">
        <v>10</v>
      </c>
      <c r="AP52" s="22">
        <v>3</v>
      </c>
      <c r="AQ52" s="22">
        <v>5</v>
      </c>
      <c r="AR52" s="22">
        <v>2</v>
      </c>
      <c r="AS52" s="22">
        <v>26</v>
      </c>
      <c r="AV52" s="2045"/>
      <c r="AW52" s="2045"/>
      <c r="AX52" s="2045"/>
      <c r="AY52" s="2045"/>
      <c r="AZ52" s="2045"/>
      <c r="BA52" s="2045"/>
      <c r="BB52" s="2045"/>
      <c r="BC52" s="2045"/>
      <c r="BD52" s="2045"/>
      <c r="BE52" s="2045"/>
      <c r="BF52" s="2045"/>
      <c r="BG52" s="2045"/>
      <c r="BH52" s="2"/>
      <c r="BI52" s="2"/>
    </row>
    <row r="53" spans="1:61" ht="13.5" customHeight="1">
      <c r="A53" s="2" t="s">
        <v>2260</v>
      </c>
      <c r="B53" s="47">
        <v>10492</v>
      </c>
      <c r="C53" s="47">
        <v>10496</v>
      </c>
      <c r="D53" s="2"/>
      <c r="E53" s="2"/>
      <c r="F53" s="2"/>
      <c r="G53" s="2"/>
      <c r="W53" s="3" t="s">
        <v>2260</v>
      </c>
      <c r="X53" s="53">
        <v>11650</v>
      </c>
      <c r="Y53" s="53">
        <v>11573</v>
      </c>
      <c r="Z53" s="3"/>
      <c r="AA53" s="3"/>
      <c r="AB53" s="3"/>
      <c r="AF53" s="3" t="s">
        <v>2356</v>
      </c>
      <c r="AG53" s="22">
        <v>4</v>
      </c>
      <c r="AH53" s="22">
        <v>0</v>
      </c>
      <c r="AI53" s="22">
        <v>0</v>
      </c>
      <c r="AJ53" s="22">
        <v>2</v>
      </c>
      <c r="AK53" s="22">
        <v>0</v>
      </c>
      <c r="AL53" s="22">
        <v>0</v>
      </c>
      <c r="AM53" s="22">
        <v>2</v>
      </c>
      <c r="AN53" s="22">
        <v>0</v>
      </c>
      <c r="AO53" s="22">
        <v>0</v>
      </c>
      <c r="AP53" s="22">
        <v>0</v>
      </c>
      <c r="AQ53" s="22">
        <v>0</v>
      </c>
      <c r="AR53" s="22">
        <v>0</v>
      </c>
      <c r="AS53" s="22">
        <v>0</v>
      </c>
      <c r="AV53" s="2036"/>
      <c r="AW53" s="2036"/>
      <c r="AX53" s="2036"/>
      <c r="AY53" s="2036"/>
      <c r="AZ53" s="2036"/>
      <c r="BA53" s="2036"/>
      <c r="BB53" s="2036"/>
      <c r="BC53" s="2036"/>
      <c r="BD53" s="2036"/>
      <c r="BE53" s="2036"/>
      <c r="BF53" s="2036"/>
      <c r="BG53" s="2036"/>
      <c r="BH53" s="2"/>
      <c r="BI53" s="2"/>
    </row>
    <row r="54" spans="1:61" ht="14.25" customHeight="1">
      <c r="A54" s="2" t="s">
        <v>2195</v>
      </c>
      <c r="B54" s="47">
        <v>16995</v>
      </c>
      <c r="C54" s="47">
        <v>16970</v>
      </c>
      <c r="D54" s="47">
        <v>16992</v>
      </c>
      <c r="E54" s="47">
        <v>17164</v>
      </c>
      <c r="F54" s="47">
        <v>17200</v>
      </c>
      <c r="G54" s="2"/>
      <c r="W54" s="3" t="s">
        <v>2195</v>
      </c>
      <c r="X54" s="53">
        <v>11397</v>
      </c>
      <c r="Y54" s="53">
        <v>11177</v>
      </c>
      <c r="Z54" s="53">
        <v>11034</v>
      </c>
      <c r="AA54" s="53">
        <v>10978</v>
      </c>
      <c r="AB54" s="53">
        <v>11034</v>
      </c>
      <c r="AF54" s="3" t="s">
        <v>2208</v>
      </c>
      <c r="AG54" s="22">
        <v>139</v>
      </c>
      <c r="AH54" s="22">
        <v>76</v>
      </c>
      <c r="AI54" s="22">
        <v>0</v>
      </c>
      <c r="AJ54" s="22">
        <v>1</v>
      </c>
      <c r="AK54" s="22">
        <v>0</v>
      </c>
      <c r="AL54" s="22">
        <v>3</v>
      </c>
      <c r="AM54" s="22">
        <v>16</v>
      </c>
      <c r="AN54" s="22">
        <v>0</v>
      </c>
      <c r="AO54" s="22">
        <v>0</v>
      </c>
      <c r="AP54" s="22">
        <v>0</v>
      </c>
      <c r="AQ54" s="22">
        <v>7</v>
      </c>
      <c r="AR54" s="22">
        <v>1</v>
      </c>
      <c r="AS54" s="22">
        <v>35</v>
      </c>
      <c r="AV54" s="2"/>
      <c r="AW54" s="2"/>
      <c r="AX54" s="2"/>
      <c r="AY54" s="2"/>
      <c r="AZ54" s="2"/>
      <c r="BA54" s="2"/>
      <c r="BB54" s="2"/>
      <c r="BC54" s="2"/>
      <c r="BD54" s="2"/>
      <c r="BE54" s="2"/>
      <c r="BF54" s="2"/>
      <c r="BG54" s="2"/>
      <c r="BH54" s="2"/>
      <c r="BI54" s="2"/>
    </row>
    <row r="55" spans="1:61" ht="12.95" customHeight="1">
      <c r="A55" s="2" t="s">
        <v>2198</v>
      </c>
      <c r="B55" s="47">
        <v>6355</v>
      </c>
      <c r="C55" s="47">
        <v>6375</v>
      </c>
      <c r="D55" s="47">
        <v>6182</v>
      </c>
      <c r="E55" s="47">
        <v>6169</v>
      </c>
      <c r="F55" s="47">
        <v>6033</v>
      </c>
      <c r="G55" s="2"/>
      <c r="W55" s="3" t="s">
        <v>2198</v>
      </c>
      <c r="X55" s="53">
        <v>6633</v>
      </c>
      <c r="Y55" s="53">
        <v>6361</v>
      </c>
      <c r="Z55" s="53">
        <v>6220</v>
      </c>
      <c r="AA55" s="53">
        <v>6055</v>
      </c>
      <c r="AB55" s="53">
        <v>5843</v>
      </c>
      <c r="AF55" s="3" t="s">
        <v>2209</v>
      </c>
      <c r="AG55" s="22">
        <v>41</v>
      </c>
      <c r="AH55" s="22">
        <v>16</v>
      </c>
      <c r="AI55" s="22">
        <v>2</v>
      </c>
      <c r="AJ55" s="22">
        <v>2</v>
      </c>
      <c r="AK55" s="22">
        <v>0</v>
      </c>
      <c r="AL55" s="22">
        <v>3</v>
      </c>
      <c r="AM55" s="22">
        <v>6</v>
      </c>
      <c r="AN55" s="22">
        <v>0</v>
      </c>
      <c r="AO55" s="22">
        <v>0</v>
      </c>
      <c r="AP55" s="22">
        <v>1</v>
      </c>
      <c r="AQ55" s="22">
        <v>5</v>
      </c>
      <c r="AR55" s="22">
        <v>2</v>
      </c>
      <c r="AS55" s="22">
        <v>4</v>
      </c>
      <c r="AV55" s="1" t="s">
        <v>2383</v>
      </c>
      <c r="AW55" s="2"/>
      <c r="AX55" s="2"/>
      <c r="AY55" s="2"/>
      <c r="AZ55" s="2"/>
      <c r="BA55" s="2"/>
      <c r="BB55" s="2"/>
      <c r="BC55" s="2"/>
      <c r="BD55" s="2"/>
      <c r="BE55" s="2"/>
      <c r="BF55" s="2"/>
      <c r="BG55" s="2"/>
      <c r="BH55" s="2"/>
      <c r="BI55" s="2"/>
    </row>
    <row r="56" spans="1:61" ht="12.95" customHeight="1">
      <c r="A56" s="2" t="s">
        <v>2261</v>
      </c>
      <c r="B56" s="47">
        <v>43426</v>
      </c>
      <c r="C56" s="47">
        <v>43745</v>
      </c>
      <c r="D56" s="47">
        <v>66933</v>
      </c>
      <c r="E56" s="47">
        <v>66705</v>
      </c>
      <c r="F56" s="47">
        <v>66755</v>
      </c>
      <c r="G56" s="2"/>
      <c r="W56" s="3" t="s">
        <v>2261</v>
      </c>
      <c r="X56" s="53">
        <v>49861</v>
      </c>
      <c r="Y56" s="53">
        <v>49586</v>
      </c>
      <c r="Z56" s="53">
        <v>74523</v>
      </c>
      <c r="AA56" s="53">
        <v>72370</v>
      </c>
      <c r="AB56" s="53">
        <v>72011</v>
      </c>
      <c r="AF56" s="3"/>
      <c r="AG56" s="3"/>
      <c r="AH56" s="3"/>
      <c r="AI56" s="3"/>
      <c r="AJ56" s="3"/>
      <c r="AK56" s="3"/>
      <c r="AL56" s="3"/>
      <c r="AM56" s="3"/>
      <c r="AN56" s="3"/>
      <c r="AO56" s="3"/>
      <c r="AP56" s="3"/>
      <c r="AQ56" s="3"/>
      <c r="AR56" s="3"/>
      <c r="AS56" s="3"/>
      <c r="AV56" s="8"/>
      <c r="AW56" s="2042" t="s">
        <v>2331</v>
      </c>
      <c r="AX56" s="2043"/>
      <c r="AY56" s="2043"/>
      <c r="AZ56" s="2043"/>
      <c r="BA56" s="2043"/>
      <c r="BB56" s="2043"/>
      <c r="BC56" s="2043"/>
      <c r="BD56" s="2043"/>
      <c r="BE56" s="2043"/>
      <c r="BF56" s="2043"/>
      <c r="BG56" s="2043"/>
      <c r="BH56" s="2043"/>
      <c r="BI56" s="2"/>
    </row>
    <row r="57" spans="1:61" ht="15" customHeight="1">
      <c r="A57" s="2" t="s">
        <v>2262</v>
      </c>
      <c r="B57" s="5">
        <v>62</v>
      </c>
      <c r="C57" s="2"/>
      <c r="D57" s="5">
        <v>62</v>
      </c>
      <c r="E57" s="5">
        <v>62</v>
      </c>
      <c r="F57" s="5">
        <v>62</v>
      </c>
      <c r="G57" s="2"/>
      <c r="W57" s="3" t="s">
        <v>2262</v>
      </c>
      <c r="X57" s="22">
        <v>45</v>
      </c>
      <c r="Y57" s="3"/>
      <c r="Z57" s="22">
        <v>45</v>
      </c>
      <c r="AA57" s="22">
        <v>45</v>
      </c>
      <c r="AB57" s="22">
        <v>45</v>
      </c>
      <c r="AF57" s="3" t="s">
        <v>2357</v>
      </c>
      <c r="AG57" s="53">
        <v>2086</v>
      </c>
      <c r="AH57" s="22">
        <v>430</v>
      </c>
      <c r="AI57" s="22">
        <v>406</v>
      </c>
      <c r="AJ57" s="22">
        <v>727</v>
      </c>
      <c r="AK57" s="22">
        <v>34</v>
      </c>
      <c r="AL57" s="22">
        <v>295</v>
      </c>
      <c r="AM57" s="22">
        <v>45</v>
      </c>
      <c r="AN57" s="22">
        <v>11</v>
      </c>
      <c r="AO57" s="22">
        <v>6</v>
      </c>
      <c r="AP57" s="22">
        <v>9</v>
      </c>
      <c r="AQ57" s="22">
        <v>23</v>
      </c>
      <c r="AR57" s="22">
        <v>12</v>
      </c>
      <c r="AS57" s="22">
        <v>88</v>
      </c>
      <c r="AV57" s="2226" t="s">
        <v>2332</v>
      </c>
      <c r="AW57" s="2265" t="s">
        <v>129</v>
      </c>
      <c r="AX57" s="2267" t="s">
        <v>2320</v>
      </c>
      <c r="AY57" s="2022" t="s">
        <v>2333</v>
      </c>
      <c r="AZ57" s="2270" t="s">
        <v>2334</v>
      </c>
      <c r="BA57" s="361" t="s">
        <v>2335</v>
      </c>
      <c r="BB57" s="362" t="s">
        <v>2336</v>
      </c>
      <c r="BC57" s="361" t="s">
        <v>2337</v>
      </c>
      <c r="BD57" s="2270" t="s">
        <v>2339</v>
      </c>
      <c r="BE57" s="2022" t="s">
        <v>2340</v>
      </c>
      <c r="BF57" s="225" t="s">
        <v>2341</v>
      </c>
      <c r="BG57" s="361" t="s">
        <v>2342</v>
      </c>
      <c r="BH57" s="2271" t="s">
        <v>2322</v>
      </c>
      <c r="BI57" s="2"/>
    </row>
    <row r="58" spans="1:61" ht="12.95" customHeight="1">
      <c r="A58" s="2" t="s">
        <v>2263</v>
      </c>
      <c r="B58" s="47">
        <v>23185</v>
      </c>
      <c r="C58" s="47">
        <v>23148</v>
      </c>
      <c r="D58" s="47">
        <v>23478</v>
      </c>
      <c r="E58" s="47">
        <v>23451</v>
      </c>
      <c r="F58" s="47">
        <v>23367</v>
      </c>
      <c r="G58" s="2"/>
      <c r="W58" s="3" t="s">
        <v>2263</v>
      </c>
      <c r="X58" s="53">
        <v>15510</v>
      </c>
      <c r="Y58" s="53">
        <v>14984</v>
      </c>
      <c r="Z58" s="53">
        <v>14450</v>
      </c>
      <c r="AA58" s="53">
        <v>14244</v>
      </c>
      <c r="AB58" s="53">
        <v>13864</v>
      </c>
      <c r="AF58" s="3" t="s">
        <v>2358</v>
      </c>
      <c r="AG58" s="22">
        <v>796</v>
      </c>
      <c r="AH58" s="22">
        <v>145</v>
      </c>
      <c r="AI58" s="22">
        <v>160</v>
      </c>
      <c r="AJ58" s="22">
        <v>287</v>
      </c>
      <c r="AK58" s="22">
        <v>13</v>
      </c>
      <c r="AL58" s="22">
        <v>116</v>
      </c>
      <c r="AM58" s="22">
        <v>16</v>
      </c>
      <c r="AN58" s="22">
        <v>10</v>
      </c>
      <c r="AO58" s="22">
        <v>1</v>
      </c>
      <c r="AP58" s="22">
        <v>3</v>
      </c>
      <c r="AQ58" s="22">
        <v>9</v>
      </c>
      <c r="AR58" s="22">
        <v>5</v>
      </c>
      <c r="AS58" s="22">
        <v>31</v>
      </c>
      <c r="AV58" s="2114"/>
      <c r="AW58" s="2266"/>
      <c r="AX58" s="2268"/>
      <c r="AY58" s="2269"/>
      <c r="AZ58" s="2268"/>
      <c r="BA58" s="294" t="s">
        <v>2343</v>
      </c>
      <c r="BB58" s="276" t="s">
        <v>2344</v>
      </c>
      <c r="BC58" s="294" t="s">
        <v>2345</v>
      </c>
      <c r="BD58" s="2268"/>
      <c r="BE58" s="2269"/>
      <c r="BF58" s="276" t="s">
        <v>2347</v>
      </c>
      <c r="BG58" s="294" t="s">
        <v>2348</v>
      </c>
      <c r="BH58" s="2266"/>
      <c r="BI58" s="2"/>
    </row>
    <row r="59" spans="1:61" ht="12.95" customHeight="1">
      <c r="A59" s="2" t="s">
        <v>2264</v>
      </c>
      <c r="B59" s="47">
        <v>77880</v>
      </c>
      <c r="C59" s="47">
        <v>78116</v>
      </c>
      <c r="D59" s="2"/>
      <c r="E59" s="2"/>
      <c r="F59" s="2"/>
      <c r="G59" s="2"/>
      <c r="W59" s="3" t="s">
        <v>2202</v>
      </c>
      <c r="X59" s="53">
        <v>117778</v>
      </c>
      <c r="Y59" s="53">
        <v>117557</v>
      </c>
      <c r="Z59" s="3"/>
      <c r="AA59" s="3"/>
      <c r="AB59" s="3"/>
      <c r="AF59" s="3" t="s">
        <v>2359</v>
      </c>
      <c r="AG59" s="53">
        <v>1289</v>
      </c>
      <c r="AH59" s="22">
        <v>285</v>
      </c>
      <c r="AI59" s="22">
        <v>246</v>
      </c>
      <c r="AJ59" s="22">
        <v>440</v>
      </c>
      <c r="AK59" s="22">
        <v>21</v>
      </c>
      <c r="AL59" s="22">
        <v>179</v>
      </c>
      <c r="AM59" s="22">
        <v>29</v>
      </c>
      <c r="AN59" s="22">
        <v>0</v>
      </c>
      <c r="AO59" s="22">
        <v>5</v>
      </c>
      <c r="AP59" s="22">
        <v>6</v>
      </c>
      <c r="AQ59" s="22">
        <v>14</v>
      </c>
      <c r="AR59" s="22">
        <v>7</v>
      </c>
      <c r="AS59" s="22">
        <v>57</v>
      </c>
      <c r="AV59" s="3" t="s">
        <v>129</v>
      </c>
      <c r="AW59" s="22">
        <v>937</v>
      </c>
      <c r="AX59" s="22">
        <v>443</v>
      </c>
      <c r="AY59" s="22">
        <v>122</v>
      </c>
      <c r="AZ59" s="22">
        <v>49</v>
      </c>
      <c r="BA59" s="22">
        <v>6</v>
      </c>
      <c r="BB59" s="22">
        <v>29</v>
      </c>
      <c r="BC59" s="22">
        <v>101</v>
      </c>
      <c r="BD59" s="22">
        <v>37</v>
      </c>
      <c r="BE59" s="22">
        <v>7</v>
      </c>
      <c r="BF59" s="22">
        <v>41</v>
      </c>
      <c r="BG59" s="22">
        <v>1</v>
      </c>
      <c r="BH59" s="22">
        <v>101</v>
      </c>
      <c r="BI59" s="2"/>
    </row>
    <row r="60" spans="1:61" ht="12.95" customHeight="1">
      <c r="A60" s="2" t="s">
        <v>2208</v>
      </c>
      <c r="B60" s="47">
        <v>70656</v>
      </c>
      <c r="C60" s="47">
        <v>71898</v>
      </c>
      <c r="D60" s="47">
        <v>70387</v>
      </c>
      <c r="E60" s="47">
        <v>70344</v>
      </c>
      <c r="F60" s="47">
        <v>70402</v>
      </c>
      <c r="G60" s="2"/>
      <c r="W60" s="3" t="s">
        <v>2208</v>
      </c>
      <c r="X60" s="53">
        <v>70624</v>
      </c>
      <c r="Y60" s="53">
        <v>70495</v>
      </c>
      <c r="Z60" s="53">
        <v>67195</v>
      </c>
      <c r="AA60" s="53">
        <v>66300</v>
      </c>
      <c r="AB60" s="53">
        <v>65016</v>
      </c>
      <c r="AF60" s="10" t="s">
        <v>2360</v>
      </c>
      <c r="AG60" s="51">
        <v>368402</v>
      </c>
      <c r="AH60" s="51">
        <v>81444</v>
      </c>
      <c r="AI60" s="51">
        <v>58265</v>
      </c>
      <c r="AJ60" s="51">
        <v>144374</v>
      </c>
      <c r="AK60" s="51">
        <v>3738</v>
      </c>
      <c r="AL60" s="51">
        <v>54566</v>
      </c>
      <c r="AM60" s="51">
        <v>4202</v>
      </c>
      <c r="AN60" s="51">
        <v>2618</v>
      </c>
      <c r="AO60" s="11">
        <v>94</v>
      </c>
      <c r="AP60" s="11">
        <v>761</v>
      </c>
      <c r="AQ60" s="51">
        <v>1528</v>
      </c>
      <c r="AR60" s="11">
        <v>751</v>
      </c>
      <c r="AS60" s="51">
        <v>16061</v>
      </c>
      <c r="AV60" s="2" t="s">
        <v>2384</v>
      </c>
      <c r="AW60" s="5">
        <v>31</v>
      </c>
      <c r="AX60" s="5">
        <v>2</v>
      </c>
      <c r="AY60" s="5">
        <v>11</v>
      </c>
      <c r="AZ60" s="5">
        <v>3</v>
      </c>
      <c r="BA60" s="5">
        <v>0</v>
      </c>
      <c r="BB60" s="5">
        <v>2</v>
      </c>
      <c r="BC60" s="5">
        <v>2</v>
      </c>
      <c r="BD60" s="5">
        <v>6</v>
      </c>
      <c r="BE60" s="5">
        <v>1</v>
      </c>
      <c r="BF60" s="5">
        <v>1</v>
      </c>
      <c r="BG60" s="5">
        <v>0</v>
      </c>
      <c r="BH60" s="5">
        <v>3</v>
      </c>
      <c r="BI60" s="2"/>
    </row>
    <row r="61" spans="1:61" ht="12.95" customHeight="1">
      <c r="A61" s="10" t="s">
        <v>2209</v>
      </c>
      <c r="B61" s="51">
        <v>47283</v>
      </c>
      <c r="C61" s="51">
        <v>47340</v>
      </c>
      <c r="D61" s="51">
        <v>47103</v>
      </c>
      <c r="E61" s="51">
        <v>47170</v>
      </c>
      <c r="F61" s="51">
        <v>46929</v>
      </c>
      <c r="G61" s="2"/>
      <c r="W61" s="347" t="s">
        <v>2209</v>
      </c>
      <c r="X61" s="348">
        <v>34020</v>
      </c>
      <c r="Y61" s="348">
        <v>33480</v>
      </c>
      <c r="Z61" s="348">
        <v>33267</v>
      </c>
      <c r="AA61" s="348">
        <v>33050</v>
      </c>
      <c r="AB61" s="348">
        <v>33575</v>
      </c>
      <c r="AF61" s="2252" t="s">
        <v>2361</v>
      </c>
      <c r="AG61" s="2252"/>
      <c r="AH61" s="2252"/>
      <c r="AI61" s="2252"/>
      <c r="AJ61" s="2252"/>
      <c r="AK61" s="2252"/>
      <c r="AL61" s="2"/>
      <c r="AM61" s="2"/>
      <c r="AN61" s="2"/>
      <c r="AO61" s="2"/>
      <c r="AP61" s="2"/>
      <c r="AQ61" s="2"/>
      <c r="AR61" s="2"/>
      <c r="AS61" s="2"/>
      <c r="AV61" s="2" t="s">
        <v>2251</v>
      </c>
      <c r="AW61" s="5">
        <v>6</v>
      </c>
      <c r="AX61" s="5">
        <v>3</v>
      </c>
      <c r="AY61" s="5">
        <v>1</v>
      </c>
      <c r="AZ61" s="5">
        <v>1</v>
      </c>
      <c r="BA61" s="5">
        <v>0</v>
      </c>
      <c r="BB61" s="5">
        <v>0</v>
      </c>
      <c r="BC61" s="5">
        <v>1</v>
      </c>
      <c r="BD61" s="5">
        <v>0</v>
      </c>
      <c r="BE61" s="5">
        <v>0</v>
      </c>
      <c r="BF61" s="5">
        <v>0</v>
      </c>
      <c r="BG61" s="5">
        <v>0</v>
      </c>
      <c r="BH61" s="5">
        <v>0</v>
      </c>
      <c r="BI61" s="2"/>
    </row>
    <row r="62" spans="1:61" ht="12.95" customHeight="1">
      <c r="A62" s="13" t="s">
        <v>2265</v>
      </c>
      <c r="B62" s="2"/>
      <c r="C62" s="2"/>
      <c r="D62" s="2"/>
      <c r="E62" s="2"/>
      <c r="F62" s="2"/>
      <c r="G62" s="2"/>
      <c r="W62" s="2250" t="s">
        <v>2265</v>
      </c>
      <c r="X62" s="2250"/>
      <c r="Y62" s="2250"/>
      <c r="Z62" s="2250"/>
      <c r="AA62" s="2250"/>
      <c r="AB62" s="2250"/>
      <c r="AC62" s="2250"/>
      <c r="AD62" s="13"/>
      <c r="AF62" s="2060" t="s">
        <v>2293</v>
      </c>
      <c r="AG62" s="2060"/>
      <c r="AH62" s="2060"/>
      <c r="AI62" s="2060"/>
      <c r="AJ62" s="2060"/>
      <c r="AK62" s="2060"/>
      <c r="AL62" s="2"/>
      <c r="AM62" s="2"/>
      <c r="AN62" s="2"/>
      <c r="AO62" s="2"/>
      <c r="AP62" s="2"/>
      <c r="AQ62" s="2"/>
      <c r="AR62" s="2"/>
      <c r="AS62" s="2"/>
      <c r="AV62" s="2" t="s">
        <v>2381</v>
      </c>
      <c r="AW62" s="5">
        <v>19</v>
      </c>
      <c r="AX62" s="5">
        <v>8</v>
      </c>
      <c r="AY62" s="5">
        <v>4</v>
      </c>
      <c r="AZ62" s="5">
        <v>1</v>
      </c>
      <c r="BA62" s="5">
        <v>0</v>
      </c>
      <c r="BB62" s="5">
        <v>0</v>
      </c>
      <c r="BC62" s="5">
        <v>4</v>
      </c>
      <c r="BD62" s="5">
        <v>1</v>
      </c>
      <c r="BE62" s="5">
        <v>0</v>
      </c>
      <c r="BF62" s="5">
        <v>0</v>
      </c>
      <c r="BG62" s="5">
        <v>0</v>
      </c>
      <c r="BH62" s="5">
        <v>1</v>
      </c>
      <c r="BI62" s="2"/>
    </row>
    <row r="63" spans="1:61" ht="12.95" customHeight="1">
      <c r="A63" s="13" t="s">
        <v>2277</v>
      </c>
      <c r="B63" s="2"/>
      <c r="C63" s="2"/>
      <c r="D63" s="2"/>
      <c r="E63" s="2"/>
      <c r="F63" s="2"/>
      <c r="G63" s="2"/>
      <c r="W63" s="2250" t="s">
        <v>2302</v>
      </c>
      <c r="X63" s="2250"/>
      <c r="Y63" s="2250"/>
      <c r="Z63" s="2250"/>
      <c r="AA63" s="2250"/>
      <c r="AB63" s="2250"/>
      <c r="AC63" s="2250"/>
      <c r="AD63" s="13"/>
      <c r="AF63" s="2"/>
      <c r="AG63" s="2"/>
      <c r="AH63" s="2"/>
      <c r="AI63" s="2"/>
      <c r="AJ63" s="2"/>
      <c r="AK63" s="2"/>
      <c r="AL63" s="2"/>
      <c r="AM63" s="2"/>
      <c r="AN63" s="2"/>
      <c r="AO63" s="2"/>
      <c r="AP63" s="2"/>
      <c r="AQ63" s="2"/>
      <c r="AR63" s="2"/>
      <c r="AS63" s="2"/>
      <c r="AV63" s="2" t="s">
        <v>2376</v>
      </c>
      <c r="AW63" s="5">
        <v>11</v>
      </c>
      <c r="AX63" s="5">
        <v>8</v>
      </c>
      <c r="AY63" s="5">
        <v>2</v>
      </c>
      <c r="AZ63" s="5">
        <v>0</v>
      </c>
      <c r="BA63" s="5">
        <v>0</v>
      </c>
      <c r="BB63" s="5">
        <v>0</v>
      </c>
      <c r="BC63" s="5">
        <v>1</v>
      </c>
      <c r="BD63" s="5">
        <v>0</v>
      </c>
      <c r="BE63" s="5">
        <v>0</v>
      </c>
      <c r="BF63" s="5">
        <v>0</v>
      </c>
      <c r="BG63" s="5">
        <v>0</v>
      </c>
      <c r="BH63" s="5">
        <v>0</v>
      </c>
      <c r="BI63" s="2"/>
    </row>
    <row r="64" spans="1:61" ht="12.95" customHeight="1">
      <c r="A64" s="13" t="s">
        <v>2267</v>
      </c>
      <c r="B64" s="2"/>
      <c r="C64" s="2"/>
      <c r="D64" s="2"/>
      <c r="E64" s="2"/>
      <c r="F64" s="2"/>
      <c r="G64" s="2"/>
      <c r="W64" s="2250" t="s">
        <v>2297</v>
      </c>
      <c r="X64" s="2250"/>
      <c r="Y64" s="2250"/>
      <c r="Z64" s="2250"/>
      <c r="AA64" s="2250"/>
      <c r="AB64" s="2250"/>
      <c r="AC64" s="2250"/>
      <c r="AD64" s="13"/>
      <c r="AF64" s="2"/>
      <c r="AG64" s="2"/>
      <c r="AH64" s="2"/>
      <c r="AI64" s="2"/>
      <c r="AJ64" s="2"/>
      <c r="AK64" s="2"/>
      <c r="AL64" s="2"/>
      <c r="AM64" s="2"/>
      <c r="AN64" s="2"/>
      <c r="AO64" s="2"/>
      <c r="AP64" s="2"/>
      <c r="AQ64" s="2"/>
      <c r="AR64" s="2"/>
      <c r="AS64" s="2"/>
      <c r="AV64" s="2" t="s">
        <v>2253</v>
      </c>
      <c r="AW64" s="5">
        <v>87</v>
      </c>
      <c r="AX64" s="5">
        <v>48</v>
      </c>
      <c r="AY64" s="5">
        <v>5</v>
      </c>
      <c r="AZ64" s="5">
        <v>2</v>
      </c>
      <c r="BA64" s="5">
        <v>0</v>
      </c>
      <c r="BB64" s="5">
        <v>0</v>
      </c>
      <c r="BC64" s="5">
        <v>10</v>
      </c>
      <c r="BD64" s="5">
        <v>1</v>
      </c>
      <c r="BE64" s="5">
        <v>0</v>
      </c>
      <c r="BF64" s="5">
        <v>8</v>
      </c>
      <c r="BG64" s="5">
        <v>0</v>
      </c>
      <c r="BH64" s="5">
        <v>13</v>
      </c>
      <c r="BI64" s="2"/>
    </row>
    <row r="65" spans="1:61" ht="12.95" customHeight="1">
      <c r="A65" s="13" t="s">
        <v>2268</v>
      </c>
      <c r="B65" s="2"/>
      <c r="C65" s="2"/>
      <c r="D65" s="2"/>
      <c r="E65" s="2"/>
      <c r="F65" s="2"/>
      <c r="G65" s="2"/>
      <c r="W65" s="2037" t="s">
        <v>2298</v>
      </c>
      <c r="X65" s="2037"/>
      <c r="Y65" s="2037"/>
      <c r="Z65" s="2037"/>
      <c r="AA65" s="2037"/>
      <c r="AB65" s="2037"/>
      <c r="AC65" s="2037"/>
      <c r="AD65" s="30"/>
      <c r="AF65" s="1" t="s">
        <v>2362</v>
      </c>
      <c r="AG65" s="2"/>
      <c r="AH65" s="2"/>
      <c r="AI65" s="2"/>
      <c r="AJ65" s="2"/>
      <c r="AK65" s="2"/>
      <c r="AL65" s="2"/>
      <c r="AM65" s="2"/>
      <c r="AN65" s="2"/>
      <c r="AO65" s="2"/>
      <c r="AP65" s="2"/>
      <c r="AQ65" s="2"/>
      <c r="AR65" s="2"/>
      <c r="AS65" s="2"/>
      <c r="AV65" s="2" t="s">
        <v>2352</v>
      </c>
      <c r="AW65" s="5">
        <v>41</v>
      </c>
      <c r="AX65" s="5">
        <v>23</v>
      </c>
      <c r="AY65" s="5">
        <v>2</v>
      </c>
      <c r="AZ65" s="5">
        <v>1</v>
      </c>
      <c r="BA65" s="5">
        <v>0</v>
      </c>
      <c r="BB65" s="5">
        <v>0</v>
      </c>
      <c r="BC65" s="5">
        <v>3</v>
      </c>
      <c r="BD65" s="5">
        <v>0</v>
      </c>
      <c r="BE65" s="5">
        <v>0</v>
      </c>
      <c r="BF65" s="5">
        <v>3</v>
      </c>
      <c r="BG65" s="5">
        <v>0</v>
      </c>
      <c r="BH65" s="5">
        <v>9</v>
      </c>
      <c r="BI65" s="2"/>
    </row>
    <row r="66" spans="1:61" ht="12.95" customHeight="1">
      <c r="A66" s="13" t="s">
        <v>2269</v>
      </c>
      <c r="B66" s="2"/>
      <c r="C66" s="2"/>
      <c r="D66" s="2"/>
      <c r="E66" s="2"/>
      <c r="F66" s="2"/>
      <c r="G66" s="2"/>
      <c r="W66" s="2037" t="s">
        <v>2299</v>
      </c>
      <c r="X66" s="2037"/>
      <c r="Y66" s="2037"/>
      <c r="Z66" s="2037"/>
      <c r="AA66" s="2037"/>
      <c r="AB66" s="2037"/>
      <c r="AC66" s="2037"/>
      <c r="AD66" s="30"/>
      <c r="AF66" s="108"/>
      <c r="AG66" s="2120" t="s">
        <v>2363</v>
      </c>
      <c r="AH66" s="2120"/>
      <c r="AI66" s="2120"/>
      <c r="AJ66" s="2120"/>
      <c r="AK66" s="2120" t="s">
        <v>2364</v>
      </c>
      <c r="AL66" s="2120"/>
      <c r="AM66" s="2120"/>
      <c r="AN66" s="2120"/>
      <c r="AO66" s="2120" t="s">
        <v>2365</v>
      </c>
      <c r="AP66" s="2120"/>
      <c r="AQ66" s="2120"/>
      <c r="AR66" s="2033"/>
      <c r="AS66" s="2"/>
      <c r="AV66" s="2" t="s">
        <v>2177</v>
      </c>
      <c r="AW66" s="5">
        <v>159</v>
      </c>
      <c r="AX66" s="5">
        <v>82</v>
      </c>
      <c r="AY66" s="5">
        <v>18</v>
      </c>
      <c r="AZ66" s="5">
        <v>3</v>
      </c>
      <c r="BA66" s="5">
        <v>1</v>
      </c>
      <c r="BB66" s="5">
        <v>6</v>
      </c>
      <c r="BC66" s="5">
        <v>11</v>
      </c>
      <c r="BD66" s="5">
        <v>4</v>
      </c>
      <c r="BE66" s="5">
        <v>1</v>
      </c>
      <c r="BF66" s="5">
        <v>8</v>
      </c>
      <c r="BG66" s="5">
        <v>0</v>
      </c>
      <c r="BH66" s="5">
        <v>25</v>
      </c>
      <c r="BI66" s="2"/>
    </row>
    <row r="67" spans="1:61" ht="12.95" customHeight="1">
      <c r="A67" s="13" t="s">
        <v>2270</v>
      </c>
      <c r="B67" s="2"/>
      <c r="C67" s="2"/>
      <c r="D67" s="2"/>
      <c r="E67" s="2"/>
      <c r="F67" s="2"/>
      <c r="G67" s="2"/>
      <c r="W67" s="2250" t="s">
        <v>2300</v>
      </c>
      <c r="X67" s="2250"/>
      <c r="Y67" s="2250"/>
      <c r="Z67" s="2250"/>
      <c r="AA67" s="2250"/>
      <c r="AB67" s="2250"/>
      <c r="AC67" s="2250"/>
      <c r="AD67" s="13"/>
      <c r="AF67" s="23" t="s">
        <v>2311</v>
      </c>
      <c r="AG67" s="17" t="s">
        <v>129</v>
      </c>
      <c r="AH67" s="17" t="s">
        <v>2366</v>
      </c>
      <c r="AI67" s="17" t="s">
        <v>2367</v>
      </c>
      <c r="AJ67" s="17" t="s">
        <v>2368</v>
      </c>
      <c r="AK67" s="17" t="s">
        <v>129</v>
      </c>
      <c r="AL67" s="17" t="s">
        <v>2366</v>
      </c>
      <c r="AM67" s="17" t="s">
        <v>2367</v>
      </c>
      <c r="AN67" s="17" t="s">
        <v>2368</v>
      </c>
      <c r="AO67" s="17" t="s">
        <v>129</v>
      </c>
      <c r="AP67" s="17" t="s">
        <v>2366</v>
      </c>
      <c r="AQ67" s="17" t="s">
        <v>2367</v>
      </c>
      <c r="AR67" s="29" t="s">
        <v>2368</v>
      </c>
      <c r="AS67" s="2"/>
      <c r="AV67" s="2" t="s">
        <v>2276</v>
      </c>
      <c r="AW67" s="5">
        <v>12</v>
      </c>
      <c r="AX67" s="5">
        <v>6</v>
      </c>
      <c r="AY67" s="5">
        <v>0</v>
      </c>
      <c r="AZ67" s="5">
        <v>2</v>
      </c>
      <c r="BA67" s="5">
        <v>0</v>
      </c>
      <c r="BB67" s="5">
        <v>2</v>
      </c>
      <c r="BC67" s="5">
        <v>1</v>
      </c>
      <c r="BD67" s="5">
        <v>0</v>
      </c>
      <c r="BE67" s="5">
        <v>0</v>
      </c>
      <c r="BF67" s="5">
        <v>1</v>
      </c>
      <c r="BG67" s="5">
        <v>0</v>
      </c>
      <c r="BH67" s="5">
        <v>0</v>
      </c>
      <c r="BI67" s="2"/>
    </row>
    <row r="68" spans="1:61" ht="12.95" customHeight="1">
      <c r="A68" s="13" t="s">
        <v>2271</v>
      </c>
      <c r="B68" s="2"/>
      <c r="C68" s="2"/>
      <c r="D68" s="2"/>
      <c r="E68" s="2"/>
      <c r="F68" s="2"/>
      <c r="G68" s="2"/>
      <c r="W68" s="2250" t="s">
        <v>2293</v>
      </c>
      <c r="X68" s="2250"/>
      <c r="Y68" s="2250"/>
      <c r="Z68" s="2250"/>
      <c r="AA68" s="2250"/>
      <c r="AB68" s="2250"/>
      <c r="AC68" s="2250"/>
      <c r="AD68" s="13"/>
      <c r="AF68" s="2" t="s">
        <v>129</v>
      </c>
      <c r="AG68" s="5">
        <v>925</v>
      </c>
      <c r="AH68" s="5">
        <v>645</v>
      </c>
      <c r="AI68" s="5">
        <v>135</v>
      </c>
      <c r="AJ68" s="5">
        <v>145</v>
      </c>
      <c r="AK68" s="47">
        <v>371021</v>
      </c>
      <c r="AL68" s="47">
        <v>329034</v>
      </c>
      <c r="AM68" s="47">
        <v>14912</v>
      </c>
      <c r="AN68" s="47">
        <v>27075</v>
      </c>
      <c r="AO68" s="47">
        <v>2087</v>
      </c>
      <c r="AP68" s="47">
        <v>1741</v>
      </c>
      <c r="AQ68" s="5">
        <v>106</v>
      </c>
      <c r="AR68" s="5">
        <v>240</v>
      </c>
      <c r="AS68" s="3"/>
      <c r="AV68" s="2" t="s">
        <v>2185</v>
      </c>
      <c r="AW68" s="5">
        <v>88</v>
      </c>
      <c r="AX68" s="5">
        <v>40</v>
      </c>
      <c r="AY68" s="5">
        <v>9</v>
      </c>
      <c r="AZ68" s="5">
        <v>11</v>
      </c>
      <c r="BA68" s="5">
        <v>1</v>
      </c>
      <c r="BB68" s="5">
        <v>0</v>
      </c>
      <c r="BC68" s="5">
        <v>14</v>
      </c>
      <c r="BD68" s="5">
        <v>3</v>
      </c>
      <c r="BE68" s="5">
        <v>0</v>
      </c>
      <c r="BF68" s="5">
        <v>3</v>
      </c>
      <c r="BG68" s="5">
        <v>0</v>
      </c>
      <c r="BH68" s="5">
        <v>7</v>
      </c>
      <c r="BI68" s="2"/>
    </row>
    <row r="69" spans="1:61" ht="12.95" customHeight="1">
      <c r="A69" s="13" t="s">
        <v>2272</v>
      </c>
      <c r="B69" s="2"/>
      <c r="C69" s="2"/>
      <c r="D69" s="2"/>
      <c r="E69" s="2"/>
      <c r="F69" s="2"/>
      <c r="G69" s="2"/>
      <c r="W69" s="2272"/>
      <c r="X69" s="2272"/>
      <c r="Y69" s="2272"/>
      <c r="Z69" s="2272"/>
      <c r="AA69" s="2272"/>
      <c r="AB69" s="2272"/>
      <c r="AC69" s="2272"/>
      <c r="AF69" s="2" t="s">
        <v>2320</v>
      </c>
      <c r="AG69" s="5">
        <v>381</v>
      </c>
      <c r="AH69" s="5">
        <v>197</v>
      </c>
      <c r="AI69" s="5">
        <v>110</v>
      </c>
      <c r="AJ69" s="5">
        <v>74</v>
      </c>
      <c r="AK69" s="47">
        <v>81444</v>
      </c>
      <c r="AL69" s="47">
        <v>62599</v>
      </c>
      <c r="AM69" s="47">
        <v>11518</v>
      </c>
      <c r="AN69" s="47">
        <v>7327</v>
      </c>
      <c r="AO69" s="5">
        <v>430</v>
      </c>
      <c r="AP69" s="5">
        <v>304</v>
      </c>
      <c r="AQ69" s="5">
        <v>69</v>
      </c>
      <c r="AR69" s="5">
        <v>57</v>
      </c>
      <c r="AS69" s="2"/>
      <c r="AV69" s="2" t="s">
        <v>2353</v>
      </c>
      <c r="AW69" s="5">
        <v>4</v>
      </c>
      <c r="AX69" s="5">
        <v>1</v>
      </c>
      <c r="AY69" s="5">
        <v>0</v>
      </c>
      <c r="AZ69" s="5">
        <v>1</v>
      </c>
      <c r="BA69" s="5">
        <v>0</v>
      </c>
      <c r="BB69" s="5">
        <v>0</v>
      </c>
      <c r="BC69" s="5">
        <v>2</v>
      </c>
      <c r="BD69" s="5">
        <v>0</v>
      </c>
      <c r="BE69" s="5">
        <v>0</v>
      </c>
      <c r="BF69" s="5">
        <v>0</v>
      </c>
      <c r="BG69" s="5">
        <v>0</v>
      </c>
      <c r="BH69" s="5">
        <v>0</v>
      </c>
      <c r="BI69" s="2"/>
    </row>
    <row r="70" spans="1:61" ht="12.95" customHeight="1">
      <c r="A70" s="13" t="s">
        <v>2278</v>
      </c>
      <c r="B70" s="2"/>
      <c r="C70" s="2"/>
      <c r="D70" s="2"/>
      <c r="E70" s="2"/>
      <c r="F70" s="2"/>
      <c r="G70" s="2"/>
      <c r="AF70" s="2" t="s">
        <v>2333</v>
      </c>
      <c r="AG70" s="5">
        <v>108</v>
      </c>
      <c r="AH70" s="5">
        <v>12</v>
      </c>
      <c r="AI70" s="5">
        <v>25</v>
      </c>
      <c r="AJ70" s="5">
        <v>71</v>
      </c>
      <c r="AK70" s="47">
        <v>58266</v>
      </c>
      <c r="AL70" s="47">
        <v>35124</v>
      </c>
      <c r="AM70" s="47">
        <v>3394</v>
      </c>
      <c r="AN70" s="47">
        <v>19748</v>
      </c>
      <c r="AO70" s="5">
        <v>406</v>
      </c>
      <c r="AP70" s="5">
        <v>186</v>
      </c>
      <c r="AQ70" s="5">
        <v>37</v>
      </c>
      <c r="AR70" s="5">
        <v>183</v>
      </c>
      <c r="AS70" s="2"/>
      <c r="AV70" s="2" t="s">
        <v>2377</v>
      </c>
      <c r="AW70" s="5">
        <v>19</v>
      </c>
      <c r="AX70" s="5">
        <v>4</v>
      </c>
      <c r="AY70" s="5">
        <v>6</v>
      </c>
      <c r="AZ70" s="5">
        <v>0</v>
      </c>
      <c r="BA70" s="5">
        <v>0</v>
      </c>
      <c r="BB70" s="5">
        <v>2</v>
      </c>
      <c r="BC70" s="5">
        <v>5</v>
      </c>
      <c r="BD70" s="5">
        <v>1</v>
      </c>
      <c r="BE70" s="5">
        <v>0</v>
      </c>
      <c r="BF70" s="5">
        <v>1</v>
      </c>
      <c r="BG70" s="5">
        <v>0</v>
      </c>
      <c r="BH70" s="5">
        <v>0</v>
      </c>
      <c r="BI70" s="2"/>
    </row>
    <row r="71" spans="1:61" ht="12.95" customHeight="1">
      <c r="AF71" s="2" t="s">
        <v>2346</v>
      </c>
      <c r="AG71" s="5">
        <v>0</v>
      </c>
      <c r="AH71" s="5" t="s">
        <v>546</v>
      </c>
      <c r="AI71" s="5" t="s">
        <v>546</v>
      </c>
      <c r="AJ71" s="5" t="s">
        <v>546</v>
      </c>
      <c r="AK71" s="47">
        <v>2618</v>
      </c>
      <c r="AL71" s="47">
        <v>2618</v>
      </c>
      <c r="AM71" s="5" t="s">
        <v>546</v>
      </c>
      <c r="AN71" s="5" t="s">
        <v>546</v>
      </c>
      <c r="AO71" s="5">
        <v>11</v>
      </c>
      <c r="AP71" s="5">
        <v>11</v>
      </c>
      <c r="AQ71" s="5" t="s">
        <v>546</v>
      </c>
      <c r="AR71" s="5" t="s">
        <v>546</v>
      </c>
      <c r="AS71" s="2"/>
      <c r="AV71" s="2" t="s">
        <v>2195</v>
      </c>
      <c r="AW71" s="5">
        <v>19</v>
      </c>
      <c r="AX71" s="5">
        <v>6</v>
      </c>
      <c r="AY71" s="5">
        <v>0</v>
      </c>
      <c r="AZ71" s="5">
        <v>3</v>
      </c>
      <c r="BA71" s="5">
        <v>0</v>
      </c>
      <c r="BB71" s="5">
        <v>3</v>
      </c>
      <c r="BC71" s="5">
        <v>5</v>
      </c>
      <c r="BD71" s="5">
        <v>0</v>
      </c>
      <c r="BE71" s="5">
        <v>0</v>
      </c>
      <c r="BF71" s="5">
        <v>1</v>
      </c>
      <c r="BG71" s="5">
        <v>0</v>
      </c>
      <c r="BH71" s="5">
        <v>1</v>
      </c>
      <c r="BI71" s="2"/>
    </row>
    <row r="72" spans="1:61" ht="12.95" customHeight="1">
      <c r="AF72" s="2" t="s">
        <v>2334</v>
      </c>
      <c r="AG72" s="5">
        <v>40</v>
      </c>
      <c r="AH72" s="5">
        <v>40</v>
      </c>
      <c r="AI72" s="5" t="s">
        <v>546</v>
      </c>
      <c r="AJ72" s="5" t="s">
        <v>546</v>
      </c>
      <c r="AK72" s="47">
        <v>144374</v>
      </c>
      <c r="AL72" s="47">
        <v>144374</v>
      </c>
      <c r="AM72" s="5" t="s">
        <v>546</v>
      </c>
      <c r="AN72" s="5" t="s">
        <v>546</v>
      </c>
      <c r="AO72" s="5">
        <v>727</v>
      </c>
      <c r="AP72" s="5">
        <v>727</v>
      </c>
      <c r="AQ72" s="5" t="s">
        <v>546</v>
      </c>
      <c r="AR72" s="5" t="s">
        <v>546</v>
      </c>
      <c r="AS72" s="2"/>
      <c r="AV72" s="2" t="s">
        <v>2198</v>
      </c>
      <c r="AW72" s="5">
        <v>23</v>
      </c>
      <c r="AX72" s="5">
        <v>10</v>
      </c>
      <c r="AY72" s="5">
        <v>0</v>
      </c>
      <c r="AZ72" s="5">
        <v>6</v>
      </c>
      <c r="BA72" s="5">
        <v>0</v>
      </c>
      <c r="BB72" s="5">
        <v>2</v>
      </c>
      <c r="BC72" s="5">
        <v>1</v>
      </c>
      <c r="BD72" s="5">
        <v>0</v>
      </c>
      <c r="BE72" s="5">
        <v>0</v>
      </c>
      <c r="BF72" s="5">
        <v>2</v>
      </c>
      <c r="BG72" s="5">
        <v>0</v>
      </c>
      <c r="BH72" s="5">
        <v>2</v>
      </c>
      <c r="BI72" s="2"/>
    </row>
    <row r="73" spans="1:61" ht="12.95" customHeight="1">
      <c r="AF73" s="2" t="s">
        <v>2369</v>
      </c>
      <c r="AG73" s="5">
        <v>7</v>
      </c>
      <c r="AH73" s="5">
        <v>7</v>
      </c>
      <c r="AI73" s="5" t="s">
        <v>546</v>
      </c>
      <c r="AJ73" s="5" t="s">
        <v>546</v>
      </c>
      <c r="AK73" s="47">
        <v>3738</v>
      </c>
      <c r="AL73" s="47">
        <v>3738</v>
      </c>
      <c r="AM73" s="5" t="s">
        <v>546</v>
      </c>
      <c r="AN73" s="5" t="s">
        <v>546</v>
      </c>
      <c r="AO73" s="5">
        <v>34</v>
      </c>
      <c r="AP73" s="5">
        <v>34</v>
      </c>
      <c r="AQ73" s="5" t="s">
        <v>546</v>
      </c>
      <c r="AR73" s="5" t="s">
        <v>546</v>
      </c>
      <c r="AS73" s="2"/>
      <c r="AV73" s="2" t="s">
        <v>2261</v>
      </c>
      <c r="AW73" s="5">
        <v>16</v>
      </c>
      <c r="AX73" s="5">
        <v>7</v>
      </c>
      <c r="AY73" s="5">
        <v>1</v>
      </c>
      <c r="AZ73" s="5">
        <v>1</v>
      </c>
      <c r="BA73" s="5">
        <v>0</v>
      </c>
      <c r="BB73" s="5">
        <v>0</v>
      </c>
      <c r="BC73" s="5">
        <v>4</v>
      </c>
      <c r="BD73" s="5">
        <v>0</v>
      </c>
      <c r="BE73" s="5">
        <v>0</v>
      </c>
      <c r="BF73" s="5">
        <v>2</v>
      </c>
      <c r="BG73" s="5">
        <v>0</v>
      </c>
      <c r="BH73" s="5">
        <v>1</v>
      </c>
      <c r="BI73" s="2"/>
    </row>
    <row r="74" spans="1:61" ht="12.95" customHeight="1">
      <c r="AF74" s="2" t="s">
        <v>2370</v>
      </c>
      <c r="AG74" s="5">
        <v>34</v>
      </c>
      <c r="AH74" s="5">
        <v>34</v>
      </c>
      <c r="AI74" s="5" t="s">
        <v>546</v>
      </c>
      <c r="AJ74" s="5" t="s">
        <v>546</v>
      </c>
      <c r="AK74" s="47">
        <v>54566</v>
      </c>
      <c r="AL74" s="47">
        <v>54566</v>
      </c>
      <c r="AM74" s="5" t="s">
        <v>546</v>
      </c>
      <c r="AN74" s="5" t="s">
        <v>546</v>
      </c>
      <c r="AO74" s="5">
        <v>295</v>
      </c>
      <c r="AP74" s="5">
        <v>295</v>
      </c>
      <c r="AQ74" s="5" t="s">
        <v>546</v>
      </c>
      <c r="AR74" s="5" t="s">
        <v>546</v>
      </c>
      <c r="AS74" s="2"/>
      <c r="AV74" s="2" t="s">
        <v>2201</v>
      </c>
      <c r="AW74" s="5">
        <v>46</v>
      </c>
      <c r="AX74" s="5">
        <v>30</v>
      </c>
      <c r="AY74" s="5">
        <v>1</v>
      </c>
      <c r="AZ74" s="5">
        <v>1</v>
      </c>
      <c r="BA74" s="5">
        <v>0</v>
      </c>
      <c r="BB74" s="5">
        <v>0</v>
      </c>
      <c r="BC74" s="5">
        <v>4</v>
      </c>
      <c r="BD74" s="5">
        <v>0</v>
      </c>
      <c r="BE74" s="5">
        <v>0</v>
      </c>
      <c r="BF74" s="5">
        <v>3</v>
      </c>
      <c r="BG74" s="5">
        <v>0</v>
      </c>
      <c r="BH74" s="5">
        <v>7</v>
      </c>
      <c r="BI74" s="2"/>
    </row>
    <row r="75" spans="1:61" ht="12.95" customHeight="1">
      <c r="AF75" s="2" t="s">
        <v>2371</v>
      </c>
      <c r="AG75" s="5">
        <v>124</v>
      </c>
      <c r="AH75" s="5">
        <v>124</v>
      </c>
      <c r="AI75" s="5" t="s">
        <v>546</v>
      </c>
      <c r="AJ75" s="5" t="s">
        <v>546</v>
      </c>
      <c r="AK75" s="47">
        <v>4202</v>
      </c>
      <c r="AL75" s="47">
        <v>4202</v>
      </c>
      <c r="AM75" s="5" t="s">
        <v>546</v>
      </c>
      <c r="AN75" s="5" t="s">
        <v>546</v>
      </c>
      <c r="AO75" s="5">
        <v>45</v>
      </c>
      <c r="AP75" s="5">
        <v>45</v>
      </c>
      <c r="AQ75" s="5" t="s">
        <v>546</v>
      </c>
      <c r="AR75" s="5" t="s">
        <v>546</v>
      </c>
      <c r="AS75" s="2"/>
      <c r="AV75" s="2" t="s">
        <v>2264</v>
      </c>
      <c r="AW75" s="5">
        <v>161</v>
      </c>
      <c r="AX75" s="5">
        <v>20</v>
      </c>
      <c r="AY75" s="5">
        <v>61</v>
      </c>
      <c r="AZ75" s="5">
        <v>9</v>
      </c>
      <c r="BA75" s="5">
        <v>4</v>
      </c>
      <c r="BB75" s="5">
        <v>7</v>
      </c>
      <c r="BC75" s="5">
        <v>16</v>
      </c>
      <c r="BD75" s="5">
        <v>21</v>
      </c>
      <c r="BE75" s="5">
        <v>5</v>
      </c>
      <c r="BF75" s="5">
        <v>4</v>
      </c>
      <c r="BG75" s="5">
        <v>1</v>
      </c>
      <c r="BH75" s="5">
        <v>13</v>
      </c>
      <c r="BI75" s="2"/>
    </row>
    <row r="76" spans="1:61" ht="12.95" customHeight="1">
      <c r="AF76" s="2" t="s">
        <v>2338</v>
      </c>
      <c r="AG76" s="5">
        <v>8</v>
      </c>
      <c r="AH76" s="5">
        <v>8</v>
      </c>
      <c r="AI76" s="5" t="s">
        <v>546</v>
      </c>
      <c r="AJ76" s="5" t="s">
        <v>546</v>
      </c>
      <c r="AK76" s="47">
        <v>2618</v>
      </c>
      <c r="AL76" s="47">
        <v>2618</v>
      </c>
      <c r="AM76" s="5" t="s">
        <v>546</v>
      </c>
      <c r="AN76" s="5" t="s">
        <v>546</v>
      </c>
      <c r="AO76" s="5">
        <v>0</v>
      </c>
      <c r="AP76" s="5">
        <v>0</v>
      </c>
      <c r="AQ76" s="2" t="s">
        <v>546</v>
      </c>
      <c r="AR76" s="2" t="s">
        <v>546</v>
      </c>
      <c r="AS76" s="2"/>
      <c r="AV76" s="2" t="s">
        <v>2356</v>
      </c>
      <c r="AW76" s="5">
        <v>2</v>
      </c>
      <c r="AX76" s="5">
        <v>1</v>
      </c>
      <c r="AY76" s="5">
        <v>0</v>
      </c>
      <c r="AZ76" s="5">
        <v>1</v>
      </c>
      <c r="BA76" s="5">
        <v>0</v>
      </c>
      <c r="BB76" s="5">
        <v>0</v>
      </c>
      <c r="BC76" s="5">
        <v>0</v>
      </c>
      <c r="BD76" s="5">
        <v>0</v>
      </c>
      <c r="BE76" s="5">
        <v>0</v>
      </c>
      <c r="BF76" s="5">
        <v>0</v>
      </c>
      <c r="BG76" s="5">
        <v>0</v>
      </c>
      <c r="BH76" s="5">
        <v>0</v>
      </c>
      <c r="BI76" s="2"/>
    </row>
    <row r="77" spans="1:61" ht="12.95" customHeight="1">
      <c r="AF77" s="3" t="s">
        <v>2339</v>
      </c>
      <c r="AG77" s="5">
        <v>17</v>
      </c>
      <c r="AH77" s="5">
        <v>17</v>
      </c>
      <c r="AI77" s="5" t="s">
        <v>546</v>
      </c>
      <c r="AJ77" s="5" t="s">
        <v>546</v>
      </c>
      <c r="AK77" s="5">
        <v>94</v>
      </c>
      <c r="AL77" s="5">
        <v>94</v>
      </c>
      <c r="AM77" s="5" t="s">
        <v>546</v>
      </c>
      <c r="AN77" s="5" t="s">
        <v>546</v>
      </c>
      <c r="AO77" s="5">
        <v>6</v>
      </c>
      <c r="AP77" s="5">
        <v>6</v>
      </c>
      <c r="AQ77" s="5" t="s">
        <v>546</v>
      </c>
      <c r="AR77" s="5" t="s">
        <v>546</v>
      </c>
      <c r="AS77" s="2"/>
      <c r="AV77" s="2" t="s">
        <v>2208</v>
      </c>
      <c r="AW77" s="5">
        <v>167</v>
      </c>
      <c r="AX77" s="5">
        <v>125</v>
      </c>
      <c r="AY77" s="5">
        <v>1</v>
      </c>
      <c r="AZ77" s="5">
        <v>3</v>
      </c>
      <c r="BA77" s="5">
        <v>0</v>
      </c>
      <c r="BB77" s="5">
        <v>4</v>
      </c>
      <c r="BC77" s="5">
        <v>11</v>
      </c>
      <c r="BD77" s="5">
        <v>0</v>
      </c>
      <c r="BE77" s="5">
        <v>0</v>
      </c>
      <c r="BF77" s="5">
        <v>4</v>
      </c>
      <c r="BG77" s="5">
        <v>0</v>
      </c>
      <c r="BH77" s="5">
        <v>19</v>
      </c>
      <c r="BI77" s="2"/>
    </row>
    <row r="78" spans="1:61" ht="12.95" customHeight="1">
      <c r="AF78" s="3" t="s">
        <v>2340</v>
      </c>
      <c r="AG78" s="5">
        <v>7</v>
      </c>
      <c r="AH78" s="5">
        <v>7</v>
      </c>
      <c r="AI78" s="5" t="s">
        <v>546</v>
      </c>
      <c r="AJ78" s="5" t="s">
        <v>546</v>
      </c>
      <c r="AK78" s="5">
        <v>761</v>
      </c>
      <c r="AL78" s="5">
        <v>761</v>
      </c>
      <c r="AM78" s="5" t="s">
        <v>546</v>
      </c>
      <c r="AN78" s="5" t="s">
        <v>546</v>
      </c>
      <c r="AO78" s="5">
        <v>10</v>
      </c>
      <c r="AP78" s="5">
        <v>10</v>
      </c>
      <c r="AQ78" s="5" t="s">
        <v>546</v>
      </c>
      <c r="AR78" s="5" t="s">
        <v>546</v>
      </c>
      <c r="AS78" s="2"/>
      <c r="AV78" s="2" t="s">
        <v>2209</v>
      </c>
      <c r="AW78" s="5">
        <v>26</v>
      </c>
      <c r="AX78" s="5">
        <v>19</v>
      </c>
      <c r="AY78" s="5">
        <v>0</v>
      </c>
      <c r="AZ78" s="5">
        <v>0</v>
      </c>
      <c r="BA78" s="5">
        <v>0</v>
      </c>
      <c r="BB78" s="5">
        <v>1</v>
      </c>
      <c r="BC78" s="5">
        <v>6</v>
      </c>
      <c r="BD78" s="5">
        <v>0</v>
      </c>
      <c r="BE78" s="5">
        <v>0</v>
      </c>
      <c r="BF78" s="5">
        <v>0</v>
      </c>
      <c r="BG78" s="5">
        <v>0</v>
      </c>
      <c r="BH78" s="5">
        <v>0</v>
      </c>
      <c r="BI78" s="2"/>
    </row>
    <row r="79" spans="1:61" ht="12.95" customHeight="1">
      <c r="AF79" s="3" t="s">
        <v>2372</v>
      </c>
      <c r="AG79" s="5">
        <v>41</v>
      </c>
      <c r="AH79" s="5">
        <v>41</v>
      </c>
      <c r="AI79" s="5" t="s">
        <v>546</v>
      </c>
      <c r="AJ79" s="5" t="s">
        <v>546</v>
      </c>
      <c r="AK79" s="47">
        <v>1528</v>
      </c>
      <c r="AL79" s="47">
        <v>1528</v>
      </c>
      <c r="AM79" s="5" t="s">
        <v>546</v>
      </c>
      <c r="AN79" s="5" t="s">
        <v>546</v>
      </c>
      <c r="AO79" s="5">
        <v>23</v>
      </c>
      <c r="AP79" s="5">
        <v>23</v>
      </c>
      <c r="AQ79" s="5" t="s">
        <v>546</v>
      </c>
      <c r="AR79" s="5" t="s">
        <v>546</v>
      </c>
      <c r="AS79" s="2"/>
      <c r="AV79" s="2"/>
      <c r="AW79" s="2"/>
      <c r="AX79" s="2"/>
      <c r="AY79" s="2"/>
      <c r="AZ79" s="2"/>
      <c r="BA79" s="2"/>
      <c r="BB79" s="2"/>
      <c r="BC79" s="2"/>
      <c r="BD79" s="2"/>
      <c r="BE79" s="2"/>
      <c r="BF79" s="2"/>
      <c r="BG79" s="2"/>
      <c r="BH79" s="2"/>
      <c r="BI79" s="2"/>
    </row>
    <row r="80" spans="1:61" ht="12.95" customHeight="1">
      <c r="AF80" s="3" t="s">
        <v>2373</v>
      </c>
      <c r="AG80" s="22">
        <v>15</v>
      </c>
      <c r="AH80" s="22">
        <v>15</v>
      </c>
      <c r="AI80" s="22" t="s">
        <v>546</v>
      </c>
      <c r="AJ80" s="22" t="s">
        <v>546</v>
      </c>
      <c r="AK80" s="22">
        <v>751</v>
      </c>
      <c r="AL80" s="22">
        <v>751</v>
      </c>
      <c r="AM80" s="22" t="s">
        <v>546</v>
      </c>
      <c r="AN80" s="22" t="s">
        <v>546</v>
      </c>
      <c r="AO80" s="22">
        <v>12</v>
      </c>
      <c r="AP80" s="22">
        <v>12</v>
      </c>
      <c r="AQ80" s="22" t="s">
        <v>546</v>
      </c>
      <c r="AR80" s="22" t="s">
        <v>546</v>
      </c>
      <c r="AS80" s="2"/>
      <c r="AV80" s="2" t="s">
        <v>2357</v>
      </c>
      <c r="AW80" s="47">
        <v>1826</v>
      </c>
      <c r="AX80" s="2"/>
      <c r="AY80" s="2"/>
      <c r="AZ80" s="2"/>
      <c r="BA80" s="2"/>
      <c r="BB80" s="2"/>
      <c r="BC80" s="2"/>
      <c r="BD80" s="2"/>
      <c r="BE80" s="2"/>
      <c r="BF80" s="2"/>
      <c r="BG80" s="2"/>
      <c r="BH80" s="2"/>
      <c r="BI80" s="2"/>
    </row>
    <row r="81" spans="32:61" ht="15" customHeight="1">
      <c r="AF81" s="23" t="s">
        <v>2322</v>
      </c>
      <c r="AG81" s="29">
        <v>143</v>
      </c>
      <c r="AH81" s="29">
        <v>143</v>
      </c>
      <c r="AI81" s="29" t="s">
        <v>546</v>
      </c>
      <c r="AJ81" s="29" t="s">
        <v>546</v>
      </c>
      <c r="AK81" s="54">
        <v>16061</v>
      </c>
      <c r="AL81" s="54">
        <v>16061</v>
      </c>
      <c r="AM81" s="29" t="s">
        <v>546</v>
      </c>
      <c r="AN81" s="29" t="s">
        <v>546</v>
      </c>
      <c r="AO81" s="29">
        <v>88</v>
      </c>
      <c r="AP81" s="29">
        <v>88</v>
      </c>
      <c r="AQ81" s="29" t="s">
        <v>546</v>
      </c>
      <c r="AR81" s="29" t="s">
        <v>546</v>
      </c>
      <c r="AS81" s="2"/>
      <c r="AV81" s="2" t="s">
        <v>2358</v>
      </c>
      <c r="AW81" s="5">
        <v>679</v>
      </c>
      <c r="AX81" s="5">
        <v>176</v>
      </c>
      <c r="AY81" s="5">
        <v>198</v>
      </c>
      <c r="AZ81" s="5">
        <v>206</v>
      </c>
      <c r="BA81" s="5">
        <v>15</v>
      </c>
      <c r="BB81" s="5">
        <v>36</v>
      </c>
      <c r="BC81" s="5">
        <v>18</v>
      </c>
      <c r="BD81" s="5">
        <v>3</v>
      </c>
      <c r="BE81" s="5">
        <v>2</v>
      </c>
      <c r="BF81" s="5">
        <v>6</v>
      </c>
      <c r="BG81" s="5">
        <v>0</v>
      </c>
      <c r="BH81" s="5">
        <v>18</v>
      </c>
      <c r="BI81" s="2"/>
    </row>
    <row r="82" spans="32:61" ht="12" customHeight="1">
      <c r="AF82" s="13" t="s">
        <v>2361</v>
      </c>
      <c r="AG82" s="2"/>
      <c r="AH82" s="2"/>
      <c r="AI82" s="2"/>
      <c r="AJ82" s="2"/>
      <c r="AK82" s="2"/>
      <c r="AL82" s="2"/>
      <c r="AM82" s="2"/>
      <c r="AN82" s="2"/>
      <c r="AO82" s="2"/>
      <c r="AP82" s="2"/>
      <c r="AQ82" s="2"/>
      <c r="AR82" s="2"/>
      <c r="AS82" s="2"/>
      <c r="AU82" s="25"/>
      <c r="AV82" s="2" t="s">
        <v>2359</v>
      </c>
      <c r="AW82" s="47">
        <v>1147</v>
      </c>
      <c r="AX82" s="5">
        <v>344</v>
      </c>
      <c r="AY82" s="5">
        <v>306</v>
      </c>
      <c r="AZ82" s="5">
        <v>318</v>
      </c>
      <c r="BA82" s="5">
        <v>23</v>
      </c>
      <c r="BB82" s="5">
        <v>55</v>
      </c>
      <c r="BC82" s="5">
        <v>30</v>
      </c>
      <c r="BD82" s="5">
        <v>12</v>
      </c>
      <c r="BE82" s="5">
        <v>5</v>
      </c>
      <c r="BF82" s="5">
        <v>15</v>
      </c>
      <c r="BG82" s="5">
        <v>0</v>
      </c>
      <c r="BH82" s="5">
        <v>36</v>
      </c>
      <c r="BI82" s="2"/>
    </row>
    <row r="83" spans="32:61" ht="12" customHeight="1">
      <c r="AF83" s="2251" t="s">
        <v>2293</v>
      </c>
      <c r="AG83" s="2251"/>
      <c r="AH83" s="2"/>
      <c r="AI83" s="2"/>
      <c r="AJ83" s="2"/>
      <c r="AK83" s="2"/>
      <c r="AL83" s="2"/>
      <c r="AM83" s="2"/>
      <c r="AN83" s="2"/>
      <c r="AO83" s="2"/>
      <c r="AP83" s="2"/>
      <c r="AQ83" s="2"/>
      <c r="AR83" s="2"/>
      <c r="AS83" s="2"/>
      <c r="AU83" s="25"/>
      <c r="AV83" s="10" t="s">
        <v>2360</v>
      </c>
      <c r="AW83" s="51">
        <v>304616</v>
      </c>
      <c r="AX83" s="51">
        <v>98625</v>
      </c>
      <c r="AY83" s="51">
        <v>75724</v>
      </c>
      <c r="AZ83" s="51">
        <v>100040</v>
      </c>
      <c r="BA83" s="51">
        <v>5056</v>
      </c>
      <c r="BB83" s="51">
        <v>12762</v>
      </c>
      <c r="BC83" s="51">
        <v>4068</v>
      </c>
      <c r="BD83" s="11">
        <v>250</v>
      </c>
      <c r="BE83" s="11">
        <v>380</v>
      </c>
      <c r="BF83" s="51">
        <v>1999</v>
      </c>
      <c r="BG83" s="11">
        <v>32</v>
      </c>
      <c r="BH83" s="51">
        <v>5680</v>
      </c>
      <c r="BI83" s="2"/>
    </row>
    <row r="84" spans="32:61">
      <c r="AF84" s="2"/>
      <c r="AG84" s="2"/>
      <c r="AH84" s="2"/>
      <c r="AI84" s="2"/>
      <c r="AJ84" s="2"/>
      <c r="AK84" s="2"/>
      <c r="AL84" s="2"/>
      <c r="AM84" s="2"/>
      <c r="AN84" s="2"/>
      <c r="AO84" s="2"/>
      <c r="AP84" s="2"/>
      <c r="AQ84" s="2"/>
      <c r="AR84" s="2"/>
      <c r="AS84" s="2"/>
      <c r="AV84" s="2252" t="s">
        <v>2361</v>
      </c>
      <c r="AW84" s="2252"/>
      <c r="AX84" s="2252"/>
      <c r="AY84" s="2252"/>
      <c r="AZ84" s="2252"/>
      <c r="BA84" s="2252"/>
      <c r="BB84" s="2252"/>
      <c r="BC84" s="2252"/>
      <c r="BD84" s="2252"/>
      <c r="BE84" s="2252"/>
      <c r="BF84" s="2252"/>
      <c r="BG84" s="2252"/>
      <c r="BH84" s="2"/>
      <c r="BI84" s="2"/>
    </row>
    <row r="85" spans="32:61" ht="24.75" customHeight="1">
      <c r="AF85" s="2"/>
      <c r="AG85" s="2"/>
      <c r="AH85" s="2"/>
      <c r="AI85" s="2"/>
      <c r="AJ85" s="2"/>
      <c r="AK85" s="2"/>
      <c r="AL85" s="2"/>
      <c r="AM85" s="2"/>
      <c r="AN85" s="2"/>
      <c r="AO85" s="2"/>
      <c r="AP85" s="2"/>
      <c r="AQ85" s="2"/>
      <c r="AR85" s="2"/>
      <c r="AS85" s="2"/>
      <c r="AV85" s="2262" t="s">
        <v>2293</v>
      </c>
      <c r="AW85" s="2262"/>
      <c r="AX85" s="2262"/>
      <c r="AY85" s="2262"/>
      <c r="AZ85" s="2262"/>
      <c r="BA85" s="2262"/>
      <c r="BB85" s="2262"/>
      <c r="BC85" s="2262"/>
      <c r="BD85" s="2262"/>
      <c r="BE85" s="2262"/>
      <c r="BF85" s="2262"/>
      <c r="BG85" s="2262"/>
      <c r="BH85" s="2"/>
      <c r="BI85" s="2"/>
    </row>
    <row r="86" spans="32:61" ht="17.25" customHeight="1">
      <c r="AF86" s="1" t="s">
        <v>2374</v>
      </c>
      <c r="AG86" s="2"/>
      <c r="AH86" s="2"/>
      <c r="AI86" s="2"/>
      <c r="AJ86" s="2"/>
      <c r="AK86" s="2"/>
      <c r="AL86" s="2"/>
      <c r="AM86" s="2"/>
      <c r="AN86" s="2"/>
      <c r="AO86" s="2"/>
      <c r="AP86" s="2"/>
      <c r="AQ86" s="2"/>
      <c r="AR86" s="2"/>
      <c r="AS86" s="2"/>
      <c r="AV86" s="2045"/>
      <c r="AW86" s="2045"/>
      <c r="AX86" s="2045"/>
      <c r="AY86" s="2045"/>
      <c r="AZ86" s="2045"/>
      <c r="BA86" s="2045"/>
      <c r="BB86" s="2045"/>
      <c r="BC86" s="2045"/>
      <c r="BD86" s="2045"/>
      <c r="BE86" s="2045"/>
      <c r="BF86" s="2045"/>
      <c r="BG86" s="2045"/>
      <c r="BH86" s="2"/>
      <c r="BI86" s="2"/>
    </row>
    <row r="87" spans="32:61">
      <c r="AF87" s="2254" t="s">
        <v>2332</v>
      </c>
      <c r="AG87" s="2033" t="s">
        <v>2331</v>
      </c>
      <c r="AH87" s="2034"/>
      <c r="AI87" s="2034"/>
      <c r="AJ87" s="2034"/>
      <c r="AK87" s="2034"/>
      <c r="AL87" s="2034"/>
      <c r="AM87" s="2034"/>
      <c r="AN87" s="2034"/>
      <c r="AO87" s="2034"/>
      <c r="AP87" s="2034"/>
      <c r="AQ87" s="2034"/>
      <c r="AR87" s="2034"/>
      <c r="AS87" s="2261"/>
      <c r="AV87" s="2"/>
      <c r="AW87" s="2"/>
      <c r="AX87" s="2"/>
      <c r="AY87" s="2"/>
      <c r="AZ87" s="2"/>
      <c r="BA87" s="2"/>
      <c r="BB87" s="2"/>
      <c r="BC87" s="2"/>
      <c r="BD87" s="2"/>
      <c r="BE87" s="2"/>
      <c r="BF87" s="2"/>
      <c r="BG87" s="2"/>
      <c r="BH87" s="2"/>
      <c r="BI87" s="2"/>
    </row>
    <row r="88" spans="32:61" ht="13.5" customHeight="1">
      <c r="AF88" s="2255"/>
      <c r="AG88" s="2257" t="s">
        <v>129</v>
      </c>
      <c r="AH88" s="2259" t="s">
        <v>2320</v>
      </c>
      <c r="AI88" s="2257" t="s">
        <v>2333</v>
      </c>
      <c r="AJ88" s="2259" t="s">
        <v>2334</v>
      </c>
      <c r="AK88" s="353" t="s">
        <v>2335</v>
      </c>
      <c r="AL88" s="357" t="s">
        <v>2336</v>
      </c>
      <c r="AM88" s="353" t="s">
        <v>2337</v>
      </c>
      <c r="AN88" s="358" t="s">
        <v>2338</v>
      </c>
      <c r="AO88" s="2257" t="s">
        <v>2339</v>
      </c>
      <c r="AP88" s="2257" t="s">
        <v>2340</v>
      </c>
      <c r="AQ88" s="353" t="s">
        <v>2341</v>
      </c>
      <c r="AR88" s="357" t="s">
        <v>2342</v>
      </c>
      <c r="AS88" s="2263" t="s">
        <v>2322</v>
      </c>
      <c r="AV88" s="2"/>
      <c r="AW88" s="2"/>
      <c r="AX88" s="2"/>
      <c r="AY88" s="2"/>
      <c r="AZ88" s="2"/>
      <c r="BA88" s="2"/>
      <c r="BB88" s="2"/>
      <c r="BC88" s="2"/>
      <c r="BD88" s="2"/>
      <c r="BE88" s="2"/>
      <c r="BF88" s="2"/>
      <c r="BG88" s="2"/>
      <c r="BH88" s="2"/>
      <c r="BI88" s="2"/>
    </row>
    <row r="89" spans="32:61">
      <c r="AF89" s="2256"/>
      <c r="AG89" s="2258"/>
      <c r="AH89" s="2260"/>
      <c r="AI89" s="2258"/>
      <c r="AJ89" s="2260"/>
      <c r="AK89" s="352" t="s">
        <v>2343</v>
      </c>
      <c r="AL89" s="354" t="s">
        <v>2344</v>
      </c>
      <c r="AM89" s="352" t="s">
        <v>2345</v>
      </c>
      <c r="AN89" s="355" t="s">
        <v>2346</v>
      </c>
      <c r="AO89" s="2258"/>
      <c r="AP89" s="2258"/>
      <c r="AQ89" s="352" t="s">
        <v>2347</v>
      </c>
      <c r="AR89" s="354" t="s">
        <v>2348</v>
      </c>
      <c r="AS89" s="2264"/>
      <c r="AV89" s="1" t="s">
        <v>2385</v>
      </c>
      <c r="AW89" s="2"/>
      <c r="AX89" s="2"/>
      <c r="AY89" s="2"/>
      <c r="AZ89" s="2"/>
      <c r="BA89" s="2"/>
      <c r="BB89" s="2"/>
      <c r="BC89" s="2"/>
      <c r="BD89" s="2"/>
      <c r="BE89" s="2"/>
      <c r="BF89" s="2"/>
      <c r="BG89" s="2"/>
      <c r="BH89" s="2"/>
      <c r="BI89" s="2"/>
    </row>
    <row r="90" spans="32:61" ht="12.95" customHeight="1">
      <c r="AF90" s="2" t="s">
        <v>129</v>
      </c>
      <c r="AG90" s="5">
        <v>753</v>
      </c>
      <c r="AH90" s="5">
        <v>240</v>
      </c>
      <c r="AI90" s="5">
        <v>100</v>
      </c>
      <c r="AJ90" s="5">
        <v>34</v>
      </c>
      <c r="AK90" s="5">
        <v>4</v>
      </c>
      <c r="AL90" s="5">
        <v>25</v>
      </c>
      <c r="AM90" s="5">
        <v>190</v>
      </c>
      <c r="AN90" s="5">
        <v>18</v>
      </c>
      <c r="AO90" s="5">
        <v>18</v>
      </c>
      <c r="AP90" s="5">
        <v>4</v>
      </c>
      <c r="AQ90" s="5">
        <v>28</v>
      </c>
      <c r="AR90" s="5">
        <v>7</v>
      </c>
      <c r="AS90" s="5">
        <v>85</v>
      </c>
      <c r="AV90" s="8"/>
      <c r="AW90" s="2120" t="s">
        <v>2363</v>
      </c>
      <c r="AX90" s="2120"/>
      <c r="AY90" s="2120"/>
      <c r="AZ90" s="2120"/>
      <c r="BA90" s="2120" t="s">
        <v>2364</v>
      </c>
      <c r="BB90" s="2120"/>
      <c r="BC90" s="2120"/>
      <c r="BD90" s="2120"/>
      <c r="BE90" s="2120" t="s">
        <v>2365</v>
      </c>
      <c r="BF90" s="2120"/>
      <c r="BG90" s="2120"/>
      <c r="BH90" s="2033"/>
      <c r="BI90" s="2"/>
    </row>
    <row r="91" spans="32:61" ht="12.95" customHeight="1">
      <c r="AF91" s="2" t="s">
        <v>2349</v>
      </c>
      <c r="AG91" s="5">
        <v>28</v>
      </c>
      <c r="AH91" s="5">
        <v>4</v>
      </c>
      <c r="AI91" s="5">
        <v>11</v>
      </c>
      <c r="AJ91" s="5">
        <v>3</v>
      </c>
      <c r="AK91" s="5">
        <v>0</v>
      </c>
      <c r="AL91" s="5">
        <v>0</v>
      </c>
      <c r="AM91" s="5">
        <v>2</v>
      </c>
      <c r="AN91" s="5">
        <v>4</v>
      </c>
      <c r="AO91" s="5">
        <v>0</v>
      </c>
      <c r="AP91" s="5">
        <v>0</v>
      </c>
      <c r="AQ91" s="5">
        <v>0</v>
      </c>
      <c r="AR91" s="5">
        <v>0</v>
      </c>
      <c r="AS91" s="5">
        <v>4</v>
      </c>
      <c r="AV91" s="10" t="s">
        <v>2311</v>
      </c>
      <c r="AW91" s="9" t="s">
        <v>129</v>
      </c>
      <c r="AX91" s="9" t="s">
        <v>2366</v>
      </c>
      <c r="AY91" s="9" t="s">
        <v>2367</v>
      </c>
      <c r="AZ91" s="9" t="s">
        <v>2368</v>
      </c>
      <c r="BA91" s="9" t="s">
        <v>129</v>
      </c>
      <c r="BB91" s="9" t="s">
        <v>2366</v>
      </c>
      <c r="BC91" s="9" t="s">
        <v>2367</v>
      </c>
      <c r="BD91" s="9" t="s">
        <v>2368</v>
      </c>
      <c r="BE91" s="9" t="s">
        <v>129</v>
      </c>
      <c r="BF91" s="9" t="s">
        <v>2366</v>
      </c>
      <c r="BG91" s="9" t="s">
        <v>2367</v>
      </c>
      <c r="BH91" s="11" t="s">
        <v>2368</v>
      </c>
      <c r="BI91" s="2"/>
    </row>
    <row r="92" spans="32:61" ht="12.95" customHeight="1">
      <c r="AF92" s="2" t="s">
        <v>2375</v>
      </c>
      <c r="AG92" s="5">
        <v>33</v>
      </c>
      <c r="AH92" s="5">
        <v>15</v>
      </c>
      <c r="AI92" s="5">
        <v>0</v>
      </c>
      <c r="AJ92" s="5">
        <v>2</v>
      </c>
      <c r="AK92" s="5">
        <v>0</v>
      </c>
      <c r="AL92" s="5">
        <v>1</v>
      </c>
      <c r="AM92" s="5">
        <v>10</v>
      </c>
      <c r="AN92" s="5">
        <v>0</v>
      </c>
      <c r="AO92" s="5">
        <v>0</v>
      </c>
      <c r="AP92" s="5">
        <v>1</v>
      </c>
      <c r="AQ92" s="5">
        <v>1</v>
      </c>
      <c r="AR92" s="5">
        <v>0</v>
      </c>
      <c r="AS92" s="5">
        <v>3</v>
      </c>
      <c r="AV92" s="3" t="s">
        <v>129</v>
      </c>
      <c r="AW92" s="22">
        <v>937</v>
      </c>
      <c r="AX92" s="22">
        <v>679</v>
      </c>
      <c r="AY92" s="22">
        <v>155</v>
      </c>
      <c r="AZ92" s="22">
        <v>103</v>
      </c>
      <c r="BA92" s="53">
        <v>304616</v>
      </c>
      <c r="BB92" s="53">
        <v>267209</v>
      </c>
      <c r="BC92" s="53">
        <v>9688</v>
      </c>
      <c r="BD92" s="53">
        <v>27719</v>
      </c>
      <c r="BE92" s="53">
        <v>1144</v>
      </c>
      <c r="BF92" s="22">
        <v>937</v>
      </c>
      <c r="BG92" s="22">
        <v>60</v>
      </c>
      <c r="BH92" s="22">
        <v>147</v>
      </c>
      <c r="BI92" s="3"/>
    </row>
    <row r="93" spans="32:61" ht="12.95" customHeight="1">
      <c r="AF93" s="2" t="s">
        <v>2376</v>
      </c>
      <c r="AG93" s="5">
        <v>15</v>
      </c>
      <c r="AH93" s="5">
        <v>3</v>
      </c>
      <c r="AI93" s="5">
        <v>1</v>
      </c>
      <c r="AJ93" s="5">
        <v>2</v>
      </c>
      <c r="AK93" s="5">
        <v>0</v>
      </c>
      <c r="AL93" s="5">
        <v>0</v>
      </c>
      <c r="AM93" s="5">
        <v>4</v>
      </c>
      <c r="AN93" s="5">
        <v>0</v>
      </c>
      <c r="AO93" s="5">
        <v>2</v>
      </c>
      <c r="AP93" s="5">
        <v>0</v>
      </c>
      <c r="AQ93" s="5">
        <v>2</v>
      </c>
      <c r="AR93" s="5">
        <v>1</v>
      </c>
      <c r="AS93" s="5">
        <v>0</v>
      </c>
      <c r="AV93" s="3" t="s">
        <v>2320</v>
      </c>
      <c r="AW93" s="22">
        <v>443</v>
      </c>
      <c r="AX93" s="22">
        <v>294</v>
      </c>
      <c r="AY93" s="22">
        <v>116</v>
      </c>
      <c r="AZ93" s="22">
        <v>33</v>
      </c>
      <c r="BA93" s="53">
        <v>98625</v>
      </c>
      <c r="BB93" s="53">
        <v>89181</v>
      </c>
      <c r="BC93" s="53">
        <v>6755</v>
      </c>
      <c r="BD93" s="53">
        <v>2689</v>
      </c>
      <c r="BE93" s="22">
        <v>344</v>
      </c>
      <c r="BF93" s="22">
        <v>293</v>
      </c>
      <c r="BG93" s="22">
        <v>36</v>
      </c>
      <c r="BH93" s="22">
        <v>15</v>
      </c>
      <c r="BI93" s="2"/>
    </row>
    <row r="94" spans="32:61" ht="12.95" customHeight="1">
      <c r="AF94" s="2" t="s">
        <v>2253</v>
      </c>
      <c r="AG94" s="5">
        <v>61</v>
      </c>
      <c r="AH94" s="5">
        <v>16</v>
      </c>
      <c r="AI94" s="5">
        <v>9</v>
      </c>
      <c r="AJ94" s="5">
        <v>2</v>
      </c>
      <c r="AK94" s="5">
        <v>0</v>
      </c>
      <c r="AL94" s="5">
        <v>2</v>
      </c>
      <c r="AM94" s="5">
        <v>22</v>
      </c>
      <c r="AN94" s="5">
        <v>1</v>
      </c>
      <c r="AO94" s="5">
        <v>0</v>
      </c>
      <c r="AP94" s="5">
        <v>0</v>
      </c>
      <c r="AQ94" s="5">
        <v>1</v>
      </c>
      <c r="AR94" s="5">
        <v>1</v>
      </c>
      <c r="AS94" s="5">
        <v>7</v>
      </c>
      <c r="AV94" s="3" t="s">
        <v>2333</v>
      </c>
      <c r="AW94" s="22">
        <v>122</v>
      </c>
      <c r="AX94" s="22">
        <v>13</v>
      </c>
      <c r="AY94" s="22">
        <v>39</v>
      </c>
      <c r="AZ94" s="22">
        <v>70</v>
      </c>
      <c r="BA94" s="53">
        <v>75724</v>
      </c>
      <c r="BB94" s="53">
        <v>47761</v>
      </c>
      <c r="BC94" s="53">
        <v>2933</v>
      </c>
      <c r="BD94" s="53">
        <v>25030</v>
      </c>
      <c r="BE94" s="22">
        <v>306</v>
      </c>
      <c r="BF94" s="22">
        <v>150</v>
      </c>
      <c r="BG94" s="22">
        <v>24</v>
      </c>
      <c r="BH94" s="22">
        <v>132</v>
      </c>
      <c r="BI94" s="2"/>
    </row>
    <row r="95" spans="32:61" ht="12.95" customHeight="1">
      <c r="AF95" s="2" t="s">
        <v>2352</v>
      </c>
      <c r="AG95" s="5">
        <v>40</v>
      </c>
      <c r="AH95" s="5">
        <v>18</v>
      </c>
      <c r="AI95" s="5">
        <v>0</v>
      </c>
      <c r="AJ95" s="5">
        <v>1</v>
      </c>
      <c r="AK95" s="5">
        <v>0</v>
      </c>
      <c r="AL95" s="5">
        <v>1</v>
      </c>
      <c r="AM95" s="5">
        <v>12</v>
      </c>
      <c r="AN95" s="5">
        <v>0</v>
      </c>
      <c r="AO95" s="5">
        <v>0</v>
      </c>
      <c r="AP95" s="5">
        <v>0</v>
      </c>
      <c r="AQ95" s="5">
        <v>2</v>
      </c>
      <c r="AR95" s="5">
        <v>0</v>
      </c>
      <c r="AS95" s="5">
        <v>6</v>
      </c>
      <c r="AV95" s="3" t="s">
        <v>2334</v>
      </c>
      <c r="AW95" s="22">
        <v>49</v>
      </c>
      <c r="AX95" s="22">
        <v>49</v>
      </c>
      <c r="AY95" s="22" t="s">
        <v>546</v>
      </c>
      <c r="AZ95" s="22" t="s">
        <v>546</v>
      </c>
      <c r="BA95" s="53">
        <v>100040</v>
      </c>
      <c r="BB95" s="53">
        <v>100040</v>
      </c>
      <c r="BC95" s="22" t="s">
        <v>546</v>
      </c>
      <c r="BD95" s="22" t="s">
        <v>546</v>
      </c>
      <c r="BE95" s="22">
        <v>318</v>
      </c>
      <c r="BF95" s="22">
        <v>318</v>
      </c>
      <c r="BG95" s="22" t="s">
        <v>546</v>
      </c>
      <c r="BH95" s="22" t="s">
        <v>546</v>
      </c>
      <c r="BI95" s="2"/>
    </row>
    <row r="96" spans="32:61" ht="12.95" customHeight="1">
      <c r="AF96" s="2" t="s">
        <v>2177</v>
      </c>
      <c r="AG96" s="5">
        <v>127</v>
      </c>
      <c r="AH96" s="5">
        <v>40</v>
      </c>
      <c r="AI96" s="5">
        <v>24</v>
      </c>
      <c r="AJ96" s="5">
        <v>2</v>
      </c>
      <c r="AK96" s="5">
        <v>1</v>
      </c>
      <c r="AL96" s="5">
        <v>6</v>
      </c>
      <c r="AM96" s="5">
        <v>34</v>
      </c>
      <c r="AN96" s="5">
        <v>0</v>
      </c>
      <c r="AO96" s="5">
        <v>0</v>
      </c>
      <c r="AP96" s="5">
        <v>1</v>
      </c>
      <c r="AQ96" s="5">
        <v>4</v>
      </c>
      <c r="AR96" s="5">
        <v>1</v>
      </c>
      <c r="AS96" s="5">
        <v>14</v>
      </c>
      <c r="AV96" s="3" t="s">
        <v>2369</v>
      </c>
      <c r="AW96" s="22">
        <v>6</v>
      </c>
      <c r="AX96" s="22">
        <v>6</v>
      </c>
      <c r="AY96" s="22" t="s">
        <v>546</v>
      </c>
      <c r="AZ96" s="22" t="s">
        <v>546</v>
      </c>
      <c r="BA96" s="53">
        <v>5056</v>
      </c>
      <c r="BB96" s="53">
        <v>5056</v>
      </c>
      <c r="BC96" s="22" t="s">
        <v>546</v>
      </c>
      <c r="BD96" s="22" t="s">
        <v>546</v>
      </c>
      <c r="BE96" s="22">
        <v>23</v>
      </c>
      <c r="BF96" s="22">
        <v>23</v>
      </c>
      <c r="BG96" s="22" t="s">
        <v>546</v>
      </c>
      <c r="BH96" s="22" t="s">
        <v>546</v>
      </c>
      <c r="BI96" s="2"/>
    </row>
    <row r="97" spans="32:61" ht="12.95" customHeight="1">
      <c r="AF97" s="2" t="s">
        <v>2276</v>
      </c>
      <c r="AG97" s="5">
        <v>9</v>
      </c>
      <c r="AH97" s="5">
        <v>4</v>
      </c>
      <c r="AI97" s="5">
        <v>1</v>
      </c>
      <c r="AJ97" s="5">
        <v>0</v>
      </c>
      <c r="AK97" s="5">
        <v>0</v>
      </c>
      <c r="AL97" s="5">
        <v>0</v>
      </c>
      <c r="AM97" s="5">
        <v>2</v>
      </c>
      <c r="AN97" s="5">
        <v>0</v>
      </c>
      <c r="AO97" s="5">
        <v>0</v>
      </c>
      <c r="AP97" s="5">
        <v>0</v>
      </c>
      <c r="AQ97" s="5">
        <v>0</v>
      </c>
      <c r="AR97" s="5">
        <v>0</v>
      </c>
      <c r="AS97" s="5">
        <v>2</v>
      </c>
      <c r="AV97" s="3" t="s">
        <v>2370</v>
      </c>
      <c r="AW97" s="22">
        <v>29</v>
      </c>
      <c r="AX97" s="22">
        <v>29</v>
      </c>
      <c r="AY97" s="22" t="s">
        <v>546</v>
      </c>
      <c r="AZ97" s="22" t="s">
        <v>546</v>
      </c>
      <c r="BA97" s="53">
        <v>12762</v>
      </c>
      <c r="BB97" s="53">
        <v>12762</v>
      </c>
      <c r="BC97" s="22" t="s">
        <v>546</v>
      </c>
      <c r="BD97" s="22" t="s">
        <v>546</v>
      </c>
      <c r="BE97" s="22">
        <v>55</v>
      </c>
      <c r="BF97" s="22">
        <v>55</v>
      </c>
      <c r="BG97" s="22" t="s">
        <v>546</v>
      </c>
      <c r="BH97" s="22" t="s">
        <v>546</v>
      </c>
      <c r="BI97" s="2"/>
    </row>
    <row r="98" spans="32:61" ht="12.95" customHeight="1">
      <c r="AF98" s="2" t="s">
        <v>2185</v>
      </c>
      <c r="AG98" s="5">
        <v>81</v>
      </c>
      <c r="AH98" s="5">
        <v>27</v>
      </c>
      <c r="AI98" s="5">
        <v>5</v>
      </c>
      <c r="AJ98" s="5">
        <v>7</v>
      </c>
      <c r="AK98" s="5">
        <v>1</v>
      </c>
      <c r="AL98" s="5">
        <v>1</v>
      </c>
      <c r="AM98" s="5">
        <v>25</v>
      </c>
      <c r="AN98" s="5">
        <v>1</v>
      </c>
      <c r="AO98" s="5">
        <v>1</v>
      </c>
      <c r="AP98" s="5">
        <v>0</v>
      </c>
      <c r="AQ98" s="5">
        <v>4</v>
      </c>
      <c r="AR98" s="5">
        <v>0</v>
      </c>
      <c r="AS98" s="5">
        <v>9</v>
      </c>
      <c r="AV98" s="3" t="s">
        <v>2371</v>
      </c>
      <c r="AW98" s="22">
        <v>101</v>
      </c>
      <c r="AX98" s="22">
        <v>101</v>
      </c>
      <c r="AY98" s="22" t="s">
        <v>546</v>
      </c>
      <c r="AZ98" s="22" t="s">
        <v>546</v>
      </c>
      <c r="BA98" s="53">
        <v>4068</v>
      </c>
      <c r="BB98" s="53">
        <v>4068</v>
      </c>
      <c r="BC98" s="22" t="s">
        <v>546</v>
      </c>
      <c r="BD98" s="22" t="s">
        <v>546</v>
      </c>
      <c r="BE98" s="22">
        <v>30</v>
      </c>
      <c r="BF98" s="22">
        <v>30</v>
      </c>
      <c r="BG98" s="22" t="s">
        <v>546</v>
      </c>
      <c r="BH98" s="22" t="s">
        <v>546</v>
      </c>
      <c r="BI98" s="2"/>
    </row>
    <row r="99" spans="32:61" ht="12.95" customHeight="1">
      <c r="AF99" s="2" t="s">
        <v>2353</v>
      </c>
      <c r="AG99" s="5">
        <v>6</v>
      </c>
      <c r="AH99" s="5">
        <v>1</v>
      </c>
      <c r="AI99" s="5">
        <v>0</v>
      </c>
      <c r="AJ99" s="5">
        <v>2</v>
      </c>
      <c r="AK99" s="5">
        <v>0</v>
      </c>
      <c r="AL99" s="5">
        <v>0</v>
      </c>
      <c r="AM99" s="5">
        <v>2</v>
      </c>
      <c r="AN99" s="5">
        <v>0</v>
      </c>
      <c r="AO99" s="5">
        <v>0</v>
      </c>
      <c r="AP99" s="5">
        <v>0</v>
      </c>
      <c r="AQ99" s="5">
        <v>0</v>
      </c>
      <c r="AR99" s="5">
        <v>0</v>
      </c>
      <c r="AS99" s="5">
        <v>1</v>
      </c>
      <c r="AV99" s="3" t="s">
        <v>2339</v>
      </c>
      <c r="AW99" s="22">
        <v>37</v>
      </c>
      <c r="AX99" s="22">
        <v>37</v>
      </c>
      <c r="AY99" s="22" t="s">
        <v>546</v>
      </c>
      <c r="AZ99" s="22" t="s">
        <v>546</v>
      </c>
      <c r="BA99" s="22">
        <v>250</v>
      </c>
      <c r="BB99" s="22">
        <v>250</v>
      </c>
      <c r="BC99" s="22" t="s">
        <v>546</v>
      </c>
      <c r="BD99" s="22" t="s">
        <v>546</v>
      </c>
      <c r="BE99" s="22">
        <v>12</v>
      </c>
      <c r="BF99" s="22">
        <v>12</v>
      </c>
      <c r="BG99" s="22" t="s">
        <v>546</v>
      </c>
      <c r="BH99" s="22" t="s">
        <v>546</v>
      </c>
      <c r="BI99" s="2"/>
    </row>
    <row r="100" spans="32:61" ht="12.95" customHeight="1">
      <c r="AF100" s="2" t="s">
        <v>2377</v>
      </c>
      <c r="AG100" s="5">
        <v>20</v>
      </c>
      <c r="AH100" s="5">
        <v>7</v>
      </c>
      <c r="AI100" s="5">
        <v>1</v>
      </c>
      <c r="AJ100" s="5">
        <v>2</v>
      </c>
      <c r="AK100" s="5">
        <v>0</v>
      </c>
      <c r="AL100" s="5">
        <v>2</v>
      </c>
      <c r="AM100" s="5">
        <v>5</v>
      </c>
      <c r="AN100" s="5">
        <v>0</v>
      </c>
      <c r="AO100" s="5">
        <v>1</v>
      </c>
      <c r="AP100" s="5">
        <v>0</v>
      </c>
      <c r="AQ100" s="5">
        <v>0</v>
      </c>
      <c r="AR100" s="5">
        <v>0</v>
      </c>
      <c r="AS100" s="5">
        <v>2</v>
      </c>
      <c r="AV100" s="3" t="s">
        <v>2340</v>
      </c>
      <c r="AW100" s="22">
        <v>7</v>
      </c>
      <c r="AX100" s="22">
        <v>7</v>
      </c>
      <c r="AY100" s="22" t="s">
        <v>546</v>
      </c>
      <c r="AZ100" s="22" t="s">
        <v>546</v>
      </c>
      <c r="BA100" s="22">
        <v>380</v>
      </c>
      <c r="BB100" s="22">
        <v>380</v>
      </c>
      <c r="BC100" s="22" t="s">
        <v>546</v>
      </c>
      <c r="BD100" s="22" t="s">
        <v>546</v>
      </c>
      <c r="BE100" s="22">
        <v>5</v>
      </c>
      <c r="BF100" s="22">
        <v>5</v>
      </c>
      <c r="BG100" s="22" t="s">
        <v>546</v>
      </c>
      <c r="BH100" s="22" t="s">
        <v>546</v>
      </c>
      <c r="BI100" s="2"/>
    </row>
    <row r="101" spans="32:61" ht="12.95" customHeight="1">
      <c r="AF101" s="2" t="s">
        <v>2261</v>
      </c>
      <c r="AG101" s="5">
        <v>16</v>
      </c>
      <c r="AH101" s="5">
        <v>9</v>
      </c>
      <c r="AI101" s="5">
        <v>1</v>
      </c>
      <c r="AJ101" s="5">
        <v>1</v>
      </c>
      <c r="AK101" s="5">
        <v>0</v>
      </c>
      <c r="AL101" s="5">
        <v>1</v>
      </c>
      <c r="AM101" s="5">
        <v>2</v>
      </c>
      <c r="AN101" s="5">
        <v>0</v>
      </c>
      <c r="AO101" s="5">
        <v>1</v>
      </c>
      <c r="AP101" s="5">
        <v>0</v>
      </c>
      <c r="AQ101" s="5">
        <v>1</v>
      </c>
      <c r="AR101" s="5">
        <v>0</v>
      </c>
      <c r="AS101" s="5">
        <v>0</v>
      </c>
      <c r="AV101" s="3" t="s">
        <v>2372</v>
      </c>
      <c r="AW101" s="22">
        <v>41</v>
      </c>
      <c r="AX101" s="22">
        <v>41</v>
      </c>
      <c r="AY101" s="22" t="s">
        <v>546</v>
      </c>
      <c r="AZ101" s="22" t="s">
        <v>546</v>
      </c>
      <c r="BA101" s="53">
        <v>1999</v>
      </c>
      <c r="BB101" s="53">
        <v>1999</v>
      </c>
      <c r="BC101" s="22" t="s">
        <v>546</v>
      </c>
      <c r="BD101" s="22" t="s">
        <v>546</v>
      </c>
      <c r="BE101" s="22">
        <v>15</v>
      </c>
      <c r="BF101" s="22">
        <v>15</v>
      </c>
      <c r="BG101" s="22" t="s">
        <v>546</v>
      </c>
      <c r="BH101" s="22" t="s">
        <v>546</v>
      </c>
      <c r="BI101" s="2"/>
    </row>
    <row r="102" spans="32:61" ht="12.95" customHeight="1">
      <c r="AF102" s="2" t="s">
        <v>2201</v>
      </c>
      <c r="AG102" s="5">
        <v>39</v>
      </c>
      <c r="AH102" s="5">
        <v>24</v>
      </c>
      <c r="AI102" s="5">
        <v>0</v>
      </c>
      <c r="AJ102" s="5">
        <v>1</v>
      </c>
      <c r="AK102" s="5">
        <v>0</v>
      </c>
      <c r="AL102" s="5">
        <v>2</v>
      </c>
      <c r="AM102" s="5">
        <v>7</v>
      </c>
      <c r="AN102" s="5">
        <v>0</v>
      </c>
      <c r="AO102" s="5">
        <v>0</v>
      </c>
      <c r="AP102" s="5">
        <v>0</v>
      </c>
      <c r="AQ102" s="5">
        <v>2</v>
      </c>
      <c r="AR102" s="5">
        <v>0</v>
      </c>
      <c r="AS102" s="5">
        <v>3</v>
      </c>
      <c r="AV102" s="3" t="s">
        <v>2373</v>
      </c>
      <c r="AW102" s="22">
        <v>1</v>
      </c>
      <c r="AX102" s="22">
        <v>1</v>
      </c>
      <c r="AY102" s="22" t="s">
        <v>546</v>
      </c>
      <c r="AZ102" s="22" t="s">
        <v>546</v>
      </c>
      <c r="BA102" s="22">
        <v>32</v>
      </c>
      <c r="BB102" s="22">
        <v>32</v>
      </c>
      <c r="BC102" s="22" t="s">
        <v>546</v>
      </c>
      <c r="BD102" s="22" t="s">
        <v>546</v>
      </c>
      <c r="BE102" s="22">
        <v>0</v>
      </c>
      <c r="BF102" s="22">
        <v>0</v>
      </c>
      <c r="BG102" s="22" t="s">
        <v>546</v>
      </c>
      <c r="BH102" s="22" t="s">
        <v>546</v>
      </c>
      <c r="BI102" s="2"/>
    </row>
    <row r="103" spans="32:61" ht="12.95" customHeight="1">
      <c r="AF103" s="2" t="s">
        <v>2264</v>
      </c>
      <c r="AG103" s="5">
        <v>123</v>
      </c>
      <c r="AH103" s="5">
        <v>13</v>
      </c>
      <c r="AI103" s="5">
        <v>41</v>
      </c>
      <c r="AJ103" s="5">
        <v>6</v>
      </c>
      <c r="AK103" s="5">
        <v>2</v>
      </c>
      <c r="AL103" s="5">
        <v>5</v>
      </c>
      <c r="AM103" s="5">
        <v>12</v>
      </c>
      <c r="AN103" s="5">
        <v>11</v>
      </c>
      <c r="AO103" s="5">
        <v>12</v>
      </c>
      <c r="AP103" s="5">
        <v>1</v>
      </c>
      <c r="AQ103" s="5">
        <v>3</v>
      </c>
      <c r="AR103" s="5">
        <v>3</v>
      </c>
      <c r="AS103" s="5">
        <v>14</v>
      </c>
      <c r="AV103" s="10" t="s">
        <v>2322</v>
      </c>
      <c r="AW103" s="11">
        <v>101</v>
      </c>
      <c r="AX103" s="11">
        <v>101</v>
      </c>
      <c r="AY103" s="11" t="s">
        <v>546</v>
      </c>
      <c r="AZ103" s="11" t="s">
        <v>546</v>
      </c>
      <c r="BA103" s="51">
        <v>5680</v>
      </c>
      <c r="BB103" s="51">
        <v>5680</v>
      </c>
      <c r="BC103" s="11" t="s">
        <v>546</v>
      </c>
      <c r="BD103" s="11" t="s">
        <v>546</v>
      </c>
      <c r="BE103" s="11">
        <v>36</v>
      </c>
      <c r="BF103" s="11">
        <v>36</v>
      </c>
      <c r="BG103" s="11" t="s">
        <v>546</v>
      </c>
      <c r="BH103" s="11" t="s">
        <v>546</v>
      </c>
      <c r="BI103" s="2"/>
    </row>
    <row r="104" spans="32:61" ht="12.95" customHeight="1">
      <c r="AF104" s="2" t="s">
        <v>2356</v>
      </c>
      <c r="AG104" s="5">
        <v>1</v>
      </c>
      <c r="AH104" s="5">
        <v>0</v>
      </c>
      <c r="AI104" s="5">
        <v>0</v>
      </c>
      <c r="AJ104" s="5">
        <v>1</v>
      </c>
      <c r="AK104" s="5">
        <v>0</v>
      </c>
      <c r="AL104" s="5">
        <v>0</v>
      </c>
      <c r="AM104" s="5">
        <v>0</v>
      </c>
      <c r="AN104" s="5">
        <v>0</v>
      </c>
      <c r="AO104" s="5">
        <v>0</v>
      </c>
      <c r="AP104" s="5">
        <v>0</v>
      </c>
      <c r="AQ104" s="5">
        <v>0</v>
      </c>
      <c r="AR104" s="5">
        <v>0</v>
      </c>
      <c r="AS104" s="5">
        <v>0</v>
      </c>
      <c r="AV104" s="2274" t="s">
        <v>2361</v>
      </c>
      <c r="AW104" s="2274"/>
      <c r="AX104" s="2274"/>
      <c r="AY104" s="2274"/>
      <c r="AZ104" s="2274"/>
      <c r="BA104" s="2274"/>
      <c r="BB104" s="2274"/>
      <c r="BC104" s="2274"/>
      <c r="BD104" s="2274"/>
      <c r="BE104" s="2274"/>
      <c r="BF104" s="2274"/>
      <c r="BG104" s="2274"/>
      <c r="BH104" s="2"/>
      <c r="BI104" s="2"/>
    </row>
    <row r="105" spans="32:61" ht="15.75" customHeight="1">
      <c r="AF105" s="2" t="s">
        <v>2208</v>
      </c>
      <c r="AG105" s="5">
        <v>107</v>
      </c>
      <c r="AH105" s="5">
        <v>50</v>
      </c>
      <c r="AI105" s="5">
        <v>3</v>
      </c>
      <c r="AJ105" s="5">
        <v>0</v>
      </c>
      <c r="AK105" s="5">
        <v>0</v>
      </c>
      <c r="AL105" s="5">
        <v>3</v>
      </c>
      <c r="AM105" s="5">
        <v>28</v>
      </c>
      <c r="AN105" s="5">
        <v>1</v>
      </c>
      <c r="AO105" s="5">
        <v>1</v>
      </c>
      <c r="AP105" s="5">
        <v>1</v>
      </c>
      <c r="AQ105" s="5">
        <v>6</v>
      </c>
      <c r="AR105" s="5">
        <v>0</v>
      </c>
      <c r="AS105" s="5">
        <v>15</v>
      </c>
      <c r="AV105" s="2262" t="s">
        <v>2293</v>
      </c>
      <c r="AW105" s="2262"/>
      <c r="AX105" s="2262"/>
      <c r="AY105" s="2262"/>
      <c r="AZ105" s="2262"/>
      <c r="BA105" s="2262"/>
      <c r="BB105" s="2262"/>
      <c r="BC105" s="2262"/>
      <c r="BD105" s="2262"/>
      <c r="BE105" s="2262"/>
      <c r="BF105" s="2262"/>
      <c r="BG105" s="2262"/>
      <c r="BH105" s="2"/>
      <c r="BI105" s="2"/>
    </row>
    <row r="106" spans="32:61" ht="15" customHeight="1">
      <c r="AF106" s="2" t="s">
        <v>2209</v>
      </c>
      <c r="AG106" s="5">
        <v>47</v>
      </c>
      <c r="AH106" s="5">
        <v>9</v>
      </c>
      <c r="AI106" s="5">
        <v>3</v>
      </c>
      <c r="AJ106" s="5">
        <v>2</v>
      </c>
      <c r="AK106" s="5">
        <v>0</v>
      </c>
      <c r="AL106" s="5">
        <v>1</v>
      </c>
      <c r="AM106" s="5">
        <v>23</v>
      </c>
      <c r="AN106" s="5">
        <v>0</v>
      </c>
      <c r="AO106" s="5">
        <v>0</v>
      </c>
      <c r="AP106" s="5">
        <v>0</v>
      </c>
      <c r="AQ106" s="5">
        <v>2</v>
      </c>
      <c r="AR106" s="5">
        <v>1</v>
      </c>
      <c r="AS106" s="5">
        <v>5</v>
      </c>
      <c r="AV106" s="14"/>
      <c r="AW106" s="2"/>
      <c r="AX106" s="2"/>
      <c r="AY106" s="2"/>
      <c r="AZ106" s="2"/>
      <c r="BA106" s="2"/>
      <c r="BB106" s="2"/>
      <c r="BC106" s="2"/>
      <c r="BD106" s="2"/>
      <c r="BE106" s="2"/>
      <c r="BF106" s="2"/>
      <c r="BG106" s="2"/>
      <c r="BH106" s="2"/>
      <c r="BI106" s="2"/>
    </row>
    <row r="107" spans="32:61" ht="12.95" customHeight="1">
      <c r="AF107" s="2"/>
      <c r="AG107" s="2"/>
      <c r="AH107" s="2"/>
      <c r="AI107" s="2"/>
      <c r="AJ107" s="2"/>
      <c r="AK107" s="2"/>
      <c r="AL107" s="2"/>
      <c r="AM107" s="2"/>
      <c r="AN107" s="2"/>
      <c r="AO107" s="2"/>
      <c r="AP107" s="2"/>
      <c r="AQ107" s="2"/>
      <c r="AR107" s="2"/>
      <c r="AS107" s="2"/>
      <c r="AV107" s="2"/>
      <c r="AW107" s="2"/>
      <c r="AX107" s="2"/>
      <c r="AY107" s="2"/>
      <c r="AZ107" s="2"/>
      <c r="BA107" s="2"/>
      <c r="BB107" s="2"/>
      <c r="BC107" s="2"/>
      <c r="BD107" s="2"/>
      <c r="BE107" s="2"/>
      <c r="BF107" s="2"/>
      <c r="BG107" s="2"/>
      <c r="BH107" s="2"/>
      <c r="BI107" s="2"/>
    </row>
    <row r="108" spans="32:61" ht="12.95" customHeight="1">
      <c r="AF108" s="2" t="s">
        <v>2357</v>
      </c>
      <c r="AG108" s="47">
        <v>2331</v>
      </c>
      <c r="AH108" s="2"/>
      <c r="AI108" s="2"/>
      <c r="AJ108" s="2"/>
      <c r="AK108" s="2"/>
      <c r="AL108" s="2"/>
      <c r="AM108" s="2"/>
      <c r="AN108" s="2"/>
      <c r="AO108" s="2"/>
      <c r="AP108" s="2"/>
      <c r="AQ108" s="2"/>
      <c r="AR108" s="2"/>
      <c r="AS108" s="2"/>
      <c r="AV108" s="2"/>
      <c r="AW108" s="2"/>
      <c r="AX108" s="2"/>
      <c r="AY108" s="2"/>
      <c r="AZ108" s="2"/>
      <c r="BA108" s="2"/>
      <c r="BB108" s="2"/>
      <c r="BC108" s="2"/>
      <c r="BD108" s="2"/>
      <c r="BE108" s="2"/>
      <c r="BF108" s="2"/>
      <c r="BG108" s="2"/>
      <c r="BH108" s="2"/>
      <c r="BI108" s="2"/>
    </row>
    <row r="109" spans="32:61" ht="14.25" customHeight="1">
      <c r="AF109" s="2" t="s">
        <v>2358</v>
      </c>
      <c r="AG109" s="5">
        <v>1272</v>
      </c>
      <c r="AH109" s="5">
        <v>159</v>
      </c>
      <c r="AI109" s="5">
        <v>97</v>
      </c>
      <c r="AJ109" s="5">
        <v>117</v>
      </c>
      <c r="AK109" s="5">
        <v>7</v>
      </c>
      <c r="AL109" s="5">
        <v>214</v>
      </c>
      <c r="AM109" s="5">
        <v>29</v>
      </c>
      <c r="AN109" s="5">
        <v>631</v>
      </c>
      <c r="AO109" s="5">
        <v>5</v>
      </c>
      <c r="AP109" s="5">
        <v>0</v>
      </c>
      <c r="AQ109" s="5">
        <v>4</v>
      </c>
      <c r="AR109" s="5">
        <v>2</v>
      </c>
      <c r="AS109" s="5">
        <v>7</v>
      </c>
      <c r="AV109" s="1" t="s">
        <v>2386</v>
      </c>
      <c r="AW109" s="3"/>
      <c r="AX109" s="3"/>
      <c r="AY109" s="3"/>
      <c r="AZ109" s="3"/>
      <c r="BA109" s="2"/>
      <c r="BB109" s="2"/>
      <c r="BC109" s="2"/>
      <c r="BD109" s="2"/>
      <c r="BE109" s="2"/>
      <c r="BF109" s="2"/>
      <c r="BG109" s="2"/>
      <c r="BH109" s="2"/>
      <c r="BI109" s="2"/>
    </row>
    <row r="110" spans="32:61" ht="12.95" customHeight="1">
      <c r="AF110" s="2" t="s">
        <v>2359</v>
      </c>
      <c r="AG110" s="47">
        <v>1059</v>
      </c>
      <c r="AH110" s="5">
        <v>300</v>
      </c>
      <c r="AI110" s="5">
        <v>150</v>
      </c>
      <c r="AJ110" s="5">
        <v>158</v>
      </c>
      <c r="AK110" s="5">
        <v>10</v>
      </c>
      <c r="AL110" s="5">
        <v>328</v>
      </c>
      <c r="AM110" s="5">
        <v>52</v>
      </c>
      <c r="AN110" s="5">
        <v>19</v>
      </c>
      <c r="AO110" s="5">
        <v>13</v>
      </c>
      <c r="AP110" s="5">
        <v>2</v>
      </c>
      <c r="AQ110" s="5">
        <v>7</v>
      </c>
      <c r="AR110" s="5">
        <v>3</v>
      </c>
      <c r="AS110" s="5">
        <v>18</v>
      </c>
      <c r="AV110" s="8"/>
      <c r="AW110" s="2042" t="s">
        <v>2331</v>
      </c>
      <c r="AX110" s="2043"/>
      <c r="AY110" s="2043"/>
      <c r="AZ110" s="2043"/>
      <c r="BA110" s="2043"/>
      <c r="BB110" s="2043"/>
      <c r="BC110" s="2043"/>
      <c r="BD110" s="2043"/>
      <c r="BE110" s="2043"/>
      <c r="BF110" s="2043"/>
      <c r="BG110" s="2043"/>
      <c r="BH110" s="2043"/>
      <c r="BI110" s="2"/>
    </row>
    <row r="111" spans="32:61" ht="12.95" customHeight="1">
      <c r="AF111" s="10" t="s">
        <v>2360</v>
      </c>
      <c r="AG111" s="51">
        <v>293806</v>
      </c>
      <c r="AH111" s="51">
        <v>95305</v>
      </c>
      <c r="AI111" s="51">
        <v>28096</v>
      </c>
      <c r="AJ111" s="51">
        <v>41168</v>
      </c>
      <c r="AK111" s="51">
        <v>1957</v>
      </c>
      <c r="AL111" s="51">
        <v>108637</v>
      </c>
      <c r="AM111" s="51">
        <v>7396</v>
      </c>
      <c r="AN111" s="51">
        <v>7260</v>
      </c>
      <c r="AO111" s="51">
        <v>1126</v>
      </c>
      <c r="AP111" s="11">
        <v>120</v>
      </c>
      <c r="AQ111" s="11">
        <v>570</v>
      </c>
      <c r="AR111" s="11">
        <v>212</v>
      </c>
      <c r="AS111" s="51">
        <v>1959</v>
      </c>
      <c r="AV111" s="2226" t="s">
        <v>2332</v>
      </c>
      <c r="AW111" s="2265" t="s">
        <v>129</v>
      </c>
      <c r="AX111" s="2267" t="s">
        <v>2320</v>
      </c>
      <c r="AY111" s="2022" t="s">
        <v>2333</v>
      </c>
      <c r="AZ111" s="2270" t="s">
        <v>2334</v>
      </c>
      <c r="BA111" s="293" t="s">
        <v>2335</v>
      </c>
      <c r="BB111" s="295" t="s">
        <v>2336</v>
      </c>
      <c r="BC111" s="293" t="s">
        <v>2337</v>
      </c>
      <c r="BD111" s="2270" t="s">
        <v>2339</v>
      </c>
      <c r="BE111" s="2022" t="s">
        <v>2340</v>
      </c>
      <c r="BF111" s="263" t="s">
        <v>2341</v>
      </c>
      <c r="BG111" s="293" t="s">
        <v>2342</v>
      </c>
      <c r="BH111" s="2271" t="s">
        <v>2322</v>
      </c>
      <c r="BI111" s="2"/>
    </row>
    <row r="112" spans="32:61" ht="12.95" customHeight="1">
      <c r="AF112" s="13" t="s">
        <v>2361</v>
      </c>
      <c r="AG112" s="14"/>
      <c r="AH112" s="14"/>
      <c r="AI112" s="14"/>
      <c r="AJ112" s="14"/>
      <c r="AK112" s="14"/>
      <c r="AL112" s="2"/>
      <c r="AM112" s="2"/>
      <c r="AN112" s="2"/>
      <c r="AO112" s="2"/>
      <c r="AP112" s="2"/>
      <c r="AQ112" s="2"/>
      <c r="AR112" s="2"/>
      <c r="AS112" s="2"/>
      <c r="AV112" s="2114"/>
      <c r="AW112" s="2266"/>
      <c r="AX112" s="2268"/>
      <c r="AY112" s="2269"/>
      <c r="AZ112" s="2268"/>
      <c r="BA112" s="294" t="s">
        <v>2343</v>
      </c>
      <c r="BB112" s="276" t="s">
        <v>2344</v>
      </c>
      <c r="BC112" s="294" t="s">
        <v>2345</v>
      </c>
      <c r="BD112" s="2268"/>
      <c r="BE112" s="2269"/>
      <c r="BF112" s="276" t="s">
        <v>2347</v>
      </c>
      <c r="BG112" s="294" t="s">
        <v>2348</v>
      </c>
      <c r="BH112" s="2266"/>
      <c r="BI112" s="2"/>
    </row>
    <row r="113" spans="32:61" ht="12.95" customHeight="1">
      <c r="AF113" s="2251" t="s">
        <v>2293</v>
      </c>
      <c r="AG113" s="2251"/>
      <c r="AH113" s="14"/>
      <c r="AI113" s="14"/>
      <c r="AJ113" s="14"/>
      <c r="AK113" s="14"/>
      <c r="AL113" s="2"/>
      <c r="AM113" s="2"/>
      <c r="AN113" s="2"/>
      <c r="AO113" s="2"/>
      <c r="AP113" s="2"/>
      <c r="AQ113" s="2"/>
      <c r="AR113" s="2"/>
      <c r="AS113" s="2"/>
      <c r="AV113" s="3" t="s">
        <v>129</v>
      </c>
      <c r="AW113" s="22">
        <v>627</v>
      </c>
      <c r="AX113" s="22">
        <v>210</v>
      </c>
      <c r="AY113" s="22">
        <v>116</v>
      </c>
      <c r="AZ113" s="22">
        <v>0</v>
      </c>
      <c r="BA113" s="22">
        <v>1</v>
      </c>
      <c r="BB113" s="22">
        <v>106</v>
      </c>
      <c r="BC113" s="22">
        <v>28</v>
      </c>
      <c r="BD113" s="22">
        <v>6</v>
      </c>
      <c r="BE113" s="22">
        <v>6</v>
      </c>
      <c r="BF113" s="22">
        <v>28</v>
      </c>
      <c r="BG113" s="22">
        <v>33</v>
      </c>
      <c r="BH113" s="22">
        <v>93</v>
      </c>
      <c r="BI113" s="2"/>
    </row>
    <row r="114" spans="32:61" ht="12.95" customHeight="1">
      <c r="AF114" s="2"/>
      <c r="AG114" s="2"/>
      <c r="AH114" s="2"/>
      <c r="AI114" s="2"/>
      <c r="AJ114" s="2"/>
      <c r="AK114" s="2"/>
      <c r="AL114" s="2"/>
      <c r="AM114" s="2"/>
      <c r="AN114" s="2"/>
      <c r="AO114" s="2"/>
      <c r="AP114" s="2"/>
      <c r="AQ114" s="2"/>
      <c r="AR114" s="2"/>
      <c r="AS114" s="2"/>
      <c r="AV114" s="2" t="s">
        <v>2384</v>
      </c>
      <c r="AW114" s="5">
        <v>19</v>
      </c>
      <c r="AX114" s="5">
        <v>2</v>
      </c>
      <c r="AY114" s="5">
        <v>9</v>
      </c>
      <c r="AZ114" s="5">
        <v>0</v>
      </c>
      <c r="BA114" s="5">
        <v>0</v>
      </c>
      <c r="BB114" s="5">
        <v>3</v>
      </c>
      <c r="BC114" s="5">
        <v>1</v>
      </c>
      <c r="BD114" s="5">
        <v>1</v>
      </c>
      <c r="BE114" s="5">
        <v>0</v>
      </c>
      <c r="BF114" s="5">
        <v>1</v>
      </c>
      <c r="BG114" s="5">
        <v>0</v>
      </c>
      <c r="BH114" s="5">
        <v>2</v>
      </c>
      <c r="BI114" s="2"/>
    </row>
    <row r="115" spans="32:61" ht="12.95" customHeight="1">
      <c r="AF115" s="2"/>
      <c r="AG115" s="2"/>
      <c r="AH115" s="2"/>
      <c r="AI115" s="2"/>
      <c r="AJ115" s="2"/>
      <c r="AK115" s="2"/>
      <c r="AL115" s="2"/>
      <c r="AM115" s="2"/>
      <c r="AN115" s="2"/>
      <c r="AO115" s="2"/>
      <c r="AP115" s="2"/>
      <c r="AQ115" s="2"/>
      <c r="AR115" s="2"/>
      <c r="AS115" s="2"/>
      <c r="AV115" s="2" t="s">
        <v>2251</v>
      </c>
      <c r="AW115" s="5">
        <v>5</v>
      </c>
      <c r="AX115" s="5">
        <v>3</v>
      </c>
      <c r="AY115" s="5">
        <v>0</v>
      </c>
      <c r="AZ115" s="5">
        <v>0</v>
      </c>
      <c r="BA115" s="5">
        <v>0</v>
      </c>
      <c r="BB115" s="5">
        <v>0</v>
      </c>
      <c r="BC115" s="5">
        <v>1</v>
      </c>
      <c r="BD115" s="5">
        <v>0</v>
      </c>
      <c r="BE115" s="5">
        <v>0</v>
      </c>
      <c r="BF115" s="5">
        <v>0</v>
      </c>
      <c r="BG115" s="5">
        <v>0</v>
      </c>
      <c r="BH115" s="5">
        <v>1</v>
      </c>
      <c r="BI115" s="2"/>
    </row>
    <row r="116" spans="32:61" ht="12.95" customHeight="1">
      <c r="AF116" s="1" t="s">
        <v>2378</v>
      </c>
      <c r="AG116" s="2"/>
      <c r="AH116" s="2"/>
      <c r="AI116" s="2"/>
      <c r="AJ116" s="2"/>
      <c r="AK116" s="2"/>
      <c r="AL116" s="2"/>
      <c r="AM116" s="2"/>
      <c r="AN116" s="2"/>
      <c r="AO116" s="2"/>
      <c r="AP116" s="2"/>
      <c r="AQ116" s="2"/>
      <c r="AR116" s="2"/>
      <c r="AS116" s="2"/>
      <c r="AV116" s="2" t="s">
        <v>2381</v>
      </c>
      <c r="AW116" s="5">
        <v>10</v>
      </c>
      <c r="AX116" s="5">
        <v>3</v>
      </c>
      <c r="AY116" s="5">
        <v>2</v>
      </c>
      <c r="AZ116" s="5">
        <v>0</v>
      </c>
      <c r="BA116" s="5">
        <v>0</v>
      </c>
      <c r="BB116" s="5">
        <v>1</v>
      </c>
      <c r="BC116" s="5">
        <v>2</v>
      </c>
      <c r="BD116" s="5">
        <v>1</v>
      </c>
      <c r="BE116" s="5">
        <v>0</v>
      </c>
      <c r="BF116" s="5">
        <v>0</v>
      </c>
      <c r="BG116" s="5">
        <v>0</v>
      </c>
      <c r="BH116" s="5">
        <v>1</v>
      </c>
      <c r="BI116" s="2"/>
    </row>
    <row r="117" spans="32:61" ht="12.95" customHeight="1">
      <c r="AF117" s="108"/>
      <c r="AG117" s="2120" t="s">
        <v>2363</v>
      </c>
      <c r="AH117" s="2120"/>
      <c r="AI117" s="2120"/>
      <c r="AJ117" s="2120"/>
      <c r="AK117" s="2120" t="s">
        <v>2364</v>
      </c>
      <c r="AL117" s="2120"/>
      <c r="AM117" s="2120"/>
      <c r="AN117" s="2120"/>
      <c r="AO117" s="2120" t="s">
        <v>2365</v>
      </c>
      <c r="AP117" s="2120"/>
      <c r="AQ117" s="2120"/>
      <c r="AR117" s="2033"/>
      <c r="AS117" s="2"/>
      <c r="AV117" s="2" t="s">
        <v>2376</v>
      </c>
      <c r="AW117" s="5">
        <v>5</v>
      </c>
      <c r="AX117" s="5">
        <v>1</v>
      </c>
      <c r="AY117" s="5">
        <v>0</v>
      </c>
      <c r="AZ117" s="5">
        <v>0</v>
      </c>
      <c r="BA117" s="5">
        <v>0</v>
      </c>
      <c r="BB117" s="5">
        <v>1</v>
      </c>
      <c r="BC117" s="5">
        <v>0</v>
      </c>
      <c r="BD117" s="5">
        <v>0</v>
      </c>
      <c r="BE117" s="5">
        <v>1</v>
      </c>
      <c r="BF117" s="5">
        <v>0</v>
      </c>
      <c r="BG117" s="5">
        <v>0</v>
      </c>
      <c r="BH117" s="5">
        <v>2</v>
      </c>
      <c r="BI117" s="2"/>
    </row>
    <row r="118" spans="32:61" ht="12.95" customHeight="1">
      <c r="AF118" s="23" t="s">
        <v>2311</v>
      </c>
      <c r="AG118" s="17" t="s">
        <v>129</v>
      </c>
      <c r="AH118" s="17" t="s">
        <v>2366</v>
      </c>
      <c r="AI118" s="17" t="s">
        <v>2367</v>
      </c>
      <c r="AJ118" s="17" t="s">
        <v>2368</v>
      </c>
      <c r="AK118" s="17" t="s">
        <v>129</v>
      </c>
      <c r="AL118" s="17" t="s">
        <v>2366</v>
      </c>
      <c r="AM118" s="17" t="s">
        <v>2367</v>
      </c>
      <c r="AN118" s="17" t="s">
        <v>2368</v>
      </c>
      <c r="AO118" s="17" t="s">
        <v>129</v>
      </c>
      <c r="AP118" s="17" t="s">
        <v>2366</v>
      </c>
      <c r="AQ118" s="17" t="s">
        <v>2367</v>
      </c>
      <c r="AR118" s="29" t="s">
        <v>2368</v>
      </c>
      <c r="AS118" s="2"/>
      <c r="AV118" s="2" t="s">
        <v>2253</v>
      </c>
      <c r="AW118" s="5">
        <v>58</v>
      </c>
      <c r="AX118" s="5">
        <v>16</v>
      </c>
      <c r="AY118" s="5">
        <v>7</v>
      </c>
      <c r="AZ118" s="5">
        <v>0</v>
      </c>
      <c r="BA118" s="5">
        <v>1</v>
      </c>
      <c r="BB118" s="5">
        <v>11</v>
      </c>
      <c r="BC118" s="5">
        <v>3</v>
      </c>
      <c r="BD118" s="5">
        <v>1</v>
      </c>
      <c r="BE118" s="5">
        <v>0</v>
      </c>
      <c r="BF118" s="5">
        <v>1</v>
      </c>
      <c r="BG118" s="5">
        <v>5</v>
      </c>
      <c r="BH118" s="5">
        <v>13</v>
      </c>
      <c r="BI118" s="2"/>
    </row>
    <row r="119" spans="32:61" ht="12.95" customHeight="1">
      <c r="AF119" s="108" t="s">
        <v>129</v>
      </c>
      <c r="AG119" s="107">
        <v>753</v>
      </c>
      <c r="AH119" s="107">
        <v>586</v>
      </c>
      <c r="AI119" s="107">
        <v>81</v>
      </c>
      <c r="AJ119" s="107">
        <v>86</v>
      </c>
      <c r="AK119" s="132">
        <v>293807</v>
      </c>
      <c r="AL119" s="132">
        <v>266928</v>
      </c>
      <c r="AM119" s="132">
        <v>12994</v>
      </c>
      <c r="AN119" s="132">
        <v>13885</v>
      </c>
      <c r="AO119" s="132">
        <v>2332</v>
      </c>
      <c r="AP119" s="132">
        <v>2095</v>
      </c>
      <c r="AQ119" s="107">
        <v>98</v>
      </c>
      <c r="AR119" s="107">
        <v>139</v>
      </c>
      <c r="AS119" s="3"/>
      <c r="AV119" s="2" t="s">
        <v>2352</v>
      </c>
      <c r="AW119" s="5">
        <v>24</v>
      </c>
      <c r="AX119" s="5">
        <v>8</v>
      </c>
      <c r="AY119" s="5">
        <v>1</v>
      </c>
      <c r="AZ119" s="5">
        <v>0</v>
      </c>
      <c r="BA119" s="5">
        <v>0</v>
      </c>
      <c r="BB119" s="5">
        <v>8</v>
      </c>
      <c r="BC119" s="5">
        <v>0</v>
      </c>
      <c r="BD119" s="5">
        <v>0</v>
      </c>
      <c r="BE119" s="5">
        <v>0</v>
      </c>
      <c r="BF119" s="5">
        <v>0</v>
      </c>
      <c r="BG119" s="5">
        <v>2</v>
      </c>
      <c r="BH119" s="5">
        <v>5</v>
      </c>
      <c r="BI119" s="2"/>
    </row>
    <row r="120" spans="32:61" ht="12.95" customHeight="1">
      <c r="AF120" s="2" t="s">
        <v>2320</v>
      </c>
      <c r="AG120" s="5">
        <v>240</v>
      </c>
      <c r="AH120" s="5">
        <v>159</v>
      </c>
      <c r="AI120" s="5">
        <v>56</v>
      </c>
      <c r="AJ120" s="5">
        <v>25</v>
      </c>
      <c r="AK120" s="47">
        <v>95305</v>
      </c>
      <c r="AL120" s="47">
        <v>88854</v>
      </c>
      <c r="AM120" s="47">
        <v>4357</v>
      </c>
      <c r="AN120" s="47">
        <v>2094</v>
      </c>
      <c r="AO120" s="5">
        <v>458</v>
      </c>
      <c r="AP120" s="5">
        <v>413</v>
      </c>
      <c r="AQ120" s="5">
        <v>32</v>
      </c>
      <c r="AR120" s="5">
        <v>13</v>
      </c>
      <c r="AS120" s="2"/>
      <c r="AV120" s="2" t="s">
        <v>2177</v>
      </c>
      <c r="AW120" s="5">
        <v>122</v>
      </c>
      <c r="AX120" s="5">
        <v>50</v>
      </c>
      <c r="AY120" s="5">
        <v>18</v>
      </c>
      <c r="AZ120" s="5">
        <v>0</v>
      </c>
      <c r="BA120" s="5">
        <v>0</v>
      </c>
      <c r="BB120" s="5">
        <v>26</v>
      </c>
      <c r="BC120" s="5">
        <v>6</v>
      </c>
      <c r="BD120" s="5">
        <v>3</v>
      </c>
      <c r="BE120" s="5">
        <v>0</v>
      </c>
      <c r="BF120" s="5">
        <v>4</v>
      </c>
      <c r="BG120" s="5">
        <v>4</v>
      </c>
      <c r="BH120" s="5">
        <v>11</v>
      </c>
      <c r="BI120" s="2"/>
    </row>
    <row r="121" spans="32:61" ht="12.95" customHeight="1">
      <c r="AF121" s="2" t="s">
        <v>2333</v>
      </c>
      <c r="AG121" s="5">
        <v>100</v>
      </c>
      <c r="AH121" s="5">
        <v>14</v>
      </c>
      <c r="AI121" s="5">
        <v>25</v>
      </c>
      <c r="AJ121" s="5">
        <v>61</v>
      </c>
      <c r="AK121" s="47">
        <v>28097</v>
      </c>
      <c r="AL121" s="47">
        <v>7669</v>
      </c>
      <c r="AM121" s="47">
        <v>8637</v>
      </c>
      <c r="AN121" s="47">
        <v>11791</v>
      </c>
      <c r="AO121" s="5">
        <v>248</v>
      </c>
      <c r="AP121" s="5">
        <v>56</v>
      </c>
      <c r="AQ121" s="5">
        <v>66</v>
      </c>
      <c r="AR121" s="5">
        <v>126</v>
      </c>
      <c r="AS121" s="2"/>
      <c r="AV121" s="2" t="s">
        <v>2276</v>
      </c>
      <c r="AW121" s="5">
        <v>10</v>
      </c>
      <c r="AX121" s="5">
        <v>5</v>
      </c>
      <c r="AY121" s="5">
        <v>0</v>
      </c>
      <c r="AZ121" s="5">
        <v>0</v>
      </c>
      <c r="BA121" s="5">
        <v>0</v>
      </c>
      <c r="BB121" s="5">
        <v>2</v>
      </c>
      <c r="BC121" s="5">
        <v>0</v>
      </c>
      <c r="BD121" s="5">
        <v>0</v>
      </c>
      <c r="BE121" s="5">
        <v>0</v>
      </c>
      <c r="BF121" s="5">
        <v>0</v>
      </c>
      <c r="BG121" s="5">
        <v>1</v>
      </c>
      <c r="BH121" s="5">
        <v>2</v>
      </c>
      <c r="BI121" s="2"/>
    </row>
    <row r="122" spans="32:61" ht="12.95" customHeight="1">
      <c r="AF122" s="2" t="s">
        <v>2346</v>
      </c>
      <c r="AG122" s="5">
        <v>18</v>
      </c>
      <c r="AH122" s="5">
        <v>18</v>
      </c>
      <c r="AI122" s="5" t="s">
        <v>546</v>
      </c>
      <c r="AJ122" s="5" t="s">
        <v>546</v>
      </c>
      <c r="AK122" s="47">
        <v>7260</v>
      </c>
      <c r="AL122" s="47">
        <v>7260</v>
      </c>
      <c r="AM122" s="5" t="s">
        <v>546</v>
      </c>
      <c r="AN122" s="5" t="s">
        <v>546</v>
      </c>
      <c r="AO122" s="5">
        <v>651</v>
      </c>
      <c r="AP122" s="5">
        <v>651</v>
      </c>
      <c r="AQ122" s="5" t="s">
        <v>546</v>
      </c>
      <c r="AR122" s="5" t="s">
        <v>546</v>
      </c>
      <c r="AS122" s="2"/>
      <c r="AV122" s="2" t="s">
        <v>2185</v>
      </c>
      <c r="AW122" s="5">
        <v>57</v>
      </c>
      <c r="AX122" s="5">
        <v>25</v>
      </c>
      <c r="AY122" s="5">
        <v>4</v>
      </c>
      <c r="AZ122" s="5">
        <v>0</v>
      </c>
      <c r="BA122" s="5">
        <v>0</v>
      </c>
      <c r="BB122" s="5">
        <v>5</v>
      </c>
      <c r="BC122" s="5">
        <v>1</v>
      </c>
      <c r="BD122" s="5">
        <v>0</v>
      </c>
      <c r="BE122" s="5">
        <v>0</v>
      </c>
      <c r="BF122" s="5">
        <v>1</v>
      </c>
      <c r="BG122" s="5">
        <v>5</v>
      </c>
      <c r="BH122" s="5">
        <v>16</v>
      </c>
      <c r="BI122" s="2"/>
    </row>
    <row r="123" spans="32:61" ht="12.95" customHeight="1">
      <c r="AF123" s="2" t="s">
        <v>2334</v>
      </c>
      <c r="AG123" s="5">
        <v>34</v>
      </c>
      <c r="AH123" s="5">
        <v>34</v>
      </c>
      <c r="AI123" s="5" t="s">
        <v>546</v>
      </c>
      <c r="AJ123" s="5" t="s">
        <v>546</v>
      </c>
      <c r="AK123" s="47">
        <v>41168</v>
      </c>
      <c r="AL123" s="47">
        <v>41168</v>
      </c>
      <c r="AM123" s="5" t="s">
        <v>546</v>
      </c>
      <c r="AN123" s="5" t="s">
        <v>546</v>
      </c>
      <c r="AO123" s="5">
        <v>275</v>
      </c>
      <c r="AP123" s="5">
        <v>275</v>
      </c>
      <c r="AQ123" s="5" t="s">
        <v>546</v>
      </c>
      <c r="AR123" s="5" t="s">
        <v>546</v>
      </c>
      <c r="AS123" s="2"/>
      <c r="AV123" s="2" t="s">
        <v>2353</v>
      </c>
      <c r="AW123" s="5">
        <v>1</v>
      </c>
      <c r="AX123" s="5">
        <v>1</v>
      </c>
      <c r="AY123" s="5">
        <v>0</v>
      </c>
      <c r="AZ123" s="5">
        <v>0</v>
      </c>
      <c r="BA123" s="5">
        <v>0</v>
      </c>
      <c r="BB123" s="5">
        <v>0</v>
      </c>
      <c r="BC123" s="5">
        <v>0</v>
      </c>
      <c r="BD123" s="5">
        <v>0</v>
      </c>
      <c r="BE123" s="5">
        <v>0</v>
      </c>
      <c r="BF123" s="5">
        <v>0</v>
      </c>
      <c r="BG123" s="5">
        <v>0</v>
      </c>
      <c r="BH123" s="5">
        <v>0</v>
      </c>
      <c r="BI123" s="2"/>
    </row>
    <row r="124" spans="32:61" ht="12.95" customHeight="1">
      <c r="AF124" s="2" t="s">
        <v>2369</v>
      </c>
      <c r="AG124" s="5">
        <v>4</v>
      </c>
      <c r="AH124" s="5">
        <v>4</v>
      </c>
      <c r="AI124" s="5" t="s">
        <v>546</v>
      </c>
      <c r="AJ124" s="5" t="s">
        <v>546</v>
      </c>
      <c r="AK124" s="47">
        <v>1957</v>
      </c>
      <c r="AL124" s="47">
        <v>1957</v>
      </c>
      <c r="AM124" s="5" t="s">
        <v>546</v>
      </c>
      <c r="AN124" s="5" t="s">
        <v>546</v>
      </c>
      <c r="AO124" s="5">
        <v>17</v>
      </c>
      <c r="AP124" s="5">
        <v>17</v>
      </c>
      <c r="AQ124" s="5" t="s">
        <v>546</v>
      </c>
      <c r="AR124" s="5" t="s">
        <v>546</v>
      </c>
      <c r="AS124" s="2"/>
      <c r="AV124" s="2" t="s">
        <v>2377</v>
      </c>
      <c r="AW124" s="5">
        <v>18</v>
      </c>
      <c r="AX124" s="5">
        <v>3</v>
      </c>
      <c r="AY124" s="5">
        <v>5</v>
      </c>
      <c r="AZ124" s="5">
        <v>0</v>
      </c>
      <c r="BA124" s="5">
        <v>0</v>
      </c>
      <c r="BB124" s="5">
        <v>4</v>
      </c>
      <c r="BC124" s="5">
        <v>0</v>
      </c>
      <c r="BD124" s="5">
        <v>0</v>
      </c>
      <c r="BE124" s="5">
        <v>0</v>
      </c>
      <c r="BF124" s="5">
        <v>2</v>
      </c>
      <c r="BG124" s="5">
        <v>1</v>
      </c>
      <c r="BH124" s="5">
        <v>3</v>
      </c>
      <c r="BI124" s="2"/>
    </row>
    <row r="125" spans="32:61" ht="12.95" customHeight="1">
      <c r="AF125" s="2" t="s">
        <v>2370</v>
      </c>
      <c r="AG125" s="5">
        <v>25</v>
      </c>
      <c r="AH125" s="5">
        <v>25</v>
      </c>
      <c r="AI125" s="5" t="s">
        <v>546</v>
      </c>
      <c r="AJ125" s="5" t="s">
        <v>546</v>
      </c>
      <c r="AK125" s="47">
        <v>108637</v>
      </c>
      <c r="AL125" s="47">
        <v>108637</v>
      </c>
      <c r="AM125" s="5" t="s">
        <v>546</v>
      </c>
      <c r="AN125" s="5" t="s">
        <v>546</v>
      </c>
      <c r="AO125" s="5">
        <v>541</v>
      </c>
      <c r="AP125" s="5">
        <v>541</v>
      </c>
      <c r="AQ125" s="5" t="s">
        <v>546</v>
      </c>
      <c r="AR125" s="5" t="s">
        <v>546</v>
      </c>
      <c r="AS125" s="2"/>
      <c r="AV125" s="2" t="s">
        <v>2195</v>
      </c>
      <c r="AW125" s="5">
        <v>16</v>
      </c>
      <c r="AX125" s="5">
        <v>3</v>
      </c>
      <c r="AY125" s="5">
        <v>4</v>
      </c>
      <c r="AZ125" s="5">
        <v>0</v>
      </c>
      <c r="BA125" s="5">
        <v>0</v>
      </c>
      <c r="BB125" s="5">
        <v>1</v>
      </c>
      <c r="BC125" s="5">
        <v>2</v>
      </c>
      <c r="BD125" s="5">
        <v>0</v>
      </c>
      <c r="BE125" s="5">
        <v>0</v>
      </c>
      <c r="BF125" s="5">
        <v>0</v>
      </c>
      <c r="BG125" s="5">
        <v>2</v>
      </c>
      <c r="BH125" s="5">
        <v>4</v>
      </c>
      <c r="BI125" s="2"/>
    </row>
    <row r="126" spans="32:61" ht="12.95" customHeight="1">
      <c r="AF126" s="2" t="s">
        <v>2371</v>
      </c>
      <c r="AG126" s="5">
        <v>190</v>
      </c>
      <c r="AH126" s="5">
        <v>190</v>
      </c>
      <c r="AI126" s="5" t="s">
        <v>546</v>
      </c>
      <c r="AJ126" s="5" t="s">
        <v>546</v>
      </c>
      <c r="AK126" s="47">
        <v>7396</v>
      </c>
      <c r="AL126" s="47">
        <v>7396</v>
      </c>
      <c r="AM126" s="5" t="s">
        <v>546</v>
      </c>
      <c r="AN126" s="5" t="s">
        <v>546</v>
      </c>
      <c r="AO126" s="5">
        <v>81</v>
      </c>
      <c r="AP126" s="5">
        <v>81</v>
      </c>
      <c r="AQ126" s="5" t="s">
        <v>546</v>
      </c>
      <c r="AR126" s="5" t="s">
        <v>546</v>
      </c>
      <c r="AS126" s="2"/>
      <c r="AV126" s="2" t="s">
        <v>2198</v>
      </c>
      <c r="AW126" s="5">
        <v>20</v>
      </c>
      <c r="AX126" s="5">
        <v>9</v>
      </c>
      <c r="AY126" s="5">
        <v>0</v>
      </c>
      <c r="AZ126" s="5">
        <v>0</v>
      </c>
      <c r="BA126" s="5">
        <v>0</v>
      </c>
      <c r="BB126" s="5">
        <v>7</v>
      </c>
      <c r="BC126" s="5">
        <v>0</v>
      </c>
      <c r="BD126" s="5">
        <v>0</v>
      </c>
      <c r="BE126" s="5">
        <v>0</v>
      </c>
      <c r="BF126" s="5">
        <v>0</v>
      </c>
      <c r="BG126" s="5">
        <v>0</v>
      </c>
      <c r="BH126" s="5">
        <v>4</v>
      </c>
      <c r="BI126" s="2"/>
    </row>
    <row r="127" spans="32:61" ht="12.95" customHeight="1">
      <c r="AF127" s="2" t="s">
        <v>2339</v>
      </c>
      <c r="AG127" s="5">
        <v>18</v>
      </c>
      <c r="AH127" s="5">
        <v>18</v>
      </c>
      <c r="AI127" s="5" t="s">
        <v>546</v>
      </c>
      <c r="AJ127" s="5" t="s">
        <v>546</v>
      </c>
      <c r="AK127" s="47">
        <v>1126</v>
      </c>
      <c r="AL127" s="47">
        <v>1126</v>
      </c>
      <c r="AM127" s="5" t="s">
        <v>546</v>
      </c>
      <c r="AN127" s="5" t="s">
        <v>546</v>
      </c>
      <c r="AO127" s="5">
        <v>18</v>
      </c>
      <c r="AP127" s="5">
        <v>18</v>
      </c>
      <c r="AQ127" s="5" t="s">
        <v>546</v>
      </c>
      <c r="AR127" s="5" t="s">
        <v>546</v>
      </c>
      <c r="AS127" s="2"/>
      <c r="AV127" s="2" t="s">
        <v>2261</v>
      </c>
      <c r="AW127" s="5">
        <v>12</v>
      </c>
      <c r="AX127" s="5">
        <v>2</v>
      </c>
      <c r="AY127" s="5">
        <v>0</v>
      </c>
      <c r="AZ127" s="5">
        <v>0</v>
      </c>
      <c r="BA127" s="5">
        <v>0</v>
      </c>
      <c r="BB127" s="5">
        <v>7</v>
      </c>
      <c r="BC127" s="5">
        <v>2</v>
      </c>
      <c r="BD127" s="5">
        <v>0</v>
      </c>
      <c r="BE127" s="5">
        <v>1</v>
      </c>
      <c r="BF127" s="5">
        <v>0</v>
      </c>
      <c r="BG127" s="5">
        <v>0</v>
      </c>
      <c r="BH127" s="5">
        <v>0</v>
      </c>
      <c r="BI127" s="2"/>
    </row>
    <row r="128" spans="32:61" ht="12.95" customHeight="1">
      <c r="AF128" s="2" t="s">
        <v>2340</v>
      </c>
      <c r="AG128" s="5">
        <v>4</v>
      </c>
      <c r="AH128" s="5">
        <v>4</v>
      </c>
      <c r="AI128" s="5" t="s">
        <v>546</v>
      </c>
      <c r="AJ128" s="5" t="s">
        <v>546</v>
      </c>
      <c r="AK128" s="5">
        <v>120</v>
      </c>
      <c r="AL128" s="5">
        <v>120</v>
      </c>
      <c r="AM128" s="5" t="s">
        <v>546</v>
      </c>
      <c r="AN128" s="5" t="s">
        <v>546</v>
      </c>
      <c r="AO128" s="5">
        <v>3</v>
      </c>
      <c r="AP128" s="5">
        <v>3</v>
      </c>
      <c r="AQ128" s="5" t="s">
        <v>546</v>
      </c>
      <c r="AR128" s="5" t="s">
        <v>546</v>
      </c>
      <c r="AS128" s="2"/>
      <c r="AV128" s="2" t="s">
        <v>2201</v>
      </c>
      <c r="AW128" s="5">
        <v>24</v>
      </c>
      <c r="AX128" s="5">
        <v>15</v>
      </c>
      <c r="AY128" s="5">
        <v>2</v>
      </c>
      <c r="AZ128" s="5">
        <v>0</v>
      </c>
      <c r="BA128" s="5">
        <v>0</v>
      </c>
      <c r="BB128" s="5">
        <v>2</v>
      </c>
      <c r="BC128" s="5">
        <v>0</v>
      </c>
      <c r="BD128" s="5">
        <v>0</v>
      </c>
      <c r="BE128" s="5">
        <v>0</v>
      </c>
      <c r="BF128" s="5">
        <v>0</v>
      </c>
      <c r="BG128" s="5">
        <v>2</v>
      </c>
      <c r="BH128" s="5">
        <v>3</v>
      </c>
      <c r="BI128" s="2"/>
    </row>
    <row r="129" spans="32:61" ht="12.95" customHeight="1">
      <c r="AF129" s="2" t="s">
        <v>2372</v>
      </c>
      <c r="AG129" s="5">
        <v>28</v>
      </c>
      <c r="AH129" s="5">
        <v>28</v>
      </c>
      <c r="AI129" s="5" t="s">
        <v>546</v>
      </c>
      <c r="AJ129" s="5" t="s">
        <v>546</v>
      </c>
      <c r="AK129" s="5">
        <v>570</v>
      </c>
      <c r="AL129" s="5">
        <v>570</v>
      </c>
      <c r="AM129" s="5" t="s">
        <v>546</v>
      </c>
      <c r="AN129" s="5" t="s">
        <v>546</v>
      </c>
      <c r="AO129" s="5">
        <v>11</v>
      </c>
      <c r="AP129" s="5">
        <v>11</v>
      </c>
      <c r="AQ129" s="5" t="s">
        <v>546</v>
      </c>
      <c r="AR129" s="5" t="s">
        <v>546</v>
      </c>
      <c r="AS129" s="2"/>
      <c r="AV129" s="2" t="s">
        <v>2264</v>
      </c>
      <c r="AW129" s="5">
        <v>135</v>
      </c>
      <c r="AX129" s="5">
        <v>15</v>
      </c>
      <c r="AY129" s="5">
        <v>60</v>
      </c>
      <c r="AZ129" s="5">
        <v>0</v>
      </c>
      <c r="BA129" s="5">
        <v>0</v>
      </c>
      <c r="BB129" s="5">
        <v>11</v>
      </c>
      <c r="BC129" s="5">
        <v>8</v>
      </c>
      <c r="BD129" s="5">
        <v>0</v>
      </c>
      <c r="BE129" s="5">
        <v>4</v>
      </c>
      <c r="BF129" s="5">
        <v>15</v>
      </c>
      <c r="BG129" s="5">
        <v>7</v>
      </c>
      <c r="BH129" s="5">
        <v>15</v>
      </c>
      <c r="BI129" s="2"/>
    </row>
    <row r="130" spans="32:61" ht="12.95" customHeight="1">
      <c r="AF130" s="2" t="s">
        <v>2373</v>
      </c>
      <c r="AG130" s="5">
        <v>7</v>
      </c>
      <c r="AH130" s="5">
        <v>7</v>
      </c>
      <c r="AI130" s="5" t="s">
        <v>546</v>
      </c>
      <c r="AJ130" s="5" t="s">
        <v>546</v>
      </c>
      <c r="AK130" s="5">
        <v>212</v>
      </c>
      <c r="AL130" s="5">
        <v>212</v>
      </c>
      <c r="AM130" s="5" t="s">
        <v>546</v>
      </c>
      <c r="AN130" s="5" t="s">
        <v>546</v>
      </c>
      <c r="AO130" s="5">
        <v>4</v>
      </c>
      <c r="AP130" s="5">
        <v>4</v>
      </c>
      <c r="AQ130" s="5" t="s">
        <v>546</v>
      </c>
      <c r="AR130" s="5" t="s">
        <v>546</v>
      </c>
      <c r="AS130" s="2"/>
      <c r="AV130" s="2" t="s">
        <v>2356</v>
      </c>
      <c r="AW130" s="5">
        <v>0</v>
      </c>
      <c r="AX130" s="5">
        <v>0</v>
      </c>
      <c r="AY130" s="5">
        <v>0</v>
      </c>
      <c r="AZ130" s="5">
        <v>0</v>
      </c>
      <c r="BA130" s="5">
        <v>0</v>
      </c>
      <c r="BB130" s="5">
        <v>0</v>
      </c>
      <c r="BC130" s="5">
        <v>0</v>
      </c>
      <c r="BD130" s="5">
        <v>0</v>
      </c>
      <c r="BE130" s="5">
        <v>0</v>
      </c>
      <c r="BF130" s="5">
        <v>0</v>
      </c>
      <c r="BG130" s="5">
        <v>0</v>
      </c>
      <c r="BH130" s="5">
        <v>0</v>
      </c>
      <c r="BI130" s="2"/>
    </row>
    <row r="131" spans="32:61" ht="12.95" customHeight="1">
      <c r="AF131" s="10" t="s">
        <v>2322</v>
      </c>
      <c r="AG131" s="11">
        <v>85</v>
      </c>
      <c r="AH131" s="11">
        <v>85</v>
      </c>
      <c r="AI131" s="11" t="s">
        <v>546</v>
      </c>
      <c r="AJ131" s="11" t="s">
        <v>546</v>
      </c>
      <c r="AK131" s="51">
        <v>1959</v>
      </c>
      <c r="AL131" s="51">
        <v>1959</v>
      </c>
      <c r="AM131" s="11" t="s">
        <v>546</v>
      </c>
      <c r="AN131" s="11" t="s">
        <v>546</v>
      </c>
      <c r="AO131" s="11">
        <v>25</v>
      </c>
      <c r="AP131" s="11">
        <v>25</v>
      </c>
      <c r="AQ131" s="11" t="s">
        <v>546</v>
      </c>
      <c r="AR131" s="11" t="s">
        <v>546</v>
      </c>
      <c r="AS131" s="2"/>
      <c r="AV131" s="2" t="s">
        <v>2208</v>
      </c>
      <c r="AW131" s="5">
        <v>74</v>
      </c>
      <c r="AX131" s="5">
        <v>39</v>
      </c>
      <c r="AY131" s="5">
        <v>3</v>
      </c>
      <c r="AZ131" s="5">
        <v>0</v>
      </c>
      <c r="BA131" s="5">
        <v>0</v>
      </c>
      <c r="BB131" s="5">
        <v>13</v>
      </c>
      <c r="BC131" s="5">
        <v>1</v>
      </c>
      <c r="BD131" s="5">
        <v>0</v>
      </c>
      <c r="BE131" s="5">
        <v>0</v>
      </c>
      <c r="BF131" s="5">
        <v>4</v>
      </c>
      <c r="BG131" s="5">
        <v>3</v>
      </c>
      <c r="BH131" s="5">
        <v>11</v>
      </c>
      <c r="BI131" s="2"/>
    </row>
    <row r="132" spans="32:61" ht="12.95" customHeight="1">
      <c r="AF132" s="2252" t="s">
        <v>2361</v>
      </c>
      <c r="AG132" s="2252"/>
      <c r="AH132" s="2252"/>
      <c r="AI132" s="2252"/>
      <c r="AJ132" s="2252"/>
      <c r="AK132" s="2252"/>
      <c r="AL132" s="2"/>
      <c r="AM132" s="2"/>
      <c r="AN132" s="2"/>
      <c r="AO132" s="2"/>
      <c r="AP132" s="2"/>
      <c r="AQ132" s="2"/>
      <c r="AR132" s="2"/>
      <c r="AS132" s="2"/>
      <c r="AV132" s="2" t="s">
        <v>2209</v>
      </c>
      <c r="AW132" s="5">
        <v>17</v>
      </c>
      <c r="AX132" s="5">
        <v>10</v>
      </c>
      <c r="AY132" s="5">
        <v>1</v>
      </c>
      <c r="AZ132" s="5">
        <v>0</v>
      </c>
      <c r="BA132" s="5">
        <v>0</v>
      </c>
      <c r="BB132" s="5">
        <v>4</v>
      </c>
      <c r="BC132" s="5">
        <v>1</v>
      </c>
      <c r="BD132" s="5">
        <v>0</v>
      </c>
      <c r="BE132" s="5">
        <v>0</v>
      </c>
      <c r="BF132" s="5">
        <v>0</v>
      </c>
      <c r="BG132" s="5">
        <v>1</v>
      </c>
      <c r="BH132" s="5">
        <v>0</v>
      </c>
      <c r="BI132" s="2"/>
    </row>
    <row r="133" spans="32:61" ht="12.95" customHeight="1">
      <c r="AF133" s="2253" t="s">
        <v>2293</v>
      </c>
      <c r="AG133" s="2253"/>
      <c r="AH133" s="2253"/>
      <c r="AI133" s="2253"/>
      <c r="AJ133" s="2253"/>
      <c r="AK133" s="2253"/>
      <c r="AL133" s="2"/>
      <c r="AM133" s="2"/>
      <c r="AN133" s="2"/>
      <c r="AO133" s="2"/>
      <c r="AP133" s="2"/>
      <c r="AQ133" s="2"/>
      <c r="AR133" s="2"/>
      <c r="AS133" s="2"/>
      <c r="AV133" s="2"/>
      <c r="AW133" s="2"/>
      <c r="AX133" s="2"/>
      <c r="AY133" s="2"/>
      <c r="AZ133" s="2"/>
      <c r="BA133" s="2"/>
      <c r="BB133" s="2"/>
      <c r="BC133" s="2"/>
      <c r="BD133" s="2"/>
      <c r="BE133" s="2"/>
      <c r="BF133" s="2"/>
      <c r="BG133" s="2"/>
      <c r="BH133" s="2"/>
      <c r="BI133" s="2"/>
    </row>
    <row r="134" spans="32:61" ht="12" customHeight="1">
      <c r="AF134" s="2250" t="s">
        <v>2379</v>
      </c>
      <c r="AG134" s="2250"/>
      <c r="AH134" s="2250"/>
      <c r="AI134" s="2250"/>
      <c r="AJ134" s="2250"/>
      <c r="AK134" s="2250"/>
      <c r="AL134" s="2"/>
      <c r="AM134" s="2"/>
      <c r="AN134" s="2"/>
      <c r="AO134" s="2"/>
      <c r="AP134" s="2"/>
      <c r="AQ134" s="2"/>
      <c r="AR134" s="2"/>
      <c r="AS134" s="2"/>
      <c r="AV134" s="2" t="s">
        <v>2357</v>
      </c>
      <c r="AW134" s="47">
        <v>2791</v>
      </c>
      <c r="AX134" s="2"/>
      <c r="AY134" s="2"/>
      <c r="AZ134" s="2"/>
      <c r="BA134" s="2"/>
      <c r="BB134" s="2"/>
      <c r="BC134" s="2"/>
      <c r="BD134" s="2"/>
      <c r="BE134" s="2"/>
      <c r="BF134" s="2"/>
      <c r="BG134" s="2"/>
      <c r="BH134" s="2"/>
      <c r="BI134" s="2"/>
    </row>
    <row r="135" spans="32:61" ht="12" customHeight="1">
      <c r="AV135" s="2" t="s">
        <v>2358</v>
      </c>
      <c r="AW135" s="5">
        <v>948</v>
      </c>
      <c r="AX135" s="5">
        <v>67</v>
      </c>
      <c r="AY135" s="5">
        <v>335</v>
      </c>
      <c r="AZ135" s="5">
        <v>0</v>
      </c>
      <c r="BA135" s="5">
        <v>3</v>
      </c>
      <c r="BB135" s="5">
        <v>69</v>
      </c>
      <c r="BC135" s="5">
        <v>260</v>
      </c>
      <c r="BD135" s="5">
        <v>0</v>
      </c>
      <c r="BE135" s="5">
        <v>0</v>
      </c>
      <c r="BF135" s="5">
        <v>152</v>
      </c>
      <c r="BG135" s="5">
        <v>22</v>
      </c>
      <c r="BH135" s="5">
        <v>40</v>
      </c>
      <c r="BI135" s="2"/>
    </row>
    <row r="136" spans="32:61">
      <c r="AV136" s="2" t="s">
        <v>2359</v>
      </c>
      <c r="AW136" s="47">
        <v>1843</v>
      </c>
      <c r="AX136" s="5">
        <v>478</v>
      </c>
      <c r="AY136" s="5">
        <v>509</v>
      </c>
      <c r="AZ136" s="5">
        <v>0</v>
      </c>
      <c r="BA136" s="5">
        <v>4</v>
      </c>
      <c r="BB136" s="5">
        <v>110</v>
      </c>
      <c r="BC136" s="5">
        <v>401</v>
      </c>
      <c r="BD136" s="5">
        <v>3</v>
      </c>
      <c r="BE136" s="5">
        <v>1</v>
      </c>
      <c r="BF136" s="5">
        <v>242</v>
      </c>
      <c r="BG136" s="5">
        <v>33</v>
      </c>
      <c r="BH136" s="5">
        <v>62</v>
      </c>
      <c r="BI136" s="2"/>
    </row>
    <row r="137" spans="32:61" ht="13.5" customHeight="1">
      <c r="AV137" s="10" t="s">
        <v>2360</v>
      </c>
      <c r="AW137" s="51">
        <v>453041</v>
      </c>
      <c r="AX137" s="51">
        <v>37180</v>
      </c>
      <c r="AY137" s="51">
        <v>149277</v>
      </c>
      <c r="AZ137" s="11">
        <v>0</v>
      </c>
      <c r="BA137" s="11">
        <v>806</v>
      </c>
      <c r="BB137" s="51">
        <v>32524</v>
      </c>
      <c r="BC137" s="51">
        <v>134961</v>
      </c>
      <c r="BD137" s="11">
        <v>75</v>
      </c>
      <c r="BE137" s="11">
        <v>91</v>
      </c>
      <c r="BF137" s="51">
        <v>72924</v>
      </c>
      <c r="BG137" s="51">
        <v>8465</v>
      </c>
      <c r="BH137" s="51">
        <v>16738</v>
      </c>
      <c r="BI137" s="2"/>
    </row>
    <row r="138" spans="32:61" ht="12.75" customHeight="1">
      <c r="AV138" s="2274" t="s">
        <v>2361</v>
      </c>
      <c r="AW138" s="2274"/>
      <c r="AX138" s="2274"/>
      <c r="AY138" s="2274"/>
      <c r="AZ138" s="2274"/>
      <c r="BA138" s="2274"/>
      <c r="BB138" s="2274"/>
      <c r="BC138" s="2274"/>
      <c r="BD138" s="2274"/>
      <c r="BE138" s="2274"/>
      <c r="BF138" s="2274"/>
      <c r="BG138" s="2274"/>
      <c r="BH138" s="2"/>
      <c r="BI138" s="2"/>
    </row>
    <row r="139" spans="32:61" ht="15" customHeight="1">
      <c r="AV139" s="2262" t="s">
        <v>2293</v>
      </c>
      <c r="AW139" s="2262"/>
      <c r="AX139" s="2262"/>
      <c r="AY139" s="2262"/>
      <c r="AZ139" s="2262"/>
      <c r="BA139" s="2262"/>
      <c r="BB139" s="2262"/>
      <c r="BC139" s="2262"/>
      <c r="BD139" s="2262"/>
      <c r="BE139" s="2262"/>
      <c r="BF139" s="2262"/>
      <c r="BG139" s="2262"/>
      <c r="BH139" s="2"/>
      <c r="BI139" s="2"/>
    </row>
    <row r="140" spans="32:61">
      <c r="AV140" s="2"/>
      <c r="AW140" s="2"/>
      <c r="AX140" s="2"/>
      <c r="AY140" s="2"/>
      <c r="AZ140" s="2"/>
      <c r="BA140" s="2"/>
      <c r="BB140" s="2"/>
      <c r="BC140" s="2"/>
      <c r="BD140" s="2"/>
      <c r="BE140" s="2"/>
      <c r="BF140" s="2"/>
      <c r="BG140" s="2"/>
      <c r="BH140" s="2"/>
      <c r="BI140" s="2"/>
    </row>
    <row r="141" spans="32:61" ht="17.25" customHeight="1">
      <c r="AV141" s="2"/>
      <c r="AW141" s="2"/>
      <c r="AX141" s="2"/>
      <c r="AY141" s="2"/>
      <c r="AZ141" s="2"/>
      <c r="BA141" s="2"/>
      <c r="BB141" s="2"/>
      <c r="BC141" s="2"/>
      <c r="BD141" s="2"/>
      <c r="BE141" s="2"/>
      <c r="BF141" s="2"/>
      <c r="BG141" s="2"/>
      <c r="BH141" s="2"/>
      <c r="BI141" s="2"/>
    </row>
    <row r="142" spans="32:61" ht="12.95" customHeight="1">
      <c r="AV142" s="1" t="s">
        <v>2387</v>
      </c>
      <c r="AW142" s="3"/>
      <c r="AX142" s="3"/>
      <c r="AY142" s="3"/>
      <c r="AZ142" s="2"/>
      <c r="BA142" s="2"/>
      <c r="BB142" s="2"/>
      <c r="BC142" s="2"/>
      <c r="BD142" s="2"/>
      <c r="BE142" s="2"/>
      <c r="BF142" s="2"/>
      <c r="BG142" s="2"/>
      <c r="BH142" s="2"/>
      <c r="BI142" s="2"/>
    </row>
    <row r="143" spans="32:61" ht="12.95" customHeight="1">
      <c r="AV143" s="8"/>
      <c r="AW143" s="2120" t="s">
        <v>2363</v>
      </c>
      <c r="AX143" s="2120"/>
      <c r="AY143" s="2120"/>
      <c r="AZ143" s="2120"/>
      <c r="BA143" s="2120" t="s">
        <v>2364</v>
      </c>
      <c r="BB143" s="2120"/>
      <c r="BC143" s="2120"/>
      <c r="BD143" s="2120"/>
      <c r="BE143" s="2120" t="s">
        <v>2365</v>
      </c>
      <c r="BF143" s="2120"/>
      <c r="BG143" s="2120"/>
      <c r="BH143" s="2033"/>
      <c r="BI143" s="2"/>
    </row>
    <row r="144" spans="32:61" ht="12.95" customHeight="1">
      <c r="AV144" s="10" t="s">
        <v>2311</v>
      </c>
      <c r="AW144" s="17" t="s">
        <v>129</v>
      </c>
      <c r="AX144" s="17" t="s">
        <v>2366</v>
      </c>
      <c r="AY144" s="17" t="s">
        <v>2367</v>
      </c>
      <c r="AZ144" s="17" t="s">
        <v>2368</v>
      </c>
      <c r="BA144" s="17" t="s">
        <v>129</v>
      </c>
      <c r="BB144" s="17" t="s">
        <v>2366</v>
      </c>
      <c r="BC144" s="17" t="s">
        <v>2367</v>
      </c>
      <c r="BD144" s="17" t="s">
        <v>2368</v>
      </c>
      <c r="BE144" s="17" t="s">
        <v>129</v>
      </c>
      <c r="BF144" s="17" t="s">
        <v>2366</v>
      </c>
      <c r="BG144" s="17" t="s">
        <v>2367</v>
      </c>
      <c r="BH144" s="29" t="s">
        <v>2368</v>
      </c>
      <c r="BI144" s="2"/>
    </row>
    <row r="145" spans="48:61" ht="12.95" customHeight="1">
      <c r="AV145" s="2" t="s">
        <v>129</v>
      </c>
      <c r="AW145" s="5">
        <v>627</v>
      </c>
      <c r="AX145" s="5">
        <v>441</v>
      </c>
      <c r="AY145" s="5">
        <v>71</v>
      </c>
      <c r="AZ145" s="5">
        <v>115</v>
      </c>
      <c r="BA145" s="47">
        <v>453040</v>
      </c>
      <c r="BB145" s="47">
        <v>421152</v>
      </c>
      <c r="BC145" s="47">
        <v>8740</v>
      </c>
      <c r="BD145" s="47">
        <v>23148</v>
      </c>
      <c r="BE145" s="47">
        <v>1844</v>
      </c>
      <c r="BF145" s="47">
        <v>1326</v>
      </c>
      <c r="BG145" s="5">
        <v>51</v>
      </c>
      <c r="BH145" s="204">
        <v>467</v>
      </c>
      <c r="BI145" s="2"/>
    </row>
    <row r="146" spans="48:61" ht="12.95" customHeight="1">
      <c r="AV146" s="3" t="s">
        <v>2320</v>
      </c>
      <c r="AW146" s="22">
        <v>210</v>
      </c>
      <c r="AX146" s="22">
        <v>125</v>
      </c>
      <c r="AY146" s="22">
        <v>47</v>
      </c>
      <c r="AZ146" s="22">
        <v>38</v>
      </c>
      <c r="BA146" s="53">
        <v>37179</v>
      </c>
      <c r="BB146" s="53">
        <v>31479</v>
      </c>
      <c r="BC146" s="53">
        <v>3370</v>
      </c>
      <c r="BD146" s="53">
        <v>2330</v>
      </c>
      <c r="BE146" s="22">
        <v>479</v>
      </c>
      <c r="BF146" s="22">
        <v>106</v>
      </c>
      <c r="BG146" s="22">
        <v>18</v>
      </c>
      <c r="BH146" s="22">
        <v>355</v>
      </c>
      <c r="BI146" s="2"/>
    </row>
    <row r="147" spans="48:61" ht="12.95" customHeight="1">
      <c r="AV147" s="3" t="s">
        <v>2333</v>
      </c>
      <c r="AW147" s="22">
        <v>116</v>
      </c>
      <c r="AX147" s="22">
        <v>15</v>
      </c>
      <c r="AY147" s="22">
        <v>24</v>
      </c>
      <c r="AZ147" s="22">
        <v>77</v>
      </c>
      <c r="BA147" s="53">
        <v>149277</v>
      </c>
      <c r="BB147" s="53">
        <v>123089</v>
      </c>
      <c r="BC147" s="53">
        <v>5370</v>
      </c>
      <c r="BD147" s="53">
        <v>20818</v>
      </c>
      <c r="BE147" s="22">
        <v>509</v>
      </c>
      <c r="BF147" s="22">
        <v>364</v>
      </c>
      <c r="BG147" s="22">
        <v>33</v>
      </c>
      <c r="BH147" s="22">
        <v>112</v>
      </c>
      <c r="BI147" s="3"/>
    </row>
    <row r="148" spans="48:61" ht="12.95" customHeight="1">
      <c r="AV148" s="3" t="s">
        <v>2388</v>
      </c>
      <c r="AW148" s="22" t="s">
        <v>546</v>
      </c>
      <c r="AX148" s="22" t="s">
        <v>546</v>
      </c>
      <c r="AY148" s="22" t="s">
        <v>546</v>
      </c>
      <c r="AZ148" s="22" t="s">
        <v>546</v>
      </c>
      <c r="BA148" s="22" t="s">
        <v>546</v>
      </c>
      <c r="BB148" s="22" t="s">
        <v>546</v>
      </c>
      <c r="BC148" s="22" t="s">
        <v>546</v>
      </c>
      <c r="BD148" s="22" t="s">
        <v>546</v>
      </c>
      <c r="BE148" s="22" t="s">
        <v>546</v>
      </c>
      <c r="BF148" s="22" t="s">
        <v>546</v>
      </c>
      <c r="BG148" s="22" t="s">
        <v>546</v>
      </c>
      <c r="BH148" s="22" t="s">
        <v>546</v>
      </c>
      <c r="BI148" s="2"/>
    </row>
    <row r="149" spans="48:61" ht="12.95" customHeight="1">
      <c r="AV149" s="3" t="s">
        <v>2369</v>
      </c>
      <c r="AW149" s="22">
        <v>1</v>
      </c>
      <c r="AX149" s="22">
        <v>1</v>
      </c>
      <c r="AY149" s="22" t="s">
        <v>546</v>
      </c>
      <c r="AZ149" s="22" t="s">
        <v>546</v>
      </c>
      <c r="BA149" s="22">
        <v>806</v>
      </c>
      <c r="BB149" s="22">
        <v>806</v>
      </c>
      <c r="BC149" s="22" t="s">
        <v>546</v>
      </c>
      <c r="BD149" s="22" t="s">
        <v>546</v>
      </c>
      <c r="BE149" s="22">
        <v>4</v>
      </c>
      <c r="BF149" s="22">
        <v>4</v>
      </c>
      <c r="BG149" s="22" t="s">
        <v>546</v>
      </c>
      <c r="BH149" s="22" t="s">
        <v>546</v>
      </c>
      <c r="BI149" s="2"/>
    </row>
    <row r="150" spans="48:61" ht="12.95" customHeight="1">
      <c r="AV150" s="3" t="s">
        <v>2371</v>
      </c>
      <c r="AW150" s="22">
        <v>106</v>
      </c>
      <c r="AX150" s="22">
        <v>106</v>
      </c>
      <c r="AY150" s="22" t="s">
        <v>546</v>
      </c>
      <c r="AZ150" s="22" t="s">
        <v>546</v>
      </c>
      <c r="BA150" s="53">
        <v>32524</v>
      </c>
      <c r="BB150" s="53">
        <v>32524</v>
      </c>
      <c r="BC150" s="22" t="s">
        <v>546</v>
      </c>
      <c r="BD150" s="22" t="s">
        <v>546</v>
      </c>
      <c r="BE150" s="22">
        <v>110</v>
      </c>
      <c r="BF150" s="22">
        <v>110</v>
      </c>
      <c r="BG150" s="22" t="s">
        <v>546</v>
      </c>
      <c r="BH150" s="22" t="s">
        <v>546</v>
      </c>
      <c r="BI150" s="2"/>
    </row>
    <row r="151" spans="48:61" ht="12.95" customHeight="1">
      <c r="AV151" s="3" t="s">
        <v>2334</v>
      </c>
      <c r="AW151" s="22">
        <v>28</v>
      </c>
      <c r="AX151" s="22">
        <v>28</v>
      </c>
      <c r="AY151" s="22" t="s">
        <v>546</v>
      </c>
      <c r="AZ151" s="22" t="s">
        <v>546</v>
      </c>
      <c r="BA151" s="53">
        <v>134961</v>
      </c>
      <c r="BB151" s="53">
        <v>134961</v>
      </c>
      <c r="BC151" s="22" t="s">
        <v>546</v>
      </c>
      <c r="BD151" s="22" t="s">
        <v>546</v>
      </c>
      <c r="BE151" s="22">
        <v>401</v>
      </c>
      <c r="BF151" s="22">
        <v>401</v>
      </c>
      <c r="BG151" s="22" t="s">
        <v>546</v>
      </c>
      <c r="BH151" s="22" t="s">
        <v>546</v>
      </c>
      <c r="BI151" s="2"/>
    </row>
    <row r="152" spans="48:61" ht="12.95" customHeight="1">
      <c r="AV152" s="3" t="s">
        <v>2340</v>
      </c>
      <c r="AW152" s="22">
        <v>6</v>
      </c>
      <c r="AX152" s="22">
        <v>6</v>
      </c>
      <c r="AY152" s="22" t="s">
        <v>546</v>
      </c>
      <c r="AZ152" s="22" t="s">
        <v>546</v>
      </c>
      <c r="BA152" s="22">
        <v>75</v>
      </c>
      <c r="BB152" s="22">
        <v>75</v>
      </c>
      <c r="BC152" s="22" t="s">
        <v>546</v>
      </c>
      <c r="BD152" s="22" t="s">
        <v>546</v>
      </c>
      <c r="BE152" s="22">
        <v>3</v>
      </c>
      <c r="BF152" s="22">
        <v>3</v>
      </c>
      <c r="BG152" s="22" t="s">
        <v>546</v>
      </c>
      <c r="BH152" s="22" t="s">
        <v>546</v>
      </c>
      <c r="BI152" s="2"/>
    </row>
    <row r="153" spans="48:61" ht="12" customHeight="1">
      <c r="AV153" s="3" t="s">
        <v>2389</v>
      </c>
      <c r="AW153" s="22">
        <v>6</v>
      </c>
      <c r="AX153" s="22">
        <v>6</v>
      </c>
      <c r="AY153" s="22" t="s">
        <v>546</v>
      </c>
      <c r="AZ153" s="22" t="s">
        <v>546</v>
      </c>
      <c r="BA153" s="22">
        <v>91</v>
      </c>
      <c r="BB153" s="22">
        <v>91</v>
      </c>
      <c r="BC153" s="22" t="s">
        <v>546</v>
      </c>
      <c r="BD153" s="22" t="s">
        <v>546</v>
      </c>
      <c r="BE153" s="22">
        <v>1</v>
      </c>
      <c r="BF153" s="22">
        <v>1</v>
      </c>
      <c r="BG153" s="22" t="s">
        <v>546</v>
      </c>
      <c r="BH153" s="22" t="s">
        <v>546</v>
      </c>
      <c r="BI153" s="2"/>
    </row>
    <row r="154" spans="48:61" ht="12" customHeight="1">
      <c r="AV154" s="3" t="s">
        <v>2339</v>
      </c>
      <c r="AW154" s="22">
        <v>28</v>
      </c>
      <c r="AX154" s="22">
        <v>28</v>
      </c>
      <c r="AY154" s="22" t="s">
        <v>546</v>
      </c>
      <c r="AZ154" s="22" t="s">
        <v>546</v>
      </c>
      <c r="BA154" s="53">
        <v>72924</v>
      </c>
      <c r="BB154" s="53">
        <v>72924</v>
      </c>
      <c r="BC154" s="22" t="s">
        <v>546</v>
      </c>
      <c r="BD154" s="22" t="s">
        <v>546</v>
      </c>
      <c r="BE154" s="22">
        <v>242</v>
      </c>
      <c r="BF154" s="22">
        <v>242</v>
      </c>
      <c r="BG154" s="22" t="s">
        <v>546</v>
      </c>
      <c r="BH154" s="22" t="s">
        <v>546</v>
      </c>
      <c r="BI154" s="2"/>
    </row>
    <row r="155" spans="48:61" ht="12" customHeight="1">
      <c r="AV155" s="3" t="s">
        <v>2372</v>
      </c>
      <c r="AW155" s="22">
        <v>33</v>
      </c>
      <c r="AX155" s="22">
        <v>33</v>
      </c>
      <c r="AY155" s="22" t="s">
        <v>546</v>
      </c>
      <c r="AZ155" s="22" t="s">
        <v>546</v>
      </c>
      <c r="BA155" s="53">
        <v>8465</v>
      </c>
      <c r="BB155" s="53">
        <v>8465</v>
      </c>
      <c r="BC155" s="22" t="s">
        <v>546</v>
      </c>
      <c r="BD155" s="22" t="s">
        <v>546</v>
      </c>
      <c r="BE155" s="22">
        <v>33</v>
      </c>
      <c r="BF155" s="22">
        <v>33</v>
      </c>
      <c r="BG155" s="22" t="s">
        <v>546</v>
      </c>
      <c r="BH155" s="22" t="s">
        <v>546</v>
      </c>
      <c r="BI155" s="2"/>
    </row>
    <row r="156" spans="48:61">
      <c r="AV156" s="23" t="s">
        <v>2322</v>
      </c>
      <c r="AW156" s="29">
        <v>93</v>
      </c>
      <c r="AX156" s="29">
        <v>93</v>
      </c>
      <c r="AY156" s="29" t="s">
        <v>546</v>
      </c>
      <c r="AZ156" s="29" t="s">
        <v>546</v>
      </c>
      <c r="BA156" s="54">
        <v>16738</v>
      </c>
      <c r="BB156" s="54">
        <v>16738</v>
      </c>
      <c r="BC156" s="29" t="s">
        <v>546</v>
      </c>
      <c r="BD156" s="29" t="s">
        <v>546</v>
      </c>
      <c r="BE156" s="29">
        <v>62</v>
      </c>
      <c r="BF156" s="29">
        <v>62</v>
      </c>
      <c r="BG156" s="29" t="s">
        <v>546</v>
      </c>
      <c r="BH156" s="29" t="s">
        <v>546</v>
      </c>
    </row>
    <row r="157" spans="48:61" ht="18" customHeight="1">
      <c r="AV157" s="2252" t="s">
        <v>2361</v>
      </c>
      <c r="AW157" s="2252"/>
      <c r="AX157" s="2252"/>
      <c r="AY157" s="2252"/>
      <c r="AZ157" s="2252"/>
      <c r="BA157" s="2252"/>
      <c r="BB157" s="2252"/>
      <c r="BC157" s="2252"/>
      <c r="BD157" s="2252"/>
      <c r="BE157" s="2252"/>
      <c r="BF157" s="2"/>
      <c r="BG157" s="2"/>
      <c r="BH157" s="2"/>
    </row>
    <row r="158" spans="48:61" ht="11.25" customHeight="1">
      <c r="AV158" s="2045" t="s">
        <v>2293</v>
      </c>
      <c r="AW158" s="2045"/>
      <c r="AX158" s="2045"/>
      <c r="AY158" s="2045"/>
      <c r="AZ158" s="2045"/>
      <c r="BA158" s="2045"/>
      <c r="BB158" s="2045"/>
      <c r="BC158" s="2045"/>
      <c r="BD158" s="2045"/>
      <c r="BE158" s="2045"/>
      <c r="BF158" s="2"/>
      <c r="BG158" s="2"/>
      <c r="BH158" s="2"/>
    </row>
  </sheetData>
  <mergeCells count="125">
    <mergeCell ref="AV157:BE157"/>
    <mergeCell ref="AV158:BE158"/>
    <mergeCell ref="BL20:BP20"/>
    <mergeCell ref="BL19:BQ19"/>
    <mergeCell ref="AF134:AK134"/>
    <mergeCell ref="AV29:BH29"/>
    <mergeCell ref="AV30:BH30"/>
    <mergeCell ref="AV31:BH31"/>
    <mergeCell ref="AV32:BH32"/>
    <mergeCell ref="AV50:BG50"/>
    <mergeCell ref="AV51:BG51"/>
    <mergeCell ref="AV52:BG52"/>
    <mergeCell ref="AV53:BG53"/>
    <mergeCell ref="AV84:BG84"/>
    <mergeCell ref="AV85:BG85"/>
    <mergeCell ref="AV86:BG86"/>
    <mergeCell ref="AV104:BG104"/>
    <mergeCell ref="AV105:BG105"/>
    <mergeCell ref="BA143:BD143"/>
    <mergeCell ref="BE143:BH143"/>
    <mergeCell ref="BD111:BD112"/>
    <mergeCell ref="BE111:BE112"/>
    <mergeCell ref="BH111:BH112"/>
    <mergeCell ref="AV138:BG138"/>
    <mergeCell ref="BA90:BD90"/>
    <mergeCell ref="BE90:BH90"/>
    <mergeCell ref="AG87:AS87"/>
    <mergeCell ref="BF3:BF4"/>
    <mergeCell ref="W67:AC67"/>
    <mergeCell ref="W68:AC68"/>
    <mergeCell ref="W69:AC69"/>
    <mergeCell ref="AF23:AL23"/>
    <mergeCell ref="AF24:AL24"/>
    <mergeCell ref="AF25:AL25"/>
    <mergeCell ref="AF26:AL26"/>
    <mergeCell ref="AF27:AL27"/>
    <mergeCell ref="AF28:AL28"/>
    <mergeCell ref="AF29:AL29"/>
    <mergeCell ref="AF30:AL30"/>
    <mergeCell ref="AF31:AL31"/>
    <mergeCell ref="AF61:AK61"/>
    <mergeCell ref="AF62:AK62"/>
    <mergeCell ref="W62:AC62"/>
    <mergeCell ref="W63:AC63"/>
    <mergeCell ref="W64:AC64"/>
    <mergeCell ref="W65:AC65"/>
    <mergeCell ref="W66:AC66"/>
    <mergeCell ref="BI3:BI4"/>
    <mergeCell ref="AW57:AW58"/>
    <mergeCell ref="AX57:AX58"/>
    <mergeCell ref="AY57:AY58"/>
    <mergeCell ref="AZ57:AZ58"/>
    <mergeCell ref="BE57:BE58"/>
    <mergeCell ref="AY3:AY4"/>
    <mergeCell ref="AZ3:AZ4"/>
    <mergeCell ref="AV57:AV58"/>
    <mergeCell ref="BD57:BD58"/>
    <mergeCell ref="BH57:BH58"/>
    <mergeCell ref="AW56:BH56"/>
    <mergeCell ref="AV139:BG139"/>
    <mergeCell ref="AL2:AM2"/>
    <mergeCell ref="AN2:AO2"/>
    <mergeCell ref="AP2:AQ2"/>
    <mergeCell ref="AJ2:AK2"/>
    <mergeCell ref="AW143:AZ143"/>
    <mergeCell ref="AO88:AO89"/>
    <mergeCell ref="AP88:AP89"/>
    <mergeCell ref="AS88:AS89"/>
    <mergeCell ref="AW90:AZ90"/>
    <mergeCell ref="AV111:AV112"/>
    <mergeCell ref="AW111:AW112"/>
    <mergeCell ref="AX111:AX112"/>
    <mergeCell ref="AY111:AY112"/>
    <mergeCell ref="AZ111:AZ112"/>
    <mergeCell ref="AW110:BH110"/>
    <mergeCell ref="AW2:BI2"/>
    <mergeCell ref="AW35:AZ35"/>
    <mergeCell ref="BA35:BD35"/>
    <mergeCell ref="BE35:BH35"/>
    <mergeCell ref="AV2:AV4"/>
    <mergeCell ref="AW3:AW4"/>
    <mergeCell ref="AX3:AX4"/>
    <mergeCell ref="BE3:BE4"/>
    <mergeCell ref="AF113:AG113"/>
    <mergeCell ref="AG117:AJ117"/>
    <mergeCell ref="AF83:AG83"/>
    <mergeCell ref="AF132:AK132"/>
    <mergeCell ref="AF133:AK133"/>
    <mergeCell ref="AK117:AN117"/>
    <mergeCell ref="AO117:AR117"/>
    <mergeCell ref="AF36:AF38"/>
    <mergeCell ref="AG37:AG38"/>
    <mergeCell ref="AH37:AH38"/>
    <mergeCell ref="AI37:AI38"/>
    <mergeCell ref="AJ37:AJ38"/>
    <mergeCell ref="AF87:AF89"/>
    <mergeCell ref="AG36:AS36"/>
    <mergeCell ref="AG66:AJ66"/>
    <mergeCell ref="AK66:AN66"/>
    <mergeCell ref="AO66:AR66"/>
    <mergeCell ref="AG88:AG89"/>
    <mergeCell ref="AH88:AH89"/>
    <mergeCell ref="AI88:AI89"/>
    <mergeCell ref="AJ88:AJ89"/>
    <mergeCell ref="A38:B38"/>
    <mergeCell ref="L3:O3"/>
    <mergeCell ref="L1:T1"/>
    <mergeCell ref="L2:N2"/>
    <mergeCell ref="AH2:AI2"/>
    <mergeCell ref="A26:G26"/>
    <mergeCell ref="A27:G27"/>
    <mergeCell ref="A28:G28"/>
    <mergeCell ref="A29:G29"/>
    <mergeCell ref="A30:G30"/>
    <mergeCell ref="A31:G31"/>
    <mergeCell ref="A32:G32"/>
    <mergeCell ref="A33:G33"/>
    <mergeCell ref="L16:T16"/>
    <mergeCell ref="L17:T17"/>
    <mergeCell ref="L18:T18"/>
    <mergeCell ref="L19:T19"/>
    <mergeCell ref="L20:T20"/>
    <mergeCell ref="L21:T21"/>
    <mergeCell ref="L22:T22"/>
    <mergeCell ref="L23:T2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DE09-F513-406E-A2EA-80EE19F3059B}">
  <sheetPr>
    <tabColor rgb="FFFFFF00"/>
  </sheetPr>
  <dimension ref="A1:ED748"/>
  <sheetViews>
    <sheetView showGridLines="0" topLeftCell="DO1" zoomScale="90" zoomScaleNormal="90" workbookViewId="0">
      <selection activeCell="ED35" sqref="ED35"/>
    </sheetView>
  </sheetViews>
  <sheetFormatPr defaultColWidth="8.85546875" defaultRowHeight="12" customHeight="1"/>
  <cols>
    <col min="1" max="1" width="39" style="382" customWidth="1"/>
    <col min="2" max="6" width="12.7109375" style="382" customWidth="1"/>
    <col min="7" max="7" width="18" style="382" customWidth="1"/>
    <col min="8" max="8" width="14.7109375" style="382" customWidth="1"/>
    <col min="9" max="9" width="10.140625" style="382" customWidth="1"/>
    <col min="10" max="10" width="11.140625" style="382" customWidth="1"/>
    <col min="11" max="11" width="28.85546875" style="382" customWidth="1"/>
    <col min="12" max="12" width="15.7109375" style="382" customWidth="1"/>
    <col min="13" max="13" width="12.7109375" style="382" customWidth="1"/>
    <col min="14" max="14" width="10.7109375" style="382" customWidth="1"/>
    <col min="15" max="15" width="10.28515625" style="382" customWidth="1"/>
    <col min="16" max="16" width="39.140625" style="382" customWidth="1"/>
    <col min="17" max="22" width="12.7109375" style="382" customWidth="1"/>
    <col min="23" max="23" width="10.7109375" style="382" customWidth="1"/>
    <col min="24" max="24" width="10.28515625" style="382" customWidth="1"/>
    <col min="25" max="25" width="44.7109375" style="382" customWidth="1"/>
    <col min="26" max="31" width="13.7109375" style="382" customWidth="1"/>
    <col min="32" max="35" width="12.7109375" style="382" customWidth="1"/>
    <col min="36" max="37" width="12.28515625" style="382" customWidth="1"/>
    <col min="38" max="38" width="25.85546875" style="382" customWidth="1"/>
    <col min="39" max="42" width="12.7109375" style="382" customWidth="1"/>
    <col min="43" max="43" width="14.140625" style="382" customWidth="1"/>
    <col min="44" max="44" width="13" style="382" customWidth="1"/>
    <col min="45" max="45" width="22.7109375" style="382" customWidth="1"/>
    <col min="46" max="49" width="13" style="382" customWidth="1"/>
    <col min="50" max="50" width="10.140625" style="382" customWidth="1"/>
    <col min="51" max="51" width="10.5703125" style="382" customWidth="1"/>
    <col min="52" max="52" width="30.28515625" style="382" customWidth="1"/>
    <col min="53" max="56" width="15.7109375" style="382" customWidth="1"/>
    <col min="57" max="57" width="10.42578125" style="382" customWidth="1"/>
    <col min="58" max="58" width="12.5703125" style="382" customWidth="1"/>
    <col min="59" max="59" width="39.7109375" style="382" customWidth="1"/>
    <col min="60" max="61" width="14.7109375" style="382" customWidth="1"/>
    <col min="62" max="63" width="15.7109375" style="382" customWidth="1"/>
    <col min="64" max="64" width="14.7109375" style="382" customWidth="1"/>
    <col min="65" max="65" width="10.140625" style="382" customWidth="1"/>
    <col min="66" max="70" width="13.7109375" style="382" customWidth="1"/>
    <col min="71" max="71" width="18.7109375" style="382" customWidth="1"/>
    <col min="72" max="72" width="18.42578125" style="382" customWidth="1"/>
    <col min="73" max="73" width="15.7109375" style="382" customWidth="1"/>
    <col min="74" max="74" width="14" style="382" customWidth="1"/>
    <col min="75" max="75" width="13.7109375" style="382" customWidth="1"/>
    <col min="76" max="76" width="12.7109375" style="382" customWidth="1"/>
    <col min="77" max="77" width="12.85546875" style="382" customWidth="1"/>
    <col min="78" max="78" width="10.5703125" style="382" customWidth="1"/>
    <col min="79" max="79" width="11.5703125" style="382" customWidth="1"/>
    <col min="80" max="80" width="11.85546875" style="382" customWidth="1"/>
    <col min="81" max="81" width="12.7109375" style="382" customWidth="1"/>
    <col min="82" max="82" width="12.140625" style="382" customWidth="1"/>
    <col min="83" max="83" width="16.28515625" style="382" customWidth="1"/>
    <col min="84" max="84" width="15.7109375" style="382" customWidth="1"/>
    <col min="85" max="85" width="8.85546875" style="382"/>
    <col min="86" max="86" width="36" style="382" customWidth="1"/>
    <col min="87" max="87" width="12.140625" style="382" customWidth="1"/>
    <col min="88" max="91" width="12.85546875" style="382" customWidth="1"/>
    <col min="92" max="92" width="14.7109375" style="382" customWidth="1"/>
    <col min="93" max="93" width="13.42578125" style="382" customWidth="1"/>
    <col min="94" max="94" width="45.7109375" style="382" customWidth="1"/>
    <col min="95" max="100" width="12.7109375" style="382" customWidth="1"/>
    <col min="101" max="101" width="8.85546875" style="382"/>
    <col min="102" max="102" width="36.42578125" style="382" customWidth="1"/>
    <col min="103" max="108" width="12.7109375" style="382" customWidth="1"/>
    <col min="109" max="109" width="12.42578125" style="382" customWidth="1"/>
    <col min="110" max="110" width="12" style="382" customWidth="1"/>
    <col min="111" max="111" width="20.7109375" style="382" customWidth="1"/>
    <col min="112" max="113" width="16.7109375" style="382" customWidth="1"/>
    <col min="114" max="114" width="14.7109375" style="382" customWidth="1"/>
    <col min="115" max="115" width="12.140625" style="382" customWidth="1"/>
    <col min="116" max="116" width="11.7109375" style="382" customWidth="1"/>
    <col min="117" max="117" width="35" style="382" customWidth="1"/>
    <col min="118" max="124" width="12.7109375" style="382" customWidth="1"/>
    <col min="125" max="125" width="23.140625" style="382" customWidth="1"/>
    <col min="126" max="127" width="17.7109375" style="382" customWidth="1"/>
    <col min="128" max="128" width="27.7109375" style="382" customWidth="1"/>
    <col min="129" max="129" width="24.85546875" style="382" customWidth="1"/>
    <col min="130" max="130" width="22.85546875" style="382" customWidth="1"/>
    <col min="131" max="131" width="27" style="382" customWidth="1"/>
    <col min="132" max="132" width="16.140625" style="382" customWidth="1"/>
    <col min="133" max="133" width="12.140625" style="382" customWidth="1"/>
    <col min="134" max="134" width="22.85546875" style="382" customWidth="1"/>
    <col min="135" max="16384" width="8.85546875" style="382"/>
  </cols>
  <sheetData>
    <row r="1" spans="1:134" ht="12.95" customHeight="1">
      <c r="A1" s="381" t="s">
        <v>7868</v>
      </c>
      <c r="B1" s="381"/>
      <c r="C1" s="381"/>
      <c r="D1" s="381"/>
      <c r="E1" s="381"/>
      <c r="I1" s="1602" t="s">
        <v>7869</v>
      </c>
      <c r="J1" s="1602"/>
      <c r="K1" s="1602"/>
      <c r="L1" s="1602"/>
      <c r="M1" s="1602"/>
      <c r="P1" s="387" t="s">
        <v>7870</v>
      </c>
      <c r="Q1" s="387"/>
      <c r="R1" s="387"/>
      <c r="S1" s="387"/>
      <c r="T1" s="387"/>
      <c r="U1" s="381"/>
      <c r="Y1" s="381" t="s">
        <v>7871</v>
      </c>
      <c r="Z1" s="381"/>
      <c r="AA1" s="381"/>
      <c r="AL1" s="381" t="s">
        <v>7872</v>
      </c>
      <c r="AM1" s="381"/>
      <c r="AN1" s="381"/>
      <c r="AO1" s="381"/>
      <c r="AP1" s="381"/>
      <c r="AS1" s="381" t="s">
        <v>7873</v>
      </c>
      <c r="AT1" s="381"/>
      <c r="AU1" s="381"/>
      <c r="AV1" s="381"/>
      <c r="AW1" s="381"/>
      <c r="AX1" s="549"/>
      <c r="AZ1" s="381" t="s">
        <v>7874</v>
      </c>
      <c r="BA1" s="381"/>
      <c r="BB1" s="381"/>
      <c r="BC1" s="381"/>
      <c r="BD1" s="381"/>
      <c r="BG1" s="381" t="s">
        <v>7875</v>
      </c>
      <c r="BH1" s="381"/>
      <c r="BI1" s="381"/>
      <c r="BJ1" s="381"/>
      <c r="BK1" s="381"/>
      <c r="BN1" s="381" t="s">
        <v>7876</v>
      </c>
      <c r="BO1" s="381"/>
      <c r="BP1" s="381"/>
      <c r="BQ1" s="381"/>
      <c r="BR1" s="381"/>
      <c r="BU1" s="2281" t="s">
        <v>7877</v>
      </c>
      <c r="BV1" s="2281"/>
      <c r="BW1" s="2281"/>
      <c r="BX1" s="2281"/>
      <c r="BY1" s="2281"/>
      <c r="BZ1" s="2281"/>
      <c r="CA1" s="2281"/>
      <c r="CB1" s="2281"/>
      <c r="CC1" s="2281"/>
      <c r="CD1" s="2281"/>
      <c r="CE1" s="2281"/>
      <c r="CG1" s="1604"/>
      <c r="CH1" s="382" t="s">
        <v>7878</v>
      </c>
      <c r="CN1" s="549"/>
      <c r="CP1" s="382" t="s">
        <v>7879</v>
      </c>
      <c r="CV1" s="549"/>
      <c r="CX1" s="382" t="s">
        <v>7880</v>
      </c>
      <c r="DG1" s="381" t="s">
        <v>7881</v>
      </c>
      <c r="DM1" s="382" t="s">
        <v>7882</v>
      </c>
      <c r="DU1" s="381" t="s">
        <v>7883</v>
      </c>
      <c r="DV1" s="381"/>
      <c r="DW1" s="381"/>
      <c r="DX1" s="381"/>
      <c r="DY1" s="381"/>
      <c r="DZ1" s="381"/>
      <c r="EA1" s="381"/>
    </row>
    <row r="2" spans="1:134" ht="12.95" customHeight="1">
      <c r="A2" s="610" t="s">
        <v>1810</v>
      </c>
      <c r="B2" s="1605" t="s">
        <v>2305</v>
      </c>
      <c r="C2" s="1605" t="s">
        <v>2306</v>
      </c>
      <c r="D2" s="1605" t="s">
        <v>7884</v>
      </c>
      <c r="E2" s="824" t="s">
        <v>7885</v>
      </c>
      <c r="F2" s="729" t="s">
        <v>7886</v>
      </c>
      <c r="G2" s="385"/>
      <c r="H2" s="385"/>
      <c r="I2" s="794"/>
      <c r="J2" s="1606" t="s">
        <v>7887</v>
      </c>
      <c r="K2" s="1602"/>
      <c r="L2" s="1602"/>
      <c r="M2" s="1602"/>
      <c r="N2" s="385"/>
      <c r="P2" s="727" t="s">
        <v>1810</v>
      </c>
      <c r="Q2" s="642" t="s">
        <v>2304</v>
      </c>
      <c r="R2" s="642" t="s">
        <v>2305</v>
      </c>
      <c r="S2" s="642" t="s">
        <v>2306</v>
      </c>
      <c r="T2" s="642" t="s">
        <v>7884</v>
      </c>
      <c r="U2" s="642" t="s">
        <v>7885</v>
      </c>
      <c r="V2" s="664" t="s">
        <v>7886</v>
      </c>
      <c r="Z2" s="2127" t="s">
        <v>2305</v>
      </c>
      <c r="AA2" s="2136"/>
      <c r="AB2" s="2127" t="s">
        <v>2306</v>
      </c>
      <c r="AC2" s="2136"/>
      <c r="AD2" s="2127" t="s">
        <v>7884</v>
      </c>
      <c r="AE2" s="2136"/>
      <c r="AF2" s="2127" t="s">
        <v>7885</v>
      </c>
      <c r="AG2" s="2136"/>
      <c r="AH2" s="2127" t="s">
        <v>7886</v>
      </c>
      <c r="AI2" s="2128"/>
      <c r="AJ2" s="402"/>
      <c r="AK2" s="402"/>
      <c r="AM2" s="2127" t="s">
        <v>7888</v>
      </c>
      <c r="AN2" s="2128"/>
      <c r="AO2" s="2128"/>
      <c r="AP2" s="2128"/>
      <c r="AS2" s="398"/>
      <c r="AT2" s="2127" t="s">
        <v>7888</v>
      </c>
      <c r="AU2" s="2128"/>
      <c r="AV2" s="2128"/>
      <c r="AW2" s="2128"/>
      <c r="AX2" s="994"/>
      <c r="BA2" s="2078" t="s">
        <v>7888</v>
      </c>
      <c r="BB2" s="2079"/>
      <c r="BC2" s="2079"/>
      <c r="BD2" s="2079"/>
      <c r="BH2" s="2078" t="s">
        <v>7888</v>
      </c>
      <c r="BI2" s="2079"/>
      <c r="BJ2" s="2079"/>
      <c r="BK2" s="2079"/>
      <c r="BO2" s="2279" t="s">
        <v>7888</v>
      </c>
      <c r="BP2" s="2280"/>
      <c r="BQ2" s="2280"/>
      <c r="BR2" s="2280"/>
      <c r="BU2" s="1903"/>
      <c r="BV2" s="2282" t="s">
        <v>1665</v>
      </c>
      <c r="BW2" s="2283"/>
      <c r="BX2" s="2283"/>
      <c r="BY2" s="2283"/>
      <c r="BZ2" s="2283"/>
      <c r="CA2" s="2284"/>
      <c r="CB2" s="2288" t="s">
        <v>7889</v>
      </c>
      <c r="CC2" s="2289"/>
      <c r="CD2" s="2290"/>
      <c r="CE2" s="2291" t="s">
        <v>7890</v>
      </c>
      <c r="CG2" s="1607"/>
      <c r="CH2" s="904" t="s">
        <v>7891</v>
      </c>
      <c r="CI2" s="389">
        <v>2023</v>
      </c>
      <c r="CJ2" s="389">
        <v>2022</v>
      </c>
      <c r="CK2" s="389">
        <v>2021</v>
      </c>
      <c r="CL2" s="390">
        <v>2020</v>
      </c>
      <c r="CM2" s="390">
        <v>2019</v>
      </c>
      <c r="CN2" s="549"/>
      <c r="CP2" s="1674" t="s">
        <v>7892</v>
      </c>
      <c r="CQ2" s="1094">
        <v>2024</v>
      </c>
      <c r="CR2" s="1094">
        <v>2023</v>
      </c>
      <c r="CS2" s="1094">
        <v>2022</v>
      </c>
      <c r="CT2" s="658" t="s">
        <v>2496</v>
      </c>
      <c r="CU2" s="906">
        <v>2020</v>
      </c>
      <c r="CV2" s="571"/>
      <c r="CX2" s="597"/>
      <c r="CY2" s="2078">
        <v>2024</v>
      </c>
      <c r="CZ2" s="2080"/>
      <c r="DA2" s="2078">
        <v>2023</v>
      </c>
      <c r="DB2" s="2080"/>
      <c r="DC2" s="2078">
        <v>2022</v>
      </c>
      <c r="DD2" s="2079"/>
      <c r="DE2" s="2073"/>
      <c r="DF2" s="2073"/>
      <c r="DG2" s="388" t="s">
        <v>2449</v>
      </c>
      <c r="DH2" s="664" t="s">
        <v>129</v>
      </c>
      <c r="DI2" s="894"/>
      <c r="DJ2" s="894"/>
      <c r="DM2" s="904" t="s">
        <v>2642</v>
      </c>
      <c r="DN2" s="904">
        <v>2024</v>
      </c>
      <c r="DO2" s="904">
        <v>2023</v>
      </c>
      <c r="DP2" s="904">
        <v>2022</v>
      </c>
      <c r="DQ2" s="388">
        <v>2020</v>
      </c>
      <c r="DR2" s="390">
        <v>2019</v>
      </c>
      <c r="DV2" s="405" t="s">
        <v>7893</v>
      </c>
      <c r="DW2" s="405" t="s">
        <v>7893</v>
      </c>
      <c r="DX2" s="404" t="s">
        <v>7893</v>
      </c>
      <c r="DY2" s="405" t="s">
        <v>7894</v>
      </c>
      <c r="DZ2" s="405" t="s">
        <v>7894</v>
      </c>
      <c r="EA2" s="405" t="s">
        <v>7894</v>
      </c>
      <c r="EB2" s="405" t="s">
        <v>129</v>
      </c>
      <c r="EC2" s="405" t="s">
        <v>129</v>
      </c>
      <c r="ED2" s="861"/>
    </row>
    <row r="3" spans="1:134" ht="12.95" customHeight="1">
      <c r="A3" s="398" t="s">
        <v>7895</v>
      </c>
      <c r="I3" s="1883" t="s">
        <v>7896</v>
      </c>
      <c r="J3" s="1883"/>
      <c r="K3" s="1884" t="s">
        <v>7897</v>
      </c>
      <c r="P3" s="382" t="s">
        <v>7898</v>
      </c>
      <c r="Q3" s="463">
        <v>6307</v>
      </c>
      <c r="R3" s="463">
        <v>5849</v>
      </c>
      <c r="S3" s="463">
        <v>5334</v>
      </c>
      <c r="T3" s="463">
        <v>4836</v>
      </c>
      <c r="U3" s="463">
        <v>6216</v>
      </c>
      <c r="V3" s="463">
        <v>6534</v>
      </c>
      <c r="Y3" s="610" t="s">
        <v>7899</v>
      </c>
      <c r="Z3" s="441" t="s">
        <v>7900</v>
      </c>
      <c r="AA3" s="664" t="s">
        <v>461</v>
      </c>
      <c r="AB3" s="441" t="s">
        <v>7900</v>
      </c>
      <c r="AC3" s="664" t="s">
        <v>461</v>
      </c>
      <c r="AD3" s="441" t="s">
        <v>7900</v>
      </c>
      <c r="AE3" s="664" t="s">
        <v>461</v>
      </c>
      <c r="AF3" s="441" t="s">
        <v>7900</v>
      </c>
      <c r="AG3" s="664" t="s">
        <v>461</v>
      </c>
      <c r="AH3" s="441" t="s">
        <v>7900</v>
      </c>
      <c r="AI3" s="664" t="s">
        <v>461</v>
      </c>
      <c r="AJ3" s="439"/>
      <c r="AK3" s="439"/>
      <c r="AL3" s="384" t="s">
        <v>1648</v>
      </c>
      <c r="AM3" s="442" t="s">
        <v>42</v>
      </c>
      <c r="AN3" s="442" t="s">
        <v>43</v>
      </c>
      <c r="AO3" s="442" t="s">
        <v>44</v>
      </c>
      <c r="AP3" s="442" t="s">
        <v>45</v>
      </c>
      <c r="AS3" s="384" t="s">
        <v>7901</v>
      </c>
      <c r="AT3" s="729" t="s">
        <v>42</v>
      </c>
      <c r="AU3" s="729" t="s">
        <v>43</v>
      </c>
      <c r="AV3" s="729" t="s">
        <v>44</v>
      </c>
      <c r="AW3" s="729" t="s">
        <v>45</v>
      </c>
      <c r="AX3" s="901"/>
      <c r="AZ3" s="1431" t="s">
        <v>2642</v>
      </c>
      <c r="BA3" s="642" t="s">
        <v>42</v>
      </c>
      <c r="BB3" s="642" t="s">
        <v>43</v>
      </c>
      <c r="BC3" s="642" t="s">
        <v>44</v>
      </c>
      <c r="BD3" s="664" t="s">
        <v>45</v>
      </c>
      <c r="BE3" s="402"/>
      <c r="BF3" s="402"/>
      <c r="BG3" s="1431" t="s">
        <v>1648</v>
      </c>
      <c r="BH3" s="664" t="s">
        <v>42</v>
      </c>
      <c r="BI3" s="664" t="s">
        <v>43</v>
      </c>
      <c r="BJ3" s="664" t="s">
        <v>44</v>
      </c>
      <c r="BK3" s="664" t="s">
        <v>45</v>
      </c>
      <c r="BL3" s="402"/>
      <c r="BN3" s="1431" t="s">
        <v>7901</v>
      </c>
      <c r="BO3" s="1900" t="s">
        <v>42</v>
      </c>
      <c r="BP3" s="1900" t="s">
        <v>43</v>
      </c>
      <c r="BQ3" s="1900" t="s">
        <v>44</v>
      </c>
      <c r="BR3" s="1900" t="s">
        <v>45</v>
      </c>
      <c r="BV3" s="2285"/>
      <c r="BW3" s="2286"/>
      <c r="BX3" s="2286"/>
      <c r="BY3" s="2286"/>
      <c r="BZ3" s="2286"/>
      <c r="CA3" s="2287"/>
      <c r="CB3" s="2081" t="s">
        <v>7902</v>
      </c>
      <c r="CC3" s="2077"/>
      <c r="CD3" s="2082"/>
      <c r="CE3" s="2292"/>
      <c r="CG3" s="1607"/>
      <c r="CH3" s="382" t="s">
        <v>7903</v>
      </c>
      <c r="CN3" s="549"/>
      <c r="CP3" s="382" t="s">
        <v>7904</v>
      </c>
      <c r="CQ3" s="435">
        <v>1249</v>
      </c>
      <c r="CR3" s="435">
        <v>1075</v>
      </c>
      <c r="CS3" s="435">
        <v>1087</v>
      </c>
      <c r="CT3" s="435">
        <v>199</v>
      </c>
      <c r="CU3" s="463">
        <v>790</v>
      </c>
      <c r="CV3" s="562"/>
      <c r="CX3" s="610" t="s">
        <v>7905</v>
      </c>
      <c r="CY3" s="642" t="s">
        <v>7906</v>
      </c>
      <c r="CZ3" s="664" t="s">
        <v>1666</v>
      </c>
      <c r="DA3" s="642" t="s">
        <v>7906</v>
      </c>
      <c r="DB3" s="664" t="s">
        <v>1666</v>
      </c>
      <c r="DC3" s="642" t="s">
        <v>7906</v>
      </c>
      <c r="DD3" s="664" t="s">
        <v>1666</v>
      </c>
      <c r="DE3" s="439"/>
      <c r="DF3" s="439"/>
      <c r="DG3" s="439" t="s">
        <v>129</v>
      </c>
      <c r="DH3" s="435">
        <f>SUM(DH4:DH17)</f>
        <v>1104</v>
      </c>
      <c r="DI3" s="439"/>
      <c r="DJ3" s="439"/>
      <c r="DM3" s="439" t="s">
        <v>129</v>
      </c>
      <c r="DN3" s="463">
        <v>1104</v>
      </c>
      <c r="DO3" s="1921">
        <f>SUM(DO4+DO5+DO6+DO7+DO8+DO9+DO14+DO15+DO16+DO17+DO18+DO19+DO20+DO21+DO22+DO23+DO24)</f>
        <v>1075</v>
      </c>
      <c r="DP3" s="881">
        <v>880</v>
      </c>
      <c r="DQ3" s="881">
        <v>790</v>
      </c>
      <c r="DR3" s="881">
        <v>764</v>
      </c>
      <c r="DS3" s="881"/>
      <c r="DU3" s="381" t="s">
        <v>3471</v>
      </c>
      <c r="DV3" s="442" t="s">
        <v>7907</v>
      </c>
      <c r="DW3" s="442" t="s">
        <v>7908</v>
      </c>
      <c r="DX3" s="441" t="s">
        <v>7909</v>
      </c>
      <c r="DY3" s="442" t="s">
        <v>7907</v>
      </c>
      <c r="DZ3" s="442" t="s">
        <v>7908</v>
      </c>
      <c r="EA3" s="442" t="s">
        <v>7909</v>
      </c>
      <c r="EB3" s="442" t="s">
        <v>7893</v>
      </c>
      <c r="EC3" s="442" t="s">
        <v>4832</v>
      </c>
      <c r="ED3" s="861"/>
    </row>
    <row r="4" spans="1:134" ht="12.95" customHeight="1">
      <c r="A4" s="398" t="s">
        <v>7910</v>
      </c>
      <c r="B4" s="463">
        <v>41339</v>
      </c>
      <c r="C4" s="463">
        <v>36150</v>
      </c>
      <c r="D4" s="463">
        <v>41897</v>
      </c>
      <c r="E4" s="463">
        <v>44041</v>
      </c>
      <c r="F4" s="463">
        <v>50300</v>
      </c>
      <c r="G4" s="463"/>
      <c r="H4" s="393"/>
      <c r="I4" s="1615">
        <v>2024</v>
      </c>
      <c r="J4" s="1602"/>
      <c r="K4" s="1616">
        <v>697207</v>
      </c>
      <c r="P4" s="398" t="s">
        <v>7911</v>
      </c>
      <c r="Q4" s="463">
        <v>6648</v>
      </c>
      <c r="R4" s="463">
        <v>5837</v>
      </c>
      <c r="S4" s="463">
        <v>4887</v>
      </c>
      <c r="T4" s="463">
        <v>3570</v>
      </c>
      <c r="U4" s="463">
        <v>4876</v>
      </c>
      <c r="V4" s="463">
        <v>5574</v>
      </c>
      <c r="Y4" s="382" t="s">
        <v>7912</v>
      </c>
      <c r="Z4" s="463">
        <v>1500</v>
      </c>
      <c r="AA4" s="463">
        <v>194741</v>
      </c>
      <c r="AB4" s="463">
        <v>2224</v>
      </c>
      <c r="AC4" s="463">
        <v>313849</v>
      </c>
      <c r="AD4" s="463">
        <v>2179</v>
      </c>
      <c r="AE4" s="463">
        <v>245890</v>
      </c>
      <c r="AF4" s="463">
        <v>2321</v>
      </c>
      <c r="AG4" s="463">
        <v>262133</v>
      </c>
      <c r="AH4" s="463">
        <v>2264</v>
      </c>
      <c r="AI4" s="463">
        <v>249784</v>
      </c>
      <c r="AJ4" s="463"/>
      <c r="AK4" s="463"/>
      <c r="AL4" s="463" t="s">
        <v>3508</v>
      </c>
      <c r="AM4" s="463">
        <f>SUM(AM5:AM6)</f>
        <v>45433</v>
      </c>
      <c r="AN4" s="463">
        <v>48364</v>
      </c>
      <c r="AO4" s="463">
        <v>49320</v>
      </c>
      <c r="AP4" s="463">
        <v>51301</v>
      </c>
      <c r="AS4" s="382" t="s">
        <v>3507</v>
      </c>
      <c r="AT4" s="1889">
        <f>SUM(AT5:AT34)</f>
        <v>45433</v>
      </c>
      <c r="AU4" s="1889">
        <f>SUM(AU5:AU34)</f>
        <v>48364</v>
      </c>
      <c r="AV4" s="1889">
        <f>SUM(AV5:AV34)</f>
        <v>49320</v>
      </c>
      <c r="AW4" s="1889">
        <f>SUM(AW5:AW34)</f>
        <v>51301</v>
      </c>
      <c r="AX4" s="562"/>
      <c r="AZ4" s="382" t="s">
        <v>3507</v>
      </c>
      <c r="BA4" s="1896">
        <f>SUM(BA5:BA40)</f>
        <v>45433</v>
      </c>
      <c r="BB4" s="1896">
        <f>SUM(BB5:BB40)</f>
        <v>48364</v>
      </c>
      <c r="BC4" s="1896">
        <f>SUM(BC5:BC40)</f>
        <v>49320</v>
      </c>
      <c r="BD4" s="1896">
        <f>SUM(BD5:BD40)</f>
        <v>51301</v>
      </c>
      <c r="BE4" s="439"/>
      <c r="BF4" s="439"/>
      <c r="BG4" s="463" t="s">
        <v>3508</v>
      </c>
      <c r="BH4" s="463">
        <v>83</v>
      </c>
      <c r="BI4" s="463">
        <v>106</v>
      </c>
      <c r="BJ4" s="463">
        <v>118</v>
      </c>
      <c r="BK4" s="463">
        <v>144</v>
      </c>
      <c r="BL4" s="439"/>
      <c r="BN4" s="382" t="s">
        <v>3507</v>
      </c>
      <c r="BO4" s="1038">
        <f>SUM(BO5:BO35)</f>
        <v>83</v>
      </c>
      <c r="BP4" s="463">
        <f>SUM(BP5:BP35)</f>
        <v>106</v>
      </c>
      <c r="BQ4" s="619">
        <f>SUM(BQ5:BQ35)</f>
        <v>118</v>
      </c>
      <c r="BR4" s="619">
        <f>SUM(BR5:BR35)</f>
        <v>144</v>
      </c>
      <c r="BV4" s="418"/>
      <c r="BW4" s="1904" t="s">
        <v>7913</v>
      </c>
      <c r="BX4" s="1904" t="s">
        <v>7914</v>
      </c>
      <c r="BY4" s="1905" t="s">
        <v>7915</v>
      </c>
      <c r="BZ4" s="418"/>
      <c r="CA4" s="418"/>
      <c r="CB4" s="1906" t="s">
        <v>4512</v>
      </c>
      <c r="CC4" s="1906" t="s">
        <v>7913</v>
      </c>
      <c r="CD4" s="1905" t="s">
        <v>7915</v>
      </c>
      <c r="CE4" s="2292"/>
      <c r="CG4" s="1618"/>
      <c r="CH4" s="382" t="s">
        <v>3507</v>
      </c>
      <c r="CI4" s="463">
        <v>20307</v>
      </c>
      <c r="CJ4" s="463">
        <v>19707</v>
      </c>
      <c r="CK4" s="463">
        <v>19279</v>
      </c>
      <c r="CL4" s="463">
        <v>19032</v>
      </c>
      <c r="CM4" s="463">
        <v>18768</v>
      </c>
      <c r="CN4" s="562"/>
      <c r="CP4" s="1066" t="s">
        <v>7916</v>
      </c>
      <c r="CQ4" s="385">
        <v>32</v>
      </c>
      <c r="CR4" s="385">
        <v>24</v>
      </c>
      <c r="CS4" s="385">
        <v>31</v>
      </c>
      <c r="CT4" s="385">
        <v>12</v>
      </c>
      <c r="CU4" s="398">
        <v>21</v>
      </c>
      <c r="CV4" s="571"/>
      <c r="CX4" s="382" t="s">
        <v>7917</v>
      </c>
      <c r="CY4" s="435">
        <v>1249</v>
      </c>
      <c r="CZ4" s="491">
        <v>100</v>
      </c>
      <c r="DA4" s="435">
        <f>SUM(DA5:DA6)</f>
        <v>1075</v>
      </c>
      <c r="DB4" s="491">
        <v>100</v>
      </c>
      <c r="DC4" s="435">
        <v>1087</v>
      </c>
      <c r="DD4" s="491">
        <v>100</v>
      </c>
      <c r="DE4" s="463"/>
      <c r="DF4" s="857"/>
      <c r="DG4" s="439" t="s">
        <v>7918</v>
      </c>
      <c r="DH4" s="382">
        <v>132</v>
      </c>
      <c r="DM4" s="391" t="s">
        <v>2655</v>
      </c>
      <c r="DN4" s="382">
        <v>2</v>
      </c>
      <c r="DO4" s="382">
        <v>5</v>
      </c>
      <c r="DP4" s="1922">
        <v>1</v>
      </c>
      <c r="DQ4" s="1922">
        <v>3</v>
      </c>
      <c r="DR4" s="1922">
        <v>3</v>
      </c>
      <c r="DS4" s="1922"/>
      <c r="DU4" s="439" t="s">
        <v>129</v>
      </c>
      <c r="DV4" s="463">
        <f>SUM(DV5:DV22)</f>
        <v>221</v>
      </c>
      <c r="DW4" s="463">
        <f t="shared" ref="DW4:DX4" si="0">SUM(DW5:DW22)</f>
        <v>0</v>
      </c>
      <c r="DX4" s="463">
        <f t="shared" si="0"/>
        <v>120</v>
      </c>
      <c r="DY4" s="463">
        <f>SUM(DY5:DY22)</f>
        <v>367</v>
      </c>
      <c r="DZ4" s="463">
        <f>SUM(DZ5:DZ22)</f>
        <v>0</v>
      </c>
      <c r="EA4" s="463">
        <f>SUM(EA5:EA22)</f>
        <v>737</v>
      </c>
      <c r="EB4" s="463">
        <f>SUM(DV4:DX4)</f>
        <v>341</v>
      </c>
      <c r="EC4" s="463">
        <f>SUM(DY4:EA4)</f>
        <v>1104</v>
      </c>
      <c r="ED4" s="562"/>
    </row>
    <row r="5" spans="1:134" ht="12.95" customHeight="1">
      <c r="A5" s="398" t="s">
        <v>7919</v>
      </c>
      <c r="B5" s="463">
        <v>125122</v>
      </c>
      <c r="C5" s="463">
        <v>115448</v>
      </c>
      <c r="D5" s="463">
        <v>104841</v>
      </c>
      <c r="E5" s="463">
        <v>99736</v>
      </c>
      <c r="F5" s="463">
        <v>92308</v>
      </c>
      <c r="G5" s="463"/>
      <c r="H5" s="619"/>
      <c r="I5" s="1615">
        <v>2023</v>
      </c>
      <c r="J5" s="1602"/>
      <c r="K5" s="1616">
        <v>302581</v>
      </c>
      <c r="P5" s="387" t="s">
        <v>7920</v>
      </c>
      <c r="Q5" s="1621">
        <v>87.84</v>
      </c>
      <c r="R5" s="1621">
        <v>83.16</v>
      </c>
      <c r="S5" s="1621">
        <v>76.349999999999994</v>
      </c>
      <c r="T5" s="1621">
        <v>61.52</v>
      </c>
      <c r="U5" s="1621">
        <v>65.37</v>
      </c>
      <c r="V5" s="1621">
        <v>71.09</v>
      </c>
      <c r="Y5" s="382" t="s">
        <v>7921</v>
      </c>
      <c r="Z5" s="463">
        <v>470</v>
      </c>
      <c r="AA5" s="463">
        <v>51446</v>
      </c>
      <c r="AB5" s="463">
        <v>1166</v>
      </c>
      <c r="AC5" s="463">
        <v>159783</v>
      </c>
      <c r="AD5" s="463">
        <v>973</v>
      </c>
      <c r="AE5" s="463">
        <v>87176</v>
      </c>
      <c r="AF5" s="463">
        <v>1021</v>
      </c>
      <c r="AG5" s="463">
        <v>92426</v>
      </c>
      <c r="AH5" s="463">
        <v>1027</v>
      </c>
      <c r="AI5" s="463">
        <v>91398</v>
      </c>
      <c r="AJ5" s="463"/>
      <c r="AK5" s="463"/>
      <c r="AL5" s="463" t="s">
        <v>1712</v>
      </c>
      <c r="AM5" s="463">
        <v>24497</v>
      </c>
      <c r="AN5" s="463">
        <v>26009</v>
      </c>
      <c r="AO5" s="463">
        <v>26501</v>
      </c>
      <c r="AP5" s="463">
        <v>27519</v>
      </c>
      <c r="AS5" s="382" t="s">
        <v>2251</v>
      </c>
      <c r="AT5" s="1038">
        <v>662</v>
      </c>
      <c r="AU5" s="1038">
        <v>723</v>
      </c>
      <c r="AV5" s="1038">
        <v>742</v>
      </c>
      <c r="AW5" s="1038">
        <v>779</v>
      </c>
      <c r="AX5" s="562"/>
      <c r="AZ5" s="382" t="s">
        <v>2655</v>
      </c>
      <c r="BA5" s="1896">
        <v>90</v>
      </c>
      <c r="BB5" s="1896">
        <v>100</v>
      </c>
      <c r="BC5" s="1896">
        <v>106</v>
      </c>
      <c r="BD5" s="1896">
        <v>111</v>
      </c>
      <c r="BE5" s="463"/>
      <c r="BF5" s="463"/>
      <c r="BG5" s="463" t="s">
        <v>1712</v>
      </c>
      <c r="BH5" s="463">
        <v>52</v>
      </c>
      <c r="BI5" s="463">
        <v>66</v>
      </c>
      <c r="BJ5" s="382">
        <v>72</v>
      </c>
      <c r="BK5" s="463">
        <v>88</v>
      </c>
      <c r="BL5" s="463"/>
      <c r="BN5" s="382" t="s">
        <v>7922</v>
      </c>
      <c r="BO5" s="1038">
        <v>0</v>
      </c>
      <c r="BP5" s="1038">
        <v>0</v>
      </c>
      <c r="BQ5" s="1038">
        <v>0</v>
      </c>
      <c r="BR5" s="1038">
        <v>0</v>
      </c>
      <c r="BU5" s="1907" t="s">
        <v>7923</v>
      </c>
      <c r="BV5" s="1908" t="s">
        <v>129</v>
      </c>
      <c r="BW5" s="1909" t="s">
        <v>7924</v>
      </c>
      <c r="BX5" s="1909" t="s">
        <v>7924</v>
      </c>
      <c r="BY5" s="1910" t="s">
        <v>7925</v>
      </c>
      <c r="BZ5" s="1908" t="s">
        <v>7926</v>
      </c>
      <c r="CA5" s="1908" t="s">
        <v>7927</v>
      </c>
      <c r="CB5" s="1908" t="s">
        <v>7928</v>
      </c>
      <c r="CC5" s="1908" t="s">
        <v>6914</v>
      </c>
      <c r="CD5" s="1910" t="s">
        <v>7925</v>
      </c>
      <c r="CE5" s="2293"/>
      <c r="CG5" s="1618"/>
      <c r="CH5" s="382" t="s">
        <v>7929</v>
      </c>
      <c r="CI5" s="463">
        <v>14094</v>
      </c>
      <c r="CJ5" s="463">
        <v>13490</v>
      </c>
      <c r="CK5" s="463">
        <v>12948</v>
      </c>
      <c r="CL5" s="463">
        <v>12566</v>
      </c>
      <c r="CM5" s="463">
        <v>12093</v>
      </c>
      <c r="CN5" s="562"/>
      <c r="CP5" s="1066" t="s">
        <v>7930</v>
      </c>
      <c r="CQ5" s="385">
        <v>1217</v>
      </c>
      <c r="CR5" s="385">
        <v>1051</v>
      </c>
      <c r="CS5" s="435">
        <v>1056</v>
      </c>
      <c r="CT5" s="435">
        <v>187</v>
      </c>
      <c r="CU5" s="463">
        <v>769</v>
      </c>
      <c r="CV5" s="562"/>
      <c r="CX5" s="382" t="s">
        <v>7931</v>
      </c>
      <c r="CY5" s="463">
        <v>145</v>
      </c>
      <c r="CZ5" s="491">
        <f>CY5/CY4*100</f>
        <v>11.609287429943956</v>
      </c>
      <c r="DA5" s="463">
        <v>174</v>
      </c>
      <c r="DB5" s="491">
        <f>DA5/DA4*100</f>
        <v>16.186046511627907</v>
      </c>
      <c r="DC5" s="463">
        <v>207</v>
      </c>
      <c r="DD5" s="491">
        <f>DC5/DC4*100</f>
        <v>19.043238270469182</v>
      </c>
      <c r="DE5" s="463"/>
      <c r="DF5" s="857"/>
      <c r="DG5" s="439" t="s">
        <v>7932</v>
      </c>
      <c r="DH5" s="382">
        <v>101</v>
      </c>
      <c r="DM5" s="391" t="s">
        <v>7933</v>
      </c>
      <c r="DN5" s="382">
        <v>2</v>
      </c>
      <c r="DO5" s="382">
        <v>1</v>
      </c>
      <c r="DP5" s="1922">
        <v>0</v>
      </c>
      <c r="DQ5" s="1922">
        <v>1</v>
      </c>
      <c r="DR5" s="1922">
        <v>1</v>
      </c>
      <c r="DS5" s="1922"/>
      <c r="DU5" s="382" t="s">
        <v>7934</v>
      </c>
      <c r="DV5" s="382">
        <v>53</v>
      </c>
      <c r="DW5" s="382">
        <v>0</v>
      </c>
      <c r="DX5" s="382">
        <v>2</v>
      </c>
      <c r="DY5" s="382">
        <v>64</v>
      </c>
      <c r="DZ5" s="382">
        <v>0</v>
      </c>
      <c r="EA5" s="382">
        <v>8</v>
      </c>
      <c r="EB5" s="463">
        <f t="shared" ref="EB5:EB22" si="1">SUM(DV5:DX5)</f>
        <v>55</v>
      </c>
      <c r="EC5" s="463">
        <f t="shared" ref="EC5:EC22" si="2">SUM(DY5:EA5)</f>
        <v>72</v>
      </c>
      <c r="ED5" s="549"/>
    </row>
    <row r="6" spans="1:134" ht="12.95" customHeight="1">
      <c r="A6" s="398" t="s">
        <v>7935</v>
      </c>
      <c r="B6" s="918">
        <v>310.94</v>
      </c>
      <c r="C6" s="918">
        <v>346.09</v>
      </c>
      <c r="D6" s="918">
        <v>334.61</v>
      </c>
      <c r="E6" s="918">
        <v>216.76</v>
      </c>
      <c r="F6" s="918">
        <v>152.93</v>
      </c>
      <c r="H6" s="1622"/>
      <c r="I6" s="1615" t="s">
        <v>5039</v>
      </c>
      <c r="J6" s="1602"/>
      <c r="K6" s="1616">
        <v>1068330</v>
      </c>
      <c r="P6" s="571" t="s">
        <v>7936</v>
      </c>
      <c r="Q6" s="571"/>
      <c r="R6" s="571"/>
      <c r="S6" s="571"/>
      <c r="T6" s="571"/>
      <c r="U6" s="549"/>
      <c r="X6" s="414"/>
      <c r="Y6" s="382" t="s">
        <v>7937</v>
      </c>
      <c r="Z6" s="463">
        <v>223</v>
      </c>
      <c r="AA6" s="463">
        <v>45062</v>
      </c>
      <c r="AB6" s="463">
        <v>252</v>
      </c>
      <c r="AC6" s="463">
        <v>48165</v>
      </c>
      <c r="AD6" s="463">
        <v>250</v>
      </c>
      <c r="AE6" s="463">
        <v>4680</v>
      </c>
      <c r="AF6" s="463">
        <v>249</v>
      </c>
      <c r="AG6" s="463">
        <v>45910</v>
      </c>
      <c r="AH6" s="463">
        <v>255</v>
      </c>
      <c r="AI6" s="463">
        <v>47761</v>
      </c>
      <c r="AJ6" s="463"/>
      <c r="AK6" s="463"/>
      <c r="AL6" s="1068" t="s">
        <v>1711</v>
      </c>
      <c r="AM6" s="435">
        <v>20936</v>
      </c>
      <c r="AN6" s="435">
        <v>22355</v>
      </c>
      <c r="AO6" s="435">
        <v>22819</v>
      </c>
      <c r="AP6" s="435">
        <v>23782</v>
      </c>
      <c r="AS6" s="382" t="s">
        <v>2381</v>
      </c>
      <c r="AT6" s="1889">
        <v>1640</v>
      </c>
      <c r="AU6" s="1889">
        <v>1749</v>
      </c>
      <c r="AV6" s="1889">
        <v>1762</v>
      </c>
      <c r="AW6" s="1889">
        <v>1837</v>
      </c>
      <c r="AX6" s="562"/>
      <c r="AZ6" s="382" t="s">
        <v>2596</v>
      </c>
      <c r="BA6" s="1896">
        <v>33</v>
      </c>
      <c r="BB6" s="1896">
        <v>33</v>
      </c>
      <c r="BC6" s="1896">
        <v>33</v>
      </c>
      <c r="BD6" s="1896">
        <v>33</v>
      </c>
      <c r="BE6" s="435"/>
      <c r="BF6" s="435"/>
      <c r="BG6" s="1068" t="s">
        <v>1711</v>
      </c>
      <c r="BH6" s="435">
        <v>31</v>
      </c>
      <c r="BI6" s="435">
        <v>40</v>
      </c>
      <c r="BJ6" s="382">
        <v>46</v>
      </c>
      <c r="BK6" s="435">
        <v>56</v>
      </c>
      <c r="BL6" s="435"/>
      <c r="BN6" s="382" t="s">
        <v>7934</v>
      </c>
      <c r="BO6" s="1038">
        <v>0</v>
      </c>
      <c r="BP6" s="1038">
        <v>0</v>
      </c>
      <c r="BQ6" s="619">
        <v>0</v>
      </c>
      <c r="BR6" s="619">
        <v>0</v>
      </c>
      <c r="BU6" s="1911" t="s">
        <v>7938</v>
      </c>
      <c r="BV6" s="1912">
        <v>67076966</v>
      </c>
      <c r="BW6" s="1912">
        <v>50147679</v>
      </c>
      <c r="BX6" s="1912">
        <v>7365987</v>
      </c>
      <c r="BY6" s="1912">
        <v>3796684</v>
      </c>
      <c r="BZ6" s="1912">
        <v>1984227</v>
      </c>
      <c r="CA6" s="1912">
        <v>3782389</v>
      </c>
      <c r="CB6" s="1912">
        <v>118527109</v>
      </c>
      <c r="CC6" s="1912">
        <v>95546840</v>
      </c>
      <c r="CD6" s="1912">
        <v>6512823</v>
      </c>
      <c r="CE6" s="1912">
        <v>53508012</v>
      </c>
      <c r="CG6" s="1618"/>
      <c r="CH6" s="382" t="s">
        <v>7939</v>
      </c>
      <c r="CI6" s="463">
        <v>1388</v>
      </c>
      <c r="CJ6" s="463">
        <v>1426</v>
      </c>
      <c r="CK6" s="463">
        <v>1489</v>
      </c>
      <c r="CL6" s="463">
        <v>1548</v>
      </c>
      <c r="CM6" s="463">
        <v>1587</v>
      </c>
      <c r="CN6" s="562"/>
      <c r="CV6" s="549"/>
      <c r="CX6" s="381" t="s">
        <v>7940</v>
      </c>
      <c r="CY6" s="556">
        <v>1104</v>
      </c>
      <c r="CZ6" s="1026">
        <f>CY6/CY4*100</f>
        <v>88.390712570056039</v>
      </c>
      <c r="DA6" s="556">
        <v>901</v>
      </c>
      <c r="DB6" s="1026">
        <f>DA6/DA4*100</f>
        <v>83.813953488372093</v>
      </c>
      <c r="DC6" s="556">
        <v>880</v>
      </c>
      <c r="DD6" s="1026">
        <f>DC6/DC4*100</f>
        <v>80.956761729530825</v>
      </c>
      <c r="DE6" s="463"/>
      <c r="DF6" s="857"/>
      <c r="DG6" s="439" t="s">
        <v>7941</v>
      </c>
      <c r="DH6" s="382">
        <v>92</v>
      </c>
      <c r="DM6" s="391" t="s">
        <v>1704</v>
      </c>
      <c r="DN6" s="382">
        <v>1</v>
      </c>
      <c r="DO6" s="382">
        <v>0</v>
      </c>
      <c r="DP6" s="1922">
        <v>1</v>
      </c>
      <c r="DQ6" s="1922">
        <v>2</v>
      </c>
      <c r="DR6" s="1922">
        <v>0</v>
      </c>
      <c r="DS6" s="1922"/>
      <c r="DU6" s="382" t="s">
        <v>7942</v>
      </c>
      <c r="DV6" s="382">
        <v>2</v>
      </c>
      <c r="DW6" s="382">
        <v>0</v>
      </c>
      <c r="DX6" s="382">
        <v>0</v>
      </c>
      <c r="DY6" s="382">
        <v>7</v>
      </c>
      <c r="DZ6" s="382">
        <v>0</v>
      </c>
      <c r="EA6" s="382">
        <v>0</v>
      </c>
      <c r="EB6" s="463">
        <f t="shared" si="1"/>
        <v>2</v>
      </c>
      <c r="EC6" s="463">
        <f t="shared" si="2"/>
        <v>7</v>
      </c>
      <c r="ED6" s="549"/>
    </row>
    <row r="7" spans="1:134" ht="12.95" customHeight="1">
      <c r="I7" s="1615" t="s">
        <v>2496</v>
      </c>
      <c r="J7" s="1602"/>
      <c r="K7" s="1616">
        <v>1850225</v>
      </c>
      <c r="P7" s="571" t="s">
        <v>7943</v>
      </c>
      <c r="Q7" s="571"/>
      <c r="R7" s="571"/>
      <c r="S7" s="571"/>
      <c r="T7" s="571"/>
      <c r="U7" s="549"/>
      <c r="Y7" s="382" t="s">
        <v>7944</v>
      </c>
      <c r="Z7" s="463">
        <v>402</v>
      </c>
      <c r="AA7" s="463">
        <v>77604</v>
      </c>
      <c r="AB7" s="463">
        <v>333</v>
      </c>
      <c r="AC7" s="463">
        <v>81699</v>
      </c>
      <c r="AD7" s="463">
        <v>437</v>
      </c>
      <c r="AE7" s="463">
        <v>83954</v>
      </c>
      <c r="AF7" s="463">
        <v>486</v>
      </c>
      <c r="AG7" s="463">
        <v>92708</v>
      </c>
      <c r="AH7" s="463">
        <v>420</v>
      </c>
      <c r="AI7" s="463">
        <v>81128</v>
      </c>
      <c r="AJ7" s="463"/>
      <c r="AK7" s="463"/>
      <c r="AL7" s="463"/>
      <c r="AM7" s="463"/>
      <c r="AN7" s="463"/>
      <c r="AO7" s="463"/>
      <c r="AP7" s="463"/>
      <c r="AS7" s="382" t="s">
        <v>7945</v>
      </c>
      <c r="AT7" s="1889">
        <v>77</v>
      </c>
      <c r="AU7" s="1889">
        <v>66</v>
      </c>
      <c r="AV7" s="1889">
        <v>76</v>
      </c>
      <c r="AW7" s="1889">
        <v>77</v>
      </c>
      <c r="AX7" s="562"/>
      <c r="AZ7" s="382" t="s">
        <v>6385</v>
      </c>
      <c r="BA7" s="1896">
        <v>25</v>
      </c>
      <c r="BB7" s="1896">
        <v>29</v>
      </c>
      <c r="BC7" s="1896">
        <v>29</v>
      </c>
      <c r="BD7" s="1896">
        <v>31</v>
      </c>
      <c r="BE7" s="463"/>
      <c r="BF7" s="463"/>
      <c r="BK7" s="463"/>
      <c r="BL7" s="463"/>
      <c r="BN7" s="382" t="s">
        <v>2251</v>
      </c>
      <c r="BO7" s="1038">
        <v>0</v>
      </c>
      <c r="BP7" s="1038">
        <v>0</v>
      </c>
      <c r="BQ7" s="619">
        <v>0</v>
      </c>
      <c r="BR7" s="619">
        <v>0</v>
      </c>
      <c r="BU7" s="1913"/>
      <c r="BV7" s="1912"/>
      <c r="BW7" s="1912"/>
      <c r="BX7" s="1912"/>
      <c r="BY7" s="1912"/>
      <c r="BZ7" s="1912"/>
      <c r="CA7" s="1912"/>
      <c r="CB7" s="1912"/>
      <c r="CC7" s="1912"/>
      <c r="CD7" s="1912"/>
      <c r="CE7" s="1912"/>
      <c r="CG7" s="1618"/>
      <c r="CH7" s="382" t="s">
        <v>7946</v>
      </c>
      <c r="CI7" s="463">
        <v>1642</v>
      </c>
      <c r="CJ7" s="463">
        <v>1591</v>
      </c>
      <c r="CK7" s="463">
        <v>1573</v>
      </c>
      <c r="CL7" s="463">
        <v>1565</v>
      </c>
      <c r="CM7" s="463">
        <v>1591</v>
      </c>
      <c r="CN7" s="562"/>
      <c r="CP7" s="382" t="s">
        <v>7947</v>
      </c>
      <c r="CQ7" s="382">
        <v>145</v>
      </c>
      <c r="CR7" s="382">
        <f>SUM(CR8:CR9)</f>
        <v>174</v>
      </c>
      <c r="CS7" s="382">
        <v>207</v>
      </c>
      <c r="CT7" s="382">
        <v>199</v>
      </c>
      <c r="CU7" s="382">
        <v>108</v>
      </c>
      <c r="CV7" s="549"/>
      <c r="CX7" s="549" t="s">
        <v>7948</v>
      </c>
      <c r="CY7" s="549"/>
      <c r="DG7" s="439" t="s">
        <v>7949</v>
      </c>
      <c r="DH7" s="382">
        <v>81</v>
      </c>
      <c r="DM7" s="382" t="s">
        <v>1705</v>
      </c>
      <c r="DN7" s="382">
        <v>380</v>
      </c>
      <c r="DO7" s="382">
        <f>349+36</f>
        <v>385</v>
      </c>
      <c r="DP7" s="1922">
        <f>307+17</f>
        <v>324</v>
      </c>
      <c r="DQ7" s="1922">
        <v>433</v>
      </c>
      <c r="DR7" s="1922">
        <v>358</v>
      </c>
      <c r="DS7" s="1922"/>
      <c r="DU7" s="382" t="s">
        <v>7950</v>
      </c>
      <c r="DV7" s="382">
        <v>2</v>
      </c>
      <c r="DW7" s="382">
        <v>0</v>
      </c>
      <c r="DX7" s="382">
        <v>3</v>
      </c>
      <c r="DY7" s="382">
        <v>2</v>
      </c>
      <c r="DZ7" s="382">
        <v>0</v>
      </c>
      <c r="EA7" s="382">
        <v>30</v>
      </c>
      <c r="EB7" s="463">
        <f t="shared" si="1"/>
        <v>5</v>
      </c>
      <c r="EC7" s="463">
        <f t="shared" si="2"/>
        <v>32</v>
      </c>
      <c r="ED7" s="549"/>
    </row>
    <row r="8" spans="1:134" ht="12.95" customHeight="1">
      <c r="A8" s="382" t="s">
        <v>7951</v>
      </c>
      <c r="I8" s="1615" t="s">
        <v>7952</v>
      </c>
      <c r="J8" s="1602"/>
      <c r="K8" s="1625">
        <v>430488</v>
      </c>
      <c r="P8" s="571" t="s">
        <v>7953</v>
      </c>
      <c r="Q8" s="571"/>
      <c r="R8" s="571"/>
      <c r="S8" s="571"/>
      <c r="T8" s="571"/>
      <c r="U8" s="549"/>
      <c r="Y8" s="382" t="s">
        <v>7954</v>
      </c>
      <c r="Z8" s="463">
        <v>0</v>
      </c>
      <c r="AA8" s="463">
        <v>0</v>
      </c>
      <c r="AB8" s="463">
        <v>0</v>
      </c>
      <c r="AC8" s="463">
        <v>0</v>
      </c>
      <c r="AD8" s="463">
        <v>0</v>
      </c>
      <c r="AE8" s="463">
        <v>0</v>
      </c>
      <c r="AF8" s="463">
        <v>0</v>
      </c>
      <c r="AG8" s="463">
        <v>0</v>
      </c>
      <c r="AH8" s="463">
        <v>1</v>
      </c>
      <c r="AI8" s="463">
        <v>138</v>
      </c>
      <c r="AJ8" s="463"/>
      <c r="AK8" s="463"/>
      <c r="AL8" s="463" t="s">
        <v>3508</v>
      </c>
      <c r="AM8" s="463">
        <f>SUM(AM9:AM24)</f>
        <v>45433</v>
      </c>
      <c r="AN8" s="463">
        <f>SUM(AN9:AN24)</f>
        <v>48364</v>
      </c>
      <c r="AO8" s="463">
        <f>SUM(AO9:AO24)</f>
        <v>49320</v>
      </c>
      <c r="AP8" s="463">
        <f>SUM(AP9:AP24)</f>
        <v>51301</v>
      </c>
      <c r="AS8" s="382" t="s">
        <v>4393</v>
      </c>
      <c r="AT8" s="1889">
        <v>230</v>
      </c>
      <c r="AU8" s="1889">
        <v>247</v>
      </c>
      <c r="AV8" s="1889">
        <v>249</v>
      </c>
      <c r="AW8" s="1889">
        <v>279</v>
      </c>
      <c r="AX8" s="562"/>
      <c r="AZ8" s="382" t="s">
        <v>1694</v>
      </c>
      <c r="BA8" s="1896">
        <v>24</v>
      </c>
      <c r="BB8" s="1896">
        <v>25</v>
      </c>
      <c r="BC8" s="1896">
        <v>21</v>
      </c>
      <c r="BD8" s="1896">
        <v>24</v>
      </c>
      <c r="BE8" s="463"/>
      <c r="BF8" s="463"/>
      <c r="BG8" s="463" t="s">
        <v>3508</v>
      </c>
      <c r="BH8" s="463">
        <f>SUM(BH9:BH24)</f>
        <v>83</v>
      </c>
      <c r="BI8" s="463">
        <f>SUM(BI9:BI24)</f>
        <v>106</v>
      </c>
      <c r="BJ8" s="463">
        <f>SUM(BJ9:BJ24)</f>
        <v>118</v>
      </c>
      <c r="BK8" s="463">
        <f>SUM(BK9:BK24)</f>
        <v>144</v>
      </c>
      <c r="BL8" s="463"/>
      <c r="BN8" s="382" t="s">
        <v>7955</v>
      </c>
      <c r="BO8" s="1038">
        <v>2</v>
      </c>
      <c r="BP8" s="1038">
        <v>2</v>
      </c>
      <c r="BQ8" s="1038">
        <v>2</v>
      </c>
      <c r="BR8" s="1038">
        <v>2</v>
      </c>
      <c r="BU8" s="1914" t="s">
        <v>7956</v>
      </c>
      <c r="BV8" s="1912">
        <v>20307</v>
      </c>
      <c r="BW8" s="1912">
        <v>14094</v>
      </c>
      <c r="BX8" s="1912">
        <v>1388</v>
      </c>
      <c r="BY8" s="1912">
        <v>1642</v>
      </c>
      <c r="BZ8" s="1912">
        <v>1112</v>
      </c>
      <c r="CA8" s="1912">
        <v>2071</v>
      </c>
      <c r="CB8" s="1912">
        <v>24411</v>
      </c>
      <c r="CC8" s="1912">
        <v>18345</v>
      </c>
      <c r="CD8" s="1912">
        <v>1903</v>
      </c>
      <c r="CE8" s="1912">
        <v>15069</v>
      </c>
      <c r="CG8" s="1618"/>
      <c r="CH8" s="382" t="s">
        <v>7957</v>
      </c>
      <c r="CI8" s="463">
        <v>1112</v>
      </c>
      <c r="CJ8" s="463">
        <v>1109</v>
      </c>
      <c r="CK8" s="463">
        <v>1097</v>
      </c>
      <c r="CL8" s="463">
        <v>1126</v>
      </c>
      <c r="CM8" s="463">
        <v>1147</v>
      </c>
      <c r="CN8" s="562"/>
      <c r="CP8" s="1066" t="s">
        <v>7916</v>
      </c>
      <c r="CQ8" s="398">
        <v>8</v>
      </c>
      <c r="CR8" s="398">
        <v>7</v>
      </c>
      <c r="CS8" s="398">
        <v>10</v>
      </c>
      <c r="CT8" s="398">
        <v>12</v>
      </c>
      <c r="CU8" s="398">
        <v>6</v>
      </c>
      <c r="CV8" s="571"/>
      <c r="CX8" s="549" t="s">
        <v>7958</v>
      </c>
      <c r="CY8" s="549"/>
      <c r="DG8" s="439" t="s">
        <v>7959</v>
      </c>
      <c r="DH8" s="382">
        <v>49</v>
      </c>
      <c r="DM8" s="382" t="s">
        <v>3793</v>
      </c>
      <c r="DN8" s="382">
        <v>3</v>
      </c>
      <c r="DO8" s="382">
        <v>9</v>
      </c>
      <c r="DP8" s="1922">
        <v>6</v>
      </c>
      <c r="DQ8" s="1922">
        <v>13</v>
      </c>
      <c r="DR8" s="1922">
        <v>4</v>
      </c>
      <c r="DS8" s="1922"/>
      <c r="DU8" s="382" t="s">
        <v>7960</v>
      </c>
      <c r="DV8" s="382">
        <v>3</v>
      </c>
      <c r="DW8" s="382">
        <v>0</v>
      </c>
      <c r="DX8" s="382">
        <v>1</v>
      </c>
      <c r="DY8" s="382">
        <v>3</v>
      </c>
      <c r="DZ8" s="382">
        <v>0</v>
      </c>
      <c r="EA8" s="382">
        <v>6</v>
      </c>
      <c r="EB8" s="463">
        <f t="shared" si="1"/>
        <v>4</v>
      </c>
      <c r="EC8" s="463">
        <f t="shared" si="2"/>
        <v>9</v>
      </c>
      <c r="ED8" s="549"/>
    </row>
    <row r="9" spans="1:134" ht="12.95" customHeight="1">
      <c r="A9" s="382" t="s">
        <v>7910</v>
      </c>
      <c r="B9" s="463">
        <v>15315</v>
      </c>
      <c r="C9" s="463">
        <v>13182</v>
      </c>
      <c r="D9" s="463">
        <v>16266</v>
      </c>
      <c r="E9" s="463">
        <v>15662</v>
      </c>
      <c r="F9" s="463">
        <v>17265</v>
      </c>
      <c r="G9" s="463"/>
      <c r="H9" s="393"/>
      <c r="I9" s="1615">
        <v>2019</v>
      </c>
      <c r="J9" s="1602"/>
      <c r="K9" s="1625">
        <v>395923</v>
      </c>
      <c r="P9" s="571" t="s">
        <v>7961</v>
      </c>
      <c r="Q9" s="571"/>
      <c r="R9" s="571"/>
      <c r="S9" s="571"/>
      <c r="T9" s="571"/>
      <c r="U9" s="549"/>
      <c r="Y9" s="381" t="s">
        <v>7962</v>
      </c>
      <c r="Z9" s="497">
        <v>405</v>
      </c>
      <c r="AA9" s="497">
        <v>20629</v>
      </c>
      <c r="AB9" s="497">
        <v>473</v>
      </c>
      <c r="AC9" s="497">
        <v>24402</v>
      </c>
      <c r="AD9" s="497">
        <v>519</v>
      </c>
      <c r="AE9" s="497">
        <v>27959</v>
      </c>
      <c r="AF9" s="497">
        <v>565</v>
      </c>
      <c r="AG9" s="497">
        <v>31089</v>
      </c>
      <c r="AH9" s="497">
        <v>561</v>
      </c>
      <c r="AI9" s="497">
        <v>29359</v>
      </c>
      <c r="AJ9" s="463"/>
      <c r="AK9" s="463"/>
      <c r="AL9" s="463" t="s">
        <v>7963</v>
      </c>
      <c r="AM9" s="463">
        <v>391</v>
      </c>
      <c r="AN9" s="463">
        <v>865</v>
      </c>
      <c r="AO9" s="463">
        <v>1004</v>
      </c>
      <c r="AP9" s="463">
        <v>1335</v>
      </c>
      <c r="AS9" s="382" t="s">
        <v>2253</v>
      </c>
      <c r="AT9" s="1038">
        <v>2231</v>
      </c>
      <c r="AU9" s="1038">
        <v>2516</v>
      </c>
      <c r="AV9" s="1038">
        <v>2565</v>
      </c>
      <c r="AW9" s="1038">
        <v>2730</v>
      </c>
      <c r="AX9" s="562"/>
      <c r="AZ9" s="382" t="s">
        <v>6302</v>
      </c>
      <c r="BA9" s="1896">
        <v>2</v>
      </c>
      <c r="BB9" s="1896">
        <v>2</v>
      </c>
      <c r="BC9" s="1896">
        <v>2</v>
      </c>
      <c r="BD9" s="1896">
        <v>3</v>
      </c>
      <c r="BE9" s="463"/>
      <c r="BF9" s="463"/>
      <c r="BG9" s="463" t="s">
        <v>7963</v>
      </c>
      <c r="BH9" s="463">
        <v>0</v>
      </c>
      <c r="BI9" s="382">
        <v>0</v>
      </c>
      <c r="BJ9" s="463">
        <v>0</v>
      </c>
      <c r="BK9" s="463">
        <v>0</v>
      </c>
      <c r="BL9" s="463"/>
      <c r="BN9" s="382" t="s">
        <v>7945</v>
      </c>
      <c r="BO9" s="1038">
        <v>0</v>
      </c>
      <c r="BP9" s="1038">
        <v>0</v>
      </c>
      <c r="BQ9" s="619">
        <v>0</v>
      </c>
      <c r="BR9" s="619">
        <v>0</v>
      </c>
      <c r="BU9" s="1915"/>
      <c r="BV9" s="1912"/>
      <c r="BW9" s="1912"/>
      <c r="BX9" s="1912"/>
      <c r="BY9" s="1912"/>
      <c r="BZ9" s="1912"/>
      <c r="CA9" s="1912"/>
      <c r="CB9" s="1912"/>
      <c r="CC9" s="1912"/>
      <c r="CE9" s="1912"/>
      <c r="CG9" s="1618"/>
      <c r="CH9" s="382" t="s">
        <v>7964</v>
      </c>
      <c r="CI9" s="463">
        <v>2071</v>
      </c>
      <c r="CJ9" s="463">
        <v>22091</v>
      </c>
      <c r="CK9" s="463">
        <v>2172</v>
      </c>
      <c r="CL9" s="463">
        <v>2227</v>
      </c>
      <c r="CM9" s="463">
        <v>2350</v>
      </c>
      <c r="CN9" s="562"/>
      <c r="CP9" s="1066" t="s">
        <v>7930</v>
      </c>
      <c r="CQ9" s="398">
        <v>137</v>
      </c>
      <c r="CR9" s="398">
        <v>167</v>
      </c>
      <c r="CS9" s="398">
        <v>197</v>
      </c>
      <c r="CT9" s="398">
        <v>187</v>
      </c>
      <c r="CU9" s="398">
        <v>102</v>
      </c>
      <c r="CV9" s="571"/>
      <c r="CY9" s="799"/>
      <c r="CZ9" s="799"/>
      <c r="DA9" s="799"/>
      <c r="DB9" s="799"/>
      <c r="DC9" s="799"/>
      <c r="DD9" s="799"/>
      <c r="DG9" s="1540" t="s">
        <v>7965</v>
      </c>
      <c r="DH9" s="382">
        <v>100</v>
      </c>
      <c r="DM9" s="382" t="s">
        <v>484</v>
      </c>
      <c r="DN9" s="382">
        <f>SUM(DN10:DN13)</f>
        <v>544</v>
      </c>
      <c r="DO9" s="382">
        <f>SUM(DO10:DO13)</f>
        <v>490</v>
      </c>
      <c r="DP9" s="1922">
        <f>SUM(DP10:DP13)</f>
        <v>432</v>
      </c>
      <c r="DQ9" s="1922">
        <f>SUM(DQ10:DQ13)</f>
        <v>228</v>
      </c>
      <c r="DR9" s="1922">
        <v>312</v>
      </c>
      <c r="DS9" s="1922"/>
      <c r="DU9" s="382" t="s">
        <v>2253</v>
      </c>
      <c r="DV9" s="382">
        <v>2</v>
      </c>
      <c r="DW9" s="382">
        <v>0</v>
      </c>
      <c r="DX9" s="382">
        <v>0</v>
      </c>
      <c r="DY9" s="382">
        <v>3</v>
      </c>
      <c r="DZ9" s="382">
        <v>0</v>
      </c>
      <c r="EA9" s="382">
        <v>0</v>
      </c>
      <c r="EB9" s="463">
        <f t="shared" si="1"/>
        <v>2</v>
      </c>
      <c r="EC9" s="463">
        <f t="shared" si="2"/>
        <v>3</v>
      </c>
      <c r="ED9" s="549"/>
    </row>
    <row r="10" spans="1:134" ht="12.95" customHeight="1">
      <c r="A10" s="381" t="s">
        <v>7966</v>
      </c>
      <c r="B10" s="381">
        <v>810.98</v>
      </c>
      <c r="C10" s="381">
        <v>840.17</v>
      </c>
      <c r="D10" s="381">
        <v>861.89</v>
      </c>
      <c r="E10" s="381">
        <v>609.52</v>
      </c>
      <c r="F10" s="381">
        <v>445.55</v>
      </c>
      <c r="H10" s="1622"/>
      <c r="I10" s="1615">
        <v>2018</v>
      </c>
      <c r="J10" s="1602"/>
      <c r="K10" s="1625">
        <v>336677</v>
      </c>
      <c r="P10" s="571" t="s">
        <v>7967</v>
      </c>
      <c r="Q10" s="549"/>
      <c r="R10" s="549"/>
      <c r="S10" s="549"/>
      <c r="T10" s="549"/>
      <c r="U10" s="549"/>
      <c r="Y10" s="549" t="s">
        <v>7968</v>
      </c>
      <c r="Z10" s="562"/>
      <c r="AA10" s="562"/>
      <c r="AB10" s="475"/>
      <c r="AC10" s="475"/>
      <c r="AD10" s="475"/>
      <c r="AE10" s="475"/>
      <c r="AF10" s="475"/>
      <c r="AG10" s="475"/>
      <c r="AH10" s="475"/>
      <c r="AI10" s="475"/>
      <c r="AJ10" s="475"/>
      <c r="AK10" s="475"/>
      <c r="AL10" s="463" t="s">
        <v>7969</v>
      </c>
      <c r="AM10" s="463">
        <v>221</v>
      </c>
      <c r="AN10" s="463">
        <v>254</v>
      </c>
      <c r="AO10" s="463">
        <v>272</v>
      </c>
      <c r="AP10" s="463">
        <v>290</v>
      </c>
      <c r="AS10" s="382" t="s">
        <v>2175</v>
      </c>
      <c r="AT10" s="1889">
        <v>1063</v>
      </c>
      <c r="AU10" s="1889">
        <v>1108</v>
      </c>
      <c r="AV10" s="1889">
        <v>1123</v>
      </c>
      <c r="AW10" s="1889">
        <v>1139</v>
      </c>
      <c r="AX10" s="562"/>
      <c r="AZ10" s="382" t="s">
        <v>7970</v>
      </c>
      <c r="BA10" s="1896">
        <v>3</v>
      </c>
      <c r="BB10" s="1896">
        <v>3</v>
      </c>
      <c r="BC10" s="1896">
        <v>3</v>
      </c>
      <c r="BD10" s="1896">
        <v>3</v>
      </c>
      <c r="BE10" s="463"/>
      <c r="BF10" s="463"/>
      <c r="BG10" s="463" t="s">
        <v>7969</v>
      </c>
      <c r="BH10" s="463">
        <v>0</v>
      </c>
      <c r="BI10" s="382">
        <v>0</v>
      </c>
      <c r="BJ10" s="435">
        <v>0</v>
      </c>
      <c r="BK10" s="463">
        <v>0</v>
      </c>
      <c r="BL10" s="463"/>
      <c r="BN10" s="382" t="s">
        <v>7971</v>
      </c>
      <c r="BO10" s="1038">
        <v>0</v>
      </c>
      <c r="BP10" s="1038">
        <v>0</v>
      </c>
      <c r="BQ10" s="619">
        <v>0</v>
      </c>
      <c r="BR10" s="619">
        <v>0</v>
      </c>
      <c r="BU10" s="1913" t="s">
        <v>1967</v>
      </c>
      <c r="BV10" s="1912">
        <f>SUM(BV11:BV22)</f>
        <v>20305</v>
      </c>
      <c r="BW10" s="1912">
        <f t="shared" ref="BW10:CE10" si="3">SUM(BW11:BW22)</f>
        <v>14095</v>
      </c>
      <c r="BX10" s="1912">
        <f t="shared" si="3"/>
        <v>1385</v>
      </c>
      <c r="BY10" s="1912">
        <f t="shared" si="3"/>
        <v>1640</v>
      </c>
      <c r="BZ10" s="1912">
        <f t="shared" si="3"/>
        <v>1115</v>
      </c>
      <c r="CA10" s="1912">
        <f t="shared" si="3"/>
        <v>2070</v>
      </c>
      <c r="CB10" s="1912">
        <f t="shared" si="3"/>
        <v>24410</v>
      </c>
      <c r="CC10" s="1912">
        <f t="shared" si="3"/>
        <v>18343</v>
      </c>
      <c r="CD10" s="1912">
        <f t="shared" si="3"/>
        <v>1903</v>
      </c>
      <c r="CE10" s="1912">
        <f t="shared" si="3"/>
        <v>15065</v>
      </c>
      <c r="CG10" s="1618"/>
      <c r="CN10" s="549"/>
      <c r="CV10" s="549"/>
      <c r="CY10" s="799"/>
      <c r="CZ10" s="799"/>
      <c r="DA10" s="799"/>
      <c r="DB10" s="799"/>
      <c r="DC10" s="799"/>
      <c r="DD10" s="799"/>
      <c r="DG10" s="1540" t="s">
        <v>7972</v>
      </c>
      <c r="DH10" s="382">
        <v>74</v>
      </c>
      <c r="DM10" s="612" t="s">
        <v>2653</v>
      </c>
      <c r="DN10" s="382">
        <v>322</v>
      </c>
      <c r="DO10" s="382">
        <v>325</v>
      </c>
      <c r="DP10" s="1922">
        <v>322</v>
      </c>
      <c r="DQ10" s="1922">
        <v>198</v>
      </c>
      <c r="DR10" s="1922">
        <v>255</v>
      </c>
      <c r="DS10" s="1922"/>
      <c r="DU10" s="382" t="s">
        <v>2175</v>
      </c>
      <c r="DV10" s="382">
        <v>8</v>
      </c>
      <c r="DW10" s="382">
        <v>0</v>
      </c>
      <c r="DX10" s="382">
        <v>5</v>
      </c>
      <c r="DY10" s="382">
        <v>17</v>
      </c>
      <c r="DZ10" s="382">
        <v>0</v>
      </c>
      <c r="EA10" s="382">
        <v>25</v>
      </c>
      <c r="EB10" s="463">
        <f t="shared" si="1"/>
        <v>13</v>
      </c>
      <c r="EC10" s="463">
        <f t="shared" si="2"/>
        <v>42</v>
      </c>
      <c r="ED10" s="549"/>
    </row>
    <row r="11" spans="1:134" ht="12.95" customHeight="1">
      <c r="A11" s="549" t="s">
        <v>7973</v>
      </c>
      <c r="B11" s="549"/>
      <c r="C11" s="549"/>
      <c r="D11" s="549"/>
      <c r="E11" s="549"/>
      <c r="F11" s="549"/>
      <c r="I11" s="1615">
        <v>2017</v>
      </c>
      <c r="J11" s="1602"/>
      <c r="K11" s="1625">
        <v>937107</v>
      </c>
      <c r="N11" s="393"/>
      <c r="P11" s="398"/>
      <c r="AL11" s="463" t="s">
        <v>7974</v>
      </c>
      <c r="AM11" s="463">
        <v>325</v>
      </c>
      <c r="AN11" s="463">
        <v>372</v>
      </c>
      <c r="AO11" s="463">
        <v>386</v>
      </c>
      <c r="AP11" s="463">
        <v>406</v>
      </c>
      <c r="AS11" s="382" t="s">
        <v>2177</v>
      </c>
      <c r="AT11" s="1889">
        <v>15020</v>
      </c>
      <c r="AU11" s="1889">
        <v>15937</v>
      </c>
      <c r="AV11" s="1889">
        <v>16153</v>
      </c>
      <c r="AW11" s="1889">
        <v>16942</v>
      </c>
      <c r="AX11" s="562"/>
      <c r="AZ11" s="382" t="s">
        <v>7975</v>
      </c>
      <c r="BA11" s="1896">
        <v>4</v>
      </c>
      <c r="BB11" s="1896">
        <v>4</v>
      </c>
      <c r="BC11" s="1896">
        <v>3</v>
      </c>
      <c r="BD11" s="1896">
        <v>3</v>
      </c>
      <c r="BE11" s="463"/>
      <c r="BF11" s="463"/>
      <c r="BG11" s="463" t="s">
        <v>7974</v>
      </c>
      <c r="BH11" s="463">
        <v>3</v>
      </c>
      <c r="BI11" s="382">
        <v>0</v>
      </c>
      <c r="BJ11" s="463">
        <v>0</v>
      </c>
      <c r="BK11" s="463">
        <v>0</v>
      </c>
      <c r="BL11" s="463"/>
      <c r="BN11" s="382" t="s">
        <v>4393</v>
      </c>
      <c r="BO11" s="1038">
        <v>0</v>
      </c>
      <c r="BP11" s="1038">
        <v>0</v>
      </c>
      <c r="BQ11" s="619">
        <v>0</v>
      </c>
      <c r="BR11" s="619">
        <v>3</v>
      </c>
      <c r="BU11" s="1916">
        <v>96910</v>
      </c>
      <c r="BV11" s="1912">
        <v>605</v>
      </c>
      <c r="BW11" s="1912">
        <v>410</v>
      </c>
      <c r="BX11" s="1912">
        <v>45</v>
      </c>
      <c r="BY11" s="1912">
        <v>45</v>
      </c>
      <c r="BZ11" s="1912">
        <v>30</v>
      </c>
      <c r="CA11" s="1912">
        <v>75</v>
      </c>
      <c r="CB11" s="1912">
        <v>811</v>
      </c>
      <c r="CC11" s="1912">
        <v>603</v>
      </c>
      <c r="CD11" s="1912">
        <v>57</v>
      </c>
      <c r="CE11" s="1912">
        <v>450</v>
      </c>
      <c r="CG11" s="1618"/>
      <c r="CH11" s="451" t="s">
        <v>7976</v>
      </c>
      <c r="CN11" s="549"/>
      <c r="CP11" s="382" t="s">
        <v>7977</v>
      </c>
      <c r="CQ11" s="435">
        <v>1104</v>
      </c>
      <c r="CR11" s="435">
        <f>SUM(CR12:CR13)</f>
        <v>901</v>
      </c>
      <c r="CS11" s="435">
        <v>800</v>
      </c>
      <c r="CT11" s="435" t="s">
        <v>1640</v>
      </c>
      <c r="CU11" s="463">
        <v>682</v>
      </c>
      <c r="CV11" s="562"/>
      <c r="DG11" s="439" t="s">
        <v>7978</v>
      </c>
      <c r="DH11" s="382">
        <v>82</v>
      </c>
      <c r="DM11" s="612" t="s">
        <v>2654</v>
      </c>
      <c r="DN11" s="382">
        <v>0</v>
      </c>
      <c r="DO11" s="382">
        <v>10</v>
      </c>
      <c r="DP11" s="1922">
        <v>11</v>
      </c>
      <c r="DQ11" s="1922">
        <v>5</v>
      </c>
      <c r="DR11" s="1922">
        <v>2</v>
      </c>
      <c r="DS11" s="1922"/>
      <c r="DU11" s="382" t="s">
        <v>2177</v>
      </c>
      <c r="DV11" s="382">
        <v>47</v>
      </c>
      <c r="DW11" s="382">
        <v>0</v>
      </c>
      <c r="DX11" s="382">
        <v>21</v>
      </c>
      <c r="DY11" s="382">
        <v>87</v>
      </c>
      <c r="DZ11" s="382">
        <v>0</v>
      </c>
      <c r="EA11" s="382">
        <v>131</v>
      </c>
      <c r="EB11" s="463">
        <f t="shared" si="1"/>
        <v>68</v>
      </c>
      <c r="EC11" s="463">
        <f t="shared" si="2"/>
        <v>218</v>
      </c>
      <c r="ED11" s="549"/>
    </row>
    <row r="12" spans="1:134" ht="12.95" customHeight="1">
      <c r="A12" s="549" t="s">
        <v>7979</v>
      </c>
      <c r="B12" s="549"/>
      <c r="C12" s="549"/>
      <c r="D12" s="549"/>
      <c r="E12" s="549"/>
      <c r="F12" s="549"/>
      <c r="I12" s="1615">
        <v>2016</v>
      </c>
      <c r="J12" s="1602"/>
      <c r="K12" s="1625">
        <v>490164</v>
      </c>
      <c r="N12" s="619"/>
      <c r="P12" s="398"/>
      <c r="AL12" s="463" t="s">
        <v>7980</v>
      </c>
      <c r="AM12" s="463">
        <v>1107</v>
      </c>
      <c r="AN12" s="463">
        <v>1203</v>
      </c>
      <c r="AO12" s="463">
        <v>1240</v>
      </c>
      <c r="AP12" s="463">
        <v>1291</v>
      </c>
      <c r="AS12" s="382" t="s">
        <v>6989</v>
      </c>
      <c r="AT12" s="1889">
        <v>270</v>
      </c>
      <c r="AU12" s="1889">
        <v>271</v>
      </c>
      <c r="AV12" s="1889">
        <v>276</v>
      </c>
      <c r="AW12" s="1889">
        <v>275</v>
      </c>
      <c r="AX12" s="562"/>
      <c r="AZ12" s="382" t="s">
        <v>3793</v>
      </c>
      <c r="BA12" s="1896">
        <v>475</v>
      </c>
      <c r="BB12" s="1896">
        <v>497</v>
      </c>
      <c r="BC12" s="1896">
        <v>510</v>
      </c>
      <c r="BD12" s="1896">
        <v>533</v>
      </c>
      <c r="BE12" s="463"/>
      <c r="BF12" s="463"/>
      <c r="BG12" s="463" t="s">
        <v>7980</v>
      </c>
      <c r="BH12" s="463">
        <v>0</v>
      </c>
      <c r="BI12" s="382">
        <v>0</v>
      </c>
      <c r="BJ12" s="463">
        <v>0</v>
      </c>
      <c r="BK12" s="463">
        <v>1</v>
      </c>
      <c r="BL12" s="463"/>
      <c r="BN12" s="382" t="s">
        <v>2253</v>
      </c>
      <c r="BO12" s="1038">
        <v>34</v>
      </c>
      <c r="BP12" s="1038">
        <v>38</v>
      </c>
      <c r="BQ12" s="619">
        <v>39</v>
      </c>
      <c r="BR12" s="619">
        <v>43</v>
      </c>
      <c r="BU12" s="1916">
        <v>96912</v>
      </c>
      <c r="BV12" s="1912">
        <v>305</v>
      </c>
      <c r="BW12" s="1912">
        <v>205</v>
      </c>
      <c r="BX12" s="1912">
        <v>15</v>
      </c>
      <c r="BY12" s="1912">
        <v>25</v>
      </c>
      <c r="BZ12" s="1912">
        <v>15</v>
      </c>
      <c r="CA12" s="1912">
        <v>45</v>
      </c>
      <c r="CB12" s="1912">
        <v>321</v>
      </c>
      <c r="CC12" s="1912">
        <v>238</v>
      </c>
      <c r="CD12" s="1912">
        <v>25</v>
      </c>
      <c r="CE12" s="1912">
        <v>210</v>
      </c>
      <c r="CG12" s="1618"/>
      <c r="CH12" s="382" t="s">
        <v>7981</v>
      </c>
      <c r="CI12" s="1920">
        <v>24411</v>
      </c>
      <c r="CJ12" s="1920">
        <v>22592</v>
      </c>
      <c r="CK12" s="1920">
        <v>20019</v>
      </c>
      <c r="CL12" s="1920">
        <v>18362</v>
      </c>
      <c r="CM12" s="1920">
        <v>17471</v>
      </c>
      <c r="CN12" s="1628"/>
      <c r="CP12" s="1066" t="s">
        <v>7916</v>
      </c>
      <c r="CQ12" s="385">
        <v>24</v>
      </c>
      <c r="CR12" s="385">
        <v>17</v>
      </c>
      <c r="CS12" s="385">
        <v>21</v>
      </c>
      <c r="CT12" s="385" t="s">
        <v>1640</v>
      </c>
      <c r="CU12" s="398">
        <v>15</v>
      </c>
      <c r="CV12" s="571"/>
      <c r="CX12" s="382" t="s">
        <v>7982</v>
      </c>
      <c r="DG12" s="1540" t="s">
        <v>7983</v>
      </c>
      <c r="DH12" s="382">
        <v>83</v>
      </c>
      <c r="DM12" s="612" t="s">
        <v>2651</v>
      </c>
      <c r="DN12" s="382">
        <v>89</v>
      </c>
      <c r="DO12" s="382">
        <v>97</v>
      </c>
      <c r="DP12" s="1922">
        <v>43</v>
      </c>
      <c r="DQ12" s="1922">
        <v>9</v>
      </c>
      <c r="DR12" s="1922">
        <v>30</v>
      </c>
      <c r="DS12" s="1922"/>
      <c r="DU12" s="382" t="s">
        <v>2181</v>
      </c>
      <c r="DV12" s="382">
        <v>15</v>
      </c>
      <c r="DW12" s="382">
        <v>0</v>
      </c>
      <c r="DX12" s="382">
        <v>0</v>
      </c>
      <c r="DY12" s="382">
        <v>20</v>
      </c>
      <c r="DZ12" s="382">
        <v>0</v>
      </c>
      <c r="EA12" s="382">
        <v>0</v>
      </c>
      <c r="EB12" s="463">
        <f t="shared" si="1"/>
        <v>15</v>
      </c>
      <c r="EC12" s="463">
        <f t="shared" si="2"/>
        <v>20</v>
      </c>
      <c r="ED12" s="549"/>
    </row>
    <row r="13" spans="1:134" ht="12.95" customHeight="1">
      <c r="A13" s="571"/>
      <c r="B13" s="571"/>
      <c r="C13" s="549"/>
      <c r="D13" s="549"/>
      <c r="E13" s="549"/>
      <c r="F13" s="549"/>
      <c r="I13" s="1615">
        <v>2015</v>
      </c>
      <c r="J13" s="1602"/>
      <c r="K13" s="1625">
        <v>274815</v>
      </c>
      <c r="N13" s="1622"/>
      <c r="Y13" s="381" t="s">
        <v>7984</v>
      </c>
      <c r="AB13" s="381"/>
      <c r="AC13" s="381"/>
      <c r="AD13" s="381"/>
      <c r="AE13" s="381"/>
      <c r="AF13" s="381"/>
      <c r="AG13" s="381"/>
      <c r="AL13" s="382" t="s">
        <v>7985</v>
      </c>
      <c r="AM13" s="463">
        <v>2411</v>
      </c>
      <c r="AN13" s="463">
        <v>2551</v>
      </c>
      <c r="AO13" s="463">
        <v>2604</v>
      </c>
      <c r="AP13" s="463">
        <v>2701</v>
      </c>
      <c r="AS13" s="382" t="s">
        <v>2181</v>
      </c>
      <c r="AT13" s="1889">
        <v>685</v>
      </c>
      <c r="AU13" s="1889">
        <v>750</v>
      </c>
      <c r="AV13" s="1889">
        <v>778</v>
      </c>
      <c r="AW13" s="1889">
        <v>810</v>
      </c>
      <c r="AX13" s="562"/>
      <c r="AZ13" s="382" t="s">
        <v>7986</v>
      </c>
      <c r="BA13" s="1896">
        <v>20255</v>
      </c>
      <c r="BB13" s="1896">
        <v>21336</v>
      </c>
      <c r="BC13" s="1896">
        <v>21699</v>
      </c>
      <c r="BD13" s="1896">
        <v>22391</v>
      </c>
      <c r="BE13" s="463"/>
      <c r="BF13" s="463"/>
      <c r="BG13" s="382" t="s">
        <v>7985</v>
      </c>
      <c r="BH13" s="463">
        <v>0</v>
      </c>
      <c r="BI13" s="382">
        <v>0</v>
      </c>
      <c r="BJ13" s="463">
        <v>0</v>
      </c>
      <c r="BK13" s="463">
        <v>0</v>
      </c>
      <c r="BL13" s="463"/>
      <c r="BN13" s="382" t="s">
        <v>2175</v>
      </c>
      <c r="BO13" s="1038">
        <v>0</v>
      </c>
      <c r="BP13" s="1038">
        <v>0</v>
      </c>
      <c r="BQ13" s="619">
        <v>0</v>
      </c>
      <c r="BR13" s="619">
        <v>0</v>
      </c>
      <c r="BU13" s="1916">
        <v>96913</v>
      </c>
      <c r="BV13" s="1912">
        <v>1645</v>
      </c>
      <c r="BW13" s="1912">
        <v>1205</v>
      </c>
      <c r="BX13" s="1912">
        <v>100</v>
      </c>
      <c r="BY13" s="1912">
        <v>125</v>
      </c>
      <c r="BZ13" s="1912">
        <v>65</v>
      </c>
      <c r="CA13" s="1912">
        <v>150</v>
      </c>
      <c r="CB13" s="1912">
        <v>2408</v>
      </c>
      <c r="CC13" s="1912">
        <v>1930</v>
      </c>
      <c r="CD13" s="1912">
        <v>161</v>
      </c>
      <c r="CE13" s="1912">
        <v>1255</v>
      </c>
      <c r="CG13" s="1618"/>
      <c r="CH13" s="382" t="s">
        <v>7987</v>
      </c>
      <c r="CI13" s="1920">
        <v>18345</v>
      </c>
      <c r="CJ13" s="1920">
        <v>16726</v>
      </c>
      <c r="CK13" s="1920">
        <v>14630</v>
      </c>
      <c r="CL13" s="1920">
        <v>13232</v>
      </c>
      <c r="CM13" s="1920">
        <v>12308</v>
      </c>
      <c r="CN13" s="1628"/>
      <c r="CP13" s="1273" t="s">
        <v>7930</v>
      </c>
      <c r="CQ13" s="556">
        <v>1080</v>
      </c>
      <c r="CR13" s="556">
        <v>884</v>
      </c>
      <c r="CS13" s="556">
        <v>859</v>
      </c>
      <c r="CT13" s="556" t="s">
        <v>1640</v>
      </c>
      <c r="CU13" s="497">
        <v>667</v>
      </c>
      <c r="CV13" s="562"/>
      <c r="CX13" s="415"/>
      <c r="CY13" s="2078">
        <v>2021</v>
      </c>
      <c r="CZ13" s="2079"/>
      <c r="DA13" s="2078">
        <v>2020</v>
      </c>
      <c r="DB13" s="2079"/>
      <c r="DC13" s="2078">
        <v>2019</v>
      </c>
      <c r="DD13" s="2079"/>
      <c r="DG13" s="1540" t="s">
        <v>7988</v>
      </c>
      <c r="DH13" s="382">
        <v>86</v>
      </c>
      <c r="DM13" s="612" t="s">
        <v>2647</v>
      </c>
      <c r="DN13" s="382">
        <v>133</v>
      </c>
      <c r="DO13" s="382">
        <v>58</v>
      </c>
      <c r="DP13" s="1922">
        <v>56</v>
      </c>
      <c r="DQ13" s="1922">
        <v>16</v>
      </c>
      <c r="DR13" s="1922">
        <v>25</v>
      </c>
      <c r="DS13" s="1922"/>
      <c r="DU13" s="382" t="s">
        <v>2276</v>
      </c>
      <c r="DV13" s="382">
        <v>3</v>
      </c>
      <c r="DW13" s="382">
        <v>0</v>
      </c>
      <c r="DX13" s="382">
        <v>1</v>
      </c>
      <c r="DY13" s="382">
        <v>7</v>
      </c>
      <c r="DZ13" s="382">
        <v>0</v>
      </c>
      <c r="EA13" s="382">
        <v>5</v>
      </c>
      <c r="EB13" s="463">
        <f t="shared" si="1"/>
        <v>4</v>
      </c>
      <c r="EC13" s="463">
        <f t="shared" si="2"/>
        <v>12</v>
      </c>
      <c r="ED13" s="549"/>
    </row>
    <row r="14" spans="1:134" ht="12.95" customHeight="1">
      <c r="A14" s="398"/>
      <c r="B14" s="398"/>
      <c r="I14" s="1615">
        <v>2014</v>
      </c>
      <c r="J14" s="1602"/>
      <c r="K14" s="1625">
        <v>486561</v>
      </c>
      <c r="P14" s="387" t="s">
        <v>7999</v>
      </c>
      <c r="Q14" s="381"/>
      <c r="R14" s="381"/>
      <c r="S14" s="381"/>
      <c r="T14" s="381"/>
      <c r="U14" s="381"/>
      <c r="Z14" s="2127" t="s">
        <v>7989</v>
      </c>
      <c r="AA14" s="2128"/>
      <c r="AB14" s="2127" t="s">
        <v>7990</v>
      </c>
      <c r="AC14" s="2128"/>
      <c r="AD14" s="2127" t="s">
        <v>7991</v>
      </c>
      <c r="AE14" s="2136"/>
      <c r="AF14" s="2127" t="s">
        <v>7992</v>
      </c>
      <c r="AG14" s="2136"/>
      <c r="AH14" s="2127" t="s">
        <v>7993</v>
      </c>
      <c r="AI14" s="2128"/>
      <c r="AJ14" s="402"/>
      <c r="AK14" s="402"/>
      <c r="AL14" s="382" t="s">
        <v>7994</v>
      </c>
      <c r="AM14" s="463">
        <v>2604</v>
      </c>
      <c r="AN14" s="463">
        <v>2712</v>
      </c>
      <c r="AO14" s="463">
        <v>2747</v>
      </c>
      <c r="AP14" s="463">
        <v>2812</v>
      </c>
      <c r="AS14" s="382" t="s">
        <v>2276</v>
      </c>
      <c r="AT14" s="1889">
        <v>852</v>
      </c>
      <c r="AU14" s="1889">
        <v>869</v>
      </c>
      <c r="AV14" s="1889">
        <v>892</v>
      </c>
      <c r="AW14" s="1889">
        <v>891</v>
      </c>
      <c r="AX14" s="562"/>
      <c r="AZ14" s="382" t="s">
        <v>7995</v>
      </c>
      <c r="BA14" s="1896">
        <v>40</v>
      </c>
      <c r="BB14" s="1896">
        <v>43</v>
      </c>
      <c r="BC14" s="1896">
        <v>44</v>
      </c>
      <c r="BD14" s="1896">
        <v>52</v>
      </c>
      <c r="BE14" s="463"/>
      <c r="BF14" s="463"/>
      <c r="BG14" s="382" t="s">
        <v>7994</v>
      </c>
      <c r="BH14" s="463">
        <v>0</v>
      </c>
      <c r="BI14" s="382">
        <v>0</v>
      </c>
      <c r="BJ14" s="463">
        <v>0</v>
      </c>
      <c r="BK14" s="463">
        <v>2</v>
      </c>
      <c r="BL14" s="463"/>
      <c r="BN14" s="382" t="s">
        <v>7996</v>
      </c>
      <c r="BO14" s="1038">
        <v>21</v>
      </c>
      <c r="BP14" s="1038">
        <v>26</v>
      </c>
      <c r="BQ14" s="619">
        <v>31</v>
      </c>
      <c r="BR14" s="619">
        <v>39</v>
      </c>
      <c r="BU14" s="1916">
        <v>96915</v>
      </c>
      <c r="BV14" s="1912">
        <v>1215</v>
      </c>
      <c r="BW14" s="1912">
        <v>820</v>
      </c>
      <c r="BX14" s="1912">
        <v>85</v>
      </c>
      <c r="BY14" s="1912">
        <v>95</v>
      </c>
      <c r="BZ14" s="1912">
        <v>60</v>
      </c>
      <c r="CA14" s="1912">
        <v>155</v>
      </c>
      <c r="CB14" s="1912">
        <v>1473</v>
      </c>
      <c r="CC14" s="1912">
        <v>1062</v>
      </c>
      <c r="CD14" s="1912">
        <v>117</v>
      </c>
      <c r="CE14" s="1912">
        <v>865</v>
      </c>
      <c r="CG14" s="1618"/>
      <c r="CH14" s="382" t="s">
        <v>7997</v>
      </c>
      <c r="CI14" s="1920">
        <v>1903</v>
      </c>
      <c r="CJ14" s="1920">
        <v>1791</v>
      </c>
      <c r="CK14" s="1920">
        <v>1620</v>
      </c>
      <c r="CL14" s="1920">
        <v>1507</v>
      </c>
      <c r="CM14" s="1920">
        <v>1496</v>
      </c>
      <c r="CN14" s="1628"/>
      <c r="CP14" s="549" t="s">
        <v>7948</v>
      </c>
      <c r="CQ14" s="549"/>
      <c r="CR14" s="549"/>
      <c r="CV14" s="549"/>
      <c r="CX14" s="610" t="s">
        <v>7905</v>
      </c>
      <c r="CY14" s="441" t="s">
        <v>7906</v>
      </c>
      <c r="CZ14" s="442" t="s">
        <v>1666</v>
      </c>
      <c r="DA14" s="642" t="s">
        <v>7906</v>
      </c>
      <c r="DB14" s="664" t="s">
        <v>1666</v>
      </c>
      <c r="DC14" s="441" t="s">
        <v>7906</v>
      </c>
      <c r="DD14" s="442" t="s">
        <v>1666</v>
      </c>
      <c r="DG14" s="1540" t="s">
        <v>7998</v>
      </c>
      <c r="DH14" s="382">
        <v>68</v>
      </c>
      <c r="DM14" s="918" t="s">
        <v>1696</v>
      </c>
      <c r="DN14" s="382">
        <v>13</v>
      </c>
      <c r="DO14" s="382">
        <v>27</v>
      </c>
      <c r="DP14" s="1922">
        <v>21</v>
      </c>
      <c r="DQ14" s="1922">
        <v>8</v>
      </c>
      <c r="DR14" s="1922">
        <v>20</v>
      </c>
      <c r="DS14" s="1922"/>
      <c r="DU14" s="382" t="s">
        <v>2185</v>
      </c>
      <c r="DV14" s="382">
        <v>9</v>
      </c>
      <c r="DW14" s="382">
        <v>0</v>
      </c>
      <c r="DX14" s="382">
        <v>11</v>
      </c>
      <c r="DY14" s="382">
        <v>24</v>
      </c>
      <c r="DZ14" s="382">
        <v>0</v>
      </c>
      <c r="EA14" s="382">
        <v>65</v>
      </c>
      <c r="EB14" s="463">
        <f t="shared" si="1"/>
        <v>20</v>
      </c>
      <c r="EC14" s="463">
        <f t="shared" si="2"/>
        <v>89</v>
      </c>
      <c r="ED14" s="549"/>
    </row>
    <row r="15" spans="1:134" ht="12.95" customHeight="1">
      <c r="B15" s="1630"/>
      <c r="I15" s="1615">
        <v>2013</v>
      </c>
      <c r="J15" s="1602"/>
      <c r="K15" s="1625">
        <v>483159</v>
      </c>
      <c r="P15" s="727" t="s">
        <v>1810</v>
      </c>
      <c r="Q15" s="664" t="s">
        <v>7989</v>
      </c>
      <c r="R15" s="664" t="s">
        <v>7990</v>
      </c>
      <c r="S15" s="664" t="s">
        <v>7991</v>
      </c>
      <c r="T15" s="664" t="s">
        <v>7992</v>
      </c>
      <c r="U15" s="664" t="s">
        <v>7993</v>
      </c>
      <c r="V15" s="664" t="s">
        <v>8007</v>
      </c>
      <c r="Y15" s="610" t="s">
        <v>7899</v>
      </c>
      <c r="Z15" s="441" t="s">
        <v>7900</v>
      </c>
      <c r="AA15" s="442" t="s">
        <v>461</v>
      </c>
      <c r="AB15" s="441" t="s">
        <v>7900</v>
      </c>
      <c r="AC15" s="664" t="s">
        <v>461</v>
      </c>
      <c r="AD15" s="441" t="s">
        <v>7900</v>
      </c>
      <c r="AE15" s="442" t="s">
        <v>461</v>
      </c>
      <c r="AF15" s="441" t="s">
        <v>7900</v>
      </c>
      <c r="AG15" s="442" t="s">
        <v>461</v>
      </c>
      <c r="AH15" s="441" t="s">
        <v>7900</v>
      </c>
      <c r="AI15" s="442" t="s">
        <v>461</v>
      </c>
      <c r="AJ15" s="439"/>
      <c r="AK15" s="439"/>
      <c r="AL15" s="382" t="s">
        <v>8000</v>
      </c>
      <c r="AM15" s="463">
        <v>2658</v>
      </c>
      <c r="AN15" s="463">
        <v>2749</v>
      </c>
      <c r="AO15" s="463">
        <v>2791</v>
      </c>
      <c r="AP15" s="463">
        <v>2847</v>
      </c>
      <c r="AS15" s="382" t="s">
        <v>8001</v>
      </c>
      <c r="AT15" s="1038">
        <v>0</v>
      </c>
      <c r="AU15" s="1038">
        <v>0</v>
      </c>
      <c r="AV15" s="1038">
        <v>0</v>
      </c>
      <c r="AW15" s="1038">
        <v>0</v>
      </c>
      <c r="AX15" s="562"/>
      <c r="AZ15" s="382" t="s">
        <v>8002</v>
      </c>
      <c r="BA15" s="1896">
        <v>625</v>
      </c>
      <c r="BB15" s="1896">
        <v>662</v>
      </c>
      <c r="BC15" s="1896">
        <v>684</v>
      </c>
      <c r="BD15" s="1896">
        <v>725</v>
      </c>
      <c r="BE15" s="463"/>
      <c r="BF15" s="463"/>
      <c r="BG15" s="382" t="s">
        <v>8000</v>
      </c>
      <c r="BH15" s="463">
        <v>0</v>
      </c>
      <c r="BI15" s="382">
        <v>0</v>
      </c>
      <c r="BJ15" s="463">
        <v>0</v>
      </c>
      <c r="BK15" s="463">
        <v>0</v>
      </c>
      <c r="BL15" s="463"/>
      <c r="BN15" s="382" t="s">
        <v>6989</v>
      </c>
      <c r="BO15" s="1038">
        <v>0</v>
      </c>
      <c r="BP15" s="1038">
        <v>1</v>
      </c>
      <c r="BQ15" s="619">
        <v>1</v>
      </c>
      <c r="BR15" s="619">
        <v>1</v>
      </c>
      <c r="BU15" s="1916">
        <v>96916</v>
      </c>
      <c r="BV15" s="1912">
        <v>110</v>
      </c>
      <c r="BW15" s="1912">
        <v>75</v>
      </c>
      <c r="BX15" s="1912">
        <v>5</v>
      </c>
      <c r="BY15" s="1912">
        <v>15</v>
      </c>
      <c r="BZ15" s="1912">
        <v>5</v>
      </c>
      <c r="CA15" s="1912">
        <v>10</v>
      </c>
      <c r="CB15" s="1912">
        <v>126</v>
      </c>
      <c r="CC15" s="1912">
        <v>85</v>
      </c>
      <c r="CD15" s="1912">
        <v>19</v>
      </c>
      <c r="CE15" s="1912">
        <v>70</v>
      </c>
      <c r="CG15" s="1618"/>
      <c r="CN15" s="549"/>
      <c r="CP15" s="549" t="s">
        <v>8003</v>
      </c>
      <c r="CQ15" s="549"/>
      <c r="CR15" s="549"/>
      <c r="CV15" s="549"/>
      <c r="CX15" s="382" t="s">
        <v>7917</v>
      </c>
      <c r="CY15" s="435" t="s">
        <v>1640</v>
      </c>
      <c r="CZ15" s="491" t="s">
        <v>1640</v>
      </c>
      <c r="DA15" s="463">
        <v>790</v>
      </c>
      <c r="DB15" s="857">
        <v>100</v>
      </c>
      <c r="DC15" s="463">
        <v>875</v>
      </c>
      <c r="DD15" s="857">
        <v>100</v>
      </c>
      <c r="DE15" s="439"/>
      <c r="DF15" s="439"/>
      <c r="DG15" s="439" t="s">
        <v>8004</v>
      </c>
      <c r="DH15" s="382">
        <v>62</v>
      </c>
      <c r="DM15" s="382" t="s">
        <v>2645</v>
      </c>
      <c r="DN15" s="382">
        <v>3</v>
      </c>
      <c r="DO15" s="382">
        <v>7</v>
      </c>
      <c r="DP15" s="1922">
        <v>4</v>
      </c>
      <c r="DQ15" s="1922">
        <v>2</v>
      </c>
      <c r="DR15" s="1922">
        <v>1</v>
      </c>
      <c r="DS15" s="1922"/>
      <c r="DU15" s="382" t="s">
        <v>2353</v>
      </c>
      <c r="DV15" s="382">
        <v>4</v>
      </c>
      <c r="DW15" s="382">
        <v>0</v>
      </c>
      <c r="DX15" s="382">
        <v>1</v>
      </c>
      <c r="DY15" s="382">
        <v>7</v>
      </c>
      <c r="DZ15" s="382">
        <v>0</v>
      </c>
      <c r="EA15" s="382">
        <v>4</v>
      </c>
      <c r="EB15" s="463">
        <f t="shared" si="1"/>
        <v>5</v>
      </c>
      <c r="EC15" s="463">
        <f t="shared" si="2"/>
        <v>11</v>
      </c>
      <c r="ED15" s="549"/>
    </row>
    <row r="16" spans="1:134" ht="12.95" customHeight="1">
      <c r="I16" s="1633" t="s">
        <v>8006</v>
      </c>
      <c r="J16" s="1602"/>
      <c r="K16" s="1625">
        <v>129320</v>
      </c>
      <c r="N16" s="393"/>
      <c r="P16" s="382" t="s">
        <v>7898</v>
      </c>
      <c r="Q16" s="463">
        <v>6610</v>
      </c>
      <c r="R16" s="463">
        <v>6643</v>
      </c>
      <c r="S16" s="463">
        <v>7218</v>
      </c>
      <c r="T16" s="463">
        <v>7298</v>
      </c>
      <c r="U16" s="463">
        <v>7461</v>
      </c>
      <c r="V16" s="463">
        <v>7496</v>
      </c>
      <c r="Y16" s="382" t="s">
        <v>7912</v>
      </c>
      <c r="Z16" s="463">
        <v>2439</v>
      </c>
      <c r="AA16" s="463">
        <v>261310</v>
      </c>
      <c r="AB16" s="463">
        <f>SUM(AB17:AB21)</f>
        <v>2610</v>
      </c>
      <c r="AC16" s="463">
        <f>SUM(AC17:AC21)</f>
        <v>268274</v>
      </c>
      <c r="AD16" s="463">
        <v>3208</v>
      </c>
      <c r="AE16" s="463">
        <v>319724</v>
      </c>
      <c r="AF16" s="463">
        <v>6147</v>
      </c>
      <c r="AG16" s="463">
        <v>360663</v>
      </c>
      <c r="AH16" s="463">
        <v>4178</v>
      </c>
      <c r="AI16" s="463">
        <v>410639</v>
      </c>
      <c r="AJ16" s="463"/>
      <c r="AK16" s="463"/>
      <c r="AL16" s="382" t="s">
        <v>8008</v>
      </c>
      <c r="AM16" s="463">
        <v>5152</v>
      </c>
      <c r="AN16" s="463">
        <v>5325</v>
      </c>
      <c r="AO16" s="463">
        <v>5381</v>
      </c>
      <c r="AP16" s="463">
        <v>5497</v>
      </c>
      <c r="AS16" s="382" t="s">
        <v>8009</v>
      </c>
      <c r="AT16" s="1889">
        <v>90</v>
      </c>
      <c r="AU16" s="1889">
        <v>109</v>
      </c>
      <c r="AV16" s="1889">
        <v>115</v>
      </c>
      <c r="AW16" s="1889">
        <v>115</v>
      </c>
      <c r="AX16" s="562"/>
      <c r="AZ16" s="382" t="s">
        <v>8010</v>
      </c>
      <c r="BA16" s="1896">
        <v>11</v>
      </c>
      <c r="BB16" s="1896">
        <v>14</v>
      </c>
      <c r="BC16" s="1896">
        <v>14</v>
      </c>
      <c r="BD16" s="1896">
        <v>14</v>
      </c>
      <c r="BE16" s="463"/>
      <c r="BF16" s="463"/>
      <c r="BG16" s="382" t="s">
        <v>8008</v>
      </c>
      <c r="BH16" s="463">
        <v>0</v>
      </c>
      <c r="BI16" s="382">
        <v>1</v>
      </c>
      <c r="BJ16" s="463">
        <v>3</v>
      </c>
      <c r="BK16" s="463">
        <v>3</v>
      </c>
      <c r="BL16" s="463"/>
      <c r="BN16" s="382" t="s">
        <v>2181</v>
      </c>
      <c r="BO16" s="1038">
        <v>2</v>
      </c>
      <c r="BP16" s="1038">
        <v>4</v>
      </c>
      <c r="BQ16" s="1038">
        <v>4</v>
      </c>
      <c r="BR16" s="1038">
        <v>4</v>
      </c>
      <c r="BU16" s="1916">
        <v>96917</v>
      </c>
      <c r="BV16" s="1912">
        <v>65</v>
      </c>
      <c r="BW16" s="1912">
        <v>40</v>
      </c>
      <c r="BX16" s="1912">
        <v>5</v>
      </c>
      <c r="BY16" s="1912">
        <v>10</v>
      </c>
      <c r="BZ16" s="1912">
        <v>5</v>
      </c>
      <c r="CA16" s="1912">
        <v>5</v>
      </c>
      <c r="CB16" s="1912">
        <v>67</v>
      </c>
      <c r="CC16" s="1912">
        <v>38</v>
      </c>
      <c r="CD16" s="1912">
        <v>12</v>
      </c>
      <c r="CE16" s="1912">
        <v>45</v>
      </c>
      <c r="CG16" s="1618"/>
      <c r="CH16" s="381" t="s">
        <v>8011</v>
      </c>
      <c r="CI16" s="497">
        <v>15069</v>
      </c>
      <c r="CJ16" s="497">
        <v>14489</v>
      </c>
      <c r="CK16" s="497">
        <v>13944</v>
      </c>
      <c r="CL16" s="497">
        <v>13560</v>
      </c>
      <c r="CM16" s="497">
        <v>13107</v>
      </c>
      <c r="CN16" s="562"/>
      <c r="CP16" s="549" t="s">
        <v>7958</v>
      </c>
      <c r="CQ16" s="549"/>
      <c r="CR16" s="549"/>
      <c r="CV16" s="549"/>
      <c r="CX16" s="382" t="s">
        <v>7931</v>
      </c>
      <c r="CY16" s="463">
        <v>185</v>
      </c>
      <c r="CZ16" s="491" t="s">
        <v>1640</v>
      </c>
      <c r="DA16" s="463">
        <v>108</v>
      </c>
      <c r="DB16" s="857">
        <f>DA16/DA15*100</f>
        <v>13.670886075949367</v>
      </c>
      <c r="DC16" s="463">
        <v>111</v>
      </c>
      <c r="DD16" s="857">
        <v>12.7</v>
      </c>
      <c r="DE16" s="463"/>
      <c r="DF16" s="463"/>
      <c r="DG16" s="439" t="s">
        <v>8012</v>
      </c>
      <c r="DH16" s="382">
        <v>43</v>
      </c>
      <c r="DM16" s="382" t="s">
        <v>2661</v>
      </c>
      <c r="DN16" s="382">
        <v>1</v>
      </c>
      <c r="DO16" s="382">
        <v>0</v>
      </c>
      <c r="DP16" s="1922">
        <v>0</v>
      </c>
      <c r="DQ16" s="1922">
        <v>0</v>
      </c>
      <c r="DR16" s="1922">
        <v>0</v>
      </c>
      <c r="DS16" s="1922"/>
      <c r="DU16" s="382" t="s">
        <v>2260</v>
      </c>
      <c r="DV16" s="382">
        <v>1</v>
      </c>
      <c r="DW16" s="382">
        <v>0</v>
      </c>
      <c r="DX16" s="382">
        <v>0</v>
      </c>
      <c r="DY16" s="382">
        <v>3</v>
      </c>
      <c r="DZ16" s="382">
        <v>0</v>
      </c>
      <c r="EA16" s="382">
        <v>0</v>
      </c>
      <c r="EB16" s="463">
        <f t="shared" si="1"/>
        <v>1</v>
      </c>
      <c r="EC16" s="463">
        <f t="shared" si="2"/>
        <v>3</v>
      </c>
      <c r="ED16" s="549"/>
    </row>
    <row r="17" spans="1:134" ht="12.95" customHeight="1">
      <c r="A17" s="381" t="s">
        <v>8005</v>
      </c>
      <c r="B17" s="381"/>
      <c r="C17" s="381"/>
      <c r="D17" s="381"/>
      <c r="E17" s="381"/>
      <c r="F17" s="381"/>
      <c r="G17" s="439"/>
      <c r="H17" s="439"/>
      <c r="I17" s="1633" t="s">
        <v>8013</v>
      </c>
      <c r="J17" s="1602"/>
      <c r="K17" s="1634">
        <v>205635</v>
      </c>
      <c r="N17" s="1622"/>
      <c r="P17" s="398" t="s">
        <v>7911</v>
      </c>
      <c r="Q17" s="463">
        <v>6026</v>
      </c>
      <c r="R17" s="463">
        <v>6183</v>
      </c>
      <c r="S17" s="463">
        <v>6721</v>
      </c>
      <c r="T17" s="463">
        <v>6885</v>
      </c>
      <c r="U17" s="463">
        <v>6936</v>
      </c>
      <c r="V17" s="463">
        <v>6665</v>
      </c>
      <c r="Y17" s="382" t="s">
        <v>7921</v>
      </c>
      <c r="Z17" s="463">
        <v>1208</v>
      </c>
      <c r="AA17" s="463">
        <v>108243</v>
      </c>
      <c r="AB17" s="463">
        <v>1435</v>
      </c>
      <c r="AC17" s="463">
        <v>128694</v>
      </c>
      <c r="AD17" s="463">
        <v>1958</v>
      </c>
      <c r="AE17" s="463">
        <v>17944</v>
      </c>
      <c r="AF17" s="463">
        <v>4323</v>
      </c>
      <c r="AG17" s="463">
        <v>225129</v>
      </c>
      <c r="AH17" s="463">
        <v>3073</v>
      </c>
      <c r="AI17" s="463">
        <v>281528</v>
      </c>
      <c r="AJ17" s="463"/>
      <c r="AK17" s="463"/>
      <c r="AL17" s="382" t="s">
        <v>8014</v>
      </c>
      <c r="AM17" s="463">
        <v>4587</v>
      </c>
      <c r="AN17" s="463">
        <v>4764</v>
      </c>
      <c r="AO17" s="463">
        <v>4811</v>
      </c>
      <c r="AP17" s="463">
        <v>4914</v>
      </c>
      <c r="AS17" s="382" t="s">
        <v>8015</v>
      </c>
      <c r="AT17" s="1038">
        <v>467</v>
      </c>
      <c r="AU17" s="1038">
        <v>495</v>
      </c>
      <c r="AV17" s="1038">
        <v>503</v>
      </c>
      <c r="AW17" s="1038">
        <v>528</v>
      </c>
      <c r="AX17" s="562"/>
      <c r="AZ17" s="382" t="s">
        <v>1695</v>
      </c>
      <c r="BA17" s="1896">
        <v>102</v>
      </c>
      <c r="BB17" s="1896">
        <v>106</v>
      </c>
      <c r="BC17" s="1896">
        <v>111</v>
      </c>
      <c r="BD17" s="1896">
        <v>112</v>
      </c>
      <c r="BE17" s="463"/>
      <c r="BF17" s="463"/>
      <c r="BG17" s="382" t="s">
        <v>8014</v>
      </c>
      <c r="BH17" s="463">
        <v>2</v>
      </c>
      <c r="BI17" s="382">
        <v>1</v>
      </c>
      <c r="BJ17" s="463">
        <v>1</v>
      </c>
      <c r="BK17" s="463">
        <v>1</v>
      </c>
      <c r="BL17" s="463"/>
      <c r="BN17" s="382" t="s">
        <v>2276</v>
      </c>
      <c r="BO17" s="1038">
        <v>0</v>
      </c>
      <c r="BP17" s="1038">
        <v>0</v>
      </c>
      <c r="BQ17" s="619">
        <v>0</v>
      </c>
      <c r="BR17" s="619">
        <v>0</v>
      </c>
      <c r="BU17" s="1916">
        <v>96921</v>
      </c>
      <c r="BV17" s="1912">
        <v>3585</v>
      </c>
      <c r="BW17" s="1912">
        <v>2370</v>
      </c>
      <c r="BX17" s="1912">
        <v>280</v>
      </c>
      <c r="BY17" s="1912">
        <v>285</v>
      </c>
      <c r="BZ17" s="1912">
        <v>225</v>
      </c>
      <c r="CA17" s="1912">
        <v>425</v>
      </c>
      <c r="CB17" s="1912">
        <v>4112</v>
      </c>
      <c r="CC17" s="1912">
        <v>2975</v>
      </c>
      <c r="CD17" s="1912">
        <v>312</v>
      </c>
      <c r="CE17" s="1912">
        <v>2565</v>
      </c>
      <c r="CG17" s="1618"/>
      <c r="CH17" s="549" t="s">
        <v>8016</v>
      </c>
      <c r="CI17" s="549"/>
      <c r="CJ17" s="549"/>
      <c r="CK17" s="549"/>
      <c r="CL17" s="549"/>
      <c r="CM17" s="549"/>
      <c r="CN17" s="549"/>
      <c r="CP17" s="549"/>
      <c r="CQ17" s="549"/>
      <c r="CR17" s="549"/>
      <c r="CS17" s="549"/>
      <c r="CT17" s="549"/>
      <c r="CU17" s="549"/>
      <c r="CV17" s="549"/>
      <c r="CX17" s="381" t="s">
        <v>7940</v>
      </c>
      <c r="CY17" s="556" t="s">
        <v>1640</v>
      </c>
      <c r="CZ17" s="1026" t="s">
        <v>1640</v>
      </c>
      <c r="DA17" s="497">
        <v>682</v>
      </c>
      <c r="DB17" s="869">
        <f>DA17/DA15*100</f>
        <v>86.329113924050631</v>
      </c>
      <c r="DC17" s="497">
        <v>764</v>
      </c>
      <c r="DD17" s="869">
        <v>87.3</v>
      </c>
      <c r="DE17" s="463"/>
      <c r="DF17" s="463"/>
      <c r="DG17" s="1923" t="s">
        <v>8017</v>
      </c>
      <c r="DH17" s="381">
        <v>51</v>
      </c>
      <c r="DI17" s="381"/>
      <c r="DJ17" s="381"/>
      <c r="DM17" s="382" t="s">
        <v>1697</v>
      </c>
      <c r="DN17" s="382">
        <v>1</v>
      </c>
      <c r="DO17" s="382">
        <v>2</v>
      </c>
      <c r="DP17" s="1922">
        <v>0</v>
      </c>
      <c r="DQ17" s="1922">
        <v>0</v>
      </c>
      <c r="DR17" s="1922">
        <v>1</v>
      </c>
      <c r="DS17" s="1922"/>
      <c r="DU17" s="382" t="s">
        <v>2201</v>
      </c>
      <c r="DV17" s="382">
        <v>3</v>
      </c>
      <c r="DW17" s="382">
        <v>0</v>
      </c>
      <c r="DX17" s="382">
        <v>1</v>
      </c>
      <c r="DY17" s="382">
        <v>7</v>
      </c>
      <c r="DZ17" s="382">
        <v>0</v>
      </c>
      <c r="EA17" s="382">
        <v>3</v>
      </c>
      <c r="EB17" s="463">
        <f t="shared" si="1"/>
        <v>4</v>
      </c>
      <c r="EC17" s="463">
        <f t="shared" si="2"/>
        <v>10</v>
      </c>
      <c r="ED17" s="549"/>
    </row>
    <row r="18" spans="1:134" ht="12.95" customHeight="1">
      <c r="A18" s="610" t="s">
        <v>1810</v>
      </c>
      <c r="B18" s="824" t="s">
        <v>7989</v>
      </c>
      <c r="C18" s="729" t="s">
        <v>7990</v>
      </c>
      <c r="D18" s="729" t="s">
        <v>7991</v>
      </c>
      <c r="E18" s="729" t="s">
        <v>7992</v>
      </c>
      <c r="F18" s="729" t="s">
        <v>7993</v>
      </c>
      <c r="I18" s="1633" t="s">
        <v>8018</v>
      </c>
      <c r="J18" s="1602"/>
      <c r="K18" s="1634">
        <v>295464</v>
      </c>
      <c r="P18" s="387" t="s">
        <v>7920</v>
      </c>
      <c r="Q18" s="1621">
        <v>75.97</v>
      </c>
      <c r="R18" s="1621">
        <v>77.569999999999993</v>
      </c>
      <c r="S18" s="1621">
        <v>77.59</v>
      </c>
      <c r="T18" s="1621">
        <v>78.62</v>
      </c>
      <c r="U18" s="1621">
        <v>77.47</v>
      </c>
      <c r="V18" s="1621">
        <v>74.099999999999994</v>
      </c>
      <c r="Y18" s="382" t="s">
        <v>7937</v>
      </c>
      <c r="Z18" s="463">
        <v>280</v>
      </c>
      <c r="AA18" s="463">
        <v>51459</v>
      </c>
      <c r="AB18" s="463">
        <v>241</v>
      </c>
      <c r="AC18" s="463">
        <v>45567</v>
      </c>
      <c r="AD18" s="463">
        <v>235</v>
      </c>
      <c r="AE18" s="463">
        <v>46640</v>
      </c>
      <c r="AF18" s="463">
        <v>256</v>
      </c>
      <c r="AG18" s="463">
        <v>44597</v>
      </c>
      <c r="AH18" s="463">
        <v>223</v>
      </c>
      <c r="AI18" s="463">
        <v>44725</v>
      </c>
      <c r="AJ18" s="463"/>
      <c r="AK18" s="463"/>
      <c r="AL18" s="382" t="s">
        <v>8019</v>
      </c>
      <c r="AM18" s="463">
        <v>3042</v>
      </c>
      <c r="AN18" s="463">
        <v>3140</v>
      </c>
      <c r="AO18" s="463">
        <v>3171</v>
      </c>
      <c r="AP18" s="463">
        <v>3216</v>
      </c>
      <c r="AS18" s="382" t="s">
        <v>8020</v>
      </c>
      <c r="AT18" s="1038">
        <v>0</v>
      </c>
      <c r="AU18" s="1038">
        <v>0</v>
      </c>
      <c r="AV18" s="1038">
        <v>0</v>
      </c>
      <c r="AW18" s="1038">
        <v>0</v>
      </c>
      <c r="AX18" s="562"/>
      <c r="AZ18" s="382" t="s">
        <v>2653</v>
      </c>
      <c r="BA18" s="1896">
        <v>11500</v>
      </c>
      <c r="BB18" s="1896">
        <v>12469</v>
      </c>
      <c r="BC18" s="1896">
        <v>12786</v>
      </c>
      <c r="BD18" s="1896">
        <v>13389</v>
      </c>
      <c r="BE18" s="463"/>
      <c r="BF18" s="463"/>
      <c r="BG18" s="382" t="s">
        <v>8019</v>
      </c>
      <c r="BH18" s="463">
        <v>2</v>
      </c>
      <c r="BI18" s="382">
        <v>3</v>
      </c>
      <c r="BJ18" s="463">
        <v>4</v>
      </c>
      <c r="BK18" s="463">
        <v>5</v>
      </c>
      <c r="BL18" s="463"/>
      <c r="BN18" s="382" t="s">
        <v>8001</v>
      </c>
      <c r="BO18" s="1038">
        <v>0</v>
      </c>
      <c r="BP18" s="1038">
        <v>0</v>
      </c>
      <c r="BQ18" s="619">
        <v>0</v>
      </c>
      <c r="BR18" s="619">
        <v>0</v>
      </c>
      <c r="BU18" s="1916">
        <v>96923</v>
      </c>
      <c r="BV18" s="1912">
        <v>115</v>
      </c>
      <c r="BW18" s="1912">
        <v>80</v>
      </c>
      <c r="BX18" s="1912">
        <v>10</v>
      </c>
      <c r="BY18" s="1912">
        <v>5</v>
      </c>
      <c r="BZ18" s="1912">
        <v>5</v>
      </c>
      <c r="CA18" s="1912">
        <v>15</v>
      </c>
      <c r="CB18" s="1912">
        <v>124</v>
      </c>
      <c r="CC18" s="1912">
        <v>90</v>
      </c>
      <c r="CD18" s="1912">
        <v>7</v>
      </c>
      <c r="CE18" s="1912">
        <v>85</v>
      </c>
      <c r="CG18" s="1618"/>
      <c r="CH18" s="549" t="s">
        <v>8021</v>
      </c>
      <c r="CI18" s="549"/>
      <c r="CJ18" s="549"/>
      <c r="CK18" s="549"/>
      <c r="CL18" s="549"/>
      <c r="CM18" s="549"/>
      <c r="CN18" s="549"/>
      <c r="CP18" s="549"/>
      <c r="CQ18" s="549"/>
      <c r="CR18" s="549"/>
      <c r="CS18" s="549"/>
      <c r="CT18" s="549"/>
      <c r="CU18" s="549"/>
      <c r="CV18" s="549"/>
      <c r="CX18" s="549" t="s">
        <v>7948</v>
      </c>
      <c r="CY18" s="562"/>
      <c r="CZ18" s="562"/>
      <c r="DA18" s="463"/>
      <c r="DB18" s="463"/>
      <c r="DC18" s="463"/>
      <c r="DD18" s="463"/>
      <c r="DE18" s="463"/>
      <c r="DF18" s="463"/>
      <c r="DG18" s="549" t="s">
        <v>8022</v>
      </c>
      <c r="DH18" s="861"/>
      <c r="DI18" s="861"/>
      <c r="DJ18" s="861"/>
      <c r="DK18" s="549"/>
      <c r="DM18" s="382" t="s">
        <v>1698</v>
      </c>
      <c r="DN18" s="382">
        <v>0</v>
      </c>
      <c r="DO18" s="382">
        <v>1</v>
      </c>
      <c r="DP18" s="1922">
        <v>2</v>
      </c>
      <c r="DQ18" s="1922">
        <v>5</v>
      </c>
      <c r="DR18" s="1922">
        <v>3</v>
      </c>
      <c r="DS18" s="1922"/>
      <c r="DU18" s="382" t="s">
        <v>2202</v>
      </c>
      <c r="DV18" s="382">
        <v>20</v>
      </c>
      <c r="DW18" s="382">
        <v>0</v>
      </c>
      <c r="DX18" s="382">
        <v>0</v>
      </c>
      <c r="DY18" s="382">
        <v>24</v>
      </c>
      <c r="DZ18" s="382">
        <v>0</v>
      </c>
      <c r="EA18" s="382">
        <v>0</v>
      </c>
      <c r="EB18" s="463">
        <f t="shared" si="1"/>
        <v>20</v>
      </c>
      <c r="EC18" s="463">
        <f t="shared" si="2"/>
        <v>24</v>
      </c>
      <c r="ED18" s="549"/>
    </row>
    <row r="19" spans="1:134" ht="12.95" customHeight="1">
      <c r="A19" s="398" t="s">
        <v>7895</v>
      </c>
      <c r="G19" s="463"/>
      <c r="H19" s="463"/>
      <c r="I19" s="1633" t="s">
        <v>8023</v>
      </c>
      <c r="J19" s="1602"/>
      <c r="K19" s="1634">
        <v>351126</v>
      </c>
      <c r="P19" s="571" t="s">
        <v>7936</v>
      </c>
      <c r="Q19" s="549"/>
      <c r="R19" s="549"/>
      <c r="S19" s="549"/>
      <c r="T19" s="549"/>
      <c r="U19" s="549"/>
      <c r="Y19" s="382" t="s">
        <v>7944</v>
      </c>
      <c r="Z19" s="463">
        <v>359</v>
      </c>
      <c r="AA19" s="463">
        <v>69739</v>
      </c>
      <c r="AB19" s="463">
        <v>329</v>
      </c>
      <c r="AC19" s="463">
        <v>62681</v>
      </c>
      <c r="AD19" s="463">
        <v>322</v>
      </c>
      <c r="AE19" s="463">
        <v>159</v>
      </c>
      <c r="AF19" s="463">
        <v>354</v>
      </c>
      <c r="AG19" s="463">
        <v>57396</v>
      </c>
      <c r="AH19" s="463">
        <v>265</v>
      </c>
      <c r="AI19" s="463">
        <v>52481</v>
      </c>
      <c r="AJ19" s="463"/>
      <c r="AK19" s="463"/>
      <c r="AL19" s="382" t="s">
        <v>8024</v>
      </c>
      <c r="AM19" s="463">
        <v>438</v>
      </c>
      <c r="AN19" s="463">
        <v>547</v>
      </c>
      <c r="AO19" s="463">
        <v>581</v>
      </c>
      <c r="AP19" s="463">
        <v>643</v>
      </c>
      <c r="AS19" s="382" t="s">
        <v>2185</v>
      </c>
      <c r="AT19" s="1889">
        <v>4349</v>
      </c>
      <c r="AU19" s="1889">
        <v>4529</v>
      </c>
      <c r="AV19" s="1889">
        <v>4630</v>
      </c>
      <c r="AW19" s="1889">
        <v>4794</v>
      </c>
      <c r="AX19" s="562"/>
      <c r="AZ19" s="382" t="s">
        <v>8025</v>
      </c>
      <c r="BA19" s="1896">
        <v>3</v>
      </c>
      <c r="BB19" s="1896">
        <v>3</v>
      </c>
      <c r="BC19" s="1896">
        <v>3</v>
      </c>
      <c r="BD19" s="1896">
        <v>3</v>
      </c>
      <c r="BE19" s="463"/>
      <c r="BF19" s="463"/>
      <c r="BG19" s="382" t="s">
        <v>8024</v>
      </c>
      <c r="BH19" s="463">
        <v>1</v>
      </c>
      <c r="BI19" s="382">
        <v>3</v>
      </c>
      <c r="BJ19" s="463">
        <v>3</v>
      </c>
      <c r="BK19" s="463">
        <v>3</v>
      </c>
      <c r="BL19" s="463"/>
      <c r="BN19" s="382" t="s">
        <v>8009</v>
      </c>
      <c r="BO19" s="1038">
        <v>0</v>
      </c>
      <c r="BP19" s="1038">
        <v>0</v>
      </c>
      <c r="BQ19" s="619">
        <v>0</v>
      </c>
      <c r="BR19" s="619">
        <v>0</v>
      </c>
      <c r="BU19" s="1916">
        <v>96928</v>
      </c>
      <c r="BV19" s="1912">
        <v>610</v>
      </c>
      <c r="BW19" s="1912">
        <v>395</v>
      </c>
      <c r="BX19" s="1912">
        <v>50</v>
      </c>
      <c r="BY19" s="1912">
        <v>65</v>
      </c>
      <c r="BZ19" s="1912">
        <v>30</v>
      </c>
      <c r="CA19" s="1912">
        <v>70</v>
      </c>
      <c r="CB19" s="1912">
        <v>667</v>
      </c>
      <c r="CC19" s="1912">
        <v>468</v>
      </c>
      <c r="CD19" s="1912">
        <v>67</v>
      </c>
      <c r="CE19" s="1912">
        <v>440</v>
      </c>
      <c r="CG19" s="1618"/>
      <c r="CH19" s="549" t="s">
        <v>8026</v>
      </c>
      <c r="CI19" s="549"/>
      <c r="CJ19" s="549"/>
      <c r="CK19" s="549"/>
      <c r="CL19" s="549"/>
      <c r="CM19" s="549"/>
      <c r="CN19" s="549"/>
      <c r="CR19" s="463"/>
      <c r="DG19" s="549" t="s">
        <v>8027</v>
      </c>
      <c r="DH19" s="549"/>
      <c r="DI19" s="549"/>
      <c r="DJ19" s="549"/>
      <c r="DK19" s="549"/>
      <c r="DM19" s="382" t="s">
        <v>2652</v>
      </c>
      <c r="DN19" s="382">
        <v>0</v>
      </c>
      <c r="DO19" s="382">
        <v>8</v>
      </c>
      <c r="DP19" s="1922">
        <v>1</v>
      </c>
      <c r="DQ19" s="1922">
        <v>5</v>
      </c>
      <c r="DR19" s="1922">
        <v>0</v>
      </c>
      <c r="DS19" s="1922"/>
      <c r="DU19" s="382" t="s">
        <v>8028</v>
      </c>
      <c r="DV19" s="382">
        <v>19</v>
      </c>
      <c r="DW19" s="382">
        <v>0</v>
      </c>
      <c r="DX19" s="382">
        <v>0</v>
      </c>
      <c r="DY19" s="382">
        <v>20</v>
      </c>
      <c r="DZ19" s="382">
        <v>0</v>
      </c>
      <c r="EA19" s="382">
        <v>0</v>
      </c>
      <c r="EB19" s="463">
        <f t="shared" si="1"/>
        <v>19</v>
      </c>
      <c r="EC19" s="463">
        <f t="shared" si="2"/>
        <v>20</v>
      </c>
      <c r="ED19" s="549"/>
    </row>
    <row r="20" spans="1:134" ht="12.95" customHeight="1">
      <c r="A20" s="398" t="s">
        <v>7910</v>
      </c>
      <c r="B20" s="463">
        <v>48530</v>
      </c>
      <c r="C20" s="463">
        <v>45260</v>
      </c>
      <c r="D20" s="463">
        <v>46713</v>
      </c>
      <c r="E20" s="463">
        <v>47166</v>
      </c>
      <c r="F20" s="463">
        <v>47289</v>
      </c>
      <c r="G20" s="463"/>
      <c r="H20" s="463"/>
      <c r="I20" s="1633" t="s">
        <v>8029</v>
      </c>
      <c r="J20" s="1602"/>
      <c r="K20" s="1634">
        <v>84719</v>
      </c>
      <c r="P20" s="571" t="s">
        <v>7943</v>
      </c>
      <c r="Q20" s="549"/>
      <c r="R20" s="549"/>
      <c r="S20" s="549"/>
      <c r="T20" s="549"/>
      <c r="U20" s="549"/>
      <c r="Y20" s="382" t="s">
        <v>7954</v>
      </c>
      <c r="Z20" s="463">
        <v>1</v>
      </c>
      <c r="AA20" s="463">
        <v>109</v>
      </c>
      <c r="AB20" s="463">
        <v>1</v>
      </c>
      <c r="AC20" s="463">
        <v>155</v>
      </c>
      <c r="AD20" s="463">
        <v>1</v>
      </c>
      <c r="AE20" s="463">
        <v>159</v>
      </c>
      <c r="AF20" s="463">
        <v>1</v>
      </c>
      <c r="AG20" s="463">
        <v>296</v>
      </c>
      <c r="AH20" s="463">
        <v>1</v>
      </c>
      <c r="AI20" s="463">
        <v>155</v>
      </c>
      <c r="AJ20" s="463"/>
      <c r="AK20" s="463"/>
      <c r="AL20" s="382" t="s">
        <v>8030</v>
      </c>
      <c r="AM20" s="463">
        <v>4564</v>
      </c>
      <c r="AN20" s="463">
        <v>4967</v>
      </c>
      <c r="AO20" s="463">
        <v>5106</v>
      </c>
      <c r="AP20" s="463">
        <v>5397</v>
      </c>
      <c r="AS20" s="382" t="s">
        <v>2353</v>
      </c>
      <c r="AT20" s="1889">
        <v>615</v>
      </c>
      <c r="AU20" s="1889">
        <v>630</v>
      </c>
      <c r="AV20" s="1889">
        <v>648</v>
      </c>
      <c r="AW20" s="1889">
        <v>659</v>
      </c>
      <c r="AX20" s="562"/>
      <c r="AZ20" s="382" t="s">
        <v>1696</v>
      </c>
      <c r="BA20" s="1896">
        <v>7941</v>
      </c>
      <c r="BB20" s="1896">
        <v>8400</v>
      </c>
      <c r="BC20" s="1896">
        <v>8518</v>
      </c>
      <c r="BD20" s="1896">
        <v>8875</v>
      </c>
      <c r="BE20" s="463"/>
      <c r="BF20" s="463"/>
      <c r="BG20" s="382" t="s">
        <v>8030</v>
      </c>
      <c r="BH20" s="463">
        <v>6</v>
      </c>
      <c r="BI20" s="382">
        <v>10</v>
      </c>
      <c r="BJ20" s="463">
        <v>10</v>
      </c>
      <c r="BK20" s="463">
        <v>13</v>
      </c>
      <c r="BL20" s="463"/>
      <c r="BN20" s="382" t="s">
        <v>8015</v>
      </c>
      <c r="BO20" s="1038">
        <v>0</v>
      </c>
      <c r="BP20" s="1038">
        <v>0</v>
      </c>
      <c r="BQ20" s="1038">
        <v>0</v>
      </c>
      <c r="BR20" s="1038">
        <v>1</v>
      </c>
      <c r="BU20" s="1916">
        <v>96929</v>
      </c>
      <c r="BV20" s="1912">
        <v>4835</v>
      </c>
      <c r="BW20" s="1912">
        <v>3325</v>
      </c>
      <c r="BX20" s="1912">
        <v>365</v>
      </c>
      <c r="BY20" s="1912">
        <v>385</v>
      </c>
      <c r="BZ20" s="1912">
        <v>250</v>
      </c>
      <c r="CA20" s="1912">
        <v>510</v>
      </c>
      <c r="CB20" s="1912">
        <v>5407</v>
      </c>
      <c r="CC20" s="1912">
        <v>3978</v>
      </c>
      <c r="CD20" s="1912">
        <v>437</v>
      </c>
      <c r="CE20" s="1912">
        <v>3475</v>
      </c>
      <c r="CG20" s="1618"/>
      <c r="CH20" s="549" t="s">
        <v>8031</v>
      </c>
      <c r="CI20" s="549"/>
      <c r="CJ20" s="549"/>
      <c r="CK20" s="549"/>
      <c r="CL20" s="549"/>
      <c r="CM20" s="549"/>
      <c r="CN20" s="549"/>
      <c r="DM20" s="382" t="s">
        <v>2649</v>
      </c>
      <c r="DN20" s="382">
        <v>48</v>
      </c>
      <c r="DO20" s="382">
        <v>49</v>
      </c>
      <c r="DP20" s="1922">
        <v>32</v>
      </c>
      <c r="DQ20" s="1922">
        <v>42</v>
      </c>
      <c r="DR20" s="1922">
        <v>4</v>
      </c>
      <c r="DS20" s="1922"/>
      <c r="DU20" s="382" t="s">
        <v>2356</v>
      </c>
      <c r="DV20" s="382">
        <v>2</v>
      </c>
      <c r="DW20" s="382">
        <v>0</v>
      </c>
      <c r="DX20" s="382">
        <v>0</v>
      </c>
      <c r="DY20" s="382">
        <v>5</v>
      </c>
      <c r="DZ20" s="382">
        <v>0</v>
      </c>
      <c r="EA20" s="382">
        <v>0</v>
      </c>
      <c r="EB20" s="463">
        <f t="shared" si="1"/>
        <v>2</v>
      </c>
      <c r="EC20" s="463">
        <f t="shared" si="2"/>
        <v>5</v>
      </c>
      <c r="ED20" s="549"/>
    </row>
    <row r="21" spans="1:134" ht="12.95" customHeight="1">
      <c r="A21" s="398" t="s">
        <v>7919</v>
      </c>
      <c r="B21" s="463">
        <v>106780</v>
      </c>
      <c r="C21" s="463">
        <v>95826</v>
      </c>
      <c r="D21" s="463">
        <v>106334</v>
      </c>
      <c r="E21" s="463">
        <v>109109</v>
      </c>
      <c r="F21" s="463">
        <v>108434</v>
      </c>
      <c r="G21" s="932"/>
      <c r="H21" s="932"/>
      <c r="I21" s="1633" t="s">
        <v>8032</v>
      </c>
      <c r="J21" s="1602"/>
      <c r="K21" s="1634">
        <v>24333</v>
      </c>
      <c r="P21" s="571" t="s">
        <v>8039</v>
      </c>
      <c r="Q21" s="549"/>
      <c r="R21" s="549"/>
      <c r="S21" s="549"/>
      <c r="T21" s="549"/>
      <c r="U21" s="549"/>
      <c r="Y21" s="381" t="s">
        <v>7962</v>
      </c>
      <c r="Z21" s="497">
        <v>581</v>
      </c>
      <c r="AA21" s="497">
        <v>31760</v>
      </c>
      <c r="AB21" s="497">
        <v>604</v>
      </c>
      <c r="AC21" s="497">
        <v>31177</v>
      </c>
      <c r="AD21" s="497">
        <v>615</v>
      </c>
      <c r="AE21" s="497">
        <v>32968</v>
      </c>
      <c r="AF21" s="497">
        <v>1213</v>
      </c>
      <c r="AG21" s="497">
        <v>34198</v>
      </c>
      <c r="AH21" s="497">
        <v>628</v>
      </c>
      <c r="AI21" s="497">
        <v>33794</v>
      </c>
      <c r="AJ21" s="463"/>
      <c r="AK21" s="463"/>
      <c r="AL21" s="382" t="s">
        <v>8033</v>
      </c>
      <c r="AM21" s="463">
        <v>5447</v>
      </c>
      <c r="AN21" s="463">
        <v>5761</v>
      </c>
      <c r="AO21" s="463">
        <v>5862</v>
      </c>
      <c r="AP21" s="463">
        <v>6086</v>
      </c>
      <c r="AS21" s="382" t="s">
        <v>8034</v>
      </c>
      <c r="AT21" s="1038">
        <v>1108</v>
      </c>
      <c r="AU21" s="1038">
        <v>1173</v>
      </c>
      <c r="AV21" s="1038">
        <v>1196</v>
      </c>
      <c r="AW21" s="1038">
        <v>1271</v>
      </c>
      <c r="AX21" s="562"/>
      <c r="AZ21" s="382" t="s">
        <v>8035</v>
      </c>
      <c r="BA21" s="1896">
        <v>7</v>
      </c>
      <c r="BB21" s="1896">
        <v>7</v>
      </c>
      <c r="BC21" s="1896">
        <v>7</v>
      </c>
      <c r="BD21" s="1896">
        <v>8</v>
      </c>
      <c r="BE21" s="463"/>
      <c r="BF21" s="463"/>
      <c r="BG21" s="382" t="s">
        <v>8036</v>
      </c>
      <c r="BH21" s="463">
        <v>14</v>
      </c>
      <c r="BI21" s="382">
        <v>18</v>
      </c>
      <c r="BJ21" s="463">
        <v>18</v>
      </c>
      <c r="BK21" s="463">
        <v>24</v>
      </c>
      <c r="BL21" s="463"/>
      <c r="BN21" s="382" t="s">
        <v>2185</v>
      </c>
      <c r="BO21" s="382">
        <v>1</v>
      </c>
      <c r="BP21" s="382">
        <v>4</v>
      </c>
      <c r="BQ21" s="619">
        <v>10</v>
      </c>
      <c r="BR21" s="619">
        <v>12</v>
      </c>
      <c r="BU21" s="1916">
        <v>96931</v>
      </c>
      <c r="BV21" s="1912">
        <v>4065</v>
      </c>
      <c r="BW21" s="1912">
        <v>2940</v>
      </c>
      <c r="BX21" s="1912">
        <v>215</v>
      </c>
      <c r="BY21" s="1912">
        <v>310</v>
      </c>
      <c r="BZ21" s="1912">
        <v>280</v>
      </c>
      <c r="CA21" s="1912">
        <v>320</v>
      </c>
      <c r="CB21" s="1912">
        <v>4972</v>
      </c>
      <c r="CC21" s="1912">
        <v>3884</v>
      </c>
      <c r="CD21" s="1912">
        <v>364</v>
      </c>
      <c r="CE21" s="1912">
        <v>3170</v>
      </c>
      <c r="CG21" s="1635"/>
      <c r="CH21" s="549" t="s">
        <v>8037</v>
      </c>
      <c r="CI21" s="549"/>
      <c r="CJ21" s="549"/>
      <c r="CK21" s="549"/>
      <c r="CL21" s="549"/>
      <c r="CM21" s="549"/>
      <c r="CN21" s="549"/>
      <c r="CP21" s="1636"/>
      <c r="CQ21" s="1636"/>
      <c r="CR21" s="1636"/>
      <c r="CS21" s="1636"/>
      <c r="CT21" s="1636"/>
      <c r="CU21" s="1636"/>
      <c r="CV21" s="1636"/>
      <c r="CY21" s="799"/>
      <c r="CZ21" s="799"/>
      <c r="DA21" s="799"/>
      <c r="DB21" s="799"/>
      <c r="DC21" s="799"/>
      <c r="DD21" s="799"/>
      <c r="DE21" s="799"/>
      <c r="DF21" s="799"/>
      <c r="DM21" s="382" t="s">
        <v>1699</v>
      </c>
      <c r="DN21" s="382">
        <v>2</v>
      </c>
      <c r="DO21" s="382">
        <v>0</v>
      </c>
      <c r="DP21" s="1922">
        <v>0</v>
      </c>
      <c r="DQ21" s="1922">
        <v>0</v>
      </c>
      <c r="DR21" s="1922">
        <v>0</v>
      </c>
      <c r="DS21" s="1922"/>
      <c r="DU21" s="382" t="s">
        <v>2208</v>
      </c>
      <c r="DV21" s="382">
        <v>25</v>
      </c>
      <c r="DW21" s="382">
        <v>0</v>
      </c>
      <c r="DX21" s="382">
        <v>73</v>
      </c>
      <c r="DY21" s="382">
        <v>61</v>
      </c>
      <c r="DZ21" s="382">
        <v>0</v>
      </c>
      <c r="EA21" s="382">
        <v>455</v>
      </c>
      <c r="EB21" s="463">
        <f t="shared" si="1"/>
        <v>98</v>
      </c>
      <c r="EC21" s="463">
        <f t="shared" si="2"/>
        <v>516</v>
      </c>
      <c r="ED21" s="549"/>
    </row>
    <row r="22" spans="1:134" ht="12.95" customHeight="1">
      <c r="A22" s="398" t="s">
        <v>7935</v>
      </c>
      <c r="B22" s="382">
        <v>183.36</v>
      </c>
      <c r="C22" s="382">
        <v>176.44</v>
      </c>
      <c r="D22" s="918">
        <v>189.7</v>
      </c>
      <c r="E22" s="382">
        <v>192.78</v>
      </c>
      <c r="F22" s="382">
        <v>191.08</v>
      </c>
      <c r="G22" s="463"/>
      <c r="H22" s="463"/>
      <c r="I22" s="1633" t="s">
        <v>8038</v>
      </c>
      <c r="J22" s="1602"/>
      <c r="K22" s="1634">
        <v>89839</v>
      </c>
      <c r="P22" s="571" t="s">
        <v>7961</v>
      </c>
      <c r="Q22" s="549"/>
      <c r="R22" s="549"/>
      <c r="S22" s="549"/>
      <c r="T22" s="549"/>
      <c r="U22" s="549"/>
      <c r="Y22" s="549" t="s">
        <v>7968</v>
      </c>
      <c r="Z22" s="549"/>
      <c r="AA22" s="549"/>
      <c r="AK22" s="463"/>
      <c r="AL22" s="382" t="s">
        <v>8040</v>
      </c>
      <c r="AM22" s="463">
        <v>4246</v>
      </c>
      <c r="AN22" s="463">
        <v>4465</v>
      </c>
      <c r="AO22" s="463">
        <v>4541</v>
      </c>
      <c r="AP22" s="463">
        <v>4667</v>
      </c>
      <c r="AS22" s="382" t="s">
        <v>8041</v>
      </c>
      <c r="AT22" s="1038">
        <v>0</v>
      </c>
      <c r="AU22" s="1038">
        <v>0</v>
      </c>
      <c r="AV22" s="1038">
        <v>0</v>
      </c>
      <c r="AW22" s="1038">
        <v>0</v>
      </c>
      <c r="AX22" s="562"/>
      <c r="AZ22" s="382" t="s">
        <v>2645</v>
      </c>
      <c r="BA22" s="1896">
        <v>61</v>
      </c>
      <c r="BB22" s="1896">
        <v>63</v>
      </c>
      <c r="BC22" s="1896">
        <v>66</v>
      </c>
      <c r="BD22" s="1896">
        <v>66</v>
      </c>
      <c r="BE22" s="463"/>
      <c r="BF22" s="463"/>
      <c r="BG22" s="382" t="s">
        <v>8042</v>
      </c>
      <c r="BH22" s="463">
        <v>8</v>
      </c>
      <c r="BI22" s="382">
        <v>13</v>
      </c>
      <c r="BJ22" s="463">
        <v>13</v>
      </c>
      <c r="BK22" s="463">
        <v>15</v>
      </c>
      <c r="BL22" s="463"/>
      <c r="BN22" s="382" t="s">
        <v>2353</v>
      </c>
      <c r="BO22" s="382">
        <v>0</v>
      </c>
      <c r="BP22" s="382">
        <v>0</v>
      </c>
      <c r="BQ22" s="619">
        <v>0</v>
      </c>
      <c r="BR22" s="619">
        <v>0</v>
      </c>
      <c r="BU22" s="1917">
        <v>96932</v>
      </c>
      <c r="BV22" s="1918">
        <v>3150</v>
      </c>
      <c r="BW22" s="1918">
        <v>2230</v>
      </c>
      <c r="BX22" s="1918">
        <v>210</v>
      </c>
      <c r="BY22" s="1918">
        <v>275</v>
      </c>
      <c r="BZ22" s="1918">
        <v>145</v>
      </c>
      <c r="CA22" s="1918">
        <v>290</v>
      </c>
      <c r="CB22" s="1918">
        <v>3922</v>
      </c>
      <c r="CC22" s="1918">
        <v>2992</v>
      </c>
      <c r="CD22" s="1918">
        <v>325</v>
      </c>
      <c r="CE22" s="1918">
        <v>2435</v>
      </c>
      <c r="CG22" s="1635"/>
      <c r="CH22" s="549" t="s">
        <v>8043</v>
      </c>
      <c r="CI22" s="549"/>
      <c r="CJ22" s="549"/>
      <c r="CK22" s="549"/>
      <c r="CL22" s="549"/>
      <c r="CM22" s="549"/>
      <c r="CN22" s="549"/>
      <c r="CP22" s="1636"/>
      <c r="CQ22" s="1636"/>
      <c r="CR22" s="1636"/>
      <c r="CS22" s="1636"/>
      <c r="CT22" s="1636"/>
      <c r="CU22" s="1636"/>
      <c r="CV22" s="1636"/>
      <c r="CY22" s="799"/>
      <c r="CZ22" s="799"/>
      <c r="DA22" s="799"/>
      <c r="DB22" s="799"/>
      <c r="DC22" s="799"/>
      <c r="DD22" s="799"/>
      <c r="DE22" s="799"/>
      <c r="DF22" s="799"/>
      <c r="DM22" s="382" t="s">
        <v>8044</v>
      </c>
      <c r="DN22" s="382">
        <v>49</v>
      </c>
      <c r="DO22" s="382">
        <v>22</v>
      </c>
      <c r="DP22" s="1087">
        <v>0</v>
      </c>
      <c r="DQ22" s="1922">
        <v>0</v>
      </c>
      <c r="DR22" s="1922">
        <v>57</v>
      </c>
      <c r="DS22" s="1922"/>
      <c r="DU22" s="381" t="s">
        <v>2209</v>
      </c>
      <c r="DV22" s="381">
        <v>3</v>
      </c>
      <c r="DW22" s="381">
        <v>0</v>
      </c>
      <c r="DX22" s="381">
        <v>1</v>
      </c>
      <c r="DY22" s="381">
        <v>6</v>
      </c>
      <c r="DZ22" s="381">
        <v>0</v>
      </c>
      <c r="EA22" s="381">
        <v>5</v>
      </c>
      <c r="EB22" s="497">
        <f t="shared" si="1"/>
        <v>4</v>
      </c>
      <c r="EC22" s="497">
        <f t="shared" si="2"/>
        <v>11</v>
      </c>
      <c r="ED22" s="549"/>
    </row>
    <row r="23" spans="1:134" ht="12.95" customHeight="1">
      <c r="A23" s="398"/>
      <c r="I23" s="1633" t="s">
        <v>8045</v>
      </c>
      <c r="J23" s="1602"/>
      <c r="K23" s="1634">
        <v>82316</v>
      </c>
      <c r="P23" s="571" t="s">
        <v>8052</v>
      </c>
      <c r="Q23" s="549"/>
      <c r="R23" s="549"/>
      <c r="S23" s="549"/>
      <c r="T23" s="549"/>
      <c r="U23" s="549"/>
      <c r="AL23" s="382" t="s">
        <v>8046</v>
      </c>
      <c r="AM23" s="463">
        <v>4888</v>
      </c>
      <c r="AN23" s="463">
        <v>5175</v>
      </c>
      <c r="AO23" s="463">
        <v>5250</v>
      </c>
      <c r="AP23" s="463">
        <v>5458</v>
      </c>
      <c r="AS23" s="382" t="s">
        <v>3737</v>
      </c>
      <c r="AT23" s="1889">
        <v>326</v>
      </c>
      <c r="AU23" s="1889">
        <v>360</v>
      </c>
      <c r="AV23" s="1889">
        <v>364</v>
      </c>
      <c r="AW23" s="1889">
        <v>382</v>
      </c>
      <c r="AX23" s="562"/>
      <c r="AZ23" s="382" t="s">
        <v>2661</v>
      </c>
      <c r="BA23" s="1896">
        <v>21</v>
      </c>
      <c r="BB23" s="1896">
        <v>22</v>
      </c>
      <c r="BC23" s="1896">
        <v>22</v>
      </c>
      <c r="BD23" s="1896">
        <v>24</v>
      </c>
      <c r="BE23" s="463"/>
      <c r="BF23" s="463"/>
      <c r="BG23" s="382" t="s">
        <v>8046</v>
      </c>
      <c r="BH23" s="463">
        <v>10</v>
      </c>
      <c r="BI23" s="382">
        <v>15</v>
      </c>
      <c r="BJ23" s="463">
        <v>21</v>
      </c>
      <c r="BK23" s="463">
        <v>25</v>
      </c>
      <c r="BL23" s="463"/>
      <c r="BN23" s="382" t="s">
        <v>8034</v>
      </c>
      <c r="BO23" s="382">
        <v>1</v>
      </c>
      <c r="BP23" s="382">
        <v>0</v>
      </c>
      <c r="BQ23" s="1038">
        <v>0</v>
      </c>
      <c r="BR23" s="1038">
        <v>0</v>
      </c>
      <c r="BU23" s="1915" t="s">
        <v>8047</v>
      </c>
      <c r="BV23" s="1912"/>
      <c r="BW23" s="1912"/>
      <c r="BX23" s="1912"/>
      <c r="BY23" s="1912"/>
      <c r="BZ23" s="1912"/>
      <c r="CA23" s="1912"/>
      <c r="CB23" s="1912"/>
      <c r="CC23" s="1912"/>
      <c r="CD23" s="1912"/>
      <c r="CE23" s="1912"/>
      <c r="CG23" s="1635"/>
      <c r="CH23" s="549" t="s">
        <v>8048</v>
      </c>
      <c r="CI23" s="549"/>
      <c r="CJ23" s="549"/>
      <c r="CK23" s="549"/>
      <c r="CL23" s="549"/>
      <c r="CM23" s="549"/>
      <c r="CN23" s="549"/>
      <c r="CP23" s="1636"/>
      <c r="CQ23" s="1636"/>
      <c r="CR23" s="1636"/>
      <c r="CS23" s="1636"/>
      <c r="CT23" s="1636"/>
      <c r="CU23" s="1636"/>
      <c r="CV23" s="1636"/>
      <c r="CX23" s="549"/>
      <c r="CY23" s="549"/>
      <c r="CZ23" s="549"/>
      <c r="DA23" s="549"/>
      <c r="DB23" s="549"/>
      <c r="DC23" s="549"/>
      <c r="DD23" s="549"/>
      <c r="DE23" s="799"/>
      <c r="DF23" s="799"/>
      <c r="DG23" s="381" t="s">
        <v>8049</v>
      </c>
      <c r="DM23" s="382" t="s">
        <v>8050</v>
      </c>
      <c r="DN23" s="382">
        <v>55</v>
      </c>
      <c r="DO23" s="382">
        <f>66+3</f>
        <v>69</v>
      </c>
      <c r="DP23" s="1922">
        <v>56</v>
      </c>
      <c r="DQ23" s="1922">
        <v>48</v>
      </c>
      <c r="DR23" s="1922">
        <v>0</v>
      </c>
      <c r="DS23" s="1922"/>
      <c r="DU23" s="549" t="s">
        <v>8022</v>
      </c>
      <c r="DV23" s="549"/>
      <c r="DW23" s="549"/>
      <c r="DX23" s="549"/>
    </row>
    <row r="24" spans="1:134" ht="12.95" customHeight="1">
      <c r="A24" s="382" t="s">
        <v>7951</v>
      </c>
      <c r="G24" s="463"/>
      <c r="H24" s="463"/>
      <c r="I24" s="1633" t="s">
        <v>8051</v>
      </c>
      <c r="J24" s="1602"/>
      <c r="K24" s="1634">
        <v>227328</v>
      </c>
      <c r="N24" s="439"/>
      <c r="P24" s="571" t="s">
        <v>8057</v>
      </c>
      <c r="Q24" s="549"/>
      <c r="R24" s="549"/>
      <c r="S24" s="549"/>
      <c r="T24" s="549"/>
      <c r="U24" s="549"/>
      <c r="AL24" s="387" t="s">
        <v>8053</v>
      </c>
      <c r="AM24" s="497">
        <v>3352</v>
      </c>
      <c r="AN24" s="497">
        <v>3514</v>
      </c>
      <c r="AO24" s="497">
        <v>3573</v>
      </c>
      <c r="AP24" s="497">
        <v>3741</v>
      </c>
      <c r="AS24" s="382" t="s">
        <v>2195</v>
      </c>
      <c r="AT24" s="1038">
        <v>392</v>
      </c>
      <c r="AU24" s="1038">
        <v>391</v>
      </c>
      <c r="AV24" s="1038">
        <v>408</v>
      </c>
      <c r="AW24" s="1038">
        <v>400</v>
      </c>
      <c r="AX24" s="562"/>
      <c r="AZ24" s="382" t="s">
        <v>1697</v>
      </c>
      <c r="BA24" s="1896">
        <v>142</v>
      </c>
      <c r="BB24" s="1896">
        <v>165</v>
      </c>
      <c r="BC24" s="1896">
        <v>165</v>
      </c>
      <c r="BD24" s="1896">
        <v>176</v>
      </c>
      <c r="BG24" s="387" t="s">
        <v>8053</v>
      </c>
      <c r="BH24" s="497">
        <v>37</v>
      </c>
      <c r="BI24" s="381">
        <v>42</v>
      </c>
      <c r="BJ24" s="497">
        <v>45</v>
      </c>
      <c r="BK24" s="497">
        <v>52</v>
      </c>
      <c r="BN24" s="382" t="s">
        <v>3737</v>
      </c>
      <c r="BO24" s="382">
        <v>0</v>
      </c>
      <c r="BP24" s="382">
        <v>0</v>
      </c>
      <c r="BQ24" s="619">
        <v>0</v>
      </c>
      <c r="BR24" s="619">
        <v>1</v>
      </c>
      <c r="BU24" s="1915" t="s">
        <v>8054</v>
      </c>
      <c r="BV24" s="1912"/>
      <c r="BW24" s="1912"/>
      <c r="BX24" s="1912"/>
      <c r="BY24" s="1912"/>
      <c r="BZ24" s="1912"/>
      <c r="CA24" s="1912"/>
      <c r="CB24" s="1912"/>
      <c r="CC24" s="1912"/>
      <c r="CD24" s="1912"/>
      <c r="CE24" s="1912"/>
      <c r="CG24" s="1637"/>
      <c r="CN24" s="549"/>
      <c r="CP24" s="1636"/>
      <c r="CQ24" s="1636"/>
      <c r="CR24" s="1636"/>
      <c r="CS24" s="1636"/>
      <c r="CT24" s="1636"/>
      <c r="CU24" s="1636"/>
      <c r="CV24" s="1636"/>
      <c r="CX24" s="549"/>
      <c r="CY24" s="2275"/>
      <c r="CZ24" s="2275"/>
      <c r="DA24" s="2275"/>
      <c r="DB24" s="2275"/>
      <c r="DC24" s="882"/>
      <c r="DD24" s="882"/>
      <c r="DG24" s="388" t="s">
        <v>2449</v>
      </c>
      <c r="DH24" s="664" t="s">
        <v>129</v>
      </c>
      <c r="DI24" s="894"/>
      <c r="DJ24" s="894"/>
      <c r="DM24" s="381" t="s">
        <v>2597</v>
      </c>
      <c r="DN24" s="381">
        <v>0</v>
      </c>
      <c r="DO24" s="381">
        <v>0</v>
      </c>
      <c r="DP24" s="1924">
        <v>0</v>
      </c>
      <c r="DQ24" s="1924">
        <v>0</v>
      </c>
      <c r="DR24" s="1924">
        <v>0</v>
      </c>
      <c r="DS24" s="1922"/>
      <c r="DU24" s="549" t="s">
        <v>8055</v>
      </c>
      <c r="DV24" s="549"/>
      <c r="DW24" s="549"/>
      <c r="DX24" s="549"/>
    </row>
    <row r="25" spans="1:134" ht="12.95" customHeight="1">
      <c r="A25" s="382" t="s">
        <v>7910</v>
      </c>
      <c r="B25" s="463">
        <v>15447</v>
      </c>
      <c r="C25" s="463">
        <v>15227</v>
      </c>
      <c r="D25" s="463">
        <v>15551</v>
      </c>
      <c r="E25" s="463">
        <v>15556</v>
      </c>
      <c r="F25" s="463">
        <v>15480</v>
      </c>
      <c r="G25" s="932"/>
      <c r="H25" s="932"/>
      <c r="I25" s="1638" t="s">
        <v>8056</v>
      </c>
      <c r="J25" s="1639"/>
      <c r="K25" s="1640">
        <v>90701</v>
      </c>
      <c r="N25" s="463"/>
      <c r="P25" s="549"/>
      <c r="AL25" s="549" t="s">
        <v>8058</v>
      </c>
      <c r="AM25" s="549"/>
      <c r="AN25" s="549"/>
      <c r="AO25" s="549"/>
      <c r="AP25" s="549"/>
      <c r="AS25" s="382" t="s">
        <v>2198</v>
      </c>
      <c r="AT25" s="1889">
        <v>666</v>
      </c>
      <c r="AU25" s="1894">
        <v>703</v>
      </c>
      <c r="AV25" s="1889">
        <v>721</v>
      </c>
      <c r="AW25" s="1889">
        <v>697</v>
      </c>
      <c r="AX25" s="562"/>
      <c r="AZ25" s="382" t="s">
        <v>1698</v>
      </c>
      <c r="BA25" s="1896">
        <v>350</v>
      </c>
      <c r="BB25" s="1896">
        <v>368</v>
      </c>
      <c r="BC25" s="1896">
        <v>374</v>
      </c>
      <c r="BD25" s="1896">
        <v>393</v>
      </c>
      <c r="BG25" s="549" t="s">
        <v>8058</v>
      </c>
      <c r="BH25" s="549"/>
      <c r="BI25" s="549"/>
      <c r="BJ25" s="463"/>
      <c r="BK25" s="463"/>
      <c r="BN25" s="382" t="s">
        <v>2195</v>
      </c>
      <c r="BO25" s="382">
        <v>0</v>
      </c>
      <c r="BP25" s="382">
        <v>2</v>
      </c>
      <c r="BQ25" s="619">
        <v>2</v>
      </c>
      <c r="BR25" s="619">
        <v>2</v>
      </c>
      <c r="BU25" s="1915" t="s">
        <v>8059</v>
      </c>
      <c r="BV25" s="1912"/>
      <c r="BW25" s="1912"/>
      <c r="BX25" s="1912"/>
      <c r="BY25" s="1912"/>
      <c r="BZ25" s="1912"/>
      <c r="CA25" s="1912"/>
      <c r="CB25" s="1912"/>
      <c r="CC25" s="1912"/>
      <c r="CD25" s="1912"/>
      <c r="CE25" s="1912"/>
      <c r="CG25" s="1642"/>
      <c r="CH25" s="1881"/>
      <c r="CN25" s="549"/>
      <c r="CP25" s="549"/>
      <c r="CQ25" s="549"/>
      <c r="CR25" s="549"/>
      <c r="CS25" s="549"/>
      <c r="CT25" s="549"/>
      <c r="CU25" s="549"/>
      <c r="CV25" s="1636"/>
      <c r="CX25" s="549"/>
      <c r="CY25" s="861"/>
      <c r="CZ25" s="861"/>
      <c r="DA25" s="861"/>
      <c r="DB25" s="861"/>
      <c r="DC25" s="861"/>
      <c r="DD25" s="861"/>
      <c r="DG25" s="439" t="s">
        <v>129</v>
      </c>
      <c r="DH25" s="435">
        <v>1075</v>
      </c>
      <c r="DI25" s="439"/>
      <c r="DJ25" s="439"/>
      <c r="DM25" s="549" t="s">
        <v>8022</v>
      </c>
      <c r="DN25" s="549"/>
      <c r="DO25" s="549"/>
      <c r="DP25" s="549"/>
    </row>
    <row r="26" spans="1:134" ht="12.95" customHeight="1">
      <c r="A26" s="381" t="s">
        <v>7966</v>
      </c>
      <c r="B26" s="381">
        <v>576.05999999999995</v>
      </c>
      <c r="C26" s="381">
        <v>524.42999999999995</v>
      </c>
      <c r="D26" s="381">
        <v>569.82000000000005</v>
      </c>
      <c r="E26" s="381">
        <v>584.5</v>
      </c>
      <c r="F26" s="381">
        <v>583.75</v>
      </c>
      <c r="I26" s="571" t="s">
        <v>7936</v>
      </c>
      <c r="J26" s="549"/>
      <c r="K26" s="549"/>
      <c r="L26" s="549"/>
      <c r="M26" s="549"/>
      <c r="N26" s="562"/>
      <c r="O26" s="549"/>
      <c r="P26" s="549"/>
      <c r="Y26" s="381" t="s">
        <v>8060</v>
      </c>
      <c r="Z26" s="381"/>
      <c r="AA26" s="381"/>
      <c r="AB26" s="381"/>
      <c r="AC26" s="381"/>
      <c r="AD26" s="381"/>
      <c r="AG26" s="414"/>
      <c r="AH26" s="414"/>
      <c r="AI26" s="414"/>
      <c r="AJ26" s="414"/>
      <c r="AS26" s="382" t="s">
        <v>2261</v>
      </c>
      <c r="AT26" s="1889">
        <v>897</v>
      </c>
      <c r="AU26" s="1894">
        <v>971</v>
      </c>
      <c r="AV26" s="1889">
        <v>974</v>
      </c>
      <c r="AW26" s="1889">
        <v>999</v>
      </c>
      <c r="AZ26" s="382" t="s">
        <v>2654</v>
      </c>
      <c r="BA26" s="1896">
        <v>226</v>
      </c>
      <c r="BB26" s="1896">
        <v>240</v>
      </c>
      <c r="BC26" s="1896">
        <v>246</v>
      </c>
      <c r="BD26" s="1896">
        <v>266</v>
      </c>
      <c r="BG26" s="463"/>
      <c r="BH26" s="463"/>
      <c r="BI26" s="463"/>
      <c r="BJ26" s="463"/>
      <c r="BK26" s="463"/>
      <c r="BN26" s="382" t="s">
        <v>2198</v>
      </c>
      <c r="BO26" s="382">
        <v>0</v>
      </c>
      <c r="BP26" s="382">
        <v>0</v>
      </c>
      <c r="BQ26" s="463">
        <v>0</v>
      </c>
      <c r="BR26" s="1038">
        <v>0</v>
      </c>
      <c r="BU26" s="1915" t="s">
        <v>8061</v>
      </c>
      <c r="CG26" s="1643"/>
      <c r="CN26" s="549"/>
      <c r="CP26" s="571"/>
      <c r="CQ26" s="901"/>
      <c r="CR26" s="901"/>
      <c r="CS26" s="901"/>
      <c r="CT26" s="901"/>
      <c r="CU26" s="571"/>
      <c r="CV26" s="1636"/>
      <c r="CX26" s="549"/>
      <c r="CY26" s="986"/>
      <c r="CZ26" s="1620"/>
      <c r="DA26" s="986"/>
      <c r="DB26" s="1620"/>
      <c r="DC26" s="986"/>
      <c r="DD26" s="1620"/>
      <c r="DG26" s="439" t="s">
        <v>7918</v>
      </c>
      <c r="DH26" s="382">
        <v>111</v>
      </c>
      <c r="DM26" s="549" t="s">
        <v>8055</v>
      </c>
      <c r="DN26" s="549"/>
      <c r="DO26" s="549"/>
      <c r="DP26" s="549"/>
    </row>
    <row r="27" spans="1:134" ht="12.95" customHeight="1">
      <c r="A27" s="549" t="s">
        <v>7973</v>
      </c>
      <c r="B27" s="549"/>
      <c r="C27" s="549"/>
      <c r="D27" s="549"/>
      <c r="E27" s="549"/>
      <c r="I27" s="571" t="s">
        <v>8063</v>
      </c>
      <c r="J27" s="549"/>
      <c r="K27" s="549"/>
      <c r="L27" s="549"/>
      <c r="M27" s="549"/>
      <c r="N27" s="1882"/>
      <c r="O27" s="549"/>
      <c r="P27" s="549"/>
      <c r="Q27" s="621"/>
      <c r="R27" s="621"/>
      <c r="S27" s="621"/>
      <c r="T27" s="621"/>
      <c r="Y27" s="610" t="s">
        <v>7899</v>
      </c>
      <c r="Z27" s="642" t="s">
        <v>3007</v>
      </c>
      <c r="AA27" s="642" t="s">
        <v>3058</v>
      </c>
      <c r="AB27" s="642" t="s">
        <v>3108</v>
      </c>
      <c r="AC27" s="642" t="s">
        <v>3132</v>
      </c>
      <c r="AD27" s="664" t="s">
        <v>3151</v>
      </c>
      <c r="AE27" s="664" t="s">
        <v>3165</v>
      </c>
      <c r="AF27" s="901"/>
      <c r="AG27" s="385"/>
      <c r="AH27" s="385"/>
      <c r="AI27" s="385"/>
      <c r="AJ27" s="385"/>
      <c r="AK27" s="414"/>
      <c r="AQ27" s="385"/>
      <c r="AS27" s="382" t="s">
        <v>2201</v>
      </c>
      <c r="AT27" s="1889">
        <v>813</v>
      </c>
      <c r="AU27" s="1895">
        <v>847</v>
      </c>
      <c r="AV27" s="1894">
        <v>865</v>
      </c>
      <c r="AW27" s="1894">
        <v>944</v>
      </c>
      <c r="AY27" s="986"/>
      <c r="AZ27" s="382" t="s">
        <v>2652</v>
      </c>
      <c r="BA27" s="1038">
        <v>146</v>
      </c>
      <c r="BB27" s="1896">
        <v>158</v>
      </c>
      <c r="BC27" s="1038">
        <v>166</v>
      </c>
      <c r="BD27" s="1038">
        <v>171</v>
      </c>
      <c r="BN27" s="382" t="s">
        <v>2261</v>
      </c>
      <c r="BO27" s="382">
        <v>0</v>
      </c>
      <c r="BP27" s="382">
        <v>0</v>
      </c>
      <c r="BQ27" s="463">
        <v>0</v>
      </c>
      <c r="BR27" s="1038">
        <v>0</v>
      </c>
      <c r="BS27" s="1617"/>
      <c r="BU27" s="1915"/>
      <c r="CH27" s="382" t="s">
        <v>8064</v>
      </c>
      <c r="CN27" s="549"/>
      <c r="CP27" s="549"/>
      <c r="CQ27" s="986"/>
      <c r="CR27" s="986"/>
      <c r="CS27" s="986"/>
      <c r="CT27" s="986"/>
      <c r="CU27" s="562"/>
      <c r="CV27" s="1636"/>
      <c r="CW27" s="1636"/>
      <c r="CX27" s="549"/>
      <c r="CY27" s="562"/>
      <c r="CZ27" s="1620"/>
      <c r="DA27" s="562"/>
      <c r="DB27" s="1620"/>
      <c r="DC27" s="562"/>
      <c r="DD27" s="1620"/>
      <c r="DG27" s="439" t="s">
        <v>7932</v>
      </c>
      <c r="DH27" s="382">
        <v>93</v>
      </c>
    </row>
    <row r="28" spans="1:134" ht="12.95" customHeight="1">
      <c r="A28" s="549" t="s">
        <v>8062</v>
      </c>
      <c r="B28" s="549"/>
      <c r="C28" s="549"/>
      <c r="D28" s="549"/>
      <c r="E28" s="549"/>
      <c r="I28" s="571" t="s">
        <v>8065</v>
      </c>
      <c r="J28" s="549"/>
      <c r="K28" s="549"/>
      <c r="L28" s="549"/>
      <c r="M28" s="549"/>
      <c r="N28" s="571"/>
      <c r="O28" s="549"/>
      <c r="P28" s="549" t="s">
        <v>8066</v>
      </c>
      <c r="Q28" s="1645"/>
      <c r="R28" s="1406"/>
      <c r="S28" s="1406"/>
      <c r="T28" s="1406"/>
      <c r="U28" s="1406"/>
      <c r="Y28" s="382" t="s">
        <v>4314</v>
      </c>
      <c r="Z28" s="1892">
        <v>2336893</v>
      </c>
      <c r="AA28" s="1892">
        <v>2451515</v>
      </c>
      <c r="AB28" s="1892">
        <v>2906878</v>
      </c>
      <c r="AC28" s="1892">
        <v>3145594</v>
      </c>
      <c r="AD28" s="1892">
        <v>2997416</v>
      </c>
      <c r="AE28" s="1892">
        <v>3135719</v>
      </c>
      <c r="AF28" s="562"/>
      <c r="AG28" s="463"/>
      <c r="AH28" s="463"/>
      <c r="AI28" s="463"/>
      <c r="AJ28" s="463"/>
      <c r="AK28" s="385"/>
      <c r="AQ28" s="463"/>
      <c r="AS28" s="382" t="s">
        <v>2202</v>
      </c>
      <c r="AT28" s="1889">
        <v>2970</v>
      </c>
      <c r="AU28" s="1894">
        <v>3159</v>
      </c>
      <c r="AV28" s="1894">
        <v>3214</v>
      </c>
      <c r="AW28" s="1894">
        <v>3318</v>
      </c>
      <c r="AY28" s="986"/>
      <c r="AZ28" s="382" t="s">
        <v>6301</v>
      </c>
      <c r="BA28" s="1896">
        <v>40</v>
      </c>
      <c r="BB28" s="1038">
        <v>42</v>
      </c>
      <c r="BC28" s="1896">
        <v>45</v>
      </c>
      <c r="BD28" s="1896">
        <v>46</v>
      </c>
      <c r="BF28" s="402"/>
      <c r="BG28" s="381" t="s">
        <v>8067</v>
      </c>
      <c r="BH28" s="381"/>
      <c r="BI28" s="381"/>
      <c r="BJ28" s="381"/>
      <c r="BK28" s="381"/>
      <c r="BL28" s="402"/>
      <c r="BN28" s="382" t="s">
        <v>2201</v>
      </c>
      <c r="BO28" s="382">
        <v>0</v>
      </c>
      <c r="BP28" s="382">
        <v>1</v>
      </c>
      <c r="BQ28" s="463">
        <v>1</v>
      </c>
      <c r="BR28" s="619">
        <v>3</v>
      </c>
      <c r="BS28" s="1617"/>
      <c r="BU28" s="1915"/>
      <c r="BW28" s="1881"/>
      <c r="CH28" s="904" t="s">
        <v>7891</v>
      </c>
      <c r="CI28" s="389">
        <v>2018</v>
      </c>
      <c r="CJ28" s="390">
        <v>2017</v>
      </c>
      <c r="CK28" s="664" t="s">
        <v>8068</v>
      </c>
      <c r="CL28" s="390">
        <v>2015</v>
      </c>
      <c r="CM28" s="390">
        <v>2014</v>
      </c>
      <c r="CN28" s="901"/>
      <c r="CP28" s="1619"/>
      <c r="CQ28" s="901"/>
      <c r="CR28" s="901"/>
      <c r="CS28" s="901"/>
      <c r="CT28" s="901"/>
      <c r="CU28" s="571"/>
      <c r="CV28" s="1636"/>
      <c r="CW28" s="1636"/>
      <c r="CX28" s="549"/>
      <c r="CY28" s="986"/>
      <c r="CZ28" s="1620"/>
      <c r="DA28" s="986"/>
      <c r="DB28" s="1620"/>
      <c r="DC28" s="986"/>
      <c r="DD28" s="1620"/>
      <c r="DG28" s="439" t="s">
        <v>7941</v>
      </c>
      <c r="DH28" s="382">
        <v>80</v>
      </c>
      <c r="DU28" s="381" t="s">
        <v>8069</v>
      </c>
      <c r="DV28" s="381"/>
      <c r="DW28" s="381"/>
      <c r="DX28" s="381"/>
      <c r="DY28" s="381"/>
      <c r="DZ28" s="381"/>
      <c r="EA28" s="381"/>
    </row>
    <row r="29" spans="1:134" ht="12.95" customHeight="1">
      <c r="I29" s="571" t="s">
        <v>8070</v>
      </c>
      <c r="J29" s="549"/>
      <c r="K29" s="549"/>
      <c r="L29" s="549"/>
      <c r="M29" s="549"/>
      <c r="N29" s="571"/>
      <c r="O29" s="549"/>
      <c r="P29" s="1608" t="s">
        <v>1810</v>
      </c>
      <c r="Q29" s="1094" t="s">
        <v>2304</v>
      </c>
      <c r="R29" s="1094" t="s">
        <v>2305</v>
      </c>
      <c r="S29" s="1094" t="s">
        <v>2306</v>
      </c>
      <c r="T29" s="1094" t="s">
        <v>2307</v>
      </c>
      <c r="U29" s="1094" t="s">
        <v>7885</v>
      </c>
      <c r="V29" s="658" t="s">
        <v>7886</v>
      </c>
      <c r="Y29" s="382" t="s">
        <v>8071</v>
      </c>
      <c r="Z29" s="1892">
        <v>617352</v>
      </c>
      <c r="AA29" s="1892">
        <v>1029320</v>
      </c>
      <c r="AB29" s="1892">
        <v>950194</v>
      </c>
      <c r="AC29" s="1892">
        <v>1109116</v>
      </c>
      <c r="AD29" s="1892">
        <v>1096780</v>
      </c>
      <c r="AE29" s="1892">
        <v>1298914</v>
      </c>
      <c r="AF29" s="562"/>
      <c r="AG29" s="463"/>
      <c r="AH29" s="463"/>
      <c r="AI29" s="463"/>
      <c r="AJ29" s="463"/>
      <c r="AK29" s="463"/>
      <c r="AL29" s="381" t="s">
        <v>8072</v>
      </c>
      <c r="AM29" s="381"/>
      <c r="AN29" s="381"/>
      <c r="AO29" s="381"/>
      <c r="AP29" s="381"/>
      <c r="AQ29" s="463"/>
      <c r="AS29" s="391" t="s">
        <v>3665</v>
      </c>
      <c r="AT29" s="1889">
        <v>1152</v>
      </c>
      <c r="AU29" s="1895">
        <v>1254</v>
      </c>
      <c r="AV29" s="1895">
        <v>1269</v>
      </c>
      <c r="AW29" s="1895">
        <v>1244</v>
      </c>
      <c r="AY29" s="562"/>
      <c r="AZ29" s="382" t="s">
        <v>465</v>
      </c>
      <c r="BA29" s="1038">
        <v>0</v>
      </c>
      <c r="BB29" s="1038">
        <v>0</v>
      </c>
      <c r="BC29" s="1038">
        <v>0</v>
      </c>
      <c r="BD29" s="1038">
        <v>0</v>
      </c>
      <c r="BF29" s="385"/>
      <c r="BH29" s="2078" t="s">
        <v>8073</v>
      </c>
      <c r="BI29" s="2079"/>
      <c r="BJ29" s="2079"/>
      <c r="BK29" s="2079"/>
      <c r="BL29" s="385"/>
      <c r="BN29" s="391" t="s">
        <v>2202</v>
      </c>
      <c r="BO29" s="382">
        <v>11</v>
      </c>
      <c r="BP29" s="382">
        <v>18</v>
      </c>
      <c r="BQ29" s="463">
        <v>18</v>
      </c>
      <c r="BR29" s="1038">
        <v>18</v>
      </c>
      <c r="BS29" s="641"/>
      <c r="CH29" s="382" t="s">
        <v>8074</v>
      </c>
      <c r="CN29" s="562"/>
      <c r="CP29" s="1619"/>
      <c r="CQ29" s="901"/>
      <c r="CR29" s="901"/>
      <c r="CS29" s="986"/>
      <c r="CT29" s="986"/>
      <c r="CU29" s="562"/>
      <c r="CV29" s="1636"/>
      <c r="CW29" s="1636"/>
      <c r="CX29" s="549"/>
      <c r="CY29" s="549"/>
      <c r="CZ29" s="549"/>
      <c r="DA29" s="549"/>
      <c r="DB29" s="549"/>
      <c r="DC29" s="549"/>
      <c r="DD29" s="549"/>
      <c r="DG29" s="439" t="s">
        <v>7949</v>
      </c>
      <c r="DH29" s="382">
        <v>73</v>
      </c>
      <c r="DV29" s="405" t="s">
        <v>7893</v>
      </c>
      <c r="DW29" s="405" t="s">
        <v>7893</v>
      </c>
      <c r="DX29" s="405" t="s">
        <v>7893</v>
      </c>
      <c r="DY29" s="405" t="s">
        <v>7894</v>
      </c>
      <c r="DZ29" s="405" t="s">
        <v>7894</v>
      </c>
      <c r="EA29" s="405" t="s">
        <v>7894</v>
      </c>
      <c r="EB29" s="405" t="s">
        <v>129</v>
      </c>
      <c r="EC29" s="405" t="s">
        <v>129</v>
      </c>
      <c r="ED29" s="861"/>
    </row>
    <row r="30" spans="1:134" ht="12.95" customHeight="1">
      <c r="I30" s="571" t="s">
        <v>8075</v>
      </c>
      <c r="J30" s="861"/>
      <c r="K30" s="861"/>
      <c r="L30" s="861"/>
      <c r="M30" s="861"/>
      <c r="N30" s="571"/>
      <c r="O30" s="549"/>
      <c r="P30" s="549" t="s">
        <v>8076</v>
      </c>
      <c r="Q30" s="463">
        <v>14096</v>
      </c>
      <c r="R30" s="463">
        <v>14774</v>
      </c>
      <c r="S30" s="463">
        <v>10587</v>
      </c>
      <c r="T30" s="463">
        <v>12021</v>
      </c>
      <c r="U30" s="463">
        <v>15441</v>
      </c>
      <c r="V30" s="463">
        <v>19493</v>
      </c>
      <c r="Y30" s="382" t="s">
        <v>8077</v>
      </c>
      <c r="Z30" s="1892">
        <v>540742</v>
      </c>
      <c r="AA30" s="1892">
        <v>422779</v>
      </c>
      <c r="AB30" s="1892">
        <v>561093</v>
      </c>
      <c r="AC30" s="1892">
        <v>550921</v>
      </c>
      <c r="AD30" s="1892">
        <v>573131</v>
      </c>
      <c r="AE30" s="1892">
        <v>617509</v>
      </c>
      <c r="AF30" s="562"/>
      <c r="AG30" s="463"/>
      <c r="AH30" s="463"/>
      <c r="AI30" s="463"/>
      <c r="AJ30" s="463"/>
      <c r="AK30" s="463"/>
      <c r="AM30" s="2127" t="s">
        <v>8073</v>
      </c>
      <c r="AN30" s="2128"/>
      <c r="AO30" s="2128"/>
      <c r="AP30" s="2128"/>
      <c r="AQ30" s="463"/>
      <c r="AS30" s="391" t="s">
        <v>8028</v>
      </c>
      <c r="AT30" s="1889">
        <v>223</v>
      </c>
      <c r="AU30" s="1895">
        <v>241</v>
      </c>
      <c r="AV30" s="1894">
        <v>249</v>
      </c>
      <c r="AW30" s="1894">
        <v>283</v>
      </c>
      <c r="AY30" s="986"/>
      <c r="AZ30" s="382" t="s">
        <v>8078</v>
      </c>
      <c r="BA30" s="1038">
        <v>0</v>
      </c>
      <c r="BB30" s="1038">
        <v>0</v>
      </c>
      <c r="BC30" s="1038">
        <v>0</v>
      </c>
      <c r="BD30" s="1038">
        <v>0</v>
      </c>
      <c r="BF30" s="463"/>
      <c r="BG30" s="1431" t="s">
        <v>1648</v>
      </c>
      <c r="BH30" s="664" t="s">
        <v>42</v>
      </c>
      <c r="BI30" s="664" t="s">
        <v>43</v>
      </c>
      <c r="BJ30" s="664" t="s">
        <v>44</v>
      </c>
      <c r="BK30" s="664" t="s">
        <v>45</v>
      </c>
      <c r="BL30" s="463"/>
      <c r="BN30" s="391" t="s">
        <v>3665</v>
      </c>
      <c r="BO30" s="382">
        <v>0</v>
      </c>
      <c r="BP30" s="382">
        <v>0</v>
      </c>
      <c r="BQ30" s="463">
        <v>0</v>
      </c>
      <c r="BR30" s="619">
        <v>0</v>
      </c>
      <c r="BS30" s="1617"/>
      <c r="BU30" s="2281" t="s">
        <v>8079</v>
      </c>
      <c r="BV30" s="2281"/>
      <c r="BW30" s="2281"/>
      <c r="BX30" s="2281"/>
      <c r="BY30" s="2281"/>
      <c r="BZ30" s="2281"/>
      <c r="CA30" s="2281"/>
      <c r="CB30" s="2281"/>
      <c r="CC30" s="2281"/>
      <c r="CD30" s="2281"/>
      <c r="CE30" s="2281"/>
      <c r="CH30" s="382" t="s">
        <v>3507</v>
      </c>
      <c r="CI30" s="463">
        <v>18228</v>
      </c>
      <c r="CJ30" s="463">
        <v>17724</v>
      </c>
      <c r="CK30" s="463">
        <v>17118</v>
      </c>
      <c r="CL30" s="463">
        <v>16628</v>
      </c>
      <c r="CM30" s="463">
        <f t="shared" ref="CM30" si="4">SUM(CM31:CM35)</f>
        <v>16136</v>
      </c>
      <c r="CN30" s="562"/>
      <c r="CP30" s="549"/>
      <c r="CQ30" s="549"/>
      <c r="CR30" s="549"/>
      <c r="CS30" s="549"/>
      <c r="CT30" s="549"/>
      <c r="CU30" s="549"/>
      <c r="CV30" s="1636"/>
      <c r="CW30" s="1636"/>
      <c r="CX30" s="549"/>
      <c r="DG30" s="439" t="s">
        <v>7959</v>
      </c>
      <c r="DH30" s="382">
        <v>48</v>
      </c>
      <c r="DU30" s="381" t="s">
        <v>3471</v>
      </c>
      <c r="DV30" s="442" t="s">
        <v>7907</v>
      </c>
      <c r="DW30" s="442" t="s">
        <v>7908</v>
      </c>
      <c r="DX30" s="442" t="s">
        <v>7909</v>
      </c>
      <c r="DY30" s="442" t="s">
        <v>7907</v>
      </c>
      <c r="DZ30" s="442" t="s">
        <v>7908</v>
      </c>
      <c r="EA30" s="442" t="s">
        <v>7909</v>
      </c>
      <c r="EB30" s="442" t="s">
        <v>7893</v>
      </c>
      <c r="EC30" s="442" t="s">
        <v>4832</v>
      </c>
      <c r="ED30" s="861"/>
    </row>
    <row r="31" spans="1:134" ht="12.95" customHeight="1">
      <c r="A31" s="1880"/>
      <c r="I31" s="571" t="s">
        <v>8080</v>
      </c>
      <c r="J31" s="861"/>
      <c r="K31" s="861"/>
      <c r="L31" s="861"/>
      <c r="M31" s="861"/>
      <c r="N31" s="571"/>
      <c r="O31" s="549"/>
      <c r="P31" s="549" t="s">
        <v>8081</v>
      </c>
      <c r="Q31" s="463">
        <v>2128</v>
      </c>
      <c r="R31" s="463">
        <v>2289</v>
      </c>
      <c r="S31" s="463">
        <v>2054</v>
      </c>
      <c r="T31" s="463">
        <v>2770</v>
      </c>
      <c r="U31" s="463">
        <v>2732</v>
      </c>
      <c r="V31" s="463">
        <v>3113</v>
      </c>
      <c r="Y31" s="382" t="s">
        <v>8082</v>
      </c>
      <c r="Z31" s="1892">
        <v>931249</v>
      </c>
      <c r="AA31" s="1892">
        <v>706592</v>
      </c>
      <c r="AB31" s="1892">
        <v>1008449</v>
      </c>
      <c r="AC31" s="1892">
        <v>1112495</v>
      </c>
      <c r="AD31" s="1892">
        <v>973538</v>
      </c>
      <c r="AE31" s="1892">
        <v>836870</v>
      </c>
      <c r="AF31" s="562"/>
      <c r="AG31" s="463"/>
      <c r="AH31" s="463"/>
      <c r="AI31" s="463"/>
      <c r="AJ31" s="463"/>
      <c r="AK31" s="463"/>
      <c r="AL31" s="384" t="s">
        <v>1648</v>
      </c>
      <c r="AM31" s="442" t="s">
        <v>42</v>
      </c>
      <c r="AN31" s="442" t="s">
        <v>43</v>
      </c>
      <c r="AO31" s="442" t="s">
        <v>44</v>
      </c>
      <c r="AP31" s="442" t="s">
        <v>45</v>
      </c>
      <c r="AQ31" s="463"/>
      <c r="AS31" s="463" t="s">
        <v>2356</v>
      </c>
      <c r="AT31" s="1889">
        <v>284</v>
      </c>
      <c r="AU31" s="1895">
        <v>319</v>
      </c>
      <c r="AV31" s="1895">
        <v>327</v>
      </c>
      <c r="AW31" s="1895">
        <v>342</v>
      </c>
      <c r="AY31" s="562"/>
      <c r="AZ31" s="382" t="s">
        <v>2649</v>
      </c>
      <c r="BA31" s="1896">
        <v>998</v>
      </c>
      <c r="BB31" s="1896">
        <v>1065</v>
      </c>
      <c r="BC31" s="1896">
        <v>1093</v>
      </c>
      <c r="BD31" s="1896">
        <v>1162</v>
      </c>
      <c r="BF31" s="435"/>
      <c r="BG31" s="463" t="s">
        <v>3508</v>
      </c>
      <c r="BH31" s="463">
        <v>187</v>
      </c>
      <c r="BI31" s="463">
        <v>198</v>
      </c>
      <c r="BJ31" s="463">
        <v>211</v>
      </c>
      <c r="BK31" s="463">
        <v>218</v>
      </c>
      <c r="BL31" s="435"/>
      <c r="BN31" s="463" t="s">
        <v>8028</v>
      </c>
      <c r="BO31" s="382">
        <v>3</v>
      </c>
      <c r="BP31" s="382">
        <v>1</v>
      </c>
      <c r="BQ31" s="463">
        <v>1</v>
      </c>
      <c r="BR31" s="619">
        <v>2</v>
      </c>
      <c r="BS31" s="641"/>
      <c r="BU31" s="1903"/>
      <c r="BV31" s="2282" t="s">
        <v>1665</v>
      </c>
      <c r="BW31" s="2283"/>
      <c r="BX31" s="2283"/>
      <c r="BY31" s="2283"/>
      <c r="BZ31" s="2283"/>
      <c r="CA31" s="2284"/>
      <c r="CB31" s="2288" t="s">
        <v>7889</v>
      </c>
      <c r="CC31" s="2289"/>
      <c r="CD31" s="2290"/>
      <c r="CE31" s="2291" t="s">
        <v>7890</v>
      </c>
      <c r="CH31" s="382" t="s">
        <v>7929</v>
      </c>
      <c r="CI31" s="463">
        <v>11493</v>
      </c>
      <c r="CJ31" s="463">
        <v>10992</v>
      </c>
      <c r="CK31" s="463">
        <v>10429</v>
      </c>
      <c r="CL31" s="463">
        <v>9919</v>
      </c>
      <c r="CM31" s="463">
        <v>9435</v>
      </c>
      <c r="CN31" s="562"/>
      <c r="CP31" s="549"/>
      <c r="CQ31" s="549"/>
      <c r="CR31" s="549"/>
      <c r="CS31" s="549"/>
      <c r="CT31" s="549"/>
      <c r="CU31" s="549"/>
      <c r="CV31" s="1636"/>
      <c r="CW31" s="1636"/>
      <c r="DG31" s="1540" t="s">
        <v>7965</v>
      </c>
      <c r="DH31" s="382">
        <v>96</v>
      </c>
      <c r="DU31" s="439" t="s">
        <v>129</v>
      </c>
      <c r="DV31" s="463">
        <v>237</v>
      </c>
      <c r="DW31" s="463">
        <v>0</v>
      </c>
      <c r="DX31" s="463">
        <v>93</v>
      </c>
      <c r="DY31" s="463">
        <v>386</v>
      </c>
      <c r="DZ31" s="463">
        <v>0</v>
      </c>
      <c r="EA31" s="463">
        <v>515</v>
      </c>
      <c r="EB31" s="463">
        <f>SUM(DV31:DX31)</f>
        <v>330</v>
      </c>
      <c r="EC31" s="463">
        <f>SUM(DY31:EA31)</f>
        <v>901</v>
      </c>
      <c r="ED31" s="562"/>
    </row>
    <row r="32" spans="1:134" ht="12.95" customHeight="1">
      <c r="A32" s="1880"/>
      <c r="N32" s="398"/>
      <c r="P32" s="381" t="s">
        <v>8083</v>
      </c>
      <c r="Q32" s="497">
        <v>11099</v>
      </c>
      <c r="R32" s="497">
        <v>11058</v>
      </c>
      <c r="S32" s="497">
        <v>9377</v>
      </c>
      <c r="T32" s="497">
        <v>11693</v>
      </c>
      <c r="U32" s="497">
        <v>10489</v>
      </c>
      <c r="V32" s="497">
        <v>9819</v>
      </c>
      <c r="Y32" s="382" t="s">
        <v>8084</v>
      </c>
      <c r="Z32" s="754">
        <v>0</v>
      </c>
      <c r="AA32" s="754">
        <v>0</v>
      </c>
      <c r="AB32" s="754">
        <v>0</v>
      </c>
      <c r="AC32" s="754">
        <v>0</v>
      </c>
      <c r="AD32" s="1892">
        <v>1661</v>
      </c>
      <c r="AE32" s="1892">
        <v>1304</v>
      </c>
      <c r="AF32" s="562"/>
      <c r="AG32" s="463"/>
      <c r="AH32" s="463"/>
      <c r="AI32" s="463"/>
      <c r="AJ32" s="463"/>
      <c r="AK32" s="463"/>
      <c r="AL32" s="463" t="s">
        <v>3508</v>
      </c>
      <c r="AM32" s="463">
        <f>SUM(AM33:AM34)</f>
        <v>43899</v>
      </c>
      <c r="AN32" s="463">
        <f>SUM(AN33:AN34)</f>
        <v>45970</v>
      </c>
      <c r="AO32" s="463">
        <f>SUM(AO33:AO34)</f>
        <v>47593</v>
      </c>
      <c r="AP32" s="463">
        <f>SUM(AP33:AP34)</f>
        <v>49138</v>
      </c>
      <c r="AQ32" s="463"/>
      <c r="AS32" s="1068" t="s">
        <v>2208</v>
      </c>
      <c r="AT32" s="1889">
        <v>6122</v>
      </c>
      <c r="AU32" s="1895">
        <v>6535</v>
      </c>
      <c r="AV32" s="1895">
        <v>6705</v>
      </c>
      <c r="AW32" s="1895">
        <v>7009</v>
      </c>
      <c r="AY32" s="562"/>
      <c r="AZ32" s="382" t="s">
        <v>2651</v>
      </c>
      <c r="BA32" s="1896">
        <v>1366</v>
      </c>
      <c r="BB32" s="1896">
        <v>1466</v>
      </c>
      <c r="BC32" s="1896">
        <v>1500</v>
      </c>
      <c r="BD32" s="1896">
        <v>1563</v>
      </c>
      <c r="BF32" s="463"/>
      <c r="BG32" s="463" t="s">
        <v>1712</v>
      </c>
      <c r="BH32" s="463">
        <v>118</v>
      </c>
      <c r="BI32" s="463">
        <v>126</v>
      </c>
      <c r="BJ32" s="463">
        <v>133</v>
      </c>
      <c r="BK32" s="463">
        <v>137</v>
      </c>
      <c r="BL32" s="463"/>
      <c r="BN32" s="1068" t="s">
        <v>2356</v>
      </c>
      <c r="BO32" s="382">
        <v>0</v>
      </c>
      <c r="BP32" s="382">
        <v>0</v>
      </c>
      <c r="BQ32" s="463">
        <v>0</v>
      </c>
      <c r="BR32" s="619">
        <v>0</v>
      </c>
      <c r="BS32" s="641"/>
      <c r="BV32" s="2285"/>
      <c r="BW32" s="2286"/>
      <c r="BX32" s="2286"/>
      <c r="BY32" s="2286"/>
      <c r="BZ32" s="2286"/>
      <c r="CA32" s="2287"/>
      <c r="CB32" s="2081" t="s">
        <v>7902</v>
      </c>
      <c r="CC32" s="2077"/>
      <c r="CD32" s="2082"/>
      <c r="CE32" s="2292"/>
      <c r="CH32" s="382" t="s">
        <v>7939</v>
      </c>
      <c r="CI32" s="463">
        <v>1645</v>
      </c>
      <c r="CJ32" s="463">
        <v>1624</v>
      </c>
      <c r="CK32" s="463">
        <v>1670</v>
      </c>
      <c r="CL32" s="463">
        <v>1642</v>
      </c>
      <c r="CM32" s="463">
        <v>1618</v>
      </c>
      <c r="CN32" s="562"/>
      <c r="CP32" s="1619"/>
      <c r="CQ32" s="571"/>
      <c r="CR32" s="571"/>
      <c r="CS32" s="571"/>
      <c r="CT32" s="571"/>
      <c r="CU32" s="571"/>
      <c r="CV32" s="1636"/>
      <c r="CW32" s="1636"/>
      <c r="CY32" s="547"/>
      <c r="CZ32" s="547"/>
      <c r="DA32" s="547"/>
      <c r="DB32" s="547"/>
      <c r="DC32" s="547"/>
      <c r="DG32" s="1540" t="s">
        <v>7972</v>
      </c>
      <c r="DH32" s="382">
        <v>81</v>
      </c>
      <c r="DM32" s="439"/>
      <c r="DO32" s="881"/>
      <c r="DP32" s="881"/>
      <c r="DQ32" s="881"/>
      <c r="DR32" s="881"/>
      <c r="DS32" s="881"/>
      <c r="DU32" s="382" t="s">
        <v>7934</v>
      </c>
      <c r="DV32" s="382">
        <v>46</v>
      </c>
      <c r="DW32" s="382">
        <v>0</v>
      </c>
      <c r="DX32" s="382">
        <v>2</v>
      </c>
      <c r="DY32" s="382">
        <v>55</v>
      </c>
      <c r="DZ32" s="382">
        <v>0</v>
      </c>
      <c r="EA32" s="382">
        <v>4</v>
      </c>
      <c r="EB32" s="463">
        <f t="shared" ref="EB32:EB49" si="5">SUM(DV32:DX32)</f>
        <v>48</v>
      </c>
      <c r="EC32" s="463">
        <f t="shared" ref="EC32:EC49" si="6">SUM(DY32:EA32)</f>
        <v>59</v>
      </c>
      <c r="ED32" s="549"/>
    </row>
    <row r="33" spans="1:134" ht="12.95" customHeight="1">
      <c r="N33" s="398"/>
      <c r="P33" s="571" t="s">
        <v>7936</v>
      </c>
      <c r="Q33" s="1885"/>
      <c r="R33" s="1885"/>
      <c r="S33" s="1885"/>
      <c r="T33" s="1885"/>
      <c r="U33" s="1886"/>
      <c r="Y33" s="381" t="s">
        <v>8085</v>
      </c>
      <c r="Z33" s="1893">
        <v>247550</v>
      </c>
      <c r="AA33" s="1893">
        <v>292824</v>
      </c>
      <c r="AB33" s="1893">
        <v>387142</v>
      </c>
      <c r="AC33" s="1893">
        <v>373062</v>
      </c>
      <c r="AD33" s="1893">
        <v>352306</v>
      </c>
      <c r="AE33" s="1893">
        <v>381122</v>
      </c>
      <c r="AF33" s="562"/>
      <c r="AG33" s="463"/>
      <c r="AH33" s="463"/>
      <c r="AI33" s="463"/>
      <c r="AJ33" s="463"/>
      <c r="AK33" s="463"/>
      <c r="AL33" s="463" t="s">
        <v>1712</v>
      </c>
      <c r="AM33" s="463">
        <v>23663</v>
      </c>
      <c r="AN33" s="463">
        <v>24693</v>
      </c>
      <c r="AO33" s="463">
        <v>25557</v>
      </c>
      <c r="AP33" s="463">
        <v>26344</v>
      </c>
      <c r="AQ33" s="463"/>
      <c r="AS33" s="463" t="s">
        <v>2209</v>
      </c>
      <c r="AT33" s="1889">
        <v>1887</v>
      </c>
      <c r="AU33" s="1895">
        <v>2039</v>
      </c>
      <c r="AV33" s="1895">
        <v>2081</v>
      </c>
      <c r="AW33" s="1895">
        <v>2123</v>
      </c>
      <c r="AX33" s="562"/>
      <c r="AY33" s="562"/>
      <c r="AZ33" s="382" t="s">
        <v>8086</v>
      </c>
      <c r="BA33" s="1896">
        <v>14</v>
      </c>
      <c r="BB33" s="1896">
        <v>14</v>
      </c>
      <c r="BC33" s="1896">
        <v>14</v>
      </c>
      <c r="BD33" s="1896">
        <v>14</v>
      </c>
      <c r="BF33" s="463"/>
      <c r="BG33" s="1068" t="s">
        <v>1711</v>
      </c>
      <c r="BH33" s="435">
        <v>69</v>
      </c>
      <c r="BI33" s="435">
        <v>72</v>
      </c>
      <c r="BJ33" s="435">
        <v>78</v>
      </c>
      <c r="BK33" s="435">
        <v>81</v>
      </c>
      <c r="BL33" s="463"/>
      <c r="BN33" s="463" t="s">
        <v>2208</v>
      </c>
      <c r="BO33" s="382">
        <v>8</v>
      </c>
      <c r="BP33" s="463">
        <v>8</v>
      </c>
      <c r="BQ33" s="463">
        <v>8</v>
      </c>
      <c r="BR33" s="619">
        <v>12</v>
      </c>
      <c r="BS33" s="641"/>
      <c r="BV33" s="418"/>
      <c r="BW33" s="1904" t="s">
        <v>7913</v>
      </c>
      <c r="BX33" s="1904" t="s">
        <v>7914</v>
      </c>
      <c r="BY33" s="1905" t="s">
        <v>7915</v>
      </c>
      <c r="BZ33" s="418"/>
      <c r="CA33" s="418"/>
      <c r="CB33" s="1906" t="s">
        <v>4512</v>
      </c>
      <c r="CC33" s="1906" t="s">
        <v>7913</v>
      </c>
      <c r="CD33" s="1905" t="s">
        <v>7915</v>
      </c>
      <c r="CE33" s="2292"/>
      <c r="CH33" s="382" t="s">
        <v>7946</v>
      </c>
      <c r="CI33" s="463">
        <v>1555</v>
      </c>
      <c r="CJ33" s="463">
        <v>1535</v>
      </c>
      <c r="CK33" s="463">
        <v>1490</v>
      </c>
      <c r="CL33" s="463">
        <v>1472</v>
      </c>
      <c r="CM33" s="463">
        <v>1447</v>
      </c>
      <c r="CN33" s="562"/>
      <c r="CP33" s="1619"/>
      <c r="CQ33" s="571"/>
      <c r="CR33" s="571"/>
      <c r="CS33" s="571"/>
      <c r="CT33" s="571"/>
      <c r="CU33" s="571"/>
      <c r="CV33" s="1636"/>
      <c r="CW33" s="1636"/>
      <c r="CY33" s="547"/>
      <c r="CZ33" s="1526"/>
      <c r="DA33" s="1526"/>
      <c r="DB33" s="1526"/>
      <c r="DC33" s="1526"/>
      <c r="DG33" s="439" t="s">
        <v>7978</v>
      </c>
      <c r="DH33" s="382">
        <v>86</v>
      </c>
      <c r="DM33" s="391"/>
      <c r="DO33" s="1922"/>
      <c r="DP33" s="1922"/>
      <c r="DQ33" s="1922"/>
      <c r="DU33" s="382" t="s">
        <v>7942</v>
      </c>
      <c r="DV33" s="382">
        <v>3</v>
      </c>
      <c r="DW33" s="382">
        <v>0</v>
      </c>
      <c r="DX33" s="382">
        <v>0</v>
      </c>
      <c r="DY33" s="382">
        <v>16</v>
      </c>
      <c r="DZ33" s="382">
        <v>0</v>
      </c>
      <c r="EA33" s="382">
        <v>0</v>
      </c>
      <c r="EB33" s="463">
        <f t="shared" si="5"/>
        <v>3</v>
      </c>
      <c r="EC33" s="463">
        <f t="shared" si="6"/>
        <v>16</v>
      </c>
      <c r="ED33" s="549"/>
    </row>
    <row r="34" spans="1:134" ht="12.95" customHeight="1">
      <c r="I34" s="1647"/>
      <c r="J34" s="463"/>
      <c r="K34" s="463"/>
      <c r="L34" s="463"/>
      <c r="M34" s="463"/>
      <c r="N34" s="398"/>
      <c r="P34" s="549" t="s">
        <v>8087</v>
      </c>
      <c r="Q34" s="1885"/>
      <c r="R34" s="1885"/>
      <c r="S34" s="1885"/>
      <c r="T34" s="1885"/>
      <c r="U34" s="1887"/>
      <c r="Y34" s="549" t="s">
        <v>8088</v>
      </c>
      <c r="Z34" s="562"/>
      <c r="AA34" s="562"/>
      <c r="AB34" s="562"/>
      <c r="AC34" s="549"/>
      <c r="AD34" s="549"/>
      <c r="AE34" s="549"/>
      <c r="AK34" s="463"/>
      <c r="AL34" s="1068" t="s">
        <v>1711</v>
      </c>
      <c r="AM34" s="435">
        <v>20236</v>
      </c>
      <c r="AN34" s="435">
        <v>21277</v>
      </c>
      <c r="AO34" s="435">
        <v>22036</v>
      </c>
      <c r="AP34" s="435">
        <v>22794</v>
      </c>
      <c r="AS34" s="497" t="s">
        <v>8089</v>
      </c>
      <c r="AT34" s="1890">
        <v>342</v>
      </c>
      <c r="AU34" s="1890">
        <v>373</v>
      </c>
      <c r="AV34" s="1890">
        <v>435</v>
      </c>
      <c r="AW34" s="1890">
        <v>434</v>
      </c>
      <c r="AX34" s="562"/>
      <c r="AZ34" s="382" t="s">
        <v>2658</v>
      </c>
      <c r="BA34" s="1896">
        <v>12</v>
      </c>
      <c r="BB34" s="1896">
        <v>17</v>
      </c>
      <c r="BC34" s="1896">
        <v>17</v>
      </c>
      <c r="BD34" s="1896">
        <v>24</v>
      </c>
      <c r="BF34" s="463"/>
      <c r="BJ34" s="463"/>
      <c r="BK34" s="463"/>
      <c r="BL34" s="463"/>
      <c r="BN34" s="463" t="s">
        <v>2209</v>
      </c>
      <c r="BO34" s="382">
        <v>0</v>
      </c>
      <c r="BP34" s="463">
        <v>1</v>
      </c>
      <c r="BQ34" s="463">
        <v>1</v>
      </c>
      <c r="BR34" s="619">
        <v>1</v>
      </c>
      <c r="BU34" s="1907" t="s">
        <v>7923</v>
      </c>
      <c r="BV34" s="1908" t="s">
        <v>129</v>
      </c>
      <c r="BW34" s="1909" t="s">
        <v>7924</v>
      </c>
      <c r="BX34" s="1909" t="s">
        <v>7924</v>
      </c>
      <c r="BY34" s="1910" t="s">
        <v>7925</v>
      </c>
      <c r="BZ34" s="1908" t="s">
        <v>7926</v>
      </c>
      <c r="CA34" s="1908" t="s">
        <v>7927</v>
      </c>
      <c r="CB34" s="1908" t="s">
        <v>7928</v>
      </c>
      <c r="CC34" s="1908" t="s">
        <v>6914</v>
      </c>
      <c r="CD34" s="1910" t="s">
        <v>7925</v>
      </c>
      <c r="CE34" s="2293"/>
      <c r="CH34" s="382" t="s">
        <v>7957</v>
      </c>
      <c r="CI34" s="463">
        <v>1130</v>
      </c>
      <c r="CJ34" s="463">
        <v>1139</v>
      </c>
      <c r="CK34" s="463">
        <v>1110</v>
      </c>
      <c r="CL34" s="463">
        <v>1124</v>
      </c>
      <c r="CM34" s="463">
        <v>1101</v>
      </c>
      <c r="CN34" s="562"/>
      <c r="CP34" s="549"/>
      <c r="CQ34" s="549"/>
      <c r="CR34" s="549"/>
      <c r="CS34" s="549"/>
      <c r="CT34" s="549"/>
      <c r="CU34" s="549"/>
      <c r="CV34" s="1636"/>
      <c r="CX34" s="547"/>
      <c r="CY34" s="547"/>
      <c r="CZ34" s="547"/>
      <c r="DA34" s="547"/>
      <c r="DB34" s="547"/>
      <c r="DG34" s="1540" t="s">
        <v>7983</v>
      </c>
      <c r="DH34" s="382">
        <v>81</v>
      </c>
      <c r="DM34" s="391"/>
      <c r="DO34" s="1922"/>
      <c r="DP34" s="1922"/>
      <c r="DQ34" s="1922"/>
      <c r="DU34" s="382" t="s">
        <v>7950</v>
      </c>
      <c r="DV34" s="382">
        <v>13</v>
      </c>
      <c r="DW34" s="382">
        <v>0</v>
      </c>
      <c r="DX34" s="382">
        <v>1</v>
      </c>
      <c r="DY34" s="382">
        <v>24</v>
      </c>
      <c r="DZ34" s="382">
        <v>0</v>
      </c>
      <c r="EA34" s="382">
        <v>6</v>
      </c>
      <c r="EB34" s="463">
        <f t="shared" si="5"/>
        <v>14</v>
      </c>
      <c r="EC34" s="463">
        <f t="shared" si="6"/>
        <v>30</v>
      </c>
      <c r="ED34" s="549"/>
    </row>
    <row r="35" spans="1:134" ht="12.95" customHeight="1">
      <c r="H35" s="621"/>
      <c r="I35" s="463"/>
      <c r="J35" s="463"/>
      <c r="K35" s="463"/>
      <c r="L35" s="463"/>
      <c r="M35" s="463"/>
      <c r="N35" s="398"/>
      <c r="P35" s="549" t="s">
        <v>8090</v>
      </c>
      <c r="Q35" s="1885"/>
      <c r="R35" s="1885"/>
      <c r="S35" s="1885"/>
      <c r="T35" s="1885"/>
      <c r="U35" s="549"/>
      <c r="AL35" s="463"/>
      <c r="AM35" s="463"/>
      <c r="AN35" s="463"/>
      <c r="AO35" s="463"/>
      <c r="AP35" s="463"/>
      <c r="AS35" s="549" t="s">
        <v>8058</v>
      </c>
      <c r="AT35" s="549"/>
      <c r="AU35" s="641"/>
      <c r="AV35" s="641"/>
      <c r="AW35" s="641"/>
      <c r="AX35" s="562"/>
      <c r="AZ35" s="382" t="s">
        <v>8091</v>
      </c>
      <c r="BA35" s="1896">
        <v>15</v>
      </c>
      <c r="BB35" s="1896">
        <v>17</v>
      </c>
      <c r="BC35" s="1896">
        <v>17</v>
      </c>
      <c r="BD35" s="1896">
        <v>18</v>
      </c>
      <c r="BE35" s="463"/>
      <c r="BF35" s="463"/>
      <c r="BG35" s="463" t="s">
        <v>3508</v>
      </c>
      <c r="BH35" s="463">
        <f>SUM(BH36:BH51)</f>
        <v>187</v>
      </c>
      <c r="BI35" s="463">
        <f>SUM(BI36:BI51)</f>
        <v>198</v>
      </c>
      <c r="BJ35" s="463">
        <f>SUM(BJ36:BJ51)</f>
        <v>211</v>
      </c>
      <c r="BK35" s="463">
        <f>SUM(BK36:BK51)</f>
        <v>218</v>
      </c>
      <c r="BL35" s="463"/>
      <c r="BN35" s="463" t="s">
        <v>8089</v>
      </c>
      <c r="BO35" s="382">
        <v>0</v>
      </c>
      <c r="BP35" s="382">
        <v>0</v>
      </c>
      <c r="BQ35" s="382">
        <v>0</v>
      </c>
      <c r="BR35" s="619">
        <v>0</v>
      </c>
      <c r="BU35" s="1911" t="s">
        <v>7938</v>
      </c>
      <c r="BV35" s="1912">
        <v>65994457</v>
      </c>
      <c r="BW35" s="1912">
        <v>48587883</v>
      </c>
      <c r="BX35" s="1912">
        <v>7604098</v>
      </c>
      <c r="BY35" s="1912">
        <v>3840827</v>
      </c>
      <c r="BZ35" s="1912">
        <v>2113864</v>
      </c>
      <c r="CA35" s="1912">
        <v>3847785</v>
      </c>
      <c r="CB35" s="1912">
        <v>111421667</v>
      </c>
      <c r="CC35" s="1912">
        <v>88679497</v>
      </c>
      <c r="CD35" s="1912">
        <v>6324926</v>
      </c>
      <c r="CE35" s="1912">
        <v>52052807</v>
      </c>
      <c r="CH35" s="382" t="s">
        <v>7964</v>
      </c>
      <c r="CI35" s="463">
        <v>2405</v>
      </c>
      <c r="CJ35" s="463">
        <v>2434</v>
      </c>
      <c r="CK35" s="463">
        <v>2419</v>
      </c>
      <c r="CL35" s="463">
        <v>2471</v>
      </c>
      <c r="CM35" s="463">
        <v>2535</v>
      </c>
      <c r="CN35" s="562"/>
      <c r="CP35" s="549"/>
      <c r="CQ35" s="986"/>
      <c r="CR35" s="986"/>
      <c r="CS35" s="986"/>
      <c r="CT35" s="986"/>
      <c r="CU35" s="562"/>
      <c r="CV35" s="1636"/>
      <c r="CX35" s="547"/>
      <c r="CY35" s="1556"/>
      <c r="CZ35" s="1556"/>
      <c r="DA35" s="1556"/>
      <c r="DB35" s="1556"/>
      <c r="DG35" s="1540" t="s">
        <v>7988</v>
      </c>
      <c r="DH35" s="382">
        <v>98</v>
      </c>
      <c r="DM35" s="391"/>
      <c r="DO35" s="1922"/>
      <c r="DP35" s="1922"/>
      <c r="DQ35" s="1922"/>
      <c r="DU35" s="382" t="s">
        <v>7960</v>
      </c>
      <c r="DV35" s="382">
        <v>1</v>
      </c>
      <c r="DW35" s="382">
        <v>0</v>
      </c>
      <c r="DX35" s="382">
        <v>2</v>
      </c>
      <c r="DY35" s="382">
        <v>2</v>
      </c>
      <c r="DZ35" s="382">
        <v>0</v>
      </c>
      <c r="EA35" s="382">
        <v>9</v>
      </c>
      <c r="EB35" s="463">
        <f t="shared" si="5"/>
        <v>3</v>
      </c>
      <c r="EC35" s="463">
        <f t="shared" si="6"/>
        <v>11</v>
      </c>
      <c r="ED35" s="549"/>
    </row>
    <row r="36" spans="1:134" ht="12.95" customHeight="1">
      <c r="I36" s="932"/>
      <c r="J36" s="932"/>
      <c r="K36" s="932"/>
      <c r="L36" s="932"/>
      <c r="M36" s="932"/>
      <c r="N36" s="398"/>
      <c r="Q36" s="621"/>
      <c r="R36" s="621"/>
      <c r="S36" s="621"/>
      <c r="T36" s="621"/>
      <c r="U36" s="393"/>
      <c r="V36" s="684"/>
      <c r="W36" s="684"/>
      <c r="AL36" s="463" t="s">
        <v>3508</v>
      </c>
      <c r="AM36" s="463">
        <f>SUM(AM37:AM52)</f>
        <v>43899</v>
      </c>
      <c r="AN36" s="463">
        <f>SUM(AN37:AN52)</f>
        <v>45970</v>
      </c>
      <c r="AO36" s="463">
        <f>SUM(AO37:AO52)</f>
        <v>47593</v>
      </c>
      <c r="AP36" s="463">
        <f>SUM(AP37:AP52)</f>
        <v>49138</v>
      </c>
      <c r="AS36" s="463"/>
      <c r="AT36" s="1895"/>
      <c r="AU36" s="1895"/>
      <c r="AV36" s="1895"/>
      <c r="AW36" s="1895"/>
      <c r="AX36" s="641"/>
      <c r="AZ36" s="391" t="s">
        <v>8092</v>
      </c>
      <c r="BA36" s="1038">
        <v>0</v>
      </c>
      <c r="BB36" s="1038">
        <v>0</v>
      </c>
      <c r="BC36" s="1038">
        <v>0</v>
      </c>
      <c r="BD36" s="1038">
        <v>0</v>
      </c>
      <c r="BE36" s="463"/>
      <c r="BF36" s="463"/>
      <c r="BG36" s="463" t="s">
        <v>7963</v>
      </c>
      <c r="BH36" s="463">
        <v>1</v>
      </c>
      <c r="BI36" s="463">
        <v>1</v>
      </c>
      <c r="BJ36" s="463">
        <v>1</v>
      </c>
      <c r="BK36" s="463">
        <v>1</v>
      </c>
      <c r="BL36" s="463"/>
      <c r="BN36" s="1508" t="s">
        <v>8058</v>
      </c>
      <c r="BO36" s="1648"/>
      <c r="BP36" s="1508"/>
      <c r="BQ36" s="1648"/>
      <c r="BR36" s="1648"/>
      <c r="BU36" s="1913"/>
      <c r="BV36" s="1912"/>
      <c r="BW36" s="1912"/>
      <c r="BX36" s="1912"/>
      <c r="BY36" s="1912"/>
      <c r="BZ36" s="1912"/>
      <c r="CA36" s="1912"/>
      <c r="CB36" s="1912"/>
      <c r="CC36" s="1912"/>
      <c r="CD36" s="1912"/>
      <c r="CE36" s="1912"/>
      <c r="CN36" s="562"/>
      <c r="CP36" s="1619"/>
      <c r="CQ36" s="901"/>
      <c r="CR36" s="901"/>
      <c r="CS36" s="901"/>
      <c r="CT36" s="901"/>
      <c r="CU36" s="571"/>
      <c r="CV36" s="1636"/>
      <c r="CX36" s="547"/>
      <c r="CY36" s="1556"/>
      <c r="CZ36" s="1556"/>
      <c r="DA36" s="1556"/>
      <c r="DB36" s="1556"/>
      <c r="DG36" s="1540" t="s">
        <v>7998</v>
      </c>
      <c r="DH36" s="382">
        <v>55</v>
      </c>
      <c r="DO36" s="1922"/>
      <c r="DP36" s="1922"/>
      <c r="DQ36" s="1922"/>
      <c r="DU36" s="382" t="s">
        <v>2253</v>
      </c>
      <c r="DV36" s="382">
        <v>1</v>
      </c>
      <c r="DW36" s="382">
        <v>0</v>
      </c>
      <c r="DX36" s="382">
        <v>0</v>
      </c>
      <c r="DY36" s="382">
        <v>1</v>
      </c>
      <c r="DZ36" s="382">
        <v>0</v>
      </c>
      <c r="EA36" s="382">
        <v>0</v>
      </c>
      <c r="EB36" s="463">
        <f t="shared" si="5"/>
        <v>1</v>
      </c>
      <c r="EC36" s="463">
        <f t="shared" si="6"/>
        <v>1</v>
      </c>
      <c r="ED36" s="549"/>
    </row>
    <row r="37" spans="1:134" ht="12.95" customHeight="1">
      <c r="H37" s="385"/>
      <c r="I37" s="398"/>
      <c r="J37" s="398"/>
      <c r="K37" s="398"/>
      <c r="L37" s="398"/>
      <c r="M37" s="398"/>
      <c r="N37" s="398"/>
      <c r="U37" s="398"/>
      <c r="V37" s="1406"/>
      <c r="W37" s="1406"/>
      <c r="Y37" s="549"/>
      <c r="AA37" s="439"/>
      <c r="AB37" s="385"/>
      <c r="AC37" s="385"/>
      <c r="AD37" s="385"/>
      <c r="AE37" s="385"/>
      <c r="AF37" s="385"/>
      <c r="AG37" s="385"/>
      <c r="AH37" s="385"/>
      <c r="AL37" s="463" t="s">
        <v>7963</v>
      </c>
      <c r="AM37" s="463">
        <v>438</v>
      </c>
      <c r="AN37" s="463">
        <v>723</v>
      </c>
      <c r="AO37" s="463">
        <v>920</v>
      </c>
      <c r="AP37" s="463">
        <v>1198</v>
      </c>
      <c r="AU37" s="619"/>
      <c r="AV37" s="619"/>
      <c r="AW37" s="619"/>
      <c r="AZ37" s="382" t="s">
        <v>8093</v>
      </c>
      <c r="BA37" s="1896">
        <v>35</v>
      </c>
      <c r="BB37" s="1038">
        <v>38</v>
      </c>
      <c r="BC37" s="1038">
        <v>39</v>
      </c>
      <c r="BD37" s="1038">
        <v>41</v>
      </c>
      <c r="BE37" s="463"/>
      <c r="BF37" s="463"/>
      <c r="BG37" s="463" t="s">
        <v>7969</v>
      </c>
      <c r="BH37" s="463">
        <v>0</v>
      </c>
      <c r="BI37" s="463">
        <v>0</v>
      </c>
      <c r="BJ37" s="463">
        <v>0</v>
      </c>
      <c r="BK37" s="463">
        <v>0</v>
      </c>
      <c r="BL37" s="463"/>
      <c r="BU37" s="1914" t="s">
        <v>7956</v>
      </c>
      <c r="BV37" s="1912">
        <v>19707</v>
      </c>
      <c r="BW37" s="1912">
        <v>13490</v>
      </c>
      <c r="BX37" s="1912">
        <v>1426</v>
      </c>
      <c r="BY37" s="1912">
        <v>1591</v>
      </c>
      <c r="BZ37" s="1912">
        <v>1109</v>
      </c>
      <c r="CA37" s="1912">
        <v>2091</v>
      </c>
      <c r="CB37" s="1912">
        <v>22592</v>
      </c>
      <c r="CC37" s="1912">
        <v>16726</v>
      </c>
      <c r="CD37" s="1912">
        <v>1791</v>
      </c>
      <c r="CE37" s="1912">
        <v>14489</v>
      </c>
      <c r="CH37" s="451" t="s">
        <v>7976</v>
      </c>
      <c r="CN37" s="562"/>
      <c r="CP37" s="1619"/>
      <c r="CQ37" s="986"/>
      <c r="CR37" s="986"/>
      <c r="CS37" s="986"/>
      <c r="CT37" s="986"/>
      <c r="CU37" s="562"/>
      <c r="CV37" s="1636"/>
      <c r="CX37" s="547"/>
      <c r="CY37" s="1649"/>
      <c r="CZ37" s="1649"/>
      <c r="DA37" s="1649"/>
      <c r="DB37" s="1649"/>
      <c r="DG37" s="439" t="s">
        <v>8004</v>
      </c>
      <c r="DH37" s="382">
        <v>65</v>
      </c>
      <c r="DO37" s="1922"/>
      <c r="DP37" s="1922"/>
      <c r="DQ37" s="1922"/>
      <c r="DU37" s="382" t="s">
        <v>2175</v>
      </c>
      <c r="DV37" s="382">
        <v>6</v>
      </c>
      <c r="DW37" s="382">
        <v>0</v>
      </c>
      <c r="DX37" s="382">
        <v>0</v>
      </c>
      <c r="DY37" s="382">
        <v>16</v>
      </c>
      <c r="DZ37" s="382">
        <v>0</v>
      </c>
      <c r="EA37" s="382">
        <v>0</v>
      </c>
      <c r="EB37" s="463">
        <f t="shared" si="5"/>
        <v>6</v>
      </c>
      <c r="EC37" s="463">
        <f t="shared" si="6"/>
        <v>16</v>
      </c>
      <c r="ED37" s="549"/>
    </row>
    <row r="38" spans="1:134" ht="12.95" customHeight="1">
      <c r="H38" s="1650"/>
      <c r="I38" s="398"/>
      <c r="J38" s="398"/>
      <c r="K38" s="398"/>
      <c r="L38" s="398"/>
      <c r="M38" s="398"/>
      <c r="V38" s="1406"/>
      <c r="W38" s="385"/>
      <c r="AA38" s="463"/>
      <c r="AB38" s="463"/>
      <c r="AC38" s="463"/>
      <c r="AD38" s="463"/>
      <c r="AE38" s="463"/>
      <c r="AF38" s="463"/>
      <c r="AG38" s="463"/>
      <c r="AH38" s="463"/>
      <c r="AL38" s="463" t="s">
        <v>7969</v>
      </c>
      <c r="AM38" s="463">
        <v>248</v>
      </c>
      <c r="AN38" s="463">
        <v>272</v>
      </c>
      <c r="AO38" s="463">
        <v>284</v>
      </c>
      <c r="AP38" s="463">
        <v>300</v>
      </c>
      <c r="AZ38" s="1068" t="s">
        <v>8094</v>
      </c>
      <c r="BA38" s="1896">
        <v>850</v>
      </c>
      <c r="BB38" s="1896">
        <v>927</v>
      </c>
      <c r="BC38" s="1896">
        <v>953</v>
      </c>
      <c r="BD38" s="1896">
        <v>999</v>
      </c>
      <c r="BE38" s="463"/>
      <c r="BF38" s="463"/>
      <c r="BG38" s="463" t="s">
        <v>7974</v>
      </c>
      <c r="BH38" s="463">
        <v>0</v>
      </c>
      <c r="BI38" s="463">
        <v>0</v>
      </c>
      <c r="BJ38" s="463">
        <v>0</v>
      </c>
      <c r="BK38" s="463">
        <v>0</v>
      </c>
      <c r="BL38" s="463"/>
      <c r="BU38" s="1915"/>
      <c r="BV38" s="1912"/>
      <c r="BW38" s="1912"/>
      <c r="BX38" s="1912"/>
      <c r="BY38" s="1912"/>
      <c r="BZ38" s="1912"/>
      <c r="CA38" s="1912"/>
      <c r="CB38" s="1912"/>
      <c r="CC38" s="1912"/>
      <c r="CE38" s="1912"/>
      <c r="CH38" s="382" t="s">
        <v>7981</v>
      </c>
      <c r="CI38" s="1920">
        <v>16485</v>
      </c>
      <c r="CJ38" s="1920">
        <v>15271</v>
      </c>
      <c r="CK38" s="1920">
        <v>14224</v>
      </c>
      <c r="CL38" s="1920">
        <v>13555</v>
      </c>
      <c r="CM38" s="1920">
        <v>12954</v>
      </c>
      <c r="CN38" s="1651"/>
      <c r="CP38" s="549"/>
      <c r="CQ38" s="549"/>
      <c r="CR38" s="549"/>
      <c r="CS38" s="549"/>
      <c r="CT38" s="549"/>
      <c r="CU38" s="549"/>
      <c r="CV38" s="1636"/>
      <c r="CX38" s="547"/>
      <c r="CY38" s="1649"/>
      <c r="CZ38" s="1649"/>
      <c r="DA38" s="1649"/>
      <c r="DB38" s="1649"/>
      <c r="DG38" s="439" t="s">
        <v>8012</v>
      </c>
      <c r="DH38" s="382">
        <v>51</v>
      </c>
      <c r="DO38" s="1922"/>
      <c r="DP38" s="1922"/>
      <c r="DQ38" s="1922"/>
      <c r="DU38" s="382" t="s">
        <v>2177</v>
      </c>
      <c r="DV38" s="382">
        <v>47</v>
      </c>
      <c r="DW38" s="382">
        <v>0</v>
      </c>
      <c r="DX38" s="382">
        <v>20</v>
      </c>
      <c r="DY38" s="382">
        <v>85</v>
      </c>
      <c r="DZ38" s="382">
        <v>0</v>
      </c>
      <c r="EA38" s="382">
        <v>90</v>
      </c>
      <c r="EB38" s="463">
        <f t="shared" si="5"/>
        <v>67</v>
      </c>
      <c r="EC38" s="463">
        <f t="shared" si="6"/>
        <v>175</v>
      </c>
      <c r="ED38" s="549"/>
    </row>
    <row r="39" spans="1:134" ht="12.95" customHeight="1">
      <c r="A39" s="1881"/>
      <c r="I39" s="398"/>
      <c r="J39" s="398"/>
      <c r="K39" s="398"/>
      <c r="L39" s="398"/>
      <c r="M39" s="398"/>
      <c r="P39" s="381" t="s">
        <v>8096</v>
      </c>
      <c r="Q39" s="1652"/>
      <c r="R39" s="1652"/>
      <c r="S39" s="1652"/>
      <c r="T39" s="1652"/>
      <c r="U39" s="1652"/>
      <c r="W39" s="754"/>
      <c r="AA39" s="463"/>
      <c r="AB39" s="463"/>
      <c r="AC39" s="463"/>
      <c r="AD39" s="463"/>
      <c r="AE39" s="463"/>
      <c r="AF39" s="463"/>
      <c r="AG39" s="463"/>
      <c r="AH39" s="463"/>
      <c r="AL39" s="463" t="s">
        <v>7974</v>
      </c>
      <c r="AM39" s="463">
        <v>371</v>
      </c>
      <c r="AN39" s="463">
        <v>398</v>
      </c>
      <c r="AO39" s="463">
        <v>413</v>
      </c>
      <c r="AP39" s="463">
        <v>432</v>
      </c>
      <c r="AZ39" s="463" t="s">
        <v>8095</v>
      </c>
      <c r="BA39" s="1038">
        <v>1</v>
      </c>
      <c r="BB39" s="1038">
        <v>16</v>
      </c>
      <c r="BC39" s="1038">
        <v>17</v>
      </c>
      <c r="BD39" s="1038">
        <v>14</v>
      </c>
      <c r="BE39" s="463"/>
      <c r="BF39" s="463"/>
      <c r="BG39" s="463" t="s">
        <v>7980</v>
      </c>
      <c r="BH39" s="463">
        <v>0</v>
      </c>
      <c r="BI39" s="463">
        <v>0</v>
      </c>
      <c r="BJ39" s="463">
        <v>0</v>
      </c>
      <c r="BK39" s="463">
        <v>0</v>
      </c>
      <c r="BL39" s="463"/>
      <c r="BU39" s="1913" t="s">
        <v>1967</v>
      </c>
      <c r="BV39" s="1912">
        <f>SUM(BV40:BV51)</f>
        <v>19705</v>
      </c>
      <c r="BW39" s="1912">
        <f t="shared" ref="BW39:CE39" si="7">SUM(BW40:BW51)</f>
        <v>13490</v>
      </c>
      <c r="BX39" s="1912">
        <f t="shared" si="7"/>
        <v>1425</v>
      </c>
      <c r="BY39" s="1912">
        <f t="shared" si="7"/>
        <v>1590</v>
      </c>
      <c r="BZ39" s="1912">
        <f t="shared" si="7"/>
        <v>1110</v>
      </c>
      <c r="CA39" s="1912">
        <f t="shared" si="7"/>
        <v>2090</v>
      </c>
      <c r="CB39" s="1912">
        <f t="shared" si="7"/>
        <v>22592</v>
      </c>
      <c r="CC39" s="1912">
        <f t="shared" si="7"/>
        <v>16725</v>
      </c>
      <c r="CD39" s="1912">
        <f t="shared" si="7"/>
        <v>1789</v>
      </c>
      <c r="CE39" s="1912">
        <f t="shared" si="7"/>
        <v>14490</v>
      </c>
      <c r="CH39" s="382" t="s">
        <v>7987</v>
      </c>
      <c r="CI39" s="1920">
        <v>11419</v>
      </c>
      <c r="CJ39" s="1920">
        <v>10429</v>
      </c>
      <c r="CK39" s="1920">
        <v>9553</v>
      </c>
      <c r="CL39" s="1920">
        <v>8950</v>
      </c>
      <c r="CM39" s="1920">
        <v>8446</v>
      </c>
      <c r="CN39" s="1651"/>
      <c r="CP39" s="549"/>
      <c r="CQ39" s="549"/>
      <c r="CR39" s="549"/>
      <c r="CS39" s="549"/>
      <c r="CT39" s="549"/>
      <c r="CU39" s="549"/>
      <c r="CV39" s="1636"/>
      <c r="CX39" s="547"/>
      <c r="CY39" s="1649"/>
      <c r="CZ39" s="1649"/>
      <c r="DA39" s="1649"/>
      <c r="DB39" s="1649"/>
      <c r="DG39" s="1923" t="s">
        <v>8017</v>
      </c>
      <c r="DH39" s="381">
        <v>57</v>
      </c>
      <c r="DI39" s="381"/>
      <c r="DJ39" s="381"/>
      <c r="DM39" s="612"/>
      <c r="DO39" s="1922"/>
      <c r="DP39" s="1922"/>
      <c r="DQ39" s="1922"/>
      <c r="DU39" s="382" t="s">
        <v>2181</v>
      </c>
      <c r="DV39" s="382">
        <v>25</v>
      </c>
      <c r="DW39" s="382">
        <v>0</v>
      </c>
      <c r="DX39" s="382">
        <v>0</v>
      </c>
      <c r="DY39" s="382">
        <v>31</v>
      </c>
      <c r="DZ39" s="382">
        <v>0</v>
      </c>
      <c r="EA39" s="382">
        <v>0</v>
      </c>
      <c r="EB39" s="463">
        <f t="shared" si="5"/>
        <v>25</v>
      </c>
      <c r="EC39" s="463">
        <f t="shared" si="6"/>
        <v>31</v>
      </c>
      <c r="ED39" s="549"/>
    </row>
    <row r="40" spans="1:134" ht="12.95" customHeight="1">
      <c r="I40" s="398"/>
      <c r="J40" s="398"/>
      <c r="K40" s="398"/>
      <c r="L40" s="398"/>
      <c r="M40" s="398"/>
      <c r="P40" s="381" t="s">
        <v>1810</v>
      </c>
      <c r="Q40" s="457" t="s">
        <v>2304</v>
      </c>
      <c r="R40" s="457" t="s">
        <v>2305</v>
      </c>
      <c r="S40" s="457" t="s">
        <v>2306</v>
      </c>
      <c r="T40" s="457" t="s">
        <v>2307</v>
      </c>
      <c r="U40" s="457" t="s">
        <v>7885</v>
      </c>
      <c r="V40" s="729" t="s">
        <v>7886</v>
      </c>
      <c r="W40" s="754"/>
      <c r="AA40" s="463"/>
      <c r="AB40" s="463"/>
      <c r="AC40" s="463"/>
      <c r="AD40" s="463"/>
      <c r="AE40" s="463"/>
      <c r="AF40" s="463"/>
      <c r="AG40" s="463"/>
      <c r="AH40" s="463"/>
      <c r="AL40" s="463" t="s">
        <v>7980</v>
      </c>
      <c r="AM40" s="463">
        <v>1102</v>
      </c>
      <c r="AN40" s="463">
        <v>1165</v>
      </c>
      <c r="AO40" s="463">
        <v>1206</v>
      </c>
      <c r="AP40" s="463">
        <v>1239</v>
      </c>
      <c r="AS40" s="381" t="s">
        <v>8097</v>
      </c>
      <c r="AT40" s="381"/>
      <c r="AU40" s="381"/>
      <c r="AV40" s="381"/>
      <c r="AW40" s="381"/>
      <c r="AZ40" s="463" t="s">
        <v>8098</v>
      </c>
      <c r="BA40" s="1896">
        <v>16</v>
      </c>
      <c r="BB40" s="1896">
        <v>13</v>
      </c>
      <c r="BC40" s="1896">
        <v>13</v>
      </c>
      <c r="BD40" s="1896">
        <v>14</v>
      </c>
      <c r="BE40" s="463"/>
      <c r="BF40" s="463"/>
      <c r="BG40" s="382" t="s">
        <v>7985</v>
      </c>
      <c r="BH40" s="463">
        <v>1</v>
      </c>
      <c r="BI40" s="463">
        <v>2</v>
      </c>
      <c r="BJ40" s="463">
        <v>3</v>
      </c>
      <c r="BK40" s="463">
        <v>2</v>
      </c>
      <c r="BL40" s="463"/>
      <c r="BN40" s="381" t="s">
        <v>8099</v>
      </c>
      <c r="BO40" s="381"/>
      <c r="BP40" s="381"/>
      <c r="BQ40" s="381"/>
      <c r="BR40" s="381"/>
      <c r="BU40" s="1916">
        <v>96910</v>
      </c>
      <c r="BV40" s="1912">
        <v>580</v>
      </c>
      <c r="BW40" s="1912">
        <v>375</v>
      </c>
      <c r="BX40" s="1912">
        <v>50</v>
      </c>
      <c r="BY40" s="1912">
        <v>45</v>
      </c>
      <c r="BZ40" s="1912">
        <v>30</v>
      </c>
      <c r="CA40" s="1912">
        <v>80</v>
      </c>
      <c r="CB40" s="1912">
        <v>728</v>
      </c>
      <c r="CC40" s="1912">
        <v>520</v>
      </c>
      <c r="CD40" s="1912">
        <v>58</v>
      </c>
      <c r="CE40" s="1912">
        <v>430</v>
      </c>
      <c r="CH40" s="382" t="s">
        <v>7997</v>
      </c>
      <c r="CI40" s="1920">
        <v>1414</v>
      </c>
      <c r="CJ40" s="1920">
        <v>1341</v>
      </c>
      <c r="CK40" s="1920">
        <v>1256</v>
      </c>
      <c r="CL40" s="1920">
        <v>1230</v>
      </c>
      <c r="CM40" s="1920">
        <v>1183</v>
      </c>
      <c r="CN40" s="1651"/>
      <c r="CP40" s="549"/>
      <c r="CS40" s="549"/>
      <c r="CT40" s="549"/>
      <c r="CU40" s="549"/>
      <c r="CV40" s="1636"/>
      <c r="CX40" s="547"/>
      <c r="CY40" s="1649"/>
      <c r="CZ40" s="1649"/>
      <c r="DA40" s="1649"/>
      <c r="DB40" s="1649"/>
      <c r="DG40" s="549" t="s">
        <v>8022</v>
      </c>
      <c r="DH40" s="861"/>
      <c r="DI40" s="861"/>
      <c r="DJ40" s="861"/>
      <c r="DK40" s="549"/>
      <c r="DM40" s="612"/>
      <c r="DO40" s="1922"/>
      <c r="DP40" s="1922"/>
      <c r="DQ40" s="1922"/>
      <c r="DU40" s="382" t="s">
        <v>2276</v>
      </c>
      <c r="DV40" s="382">
        <v>1</v>
      </c>
      <c r="DW40" s="382">
        <v>0</v>
      </c>
      <c r="DX40" s="382">
        <v>0</v>
      </c>
      <c r="DY40" s="382">
        <v>1</v>
      </c>
      <c r="DZ40" s="382">
        <v>0</v>
      </c>
      <c r="EA40" s="382">
        <v>0</v>
      </c>
      <c r="EB40" s="463">
        <f t="shared" si="5"/>
        <v>1</v>
      </c>
      <c r="EC40" s="463">
        <f t="shared" si="6"/>
        <v>1</v>
      </c>
      <c r="ED40" s="549"/>
    </row>
    <row r="41" spans="1:134" ht="12.95" customHeight="1">
      <c r="I41" s="398"/>
      <c r="J41" s="398"/>
      <c r="K41" s="398"/>
      <c r="L41" s="398"/>
      <c r="M41" s="398"/>
      <c r="P41" s="382" t="s">
        <v>8076</v>
      </c>
      <c r="Q41" s="463">
        <v>7620</v>
      </c>
      <c r="R41" s="463">
        <v>7820</v>
      </c>
      <c r="S41" s="463">
        <v>5585</v>
      </c>
      <c r="T41" s="463">
        <v>11259</v>
      </c>
      <c r="U41" s="463">
        <v>10506</v>
      </c>
      <c r="V41" s="463">
        <v>10681</v>
      </c>
      <c r="W41" s="804"/>
      <c r="AL41" s="382" t="s">
        <v>7985</v>
      </c>
      <c r="AM41" s="463">
        <v>2502</v>
      </c>
      <c r="AN41" s="463">
        <v>2601</v>
      </c>
      <c r="AO41" s="463">
        <v>2685</v>
      </c>
      <c r="AP41" s="463">
        <v>2753</v>
      </c>
      <c r="AS41" s="398"/>
      <c r="AT41" s="2127" t="s">
        <v>8073</v>
      </c>
      <c r="AU41" s="2128"/>
      <c r="AV41" s="2128"/>
      <c r="AW41" s="2128"/>
      <c r="AZ41" s="1508" t="s">
        <v>8058</v>
      </c>
      <c r="BA41" s="1653"/>
      <c r="BB41" s="1648"/>
      <c r="BC41" s="1648"/>
      <c r="BD41" s="415"/>
      <c r="BE41" s="463"/>
      <c r="BF41" s="463"/>
      <c r="BG41" s="382" t="s">
        <v>7994</v>
      </c>
      <c r="BH41" s="463">
        <v>0</v>
      </c>
      <c r="BI41" s="463">
        <v>0</v>
      </c>
      <c r="BJ41" s="463">
        <v>1</v>
      </c>
      <c r="BK41" s="463">
        <v>0</v>
      </c>
      <c r="BL41" s="463"/>
      <c r="BO41" s="2279" t="s">
        <v>8073</v>
      </c>
      <c r="BP41" s="2280"/>
      <c r="BQ41" s="2280"/>
      <c r="BR41" s="2280"/>
      <c r="BU41" s="1916">
        <v>96912</v>
      </c>
      <c r="BV41" s="1912">
        <v>295</v>
      </c>
      <c r="BW41" s="1912">
        <v>195</v>
      </c>
      <c r="BX41" s="1912">
        <v>15</v>
      </c>
      <c r="BY41" s="1912">
        <v>25</v>
      </c>
      <c r="BZ41" s="1912">
        <v>15</v>
      </c>
      <c r="CA41" s="1912">
        <v>45</v>
      </c>
      <c r="CB41" s="1912">
        <v>299</v>
      </c>
      <c r="CC41" s="1912">
        <v>219</v>
      </c>
      <c r="CD41" s="1912">
        <v>21</v>
      </c>
      <c r="CE41" s="1912">
        <v>200</v>
      </c>
      <c r="CN41" s="549"/>
      <c r="CP41" s="1636"/>
      <c r="CQ41" s="1636"/>
      <c r="CR41" s="1636"/>
      <c r="CS41" s="1636"/>
      <c r="CT41" s="1636"/>
      <c r="CU41" s="1636"/>
      <c r="CV41" s="1636"/>
      <c r="CX41" s="547"/>
      <c r="CY41" s="1556"/>
      <c r="CZ41" s="1556"/>
      <c r="DA41" s="1556"/>
      <c r="DB41" s="1556"/>
      <c r="DG41" s="549" t="s">
        <v>8027</v>
      </c>
      <c r="DH41" s="549"/>
      <c r="DI41" s="549"/>
      <c r="DJ41" s="549"/>
      <c r="DK41" s="549"/>
      <c r="DM41" s="612"/>
      <c r="DO41" s="1922"/>
      <c r="DP41" s="1922"/>
      <c r="DQ41" s="1922"/>
      <c r="DU41" s="382" t="s">
        <v>2185</v>
      </c>
      <c r="DV41" s="382">
        <v>6</v>
      </c>
      <c r="DW41" s="382">
        <v>0</v>
      </c>
      <c r="DX41" s="382">
        <v>7</v>
      </c>
      <c r="DY41" s="382">
        <v>17</v>
      </c>
      <c r="DZ41" s="382">
        <v>0</v>
      </c>
      <c r="EA41" s="382">
        <v>42</v>
      </c>
      <c r="EB41" s="463">
        <f t="shared" si="5"/>
        <v>13</v>
      </c>
      <c r="EC41" s="463">
        <f t="shared" si="6"/>
        <v>59</v>
      </c>
      <c r="ED41" s="549"/>
    </row>
    <row r="42" spans="1:134" ht="12.95" customHeight="1">
      <c r="I42" s="398"/>
      <c r="J42" s="398"/>
      <c r="K42" s="398"/>
      <c r="L42" s="398"/>
      <c r="M42" s="398"/>
      <c r="N42" s="1406"/>
      <c r="P42" s="382" t="s">
        <v>8100</v>
      </c>
      <c r="Q42" s="463">
        <v>1129</v>
      </c>
      <c r="R42" s="463">
        <v>1223</v>
      </c>
      <c r="S42" s="463">
        <v>1110</v>
      </c>
      <c r="T42" s="463">
        <v>2249</v>
      </c>
      <c r="U42" s="463">
        <v>2065</v>
      </c>
      <c r="V42" s="463">
        <v>1732</v>
      </c>
      <c r="W42" s="754"/>
      <c r="Z42" s="2094"/>
      <c r="AA42" s="2094"/>
      <c r="AB42" s="2094"/>
      <c r="AC42" s="2094"/>
      <c r="AD42" s="402"/>
      <c r="AE42" s="402"/>
      <c r="AF42" s="402"/>
      <c r="AG42" s="402"/>
      <c r="AH42" s="402"/>
      <c r="AI42" s="402"/>
      <c r="AL42" s="382" t="s">
        <v>7994</v>
      </c>
      <c r="AM42" s="463">
        <v>2576</v>
      </c>
      <c r="AN42" s="463">
        <v>2640</v>
      </c>
      <c r="AO42" s="463">
        <v>2688</v>
      </c>
      <c r="AP42" s="463">
        <v>2736</v>
      </c>
      <c r="AS42" s="384" t="s">
        <v>7901</v>
      </c>
      <c r="AT42" s="729" t="s">
        <v>42</v>
      </c>
      <c r="AU42" s="729" t="s">
        <v>43</v>
      </c>
      <c r="AV42" s="729" t="s">
        <v>44</v>
      </c>
      <c r="AW42" s="729" t="s">
        <v>45</v>
      </c>
      <c r="BA42" s="1406"/>
      <c r="BB42" s="1406"/>
      <c r="BC42" s="1406"/>
      <c r="BD42" s="1406"/>
      <c r="BE42" s="463"/>
      <c r="BF42" s="463"/>
      <c r="BG42" s="382" t="s">
        <v>8000</v>
      </c>
      <c r="BH42" s="463">
        <v>0</v>
      </c>
      <c r="BI42" s="463">
        <v>0</v>
      </c>
      <c r="BJ42" s="463">
        <v>1</v>
      </c>
      <c r="BK42" s="463">
        <v>0</v>
      </c>
      <c r="BL42" s="463"/>
      <c r="BN42" s="1431" t="s">
        <v>7901</v>
      </c>
      <c r="BO42" s="1900" t="s">
        <v>42</v>
      </c>
      <c r="BP42" s="1900" t="s">
        <v>43</v>
      </c>
      <c r="BQ42" s="1900" t="s">
        <v>44</v>
      </c>
      <c r="BR42" s="1900" t="s">
        <v>45</v>
      </c>
      <c r="BU42" s="1916">
        <v>96913</v>
      </c>
      <c r="BV42" s="1912">
        <v>1560</v>
      </c>
      <c r="BW42" s="1912">
        <v>1115</v>
      </c>
      <c r="BX42" s="1912">
        <v>110</v>
      </c>
      <c r="BY42" s="1912">
        <v>120</v>
      </c>
      <c r="BZ42" s="1912">
        <v>60</v>
      </c>
      <c r="CA42" s="1912">
        <v>155</v>
      </c>
      <c r="CB42" s="1912">
        <v>2132</v>
      </c>
      <c r="CC42" s="1912">
        <v>1681</v>
      </c>
      <c r="CD42" s="1912">
        <v>148</v>
      </c>
      <c r="CE42" s="1912">
        <v>1170</v>
      </c>
      <c r="CH42" s="381" t="s">
        <v>8011</v>
      </c>
      <c r="CI42" s="497">
        <v>12535</v>
      </c>
      <c r="CJ42" s="497">
        <v>12087</v>
      </c>
      <c r="CK42" s="497">
        <v>11424</v>
      </c>
      <c r="CL42" s="497">
        <v>10934</v>
      </c>
      <c r="CM42" s="497">
        <v>10376</v>
      </c>
      <c r="CN42" s="562"/>
      <c r="CP42" s="1636"/>
      <c r="CQ42" s="1636"/>
      <c r="CR42" s="1636"/>
      <c r="CS42" s="1636"/>
      <c r="CT42" s="1636"/>
      <c r="CU42" s="1636"/>
      <c r="CV42" s="1636"/>
      <c r="CX42" s="547"/>
      <c r="CY42" s="1556"/>
      <c r="CZ42" s="1556"/>
      <c r="DA42" s="1556"/>
      <c r="DB42" s="1556"/>
      <c r="DM42" s="612"/>
      <c r="DO42" s="1922"/>
      <c r="DP42" s="1922"/>
      <c r="DQ42" s="1922"/>
      <c r="DU42" s="382" t="s">
        <v>2353</v>
      </c>
      <c r="DV42" s="382">
        <v>2</v>
      </c>
      <c r="DW42" s="382">
        <v>0</v>
      </c>
      <c r="DX42" s="382">
        <v>0</v>
      </c>
      <c r="DY42" s="382">
        <v>3</v>
      </c>
      <c r="DZ42" s="382">
        <v>0</v>
      </c>
      <c r="EA42" s="382">
        <v>0</v>
      </c>
      <c r="EB42" s="463">
        <f t="shared" si="5"/>
        <v>2</v>
      </c>
      <c r="EC42" s="463">
        <f t="shared" si="6"/>
        <v>3</v>
      </c>
      <c r="ED42" s="549"/>
    </row>
    <row r="43" spans="1:134" ht="12.95" customHeight="1">
      <c r="I43" s="398"/>
      <c r="J43" s="398"/>
      <c r="K43" s="398"/>
      <c r="L43" s="398"/>
      <c r="M43" s="398"/>
      <c r="P43" s="381" t="s">
        <v>8083</v>
      </c>
      <c r="Q43" s="497">
        <v>3939</v>
      </c>
      <c r="R43" s="497">
        <v>3779</v>
      </c>
      <c r="S43" s="497">
        <v>3043</v>
      </c>
      <c r="T43" s="497">
        <v>5909</v>
      </c>
      <c r="U43" s="497">
        <v>5192</v>
      </c>
      <c r="V43" s="497">
        <v>3611</v>
      </c>
      <c r="W43" s="398"/>
      <c r="Z43" s="439"/>
      <c r="AA43" s="439"/>
      <c r="AB43" s="439"/>
      <c r="AC43" s="439"/>
      <c r="AD43" s="439"/>
      <c r="AE43" s="439"/>
      <c r="AF43" s="439"/>
      <c r="AG43" s="439"/>
      <c r="AH43" s="439"/>
      <c r="AI43" s="439"/>
      <c r="AL43" s="382" t="s">
        <v>8000</v>
      </c>
      <c r="AM43" s="463">
        <v>2632</v>
      </c>
      <c r="AN43" s="463">
        <v>2703</v>
      </c>
      <c r="AO43" s="463">
        <v>2753</v>
      </c>
      <c r="AP43" s="463">
        <v>2802</v>
      </c>
      <c r="AS43" s="382" t="s">
        <v>3507</v>
      </c>
      <c r="AT43" s="1889">
        <f>SUM(AT44:AT73)</f>
        <v>43899</v>
      </c>
      <c r="AU43" s="1889">
        <f>SUM(AU44:AU73)</f>
        <v>45970</v>
      </c>
      <c r="AV43" s="1889">
        <f>SUM(AV44:AV73)</f>
        <v>47593</v>
      </c>
      <c r="AW43" s="1889">
        <f>SUM(AW44:AW73)</f>
        <v>49138</v>
      </c>
      <c r="BE43" s="463"/>
      <c r="BF43" s="463"/>
      <c r="BG43" s="382" t="s">
        <v>8008</v>
      </c>
      <c r="BH43" s="463">
        <v>0</v>
      </c>
      <c r="BI43" s="463">
        <v>0</v>
      </c>
      <c r="BJ43" s="463">
        <v>0</v>
      </c>
      <c r="BK43" s="463">
        <v>0</v>
      </c>
      <c r="BL43" s="463"/>
      <c r="BN43" s="382" t="s">
        <v>3507</v>
      </c>
      <c r="BO43" s="1038">
        <f>SUM(BO44:BO74)</f>
        <v>187</v>
      </c>
      <c r="BP43" s="463">
        <f>SUM(BP44:BP74)</f>
        <v>198</v>
      </c>
      <c r="BQ43" s="619">
        <f>SUM(BQ44:BQ74)</f>
        <v>211</v>
      </c>
      <c r="BR43" s="619">
        <f>SUM(BR44:BR74)</f>
        <v>218</v>
      </c>
      <c r="BU43" s="1916">
        <v>96915</v>
      </c>
      <c r="BV43" s="1912">
        <v>1175</v>
      </c>
      <c r="BW43" s="1912">
        <v>780</v>
      </c>
      <c r="BX43" s="1912">
        <v>80</v>
      </c>
      <c r="BY43" s="1912">
        <v>100</v>
      </c>
      <c r="BZ43" s="1912">
        <v>50</v>
      </c>
      <c r="CA43" s="1912">
        <v>165</v>
      </c>
      <c r="CB43" s="1912">
        <v>1376</v>
      </c>
      <c r="CC43" s="1912">
        <v>980</v>
      </c>
      <c r="CD43" s="1912">
        <v>113</v>
      </c>
      <c r="CE43" s="1912">
        <v>825</v>
      </c>
      <c r="CH43" s="549" t="s">
        <v>8016</v>
      </c>
      <c r="CI43" s="549"/>
      <c r="CJ43" s="549"/>
      <c r="CK43" s="549"/>
      <c r="CL43" s="549"/>
      <c r="CM43" s="549"/>
      <c r="CN43" s="549"/>
      <c r="CP43" s="1636"/>
      <c r="CQ43" s="1636"/>
      <c r="CR43" s="1636"/>
      <c r="CS43" s="1636"/>
      <c r="CT43" s="1636"/>
      <c r="CU43" s="1636"/>
      <c r="CV43" s="1636"/>
      <c r="CX43" s="547"/>
      <c r="CY43" s="1556"/>
      <c r="CZ43" s="1556"/>
      <c r="DA43" s="1556"/>
      <c r="DB43" s="1556"/>
      <c r="DM43" s="918"/>
      <c r="DO43" s="1922"/>
      <c r="DP43" s="1922"/>
      <c r="DQ43" s="1922"/>
      <c r="DR43" s="917"/>
      <c r="DS43" s="917"/>
      <c r="DU43" s="382" t="s">
        <v>2260</v>
      </c>
      <c r="DV43" s="382">
        <v>3</v>
      </c>
      <c r="DW43" s="382">
        <v>0</v>
      </c>
      <c r="DX43" s="382">
        <v>1</v>
      </c>
      <c r="DY43" s="382">
        <v>8</v>
      </c>
      <c r="DZ43" s="382">
        <v>0</v>
      </c>
      <c r="EA43" s="382">
        <v>6</v>
      </c>
      <c r="EB43" s="463">
        <f t="shared" si="5"/>
        <v>4</v>
      </c>
      <c r="EC43" s="463">
        <f t="shared" si="6"/>
        <v>14</v>
      </c>
      <c r="ED43" s="549"/>
    </row>
    <row r="44" spans="1:134" ht="12.95" customHeight="1">
      <c r="I44" s="398"/>
      <c r="J44" s="398"/>
      <c r="K44" s="398"/>
      <c r="L44" s="398"/>
      <c r="M44" s="398"/>
      <c r="N44" s="385"/>
      <c r="P44" s="549" t="s">
        <v>7973</v>
      </c>
      <c r="Q44" s="882"/>
      <c r="R44" s="882"/>
      <c r="S44" s="882"/>
      <c r="T44" s="882"/>
      <c r="U44" s="882"/>
      <c r="V44" s="549"/>
      <c r="W44" s="398"/>
      <c r="Z44" s="463"/>
      <c r="AA44" s="463"/>
      <c r="AB44" s="463"/>
      <c r="AC44" s="463"/>
      <c r="AD44" s="463"/>
      <c r="AE44" s="463"/>
      <c r="AF44" s="463"/>
      <c r="AG44" s="463"/>
      <c r="AH44" s="463"/>
      <c r="AI44" s="463"/>
      <c r="AL44" s="382" t="s">
        <v>8008</v>
      </c>
      <c r="AM44" s="463">
        <v>4986</v>
      </c>
      <c r="AN44" s="463">
        <v>5101</v>
      </c>
      <c r="AO44" s="463">
        <v>5210</v>
      </c>
      <c r="AP44" s="463">
        <v>5307</v>
      </c>
      <c r="AS44" s="382" t="s">
        <v>2251</v>
      </c>
      <c r="AT44" s="1038">
        <v>662</v>
      </c>
      <c r="AU44" s="1038">
        <v>687</v>
      </c>
      <c r="AV44" s="1038">
        <v>715</v>
      </c>
      <c r="AW44" s="1038">
        <v>740</v>
      </c>
      <c r="BE44" s="463"/>
      <c r="BF44" s="463"/>
      <c r="BG44" s="382" t="s">
        <v>8014</v>
      </c>
      <c r="BH44" s="463">
        <v>1</v>
      </c>
      <c r="BI44" s="463">
        <v>1</v>
      </c>
      <c r="BJ44" s="463">
        <v>1</v>
      </c>
      <c r="BK44" s="463">
        <v>1</v>
      </c>
      <c r="BL44" s="463"/>
      <c r="BN44" s="382" t="s">
        <v>7922</v>
      </c>
      <c r="BO44" s="1038">
        <v>0</v>
      </c>
      <c r="BP44" s="1038">
        <v>0</v>
      </c>
      <c r="BQ44" s="1038">
        <v>0</v>
      </c>
      <c r="BR44" s="1038">
        <v>0</v>
      </c>
      <c r="BU44" s="1916">
        <v>96916</v>
      </c>
      <c r="BV44" s="1912">
        <v>110</v>
      </c>
      <c r="BW44" s="1912">
        <v>70</v>
      </c>
      <c r="BX44" s="1912">
        <v>10</v>
      </c>
      <c r="BY44" s="1912">
        <v>10</v>
      </c>
      <c r="BZ44" s="1912">
        <v>10</v>
      </c>
      <c r="CA44" s="1912">
        <v>10</v>
      </c>
      <c r="CB44" s="1912">
        <v>119</v>
      </c>
      <c r="CC44" s="1912">
        <v>75</v>
      </c>
      <c r="CD44" s="1912">
        <v>18</v>
      </c>
      <c r="CE44" s="1912">
        <v>70</v>
      </c>
      <c r="CH44" s="549" t="s">
        <v>8021</v>
      </c>
      <c r="CI44" s="549"/>
      <c r="CJ44" s="549"/>
      <c r="CK44" s="549"/>
      <c r="CL44" s="549"/>
      <c r="CM44" s="549"/>
      <c r="CN44" s="549"/>
      <c r="CP44" s="1636"/>
      <c r="CQ44" s="1636"/>
      <c r="CR44" s="1636"/>
      <c r="CS44" s="1636"/>
      <c r="CT44" s="1636"/>
      <c r="CU44" s="1636"/>
      <c r="CV44" s="1636"/>
      <c r="CX44" s="547"/>
      <c r="CY44" s="1556"/>
      <c r="CZ44" s="1556"/>
      <c r="DA44" s="1556"/>
      <c r="DB44" s="1556"/>
      <c r="DG44" s="414"/>
      <c r="DH44" s="414"/>
      <c r="DI44" s="414"/>
      <c r="DJ44" s="414"/>
      <c r="DO44" s="1922"/>
      <c r="DP44" s="1922"/>
      <c r="DQ44" s="1922"/>
      <c r="DU44" s="382" t="s">
        <v>2201</v>
      </c>
      <c r="DV44" s="382">
        <v>1</v>
      </c>
      <c r="DW44" s="382">
        <v>0</v>
      </c>
      <c r="DX44" s="382">
        <v>1</v>
      </c>
      <c r="DY44" s="382">
        <v>1</v>
      </c>
      <c r="DZ44" s="382">
        <v>0</v>
      </c>
      <c r="EA44" s="382">
        <v>4</v>
      </c>
      <c r="EB44" s="463">
        <f t="shared" si="5"/>
        <v>2</v>
      </c>
      <c r="EC44" s="463">
        <f t="shared" si="6"/>
        <v>5</v>
      </c>
      <c r="ED44" s="549"/>
    </row>
    <row r="45" spans="1:134" ht="12.95" customHeight="1">
      <c r="I45" s="398"/>
      <c r="J45" s="398"/>
      <c r="K45" s="398"/>
      <c r="L45" s="398"/>
      <c r="M45" s="398"/>
      <c r="N45" s="515"/>
      <c r="P45" s="549" t="s">
        <v>8103</v>
      </c>
      <c r="Q45" s="549"/>
      <c r="R45" s="549"/>
      <c r="S45" s="549"/>
      <c r="T45" s="549"/>
      <c r="U45" s="1888"/>
      <c r="V45" s="549"/>
      <c r="W45" s="398"/>
      <c r="Z45" s="463"/>
      <c r="AA45" s="463"/>
      <c r="AB45" s="463"/>
      <c r="AC45" s="463"/>
      <c r="AD45" s="463"/>
      <c r="AE45" s="463"/>
      <c r="AF45" s="463"/>
      <c r="AG45" s="463"/>
      <c r="AH45" s="463"/>
      <c r="AI45" s="463"/>
      <c r="AL45" s="382" t="s">
        <v>8014</v>
      </c>
      <c r="AM45" s="463">
        <v>4574</v>
      </c>
      <c r="AN45" s="463">
        <v>4675</v>
      </c>
      <c r="AO45" s="463">
        <v>4762</v>
      </c>
      <c r="AP45" s="463">
        <v>4837</v>
      </c>
      <c r="AS45" s="382" t="s">
        <v>2381</v>
      </c>
      <c r="AT45" s="1889">
        <v>1642</v>
      </c>
      <c r="AU45" s="1889">
        <v>1718</v>
      </c>
      <c r="AV45" s="1889">
        <v>1728</v>
      </c>
      <c r="AW45" s="1889">
        <v>1783</v>
      </c>
      <c r="BE45" s="463"/>
      <c r="BF45" s="463"/>
      <c r="BG45" s="382" t="s">
        <v>8019</v>
      </c>
      <c r="BH45" s="463">
        <v>2</v>
      </c>
      <c r="BI45" s="463">
        <v>2</v>
      </c>
      <c r="BJ45" s="463">
        <v>3</v>
      </c>
      <c r="BK45" s="463">
        <v>4</v>
      </c>
      <c r="BL45" s="463"/>
      <c r="BN45" s="382" t="s">
        <v>7934</v>
      </c>
      <c r="BO45" s="1038">
        <v>0</v>
      </c>
      <c r="BP45" s="1038">
        <v>0</v>
      </c>
      <c r="BQ45" s="619">
        <v>0</v>
      </c>
      <c r="BR45" s="619">
        <v>0</v>
      </c>
      <c r="BU45" s="1916">
        <v>96917</v>
      </c>
      <c r="BV45" s="1912">
        <v>70</v>
      </c>
      <c r="BW45" s="1912">
        <v>40</v>
      </c>
      <c r="BX45" s="1912">
        <v>5</v>
      </c>
      <c r="BY45" s="1912">
        <v>10</v>
      </c>
      <c r="BZ45" s="1912">
        <v>5</v>
      </c>
      <c r="CA45" s="1912">
        <v>10</v>
      </c>
      <c r="CB45" s="1912">
        <v>74</v>
      </c>
      <c r="CC45" s="1912">
        <v>43</v>
      </c>
      <c r="CD45" s="1912">
        <v>10</v>
      </c>
      <c r="CE45" s="1912">
        <v>50</v>
      </c>
      <c r="CH45" s="549" t="s">
        <v>8026</v>
      </c>
      <c r="CI45" s="549"/>
      <c r="CJ45" s="549"/>
      <c r="CK45" s="549"/>
      <c r="CL45" s="549"/>
      <c r="CM45" s="549"/>
      <c r="CN45" s="549"/>
      <c r="CP45" s="1636"/>
      <c r="CQ45" s="1636"/>
      <c r="CR45" s="1636"/>
      <c r="CS45" s="1636"/>
      <c r="CT45" s="1636"/>
      <c r="CU45" s="1636"/>
      <c r="CV45" s="1636"/>
      <c r="CX45" s="547"/>
      <c r="CY45" s="1556"/>
      <c r="CZ45" s="1556"/>
      <c r="DA45" s="1556"/>
      <c r="DB45" s="1556"/>
      <c r="DG45" s="381" t="s">
        <v>8102</v>
      </c>
      <c r="DO45" s="1922"/>
      <c r="DP45" s="1922"/>
      <c r="DQ45" s="1922"/>
      <c r="DU45" s="382" t="s">
        <v>2202</v>
      </c>
      <c r="DV45" s="382">
        <v>18</v>
      </c>
      <c r="DW45" s="382">
        <v>0</v>
      </c>
      <c r="DX45" s="382">
        <v>0</v>
      </c>
      <c r="DY45" s="382">
        <v>22</v>
      </c>
      <c r="DZ45" s="382">
        <v>0</v>
      </c>
      <c r="EA45" s="382">
        <v>0</v>
      </c>
      <c r="EB45" s="463">
        <f t="shared" si="5"/>
        <v>18</v>
      </c>
      <c r="EC45" s="463">
        <f t="shared" si="6"/>
        <v>22</v>
      </c>
      <c r="ED45" s="549"/>
    </row>
    <row r="46" spans="1:134" ht="12.95" customHeight="1">
      <c r="P46" s="549" t="s">
        <v>8057</v>
      </c>
      <c r="Q46" s="549"/>
      <c r="R46" s="549"/>
      <c r="S46" s="549"/>
      <c r="T46" s="549"/>
      <c r="U46" s="551"/>
      <c r="V46" s="549"/>
      <c r="W46" s="398"/>
      <c r="Z46" s="463"/>
      <c r="AA46" s="463"/>
      <c r="AB46" s="463"/>
      <c r="AC46" s="463"/>
      <c r="AD46" s="463"/>
      <c r="AE46" s="463"/>
      <c r="AF46" s="463"/>
      <c r="AG46" s="463"/>
      <c r="AH46" s="463"/>
      <c r="AI46" s="463"/>
      <c r="AL46" s="382" t="s">
        <v>8019</v>
      </c>
      <c r="AM46" s="463">
        <v>2794</v>
      </c>
      <c r="AN46" s="463">
        <v>2877</v>
      </c>
      <c r="AO46" s="463">
        <v>2934</v>
      </c>
      <c r="AP46" s="463">
        <v>2978</v>
      </c>
      <c r="AS46" s="382" t="s">
        <v>7945</v>
      </c>
      <c r="AT46" s="1889">
        <v>75</v>
      </c>
      <c r="AU46" s="1889">
        <v>66</v>
      </c>
      <c r="AV46" s="1889">
        <v>73</v>
      </c>
      <c r="AW46" s="1889">
        <v>85</v>
      </c>
      <c r="AZ46" s="381" t="s">
        <v>8101</v>
      </c>
      <c r="BA46" s="381"/>
      <c r="BB46" s="381"/>
      <c r="BC46" s="381"/>
      <c r="BD46" s="381"/>
      <c r="BE46" s="463"/>
      <c r="BF46" s="463"/>
      <c r="BG46" s="382" t="s">
        <v>8024</v>
      </c>
      <c r="BH46" s="463">
        <v>7</v>
      </c>
      <c r="BI46" s="463">
        <v>7</v>
      </c>
      <c r="BJ46" s="463">
        <v>7</v>
      </c>
      <c r="BK46" s="463">
        <v>8</v>
      </c>
      <c r="BL46" s="463"/>
      <c r="BN46" s="382" t="s">
        <v>2251</v>
      </c>
      <c r="BO46" s="1038">
        <v>3</v>
      </c>
      <c r="BP46" s="1038">
        <v>3</v>
      </c>
      <c r="BQ46" s="619">
        <v>3</v>
      </c>
      <c r="BR46" s="619">
        <v>3</v>
      </c>
      <c r="BU46" s="1916">
        <v>96921</v>
      </c>
      <c r="BV46" s="1912">
        <v>3525</v>
      </c>
      <c r="BW46" s="1912">
        <v>2290</v>
      </c>
      <c r="BX46" s="1912">
        <v>295</v>
      </c>
      <c r="BY46" s="1912">
        <v>265</v>
      </c>
      <c r="BZ46" s="1912">
        <v>230</v>
      </c>
      <c r="CA46" s="1912">
        <v>445</v>
      </c>
      <c r="CB46" s="1912">
        <v>3864</v>
      </c>
      <c r="CC46" s="1912">
        <v>2758</v>
      </c>
      <c r="CD46" s="1912">
        <v>276</v>
      </c>
      <c r="CE46" s="1912">
        <v>2480</v>
      </c>
      <c r="CH46" s="549" t="s">
        <v>8031</v>
      </c>
      <c r="CI46" s="549"/>
      <c r="CJ46" s="549"/>
      <c r="CK46" s="549"/>
      <c r="CL46" s="549"/>
      <c r="CM46" s="549"/>
      <c r="CN46" s="549"/>
      <c r="CP46" s="1636"/>
      <c r="CQ46" s="1636"/>
      <c r="CR46" s="1636"/>
      <c r="CS46" s="1636"/>
      <c r="CT46" s="1636"/>
      <c r="CU46" s="1636"/>
      <c r="CV46" s="1636"/>
      <c r="CX46" s="547"/>
      <c r="CY46" s="1556"/>
      <c r="CZ46" s="1556"/>
      <c r="DA46" s="1556"/>
      <c r="DB46" s="1556"/>
      <c r="DG46" s="388" t="s">
        <v>2449</v>
      </c>
      <c r="DH46" s="664" t="s">
        <v>129</v>
      </c>
      <c r="DI46" s="894"/>
      <c r="DJ46" s="894"/>
      <c r="DO46" s="1922"/>
      <c r="DP46" s="1922"/>
      <c r="DQ46" s="1922"/>
      <c r="DU46" s="382" t="s">
        <v>8028</v>
      </c>
      <c r="DV46" s="382">
        <v>21</v>
      </c>
      <c r="DW46" s="382">
        <v>0</v>
      </c>
      <c r="DX46" s="382">
        <v>0</v>
      </c>
      <c r="DY46" s="382">
        <v>23</v>
      </c>
      <c r="DZ46" s="382">
        <v>0</v>
      </c>
      <c r="EA46" s="382">
        <v>0</v>
      </c>
      <c r="EB46" s="463">
        <f t="shared" si="5"/>
        <v>21</v>
      </c>
      <c r="EC46" s="463">
        <f t="shared" si="6"/>
        <v>23</v>
      </c>
      <c r="ED46" s="549"/>
    </row>
    <row r="47" spans="1:134" ht="12.95" customHeight="1">
      <c r="P47" s="571"/>
      <c r="Q47" s="549"/>
      <c r="R47" s="549"/>
      <c r="S47" s="549"/>
      <c r="T47" s="549"/>
      <c r="U47" s="551"/>
      <c r="V47" s="549"/>
      <c r="Z47" s="463"/>
      <c r="AA47" s="463"/>
      <c r="AB47" s="463"/>
      <c r="AC47" s="463"/>
      <c r="AD47" s="463"/>
      <c r="AE47" s="463"/>
      <c r="AF47" s="463"/>
      <c r="AG47" s="463"/>
      <c r="AH47" s="463"/>
      <c r="AI47" s="463"/>
      <c r="AL47" s="382" t="s">
        <v>8024</v>
      </c>
      <c r="AM47" s="463">
        <v>417</v>
      </c>
      <c r="AN47" s="463">
        <v>477</v>
      </c>
      <c r="AO47" s="463">
        <v>542</v>
      </c>
      <c r="AP47" s="463">
        <v>582</v>
      </c>
      <c r="AS47" s="382" t="s">
        <v>4393</v>
      </c>
      <c r="AT47" s="1889">
        <v>256</v>
      </c>
      <c r="AU47" s="1889">
        <v>255</v>
      </c>
      <c r="AV47" s="1889">
        <v>270</v>
      </c>
      <c r="AW47" s="1889">
        <v>253</v>
      </c>
      <c r="BA47" s="396" t="s">
        <v>8073</v>
      </c>
      <c r="BB47" s="397"/>
      <c r="BC47" s="397"/>
      <c r="BD47" s="397"/>
      <c r="BE47" s="463"/>
      <c r="BF47" s="463"/>
      <c r="BG47" s="382" t="s">
        <v>8030</v>
      </c>
      <c r="BH47" s="463">
        <v>12</v>
      </c>
      <c r="BI47" s="463">
        <v>13</v>
      </c>
      <c r="BJ47" s="463">
        <v>16</v>
      </c>
      <c r="BK47" s="463">
        <v>15</v>
      </c>
      <c r="BL47" s="463"/>
      <c r="BN47" s="382" t="s">
        <v>7955</v>
      </c>
      <c r="BO47" s="1038">
        <v>4</v>
      </c>
      <c r="BP47" s="1038">
        <v>3</v>
      </c>
      <c r="BQ47" s="1038">
        <v>3</v>
      </c>
      <c r="BR47" s="1038">
        <v>4</v>
      </c>
      <c r="BU47" s="1916">
        <v>96923</v>
      </c>
      <c r="BV47" s="1912">
        <v>110</v>
      </c>
      <c r="BW47" s="1912">
        <v>80</v>
      </c>
      <c r="BX47" s="1912">
        <v>10</v>
      </c>
      <c r="BY47" s="1912">
        <v>5</v>
      </c>
      <c r="BZ47" s="1912">
        <v>5</v>
      </c>
      <c r="CA47" s="1912">
        <v>10</v>
      </c>
      <c r="CB47" s="1912">
        <v>105</v>
      </c>
      <c r="CC47" s="1912">
        <v>76</v>
      </c>
      <c r="CD47" s="1912">
        <v>5</v>
      </c>
      <c r="CE47" s="1912">
        <v>85</v>
      </c>
      <c r="CH47" s="549" t="s">
        <v>8037</v>
      </c>
      <c r="CI47" s="549"/>
      <c r="CJ47" s="549"/>
      <c r="CK47" s="549"/>
      <c r="CL47" s="549"/>
      <c r="CM47" s="549"/>
      <c r="CN47" s="549"/>
      <c r="CP47" s="1636"/>
      <c r="CQ47" s="1636"/>
      <c r="CR47" s="1636"/>
      <c r="CS47" s="1636"/>
      <c r="CT47" s="1636"/>
      <c r="CU47" s="1636"/>
      <c r="CV47" s="1636"/>
      <c r="CX47" s="547"/>
      <c r="CY47" s="1556"/>
      <c r="CZ47" s="1556"/>
      <c r="DA47" s="1556"/>
      <c r="DB47" s="1556"/>
      <c r="DG47" s="439" t="s">
        <v>129</v>
      </c>
      <c r="DH47" s="435">
        <f>SUM(DH48:DH61)</f>
        <v>880</v>
      </c>
      <c r="DI47" s="439"/>
      <c r="DJ47" s="439"/>
      <c r="DO47" s="1922"/>
      <c r="DP47" s="1922"/>
      <c r="DQ47" s="1922"/>
      <c r="DU47" s="382" t="s">
        <v>2356</v>
      </c>
      <c r="DV47" s="382">
        <v>1</v>
      </c>
      <c r="DW47" s="382">
        <v>0</v>
      </c>
      <c r="DX47" s="382">
        <v>0</v>
      </c>
      <c r="DY47" s="382">
        <v>1</v>
      </c>
      <c r="DZ47" s="382">
        <v>0</v>
      </c>
      <c r="EA47" s="382">
        <v>0</v>
      </c>
      <c r="EB47" s="463">
        <f t="shared" si="5"/>
        <v>1</v>
      </c>
      <c r="EC47" s="463">
        <f t="shared" si="6"/>
        <v>1</v>
      </c>
      <c r="ED47" s="549"/>
    </row>
    <row r="48" spans="1:134" ht="12.95" customHeight="1">
      <c r="P48" s="398"/>
      <c r="U48" s="393"/>
      <c r="W48" s="398"/>
      <c r="Z48" s="463"/>
      <c r="AA48" s="463"/>
      <c r="AB48" s="463"/>
      <c r="AC48" s="463"/>
      <c r="AD48" s="463"/>
      <c r="AE48" s="463"/>
      <c r="AF48" s="463"/>
      <c r="AG48" s="463"/>
      <c r="AH48" s="463"/>
      <c r="AI48" s="463"/>
      <c r="AL48" s="382" t="s">
        <v>8030</v>
      </c>
      <c r="AM48" s="463">
        <v>4577</v>
      </c>
      <c r="AN48" s="463">
        <v>4863</v>
      </c>
      <c r="AO48" s="463">
        <v>5104</v>
      </c>
      <c r="AP48" s="463">
        <v>5292</v>
      </c>
      <c r="AS48" s="382" t="s">
        <v>2253</v>
      </c>
      <c r="AT48" s="1038">
        <v>2015</v>
      </c>
      <c r="AU48" s="1038">
        <v>2150</v>
      </c>
      <c r="AV48" s="1038">
        <v>2241</v>
      </c>
      <c r="AW48" s="1038">
        <v>2355</v>
      </c>
      <c r="AZ48" s="1431" t="s">
        <v>2642</v>
      </c>
      <c r="BA48" s="642" t="s">
        <v>42</v>
      </c>
      <c r="BB48" s="642" t="s">
        <v>43</v>
      </c>
      <c r="BC48" s="642" t="s">
        <v>44</v>
      </c>
      <c r="BD48" s="664" t="s">
        <v>45</v>
      </c>
      <c r="BE48" s="463"/>
      <c r="BF48" s="463"/>
      <c r="BG48" s="382" t="s">
        <v>8036</v>
      </c>
      <c r="BH48" s="463">
        <v>27</v>
      </c>
      <c r="BI48" s="463">
        <v>31</v>
      </c>
      <c r="BJ48" s="463">
        <v>32</v>
      </c>
      <c r="BK48" s="463">
        <v>36</v>
      </c>
      <c r="BL48" s="463"/>
      <c r="BN48" s="382" t="s">
        <v>7945</v>
      </c>
      <c r="BO48" s="1038">
        <v>0</v>
      </c>
      <c r="BP48" s="1038">
        <v>0</v>
      </c>
      <c r="BQ48" s="619">
        <v>0</v>
      </c>
      <c r="BR48" s="619">
        <v>0</v>
      </c>
      <c r="BU48" s="1916">
        <v>96928</v>
      </c>
      <c r="BV48" s="1912">
        <v>605</v>
      </c>
      <c r="BW48" s="1912">
        <v>395</v>
      </c>
      <c r="BX48" s="1912">
        <v>50</v>
      </c>
      <c r="BY48" s="1912">
        <v>60</v>
      </c>
      <c r="BZ48" s="1912">
        <v>30</v>
      </c>
      <c r="CA48" s="1912">
        <v>70</v>
      </c>
      <c r="CB48" s="1912">
        <v>636</v>
      </c>
      <c r="CC48" s="1912">
        <v>444</v>
      </c>
      <c r="CD48" s="1912">
        <v>60</v>
      </c>
      <c r="CE48" s="1912">
        <v>440</v>
      </c>
      <c r="CH48" s="549" t="s">
        <v>8043</v>
      </c>
      <c r="CI48" s="549"/>
      <c r="CJ48" s="549"/>
      <c r="CK48" s="549"/>
      <c r="CL48" s="549"/>
      <c r="CM48" s="549"/>
      <c r="CN48" s="549"/>
      <c r="CP48" s="1636"/>
      <c r="CQ48" s="1636"/>
      <c r="CR48" s="1636"/>
      <c r="CS48" s="1636"/>
      <c r="CT48" s="1636"/>
      <c r="CU48" s="1636"/>
      <c r="CV48" s="1636"/>
      <c r="CX48" s="547"/>
      <c r="CY48" s="1556"/>
      <c r="CZ48" s="1556"/>
      <c r="DA48" s="1556"/>
      <c r="DB48" s="1556"/>
      <c r="DG48" s="439" t="s">
        <v>7918</v>
      </c>
      <c r="DH48" s="382">
        <v>97</v>
      </c>
      <c r="DO48" s="1922"/>
      <c r="DP48" s="1922"/>
      <c r="DQ48" s="1922"/>
      <c r="DU48" s="382" t="s">
        <v>2208</v>
      </c>
      <c r="DV48" s="382">
        <v>39</v>
      </c>
      <c r="DW48" s="382">
        <v>0</v>
      </c>
      <c r="DX48" s="382">
        <v>55</v>
      </c>
      <c r="DY48" s="382">
        <v>75</v>
      </c>
      <c r="DZ48" s="382">
        <v>0</v>
      </c>
      <c r="EA48" s="382">
        <v>340</v>
      </c>
      <c r="EB48" s="463">
        <f t="shared" si="5"/>
        <v>94</v>
      </c>
      <c r="EC48" s="463">
        <f t="shared" si="6"/>
        <v>415</v>
      </c>
      <c r="ED48" s="549"/>
    </row>
    <row r="49" spans="8:134" ht="12.95" customHeight="1">
      <c r="H49" s="1406"/>
      <c r="P49" s="549"/>
      <c r="Q49" s="549"/>
      <c r="R49" s="549"/>
      <c r="S49" s="549"/>
      <c r="T49" s="549"/>
      <c r="U49" s="1656"/>
      <c r="V49" s="549"/>
      <c r="W49" s="398"/>
      <c r="X49" s="684"/>
      <c r="Z49" s="463"/>
      <c r="AA49" s="463"/>
      <c r="AB49" s="463"/>
      <c r="AC49" s="463"/>
      <c r="AD49" s="463"/>
      <c r="AE49" s="463"/>
      <c r="AF49" s="463"/>
      <c r="AG49" s="463"/>
      <c r="AH49" s="463"/>
      <c r="AI49" s="463"/>
      <c r="AL49" s="382" t="s">
        <v>8033</v>
      </c>
      <c r="AM49" s="463">
        <v>5156</v>
      </c>
      <c r="AN49" s="463">
        <v>5367</v>
      </c>
      <c r="AO49" s="463">
        <v>5540</v>
      </c>
      <c r="AP49" s="463">
        <v>5711</v>
      </c>
      <c r="AS49" s="382" t="s">
        <v>2175</v>
      </c>
      <c r="AT49" s="1889">
        <v>970</v>
      </c>
      <c r="AU49" s="1889">
        <v>1049</v>
      </c>
      <c r="AV49" s="1889">
        <v>1087</v>
      </c>
      <c r="AW49" s="1889">
        <v>1107</v>
      </c>
      <c r="AX49" s="1655"/>
      <c r="AZ49" s="382" t="s">
        <v>3507</v>
      </c>
      <c r="BA49" s="1896">
        <f>SUM(BA50:BA85)</f>
        <v>43899</v>
      </c>
      <c r="BB49" s="1896">
        <f>SUM(BB50:BB85)</f>
        <v>45970</v>
      </c>
      <c r="BC49" s="1896">
        <f>SUM(BC50:BC85)</f>
        <v>47593</v>
      </c>
      <c r="BD49" s="1896">
        <f>SUM(BD50:BD85)</f>
        <v>49138</v>
      </c>
      <c r="BE49" s="463"/>
      <c r="BG49" s="382" t="s">
        <v>8042</v>
      </c>
      <c r="BH49" s="463">
        <v>8</v>
      </c>
      <c r="BI49" s="463">
        <v>9</v>
      </c>
      <c r="BJ49" s="463">
        <v>9</v>
      </c>
      <c r="BK49" s="463">
        <v>12</v>
      </c>
      <c r="BN49" s="382" t="s">
        <v>7971</v>
      </c>
      <c r="BO49" s="1038">
        <v>0</v>
      </c>
      <c r="BP49" s="1038">
        <v>0</v>
      </c>
      <c r="BQ49" s="619">
        <v>0</v>
      </c>
      <c r="BR49" s="619">
        <v>0</v>
      </c>
      <c r="BU49" s="1916">
        <v>96929</v>
      </c>
      <c r="BV49" s="1912">
        <v>4635</v>
      </c>
      <c r="BW49" s="1912">
        <v>3150</v>
      </c>
      <c r="BX49" s="1912">
        <v>360</v>
      </c>
      <c r="BY49" s="1912">
        <v>370</v>
      </c>
      <c r="BZ49" s="1912">
        <v>255</v>
      </c>
      <c r="CA49" s="1912">
        <v>500</v>
      </c>
      <c r="CB49" s="1912">
        <v>4954</v>
      </c>
      <c r="CC49" s="1912">
        <v>3609</v>
      </c>
      <c r="CD49" s="1912">
        <v>407</v>
      </c>
      <c r="CE49" s="1912">
        <v>3305</v>
      </c>
      <c r="CH49" s="549" t="s">
        <v>8048</v>
      </c>
      <c r="CI49" s="549"/>
      <c r="CJ49" s="549"/>
      <c r="CK49" s="549"/>
      <c r="CL49" s="549"/>
      <c r="CM49" s="549"/>
      <c r="CN49" s="549"/>
      <c r="CP49" s="1636"/>
      <c r="CQ49" s="1636"/>
      <c r="CR49" s="1636"/>
      <c r="CS49" s="1636"/>
      <c r="CT49" s="1636"/>
      <c r="CU49" s="1636"/>
      <c r="CV49" s="1636"/>
      <c r="CX49" s="547"/>
      <c r="CY49" s="1556"/>
      <c r="CZ49" s="1556"/>
      <c r="DA49" s="1556"/>
      <c r="DB49" s="1556"/>
      <c r="DG49" s="439" t="s">
        <v>7932</v>
      </c>
      <c r="DH49" s="382">
        <v>85</v>
      </c>
      <c r="DO49" s="1922"/>
      <c r="DP49" s="1922"/>
      <c r="DQ49" s="1922"/>
      <c r="DU49" s="381" t="s">
        <v>2209</v>
      </c>
      <c r="DV49" s="381">
        <v>3</v>
      </c>
      <c r="DW49" s="381">
        <v>0</v>
      </c>
      <c r="DX49" s="381">
        <v>4</v>
      </c>
      <c r="DY49" s="381">
        <v>5</v>
      </c>
      <c r="DZ49" s="381">
        <v>0</v>
      </c>
      <c r="EA49" s="381">
        <v>14</v>
      </c>
      <c r="EB49" s="497">
        <f t="shared" si="5"/>
        <v>7</v>
      </c>
      <c r="EC49" s="497">
        <f t="shared" si="6"/>
        <v>19</v>
      </c>
      <c r="ED49" s="549"/>
    </row>
    <row r="50" spans="8:134" ht="12.95" customHeight="1">
      <c r="I50" s="1406"/>
      <c r="J50" s="1406"/>
      <c r="K50" s="1406"/>
      <c r="L50" s="1406"/>
      <c r="M50" s="1406"/>
      <c r="P50" s="381" t="s">
        <v>8104</v>
      </c>
      <c r="Q50" s="381"/>
      <c r="R50" s="381"/>
      <c r="S50" s="381"/>
      <c r="T50" s="381"/>
      <c r="U50" s="381"/>
      <c r="Z50" s="463"/>
      <c r="AA50" s="463"/>
      <c r="AB50" s="475"/>
      <c r="AC50" s="475"/>
      <c r="AD50" s="475"/>
      <c r="AE50" s="475"/>
      <c r="AF50" s="475"/>
      <c r="AG50" s="475"/>
      <c r="AH50" s="475"/>
      <c r="AI50" s="475"/>
      <c r="AL50" s="382" t="s">
        <v>8040</v>
      </c>
      <c r="AM50" s="463">
        <v>4091</v>
      </c>
      <c r="AN50" s="463">
        <v>4276</v>
      </c>
      <c r="AO50" s="463">
        <v>4412</v>
      </c>
      <c r="AP50" s="463">
        <v>4520</v>
      </c>
      <c r="AQ50" s="1655"/>
      <c r="AR50" s="1655"/>
      <c r="AS50" s="382" t="s">
        <v>2177</v>
      </c>
      <c r="AT50" s="1889">
        <v>14493</v>
      </c>
      <c r="AU50" s="1889">
        <v>15134</v>
      </c>
      <c r="AV50" s="1889">
        <v>15657</v>
      </c>
      <c r="AW50" s="1889">
        <v>16198</v>
      </c>
      <c r="AZ50" s="382" t="s">
        <v>2655</v>
      </c>
      <c r="BA50" s="1896">
        <v>89</v>
      </c>
      <c r="BB50" s="1896">
        <v>93</v>
      </c>
      <c r="BC50" s="1896">
        <v>95</v>
      </c>
      <c r="BD50" s="1896">
        <v>104</v>
      </c>
      <c r="BG50" s="382" t="s">
        <v>8046</v>
      </c>
      <c r="BH50" s="463">
        <v>29</v>
      </c>
      <c r="BI50" s="463">
        <v>30</v>
      </c>
      <c r="BJ50" s="463">
        <v>33</v>
      </c>
      <c r="BK50" s="463">
        <v>35</v>
      </c>
      <c r="BN50" s="382" t="s">
        <v>4393</v>
      </c>
      <c r="BO50" s="1038">
        <v>0</v>
      </c>
      <c r="BP50" s="1038">
        <v>0</v>
      </c>
      <c r="BQ50" s="619">
        <v>0</v>
      </c>
      <c r="BR50" s="619">
        <v>0</v>
      </c>
      <c r="BU50" s="1916">
        <v>96931</v>
      </c>
      <c r="BV50" s="1912">
        <v>3900</v>
      </c>
      <c r="BW50" s="1912">
        <v>2805</v>
      </c>
      <c r="BX50" s="1912">
        <v>215</v>
      </c>
      <c r="BY50" s="1912">
        <v>310</v>
      </c>
      <c r="BZ50" s="1912">
        <v>260</v>
      </c>
      <c r="CA50" s="1912">
        <v>310</v>
      </c>
      <c r="CB50" s="1912">
        <v>4564</v>
      </c>
      <c r="CC50" s="1912">
        <v>3522</v>
      </c>
      <c r="CD50" s="1912">
        <v>356</v>
      </c>
      <c r="CE50" s="1912">
        <v>3020</v>
      </c>
      <c r="CP50" s="1636"/>
      <c r="CQ50" s="1636"/>
      <c r="CR50" s="1636"/>
      <c r="CS50" s="1636"/>
      <c r="CT50" s="1636"/>
      <c r="CU50" s="1636"/>
      <c r="CV50" s="1636"/>
      <c r="CX50" s="547"/>
      <c r="CY50" s="1556"/>
      <c r="CZ50" s="1556"/>
      <c r="DA50" s="1556"/>
      <c r="DB50" s="1556"/>
      <c r="DG50" s="439" t="s">
        <v>7941</v>
      </c>
      <c r="DH50" s="382">
        <v>81</v>
      </c>
      <c r="DO50" s="1922"/>
      <c r="DP50" s="1922"/>
      <c r="DQ50" s="1922"/>
      <c r="DU50" s="549" t="s">
        <v>8022</v>
      </c>
      <c r="DV50" s="549"/>
      <c r="DW50" s="549"/>
      <c r="DX50" s="549"/>
    </row>
    <row r="51" spans="8:134" ht="12.95" customHeight="1">
      <c r="H51" s="385"/>
      <c r="P51" s="381" t="s">
        <v>1810</v>
      </c>
      <c r="Q51" s="457" t="s">
        <v>2304</v>
      </c>
      <c r="R51" s="457" t="s">
        <v>2305</v>
      </c>
      <c r="S51" s="457" t="s">
        <v>8105</v>
      </c>
      <c r="T51" s="457" t="s">
        <v>7884</v>
      </c>
      <c r="U51" s="457" t="s">
        <v>7885</v>
      </c>
      <c r="V51" s="729" t="s">
        <v>7886</v>
      </c>
      <c r="W51" s="439"/>
      <c r="AL51" s="382" t="s">
        <v>8046</v>
      </c>
      <c r="AM51" s="463">
        <v>4570</v>
      </c>
      <c r="AN51" s="463">
        <v>4808</v>
      </c>
      <c r="AO51" s="463">
        <v>4986</v>
      </c>
      <c r="AP51" s="463">
        <v>5177</v>
      </c>
      <c r="AS51" s="382" t="s">
        <v>6989</v>
      </c>
      <c r="AT51" s="1889">
        <v>252</v>
      </c>
      <c r="AU51" s="1889">
        <v>270</v>
      </c>
      <c r="AV51" s="1889">
        <v>282</v>
      </c>
      <c r="AW51" s="1889">
        <v>287</v>
      </c>
      <c r="AY51" s="1655"/>
      <c r="AZ51" s="382" t="s">
        <v>2596</v>
      </c>
      <c r="BA51" s="1896">
        <v>28</v>
      </c>
      <c r="BB51" s="1896">
        <v>28</v>
      </c>
      <c r="BC51" s="1896">
        <v>28</v>
      </c>
      <c r="BD51" s="1896">
        <v>33</v>
      </c>
      <c r="BG51" s="387" t="s">
        <v>8053</v>
      </c>
      <c r="BH51" s="497">
        <v>99</v>
      </c>
      <c r="BI51" s="497">
        <v>102</v>
      </c>
      <c r="BJ51" s="497">
        <v>104</v>
      </c>
      <c r="BK51" s="497">
        <v>104</v>
      </c>
      <c r="BM51" s="414"/>
      <c r="BN51" s="382" t="s">
        <v>2253</v>
      </c>
      <c r="BO51" s="1038">
        <v>36</v>
      </c>
      <c r="BP51" s="1038">
        <v>39</v>
      </c>
      <c r="BQ51" s="619">
        <v>40</v>
      </c>
      <c r="BR51" s="619">
        <v>42</v>
      </c>
      <c r="BU51" s="1917">
        <v>96932</v>
      </c>
      <c r="BV51" s="1918">
        <v>3140</v>
      </c>
      <c r="BW51" s="1918">
        <v>2195</v>
      </c>
      <c r="BX51" s="1918">
        <v>225</v>
      </c>
      <c r="BY51" s="1918">
        <v>270</v>
      </c>
      <c r="BZ51" s="1918">
        <v>160</v>
      </c>
      <c r="CA51" s="1918">
        <v>290</v>
      </c>
      <c r="CB51" s="1918">
        <v>3741</v>
      </c>
      <c r="CC51" s="1918">
        <v>2798</v>
      </c>
      <c r="CD51" s="1918">
        <v>317</v>
      </c>
      <c r="CE51" s="1918">
        <v>2415</v>
      </c>
      <c r="CP51" s="1636"/>
      <c r="CQ51" s="1636"/>
      <c r="CR51" s="1636"/>
      <c r="CS51" s="1636"/>
      <c r="CT51" s="1636"/>
      <c r="CU51" s="1636"/>
      <c r="CV51" s="1636"/>
      <c r="CX51" s="547"/>
      <c r="CY51" s="1556"/>
      <c r="CZ51" s="1556"/>
      <c r="DA51" s="1556"/>
      <c r="DB51" s="1556"/>
      <c r="DG51" s="439" t="s">
        <v>7949</v>
      </c>
      <c r="DH51" s="382">
        <f>31+46</f>
        <v>77</v>
      </c>
      <c r="DO51" s="1087"/>
      <c r="DP51" s="1922"/>
      <c r="DQ51" s="1922"/>
      <c r="DU51" s="549" t="s">
        <v>8055</v>
      </c>
      <c r="DV51" s="549"/>
      <c r="DW51" s="549"/>
      <c r="DX51" s="549"/>
    </row>
    <row r="52" spans="8:134" ht="12.95" customHeight="1">
      <c r="H52" s="515"/>
      <c r="I52" s="385"/>
      <c r="J52" s="385"/>
      <c r="K52" s="385"/>
      <c r="L52" s="385"/>
      <c r="M52" s="385"/>
      <c r="P52" s="382" t="s">
        <v>8107</v>
      </c>
      <c r="Q52" s="382">
        <v>653</v>
      </c>
      <c r="R52" s="382">
        <v>728</v>
      </c>
      <c r="S52" s="382">
        <v>908</v>
      </c>
      <c r="T52" s="382">
        <v>348</v>
      </c>
      <c r="U52" s="382">
        <v>155</v>
      </c>
      <c r="V52" s="382">
        <v>289</v>
      </c>
      <c r="W52" s="463"/>
      <c r="AL52" s="387" t="s">
        <v>8053</v>
      </c>
      <c r="AM52" s="497">
        <v>2865</v>
      </c>
      <c r="AN52" s="497">
        <v>3024</v>
      </c>
      <c r="AO52" s="497">
        <v>3154</v>
      </c>
      <c r="AP52" s="497">
        <v>3274</v>
      </c>
      <c r="AS52" s="382" t="s">
        <v>2181</v>
      </c>
      <c r="AT52" s="1889">
        <v>697</v>
      </c>
      <c r="AU52" s="1889">
        <v>727</v>
      </c>
      <c r="AV52" s="1889">
        <v>758</v>
      </c>
      <c r="AW52" s="1889">
        <v>753</v>
      </c>
      <c r="AY52" s="439"/>
      <c r="AZ52" s="382" t="s">
        <v>6385</v>
      </c>
      <c r="BA52" s="1896">
        <v>25</v>
      </c>
      <c r="BB52" s="1896">
        <v>26</v>
      </c>
      <c r="BC52" s="1896">
        <v>28</v>
      </c>
      <c r="BD52" s="1896">
        <v>29</v>
      </c>
      <c r="BF52" s="414"/>
      <c r="BG52" s="549" t="s">
        <v>8058</v>
      </c>
      <c r="BH52" s="549"/>
      <c r="BI52" s="549"/>
      <c r="BJ52" s="562"/>
      <c r="BK52" s="463"/>
      <c r="BL52" s="414"/>
      <c r="BM52" s="439"/>
      <c r="BN52" s="382" t="s">
        <v>2175</v>
      </c>
      <c r="BO52" s="1038">
        <v>3</v>
      </c>
      <c r="BP52" s="1038">
        <v>4</v>
      </c>
      <c r="BQ52" s="619">
        <v>4</v>
      </c>
      <c r="BR52" s="619">
        <v>4</v>
      </c>
      <c r="BU52" s="1626" t="s">
        <v>8047</v>
      </c>
      <c r="BV52" s="1624"/>
      <c r="BW52" s="1624"/>
      <c r="BX52" s="1624"/>
      <c r="BY52" s="1624"/>
      <c r="BZ52" s="1624"/>
      <c r="CA52" s="1624"/>
      <c r="CB52" s="1624"/>
      <c r="CC52" s="1624"/>
      <c r="CD52" s="1624"/>
      <c r="CE52" s="1624"/>
      <c r="CH52" s="1657"/>
      <c r="CP52" s="1636"/>
      <c r="CQ52" s="1636"/>
      <c r="CR52" s="1636"/>
      <c r="CS52" s="1636"/>
      <c r="CT52" s="1636"/>
      <c r="CU52" s="1636"/>
      <c r="CV52" s="1636"/>
      <c r="CX52" s="547"/>
      <c r="CY52" s="1556"/>
      <c r="CZ52" s="1556"/>
      <c r="DA52" s="1556"/>
      <c r="DB52" s="1556"/>
      <c r="DG52" s="439" t="s">
        <v>7959</v>
      </c>
      <c r="DH52" s="382">
        <v>52</v>
      </c>
      <c r="DO52" s="1922"/>
      <c r="DP52" s="1922"/>
      <c r="DQ52" s="1922"/>
      <c r="DT52" s="549"/>
      <c r="DU52" s="549"/>
      <c r="DV52" s="549"/>
      <c r="DW52" s="549"/>
      <c r="DX52" s="549"/>
    </row>
    <row r="53" spans="8:134" ht="12.95" customHeight="1">
      <c r="I53" s="515"/>
      <c r="J53" s="515"/>
      <c r="K53" s="515"/>
      <c r="L53" s="515"/>
      <c r="M53" s="515"/>
      <c r="O53" s="439"/>
      <c r="P53" s="382" t="s">
        <v>8108</v>
      </c>
      <c r="Q53" s="463">
        <v>362</v>
      </c>
      <c r="R53" s="463">
        <v>344</v>
      </c>
      <c r="S53" s="463">
        <v>311</v>
      </c>
      <c r="T53" s="463">
        <v>138</v>
      </c>
      <c r="U53" s="463">
        <v>224</v>
      </c>
      <c r="V53" s="463">
        <v>410</v>
      </c>
      <c r="W53" s="463"/>
      <c r="Y53" s="549"/>
      <c r="Z53" s="549"/>
      <c r="AA53" s="549"/>
      <c r="AB53" s="549"/>
      <c r="AC53" s="549"/>
      <c r="AD53" s="549"/>
      <c r="AE53" s="549"/>
      <c r="AL53" s="549" t="s">
        <v>8058</v>
      </c>
      <c r="AM53" s="549"/>
      <c r="AN53" s="549"/>
      <c r="AO53" s="549"/>
      <c r="AP53" s="549"/>
      <c r="AS53" s="382" t="s">
        <v>2276</v>
      </c>
      <c r="AT53" s="1889">
        <v>860</v>
      </c>
      <c r="AU53" s="1889">
        <v>882</v>
      </c>
      <c r="AV53" s="1889">
        <v>894</v>
      </c>
      <c r="AW53" s="1889">
        <v>903</v>
      </c>
      <c r="AY53" s="463"/>
      <c r="AZ53" s="382" t="s">
        <v>1694</v>
      </c>
      <c r="BA53" s="1896">
        <v>21</v>
      </c>
      <c r="BB53" s="1896">
        <v>21</v>
      </c>
      <c r="BC53" s="1896">
        <v>21</v>
      </c>
      <c r="BD53" s="1896">
        <v>25</v>
      </c>
      <c r="BE53" s="414"/>
      <c r="BF53" s="385"/>
      <c r="BL53" s="385"/>
      <c r="BM53" s="463"/>
      <c r="BN53" s="382" t="s">
        <v>7996</v>
      </c>
      <c r="BO53" s="1038">
        <v>69</v>
      </c>
      <c r="BP53" s="1038">
        <v>78</v>
      </c>
      <c r="BQ53" s="619">
        <v>83</v>
      </c>
      <c r="BR53" s="619">
        <v>86</v>
      </c>
      <c r="BU53" s="1626" t="s">
        <v>8054</v>
      </c>
      <c r="BV53" s="1624"/>
      <c r="BW53" s="1624"/>
      <c r="BX53" s="1624"/>
      <c r="BY53" s="1624"/>
      <c r="BZ53" s="1624"/>
      <c r="CA53" s="1624"/>
      <c r="CB53" s="1624"/>
      <c r="CC53" s="1624"/>
      <c r="CD53" s="1624"/>
      <c r="CE53" s="1624"/>
      <c r="CH53" s="884"/>
      <c r="CP53" s="1636"/>
      <c r="CQ53" s="1636"/>
      <c r="CR53" s="1636"/>
      <c r="CS53" s="1636"/>
      <c r="CT53" s="1636"/>
      <c r="CU53" s="1636"/>
      <c r="CV53" s="1636"/>
      <c r="CX53" s="547"/>
      <c r="CY53" s="1556"/>
      <c r="CZ53" s="1556"/>
      <c r="DA53" s="1556"/>
      <c r="DB53" s="1556"/>
      <c r="DG53" s="1540" t="s">
        <v>7965</v>
      </c>
      <c r="DH53" s="382">
        <v>107</v>
      </c>
      <c r="DO53" s="1922"/>
      <c r="DP53" s="1922"/>
      <c r="DQ53" s="1922"/>
      <c r="DT53" s="549"/>
      <c r="DU53" s="549"/>
      <c r="DV53" s="549"/>
      <c r="DW53" s="549"/>
      <c r="DX53" s="549"/>
    </row>
    <row r="54" spans="8:134" ht="12.95" customHeight="1">
      <c r="O54" s="463"/>
      <c r="P54" s="381" t="s">
        <v>8083</v>
      </c>
      <c r="Q54" s="497">
        <v>625</v>
      </c>
      <c r="R54" s="497">
        <v>495</v>
      </c>
      <c r="S54" s="497">
        <v>342</v>
      </c>
      <c r="T54" s="497">
        <v>47</v>
      </c>
      <c r="U54" s="497">
        <v>273</v>
      </c>
      <c r="V54" s="497">
        <v>465</v>
      </c>
      <c r="W54" s="463"/>
      <c r="Y54" s="549"/>
      <c r="Z54" s="861"/>
      <c r="AA54" s="861"/>
      <c r="AB54" s="861"/>
      <c r="AC54" s="861"/>
      <c r="AD54" s="861"/>
      <c r="AE54" s="861"/>
      <c r="AS54" s="382" t="s">
        <v>8001</v>
      </c>
      <c r="AT54" s="1038">
        <v>0</v>
      </c>
      <c r="AU54" s="1038">
        <v>0</v>
      </c>
      <c r="AV54" s="1038">
        <v>0</v>
      </c>
      <c r="AW54" s="1038">
        <v>0</v>
      </c>
      <c r="AY54" s="435"/>
      <c r="AZ54" s="382" t="s">
        <v>6302</v>
      </c>
      <c r="BA54" s="1896">
        <v>3</v>
      </c>
      <c r="BB54" s="1896">
        <v>3</v>
      </c>
      <c r="BC54" s="1896">
        <v>3</v>
      </c>
      <c r="BD54" s="1896">
        <v>3</v>
      </c>
      <c r="BE54" s="385"/>
      <c r="BF54" s="463"/>
      <c r="BG54" s="463"/>
      <c r="BH54" s="463"/>
      <c r="BI54" s="463"/>
      <c r="BJ54" s="463"/>
      <c r="BK54" s="463"/>
      <c r="BL54" s="463"/>
      <c r="BM54" s="435"/>
      <c r="BN54" s="382" t="s">
        <v>6989</v>
      </c>
      <c r="BO54" s="1038">
        <v>1</v>
      </c>
      <c r="BP54" s="1038">
        <v>1</v>
      </c>
      <c r="BQ54" s="619">
        <v>1</v>
      </c>
      <c r="BR54" s="619">
        <v>1</v>
      </c>
      <c r="BU54" s="1626" t="s">
        <v>8059</v>
      </c>
      <c r="BV54" s="1624"/>
      <c r="BW54" s="1624"/>
      <c r="BX54" s="1624"/>
      <c r="BY54" s="1624"/>
      <c r="BZ54" s="1624"/>
      <c r="CA54" s="1624"/>
      <c r="CB54" s="1624"/>
      <c r="CC54" s="1624"/>
      <c r="CD54" s="1624"/>
      <c r="CE54" s="1624"/>
      <c r="CP54" s="1636"/>
      <c r="CQ54" s="1636"/>
      <c r="CR54" s="1636"/>
      <c r="CS54" s="1636"/>
      <c r="CT54" s="1636"/>
      <c r="CU54" s="1636"/>
      <c r="CV54" s="1636"/>
      <c r="CX54" s="547"/>
      <c r="CY54" s="1556"/>
      <c r="CZ54" s="1556"/>
      <c r="DA54" s="1556"/>
      <c r="DB54" s="1556"/>
      <c r="DG54" s="1540" t="s">
        <v>7972</v>
      </c>
      <c r="DH54" s="382">
        <v>54</v>
      </c>
      <c r="DT54" s="549"/>
    </row>
    <row r="55" spans="8:134" ht="12.95" customHeight="1">
      <c r="O55" s="463"/>
      <c r="P55" s="2294" t="s">
        <v>7973</v>
      </c>
      <c r="Q55" s="2294"/>
      <c r="R55" s="2294"/>
      <c r="S55" s="2294"/>
      <c r="T55" s="2294"/>
      <c r="U55" s="2294"/>
      <c r="V55" s="2294"/>
      <c r="W55" s="2294"/>
      <c r="Y55" s="549"/>
      <c r="Z55" s="1644"/>
      <c r="AA55" s="1644"/>
      <c r="AB55" s="1644"/>
      <c r="AC55" s="1644"/>
      <c r="AD55" s="1644"/>
      <c r="AE55" s="1644"/>
      <c r="AS55" s="382" t="s">
        <v>8009</v>
      </c>
      <c r="AT55" s="1889">
        <v>109</v>
      </c>
      <c r="AU55" s="1889">
        <v>103</v>
      </c>
      <c r="AV55" s="1889">
        <v>105</v>
      </c>
      <c r="AW55" s="1889">
        <v>109</v>
      </c>
      <c r="AY55" s="463"/>
      <c r="AZ55" s="382" t="s">
        <v>7970</v>
      </c>
      <c r="BA55" s="1896">
        <v>3</v>
      </c>
      <c r="BB55" s="1896">
        <v>3</v>
      </c>
      <c r="BC55" s="1896">
        <v>3</v>
      </c>
      <c r="BD55" s="1896">
        <v>3</v>
      </c>
      <c r="BE55" s="463"/>
      <c r="BF55" s="435"/>
      <c r="BL55" s="435"/>
      <c r="BM55" s="463"/>
      <c r="BN55" s="382" t="s">
        <v>2181</v>
      </c>
      <c r="BO55" s="1038">
        <v>2</v>
      </c>
      <c r="BP55" s="1038">
        <v>2</v>
      </c>
      <c r="BQ55" s="1038">
        <v>2</v>
      </c>
      <c r="BR55" s="1038">
        <v>4</v>
      </c>
      <c r="BU55" s="1626" t="s">
        <v>8061</v>
      </c>
      <c r="BV55" s="549"/>
      <c r="BW55" s="549"/>
      <c r="BX55" s="549"/>
      <c r="BY55" s="549"/>
      <c r="BZ55" s="549"/>
      <c r="CA55" s="549"/>
      <c r="CB55" s="549"/>
      <c r="CC55" s="549"/>
      <c r="CD55" s="549"/>
      <c r="CE55" s="549"/>
      <c r="CP55" s="1636"/>
      <c r="CQ55" s="1636"/>
      <c r="CR55" s="1636"/>
      <c r="CS55" s="1636"/>
      <c r="CT55" s="1636"/>
      <c r="CU55" s="1636"/>
      <c r="CV55" s="1636"/>
      <c r="CX55" s="547"/>
      <c r="CY55" s="1556"/>
      <c r="CZ55" s="1556"/>
      <c r="DA55" s="1556"/>
      <c r="DB55" s="1556"/>
      <c r="DG55" s="439" t="s">
        <v>7978</v>
      </c>
      <c r="DH55" s="382">
        <v>75</v>
      </c>
      <c r="DT55" s="549"/>
      <c r="DU55" s="381" t="s">
        <v>8106</v>
      </c>
      <c r="DV55" s="381"/>
      <c r="DW55" s="381"/>
      <c r="DX55" s="381"/>
      <c r="DY55" s="381"/>
      <c r="DZ55" s="381"/>
      <c r="EA55" s="381"/>
    </row>
    <row r="56" spans="8:134" ht="12.95" customHeight="1">
      <c r="P56" s="2294" t="s">
        <v>8757</v>
      </c>
      <c r="Q56" s="2294"/>
      <c r="R56" s="2294"/>
      <c r="S56" s="2294"/>
      <c r="T56" s="2294"/>
      <c r="U56" s="2294"/>
      <c r="V56" s="2294"/>
      <c r="W56" s="2294"/>
      <c r="Y56" s="549"/>
      <c r="Z56" s="1644"/>
      <c r="AA56" s="1644"/>
      <c r="AB56" s="1644"/>
      <c r="AC56" s="1644"/>
      <c r="AD56" s="1644"/>
      <c r="AE56" s="1644"/>
      <c r="AS56" s="382" t="s">
        <v>8015</v>
      </c>
      <c r="AT56" s="1038">
        <v>395</v>
      </c>
      <c r="AU56" s="1038">
        <v>415</v>
      </c>
      <c r="AV56" s="1038">
        <v>469</v>
      </c>
      <c r="AW56" s="1038">
        <v>530</v>
      </c>
      <c r="AY56" s="463"/>
      <c r="AZ56" s="382" t="s">
        <v>7975</v>
      </c>
      <c r="BA56" s="1896">
        <v>2</v>
      </c>
      <c r="BB56" s="1896">
        <v>4</v>
      </c>
      <c r="BC56" s="1896">
        <v>5</v>
      </c>
      <c r="BD56" s="1896">
        <v>5</v>
      </c>
      <c r="BE56" s="435"/>
      <c r="BF56" s="463"/>
      <c r="BG56" s="381" t="s">
        <v>8111</v>
      </c>
      <c r="BH56" s="381"/>
      <c r="BI56" s="381"/>
      <c r="BJ56" s="381"/>
      <c r="BK56" s="381"/>
      <c r="BL56" s="463"/>
      <c r="BM56" s="463"/>
      <c r="BN56" s="382" t="s">
        <v>2276</v>
      </c>
      <c r="BO56" s="1038">
        <v>0</v>
      </c>
      <c r="BP56" s="1038">
        <v>0</v>
      </c>
      <c r="BQ56" s="619">
        <v>0</v>
      </c>
      <c r="BR56" s="619">
        <v>0</v>
      </c>
      <c r="BU56" s="1626"/>
      <c r="BV56" s="549"/>
      <c r="BW56" s="549"/>
      <c r="BX56" s="549"/>
      <c r="BY56" s="549"/>
      <c r="BZ56" s="549"/>
      <c r="CA56" s="549"/>
      <c r="CB56" s="549"/>
      <c r="CC56" s="549"/>
      <c r="CD56" s="549"/>
      <c r="CE56" s="549"/>
      <c r="CP56" s="1636"/>
      <c r="CQ56" s="1636"/>
      <c r="CR56" s="1636"/>
      <c r="CS56" s="1636"/>
      <c r="CT56" s="1636"/>
      <c r="CU56" s="1636"/>
      <c r="CV56" s="1636"/>
      <c r="CX56" s="547"/>
      <c r="CY56" s="1556"/>
      <c r="CZ56" s="1556"/>
      <c r="DA56" s="1556"/>
      <c r="DB56" s="1556"/>
      <c r="DG56" s="1540" t="s">
        <v>7983</v>
      </c>
      <c r="DH56" s="382">
        <v>44</v>
      </c>
      <c r="DT56" s="549"/>
      <c r="DV56" s="405" t="s">
        <v>7893</v>
      </c>
      <c r="DW56" s="405" t="s">
        <v>7893</v>
      </c>
      <c r="DX56" s="405" t="s">
        <v>7894</v>
      </c>
      <c r="DY56" s="405" t="s">
        <v>7894</v>
      </c>
      <c r="DZ56" s="405" t="s">
        <v>129</v>
      </c>
      <c r="EA56" s="405" t="s">
        <v>129</v>
      </c>
    </row>
    <row r="57" spans="8:134" ht="12.95" customHeight="1">
      <c r="P57" s="2294" t="s">
        <v>8756</v>
      </c>
      <c r="Q57" s="2294"/>
      <c r="R57" s="2294"/>
      <c r="S57" s="2294"/>
      <c r="T57" s="2294"/>
      <c r="U57" s="2294"/>
      <c r="V57" s="2294"/>
      <c r="W57" s="2294"/>
      <c r="Y57" s="549"/>
      <c r="Z57" s="1644"/>
      <c r="AA57" s="1644"/>
      <c r="AB57" s="1644"/>
      <c r="AC57" s="1644"/>
      <c r="AD57" s="1644"/>
      <c r="AE57" s="1644"/>
      <c r="AL57" s="414"/>
      <c r="AM57" s="414"/>
      <c r="AN57" s="414"/>
      <c r="AO57" s="414"/>
      <c r="AP57" s="414"/>
      <c r="AS57" s="382" t="s">
        <v>8020</v>
      </c>
      <c r="AT57" s="1038">
        <v>0</v>
      </c>
      <c r="AU57" s="1038">
        <v>0</v>
      </c>
      <c r="AV57" s="1038">
        <v>0</v>
      </c>
      <c r="AW57" s="1038">
        <v>0</v>
      </c>
      <c r="AY57" s="463"/>
      <c r="AZ57" s="382" t="s">
        <v>3793</v>
      </c>
      <c r="BA57" s="1896">
        <v>421</v>
      </c>
      <c r="BB57" s="1896">
        <v>457</v>
      </c>
      <c r="BC57" s="1896">
        <v>479</v>
      </c>
      <c r="BD57" s="1896">
        <v>498</v>
      </c>
      <c r="BE57" s="463"/>
      <c r="BF57" s="435"/>
      <c r="BH57" s="2078" t="s">
        <v>8112</v>
      </c>
      <c r="BI57" s="2079"/>
      <c r="BJ57" s="2079"/>
      <c r="BK57" s="2079"/>
      <c r="BL57" s="435"/>
      <c r="BM57" s="463"/>
      <c r="BN57" s="382" t="s">
        <v>8001</v>
      </c>
      <c r="BO57" s="1038">
        <v>0</v>
      </c>
      <c r="BP57" s="1038">
        <v>0</v>
      </c>
      <c r="BQ57" s="619">
        <v>0</v>
      </c>
      <c r="BR57" s="619">
        <v>0</v>
      </c>
      <c r="BU57" s="1626"/>
      <c r="BV57" s="549"/>
      <c r="BW57" s="549"/>
      <c r="BX57" s="549"/>
      <c r="BY57" s="549"/>
      <c r="BZ57" s="549"/>
      <c r="CA57" s="549"/>
      <c r="CB57" s="549"/>
      <c r="CC57" s="549"/>
      <c r="CD57" s="549"/>
      <c r="CE57" s="549"/>
      <c r="CP57" s="1636"/>
      <c r="CQ57" s="1636"/>
      <c r="CR57" s="1636"/>
      <c r="CS57" s="1636"/>
      <c r="CT57" s="1636"/>
      <c r="CU57" s="1636"/>
      <c r="CV57" s="1636"/>
      <c r="CX57" s="547"/>
      <c r="CY57" s="1556"/>
      <c r="CZ57" s="1556"/>
      <c r="DA57" s="1556"/>
      <c r="DB57" s="1556"/>
      <c r="DG57" s="1540" t="s">
        <v>7988</v>
      </c>
      <c r="DH57" s="382">
        <v>59</v>
      </c>
      <c r="DT57" s="549"/>
      <c r="DU57" s="381" t="s">
        <v>3471</v>
      </c>
      <c r="DV57" s="442" t="s">
        <v>8109</v>
      </c>
      <c r="DW57" s="442" t="s">
        <v>8110</v>
      </c>
      <c r="DX57" s="442" t="s">
        <v>8109</v>
      </c>
      <c r="DY57" s="442" t="s">
        <v>8110</v>
      </c>
      <c r="DZ57" s="442" t="s">
        <v>7893</v>
      </c>
      <c r="EA57" s="442" t="s">
        <v>4832</v>
      </c>
    </row>
    <row r="58" spans="8:134" ht="12.95" customHeight="1">
      <c r="P58" s="2294" t="s">
        <v>8759</v>
      </c>
      <c r="Q58" s="2294"/>
      <c r="R58" s="2294"/>
      <c r="S58" s="2294"/>
      <c r="T58" s="2294"/>
      <c r="U58" s="2294"/>
      <c r="V58" s="2294"/>
      <c r="W58" s="2294"/>
      <c r="Y58" s="549"/>
      <c r="Z58" s="1644"/>
      <c r="AA58" s="1644"/>
      <c r="AB58" s="1644"/>
      <c r="AC58" s="1644"/>
      <c r="AD58" s="1644"/>
      <c r="AE58" s="1644"/>
      <c r="AL58" s="381" t="s">
        <v>8113</v>
      </c>
      <c r="AM58" s="381"/>
      <c r="AN58" s="381"/>
      <c r="AO58" s="381"/>
      <c r="AP58" s="381"/>
      <c r="AS58" s="382" t="s">
        <v>2185</v>
      </c>
      <c r="AT58" s="1889">
        <v>4158</v>
      </c>
      <c r="AU58" s="1889">
        <v>4453</v>
      </c>
      <c r="AV58" s="1889">
        <v>4588</v>
      </c>
      <c r="AW58" s="1889">
        <v>4680</v>
      </c>
      <c r="AY58" s="463"/>
      <c r="AZ58" s="382" t="s">
        <v>7986</v>
      </c>
      <c r="BA58" s="1896">
        <v>19945</v>
      </c>
      <c r="BB58" s="1896">
        <v>20773</v>
      </c>
      <c r="BC58" s="1896">
        <v>21388</v>
      </c>
      <c r="BD58" s="1896">
        <v>21972</v>
      </c>
      <c r="BE58" s="435"/>
      <c r="BF58" s="463"/>
      <c r="BG58" s="1431" t="s">
        <v>1648</v>
      </c>
      <c r="BH58" s="664" t="s">
        <v>42</v>
      </c>
      <c r="BI58" s="664" t="s">
        <v>43</v>
      </c>
      <c r="BJ58" s="664" t="s">
        <v>44</v>
      </c>
      <c r="BK58" s="664" t="s">
        <v>45</v>
      </c>
      <c r="BL58" s="463"/>
      <c r="BM58" s="463"/>
      <c r="BN58" s="382" t="s">
        <v>8009</v>
      </c>
      <c r="BO58" s="1038">
        <v>0</v>
      </c>
      <c r="BP58" s="1038">
        <v>0</v>
      </c>
      <c r="BQ58" s="619">
        <v>0</v>
      </c>
      <c r="BR58" s="619">
        <v>0</v>
      </c>
      <c r="BU58" s="549"/>
      <c r="BV58" s="549"/>
      <c r="BW58" s="549"/>
      <c r="BX58" s="549"/>
      <c r="BY58" s="549"/>
      <c r="BZ58" s="549"/>
      <c r="CA58" s="549"/>
      <c r="CB58" s="549"/>
      <c r="CC58" s="549"/>
      <c r="CD58" s="549"/>
      <c r="CE58" s="549"/>
      <c r="CP58" s="1636"/>
      <c r="CQ58" s="1636"/>
      <c r="CR58" s="1636"/>
      <c r="CS58" s="1636"/>
      <c r="CT58" s="1636"/>
      <c r="CU58" s="1636"/>
      <c r="CV58" s="1636"/>
      <c r="CX58" s="547"/>
      <c r="CY58" s="1556"/>
      <c r="CZ58" s="1556"/>
      <c r="DA58" s="1556"/>
      <c r="DB58" s="1556"/>
      <c r="DG58" s="1540" t="s">
        <v>7998</v>
      </c>
      <c r="DH58" s="382">
        <v>37</v>
      </c>
      <c r="DT58" s="549"/>
      <c r="DU58" s="439" t="s">
        <v>129</v>
      </c>
      <c r="DV58" s="463">
        <f>SUM(DV59:DV76)</f>
        <v>156</v>
      </c>
      <c r="DW58" s="463">
        <f>SUM(DW59:DW76)</f>
        <v>0</v>
      </c>
      <c r="DX58" s="463">
        <f>SUM(DX59:DX76)</f>
        <v>251</v>
      </c>
      <c r="DY58" s="463">
        <v>0</v>
      </c>
      <c r="DZ58" s="463">
        <f>DV58+DW58</f>
        <v>156</v>
      </c>
      <c r="EA58" s="463">
        <f>DW58+DX58</f>
        <v>251</v>
      </c>
    </row>
    <row r="59" spans="8:134" ht="12.95" customHeight="1">
      <c r="P59" s="2294" t="s">
        <v>8758</v>
      </c>
      <c r="Q59" s="2294"/>
      <c r="R59" s="2294"/>
      <c r="S59" s="2294"/>
      <c r="T59" s="2294"/>
      <c r="U59" s="2294"/>
      <c r="V59" s="2294"/>
      <c r="W59" s="2294"/>
      <c r="Y59" s="549"/>
      <c r="Z59" s="463"/>
      <c r="AA59" s="463"/>
      <c r="AB59" s="463"/>
      <c r="AC59" s="463"/>
      <c r="AD59" s="463"/>
      <c r="AE59" s="1644"/>
      <c r="AM59" s="2127" t="s">
        <v>8112</v>
      </c>
      <c r="AN59" s="2128"/>
      <c r="AO59" s="2128"/>
      <c r="AP59" s="2128"/>
      <c r="AS59" s="382" t="s">
        <v>2353</v>
      </c>
      <c r="AT59" s="1889">
        <v>667</v>
      </c>
      <c r="AU59" s="1889">
        <v>675</v>
      </c>
      <c r="AV59" s="1889">
        <v>682</v>
      </c>
      <c r="AW59" s="1889">
        <v>708</v>
      </c>
      <c r="AY59" s="463"/>
      <c r="AZ59" s="382" t="s">
        <v>7995</v>
      </c>
      <c r="BA59" s="1896">
        <v>43</v>
      </c>
      <c r="BB59" s="1896">
        <v>45</v>
      </c>
      <c r="BC59" s="1896">
        <v>46</v>
      </c>
      <c r="BD59" s="1896">
        <v>46</v>
      </c>
      <c r="BE59" s="463"/>
      <c r="BF59" s="463"/>
      <c r="BG59" s="463" t="s">
        <v>3508</v>
      </c>
      <c r="BH59" s="463">
        <f>SUM(BH60:BH61)</f>
        <v>2103</v>
      </c>
      <c r="BI59" s="463">
        <f>SUM(BI60:BI61)</f>
        <v>2157</v>
      </c>
      <c r="BJ59" s="463">
        <f>SUM(BJ60:BJ61)</f>
        <v>2128</v>
      </c>
      <c r="BK59" s="463">
        <f>SUM(BK60:BK61)</f>
        <v>2145</v>
      </c>
      <c r="BL59" s="463"/>
      <c r="BM59" s="463"/>
      <c r="BN59" s="382" t="s">
        <v>8015</v>
      </c>
      <c r="BO59" s="1038">
        <v>1</v>
      </c>
      <c r="BP59" s="1038">
        <v>1</v>
      </c>
      <c r="BQ59" s="1038">
        <v>1</v>
      </c>
      <c r="BR59" s="1038">
        <v>1</v>
      </c>
      <c r="CP59" s="1636"/>
      <c r="CQ59" s="1636"/>
      <c r="CR59" s="1636"/>
      <c r="CS59" s="1636"/>
      <c r="CT59" s="1636"/>
      <c r="CU59" s="1636"/>
      <c r="CV59" s="1636"/>
      <c r="CX59" s="547"/>
      <c r="CY59" s="1556"/>
      <c r="CZ59" s="1556"/>
      <c r="DA59" s="1556"/>
      <c r="DB59" s="1556"/>
      <c r="DG59" s="439" t="s">
        <v>8004</v>
      </c>
      <c r="DH59" s="382">
        <v>56</v>
      </c>
      <c r="DT59" s="549"/>
      <c r="DU59" s="382" t="s">
        <v>7934</v>
      </c>
      <c r="DV59" s="382">
        <v>30</v>
      </c>
      <c r="DW59" s="382">
        <v>0</v>
      </c>
      <c r="DX59" s="382">
        <v>41</v>
      </c>
      <c r="DY59" s="382">
        <v>0</v>
      </c>
      <c r="DZ59" s="463">
        <f>DV59+DW59</f>
        <v>30</v>
      </c>
      <c r="EA59" s="463">
        <f t="shared" ref="EA59:EA76" si="8">DW59+DX59</f>
        <v>41</v>
      </c>
    </row>
    <row r="60" spans="8:134" ht="12.95" customHeight="1">
      <c r="P60" s="398"/>
      <c r="Y60" s="549"/>
      <c r="Z60" s="1644"/>
      <c r="AA60" s="1644"/>
      <c r="AB60" s="1644"/>
      <c r="AC60" s="1644"/>
      <c r="AD60" s="1644"/>
      <c r="AE60" s="1644"/>
      <c r="AL60" s="384" t="s">
        <v>1648</v>
      </c>
      <c r="AM60" s="442" t="s">
        <v>42</v>
      </c>
      <c r="AN60" s="442" t="s">
        <v>43</v>
      </c>
      <c r="AO60" s="442" t="s">
        <v>44</v>
      </c>
      <c r="AP60" s="442" t="s">
        <v>45</v>
      </c>
      <c r="AS60" s="382" t="s">
        <v>8034</v>
      </c>
      <c r="AT60" s="1038">
        <v>1078</v>
      </c>
      <c r="AU60" s="1038">
        <v>1106</v>
      </c>
      <c r="AV60" s="1038">
        <v>1146</v>
      </c>
      <c r="AW60" s="1038">
        <v>1182</v>
      </c>
      <c r="AY60" s="463"/>
      <c r="AZ60" s="382" t="s">
        <v>8002</v>
      </c>
      <c r="BA60" s="1896">
        <v>630</v>
      </c>
      <c r="BB60" s="1896">
        <v>657</v>
      </c>
      <c r="BC60" s="1896">
        <v>679</v>
      </c>
      <c r="BD60" s="1896">
        <v>695</v>
      </c>
      <c r="BE60" s="463"/>
      <c r="BF60" s="463"/>
      <c r="BG60" s="463" t="s">
        <v>1712</v>
      </c>
      <c r="BH60" s="463">
        <v>1300</v>
      </c>
      <c r="BI60" s="463">
        <v>1328</v>
      </c>
      <c r="BJ60" s="463">
        <v>1307</v>
      </c>
      <c r="BK60" s="463">
        <v>1316</v>
      </c>
      <c r="BL60" s="463"/>
      <c r="BM60" s="463"/>
      <c r="BN60" s="382" t="s">
        <v>2185</v>
      </c>
      <c r="BO60" s="382">
        <v>12</v>
      </c>
      <c r="BP60" s="382">
        <v>11</v>
      </c>
      <c r="BQ60" s="619">
        <v>12</v>
      </c>
      <c r="BR60" s="619">
        <v>12</v>
      </c>
      <c r="BU60" s="2281" t="s">
        <v>8114</v>
      </c>
      <c r="BV60" s="2281"/>
      <c r="BW60" s="2281"/>
      <c r="BX60" s="2281"/>
      <c r="BY60" s="2281"/>
      <c r="BZ60" s="2281"/>
      <c r="CA60" s="2281"/>
      <c r="CB60" s="2281"/>
      <c r="CC60" s="2281"/>
      <c r="CD60" s="2281"/>
      <c r="CE60" s="2281"/>
      <c r="CP60" s="1636"/>
      <c r="CQ60" s="1636"/>
      <c r="CR60" s="1636"/>
      <c r="CS60" s="1636"/>
      <c r="CT60" s="1636"/>
      <c r="CU60" s="1636"/>
      <c r="CV60" s="1636"/>
      <c r="CX60" s="547"/>
      <c r="CY60" s="1556"/>
      <c r="CZ60" s="1556"/>
      <c r="DA60" s="1556"/>
      <c r="DB60" s="1556"/>
      <c r="DG60" s="439" t="s">
        <v>8012</v>
      </c>
      <c r="DH60" s="382">
        <v>23</v>
      </c>
      <c r="DT60" s="549"/>
      <c r="DU60" s="382" t="s">
        <v>7942</v>
      </c>
      <c r="DV60" s="382">
        <v>1</v>
      </c>
      <c r="DW60" s="382">
        <v>0</v>
      </c>
      <c r="DX60" s="382">
        <v>1</v>
      </c>
      <c r="DY60" s="382">
        <v>0</v>
      </c>
      <c r="DZ60" s="463">
        <f t="shared" ref="DZ60:DZ76" si="9">DV60+DW60</f>
        <v>1</v>
      </c>
      <c r="EA60" s="463">
        <f t="shared" si="8"/>
        <v>1</v>
      </c>
    </row>
    <row r="61" spans="8:134" ht="12.95" customHeight="1">
      <c r="P61" s="549"/>
      <c r="Q61" s="549"/>
      <c r="R61" s="549"/>
      <c r="S61" s="549"/>
      <c r="T61" s="549"/>
      <c r="U61" s="549"/>
      <c r="V61" s="549"/>
      <c r="W61" s="549"/>
      <c r="Y61" s="549"/>
      <c r="Z61" s="562"/>
      <c r="AA61" s="562"/>
      <c r="AB61" s="562"/>
      <c r="AC61" s="549"/>
      <c r="AD61" s="549"/>
      <c r="AE61" s="549"/>
      <c r="AL61" s="463" t="s">
        <v>3508</v>
      </c>
      <c r="AM61" s="463">
        <f>SUM(AM62:AM63)</f>
        <v>38002</v>
      </c>
      <c r="AN61" s="463">
        <f>SUM(AN62:AN63)</f>
        <v>41594</v>
      </c>
      <c r="AO61" s="463">
        <f>SUM(AO62:AO63)</f>
        <v>44683</v>
      </c>
      <c r="AP61" s="463">
        <f>SUM(AP62:AP63)</f>
        <v>47508</v>
      </c>
      <c r="AS61" s="382" t="s">
        <v>8041</v>
      </c>
      <c r="AT61" s="1038">
        <v>0</v>
      </c>
      <c r="AU61" s="1038">
        <v>0</v>
      </c>
      <c r="AV61" s="1038">
        <v>0</v>
      </c>
      <c r="AW61" s="1038">
        <v>0</v>
      </c>
      <c r="AY61" s="463"/>
      <c r="AZ61" s="382" t="s">
        <v>8010</v>
      </c>
      <c r="BA61" s="1896">
        <v>14</v>
      </c>
      <c r="BB61" s="1896">
        <v>14</v>
      </c>
      <c r="BC61" s="1896">
        <v>14</v>
      </c>
      <c r="BD61" s="1896">
        <v>14</v>
      </c>
      <c r="BE61" s="463"/>
      <c r="BF61" s="463"/>
      <c r="BG61" s="1068" t="s">
        <v>1711</v>
      </c>
      <c r="BH61" s="435">
        <v>803</v>
      </c>
      <c r="BI61" s="435">
        <v>829</v>
      </c>
      <c r="BJ61" s="435">
        <v>821</v>
      </c>
      <c r="BK61" s="435">
        <v>829</v>
      </c>
      <c r="BL61" s="463"/>
      <c r="BM61" s="463"/>
      <c r="BN61" s="382" t="s">
        <v>2353</v>
      </c>
      <c r="BO61" s="382">
        <v>0</v>
      </c>
      <c r="BP61" s="382">
        <v>0</v>
      </c>
      <c r="BQ61" s="619">
        <v>0</v>
      </c>
      <c r="BR61" s="619">
        <v>0</v>
      </c>
      <c r="BU61" s="1903"/>
      <c r="BV61" s="2282" t="s">
        <v>1665</v>
      </c>
      <c r="BW61" s="2283"/>
      <c r="BX61" s="2283"/>
      <c r="BY61" s="2283"/>
      <c r="BZ61" s="2283"/>
      <c r="CA61" s="2284"/>
      <c r="CB61" s="2288" t="s">
        <v>7889</v>
      </c>
      <c r="CC61" s="2289"/>
      <c r="CD61" s="2290"/>
      <c r="CE61" s="2291" t="s">
        <v>7890</v>
      </c>
      <c r="CP61" s="1636"/>
      <c r="CQ61" s="1636"/>
      <c r="CR61" s="1636"/>
      <c r="CS61" s="1636"/>
      <c r="CT61" s="1636"/>
      <c r="CU61" s="1636"/>
      <c r="CV61" s="1636"/>
      <c r="CX61" s="547"/>
      <c r="CY61" s="1556"/>
      <c r="CZ61" s="1556"/>
      <c r="DA61" s="1556"/>
      <c r="DB61" s="1556"/>
      <c r="DG61" s="1923" t="s">
        <v>8017</v>
      </c>
      <c r="DH61" s="381">
        <v>33</v>
      </c>
      <c r="DI61" s="381"/>
      <c r="DJ61" s="381"/>
      <c r="DT61" s="549"/>
      <c r="DU61" s="382" t="s">
        <v>7950</v>
      </c>
      <c r="DV61" s="382">
        <v>4</v>
      </c>
      <c r="DW61" s="382">
        <v>0</v>
      </c>
      <c r="DX61" s="382">
        <v>7</v>
      </c>
      <c r="DY61" s="382">
        <v>0</v>
      </c>
      <c r="DZ61" s="463">
        <f t="shared" si="9"/>
        <v>4</v>
      </c>
      <c r="EA61" s="463">
        <f t="shared" si="8"/>
        <v>7</v>
      </c>
    </row>
    <row r="62" spans="8:134" ht="12.95" customHeight="1">
      <c r="P62" s="549"/>
      <c r="Q62" s="549"/>
      <c r="R62" s="549"/>
      <c r="S62" s="549"/>
      <c r="T62" s="549"/>
      <c r="U62" s="549"/>
      <c r="V62" s="549"/>
      <c r="AL62" s="463" t="s">
        <v>1712</v>
      </c>
      <c r="AM62" s="463">
        <v>20514</v>
      </c>
      <c r="AN62" s="463">
        <v>22405</v>
      </c>
      <c r="AO62" s="463">
        <v>24014</v>
      </c>
      <c r="AP62" s="463">
        <v>25448</v>
      </c>
      <c r="AS62" s="382" t="s">
        <v>3737</v>
      </c>
      <c r="AT62" s="1889">
        <v>276</v>
      </c>
      <c r="AU62" s="1889">
        <v>313</v>
      </c>
      <c r="AV62" s="1889">
        <v>343</v>
      </c>
      <c r="AW62" s="1889">
        <v>354</v>
      </c>
      <c r="AY62" s="463"/>
      <c r="AZ62" s="382" t="s">
        <v>1695</v>
      </c>
      <c r="BA62" s="1896">
        <v>100</v>
      </c>
      <c r="BB62" s="1896">
        <v>106</v>
      </c>
      <c r="BC62" s="1896">
        <v>109</v>
      </c>
      <c r="BD62" s="1896">
        <v>112</v>
      </c>
      <c r="BE62" s="463"/>
      <c r="BF62" s="463"/>
      <c r="BJ62" s="463"/>
      <c r="BK62" s="463"/>
      <c r="BL62" s="463"/>
      <c r="BM62" s="463"/>
      <c r="BN62" s="382" t="s">
        <v>8034</v>
      </c>
      <c r="BO62" s="382">
        <v>3</v>
      </c>
      <c r="BP62" s="382">
        <v>3</v>
      </c>
      <c r="BQ62" s="1038">
        <v>3</v>
      </c>
      <c r="BR62" s="1038">
        <v>3</v>
      </c>
      <c r="BV62" s="2285"/>
      <c r="BW62" s="2286"/>
      <c r="BX62" s="2286"/>
      <c r="BY62" s="2286"/>
      <c r="BZ62" s="2286"/>
      <c r="CA62" s="2287"/>
      <c r="CB62" s="2081" t="s">
        <v>7902</v>
      </c>
      <c r="CC62" s="2077"/>
      <c r="CD62" s="2082"/>
      <c r="CE62" s="2292"/>
      <c r="CP62" s="1636"/>
      <c r="CQ62" s="1636"/>
      <c r="CR62" s="1636"/>
      <c r="CS62" s="1636"/>
      <c r="CT62" s="1636"/>
      <c r="CU62" s="1636"/>
      <c r="CV62" s="1636"/>
      <c r="CX62" s="547"/>
      <c r="CY62" s="1556"/>
      <c r="CZ62" s="1556"/>
      <c r="DA62" s="1556"/>
      <c r="DB62" s="1556"/>
      <c r="DG62" s="549" t="s">
        <v>8022</v>
      </c>
      <c r="DH62" s="861"/>
      <c r="DI62" s="861"/>
      <c r="DJ62" s="861"/>
      <c r="DT62" s="549"/>
      <c r="DU62" s="382" t="s">
        <v>7960</v>
      </c>
      <c r="DV62" s="382">
        <v>0</v>
      </c>
      <c r="DW62" s="382">
        <v>0</v>
      </c>
      <c r="DX62" s="382">
        <v>0</v>
      </c>
      <c r="DY62" s="382">
        <v>0</v>
      </c>
      <c r="DZ62" s="463">
        <f t="shared" si="9"/>
        <v>0</v>
      </c>
      <c r="EA62" s="463">
        <f t="shared" si="8"/>
        <v>0</v>
      </c>
    </row>
    <row r="63" spans="8:134" ht="12.95" customHeight="1">
      <c r="P63" s="549"/>
      <c r="Q63" s="549"/>
      <c r="R63" s="549"/>
      <c r="S63" s="549"/>
      <c r="T63" s="549"/>
      <c r="U63" s="549"/>
      <c r="V63" s="549"/>
      <c r="W63" s="439"/>
      <c r="AL63" s="1068" t="s">
        <v>1711</v>
      </c>
      <c r="AM63" s="435">
        <v>17488</v>
      </c>
      <c r="AN63" s="435">
        <v>19189</v>
      </c>
      <c r="AO63" s="435">
        <v>20669</v>
      </c>
      <c r="AP63" s="435">
        <v>22060</v>
      </c>
      <c r="AS63" s="382" t="s">
        <v>2195</v>
      </c>
      <c r="AT63" s="1038">
        <v>361</v>
      </c>
      <c r="AU63" s="1038">
        <v>379</v>
      </c>
      <c r="AV63" s="1038">
        <v>415</v>
      </c>
      <c r="AW63" s="1038">
        <v>422</v>
      </c>
      <c r="AZ63" s="382" t="s">
        <v>2653</v>
      </c>
      <c r="BA63" s="1896">
        <v>10946</v>
      </c>
      <c r="BB63" s="1896">
        <v>11552</v>
      </c>
      <c r="BC63" s="1896">
        <v>11961</v>
      </c>
      <c r="BD63" s="1896">
        <v>12351</v>
      </c>
      <c r="BE63" s="463"/>
      <c r="BF63" s="463"/>
      <c r="BG63" s="463" t="s">
        <v>3508</v>
      </c>
      <c r="BH63" s="463">
        <f>SUM(BH64:BH79)</f>
        <v>2103</v>
      </c>
      <c r="BI63" s="463">
        <f>SUM(BI64:BI79)</f>
        <v>2157</v>
      </c>
      <c r="BJ63" s="463">
        <f>SUM(BJ64:BJ79)</f>
        <v>2128</v>
      </c>
      <c r="BK63" s="463">
        <f>SUM(BK64:BK79)</f>
        <v>2145</v>
      </c>
      <c r="BL63" s="463"/>
      <c r="BN63" s="382" t="s">
        <v>3737</v>
      </c>
      <c r="BO63" s="382">
        <v>1</v>
      </c>
      <c r="BP63" s="382">
        <v>1</v>
      </c>
      <c r="BQ63" s="619">
        <v>1</v>
      </c>
      <c r="BR63" s="619">
        <v>1</v>
      </c>
      <c r="BV63" s="418"/>
      <c r="BW63" s="1904" t="s">
        <v>7913</v>
      </c>
      <c r="BX63" s="1904" t="s">
        <v>7914</v>
      </c>
      <c r="BY63" s="1905" t="s">
        <v>7915</v>
      </c>
      <c r="BZ63" s="418"/>
      <c r="CA63" s="418"/>
      <c r="CB63" s="1906" t="s">
        <v>4512</v>
      </c>
      <c r="CC63" s="1906" t="s">
        <v>7913</v>
      </c>
      <c r="CD63" s="1905" t="s">
        <v>7915</v>
      </c>
      <c r="CE63" s="2292"/>
      <c r="CP63" s="1636"/>
      <c r="CQ63" s="1636"/>
      <c r="CR63" s="1636"/>
      <c r="CS63" s="1636"/>
      <c r="CT63" s="1636"/>
      <c r="CU63" s="1636"/>
      <c r="CV63" s="1636"/>
      <c r="CX63" s="547"/>
      <c r="CY63" s="1556"/>
      <c r="CZ63" s="1556"/>
      <c r="DA63" s="1556"/>
      <c r="DB63" s="1556"/>
      <c r="DG63" s="549" t="s">
        <v>8027</v>
      </c>
      <c r="DH63" s="549"/>
      <c r="DI63" s="549"/>
      <c r="DJ63" s="549"/>
      <c r="DT63" s="549"/>
      <c r="DU63" s="382" t="s">
        <v>2253</v>
      </c>
      <c r="DV63" s="382">
        <v>1</v>
      </c>
      <c r="DW63" s="382">
        <v>0</v>
      </c>
      <c r="DX63" s="382">
        <v>1</v>
      </c>
      <c r="DY63" s="382">
        <v>0</v>
      </c>
      <c r="DZ63" s="463">
        <f t="shared" si="9"/>
        <v>1</v>
      </c>
      <c r="EA63" s="463">
        <f t="shared" si="8"/>
        <v>1</v>
      </c>
    </row>
    <row r="64" spans="8:134" ht="12.95" customHeight="1">
      <c r="P64" s="549"/>
      <c r="Q64" s="549"/>
      <c r="R64" s="549"/>
      <c r="S64" s="549"/>
      <c r="T64" s="549"/>
      <c r="U64" s="549"/>
      <c r="V64" s="549"/>
      <c r="W64" s="463"/>
      <c r="AL64" s="463"/>
      <c r="AM64" s="463"/>
      <c r="AN64" s="463"/>
      <c r="AO64" s="463"/>
      <c r="AP64" s="463"/>
      <c r="AS64" s="382" t="s">
        <v>2198</v>
      </c>
      <c r="AT64" s="1889">
        <v>631</v>
      </c>
      <c r="AU64" s="1894">
        <v>675</v>
      </c>
      <c r="AV64" s="1889">
        <v>718</v>
      </c>
      <c r="AW64" s="1889">
        <v>742</v>
      </c>
      <c r="AZ64" s="382" t="s">
        <v>8025</v>
      </c>
      <c r="BA64" s="1896">
        <v>3</v>
      </c>
      <c r="BB64" s="1896">
        <v>3</v>
      </c>
      <c r="BC64" s="1896">
        <v>3</v>
      </c>
      <c r="BD64" s="1896">
        <v>3</v>
      </c>
      <c r="BE64" s="463"/>
      <c r="BF64" s="463"/>
      <c r="BG64" s="463" t="s">
        <v>7963</v>
      </c>
      <c r="BH64" s="463">
        <v>0</v>
      </c>
      <c r="BI64" s="463">
        <v>0</v>
      </c>
      <c r="BJ64" s="463">
        <v>0</v>
      </c>
      <c r="BK64" s="463">
        <v>1</v>
      </c>
      <c r="BL64" s="463"/>
      <c r="BN64" s="382" t="s">
        <v>2195</v>
      </c>
      <c r="BO64" s="382">
        <v>3</v>
      </c>
      <c r="BP64" s="382">
        <v>3</v>
      </c>
      <c r="BQ64" s="619">
        <v>3</v>
      </c>
      <c r="BR64" s="619">
        <v>3</v>
      </c>
      <c r="BU64" s="1907" t="s">
        <v>7923</v>
      </c>
      <c r="BV64" s="1908" t="s">
        <v>129</v>
      </c>
      <c r="BW64" s="1909" t="s">
        <v>7924</v>
      </c>
      <c r="BX64" s="1909" t="s">
        <v>7924</v>
      </c>
      <c r="BY64" s="1910" t="s">
        <v>7925</v>
      </c>
      <c r="BZ64" s="1908" t="s">
        <v>7926</v>
      </c>
      <c r="CA64" s="1908" t="s">
        <v>7927</v>
      </c>
      <c r="CB64" s="1908" t="s">
        <v>7928</v>
      </c>
      <c r="CC64" s="1908" t="s">
        <v>6914</v>
      </c>
      <c r="CD64" s="1910" t="s">
        <v>7925</v>
      </c>
      <c r="CE64" s="2293"/>
      <c r="CP64" s="1636"/>
      <c r="CQ64" s="1636"/>
      <c r="CR64" s="1636"/>
      <c r="CS64" s="1636"/>
      <c r="CT64" s="1636"/>
      <c r="CU64" s="1636"/>
      <c r="CV64" s="1636"/>
      <c r="CX64" s="547"/>
      <c r="CY64" s="1556"/>
      <c r="CZ64" s="1556"/>
      <c r="DA64" s="1556"/>
      <c r="DB64" s="1556"/>
      <c r="DT64" s="549"/>
      <c r="DU64" s="382" t="s">
        <v>2175</v>
      </c>
      <c r="DV64" s="382">
        <v>0</v>
      </c>
      <c r="DW64" s="382">
        <v>0</v>
      </c>
      <c r="DX64" s="382">
        <v>0</v>
      </c>
      <c r="DY64" s="382">
        <v>0</v>
      </c>
      <c r="DZ64" s="463">
        <f t="shared" si="9"/>
        <v>0</v>
      </c>
      <c r="EA64" s="463">
        <f t="shared" si="8"/>
        <v>0</v>
      </c>
    </row>
    <row r="65" spans="15:131" ht="12.95" customHeight="1">
      <c r="W65" s="463"/>
      <c r="AL65" s="463" t="s">
        <v>3508</v>
      </c>
      <c r="AM65" s="463">
        <f>SUM(AM66:AM81)</f>
        <v>38002</v>
      </c>
      <c r="AN65" s="463">
        <f>SUM(AN66:AN81)</f>
        <v>41594</v>
      </c>
      <c r="AO65" s="463">
        <f>SUM(AO66:AO81)</f>
        <v>44683</v>
      </c>
      <c r="AP65" s="463">
        <f>SUM(AP66:AP81)</f>
        <v>47508</v>
      </c>
      <c r="AS65" s="382" t="s">
        <v>2261</v>
      </c>
      <c r="AT65" s="1889">
        <v>833</v>
      </c>
      <c r="AU65" s="1894">
        <v>900</v>
      </c>
      <c r="AV65" s="1889">
        <v>913</v>
      </c>
      <c r="AW65" s="1889">
        <v>930</v>
      </c>
      <c r="AZ65" s="382" t="s">
        <v>1696</v>
      </c>
      <c r="BA65" s="1896">
        <v>7582</v>
      </c>
      <c r="BB65" s="1896">
        <v>7920</v>
      </c>
      <c r="BC65" s="1896">
        <v>8240</v>
      </c>
      <c r="BD65" s="1896">
        <v>8576</v>
      </c>
      <c r="BE65" s="463"/>
      <c r="BF65" s="463"/>
      <c r="BG65" s="463" t="s">
        <v>7969</v>
      </c>
      <c r="BH65" s="463">
        <v>0</v>
      </c>
      <c r="BI65" s="463">
        <v>0</v>
      </c>
      <c r="BJ65" s="463">
        <v>0</v>
      </c>
      <c r="BK65" s="463">
        <v>0</v>
      </c>
      <c r="BL65" s="463"/>
      <c r="BN65" s="382" t="s">
        <v>2198</v>
      </c>
      <c r="BO65" s="382">
        <v>1</v>
      </c>
      <c r="BP65" s="382">
        <v>1</v>
      </c>
      <c r="BQ65" s="463">
        <v>5</v>
      </c>
      <c r="BR65" s="1038">
        <v>1</v>
      </c>
      <c r="BU65" s="1911" t="s">
        <v>7938</v>
      </c>
      <c r="BV65" s="1912">
        <v>65228238</v>
      </c>
      <c r="BW65" s="1912">
        <v>47292977</v>
      </c>
      <c r="BX65" s="1912">
        <v>7877129</v>
      </c>
      <c r="BY65" s="1912">
        <v>3888166</v>
      </c>
      <c r="BZ65" s="1912">
        <v>2261928</v>
      </c>
      <c r="CA65" s="1912">
        <v>3908038</v>
      </c>
      <c r="CB65" s="1912">
        <v>99804910</v>
      </c>
      <c r="CC65" s="1912">
        <v>78413357</v>
      </c>
      <c r="CD65" s="1912">
        <v>5833092</v>
      </c>
      <c r="CE65" s="1912">
        <v>50795566</v>
      </c>
      <c r="CF65" s="1658"/>
      <c r="CG65" s="1658"/>
      <c r="CP65" s="1636"/>
      <c r="CQ65" s="1636"/>
      <c r="CR65" s="1636"/>
      <c r="CS65" s="1636"/>
      <c r="CT65" s="1636"/>
      <c r="CU65" s="1636"/>
      <c r="CV65" s="1636"/>
      <c r="CX65" s="547"/>
      <c r="CY65" s="1556"/>
      <c r="CZ65" s="1556"/>
      <c r="DA65" s="1556"/>
      <c r="DB65" s="1556"/>
      <c r="DT65" s="549"/>
      <c r="DU65" s="382" t="s">
        <v>2177</v>
      </c>
      <c r="DV65" s="382">
        <v>42</v>
      </c>
      <c r="DW65" s="382">
        <v>0</v>
      </c>
      <c r="DX65" s="382">
        <v>65</v>
      </c>
      <c r="DY65" s="382">
        <v>0</v>
      </c>
      <c r="DZ65" s="463">
        <f t="shared" si="9"/>
        <v>42</v>
      </c>
      <c r="EA65" s="463">
        <f t="shared" si="8"/>
        <v>65</v>
      </c>
    </row>
    <row r="66" spans="15:131" ht="12.95" customHeight="1">
      <c r="W66" s="463"/>
      <c r="AL66" s="463" t="s">
        <v>7963</v>
      </c>
      <c r="AM66" s="463">
        <v>395</v>
      </c>
      <c r="AN66" s="463">
        <v>670</v>
      </c>
      <c r="AO66" s="463">
        <v>1003</v>
      </c>
      <c r="AP66" s="463">
        <v>1401</v>
      </c>
      <c r="AS66" s="382" t="s">
        <v>2201</v>
      </c>
      <c r="AT66" s="1889">
        <v>842</v>
      </c>
      <c r="AU66" s="1895">
        <v>876</v>
      </c>
      <c r="AV66" s="1894">
        <v>891</v>
      </c>
      <c r="AW66" s="1894">
        <v>899</v>
      </c>
      <c r="AZ66" s="382" t="s">
        <v>8035</v>
      </c>
      <c r="BA66" s="1896">
        <v>9</v>
      </c>
      <c r="BB66" s="1896">
        <v>8</v>
      </c>
      <c r="BC66" s="1896">
        <v>8</v>
      </c>
      <c r="BD66" s="1896">
        <v>8</v>
      </c>
      <c r="BE66" s="463"/>
      <c r="BF66" s="463"/>
      <c r="BG66" s="463" t="s">
        <v>7974</v>
      </c>
      <c r="BH66" s="463">
        <v>1</v>
      </c>
      <c r="BI66" s="463">
        <v>1</v>
      </c>
      <c r="BJ66" s="463">
        <v>1</v>
      </c>
      <c r="BK66" s="463">
        <v>1</v>
      </c>
      <c r="BL66" s="463"/>
      <c r="BN66" s="382" t="s">
        <v>2261</v>
      </c>
      <c r="BO66" s="382">
        <v>1</v>
      </c>
      <c r="BP66" s="382">
        <v>1</v>
      </c>
      <c r="BQ66" s="463">
        <v>1</v>
      </c>
      <c r="BR66" s="1038">
        <v>1</v>
      </c>
      <c r="BU66" s="1913"/>
      <c r="BV66" s="1912"/>
      <c r="BW66" s="1912"/>
      <c r="BX66" s="1912"/>
      <c r="BY66" s="1912"/>
      <c r="BZ66" s="1912"/>
      <c r="CA66" s="1912"/>
      <c r="CB66" s="1912"/>
      <c r="CC66" s="1912"/>
      <c r="CD66" s="1912"/>
      <c r="CE66" s="1912"/>
      <c r="CP66" s="1636"/>
      <c r="CQ66" s="1636"/>
      <c r="CR66" s="1636"/>
      <c r="CS66" s="1636"/>
      <c r="CT66" s="1636"/>
      <c r="CU66" s="1636"/>
      <c r="CV66" s="1636"/>
      <c r="CX66" s="547"/>
      <c r="CY66" s="1556"/>
      <c r="CZ66" s="1556"/>
      <c r="DA66" s="1556"/>
      <c r="DB66" s="1556"/>
      <c r="DT66" s="549"/>
      <c r="DU66" s="382" t="s">
        <v>2181</v>
      </c>
      <c r="DV66" s="382">
        <v>23</v>
      </c>
      <c r="DW66" s="382">
        <v>0</v>
      </c>
      <c r="DX66" s="382">
        <v>36</v>
      </c>
      <c r="DY66" s="382">
        <v>0</v>
      </c>
      <c r="DZ66" s="463">
        <f t="shared" si="9"/>
        <v>23</v>
      </c>
      <c r="EA66" s="463">
        <f t="shared" si="8"/>
        <v>36</v>
      </c>
    </row>
    <row r="67" spans="15:131" ht="12.95" customHeight="1">
      <c r="AL67" s="463" t="s">
        <v>7969</v>
      </c>
      <c r="AM67" s="463">
        <v>199</v>
      </c>
      <c r="AN67" s="463">
        <v>224</v>
      </c>
      <c r="AO67" s="463">
        <v>249</v>
      </c>
      <c r="AP67" s="463">
        <v>268</v>
      </c>
      <c r="AS67" s="382" t="s">
        <v>2202</v>
      </c>
      <c r="AT67" s="1889">
        <v>2760</v>
      </c>
      <c r="AU67" s="1894">
        <v>2940</v>
      </c>
      <c r="AV67" s="1894">
        <v>3059</v>
      </c>
      <c r="AW67" s="1894">
        <v>3194</v>
      </c>
      <c r="AZ67" s="382" t="s">
        <v>2645</v>
      </c>
      <c r="BA67" s="1896">
        <v>60</v>
      </c>
      <c r="BB67" s="1896">
        <v>61</v>
      </c>
      <c r="BC67" s="1896">
        <v>62</v>
      </c>
      <c r="BD67" s="1896">
        <v>67</v>
      </c>
      <c r="BE67" s="463"/>
      <c r="BF67" s="463"/>
      <c r="BG67" s="463" t="s">
        <v>7980</v>
      </c>
      <c r="BH67" s="463">
        <v>1</v>
      </c>
      <c r="BI67" s="463">
        <v>1</v>
      </c>
      <c r="BJ67" s="463">
        <v>1</v>
      </c>
      <c r="BK67" s="463">
        <v>1</v>
      </c>
      <c r="BL67" s="463"/>
      <c r="BN67" s="382" t="s">
        <v>2201</v>
      </c>
      <c r="BO67" s="382">
        <v>0</v>
      </c>
      <c r="BP67" s="382">
        <v>0</v>
      </c>
      <c r="BQ67" s="463">
        <v>0</v>
      </c>
      <c r="BR67" s="619">
        <v>0</v>
      </c>
      <c r="BU67" s="1914" t="s">
        <v>7956</v>
      </c>
      <c r="BV67" s="1912">
        <v>19279</v>
      </c>
      <c r="BW67" s="1912">
        <v>12948</v>
      </c>
      <c r="BX67" s="1912">
        <v>1489</v>
      </c>
      <c r="BY67" s="1912">
        <v>1573</v>
      </c>
      <c r="BZ67" s="1912">
        <v>1097</v>
      </c>
      <c r="CA67" s="1912">
        <v>2172</v>
      </c>
      <c r="CB67" s="1912">
        <v>20019</v>
      </c>
      <c r="CC67" s="1912">
        <v>14630</v>
      </c>
      <c r="CD67" s="1912">
        <v>1620</v>
      </c>
      <c r="CE67" s="1912">
        <v>13944</v>
      </c>
      <c r="CP67" s="1636"/>
      <c r="CQ67" s="1636"/>
      <c r="CR67" s="1636"/>
      <c r="CS67" s="1636"/>
      <c r="CT67" s="1636"/>
      <c r="CU67" s="1636"/>
      <c r="CV67" s="1636"/>
      <c r="CX67" s="547"/>
      <c r="CY67" s="1556"/>
      <c r="CZ67" s="1556"/>
      <c r="DA67" s="1556"/>
      <c r="DB67" s="1556"/>
      <c r="DG67" s="381" t="s">
        <v>8115</v>
      </c>
      <c r="DT67" s="549"/>
      <c r="DU67" s="382" t="s">
        <v>2276</v>
      </c>
      <c r="DV67" s="382">
        <v>1</v>
      </c>
      <c r="DW67" s="382">
        <v>0</v>
      </c>
      <c r="DX67" s="382">
        <v>1</v>
      </c>
      <c r="DY67" s="382">
        <v>0</v>
      </c>
      <c r="DZ67" s="463">
        <f t="shared" si="9"/>
        <v>1</v>
      </c>
      <c r="EA67" s="463">
        <f t="shared" si="8"/>
        <v>1</v>
      </c>
    </row>
    <row r="68" spans="15:131" ht="12.95" customHeight="1">
      <c r="W68" s="1646"/>
      <c r="AL68" s="463" t="s">
        <v>7974</v>
      </c>
      <c r="AM68" s="463">
        <v>331</v>
      </c>
      <c r="AN68" s="463">
        <v>374</v>
      </c>
      <c r="AO68" s="463">
        <v>413</v>
      </c>
      <c r="AP68" s="463">
        <v>438</v>
      </c>
      <c r="AS68" s="391" t="s">
        <v>3665</v>
      </c>
      <c r="AT68" s="1889">
        <v>1186</v>
      </c>
      <c r="AU68" s="1895">
        <v>1198</v>
      </c>
      <c r="AV68" s="1895">
        <v>1220</v>
      </c>
      <c r="AW68" s="1895">
        <v>1269</v>
      </c>
      <c r="AZ68" s="382" t="s">
        <v>2661</v>
      </c>
      <c r="BA68" s="1896">
        <v>13</v>
      </c>
      <c r="BB68" s="1896">
        <v>18</v>
      </c>
      <c r="BC68" s="1896">
        <v>21</v>
      </c>
      <c r="BD68" s="1896">
        <v>21</v>
      </c>
      <c r="BE68" s="463"/>
      <c r="BF68" s="463"/>
      <c r="BG68" s="382" t="s">
        <v>7985</v>
      </c>
      <c r="BH68" s="463">
        <v>12</v>
      </c>
      <c r="BI68" s="463">
        <v>15</v>
      </c>
      <c r="BJ68" s="463">
        <v>13</v>
      </c>
      <c r="BK68" s="463">
        <v>13</v>
      </c>
      <c r="BL68" s="463"/>
      <c r="BN68" s="391" t="s">
        <v>2202</v>
      </c>
      <c r="BO68" s="382">
        <v>9</v>
      </c>
      <c r="BP68" s="382">
        <v>9</v>
      </c>
      <c r="BQ68" s="463">
        <v>10</v>
      </c>
      <c r="BR68" s="1038">
        <v>13</v>
      </c>
      <c r="BU68" s="1915"/>
      <c r="BV68" s="1912"/>
      <c r="BW68" s="1912"/>
      <c r="BX68" s="1912"/>
      <c r="BY68" s="1912"/>
      <c r="BZ68" s="1912"/>
      <c r="CA68" s="1912"/>
      <c r="CB68" s="1912"/>
      <c r="CC68" s="1912"/>
      <c r="CE68" s="1912"/>
      <c r="CP68" s="1636"/>
      <c r="CQ68" s="1636"/>
      <c r="CR68" s="1636"/>
      <c r="CS68" s="1636"/>
      <c r="CT68" s="1636"/>
      <c r="CU68" s="1636"/>
      <c r="CV68" s="1636"/>
      <c r="CX68" s="547"/>
      <c r="CY68" s="1556"/>
      <c r="CZ68" s="1556"/>
      <c r="DA68" s="1556"/>
      <c r="DB68" s="1556"/>
      <c r="DG68" s="388" t="s">
        <v>2449</v>
      </c>
      <c r="DH68" s="664" t="s">
        <v>129</v>
      </c>
      <c r="DI68" s="894"/>
      <c r="DJ68" s="894"/>
      <c r="DT68" s="549"/>
      <c r="DU68" s="382" t="s">
        <v>2185</v>
      </c>
      <c r="DV68" s="382">
        <v>2</v>
      </c>
      <c r="DW68" s="382">
        <v>0</v>
      </c>
      <c r="DX68" s="382">
        <v>4</v>
      </c>
      <c r="DY68" s="382">
        <v>0</v>
      </c>
      <c r="DZ68" s="463">
        <f t="shared" si="9"/>
        <v>2</v>
      </c>
      <c r="EA68" s="463">
        <f t="shared" si="8"/>
        <v>4</v>
      </c>
    </row>
    <row r="69" spans="15:131" ht="12.95" customHeight="1">
      <c r="AL69" s="463" t="s">
        <v>7980</v>
      </c>
      <c r="AM69" s="463">
        <v>1028</v>
      </c>
      <c r="AN69" s="463">
        <v>1129</v>
      </c>
      <c r="AO69" s="463">
        <v>1229</v>
      </c>
      <c r="AP69" s="463">
        <v>1320</v>
      </c>
      <c r="AS69" s="391" t="s">
        <v>8028</v>
      </c>
      <c r="AT69" s="1889">
        <v>233</v>
      </c>
      <c r="AU69" s="1895">
        <v>249</v>
      </c>
      <c r="AV69" s="1894">
        <v>253</v>
      </c>
      <c r="AW69" s="1894">
        <v>247</v>
      </c>
      <c r="AZ69" s="382" t="s">
        <v>1697</v>
      </c>
      <c r="BA69" s="1896">
        <v>134</v>
      </c>
      <c r="BB69" s="1896">
        <v>154</v>
      </c>
      <c r="BC69" s="1896">
        <v>162</v>
      </c>
      <c r="BD69" s="1896">
        <v>165</v>
      </c>
      <c r="BE69" s="463"/>
      <c r="BF69" s="463"/>
      <c r="BG69" s="382" t="s">
        <v>7994</v>
      </c>
      <c r="BH69" s="463">
        <v>19</v>
      </c>
      <c r="BI69" s="463">
        <v>19</v>
      </c>
      <c r="BJ69" s="463">
        <v>18</v>
      </c>
      <c r="BK69" s="463">
        <v>18</v>
      </c>
      <c r="BL69" s="463"/>
      <c r="BN69" s="391" t="s">
        <v>3665</v>
      </c>
      <c r="BO69" s="382">
        <v>2</v>
      </c>
      <c r="BP69" s="382">
        <v>2</v>
      </c>
      <c r="BQ69" s="463">
        <v>2</v>
      </c>
      <c r="BR69" s="619">
        <v>2</v>
      </c>
      <c r="BU69" s="1913" t="s">
        <v>1967</v>
      </c>
      <c r="BV69" s="1912">
        <v>19280</v>
      </c>
      <c r="BW69" s="1912">
        <v>12945</v>
      </c>
      <c r="BX69" s="1912">
        <v>1490</v>
      </c>
      <c r="BY69" s="1912">
        <v>1575</v>
      </c>
      <c r="BZ69" s="1912">
        <v>1095</v>
      </c>
      <c r="CA69" s="1912">
        <v>2175</v>
      </c>
      <c r="CB69" s="1912">
        <v>20018</v>
      </c>
      <c r="CC69" s="1912">
        <v>14629</v>
      </c>
      <c r="CD69" s="1912">
        <v>1621</v>
      </c>
      <c r="CE69" s="1912">
        <v>13945</v>
      </c>
      <c r="CP69" s="1636"/>
      <c r="CQ69" s="1636"/>
      <c r="CR69" s="1636"/>
      <c r="CS69" s="1636"/>
      <c r="CT69" s="1636"/>
      <c r="CU69" s="1636"/>
      <c r="CV69" s="1636"/>
      <c r="CX69" s="547"/>
      <c r="CY69" s="1556"/>
      <c r="CZ69" s="1556"/>
      <c r="DA69" s="1556"/>
      <c r="DB69" s="1556"/>
      <c r="DG69" s="439" t="s">
        <v>129</v>
      </c>
      <c r="DH69" s="435">
        <f>SUM(DH70:DH83)</f>
        <v>790</v>
      </c>
      <c r="DI69" s="439"/>
      <c r="DJ69" s="439"/>
      <c r="DT69" s="549"/>
      <c r="DU69" s="382" t="s">
        <v>2353</v>
      </c>
      <c r="DV69" s="382">
        <v>1</v>
      </c>
      <c r="DW69" s="382">
        <v>0</v>
      </c>
      <c r="DX69" s="382">
        <v>1</v>
      </c>
      <c r="DY69" s="382">
        <v>0</v>
      </c>
      <c r="DZ69" s="463">
        <f t="shared" si="9"/>
        <v>1</v>
      </c>
      <c r="EA69" s="463">
        <f t="shared" si="8"/>
        <v>1</v>
      </c>
    </row>
    <row r="70" spans="15:131" ht="12.95" customHeight="1">
      <c r="AL70" s="382" t="s">
        <v>7985</v>
      </c>
      <c r="AM70" s="463">
        <v>2303</v>
      </c>
      <c r="AN70" s="463">
        <v>2461</v>
      </c>
      <c r="AO70" s="463">
        <v>2589</v>
      </c>
      <c r="AP70" s="463">
        <v>2718</v>
      </c>
      <c r="AS70" s="463" t="s">
        <v>2356</v>
      </c>
      <c r="AT70" s="1889">
        <v>252</v>
      </c>
      <c r="AU70" s="1895">
        <v>270</v>
      </c>
      <c r="AV70" s="1895">
        <v>275</v>
      </c>
      <c r="AW70" s="1895">
        <v>287</v>
      </c>
      <c r="AZ70" s="382" t="s">
        <v>1698</v>
      </c>
      <c r="BA70" s="1896">
        <v>331</v>
      </c>
      <c r="BB70" s="1896">
        <v>350</v>
      </c>
      <c r="BC70" s="1896">
        <v>361</v>
      </c>
      <c r="BD70" s="1896">
        <v>379</v>
      </c>
      <c r="BE70" s="463"/>
      <c r="BF70" s="463"/>
      <c r="BG70" s="382" t="s">
        <v>8000</v>
      </c>
      <c r="BH70" s="463">
        <v>22</v>
      </c>
      <c r="BI70" s="463">
        <v>24</v>
      </c>
      <c r="BJ70" s="463">
        <v>24</v>
      </c>
      <c r="BK70" s="463">
        <v>23</v>
      </c>
      <c r="BL70" s="463"/>
      <c r="BN70" s="463" t="s">
        <v>8028</v>
      </c>
      <c r="BO70" s="382">
        <v>1</v>
      </c>
      <c r="BP70" s="382">
        <v>1</v>
      </c>
      <c r="BQ70" s="463">
        <v>0</v>
      </c>
      <c r="BR70" s="619">
        <v>0</v>
      </c>
      <c r="BU70" s="1916">
        <v>96910</v>
      </c>
      <c r="BV70" s="1912">
        <v>560</v>
      </c>
      <c r="BW70" s="1912">
        <v>345</v>
      </c>
      <c r="BX70" s="1912">
        <v>60</v>
      </c>
      <c r="BY70" s="1912">
        <v>45</v>
      </c>
      <c r="BZ70" s="1912">
        <v>30</v>
      </c>
      <c r="CA70" s="1912">
        <v>80</v>
      </c>
      <c r="CB70" s="1912">
        <v>635</v>
      </c>
      <c r="CC70" s="1912">
        <v>435</v>
      </c>
      <c r="CD70" s="1912">
        <v>54</v>
      </c>
      <c r="CE70" s="1912">
        <v>385</v>
      </c>
      <c r="CP70" s="1636"/>
      <c r="CQ70" s="1636"/>
      <c r="CR70" s="1636"/>
      <c r="CS70" s="1636"/>
      <c r="CT70" s="1636"/>
      <c r="CU70" s="1636"/>
      <c r="CV70" s="1636"/>
      <c r="CX70" s="547"/>
      <c r="CY70" s="1556"/>
      <c r="CZ70" s="1556"/>
      <c r="DA70" s="1556"/>
      <c r="DB70" s="1556"/>
      <c r="DG70" s="439" t="s">
        <v>7918</v>
      </c>
      <c r="DH70" s="382">
        <v>102</v>
      </c>
      <c r="DT70" s="549"/>
      <c r="DU70" s="382" t="s">
        <v>2260</v>
      </c>
      <c r="DV70" s="382">
        <v>0</v>
      </c>
      <c r="DW70" s="382">
        <v>0</v>
      </c>
      <c r="DX70" s="382">
        <v>0</v>
      </c>
      <c r="DY70" s="382">
        <v>0</v>
      </c>
      <c r="DZ70" s="463">
        <f t="shared" si="9"/>
        <v>0</v>
      </c>
      <c r="EA70" s="463">
        <f t="shared" si="8"/>
        <v>0</v>
      </c>
    </row>
    <row r="71" spans="15:131" ht="12.95" customHeight="1">
      <c r="O71" s="463"/>
      <c r="AL71" s="382" t="s">
        <v>7994</v>
      </c>
      <c r="AM71" s="463">
        <v>2419</v>
      </c>
      <c r="AN71" s="463">
        <v>2567</v>
      </c>
      <c r="AO71" s="463">
        <v>2679</v>
      </c>
      <c r="AP71" s="463">
        <v>2809</v>
      </c>
      <c r="AS71" s="1068" t="s">
        <v>2208</v>
      </c>
      <c r="AT71" s="1889">
        <v>6028</v>
      </c>
      <c r="AU71" s="1895">
        <v>6283</v>
      </c>
      <c r="AV71" s="1895">
        <v>6532</v>
      </c>
      <c r="AW71" s="1895">
        <v>6704</v>
      </c>
      <c r="AZ71" s="382" t="s">
        <v>2654</v>
      </c>
      <c r="BA71" s="1896">
        <v>222</v>
      </c>
      <c r="BB71" s="1896">
        <v>232</v>
      </c>
      <c r="BC71" s="1896">
        <v>246</v>
      </c>
      <c r="BD71" s="1896">
        <v>254</v>
      </c>
      <c r="BE71" s="463"/>
      <c r="BF71" s="463"/>
      <c r="BG71" s="382" t="s">
        <v>8008</v>
      </c>
      <c r="BH71" s="463">
        <v>58</v>
      </c>
      <c r="BI71" s="463">
        <v>59</v>
      </c>
      <c r="BJ71" s="463">
        <v>59</v>
      </c>
      <c r="BK71" s="463">
        <v>59</v>
      </c>
      <c r="BL71" s="463"/>
      <c r="BN71" s="1068" t="s">
        <v>2356</v>
      </c>
      <c r="BO71" s="382">
        <v>0</v>
      </c>
      <c r="BP71" s="382">
        <v>0</v>
      </c>
      <c r="BQ71" s="463">
        <v>0</v>
      </c>
      <c r="BR71" s="619">
        <v>0</v>
      </c>
      <c r="BU71" s="1916">
        <v>96912</v>
      </c>
      <c r="BV71" s="1912">
        <v>305</v>
      </c>
      <c r="BW71" s="1912">
        <v>200</v>
      </c>
      <c r="BX71" s="1912">
        <v>20</v>
      </c>
      <c r="BY71" s="1912">
        <v>25</v>
      </c>
      <c r="BZ71" s="1912">
        <v>15</v>
      </c>
      <c r="CA71" s="1912">
        <v>45</v>
      </c>
      <c r="CB71" s="1912">
        <v>281</v>
      </c>
      <c r="CC71" s="1912">
        <v>204</v>
      </c>
      <c r="CD71" s="1912">
        <v>18</v>
      </c>
      <c r="CE71" s="1912">
        <v>205</v>
      </c>
      <c r="CP71" s="1636"/>
      <c r="CQ71" s="1636"/>
      <c r="CR71" s="1636"/>
      <c r="CS71" s="1636"/>
      <c r="CT71" s="1636"/>
      <c r="CU71" s="1636"/>
      <c r="CV71" s="1636"/>
      <c r="CX71" s="547"/>
      <c r="CY71" s="547"/>
      <c r="CZ71" s="547"/>
      <c r="DA71" s="547"/>
      <c r="DB71" s="547"/>
      <c r="DG71" s="439" t="s">
        <v>7932</v>
      </c>
      <c r="DH71" s="382">
        <v>76</v>
      </c>
      <c r="DT71" s="549"/>
      <c r="DU71" s="382" t="s">
        <v>2201</v>
      </c>
      <c r="DV71" s="382">
        <v>0</v>
      </c>
      <c r="DW71" s="382">
        <v>0</v>
      </c>
      <c r="DX71" s="382">
        <v>0</v>
      </c>
      <c r="DY71" s="382">
        <v>0</v>
      </c>
      <c r="DZ71" s="463">
        <f t="shared" si="9"/>
        <v>0</v>
      </c>
      <c r="EA71" s="463">
        <f t="shared" si="8"/>
        <v>0</v>
      </c>
    </row>
    <row r="72" spans="15:131" ht="12.95" customHeight="1">
      <c r="O72" s="463"/>
      <c r="AL72" s="382" t="s">
        <v>8000</v>
      </c>
      <c r="AM72" s="463">
        <v>2400</v>
      </c>
      <c r="AN72" s="463">
        <v>2563</v>
      </c>
      <c r="AO72" s="463">
        <v>2668</v>
      </c>
      <c r="AP72" s="463">
        <v>2766</v>
      </c>
      <c r="AS72" s="463" t="s">
        <v>2209</v>
      </c>
      <c r="AT72" s="1889">
        <v>1861</v>
      </c>
      <c r="AU72" s="1895">
        <v>1866</v>
      </c>
      <c r="AV72" s="1895">
        <v>1934</v>
      </c>
      <c r="AW72" s="1895">
        <v>2020</v>
      </c>
      <c r="AZ72" s="382" t="s">
        <v>2652</v>
      </c>
      <c r="BA72" s="1038">
        <v>134</v>
      </c>
      <c r="BB72" s="1038">
        <v>144</v>
      </c>
      <c r="BC72" s="1038">
        <v>146</v>
      </c>
      <c r="BD72" s="1038">
        <v>151</v>
      </c>
      <c r="BE72" s="463"/>
      <c r="BF72" s="463"/>
      <c r="BG72" s="382" t="s">
        <v>8014</v>
      </c>
      <c r="BH72" s="463">
        <v>58</v>
      </c>
      <c r="BI72" s="463">
        <v>61</v>
      </c>
      <c r="BJ72" s="463">
        <v>63</v>
      </c>
      <c r="BK72" s="463">
        <v>63</v>
      </c>
      <c r="BL72" s="463"/>
      <c r="BN72" s="463" t="s">
        <v>2208</v>
      </c>
      <c r="BO72" s="382">
        <v>27</v>
      </c>
      <c r="BP72" s="463">
        <v>29</v>
      </c>
      <c r="BQ72" s="463">
        <v>31</v>
      </c>
      <c r="BR72" s="619">
        <v>31</v>
      </c>
      <c r="BU72" s="1916">
        <v>96913</v>
      </c>
      <c r="BV72" s="1912">
        <v>1460</v>
      </c>
      <c r="BW72" s="1912">
        <v>1035</v>
      </c>
      <c r="BX72" s="1912">
        <v>110</v>
      </c>
      <c r="BY72" s="1912">
        <v>105</v>
      </c>
      <c r="BZ72" s="1912">
        <v>65</v>
      </c>
      <c r="CA72" s="1912">
        <v>145</v>
      </c>
      <c r="CB72" s="1912">
        <v>1807</v>
      </c>
      <c r="CC72" s="1912">
        <v>1423</v>
      </c>
      <c r="CD72" s="1912">
        <v>122</v>
      </c>
      <c r="CE72" s="1912">
        <v>1095</v>
      </c>
      <c r="CP72" s="1636"/>
      <c r="CQ72" s="1636"/>
      <c r="CR72" s="1636"/>
      <c r="CS72" s="1636"/>
      <c r="CT72" s="1636"/>
      <c r="CU72" s="1636"/>
      <c r="CV72" s="1636"/>
      <c r="CX72" s="547"/>
      <c r="CY72" s="547"/>
      <c r="CZ72" s="547"/>
      <c r="DA72" s="547"/>
      <c r="DB72" s="547"/>
      <c r="DG72" s="439" t="s">
        <v>7941</v>
      </c>
      <c r="DH72" s="382">
        <v>90</v>
      </c>
      <c r="DT72" s="549"/>
      <c r="DU72" s="382" t="s">
        <v>2202</v>
      </c>
      <c r="DV72" s="382">
        <v>7</v>
      </c>
      <c r="DW72" s="382">
        <v>0</v>
      </c>
      <c r="DX72" s="382">
        <v>7</v>
      </c>
      <c r="DY72" s="382">
        <v>0</v>
      </c>
      <c r="DZ72" s="463">
        <f t="shared" si="9"/>
        <v>7</v>
      </c>
      <c r="EA72" s="463">
        <f t="shared" si="8"/>
        <v>7</v>
      </c>
    </row>
    <row r="73" spans="15:131" ht="12.95" customHeight="1">
      <c r="W73" s="549"/>
      <c r="AL73" s="382" t="s">
        <v>8008</v>
      </c>
      <c r="AM73" s="463">
        <v>4433</v>
      </c>
      <c r="AN73" s="463">
        <v>4724</v>
      </c>
      <c r="AO73" s="463">
        <v>4935</v>
      </c>
      <c r="AP73" s="463">
        <v>5132</v>
      </c>
      <c r="AS73" s="497" t="s">
        <v>8089</v>
      </c>
      <c r="AT73" s="1890">
        <v>307</v>
      </c>
      <c r="AU73" s="1890">
        <v>331</v>
      </c>
      <c r="AV73" s="1890">
        <v>345</v>
      </c>
      <c r="AW73" s="1890">
        <v>397</v>
      </c>
      <c r="AZ73" s="382" t="s">
        <v>6301</v>
      </c>
      <c r="BA73" s="1896">
        <v>35</v>
      </c>
      <c r="BB73" s="1896">
        <v>41</v>
      </c>
      <c r="BC73" s="1896">
        <v>42</v>
      </c>
      <c r="BD73" s="1896">
        <v>43</v>
      </c>
      <c r="BE73" s="463"/>
      <c r="BG73" s="382" t="s">
        <v>8019</v>
      </c>
      <c r="BH73" s="463">
        <v>75</v>
      </c>
      <c r="BI73" s="463">
        <v>78</v>
      </c>
      <c r="BJ73" s="463">
        <v>77</v>
      </c>
      <c r="BK73" s="463">
        <v>77</v>
      </c>
      <c r="BN73" s="463" t="s">
        <v>2209</v>
      </c>
      <c r="BO73" s="382">
        <v>7</v>
      </c>
      <c r="BP73" s="463">
        <v>6</v>
      </c>
      <c r="BQ73" s="463">
        <v>6</v>
      </c>
      <c r="BR73" s="619">
        <v>6</v>
      </c>
      <c r="BU73" s="1916">
        <v>96915</v>
      </c>
      <c r="BV73" s="1912">
        <v>1150</v>
      </c>
      <c r="BW73" s="1912">
        <v>740</v>
      </c>
      <c r="BX73" s="1912">
        <v>90</v>
      </c>
      <c r="BY73" s="1912">
        <v>85</v>
      </c>
      <c r="BZ73" s="1912">
        <v>55</v>
      </c>
      <c r="CA73" s="1912">
        <v>180</v>
      </c>
      <c r="CB73" s="1912">
        <v>1210</v>
      </c>
      <c r="CC73" s="1912">
        <v>845</v>
      </c>
      <c r="CD73" s="1912">
        <v>88</v>
      </c>
      <c r="CE73" s="1912">
        <v>790</v>
      </c>
      <c r="CP73" s="1636"/>
      <c r="CQ73" s="1636"/>
      <c r="CR73" s="1636"/>
      <c r="CS73" s="1636"/>
      <c r="CT73" s="1636"/>
      <c r="CU73" s="1636"/>
      <c r="CV73" s="1636"/>
      <c r="CX73" s="547"/>
      <c r="CY73" s="547"/>
      <c r="CZ73" s="547"/>
      <c r="DA73" s="547"/>
      <c r="DB73" s="547"/>
      <c r="DG73" s="439" t="s">
        <v>7949</v>
      </c>
      <c r="DH73" s="382">
        <v>63</v>
      </c>
      <c r="DT73" s="549"/>
      <c r="DU73" s="382" t="s">
        <v>8028</v>
      </c>
      <c r="DV73" s="382">
        <v>12</v>
      </c>
      <c r="DW73" s="382">
        <v>0</v>
      </c>
      <c r="DX73" s="382">
        <v>14</v>
      </c>
      <c r="DY73" s="382">
        <v>0</v>
      </c>
      <c r="DZ73" s="463">
        <f t="shared" si="9"/>
        <v>12</v>
      </c>
      <c r="EA73" s="463">
        <f t="shared" si="8"/>
        <v>14</v>
      </c>
    </row>
    <row r="74" spans="15:131" ht="12.95" customHeight="1">
      <c r="W74" s="549"/>
      <c r="AL74" s="382" t="s">
        <v>8014</v>
      </c>
      <c r="AM74" s="463">
        <v>4107</v>
      </c>
      <c r="AN74" s="463">
        <v>4359</v>
      </c>
      <c r="AO74" s="463">
        <v>4544</v>
      </c>
      <c r="AP74" s="463">
        <v>4714</v>
      </c>
      <c r="AS74" s="549" t="s">
        <v>8058</v>
      </c>
      <c r="AT74" s="549"/>
      <c r="AU74" s="641"/>
      <c r="AV74" s="641"/>
      <c r="AW74" s="641"/>
      <c r="AZ74" s="382" t="s">
        <v>465</v>
      </c>
      <c r="BA74" s="1038">
        <v>0</v>
      </c>
      <c r="BB74" s="1038">
        <v>0</v>
      </c>
      <c r="BC74" s="1038">
        <v>0</v>
      </c>
      <c r="BD74" s="1038">
        <v>0</v>
      </c>
      <c r="BG74" s="382" t="s">
        <v>8024</v>
      </c>
      <c r="BH74" s="463">
        <v>54</v>
      </c>
      <c r="BI74" s="463">
        <v>58</v>
      </c>
      <c r="BJ74" s="463">
        <v>57</v>
      </c>
      <c r="BK74" s="463">
        <v>56</v>
      </c>
      <c r="BN74" s="463" t="s">
        <v>8089</v>
      </c>
      <c r="BO74" s="382">
        <v>1</v>
      </c>
      <c r="BP74" s="382">
        <v>0</v>
      </c>
      <c r="BQ74" s="382">
        <v>0</v>
      </c>
      <c r="BR74" s="619">
        <v>0</v>
      </c>
      <c r="BU74" s="1916">
        <v>96916</v>
      </c>
      <c r="BV74" s="1912">
        <v>110</v>
      </c>
      <c r="BW74" s="1912">
        <v>65</v>
      </c>
      <c r="BX74" s="1912">
        <v>10</v>
      </c>
      <c r="BY74" s="1912">
        <v>10</v>
      </c>
      <c r="BZ74" s="1912">
        <v>10</v>
      </c>
      <c r="CA74" s="1912">
        <v>15</v>
      </c>
      <c r="CB74" s="1912">
        <v>99</v>
      </c>
      <c r="CC74" s="1912">
        <v>60</v>
      </c>
      <c r="CD74" s="1912">
        <v>16</v>
      </c>
      <c r="CE74" s="1912">
        <v>65</v>
      </c>
      <c r="CP74" s="1636"/>
      <c r="CQ74" s="1636"/>
      <c r="CR74" s="1636"/>
      <c r="CS74" s="1636"/>
      <c r="CT74" s="1636"/>
      <c r="CU74" s="1636"/>
      <c r="CV74" s="1636"/>
      <c r="DG74" s="439" t="s">
        <v>7959</v>
      </c>
      <c r="DH74" s="382">
        <v>41</v>
      </c>
      <c r="DT74" s="549"/>
      <c r="DU74" s="382" t="s">
        <v>2356</v>
      </c>
      <c r="DV74" s="382">
        <v>1</v>
      </c>
      <c r="DW74" s="382">
        <v>0</v>
      </c>
      <c r="DX74" s="382">
        <v>2</v>
      </c>
      <c r="DY74" s="382">
        <v>0</v>
      </c>
      <c r="DZ74" s="463">
        <f t="shared" si="9"/>
        <v>1</v>
      </c>
      <c r="EA74" s="463">
        <f t="shared" si="8"/>
        <v>2</v>
      </c>
    </row>
    <row r="75" spans="15:131" ht="12.95" customHeight="1">
      <c r="W75" s="549"/>
      <c r="AL75" s="382" t="s">
        <v>8019</v>
      </c>
      <c r="AM75" s="463">
        <v>2489</v>
      </c>
      <c r="AN75" s="463">
        <v>2633</v>
      </c>
      <c r="AO75" s="463">
        <v>2753</v>
      </c>
      <c r="AP75" s="463">
        <v>2829</v>
      </c>
      <c r="AS75" s="562"/>
      <c r="AT75" s="1644"/>
      <c r="AU75" s="1644"/>
      <c r="AV75" s="1644"/>
      <c r="AW75" s="1644"/>
      <c r="AZ75" s="382" t="s">
        <v>8078</v>
      </c>
      <c r="BA75" s="1038">
        <v>0</v>
      </c>
      <c r="BB75" s="1038">
        <v>0</v>
      </c>
      <c r="BC75" s="1038">
        <v>0</v>
      </c>
      <c r="BD75" s="1038">
        <v>0</v>
      </c>
      <c r="BG75" s="382" t="s">
        <v>8030</v>
      </c>
      <c r="BH75" s="463">
        <v>236</v>
      </c>
      <c r="BI75" s="463">
        <v>239</v>
      </c>
      <c r="BJ75" s="463">
        <v>237</v>
      </c>
      <c r="BK75" s="463">
        <v>240</v>
      </c>
      <c r="BN75" s="1508" t="s">
        <v>8058</v>
      </c>
      <c r="BO75" s="1648"/>
      <c r="BP75" s="1508"/>
      <c r="BQ75" s="1648"/>
      <c r="BR75" s="1648"/>
      <c r="BU75" s="1916">
        <v>96917</v>
      </c>
      <c r="BV75" s="1912">
        <v>75</v>
      </c>
      <c r="BW75" s="1912">
        <v>45</v>
      </c>
      <c r="BX75" s="1912">
        <v>5</v>
      </c>
      <c r="BY75" s="1912">
        <v>10</v>
      </c>
      <c r="BZ75" s="1912">
        <v>5</v>
      </c>
      <c r="CA75" s="1912">
        <v>10</v>
      </c>
      <c r="CB75" s="1912">
        <v>72</v>
      </c>
      <c r="CC75" s="1912">
        <v>44</v>
      </c>
      <c r="CD75" s="1912">
        <v>10</v>
      </c>
      <c r="CE75" s="1912">
        <v>55</v>
      </c>
      <c r="CP75" s="1636"/>
      <c r="CQ75" s="1636"/>
      <c r="CR75" s="1636"/>
      <c r="CS75" s="1636"/>
      <c r="CT75" s="1636"/>
      <c r="CU75" s="1636"/>
      <c r="CV75" s="1636"/>
      <c r="DG75" s="1540" t="s">
        <v>7965</v>
      </c>
      <c r="DH75" s="382">
        <v>78</v>
      </c>
      <c r="DT75" s="549"/>
      <c r="DU75" s="382" t="s">
        <v>2208</v>
      </c>
      <c r="DV75" s="382">
        <v>23</v>
      </c>
      <c r="DW75" s="382">
        <v>0</v>
      </c>
      <c r="DX75" s="382">
        <v>55</v>
      </c>
      <c r="DY75" s="382">
        <v>0</v>
      </c>
      <c r="DZ75" s="463">
        <f t="shared" si="9"/>
        <v>23</v>
      </c>
      <c r="EA75" s="463">
        <f t="shared" si="8"/>
        <v>55</v>
      </c>
    </row>
    <row r="76" spans="15:131" ht="12.95" customHeight="1">
      <c r="W76" s="549"/>
      <c r="AL76" s="382" t="s">
        <v>8024</v>
      </c>
      <c r="AM76" s="463">
        <v>360</v>
      </c>
      <c r="AN76" s="463">
        <v>435</v>
      </c>
      <c r="AO76" s="463">
        <v>501</v>
      </c>
      <c r="AP76" s="463">
        <v>573</v>
      </c>
      <c r="AU76" s="619"/>
      <c r="AV76" s="619"/>
      <c r="AW76" s="619"/>
      <c r="AZ76" s="382" t="s">
        <v>2649</v>
      </c>
      <c r="BA76" s="1896">
        <v>1018</v>
      </c>
      <c r="BB76" s="1896">
        <v>1057</v>
      </c>
      <c r="BC76" s="1896">
        <v>1096</v>
      </c>
      <c r="BD76" s="1896">
        <v>1123</v>
      </c>
      <c r="BG76" s="382" t="s">
        <v>8036</v>
      </c>
      <c r="BH76" s="463">
        <v>441</v>
      </c>
      <c r="BI76" s="463">
        <v>444</v>
      </c>
      <c r="BJ76" s="463">
        <v>445</v>
      </c>
      <c r="BK76" s="463">
        <v>452</v>
      </c>
      <c r="BN76" s="549"/>
      <c r="BO76" s="641"/>
      <c r="BP76" s="549"/>
      <c r="BQ76" s="641"/>
      <c r="BR76" s="641"/>
      <c r="BU76" s="1916">
        <v>96921</v>
      </c>
      <c r="BV76" s="1912">
        <v>3470</v>
      </c>
      <c r="BW76" s="1912">
        <v>2195</v>
      </c>
      <c r="BX76" s="1912">
        <v>310</v>
      </c>
      <c r="BY76" s="1912">
        <v>270</v>
      </c>
      <c r="BZ76" s="1912">
        <v>225</v>
      </c>
      <c r="CA76" s="1912">
        <v>470</v>
      </c>
      <c r="CB76" s="1912">
        <v>3431</v>
      </c>
      <c r="CC76" s="1912">
        <v>2396</v>
      </c>
      <c r="CD76" s="1912">
        <v>261</v>
      </c>
      <c r="CE76" s="1912">
        <v>2375</v>
      </c>
      <c r="CP76" s="1636"/>
      <c r="CQ76" s="1636"/>
      <c r="CR76" s="1636"/>
      <c r="CS76" s="1636"/>
      <c r="CT76" s="1636"/>
      <c r="CU76" s="1636"/>
      <c r="CV76" s="1636"/>
      <c r="DG76" s="1540" t="s">
        <v>7972</v>
      </c>
      <c r="DH76" s="382">
        <v>50</v>
      </c>
      <c r="DT76" s="549"/>
      <c r="DU76" s="381" t="s">
        <v>2209</v>
      </c>
      <c r="DV76" s="381">
        <v>8</v>
      </c>
      <c r="DW76" s="381">
        <v>0</v>
      </c>
      <c r="DX76" s="381">
        <v>16</v>
      </c>
      <c r="DY76" s="381">
        <v>0</v>
      </c>
      <c r="DZ76" s="497">
        <f t="shared" si="9"/>
        <v>8</v>
      </c>
      <c r="EA76" s="497">
        <f t="shared" si="8"/>
        <v>16</v>
      </c>
    </row>
    <row r="77" spans="15:131" ht="12.95" customHeight="1">
      <c r="AL77" s="382" t="s">
        <v>8030</v>
      </c>
      <c r="AM77" s="463">
        <v>3932</v>
      </c>
      <c r="AN77" s="463">
        <v>4421</v>
      </c>
      <c r="AO77" s="463">
        <v>4807</v>
      </c>
      <c r="AP77" s="463">
        <v>5210</v>
      </c>
      <c r="AZ77" s="382" t="s">
        <v>2651</v>
      </c>
      <c r="BA77" s="1896">
        <v>1299</v>
      </c>
      <c r="BB77" s="1896">
        <v>1355</v>
      </c>
      <c r="BC77" s="1896">
        <v>1440</v>
      </c>
      <c r="BD77" s="1896">
        <v>1482</v>
      </c>
      <c r="BF77" s="414"/>
      <c r="BG77" s="382" t="s">
        <v>8042</v>
      </c>
      <c r="BH77" s="463">
        <v>401</v>
      </c>
      <c r="BI77" s="463">
        <v>403</v>
      </c>
      <c r="BJ77" s="463">
        <v>398</v>
      </c>
      <c r="BK77" s="463">
        <v>399</v>
      </c>
      <c r="BL77" s="414"/>
      <c r="BO77" s="619"/>
      <c r="BQ77" s="619"/>
      <c r="BR77" s="619"/>
      <c r="BU77" s="1916">
        <v>96923</v>
      </c>
      <c r="BV77" s="1912">
        <v>115</v>
      </c>
      <c r="BW77" s="1912">
        <v>75</v>
      </c>
      <c r="BX77" s="1912">
        <v>10</v>
      </c>
      <c r="BY77" s="1912">
        <v>10</v>
      </c>
      <c r="BZ77" s="1912">
        <v>5</v>
      </c>
      <c r="CA77" s="1912">
        <v>15</v>
      </c>
      <c r="CB77" s="1912">
        <v>93</v>
      </c>
      <c r="CC77" s="1912">
        <v>66</v>
      </c>
      <c r="CD77" s="1912">
        <v>6</v>
      </c>
      <c r="CE77" s="1912">
        <v>80</v>
      </c>
      <c r="CP77" s="1636"/>
      <c r="CQ77" s="1636"/>
      <c r="CR77" s="1636"/>
      <c r="CS77" s="1636"/>
      <c r="CT77" s="1636"/>
      <c r="CU77" s="1636"/>
      <c r="CV77" s="1636"/>
      <c r="CX77" s="549"/>
      <c r="CY77" s="549"/>
      <c r="CZ77" s="549"/>
      <c r="DA77" s="549"/>
      <c r="DB77" s="549"/>
      <c r="DC77" s="549"/>
      <c r="DD77" s="549"/>
      <c r="DG77" s="439" t="s">
        <v>7978</v>
      </c>
      <c r="DH77" s="382">
        <v>58</v>
      </c>
      <c r="DT77" s="549"/>
      <c r="DU77" s="549" t="s">
        <v>8022</v>
      </c>
      <c r="DV77" s="549"/>
      <c r="DW77" s="549"/>
      <c r="DX77" s="549"/>
    </row>
    <row r="78" spans="15:131" ht="12.95" customHeight="1">
      <c r="Q78" s="463"/>
      <c r="R78" s="463"/>
      <c r="S78" s="463"/>
      <c r="AL78" s="382" t="s">
        <v>8033</v>
      </c>
      <c r="AM78" s="463">
        <v>4416</v>
      </c>
      <c r="AN78" s="463">
        <v>4897</v>
      </c>
      <c r="AO78" s="463">
        <v>5230</v>
      </c>
      <c r="AP78" s="463">
        <v>5514</v>
      </c>
      <c r="AZ78" s="382" t="s">
        <v>8086</v>
      </c>
      <c r="BA78" s="1896">
        <v>2</v>
      </c>
      <c r="BB78" s="1896">
        <v>3</v>
      </c>
      <c r="BC78" s="1896">
        <v>3</v>
      </c>
      <c r="BD78" s="1896">
        <v>14</v>
      </c>
      <c r="BE78" s="414"/>
      <c r="BF78" s="439"/>
      <c r="BG78" s="382" t="s">
        <v>8046</v>
      </c>
      <c r="BH78" s="463">
        <v>399</v>
      </c>
      <c r="BI78" s="463">
        <v>409</v>
      </c>
      <c r="BJ78" s="463">
        <v>399</v>
      </c>
      <c r="BK78" s="463">
        <v>404</v>
      </c>
      <c r="BL78" s="439"/>
      <c r="BU78" s="1916">
        <v>96928</v>
      </c>
      <c r="BV78" s="1912">
        <v>625</v>
      </c>
      <c r="BW78" s="1912">
        <v>410</v>
      </c>
      <c r="BX78" s="1912">
        <v>50</v>
      </c>
      <c r="BY78" s="1912">
        <v>65</v>
      </c>
      <c r="BZ78" s="1912">
        <v>30</v>
      </c>
      <c r="CA78" s="1912">
        <v>70</v>
      </c>
      <c r="CB78" s="1912">
        <v>596</v>
      </c>
      <c r="CC78" s="1912">
        <v>420</v>
      </c>
      <c r="CD78" s="1912">
        <v>60</v>
      </c>
      <c r="CE78" s="1912">
        <v>455</v>
      </c>
      <c r="CP78" s="1636"/>
      <c r="CQ78" s="1636"/>
      <c r="CR78" s="1636"/>
      <c r="CS78" s="1636"/>
      <c r="CT78" s="1636"/>
      <c r="CU78" s="1636"/>
      <c r="CV78" s="1636"/>
      <c r="CX78" s="549"/>
      <c r="CY78" s="2171"/>
      <c r="CZ78" s="2171"/>
      <c r="DA78" s="2171"/>
      <c r="DB78" s="2171"/>
      <c r="DC78" s="2275"/>
      <c r="DD78" s="2275"/>
      <c r="DG78" s="1540" t="s">
        <v>7983</v>
      </c>
      <c r="DH78" s="382">
        <v>46</v>
      </c>
      <c r="DT78" s="549"/>
      <c r="DU78" s="549" t="s">
        <v>8055</v>
      </c>
      <c r="DV78" s="549"/>
      <c r="DW78" s="549"/>
      <c r="DX78" s="549"/>
    </row>
    <row r="79" spans="15:131" ht="12.95" customHeight="1">
      <c r="Q79" s="463"/>
      <c r="R79" s="463"/>
      <c r="S79" s="463"/>
      <c r="W79" s="1406"/>
      <c r="AL79" s="382" t="s">
        <v>8040</v>
      </c>
      <c r="AM79" s="463">
        <v>3333</v>
      </c>
      <c r="AN79" s="463">
        <v>3724</v>
      </c>
      <c r="AO79" s="463">
        <v>4025</v>
      </c>
      <c r="AP79" s="463">
        <v>4258</v>
      </c>
      <c r="AS79" s="381" t="s">
        <v>8116</v>
      </c>
      <c r="AT79" s="381"/>
      <c r="AU79" s="381"/>
      <c r="AV79" s="381"/>
      <c r="AW79" s="381"/>
      <c r="AZ79" s="382" t="s">
        <v>2658</v>
      </c>
      <c r="BA79" s="1896">
        <v>12</v>
      </c>
      <c r="BB79" s="1896">
        <v>12</v>
      </c>
      <c r="BC79" s="1896">
        <v>12</v>
      </c>
      <c r="BD79" s="1896">
        <v>12</v>
      </c>
      <c r="BE79" s="439"/>
      <c r="BF79" s="463"/>
      <c r="BG79" s="387" t="s">
        <v>8053</v>
      </c>
      <c r="BH79" s="497">
        <v>326</v>
      </c>
      <c r="BI79" s="497">
        <v>346</v>
      </c>
      <c r="BJ79" s="497">
        <v>336</v>
      </c>
      <c r="BK79" s="497">
        <v>338</v>
      </c>
      <c r="BL79" s="463"/>
      <c r="BN79" s="381" t="s">
        <v>8118</v>
      </c>
      <c r="BO79" s="381"/>
      <c r="BP79" s="381"/>
      <c r="BQ79" s="381"/>
      <c r="BR79" s="381"/>
      <c r="BU79" s="1916">
        <v>96929</v>
      </c>
      <c r="BV79" s="1912">
        <v>4530</v>
      </c>
      <c r="BW79" s="1912">
        <v>3000</v>
      </c>
      <c r="BX79" s="1912">
        <v>380</v>
      </c>
      <c r="BY79" s="1912">
        <v>365</v>
      </c>
      <c r="BZ79" s="1912">
        <v>245</v>
      </c>
      <c r="CA79" s="1912">
        <v>540</v>
      </c>
      <c r="CB79" s="1912">
        <v>4405</v>
      </c>
      <c r="CC79" s="1912">
        <v>3155</v>
      </c>
      <c r="CD79" s="1912">
        <v>367</v>
      </c>
      <c r="CE79" s="1912">
        <v>3145</v>
      </c>
      <c r="CP79" s="1636"/>
      <c r="CQ79" s="1636"/>
      <c r="CR79" s="1636"/>
      <c r="CS79" s="1636"/>
      <c r="CT79" s="1636"/>
      <c r="CU79" s="1636"/>
      <c r="CV79" s="1636"/>
      <c r="CX79" s="549"/>
      <c r="CY79" s="861"/>
      <c r="CZ79" s="861"/>
      <c r="DA79" s="861"/>
      <c r="DB79" s="861"/>
      <c r="DC79" s="861"/>
      <c r="DD79" s="861"/>
      <c r="DG79" s="1540" t="s">
        <v>7988</v>
      </c>
      <c r="DH79" s="382">
        <v>60</v>
      </c>
      <c r="DT79" s="549"/>
    </row>
    <row r="80" spans="15:131" ht="12.95" customHeight="1">
      <c r="W80" s="439"/>
      <c r="AL80" s="382" t="s">
        <v>8046</v>
      </c>
      <c r="AM80" s="463">
        <v>3672</v>
      </c>
      <c r="AN80" s="463">
        <v>4066</v>
      </c>
      <c r="AO80" s="463">
        <v>4472</v>
      </c>
      <c r="AP80" s="463">
        <v>4774</v>
      </c>
      <c r="AS80" s="398"/>
      <c r="AT80" s="2127" t="s">
        <v>8112</v>
      </c>
      <c r="AU80" s="2128"/>
      <c r="AV80" s="2128"/>
      <c r="AW80" s="2128"/>
      <c r="AZ80" s="382" t="s">
        <v>8091</v>
      </c>
      <c r="BA80" s="1896">
        <v>14</v>
      </c>
      <c r="BB80" s="1896">
        <v>14</v>
      </c>
      <c r="BC80" s="1896">
        <v>16</v>
      </c>
      <c r="BD80" s="1896">
        <v>16</v>
      </c>
      <c r="BE80" s="463"/>
      <c r="BF80" s="435"/>
      <c r="BG80" s="549" t="s">
        <v>8058</v>
      </c>
      <c r="BH80" s="549"/>
      <c r="BI80" s="549"/>
      <c r="BJ80" s="463"/>
      <c r="BK80" s="463"/>
      <c r="BL80" s="435"/>
      <c r="BO80" s="2279" t="s">
        <v>8112</v>
      </c>
      <c r="BP80" s="2280"/>
      <c r="BQ80" s="2280"/>
      <c r="BR80" s="2280"/>
      <c r="BU80" s="1916">
        <v>96931</v>
      </c>
      <c r="BV80" s="1912">
        <v>3745</v>
      </c>
      <c r="BW80" s="1912">
        <v>2665</v>
      </c>
      <c r="BX80" s="1912">
        <v>215</v>
      </c>
      <c r="BY80" s="1912">
        <v>310</v>
      </c>
      <c r="BZ80" s="1912">
        <v>245</v>
      </c>
      <c r="CA80" s="1912">
        <v>310</v>
      </c>
      <c r="CB80" s="1912">
        <v>3993</v>
      </c>
      <c r="CC80" s="1912">
        <v>3056</v>
      </c>
      <c r="CD80" s="1912">
        <v>324</v>
      </c>
      <c r="CE80" s="1912">
        <v>2890</v>
      </c>
      <c r="CP80" s="1636"/>
      <c r="CQ80" s="1636"/>
      <c r="CR80" s="1636"/>
      <c r="CS80" s="1636"/>
      <c r="CT80" s="1636"/>
      <c r="CU80" s="1636"/>
      <c r="CV80" s="1636"/>
      <c r="CX80" s="549"/>
      <c r="CY80" s="549"/>
      <c r="CZ80" s="549"/>
      <c r="DA80" s="549"/>
      <c r="DB80" s="549"/>
      <c r="DC80" s="549"/>
      <c r="DD80" s="549"/>
      <c r="DG80" s="1540" t="s">
        <v>7998</v>
      </c>
      <c r="DH80" s="382">
        <v>40</v>
      </c>
      <c r="DT80" s="549"/>
    </row>
    <row r="81" spans="23:131" ht="12.95" customHeight="1">
      <c r="W81" s="393"/>
      <c r="AL81" s="387" t="s">
        <v>8053</v>
      </c>
      <c r="AM81" s="497">
        <v>2185</v>
      </c>
      <c r="AN81" s="497">
        <v>2347</v>
      </c>
      <c r="AO81" s="497">
        <v>2586</v>
      </c>
      <c r="AP81" s="497">
        <v>2784</v>
      </c>
      <c r="AS81" s="384" t="s">
        <v>7901</v>
      </c>
      <c r="AT81" s="729" t="s">
        <v>42</v>
      </c>
      <c r="AU81" s="729" t="s">
        <v>43</v>
      </c>
      <c r="AV81" s="729" t="s">
        <v>44</v>
      </c>
      <c r="AW81" s="729" t="s">
        <v>45</v>
      </c>
      <c r="AZ81" s="391" t="s">
        <v>8092</v>
      </c>
      <c r="BA81" s="1038">
        <v>16</v>
      </c>
      <c r="BB81" s="1038">
        <v>14</v>
      </c>
      <c r="BC81" s="1038">
        <v>0</v>
      </c>
      <c r="BD81" s="1038">
        <v>16</v>
      </c>
      <c r="BE81" s="435"/>
      <c r="BF81" s="463"/>
      <c r="BG81" s="549"/>
      <c r="BH81" s="549"/>
      <c r="BI81" s="549"/>
      <c r="BL81" s="463"/>
      <c r="BN81" s="1431" t="s">
        <v>7901</v>
      </c>
      <c r="BO81" s="1900" t="s">
        <v>42</v>
      </c>
      <c r="BP81" s="1900" t="s">
        <v>43</v>
      </c>
      <c r="BQ81" s="1900" t="s">
        <v>44</v>
      </c>
      <c r="BR81" s="1900" t="s">
        <v>45</v>
      </c>
      <c r="BU81" s="1917">
        <v>96932</v>
      </c>
      <c r="BV81" s="1918">
        <v>3135</v>
      </c>
      <c r="BW81" s="1918">
        <v>2170</v>
      </c>
      <c r="BX81" s="1918">
        <v>230</v>
      </c>
      <c r="BY81" s="1918">
        <v>275</v>
      </c>
      <c r="BZ81" s="1918">
        <v>165</v>
      </c>
      <c r="CA81" s="1918">
        <v>295</v>
      </c>
      <c r="CB81" s="1918">
        <v>3396</v>
      </c>
      <c r="CC81" s="1918">
        <v>2525</v>
      </c>
      <c r="CD81" s="1918">
        <v>295</v>
      </c>
      <c r="CE81" s="1918">
        <v>2405</v>
      </c>
      <c r="CP81" s="1636"/>
      <c r="CQ81" s="1636"/>
      <c r="CR81" s="1636"/>
      <c r="CS81" s="1636"/>
      <c r="CT81" s="1636"/>
      <c r="CU81" s="1636"/>
      <c r="CV81" s="1636"/>
      <c r="CX81" s="549"/>
      <c r="CY81" s="986"/>
      <c r="CZ81" s="875"/>
      <c r="DA81" s="562"/>
      <c r="DB81" s="875"/>
      <c r="DC81" s="562"/>
      <c r="DD81" s="875"/>
      <c r="DG81" s="439" t="s">
        <v>8004</v>
      </c>
      <c r="DH81" s="382">
        <v>42</v>
      </c>
      <c r="DT81" s="549"/>
    </row>
    <row r="82" spans="23:131" ht="12.95" customHeight="1">
      <c r="W82" s="393"/>
      <c r="AL82" s="549" t="s">
        <v>8058</v>
      </c>
      <c r="AM82" s="549"/>
      <c r="AN82" s="549"/>
      <c r="AO82" s="549"/>
      <c r="AP82" s="549"/>
      <c r="AS82" s="382" t="s">
        <v>3507</v>
      </c>
      <c r="AT82" s="1889">
        <f>SUM(AT83:AT112)</f>
        <v>38002</v>
      </c>
      <c r="AU82" s="1889">
        <f>SUM(AU83:AU112)</f>
        <v>41594</v>
      </c>
      <c r="AV82" s="1889">
        <f>SUM(AV83:AV112)</f>
        <v>44683</v>
      </c>
      <c r="AW82" s="1889">
        <f>SUM(AW83:AW112)</f>
        <v>47508</v>
      </c>
      <c r="AZ82" s="382" t="s">
        <v>8093</v>
      </c>
      <c r="BA82" s="1896">
        <v>34</v>
      </c>
      <c r="BB82" s="1038">
        <v>35</v>
      </c>
      <c r="BC82" s="1038">
        <v>37</v>
      </c>
      <c r="BD82" s="1038">
        <v>37</v>
      </c>
      <c r="BE82" s="463"/>
      <c r="BF82" s="463"/>
      <c r="BH82" s="2073"/>
      <c r="BI82" s="2073"/>
      <c r="BJ82" s="2073"/>
      <c r="BK82" s="2073"/>
      <c r="BL82" s="463"/>
      <c r="BN82" s="382" t="s">
        <v>3507</v>
      </c>
      <c r="BO82" s="1038">
        <f>SUM(BO83:BO112)</f>
        <v>2103</v>
      </c>
      <c r="BP82" s="463">
        <f>SUM(BP83:BP112)</f>
        <v>2157</v>
      </c>
      <c r="BQ82" s="619">
        <f>SUM(BQ83:BQ112)</f>
        <v>2128</v>
      </c>
      <c r="BR82" s="619">
        <f>SUM(BR83:BR112)</f>
        <v>2145</v>
      </c>
      <c r="BU82" s="1626" t="s">
        <v>8047</v>
      </c>
      <c r="BV82" s="1624"/>
      <c r="BW82" s="1624"/>
      <c r="BX82" s="1624"/>
      <c r="BY82" s="1624"/>
      <c r="BZ82" s="1624"/>
      <c r="CA82" s="1624"/>
      <c r="CB82" s="1624"/>
      <c r="CC82" s="1624"/>
      <c r="CD82" s="1624"/>
      <c r="CE82" s="1624"/>
      <c r="CP82" s="1636"/>
      <c r="CQ82" s="1636"/>
      <c r="CR82" s="1636"/>
      <c r="CS82" s="1636"/>
      <c r="CT82" s="1636"/>
      <c r="CU82" s="1636"/>
      <c r="CV82" s="1636"/>
      <c r="CX82" s="549"/>
      <c r="CY82" s="986"/>
      <c r="CZ82" s="875"/>
      <c r="DA82" s="549"/>
      <c r="DB82" s="875"/>
      <c r="DC82" s="562"/>
      <c r="DD82" s="875"/>
      <c r="DG82" s="439" t="s">
        <v>8012</v>
      </c>
      <c r="DH82" s="382">
        <v>18</v>
      </c>
      <c r="DT82" s="549"/>
      <c r="DU82" s="381" t="s">
        <v>8117</v>
      </c>
      <c r="DV82" s="381"/>
      <c r="DW82" s="381"/>
      <c r="DX82" s="381"/>
      <c r="DY82" s="381"/>
      <c r="DZ82" s="381"/>
      <c r="EA82" s="381"/>
    </row>
    <row r="83" spans="23:131" ht="12.95" customHeight="1">
      <c r="W83" s="1646"/>
      <c r="AS83" s="382" t="s">
        <v>2251</v>
      </c>
      <c r="AT83" s="1038">
        <v>494</v>
      </c>
      <c r="AU83" s="1038">
        <v>571</v>
      </c>
      <c r="AV83" s="1038">
        <v>626</v>
      </c>
      <c r="AW83" s="1038">
        <v>700</v>
      </c>
      <c r="AZ83" s="1068" t="s">
        <v>8094</v>
      </c>
      <c r="BA83" s="1896">
        <v>707</v>
      </c>
      <c r="BB83" s="1896">
        <v>765</v>
      </c>
      <c r="BC83" s="1896">
        <v>822</v>
      </c>
      <c r="BD83" s="1896">
        <v>878</v>
      </c>
      <c r="BE83" s="463"/>
      <c r="BF83" s="463"/>
      <c r="BG83" s="391"/>
      <c r="BH83" s="439"/>
      <c r="BI83" s="439"/>
      <c r="BJ83" s="439"/>
      <c r="BK83" s="439"/>
      <c r="BL83" s="463"/>
      <c r="BN83" s="382" t="s">
        <v>7922</v>
      </c>
      <c r="BO83" s="1038">
        <v>0</v>
      </c>
      <c r="BP83" s="1038">
        <v>0</v>
      </c>
      <c r="BQ83" s="1038">
        <v>0</v>
      </c>
      <c r="BR83" s="1038">
        <v>0</v>
      </c>
      <c r="BU83" s="1626" t="s">
        <v>8054</v>
      </c>
      <c r="BV83" s="1624"/>
      <c r="BW83" s="1624"/>
      <c r="BX83" s="1624"/>
      <c r="BY83" s="1624"/>
      <c r="BZ83" s="1624"/>
      <c r="CA83" s="1624"/>
      <c r="CB83" s="1624"/>
      <c r="CC83" s="1624"/>
      <c r="CD83" s="1624"/>
      <c r="CE83" s="1624"/>
      <c r="CP83" s="1636"/>
      <c r="CQ83" s="1636"/>
      <c r="CR83" s="1636"/>
      <c r="CS83" s="1636"/>
      <c r="CT83" s="1636"/>
      <c r="CU83" s="1636"/>
      <c r="CV83" s="1636"/>
      <c r="CX83" s="549"/>
      <c r="CY83" s="986"/>
      <c r="CZ83" s="863"/>
      <c r="DA83" s="861"/>
      <c r="DB83" s="863"/>
      <c r="DC83" s="562"/>
      <c r="DD83" s="875"/>
      <c r="DG83" s="1923" t="s">
        <v>8017</v>
      </c>
      <c r="DH83" s="381">
        <v>26</v>
      </c>
      <c r="DI83" s="381"/>
      <c r="DJ83" s="381"/>
      <c r="DM83" s="549"/>
      <c r="DN83" s="549"/>
      <c r="DO83" s="549"/>
      <c r="DP83" s="549"/>
      <c r="DQ83" s="549"/>
      <c r="DR83" s="549"/>
      <c r="DS83" s="549"/>
      <c r="DT83" s="549"/>
      <c r="DV83" s="405" t="s">
        <v>7893</v>
      </c>
      <c r="DW83" s="405" t="s">
        <v>7893</v>
      </c>
      <c r="DX83" s="405" t="s">
        <v>7894</v>
      </c>
      <c r="DY83" s="405" t="s">
        <v>7894</v>
      </c>
      <c r="DZ83" s="405" t="s">
        <v>129</v>
      </c>
      <c r="EA83" s="405" t="s">
        <v>129</v>
      </c>
    </row>
    <row r="84" spans="23:131" ht="12.95" customHeight="1">
      <c r="AS84" s="382" t="s">
        <v>2381</v>
      </c>
      <c r="AT84" s="1889">
        <v>1485</v>
      </c>
      <c r="AU84" s="1889">
        <v>1564</v>
      </c>
      <c r="AV84" s="1889">
        <v>1640</v>
      </c>
      <c r="AW84" s="1889">
        <v>1764</v>
      </c>
      <c r="AZ84" s="463" t="s">
        <v>8095</v>
      </c>
      <c r="BA84" s="1038">
        <v>0</v>
      </c>
      <c r="BB84" s="1038">
        <v>0</v>
      </c>
      <c r="BC84" s="1038">
        <v>0</v>
      </c>
      <c r="BD84" s="1038">
        <v>1</v>
      </c>
      <c r="BE84" s="463"/>
      <c r="BF84" s="463"/>
      <c r="BL84" s="463"/>
      <c r="BN84" s="382" t="s">
        <v>2251</v>
      </c>
      <c r="BO84" s="1038">
        <v>28</v>
      </c>
      <c r="BP84" s="463">
        <v>31</v>
      </c>
      <c r="BQ84" s="619">
        <v>31</v>
      </c>
      <c r="BR84" s="619">
        <v>30</v>
      </c>
      <c r="BU84" s="1626" t="s">
        <v>8059</v>
      </c>
      <c r="BV84" s="1624"/>
      <c r="BW84" s="1624"/>
      <c r="BX84" s="1624"/>
      <c r="BY84" s="1624"/>
      <c r="BZ84" s="1624"/>
      <c r="CA84" s="1624"/>
      <c r="CB84" s="1624"/>
      <c r="CC84" s="1624"/>
      <c r="CD84" s="1624"/>
      <c r="CE84" s="1624"/>
      <c r="CP84" s="1636"/>
      <c r="CQ84" s="1636"/>
      <c r="CR84" s="1636"/>
      <c r="CS84" s="1636"/>
      <c r="CT84" s="1636"/>
      <c r="CU84" s="1636"/>
      <c r="CV84" s="1636"/>
      <c r="CX84" s="549"/>
      <c r="CY84" s="986"/>
      <c r="CZ84" s="863"/>
      <c r="DA84" s="861"/>
      <c r="DB84" s="863"/>
      <c r="DC84" s="562"/>
      <c r="DD84" s="875"/>
      <c r="DG84" s="547" t="s">
        <v>8022</v>
      </c>
      <c r="DH84" s="1526"/>
      <c r="DI84" s="1526"/>
      <c r="DJ84" s="1526"/>
      <c r="DK84" s="547"/>
      <c r="DM84" s="549"/>
      <c r="DN84" s="549"/>
      <c r="DO84" s="549"/>
      <c r="DP84" s="549"/>
      <c r="DU84" s="381" t="s">
        <v>3471</v>
      </c>
      <c r="DV84" s="442" t="s">
        <v>8109</v>
      </c>
      <c r="DW84" s="442" t="s">
        <v>8110</v>
      </c>
      <c r="DX84" s="442" t="s">
        <v>8109</v>
      </c>
      <c r="DY84" s="442" t="s">
        <v>8110</v>
      </c>
      <c r="DZ84" s="442" t="s">
        <v>7893</v>
      </c>
      <c r="EA84" s="442" t="s">
        <v>4832</v>
      </c>
    </row>
    <row r="85" spans="23:131" ht="12.95" customHeight="1">
      <c r="AL85" s="381" t="s">
        <v>8119</v>
      </c>
      <c r="AM85" s="381"/>
      <c r="AN85" s="381"/>
      <c r="AO85" s="381"/>
      <c r="AP85" s="381"/>
      <c r="AS85" s="382" t="s">
        <v>7945</v>
      </c>
      <c r="AT85" s="1889">
        <v>73</v>
      </c>
      <c r="AU85" s="1889">
        <v>72</v>
      </c>
      <c r="AV85" s="1889">
        <v>81</v>
      </c>
      <c r="AW85" s="1889">
        <v>91</v>
      </c>
      <c r="AZ85" s="463" t="s">
        <v>8098</v>
      </c>
      <c r="BA85" s="1896">
        <v>4</v>
      </c>
      <c r="BB85" s="1896">
        <v>2</v>
      </c>
      <c r="BC85" s="1896">
        <v>17</v>
      </c>
      <c r="BD85" s="1896">
        <v>2</v>
      </c>
      <c r="BE85" s="463"/>
      <c r="BF85" s="463"/>
      <c r="BH85" s="2073"/>
      <c r="BI85" s="2073"/>
      <c r="BJ85" s="2073"/>
      <c r="BK85" s="2073"/>
      <c r="BL85" s="463"/>
      <c r="BN85" s="382" t="s">
        <v>2381</v>
      </c>
      <c r="BO85" s="1038">
        <v>59</v>
      </c>
      <c r="BP85" s="463">
        <v>58</v>
      </c>
      <c r="BQ85" s="619">
        <v>57</v>
      </c>
      <c r="BR85" s="619">
        <v>57</v>
      </c>
      <c r="BU85" s="1626" t="s">
        <v>8061</v>
      </c>
      <c r="BV85" s="549"/>
      <c r="BW85" s="549"/>
      <c r="BX85" s="549"/>
      <c r="BY85" s="549"/>
      <c r="BZ85" s="549"/>
      <c r="CA85" s="549"/>
      <c r="CB85" s="549"/>
      <c r="CC85" s="549"/>
      <c r="CD85" s="549"/>
      <c r="CE85" s="549"/>
      <c r="CX85" s="549"/>
      <c r="CY85" s="986"/>
      <c r="CZ85" s="863"/>
      <c r="DA85" s="861"/>
      <c r="DB85" s="863"/>
      <c r="DC85" s="562"/>
      <c r="DD85" s="875"/>
      <c r="DM85" s="549"/>
      <c r="DN85" s="549"/>
      <c r="DO85" s="549"/>
      <c r="DP85" s="549"/>
      <c r="DU85" s="439" t="s">
        <v>129</v>
      </c>
      <c r="DV85" s="463">
        <f>SUM(DV86:DV103)</f>
        <v>156</v>
      </c>
      <c r="DW85" s="463">
        <v>0</v>
      </c>
      <c r="DX85" s="463">
        <f>SUM(DX86:DX103)</f>
        <v>247</v>
      </c>
      <c r="DY85" s="463">
        <v>0</v>
      </c>
      <c r="DZ85" s="463">
        <f>SUM(DZ86:DZ103)</f>
        <v>231</v>
      </c>
      <c r="EA85" s="463">
        <f>SUM(EA86:EA103)</f>
        <v>682</v>
      </c>
    </row>
    <row r="86" spans="23:131" ht="12" customHeight="1">
      <c r="AM86" s="2127" t="s">
        <v>8121</v>
      </c>
      <c r="AN86" s="2128"/>
      <c r="AO86" s="2128"/>
      <c r="AP86" s="2128"/>
      <c r="AS86" s="382" t="s">
        <v>4393</v>
      </c>
      <c r="AT86" s="1889">
        <v>230</v>
      </c>
      <c r="AU86" s="1889">
        <v>257</v>
      </c>
      <c r="AV86" s="1889">
        <v>274</v>
      </c>
      <c r="AW86" s="1889">
        <v>283</v>
      </c>
      <c r="AZ86" s="415" t="s">
        <v>8058</v>
      </c>
      <c r="BA86" s="1897"/>
      <c r="BB86" s="1898"/>
      <c r="BC86" s="1898"/>
      <c r="BD86" s="415"/>
      <c r="BE86" s="463"/>
      <c r="BF86" s="463"/>
      <c r="BG86" s="391"/>
      <c r="BH86" s="439"/>
      <c r="BI86" s="439"/>
      <c r="BJ86" s="439"/>
      <c r="BK86" s="439"/>
      <c r="BL86" s="463"/>
      <c r="BN86" s="382" t="s">
        <v>7945</v>
      </c>
      <c r="BO86" s="1038">
        <v>7</v>
      </c>
      <c r="BP86" s="1038">
        <v>4</v>
      </c>
      <c r="BQ86" s="1038">
        <v>4</v>
      </c>
      <c r="BR86" s="1038">
        <v>4</v>
      </c>
      <c r="CX86" s="549"/>
      <c r="CY86" s="986"/>
      <c r="CZ86" s="863"/>
      <c r="DA86" s="861"/>
      <c r="DB86" s="863"/>
      <c r="DC86" s="562"/>
      <c r="DD86" s="875"/>
      <c r="DG86" s="549"/>
      <c r="DH86" s="549"/>
      <c r="DI86" s="549"/>
      <c r="DJ86" s="549"/>
      <c r="DM86" s="549"/>
      <c r="DN86" s="549"/>
      <c r="DO86" s="549"/>
      <c r="DP86" s="549"/>
      <c r="DU86" s="382" t="s">
        <v>7934</v>
      </c>
      <c r="DV86" s="382">
        <v>47</v>
      </c>
      <c r="DW86" s="382">
        <v>0</v>
      </c>
      <c r="DX86" s="382">
        <v>63</v>
      </c>
      <c r="DY86" s="382">
        <v>0</v>
      </c>
      <c r="DZ86" s="382">
        <v>48</v>
      </c>
      <c r="EA86" s="382">
        <v>65</v>
      </c>
    </row>
    <row r="87" spans="23:131" ht="12" customHeight="1">
      <c r="AL87" s="384" t="s">
        <v>1648</v>
      </c>
      <c r="AM87" s="442" t="s">
        <v>42</v>
      </c>
      <c r="AN87" s="442" t="s">
        <v>43</v>
      </c>
      <c r="AO87" s="442" t="s">
        <v>44</v>
      </c>
      <c r="AP87" s="442" t="s">
        <v>45</v>
      </c>
      <c r="AS87" s="382" t="s">
        <v>2253</v>
      </c>
      <c r="AT87" s="1038">
        <v>1767</v>
      </c>
      <c r="AU87" s="1038">
        <v>1884</v>
      </c>
      <c r="AV87" s="1038">
        <v>2023</v>
      </c>
      <c r="AW87" s="1038">
        <v>2172</v>
      </c>
      <c r="BE87" s="463"/>
      <c r="BF87" s="463"/>
      <c r="BG87" s="463"/>
      <c r="BH87" s="463"/>
      <c r="BI87" s="463"/>
      <c r="BJ87" s="463"/>
      <c r="BK87" s="463"/>
      <c r="BL87" s="463"/>
      <c r="BN87" s="382" t="s">
        <v>7971</v>
      </c>
      <c r="BO87" s="1038">
        <v>0</v>
      </c>
      <c r="BP87" s="463">
        <v>0</v>
      </c>
      <c r="BQ87" s="619">
        <v>0</v>
      </c>
      <c r="BR87" s="619">
        <v>0</v>
      </c>
      <c r="BU87" s="1659"/>
      <c r="CP87" s="1660"/>
      <c r="CQ87" s="1660"/>
      <c r="CR87" s="1660"/>
      <c r="CS87" s="1660"/>
      <c r="CT87" s="1660"/>
      <c r="CU87" s="1660"/>
      <c r="CV87" s="1660"/>
      <c r="CX87" s="549"/>
      <c r="CY87" s="986"/>
      <c r="CZ87" s="875"/>
      <c r="DA87" s="549"/>
      <c r="DB87" s="875"/>
      <c r="DC87" s="562"/>
      <c r="DD87" s="875"/>
      <c r="DG87" s="549"/>
      <c r="DH87" s="861"/>
      <c r="DI87" s="861"/>
      <c r="DJ87" s="861"/>
      <c r="DM87" s="549"/>
      <c r="DN87" s="549"/>
      <c r="DU87" s="382" t="s">
        <v>7942</v>
      </c>
      <c r="DV87" s="382">
        <v>2</v>
      </c>
      <c r="DW87" s="382">
        <v>0</v>
      </c>
      <c r="DX87" s="382">
        <v>8</v>
      </c>
      <c r="DY87" s="382">
        <v>0</v>
      </c>
      <c r="DZ87" s="382">
        <v>2</v>
      </c>
      <c r="EA87" s="382">
        <v>8</v>
      </c>
    </row>
    <row r="88" spans="23:131" ht="12" customHeight="1">
      <c r="AL88" s="463" t="s">
        <v>3508</v>
      </c>
      <c r="AM88" s="463">
        <v>33911</v>
      </c>
      <c r="AN88" s="463">
        <v>36406</v>
      </c>
      <c r="AO88" s="463">
        <v>39087</v>
      </c>
      <c r="AP88" s="463">
        <v>45692</v>
      </c>
      <c r="AS88" s="382" t="s">
        <v>2175</v>
      </c>
      <c r="AT88" s="1889">
        <v>861</v>
      </c>
      <c r="AU88" s="1889">
        <v>912</v>
      </c>
      <c r="AV88" s="1889">
        <v>984</v>
      </c>
      <c r="AW88" s="1889">
        <v>1081</v>
      </c>
      <c r="BE88" s="463"/>
      <c r="BF88" s="463"/>
      <c r="BG88" s="463"/>
      <c r="BH88" s="463"/>
      <c r="BI88" s="463"/>
      <c r="BJ88" s="463"/>
      <c r="BK88" s="463"/>
      <c r="BL88" s="463"/>
      <c r="BN88" s="382" t="s">
        <v>4393</v>
      </c>
      <c r="BO88" s="1038">
        <v>9</v>
      </c>
      <c r="BP88" s="463">
        <v>9</v>
      </c>
      <c r="BQ88" s="619">
        <v>9</v>
      </c>
      <c r="BR88" s="619">
        <v>9</v>
      </c>
      <c r="CP88" s="1660"/>
      <c r="CQ88" s="1660"/>
      <c r="CR88" s="1660"/>
      <c r="CS88" s="1660"/>
      <c r="CT88" s="1660"/>
      <c r="CU88" s="1660"/>
      <c r="CV88" s="1660"/>
      <c r="CX88" s="549"/>
      <c r="CY88" s="986"/>
      <c r="CZ88" s="875"/>
      <c r="DA88" s="549"/>
      <c r="DB88" s="875"/>
      <c r="DC88" s="562"/>
      <c r="DD88" s="875"/>
      <c r="DG88" s="861"/>
      <c r="DH88" s="986"/>
      <c r="DI88" s="861"/>
      <c r="DJ88" s="861"/>
      <c r="DM88" s="549"/>
      <c r="DN88" s="549"/>
      <c r="DU88" s="382" t="s">
        <v>7950</v>
      </c>
      <c r="DV88" s="382">
        <v>6</v>
      </c>
      <c r="DW88" s="382">
        <v>0</v>
      </c>
      <c r="DX88" s="382">
        <v>10</v>
      </c>
      <c r="DY88" s="382">
        <v>0</v>
      </c>
      <c r="DZ88" s="382">
        <v>8</v>
      </c>
      <c r="EA88" s="382">
        <v>25</v>
      </c>
    </row>
    <row r="89" spans="23:131" ht="12" customHeight="1">
      <c r="AL89" s="463" t="s">
        <v>1712</v>
      </c>
      <c r="AM89" s="463">
        <v>17981</v>
      </c>
      <c r="AN89" s="463">
        <v>19243</v>
      </c>
      <c r="AO89" s="463">
        <v>20634</v>
      </c>
      <c r="AP89" s="463">
        <v>24249</v>
      </c>
      <c r="AS89" s="382" t="s">
        <v>2177</v>
      </c>
      <c r="AT89" s="1889">
        <v>12595</v>
      </c>
      <c r="AU89" s="1889">
        <v>13681</v>
      </c>
      <c r="AV89" s="1889">
        <v>14726</v>
      </c>
      <c r="AW89" s="1889">
        <v>15678</v>
      </c>
      <c r="BE89" s="463"/>
      <c r="BF89" s="463"/>
      <c r="BG89" s="1068"/>
      <c r="BH89" s="435"/>
      <c r="BI89" s="435"/>
      <c r="BJ89" s="435"/>
      <c r="BK89" s="435"/>
      <c r="BL89" s="463"/>
      <c r="BN89" s="382" t="s">
        <v>2253</v>
      </c>
      <c r="BO89" s="1038">
        <v>122</v>
      </c>
      <c r="BP89" s="463">
        <v>133</v>
      </c>
      <c r="BQ89" s="619">
        <v>138</v>
      </c>
      <c r="BR89" s="619">
        <v>144</v>
      </c>
      <c r="CP89" s="1660"/>
      <c r="CQ89" s="1660"/>
      <c r="CR89" s="1660"/>
      <c r="CS89" s="1660"/>
      <c r="CT89" s="1660"/>
      <c r="CU89" s="1660"/>
      <c r="CV89" s="1660"/>
      <c r="CX89" s="549"/>
      <c r="CY89" s="986"/>
      <c r="CZ89" s="875"/>
      <c r="DA89" s="549"/>
      <c r="DB89" s="875"/>
      <c r="DC89" s="562"/>
      <c r="DD89" s="875"/>
      <c r="DG89" s="861"/>
      <c r="DH89" s="549"/>
      <c r="DI89" s="549"/>
      <c r="DJ89" s="549"/>
      <c r="DU89" s="382" t="s">
        <v>7960</v>
      </c>
      <c r="DV89" s="382">
        <v>3</v>
      </c>
      <c r="DW89" s="382">
        <v>0</v>
      </c>
      <c r="DX89" s="382">
        <v>3</v>
      </c>
      <c r="DY89" s="382">
        <v>0</v>
      </c>
      <c r="DZ89" s="382">
        <v>3</v>
      </c>
      <c r="EA89" s="382">
        <v>3</v>
      </c>
    </row>
    <row r="90" spans="23:131" ht="12" customHeight="1">
      <c r="AL90" s="1068" t="s">
        <v>1711</v>
      </c>
      <c r="AM90" s="435">
        <v>15930</v>
      </c>
      <c r="AN90" s="435">
        <v>17163</v>
      </c>
      <c r="AO90" s="435">
        <v>18453</v>
      </c>
      <c r="AP90" s="435">
        <v>21443</v>
      </c>
      <c r="AS90" s="382" t="s">
        <v>6989</v>
      </c>
      <c r="AT90" s="1889">
        <v>197</v>
      </c>
      <c r="AU90" s="1889">
        <v>211</v>
      </c>
      <c r="AV90" s="1889">
        <v>231</v>
      </c>
      <c r="AW90" s="1889">
        <v>250</v>
      </c>
      <c r="BE90" s="463"/>
      <c r="BF90" s="463"/>
      <c r="BJ90" s="463"/>
      <c r="BK90" s="463"/>
      <c r="BL90" s="463"/>
      <c r="BN90" s="382" t="s">
        <v>2175</v>
      </c>
      <c r="BO90" s="1038">
        <v>31</v>
      </c>
      <c r="BP90" s="463">
        <v>31</v>
      </c>
      <c r="BQ90" s="619">
        <v>32</v>
      </c>
      <c r="BR90" s="619">
        <v>33</v>
      </c>
      <c r="BU90" s="2277"/>
      <c r="BV90" s="2277"/>
      <c r="BW90" s="2277"/>
      <c r="BX90" s="2277"/>
      <c r="BY90" s="1919"/>
      <c r="BZ90" s="1919"/>
      <c r="CA90" s="1919"/>
      <c r="CB90" s="1919"/>
      <c r="CC90" s="1919"/>
      <c r="CD90" s="1919"/>
      <c r="CE90" s="1919"/>
      <c r="CO90" s="1660"/>
      <c r="CP90" s="1660"/>
      <c r="CQ90" s="1660"/>
      <c r="CR90" s="1660"/>
      <c r="CS90" s="1660"/>
      <c r="CT90" s="1660"/>
      <c r="CU90" s="1660"/>
      <c r="CV90" s="1660"/>
      <c r="CX90" s="549"/>
      <c r="CY90" s="986"/>
      <c r="CZ90" s="875"/>
      <c r="DA90" s="549"/>
      <c r="DB90" s="875"/>
      <c r="DC90" s="562"/>
      <c r="DD90" s="875"/>
      <c r="DG90" s="861"/>
      <c r="DH90" s="549"/>
      <c r="DI90" s="549"/>
      <c r="DJ90" s="549"/>
      <c r="DM90" s="549"/>
      <c r="DN90" s="549"/>
      <c r="DU90" s="382" t="s">
        <v>2253</v>
      </c>
      <c r="DV90" s="382">
        <v>4</v>
      </c>
      <c r="DW90" s="382">
        <v>0</v>
      </c>
      <c r="DX90" s="382">
        <v>8</v>
      </c>
      <c r="DY90" s="382">
        <v>0</v>
      </c>
      <c r="DZ90" s="382">
        <v>7</v>
      </c>
      <c r="EA90" s="382">
        <v>20</v>
      </c>
    </row>
    <row r="91" spans="23:131" ht="12" customHeight="1">
      <c r="AL91" s="463"/>
      <c r="AM91" s="463"/>
      <c r="AN91" s="463"/>
      <c r="AO91" s="463"/>
      <c r="AP91" s="463"/>
      <c r="AS91" s="382" t="s">
        <v>2181</v>
      </c>
      <c r="AT91" s="1889">
        <v>604</v>
      </c>
      <c r="AU91" s="1889">
        <v>699</v>
      </c>
      <c r="AV91" s="1889">
        <v>738</v>
      </c>
      <c r="AW91" s="1889">
        <v>741</v>
      </c>
      <c r="AZ91" s="381" t="s">
        <v>8120</v>
      </c>
      <c r="BA91" s="381"/>
      <c r="BB91" s="381"/>
      <c r="BC91" s="381"/>
      <c r="BD91" s="381"/>
      <c r="BE91" s="463"/>
      <c r="BF91" s="463"/>
      <c r="BG91" s="463"/>
      <c r="BH91" s="463"/>
      <c r="BI91" s="463"/>
      <c r="BJ91" s="463"/>
      <c r="BK91" s="463"/>
      <c r="BL91" s="463"/>
      <c r="BN91" s="382" t="s">
        <v>7996</v>
      </c>
      <c r="BO91" s="1038">
        <v>682</v>
      </c>
      <c r="BP91" s="463">
        <v>718</v>
      </c>
      <c r="BQ91" s="619">
        <v>712</v>
      </c>
      <c r="BR91" s="619">
        <v>720</v>
      </c>
      <c r="BU91" s="2278"/>
      <c r="BV91" s="2160"/>
      <c r="BW91" s="2160"/>
      <c r="BX91" s="2160"/>
      <c r="CH91" s="1660"/>
      <c r="CI91" s="1660"/>
      <c r="CJ91" s="1660"/>
      <c r="CK91" s="1660"/>
      <c r="CL91" s="1660"/>
      <c r="CM91" s="1660"/>
      <c r="CN91" s="1660"/>
      <c r="CO91" s="1660"/>
      <c r="CP91" s="1660"/>
      <c r="CQ91" s="1660"/>
      <c r="CR91" s="1660"/>
      <c r="CS91" s="1660"/>
      <c r="CT91" s="1660"/>
      <c r="CU91" s="1660"/>
      <c r="CV91" s="1660"/>
      <c r="CX91" s="549"/>
      <c r="CY91" s="986"/>
      <c r="CZ91" s="875"/>
      <c r="DA91" s="549"/>
      <c r="DB91" s="875"/>
      <c r="DC91" s="562"/>
      <c r="DD91" s="875"/>
      <c r="DG91" s="861"/>
      <c r="DH91" s="549"/>
      <c r="DI91" s="549"/>
      <c r="DJ91" s="549"/>
      <c r="DU91" s="382" t="s">
        <v>2175</v>
      </c>
      <c r="DV91" s="382">
        <v>6</v>
      </c>
      <c r="DW91" s="382">
        <v>0</v>
      </c>
      <c r="DX91" s="382">
        <v>12</v>
      </c>
      <c r="DY91" s="382">
        <v>0</v>
      </c>
      <c r="DZ91" s="382">
        <v>10</v>
      </c>
      <c r="EA91" s="382">
        <v>31</v>
      </c>
    </row>
    <row r="92" spans="23:131" ht="12" customHeight="1">
      <c r="AL92" s="463" t="s">
        <v>3508</v>
      </c>
      <c r="AM92" s="463">
        <f>SUM(AM93:AM108)</f>
        <v>33911</v>
      </c>
      <c r="AN92" s="463">
        <f>SUM(AN93:AN108)</f>
        <v>36406</v>
      </c>
      <c r="AO92" s="463">
        <f>SUM(AO93:AO108)</f>
        <v>39087</v>
      </c>
      <c r="AP92" s="463">
        <f>SUM(AP93:AP108)</f>
        <v>45692</v>
      </c>
      <c r="AS92" s="382" t="s">
        <v>2276</v>
      </c>
      <c r="AT92" s="1889">
        <v>804</v>
      </c>
      <c r="AU92" s="1889">
        <v>869</v>
      </c>
      <c r="AV92" s="1889">
        <v>906</v>
      </c>
      <c r="AW92" s="1889">
        <v>928</v>
      </c>
      <c r="BA92" s="396" t="s">
        <v>8112</v>
      </c>
      <c r="BB92" s="397"/>
      <c r="BC92" s="397"/>
      <c r="BD92" s="397"/>
      <c r="BE92" s="463"/>
      <c r="BF92" s="463"/>
      <c r="BG92" s="463"/>
      <c r="BH92" s="463"/>
      <c r="BI92" s="463"/>
      <c r="BJ92" s="463"/>
      <c r="BK92" s="463"/>
      <c r="BL92" s="463"/>
      <c r="BN92" s="382" t="s">
        <v>6989</v>
      </c>
      <c r="BO92" s="1038">
        <v>3</v>
      </c>
      <c r="BP92" s="463">
        <v>3</v>
      </c>
      <c r="BQ92" s="619">
        <v>6</v>
      </c>
      <c r="BR92" s="619">
        <v>7</v>
      </c>
      <c r="CH92" s="1660"/>
      <c r="CI92" s="1660"/>
      <c r="CJ92" s="1660"/>
      <c r="CK92" s="1660"/>
      <c r="CL92" s="1660"/>
      <c r="CM92" s="1660"/>
      <c r="CN92" s="1660"/>
      <c r="CO92" s="1660"/>
      <c r="CP92" s="1660"/>
      <c r="CQ92" s="1660"/>
      <c r="CR92" s="1660"/>
      <c r="CS92" s="1660"/>
      <c r="CT92" s="1660"/>
      <c r="CU92" s="1660"/>
      <c r="CV92" s="1660"/>
      <c r="CX92" s="549"/>
      <c r="CY92" s="986"/>
      <c r="CZ92" s="863"/>
      <c r="DA92" s="861"/>
      <c r="DB92" s="863"/>
      <c r="DC92" s="562"/>
      <c r="DD92" s="875"/>
      <c r="DG92" s="861"/>
      <c r="DH92" s="549"/>
      <c r="DI92" s="549"/>
      <c r="DJ92" s="549"/>
      <c r="DU92" s="382" t="s">
        <v>2177</v>
      </c>
      <c r="DV92" s="382">
        <v>35</v>
      </c>
      <c r="DW92" s="382">
        <v>0</v>
      </c>
      <c r="DX92" s="382">
        <v>64</v>
      </c>
      <c r="DY92" s="382">
        <v>0</v>
      </c>
      <c r="DZ92" s="382">
        <v>71</v>
      </c>
      <c r="EA92" s="382">
        <v>269</v>
      </c>
    </row>
    <row r="93" spans="23:131" ht="12" customHeight="1">
      <c r="AL93" s="463" t="s">
        <v>7963</v>
      </c>
      <c r="AM93" s="463">
        <v>381</v>
      </c>
      <c r="AN93" s="463">
        <v>645</v>
      </c>
      <c r="AO93" s="463">
        <v>935</v>
      </c>
      <c r="AP93" s="463">
        <v>1245</v>
      </c>
      <c r="AS93" s="382" t="s">
        <v>8001</v>
      </c>
      <c r="AT93" s="1038">
        <v>0</v>
      </c>
      <c r="AU93" s="1038">
        <v>0</v>
      </c>
      <c r="AV93" s="1038">
        <v>0</v>
      </c>
      <c r="AW93" s="1038">
        <v>0</v>
      </c>
      <c r="AZ93" s="1431" t="s">
        <v>2642</v>
      </c>
      <c r="BA93" s="642" t="s">
        <v>42</v>
      </c>
      <c r="BB93" s="642" t="s">
        <v>43</v>
      </c>
      <c r="BC93" s="642" t="s">
        <v>44</v>
      </c>
      <c r="BD93" s="664" t="s">
        <v>45</v>
      </c>
      <c r="BE93" s="463"/>
      <c r="BF93" s="463"/>
      <c r="BG93" s="463"/>
      <c r="BH93" s="463"/>
      <c r="BI93" s="463"/>
      <c r="BJ93" s="463"/>
      <c r="BK93" s="463"/>
      <c r="BL93" s="463"/>
      <c r="BN93" s="382" t="s">
        <v>2181</v>
      </c>
      <c r="BO93" s="1038">
        <v>51</v>
      </c>
      <c r="BP93" s="463">
        <v>51</v>
      </c>
      <c r="BQ93" s="619">
        <v>50</v>
      </c>
      <c r="BR93" s="619">
        <v>43</v>
      </c>
      <c r="BU93" s="884"/>
      <c r="BV93" s="884"/>
      <c r="BW93" s="884"/>
      <c r="CH93" s="1660"/>
      <c r="CI93" s="1660"/>
      <c r="CJ93" s="1660"/>
      <c r="CK93" s="1660"/>
      <c r="CL93" s="1660"/>
      <c r="CM93" s="1660"/>
      <c r="CN93" s="1660"/>
      <c r="CO93" s="1660"/>
      <c r="CP93" s="1660"/>
      <c r="CQ93" s="1660"/>
      <c r="CR93" s="1660"/>
      <c r="CS93" s="1660"/>
      <c r="CT93" s="1660"/>
      <c r="CU93" s="1660"/>
      <c r="CV93" s="1660"/>
      <c r="CX93" s="549"/>
      <c r="CY93" s="986"/>
      <c r="CZ93" s="863"/>
      <c r="DA93" s="861"/>
      <c r="DB93" s="863"/>
      <c r="DC93" s="562"/>
      <c r="DD93" s="875"/>
      <c r="DG93" s="861"/>
      <c r="DH93" s="549"/>
      <c r="DI93" s="549"/>
      <c r="DJ93" s="549"/>
      <c r="DU93" s="382" t="s">
        <v>2181</v>
      </c>
      <c r="DV93" s="382">
        <v>4</v>
      </c>
      <c r="DW93" s="382">
        <v>0</v>
      </c>
      <c r="DX93" s="382">
        <v>6</v>
      </c>
      <c r="DY93" s="382">
        <v>0</v>
      </c>
      <c r="DZ93" s="382">
        <v>4</v>
      </c>
      <c r="EA93" s="382">
        <v>6</v>
      </c>
    </row>
    <row r="94" spans="23:131" ht="12.95" customHeight="1">
      <c r="AL94" s="463" t="s">
        <v>7969</v>
      </c>
      <c r="AM94" s="463">
        <v>212</v>
      </c>
      <c r="AN94" s="463">
        <v>241</v>
      </c>
      <c r="AO94" s="463">
        <v>273</v>
      </c>
      <c r="AP94" s="463">
        <v>300</v>
      </c>
      <c r="AS94" s="382" t="s">
        <v>8009</v>
      </c>
      <c r="AT94" s="1889">
        <v>84</v>
      </c>
      <c r="AU94" s="1889">
        <v>94</v>
      </c>
      <c r="AV94" s="1889">
        <v>93</v>
      </c>
      <c r="AW94" s="1889">
        <v>103</v>
      </c>
      <c r="AZ94" s="382" t="s">
        <v>3507</v>
      </c>
      <c r="BA94" s="1896">
        <f>SUM(BA95:BA130)</f>
        <v>38002</v>
      </c>
      <c r="BB94" s="1896">
        <f>SUM(BB95:BB130)</f>
        <v>41594</v>
      </c>
      <c r="BC94" s="1896">
        <f>SUM(BC95:BC130)</f>
        <v>44683</v>
      </c>
      <c r="BD94" s="1896">
        <f>SUM(BD95:BD130)</f>
        <v>47508</v>
      </c>
      <c r="BE94" s="463"/>
      <c r="BF94" s="463"/>
      <c r="BG94" s="463"/>
      <c r="BH94" s="463"/>
      <c r="BI94" s="463"/>
      <c r="BJ94" s="463"/>
      <c r="BK94" s="463"/>
      <c r="BL94" s="463"/>
      <c r="BN94" s="382" t="s">
        <v>2276</v>
      </c>
      <c r="BO94" s="1038">
        <v>14</v>
      </c>
      <c r="BP94" s="1038">
        <v>14</v>
      </c>
      <c r="BQ94" s="1038">
        <v>15</v>
      </c>
      <c r="BR94" s="1038">
        <v>13</v>
      </c>
      <c r="CH94" s="1660"/>
      <c r="CI94" s="1660"/>
      <c r="CJ94" s="1660"/>
      <c r="CK94" s="1660"/>
      <c r="CL94" s="1660"/>
      <c r="CM94" s="1660"/>
      <c r="CN94" s="1660"/>
      <c r="CO94" s="1660"/>
      <c r="CP94" s="1660"/>
      <c r="CQ94" s="1660"/>
      <c r="CR94" s="1660"/>
      <c r="CS94" s="1660"/>
      <c r="CT94" s="1660"/>
      <c r="CU94" s="1660"/>
      <c r="CV94" s="1660"/>
      <c r="CX94" s="549"/>
      <c r="CY94" s="986"/>
      <c r="CZ94" s="863"/>
      <c r="DA94" s="861"/>
      <c r="DB94" s="863"/>
      <c r="DC94" s="562"/>
      <c r="DD94" s="875"/>
      <c r="DG94" s="1627"/>
      <c r="DH94" s="549"/>
      <c r="DI94" s="549"/>
      <c r="DJ94" s="549"/>
      <c r="DU94" s="382" t="s">
        <v>2276</v>
      </c>
      <c r="DV94" s="382">
        <v>0</v>
      </c>
      <c r="DW94" s="382">
        <v>0</v>
      </c>
      <c r="DX94" s="382">
        <v>0</v>
      </c>
      <c r="DY94" s="382">
        <v>0</v>
      </c>
      <c r="DZ94" s="382">
        <v>0</v>
      </c>
      <c r="EA94" s="382">
        <v>0</v>
      </c>
    </row>
    <row r="95" spans="23:131" ht="12.95" customHeight="1">
      <c r="AL95" s="463" t="s">
        <v>7974</v>
      </c>
      <c r="AM95" s="463">
        <v>357</v>
      </c>
      <c r="AN95" s="463">
        <v>383</v>
      </c>
      <c r="AO95" s="463">
        <v>419</v>
      </c>
      <c r="AP95" s="463">
        <v>451</v>
      </c>
      <c r="AS95" s="382" t="s">
        <v>8015</v>
      </c>
      <c r="AT95" s="1038">
        <v>382</v>
      </c>
      <c r="AU95" s="1038">
        <v>403</v>
      </c>
      <c r="AV95" s="1038">
        <v>402</v>
      </c>
      <c r="AW95" s="1038">
        <v>422</v>
      </c>
      <c r="AZ95" s="382" t="s">
        <v>2655</v>
      </c>
      <c r="BA95" s="1896">
        <v>87</v>
      </c>
      <c r="BB95" s="1896">
        <v>89</v>
      </c>
      <c r="BC95" s="1896">
        <v>93</v>
      </c>
      <c r="BD95" s="1896">
        <v>101</v>
      </c>
      <c r="BE95" s="463"/>
      <c r="BF95" s="463"/>
      <c r="BG95" s="463"/>
      <c r="BH95" s="463"/>
      <c r="BI95" s="463"/>
      <c r="BJ95" s="463"/>
      <c r="BK95" s="463"/>
      <c r="BL95" s="463"/>
      <c r="BN95" s="382" t="s">
        <v>8001</v>
      </c>
      <c r="BO95" s="1038">
        <v>0</v>
      </c>
      <c r="BP95" s="463">
        <v>0</v>
      </c>
      <c r="BQ95" s="619">
        <v>0</v>
      </c>
      <c r="BR95" s="619">
        <v>0</v>
      </c>
      <c r="CH95" s="1660"/>
      <c r="CI95" s="1660"/>
      <c r="CJ95" s="1660"/>
      <c r="CK95" s="1660"/>
      <c r="CL95" s="1660"/>
      <c r="CM95" s="1660"/>
      <c r="CN95" s="1660"/>
      <c r="CO95" s="1660"/>
      <c r="CP95" s="1660"/>
      <c r="CQ95" s="1660"/>
      <c r="CR95" s="1660"/>
      <c r="CS95" s="1660"/>
      <c r="CT95" s="1660"/>
      <c r="CU95" s="1660"/>
      <c r="CV95" s="1660"/>
      <c r="CX95" s="549"/>
      <c r="CY95" s="986"/>
      <c r="CZ95" s="863"/>
      <c r="DA95" s="861"/>
      <c r="DB95" s="863"/>
      <c r="DC95" s="562"/>
      <c r="DD95" s="875"/>
      <c r="DG95" s="1627"/>
      <c r="DH95" s="549"/>
      <c r="DI95" s="549"/>
      <c r="DJ95" s="549"/>
      <c r="DU95" s="382" t="s">
        <v>2185</v>
      </c>
      <c r="DV95" s="382">
        <v>6</v>
      </c>
      <c r="DW95" s="382">
        <v>0</v>
      </c>
      <c r="DX95" s="382">
        <v>9</v>
      </c>
      <c r="DY95" s="382">
        <v>0</v>
      </c>
      <c r="DZ95" s="382">
        <v>11</v>
      </c>
      <c r="EA95" s="382">
        <v>32</v>
      </c>
    </row>
    <row r="96" spans="23:131" ht="12.95" customHeight="1">
      <c r="AL96" s="463" t="s">
        <v>7980</v>
      </c>
      <c r="AM96" s="463">
        <v>1153</v>
      </c>
      <c r="AN96" s="463">
        <v>1238</v>
      </c>
      <c r="AO96" s="463">
        <v>1323</v>
      </c>
      <c r="AP96" s="463">
        <v>1461</v>
      </c>
      <c r="AS96" s="382" t="s">
        <v>8020</v>
      </c>
      <c r="AT96" s="1038">
        <v>0</v>
      </c>
      <c r="AU96" s="1038">
        <v>0</v>
      </c>
      <c r="AV96" s="1038">
        <v>0</v>
      </c>
      <c r="AW96" s="1038">
        <v>0</v>
      </c>
      <c r="AZ96" s="382" t="s">
        <v>2596</v>
      </c>
      <c r="BA96" s="1896">
        <v>23</v>
      </c>
      <c r="BB96" s="1896">
        <v>26</v>
      </c>
      <c r="BC96" s="1896">
        <v>27</v>
      </c>
      <c r="BD96" s="1896">
        <v>28</v>
      </c>
      <c r="BE96" s="463"/>
      <c r="BF96" s="463"/>
      <c r="BH96" s="463"/>
      <c r="BI96" s="463"/>
      <c r="BJ96" s="463"/>
      <c r="BK96" s="463"/>
      <c r="BL96" s="463"/>
      <c r="BN96" s="382" t="s">
        <v>8009</v>
      </c>
      <c r="BO96" s="1038">
        <v>3</v>
      </c>
      <c r="BP96" s="463">
        <v>3</v>
      </c>
      <c r="BQ96" s="619">
        <v>3</v>
      </c>
      <c r="BR96" s="619">
        <v>3</v>
      </c>
      <c r="CH96" s="1660"/>
      <c r="CI96" s="1660"/>
      <c r="CJ96" s="1660"/>
      <c r="CK96" s="1660"/>
      <c r="CL96" s="1660"/>
      <c r="CM96" s="1660"/>
      <c r="CN96" s="1660"/>
      <c r="CO96" s="1660"/>
      <c r="CP96" s="1660"/>
      <c r="CQ96" s="1660"/>
      <c r="CR96" s="1660"/>
      <c r="CS96" s="1660"/>
      <c r="CT96" s="1660"/>
      <c r="CU96" s="1660"/>
      <c r="CV96" s="1660"/>
      <c r="CX96" s="549"/>
      <c r="CY96" s="986"/>
      <c r="CZ96" s="875"/>
      <c r="DA96" s="549"/>
      <c r="DB96" s="875"/>
      <c r="DC96" s="562"/>
      <c r="DD96" s="875"/>
      <c r="DG96" s="861"/>
      <c r="DH96" s="549"/>
      <c r="DI96" s="549"/>
      <c r="DJ96" s="549"/>
      <c r="DU96" s="382" t="s">
        <v>2353</v>
      </c>
      <c r="DV96" s="382">
        <v>0</v>
      </c>
      <c r="DW96" s="382">
        <v>0</v>
      </c>
      <c r="DX96" s="382">
        <v>0</v>
      </c>
      <c r="DY96" s="382">
        <v>0</v>
      </c>
      <c r="DZ96" s="382">
        <v>0</v>
      </c>
      <c r="EA96" s="382">
        <v>0</v>
      </c>
    </row>
    <row r="97" spans="22:131" ht="12.95" customHeight="1">
      <c r="AL97" s="382" t="s">
        <v>7985</v>
      </c>
      <c r="AM97" s="463">
        <v>2316</v>
      </c>
      <c r="AN97" s="463">
        <v>2446</v>
      </c>
      <c r="AO97" s="463">
        <v>2585</v>
      </c>
      <c r="AP97" s="463">
        <v>2849</v>
      </c>
      <c r="AS97" s="382" t="s">
        <v>2185</v>
      </c>
      <c r="AT97" s="1889">
        <v>3720</v>
      </c>
      <c r="AU97" s="1889">
        <v>4056</v>
      </c>
      <c r="AV97" s="1889">
        <v>4337</v>
      </c>
      <c r="AW97" s="1889">
        <v>4580</v>
      </c>
      <c r="AZ97" s="382" t="s">
        <v>6385</v>
      </c>
      <c r="BA97" s="1896">
        <v>23</v>
      </c>
      <c r="BB97" s="1896">
        <v>25</v>
      </c>
      <c r="BC97" s="1896">
        <v>26</v>
      </c>
      <c r="BD97" s="1896">
        <v>26</v>
      </c>
      <c r="BE97" s="463"/>
      <c r="BF97" s="463"/>
      <c r="BH97" s="463"/>
      <c r="BI97" s="463"/>
      <c r="BJ97" s="463"/>
      <c r="BK97" s="463"/>
      <c r="BL97" s="463"/>
      <c r="BN97" s="382" t="s">
        <v>8015</v>
      </c>
      <c r="BO97" s="1038">
        <v>35</v>
      </c>
      <c r="BP97" s="463">
        <v>35</v>
      </c>
      <c r="BQ97" s="619">
        <v>31</v>
      </c>
      <c r="BR97" s="619">
        <v>28</v>
      </c>
      <c r="CH97" s="1660"/>
      <c r="CI97" s="1660"/>
      <c r="CJ97" s="1660"/>
      <c r="CK97" s="1660"/>
      <c r="CL97" s="1660"/>
      <c r="CM97" s="1660"/>
      <c r="CN97" s="1660"/>
      <c r="CO97" s="1660"/>
      <c r="CP97" s="1660"/>
      <c r="CQ97" s="1660"/>
      <c r="CR97" s="1660"/>
      <c r="CS97" s="1660"/>
      <c r="CT97" s="1660"/>
      <c r="CU97" s="1660"/>
      <c r="CV97" s="1660"/>
      <c r="CX97" s="549"/>
      <c r="CY97" s="986"/>
      <c r="CZ97" s="875"/>
      <c r="DA97" s="549"/>
      <c r="DB97" s="875"/>
      <c r="DC97" s="562"/>
      <c r="DD97" s="875"/>
      <c r="DG97" s="1627"/>
      <c r="DH97" s="549"/>
      <c r="DI97" s="549"/>
      <c r="DJ97" s="549"/>
      <c r="DU97" s="382" t="s">
        <v>2260</v>
      </c>
      <c r="DV97" s="382">
        <v>3</v>
      </c>
      <c r="DW97" s="382">
        <v>0</v>
      </c>
      <c r="DX97" s="382">
        <v>7</v>
      </c>
      <c r="DY97" s="382">
        <v>0</v>
      </c>
      <c r="DZ97" s="382">
        <v>3</v>
      </c>
      <c r="EA97" s="382">
        <v>7</v>
      </c>
    </row>
    <row r="98" spans="22:131" ht="12.95" customHeight="1">
      <c r="AL98" s="382" t="s">
        <v>7994</v>
      </c>
      <c r="AM98" s="463">
        <v>2364</v>
      </c>
      <c r="AN98" s="463">
        <v>2545</v>
      </c>
      <c r="AO98" s="463">
        <v>2668</v>
      </c>
      <c r="AP98" s="463">
        <v>2924</v>
      </c>
      <c r="AS98" s="382" t="s">
        <v>2353</v>
      </c>
      <c r="AT98" s="1889">
        <v>569</v>
      </c>
      <c r="AU98" s="1889">
        <v>637</v>
      </c>
      <c r="AV98" s="1889">
        <v>668</v>
      </c>
      <c r="AW98" s="1889">
        <v>700</v>
      </c>
      <c r="AZ98" s="382" t="s">
        <v>1694</v>
      </c>
      <c r="BA98" s="1896">
        <v>18</v>
      </c>
      <c r="BB98" s="1896">
        <v>18</v>
      </c>
      <c r="BC98" s="1896">
        <v>19</v>
      </c>
      <c r="BD98" s="1896">
        <v>20</v>
      </c>
      <c r="BE98" s="463"/>
      <c r="BH98" s="463"/>
      <c r="BI98" s="463"/>
      <c r="BJ98" s="463"/>
      <c r="BK98" s="463"/>
      <c r="BN98" s="382" t="s">
        <v>2185</v>
      </c>
      <c r="BO98" s="1038">
        <v>247</v>
      </c>
      <c r="BP98" s="1038">
        <v>241</v>
      </c>
      <c r="BQ98" s="1038">
        <v>232</v>
      </c>
      <c r="BR98" s="1038">
        <v>234</v>
      </c>
      <c r="CH98" s="1660"/>
      <c r="CI98" s="1660"/>
      <c r="CJ98" s="1660"/>
      <c r="CK98" s="1660"/>
      <c r="CL98" s="1660"/>
      <c r="CM98" s="1660"/>
      <c r="CN98" s="1660"/>
      <c r="CO98" s="1660"/>
      <c r="CP98" s="1660"/>
      <c r="CQ98" s="1660"/>
      <c r="CR98" s="1660"/>
      <c r="CS98" s="1660"/>
      <c r="CT98" s="1660"/>
      <c r="CU98" s="1660"/>
      <c r="CV98" s="1660"/>
      <c r="CX98" s="549"/>
      <c r="CY98" s="986"/>
      <c r="CZ98" s="875"/>
      <c r="DA98" s="549"/>
      <c r="DB98" s="875"/>
      <c r="DC98" s="562"/>
      <c r="DD98" s="875"/>
      <c r="DG98" s="1627"/>
      <c r="DH98" s="549"/>
      <c r="DI98" s="549"/>
      <c r="DJ98" s="549"/>
      <c r="DU98" s="382" t="s">
        <v>2201</v>
      </c>
      <c r="DV98" s="382">
        <v>0</v>
      </c>
      <c r="DW98" s="382">
        <v>0</v>
      </c>
      <c r="DX98" s="382">
        <v>0</v>
      </c>
      <c r="DY98" s="382">
        <v>0</v>
      </c>
      <c r="DZ98" s="382">
        <v>1</v>
      </c>
      <c r="EA98" s="382">
        <v>5</v>
      </c>
    </row>
    <row r="99" spans="22:131" ht="12.95" customHeight="1">
      <c r="AL99" s="382" t="s">
        <v>8000</v>
      </c>
      <c r="AM99" s="463">
        <v>2379</v>
      </c>
      <c r="AN99" s="463">
        <v>2532</v>
      </c>
      <c r="AO99" s="463">
        <v>2657</v>
      </c>
      <c r="AP99" s="463">
        <v>2915</v>
      </c>
      <c r="AS99" s="382" t="s">
        <v>8034</v>
      </c>
      <c r="AT99" s="1038">
        <v>876</v>
      </c>
      <c r="AU99" s="1038">
        <v>1033</v>
      </c>
      <c r="AV99" s="1038">
        <v>1075</v>
      </c>
      <c r="AW99" s="1038">
        <v>1182</v>
      </c>
      <c r="AZ99" s="382" t="s">
        <v>6302</v>
      </c>
      <c r="BA99" s="1896">
        <v>2</v>
      </c>
      <c r="BB99" s="1896">
        <v>2</v>
      </c>
      <c r="BC99" s="1896">
        <v>3</v>
      </c>
      <c r="BD99" s="1896">
        <v>3</v>
      </c>
      <c r="BH99" s="463"/>
      <c r="BI99" s="463"/>
      <c r="BJ99" s="463"/>
      <c r="BK99" s="463"/>
      <c r="BN99" s="382" t="s">
        <v>2353</v>
      </c>
      <c r="BO99" s="382">
        <v>32</v>
      </c>
      <c r="BP99" s="463">
        <v>32</v>
      </c>
      <c r="BQ99" s="619">
        <v>30</v>
      </c>
      <c r="BR99" s="619">
        <v>30</v>
      </c>
      <c r="CH99" s="1660"/>
      <c r="CI99" s="1660"/>
      <c r="CJ99" s="1660"/>
      <c r="CK99" s="1660"/>
      <c r="CL99" s="1660"/>
      <c r="CM99" s="1660"/>
      <c r="CN99" s="1660"/>
      <c r="CO99" s="1660"/>
      <c r="CP99" s="1660"/>
      <c r="CQ99" s="1660"/>
      <c r="CR99" s="1660"/>
      <c r="CS99" s="1660"/>
      <c r="CT99" s="1660"/>
      <c r="CU99" s="1660"/>
      <c r="CV99" s="1660"/>
      <c r="CX99" s="549"/>
      <c r="CY99" s="986"/>
      <c r="CZ99" s="875"/>
      <c r="DA99" s="549"/>
      <c r="DB99" s="875"/>
      <c r="DC99" s="562"/>
      <c r="DD99" s="875"/>
      <c r="DG99" s="1627"/>
      <c r="DH99" s="549"/>
      <c r="DI99" s="549"/>
      <c r="DJ99" s="549"/>
      <c r="DU99" s="382" t="s">
        <v>2202</v>
      </c>
      <c r="DV99" s="382">
        <v>14</v>
      </c>
      <c r="DW99" s="382">
        <v>0</v>
      </c>
      <c r="DX99" s="382">
        <v>19</v>
      </c>
      <c r="DY99" s="382">
        <v>0</v>
      </c>
      <c r="DZ99" s="382">
        <v>16</v>
      </c>
      <c r="EA99" s="382">
        <v>31</v>
      </c>
    </row>
    <row r="100" spans="22:131" ht="12.95" customHeight="1">
      <c r="AL100" s="382" t="s">
        <v>8008</v>
      </c>
      <c r="AM100" s="463">
        <v>4223</v>
      </c>
      <c r="AN100" s="463">
        <v>4487</v>
      </c>
      <c r="AO100" s="463">
        <v>4706</v>
      </c>
      <c r="AP100" s="463">
        <v>5176</v>
      </c>
      <c r="AS100" s="382" t="s">
        <v>8041</v>
      </c>
      <c r="AT100" s="1038">
        <v>0</v>
      </c>
      <c r="AU100" s="1038">
        <v>0</v>
      </c>
      <c r="AV100" s="1038">
        <v>0</v>
      </c>
      <c r="AW100" s="1038">
        <v>0</v>
      </c>
      <c r="AZ100" s="382" t="s">
        <v>7970</v>
      </c>
      <c r="BA100" s="1896">
        <v>8</v>
      </c>
      <c r="BB100" s="1896">
        <v>8</v>
      </c>
      <c r="BC100" s="1896">
        <v>8</v>
      </c>
      <c r="BD100" s="1896">
        <v>8</v>
      </c>
      <c r="BH100" s="463"/>
      <c r="BI100" s="463"/>
      <c r="BJ100" s="463"/>
      <c r="BK100" s="463"/>
      <c r="BN100" s="382" t="s">
        <v>8034</v>
      </c>
      <c r="BO100" s="382">
        <v>61</v>
      </c>
      <c r="BP100" s="463">
        <v>60</v>
      </c>
      <c r="BQ100" s="619">
        <v>55</v>
      </c>
      <c r="BR100" s="619">
        <v>54</v>
      </c>
      <c r="CH100" s="1660"/>
      <c r="CI100" s="1660"/>
      <c r="CJ100" s="1660"/>
      <c r="CK100" s="1660"/>
      <c r="CL100" s="1660"/>
      <c r="CM100" s="1660"/>
      <c r="CN100" s="1660"/>
      <c r="CO100" s="1660"/>
      <c r="CP100" s="1660"/>
      <c r="CQ100" s="1660"/>
      <c r="CR100" s="1660"/>
      <c r="CS100" s="1660"/>
      <c r="CT100" s="1660"/>
      <c r="CU100" s="1660"/>
      <c r="CV100" s="1660"/>
      <c r="CX100" s="549"/>
      <c r="CY100" s="986"/>
      <c r="CZ100" s="875"/>
      <c r="DA100" s="549"/>
      <c r="DB100" s="875"/>
      <c r="DC100" s="562"/>
      <c r="DD100" s="875"/>
      <c r="DG100" s="861"/>
      <c r="DH100" s="549"/>
      <c r="DI100" s="549"/>
      <c r="DJ100" s="549"/>
      <c r="DU100" s="382" t="s">
        <v>8028</v>
      </c>
      <c r="DV100" s="382">
        <v>16</v>
      </c>
      <c r="DW100" s="382">
        <v>0</v>
      </c>
      <c r="DX100" s="382">
        <v>18</v>
      </c>
      <c r="DY100" s="382">
        <v>0</v>
      </c>
      <c r="DZ100" s="382">
        <v>16</v>
      </c>
      <c r="EA100" s="382">
        <v>18</v>
      </c>
    </row>
    <row r="101" spans="22:131" ht="12.95" customHeight="1">
      <c r="AL101" s="382" t="s">
        <v>8014</v>
      </c>
      <c r="AM101" s="463">
        <v>3805</v>
      </c>
      <c r="AN101" s="463">
        <v>4049</v>
      </c>
      <c r="AO101" s="463">
        <v>4240</v>
      </c>
      <c r="AP101" s="463">
        <v>4697</v>
      </c>
      <c r="AS101" s="382" t="s">
        <v>3737</v>
      </c>
      <c r="AT101" s="1889">
        <v>310</v>
      </c>
      <c r="AU101" s="1889">
        <v>319</v>
      </c>
      <c r="AV101" s="1889">
        <v>345</v>
      </c>
      <c r="AW101" s="1889">
        <v>339</v>
      </c>
      <c r="AZ101" s="382" t="s">
        <v>7975</v>
      </c>
      <c r="BA101" s="1896">
        <v>1</v>
      </c>
      <c r="BB101" s="1896">
        <v>1</v>
      </c>
      <c r="BC101" s="1896">
        <v>1</v>
      </c>
      <c r="BD101" s="1896">
        <v>2</v>
      </c>
      <c r="BF101" s="402"/>
      <c r="BH101" s="463"/>
      <c r="BI101" s="463"/>
      <c r="BJ101" s="463"/>
      <c r="BK101" s="463"/>
      <c r="BL101" s="402"/>
      <c r="BN101" s="382" t="s">
        <v>3737</v>
      </c>
      <c r="BO101" s="1038">
        <v>6</v>
      </c>
      <c r="BP101" s="1038">
        <v>6</v>
      </c>
      <c r="BQ101" s="1038">
        <v>5</v>
      </c>
      <c r="BR101" s="1038">
        <v>5</v>
      </c>
      <c r="CH101" s="1660"/>
      <c r="CI101" s="1660"/>
      <c r="CJ101" s="1660"/>
      <c r="CK101" s="1660"/>
      <c r="CL101" s="1660"/>
      <c r="CM101" s="1660"/>
      <c r="CN101" s="1660"/>
      <c r="CO101" s="1660"/>
      <c r="CP101" s="1660"/>
      <c r="CQ101" s="1660"/>
      <c r="CR101" s="1660"/>
      <c r="CS101" s="1660"/>
      <c r="CT101" s="1660"/>
      <c r="CU101" s="1660"/>
      <c r="CV101" s="1660"/>
      <c r="CX101" s="549"/>
      <c r="CY101" s="986"/>
      <c r="CZ101" s="875"/>
      <c r="DA101" s="549"/>
      <c r="DB101" s="875"/>
      <c r="DC101" s="562"/>
      <c r="DD101" s="875"/>
      <c r="DG101" s="861"/>
      <c r="DH101" s="549"/>
      <c r="DI101" s="549"/>
      <c r="DJ101" s="549"/>
      <c r="DU101" s="382" t="s">
        <v>2356</v>
      </c>
      <c r="DV101" s="382">
        <v>0</v>
      </c>
      <c r="DW101" s="382">
        <v>0</v>
      </c>
      <c r="DX101" s="382">
        <v>0</v>
      </c>
      <c r="DY101" s="382">
        <v>0</v>
      </c>
      <c r="DZ101" s="382">
        <v>0</v>
      </c>
      <c r="EA101" s="382">
        <v>0</v>
      </c>
    </row>
    <row r="102" spans="22:131" ht="12.95" customHeight="1">
      <c r="AL102" s="382" t="s">
        <v>8019</v>
      </c>
      <c r="AM102" s="463">
        <v>2268</v>
      </c>
      <c r="AN102" s="463">
        <v>2401</v>
      </c>
      <c r="AO102" s="463">
        <v>2508</v>
      </c>
      <c r="AP102" s="463">
        <v>2799</v>
      </c>
      <c r="AS102" s="382" t="s">
        <v>2195</v>
      </c>
      <c r="AT102" s="1038">
        <v>307</v>
      </c>
      <c r="AU102" s="1038">
        <v>337</v>
      </c>
      <c r="AV102" s="1038">
        <v>377</v>
      </c>
      <c r="AW102" s="1038">
        <v>394</v>
      </c>
      <c r="AZ102" s="382" t="s">
        <v>3793</v>
      </c>
      <c r="BA102" s="1896">
        <v>399</v>
      </c>
      <c r="BB102" s="1896">
        <v>415</v>
      </c>
      <c r="BC102" s="1896">
        <v>451</v>
      </c>
      <c r="BD102" s="1896">
        <v>470</v>
      </c>
      <c r="BE102" s="402"/>
      <c r="BF102" s="385"/>
      <c r="BH102" s="463"/>
      <c r="BI102" s="463"/>
      <c r="BJ102" s="463"/>
      <c r="BK102" s="463"/>
      <c r="BL102" s="385"/>
      <c r="BN102" s="382" t="s">
        <v>2195</v>
      </c>
      <c r="BO102" s="382">
        <v>25</v>
      </c>
      <c r="BP102" s="463">
        <v>25</v>
      </c>
      <c r="BQ102" s="619">
        <v>28</v>
      </c>
      <c r="BR102" s="619">
        <v>30</v>
      </c>
      <c r="CH102" s="1660"/>
      <c r="CI102" s="1660"/>
      <c r="CJ102" s="1660"/>
      <c r="CK102" s="1660"/>
      <c r="CL102" s="1660"/>
      <c r="CM102" s="1660"/>
      <c r="CN102" s="1660"/>
      <c r="CO102" s="1660"/>
      <c r="CP102" s="1660"/>
      <c r="CQ102" s="1660"/>
      <c r="CR102" s="1660"/>
      <c r="CS102" s="1660"/>
      <c r="CT102" s="1660"/>
      <c r="CU102" s="1660"/>
      <c r="CV102" s="1660"/>
      <c r="CX102" s="549"/>
      <c r="CY102" s="986"/>
      <c r="CZ102" s="863"/>
      <c r="DA102" s="861"/>
      <c r="DB102" s="863"/>
      <c r="DC102" s="562"/>
      <c r="DD102" s="875"/>
      <c r="DG102" s="1627"/>
      <c r="DH102" s="549"/>
      <c r="DI102" s="549"/>
      <c r="DJ102" s="549"/>
      <c r="DU102" s="382" t="s">
        <v>2208</v>
      </c>
      <c r="DV102" s="382">
        <v>6</v>
      </c>
      <c r="DW102" s="382">
        <v>0</v>
      </c>
      <c r="DX102" s="382">
        <v>11</v>
      </c>
      <c r="DY102" s="382">
        <v>0</v>
      </c>
      <c r="DZ102" s="382">
        <v>16</v>
      </c>
      <c r="EA102" s="382">
        <v>70</v>
      </c>
    </row>
    <row r="103" spans="22:131" ht="12.95" customHeight="1">
      <c r="AL103" s="382" t="s">
        <v>8024</v>
      </c>
      <c r="AM103" s="463">
        <v>433</v>
      </c>
      <c r="AN103" s="463">
        <v>494</v>
      </c>
      <c r="AO103" s="463">
        <v>573</v>
      </c>
      <c r="AP103" s="463">
        <v>706</v>
      </c>
      <c r="AS103" s="382" t="s">
        <v>2198</v>
      </c>
      <c r="AT103" s="1889">
        <v>558</v>
      </c>
      <c r="AU103" s="1894">
        <v>659</v>
      </c>
      <c r="AV103" s="1889">
        <v>684</v>
      </c>
      <c r="AW103" s="1889">
        <v>692</v>
      </c>
      <c r="AZ103" s="382" t="s">
        <v>7986</v>
      </c>
      <c r="BA103" s="1896">
        <v>17912</v>
      </c>
      <c r="BB103" s="1896">
        <v>19318</v>
      </c>
      <c r="BC103" s="1896">
        <v>20468</v>
      </c>
      <c r="BD103" s="1896">
        <v>21601</v>
      </c>
      <c r="BE103" s="385"/>
      <c r="BF103" s="463"/>
      <c r="BH103" s="463"/>
      <c r="BI103" s="463"/>
      <c r="BJ103" s="463"/>
      <c r="BK103" s="463"/>
      <c r="BL103" s="463"/>
      <c r="BN103" s="382" t="s">
        <v>2198</v>
      </c>
      <c r="BO103" s="382">
        <v>18</v>
      </c>
      <c r="BP103" s="463">
        <v>17</v>
      </c>
      <c r="BQ103" s="619">
        <v>19</v>
      </c>
      <c r="BR103" s="619">
        <v>18</v>
      </c>
      <c r="CH103" s="1660"/>
      <c r="CI103" s="1660"/>
      <c r="CJ103" s="1660"/>
      <c r="CK103" s="1660"/>
      <c r="CL103" s="1660"/>
      <c r="CM103" s="1660"/>
      <c r="CN103" s="1660"/>
      <c r="CO103" s="1660"/>
      <c r="CP103" s="1660"/>
      <c r="CQ103" s="1660"/>
      <c r="CR103" s="1660"/>
      <c r="CS103" s="1660"/>
      <c r="CT103" s="1660"/>
      <c r="CU103" s="1660"/>
      <c r="CV103" s="1660"/>
      <c r="CX103" s="549"/>
      <c r="CY103" s="986"/>
      <c r="CZ103" s="863"/>
      <c r="DA103" s="861"/>
      <c r="DB103" s="863"/>
      <c r="DC103" s="562"/>
      <c r="DD103" s="875"/>
      <c r="DG103" s="549"/>
      <c r="DH103" s="861"/>
      <c r="DI103" s="861"/>
      <c r="DJ103" s="861"/>
      <c r="DU103" s="381" t="s">
        <v>2209</v>
      </c>
      <c r="DV103" s="381">
        <v>4</v>
      </c>
      <c r="DW103" s="381">
        <v>0</v>
      </c>
      <c r="DX103" s="381">
        <v>9</v>
      </c>
      <c r="DY103" s="381">
        <v>0</v>
      </c>
      <c r="DZ103" s="381">
        <v>15</v>
      </c>
      <c r="EA103" s="381">
        <v>92</v>
      </c>
    </row>
    <row r="104" spans="22:131" ht="12.95" customHeight="1">
      <c r="AL104" s="382" t="s">
        <v>8030</v>
      </c>
      <c r="AM104" s="463">
        <v>3520</v>
      </c>
      <c r="AN104" s="463">
        <v>3808</v>
      </c>
      <c r="AO104" s="463">
        <v>4184</v>
      </c>
      <c r="AP104" s="463">
        <v>5275</v>
      </c>
      <c r="AS104" s="382" t="s">
        <v>2261</v>
      </c>
      <c r="AT104" s="1889">
        <v>705</v>
      </c>
      <c r="AU104" s="1894">
        <v>756</v>
      </c>
      <c r="AV104" s="1889">
        <v>797</v>
      </c>
      <c r="AW104" s="1889">
        <v>869</v>
      </c>
      <c r="AZ104" s="382" t="s">
        <v>7995</v>
      </c>
      <c r="BA104" s="1896">
        <v>48</v>
      </c>
      <c r="BB104" s="1896">
        <v>53</v>
      </c>
      <c r="BC104" s="1896">
        <v>51</v>
      </c>
      <c r="BD104" s="1896">
        <v>55</v>
      </c>
      <c r="BE104" s="463"/>
      <c r="BF104" s="435"/>
      <c r="BH104" s="463"/>
      <c r="BI104" s="463"/>
      <c r="BJ104" s="463"/>
      <c r="BK104" s="463"/>
      <c r="BL104" s="435"/>
      <c r="BN104" s="382" t="s">
        <v>2261</v>
      </c>
      <c r="BO104" s="382">
        <v>34</v>
      </c>
      <c r="BP104" s="382">
        <v>34</v>
      </c>
      <c r="BQ104" s="463">
        <v>35</v>
      </c>
      <c r="BR104" s="1038">
        <v>35</v>
      </c>
      <c r="CH104" s="1660"/>
      <c r="CI104" s="1660"/>
      <c r="CJ104" s="1660"/>
      <c r="CK104" s="1660"/>
      <c r="CL104" s="1660"/>
      <c r="CM104" s="1660"/>
      <c r="CN104" s="1660"/>
      <c r="CO104" s="1660"/>
      <c r="CP104" s="1660"/>
      <c r="CQ104" s="1660"/>
      <c r="CR104" s="1660"/>
      <c r="CS104" s="1660"/>
      <c r="CT104" s="1660"/>
      <c r="CU104" s="1660"/>
      <c r="CV104" s="1660"/>
      <c r="CX104" s="549"/>
      <c r="CY104" s="986"/>
      <c r="CZ104" s="863"/>
      <c r="DA104" s="861"/>
      <c r="DB104" s="863"/>
      <c r="DC104" s="562"/>
      <c r="DD104" s="875"/>
      <c r="DG104" s="549"/>
      <c r="DU104" s="549" t="s">
        <v>8022</v>
      </c>
      <c r="DV104" s="549"/>
      <c r="DW104" s="549"/>
      <c r="DX104" s="549"/>
    </row>
    <row r="105" spans="22:131" ht="12.95" customHeight="1">
      <c r="AL105" s="382" t="s">
        <v>8033</v>
      </c>
      <c r="AM105" s="463">
        <v>2960</v>
      </c>
      <c r="AN105" s="463">
        <v>3168</v>
      </c>
      <c r="AO105" s="463">
        <v>3449</v>
      </c>
      <c r="AP105" s="463">
        <v>4667</v>
      </c>
      <c r="AS105" s="382" t="s">
        <v>2201</v>
      </c>
      <c r="AT105" s="1889">
        <v>700</v>
      </c>
      <c r="AU105" s="1895">
        <v>754</v>
      </c>
      <c r="AV105" s="1894">
        <v>824</v>
      </c>
      <c r="AW105" s="1894">
        <v>880</v>
      </c>
      <c r="AZ105" s="382" t="s">
        <v>8002</v>
      </c>
      <c r="BA105" s="1896">
        <v>543</v>
      </c>
      <c r="BB105" s="1896">
        <v>592</v>
      </c>
      <c r="BC105" s="1896">
        <v>637</v>
      </c>
      <c r="BD105" s="1896">
        <v>687</v>
      </c>
      <c r="BE105" s="435"/>
      <c r="BF105" s="463"/>
      <c r="BH105" s="463"/>
      <c r="BI105" s="463"/>
      <c r="BJ105" s="463"/>
      <c r="BK105" s="463"/>
      <c r="BL105" s="463"/>
      <c r="BN105" s="382" t="s">
        <v>2201</v>
      </c>
      <c r="BO105" s="382">
        <v>17</v>
      </c>
      <c r="BP105" s="382">
        <v>16</v>
      </c>
      <c r="BQ105" s="463">
        <v>17</v>
      </c>
      <c r="BR105" s="1038">
        <v>17</v>
      </c>
      <c r="CH105" s="1660"/>
      <c r="CI105" s="1660"/>
      <c r="CJ105" s="1660"/>
      <c r="CK105" s="1660"/>
      <c r="CL105" s="1660"/>
      <c r="CM105" s="1660"/>
      <c r="CN105" s="1660"/>
      <c r="CO105" s="1660"/>
      <c r="CP105" s="1660"/>
      <c r="CQ105" s="1660"/>
      <c r="CR105" s="1660"/>
      <c r="CS105" s="1660"/>
      <c r="CT105" s="1660"/>
      <c r="CU105" s="1660"/>
      <c r="CV105" s="1660"/>
      <c r="CX105" s="549"/>
      <c r="CY105" s="986"/>
      <c r="CZ105" s="863"/>
      <c r="DA105" s="861"/>
      <c r="DB105" s="863"/>
      <c r="DC105" s="562"/>
      <c r="DD105" s="875"/>
      <c r="DU105" s="549"/>
      <c r="DV105" s="549"/>
      <c r="DW105" s="549"/>
      <c r="DX105" s="549"/>
      <c r="DY105" s="549"/>
      <c r="DZ105" s="549"/>
      <c r="EA105" s="549"/>
    </row>
    <row r="106" spans="22:131" ht="12.95" customHeight="1">
      <c r="AL106" s="382" t="s">
        <v>8040</v>
      </c>
      <c r="AM106" s="463">
        <v>2405</v>
      </c>
      <c r="AN106" s="463">
        <v>2580</v>
      </c>
      <c r="AO106" s="463">
        <v>2808</v>
      </c>
      <c r="AP106" s="463">
        <v>3620</v>
      </c>
      <c r="AS106" s="382" t="s">
        <v>2202</v>
      </c>
      <c r="AT106" s="1889">
        <v>2308</v>
      </c>
      <c r="AU106" s="1894">
        <v>2527</v>
      </c>
      <c r="AV106" s="1894">
        <v>2743</v>
      </c>
      <c r="AW106" s="1894">
        <v>2978</v>
      </c>
      <c r="AZ106" s="382" t="s">
        <v>8010</v>
      </c>
      <c r="BA106" s="1896">
        <v>13</v>
      </c>
      <c r="BB106" s="1896">
        <v>16</v>
      </c>
      <c r="BC106" s="1896">
        <v>16</v>
      </c>
      <c r="BD106" s="1896">
        <v>17</v>
      </c>
      <c r="BE106" s="463"/>
      <c r="BF106" s="435"/>
      <c r="BG106" s="398"/>
      <c r="BH106" s="463"/>
      <c r="BI106" s="463"/>
      <c r="BJ106" s="463"/>
      <c r="BK106" s="463"/>
      <c r="BL106" s="435"/>
      <c r="BN106" s="391" t="s">
        <v>2202</v>
      </c>
      <c r="BO106" s="382">
        <v>155</v>
      </c>
      <c r="BP106" s="382">
        <v>160</v>
      </c>
      <c r="BQ106" s="463">
        <v>150</v>
      </c>
      <c r="BR106" s="619">
        <v>146</v>
      </c>
      <c r="CH106" s="1660"/>
      <c r="CI106" s="1660"/>
      <c r="CJ106" s="1660"/>
      <c r="CK106" s="1660"/>
      <c r="CL106" s="1660"/>
      <c r="CM106" s="1660"/>
      <c r="CN106" s="1660"/>
      <c r="CO106" s="1660"/>
      <c r="CP106" s="1660"/>
      <c r="CQ106" s="1660"/>
      <c r="CR106" s="1660"/>
      <c r="CS106" s="1660"/>
      <c r="CT106" s="1660"/>
      <c r="CU106" s="1660"/>
      <c r="CV106" s="1660"/>
      <c r="CX106" s="549"/>
      <c r="CY106" s="986"/>
      <c r="CZ106" s="875"/>
      <c r="DA106" s="549"/>
      <c r="DB106" s="875"/>
      <c r="DC106" s="562"/>
      <c r="DD106" s="875"/>
      <c r="DU106" s="549"/>
      <c r="DV106" s="549"/>
      <c r="DW106" s="549"/>
      <c r="DX106" s="549"/>
      <c r="DY106" s="549"/>
      <c r="DZ106" s="549"/>
      <c r="EA106" s="549"/>
    </row>
    <row r="107" spans="22:131" ht="12.95" customHeight="1">
      <c r="AL107" s="382" t="s">
        <v>8046</v>
      </c>
      <c r="AM107" s="463">
        <v>3120</v>
      </c>
      <c r="AN107" s="463">
        <v>3295</v>
      </c>
      <c r="AO107" s="463">
        <v>3547</v>
      </c>
      <c r="AP107" s="463">
        <v>4169</v>
      </c>
      <c r="AS107" s="391" t="s">
        <v>3665</v>
      </c>
      <c r="AT107" s="1889">
        <v>943</v>
      </c>
      <c r="AU107" s="1895">
        <v>1129</v>
      </c>
      <c r="AV107" s="1895">
        <v>1227</v>
      </c>
      <c r="AW107" s="1895">
        <v>1277</v>
      </c>
      <c r="AZ107" s="382" t="s">
        <v>1695</v>
      </c>
      <c r="BA107" s="1896">
        <v>86</v>
      </c>
      <c r="BB107" s="1896">
        <v>91</v>
      </c>
      <c r="BC107" s="1896">
        <v>101</v>
      </c>
      <c r="BD107" s="1896">
        <v>102</v>
      </c>
      <c r="BE107" s="435"/>
      <c r="BF107" s="463"/>
      <c r="BJ107" s="463"/>
      <c r="BK107" s="463"/>
      <c r="BL107" s="463"/>
      <c r="BN107" s="391" t="s">
        <v>3665</v>
      </c>
      <c r="BO107" s="382">
        <v>63</v>
      </c>
      <c r="BP107" s="382">
        <v>64</v>
      </c>
      <c r="BQ107" s="463">
        <v>69</v>
      </c>
      <c r="BR107" s="1038">
        <v>70</v>
      </c>
      <c r="CH107" s="1660"/>
      <c r="CI107" s="1660"/>
      <c r="CJ107" s="1660"/>
      <c r="CK107" s="1660"/>
      <c r="CL107" s="1660"/>
      <c r="CM107" s="1660"/>
      <c r="CN107" s="1660"/>
      <c r="CO107" s="1660"/>
      <c r="CP107" s="1660"/>
      <c r="CQ107" s="1660"/>
      <c r="CR107" s="1660"/>
      <c r="CS107" s="1660"/>
      <c r="CT107" s="1660"/>
      <c r="CU107" s="1660"/>
      <c r="CV107" s="1660"/>
      <c r="CX107" s="549"/>
      <c r="CY107" s="986"/>
      <c r="CZ107" s="875"/>
      <c r="DA107" s="549"/>
      <c r="DB107" s="875"/>
      <c r="DC107" s="562"/>
      <c r="DD107" s="875"/>
    </row>
    <row r="108" spans="22:131" ht="12.95" customHeight="1">
      <c r="V108" s="1655"/>
      <c r="AL108" s="387" t="s">
        <v>8053</v>
      </c>
      <c r="AM108" s="497">
        <v>2015</v>
      </c>
      <c r="AN108" s="497">
        <v>2094</v>
      </c>
      <c r="AO108" s="497">
        <v>2212</v>
      </c>
      <c r="AP108" s="497">
        <v>2438</v>
      </c>
      <c r="AS108" s="391" t="s">
        <v>8028</v>
      </c>
      <c r="AT108" s="1889">
        <v>188</v>
      </c>
      <c r="AU108" s="1895">
        <v>230</v>
      </c>
      <c r="AV108" s="1894">
        <v>253</v>
      </c>
      <c r="AW108" s="1894">
        <v>238</v>
      </c>
      <c r="AZ108" s="382" t="s">
        <v>2653</v>
      </c>
      <c r="BA108" s="1896">
        <v>9160</v>
      </c>
      <c r="BB108" s="1896">
        <v>10279</v>
      </c>
      <c r="BC108" s="1896">
        <v>11078</v>
      </c>
      <c r="BD108" s="1896">
        <v>11830</v>
      </c>
      <c r="BE108" s="463"/>
      <c r="BF108" s="463"/>
      <c r="BG108" s="463"/>
      <c r="BH108" s="463"/>
      <c r="BI108" s="463"/>
      <c r="BJ108" s="463"/>
      <c r="BK108" s="463"/>
      <c r="BL108" s="463"/>
      <c r="BN108" s="463" t="s">
        <v>8028</v>
      </c>
      <c r="BO108" s="382">
        <v>4</v>
      </c>
      <c r="BP108" s="382">
        <v>4</v>
      </c>
      <c r="BQ108" s="463">
        <v>4</v>
      </c>
      <c r="BR108" s="619">
        <v>6</v>
      </c>
      <c r="CH108" s="1660"/>
      <c r="CI108" s="1660"/>
      <c r="CJ108" s="1660"/>
      <c r="CK108" s="1660"/>
      <c r="CL108" s="1660"/>
      <c r="CM108" s="1660"/>
      <c r="CN108" s="1660"/>
      <c r="CO108" s="1660"/>
      <c r="CP108" s="1660"/>
      <c r="CQ108" s="1660"/>
      <c r="CR108" s="1660"/>
      <c r="CS108" s="1660"/>
      <c r="CT108" s="1660"/>
      <c r="CU108" s="1660"/>
      <c r="CV108" s="1660"/>
      <c r="CX108" s="549"/>
      <c r="CY108" s="549"/>
      <c r="CZ108" s="549"/>
      <c r="DA108" s="549"/>
      <c r="DB108" s="549"/>
      <c r="DC108" s="549"/>
      <c r="DD108" s="549"/>
    </row>
    <row r="109" spans="22:131" ht="12.95" customHeight="1">
      <c r="V109" s="393"/>
      <c r="AL109" s="549" t="s">
        <v>8058</v>
      </c>
      <c r="AM109" s="549"/>
      <c r="AN109" s="549"/>
      <c r="AO109" s="549"/>
      <c r="AP109" s="549"/>
      <c r="AS109" s="463" t="s">
        <v>2356</v>
      </c>
      <c r="AT109" s="1889">
        <v>276</v>
      </c>
      <c r="AU109" s="1895">
        <v>298</v>
      </c>
      <c r="AV109" s="1895">
        <v>307</v>
      </c>
      <c r="AW109" s="1895">
        <v>301</v>
      </c>
      <c r="AZ109" s="382" t="s">
        <v>8025</v>
      </c>
      <c r="BA109" s="1896">
        <v>3</v>
      </c>
      <c r="BB109" s="1896">
        <v>3</v>
      </c>
      <c r="BC109" s="1896">
        <v>3</v>
      </c>
      <c r="BD109" s="1896">
        <v>3</v>
      </c>
      <c r="BE109" s="463"/>
      <c r="BF109" s="463"/>
      <c r="BG109" s="435"/>
      <c r="BH109" s="435"/>
      <c r="BI109" s="435"/>
      <c r="BJ109" s="435"/>
      <c r="BK109" s="435"/>
      <c r="BL109" s="463"/>
      <c r="BN109" s="1068" t="s">
        <v>2356</v>
      </c>
      <c r="BO109" s="382">
        <v>11</v>
      </c>
      <c r="BP109" s="382">
        <v>11</v>
      </c>
      <c r="BQ109" s="463">
        <v>11</v>
      </c>
      <c r="BR109" s="619">
        <v>11</v>
      </c>
      <c r="CH109" s="1660"/>
      <c r="CI109" s="1660"/>
      <c r="CJ109" s="1660"/>
      <c r="CK109" s="1660"/>
      <c r="CL109" s="1660"/>
      <c r="CM109" s="1660"/>
      <c r="CN109" s="1660"/>
      <c r="CO109" s="1660"/>
      <c r="CP109" s="1660"/>
      <c r="CQ109" s="1660"/>
      <c r="CR109" s="1660"/>
      <c r="CS109" s="1660"/>
      <c r="CT109" s="1660"/>
      <c r="CU109" s="1660"/>
      <c r="CV109" s="1660"/>
      <c r="CX109" s="549"/>
      <c r="CY109" s="549"/>
      <c r="CZ109" s="549"/>
      <c r="DA109" s="549"/>
      <c r="DB109" s="549"/>
      <c r="DC109" s="549"/>
      <c r="DD109" s="549"/>
    </row>
    <row r="110" spans="22:131" ht="12.95" customHeight="1">
      <c r="V110" s="393"/>
      <c r="AS110" s="1068" t="s">
        <v>2208</v>
      </c>
      <c r="AT110" s="1889">
        <v>5038</v>
      </c>
      <c r="AU110" s="1895">
        <v>5528</v>
      </c>
      <c r="AV110" s="1895">
        <v>5990</v>
      </c>
      <c r="AW110" s="1895">
        <v>6472</v>
      </c>
      <c r="AZ110" s="382" t="s">
        <v>1696</v>
      </c>
      <c r="BA110" s="1896">
        <v>6536</v>
      </c>
      <c r="BB110" s="1896">
        <v>7081</v>
      </c>
      <c r="BC110" s="1896">
        <v>7700</v>
      </c>
      <c r="BD110" s="1896">
        <v>8223</v>
      </c>
      <c r="BE110" s="463"/>
      <c r="BF110" s="463"/>
      <c r="BG110" s="463"/>
      <c r="BH110" s="463"/>
      <c r="BI110" s="463"/>
      <c r="BJ110" s="463"/>
      <c r="BK110" s="463"/>
      <c r="BL110" s="463"/>
      <c r="BN110" s="463" t="s">
        <v>2208</v>
      </c>
      <c r="BO110" s="382">
        <v>312</v>
      </c>
      <c r="BP110" s="382">
        <v>313</v>
      </c>
      <c r="BQ110" s="463">
        <v>309</v>
      </c>
      <c r="BR110" s="619">
        <v>323</v>
      </c>
      <c r="CH110" s="1660"/>
      <c r="CI110" s="1660"/>
      <c r="CJ110" s="1660"/>
      <c r="CK110" s="1660"/>
      <c r="CL110" s="1660"/>
      <c r="CM110" s="1660"/>
      <c r="CN110" s="1660"/>
      <c r="CO110" s="1660"/>
      <c r="CP110" s="1660"/>
      <c r="CQ110" s="1660"/>
      <c r="CR110" s="1660"/>
      <c r="CS110" s="1660"/>
      <c r="CT110" s="1660"/>
      <c r="CU110" s="1660"/>
      <c r="CV110" s="1660"/>
    </row>
    <row r="111" spans="22:131" ht="12.95" customHeight="1">
      <c r="V111" s="1069"/>
      <c r="AS111" s="463" t="s">
        <v>2209</v>
      </c>
      <c r="AT111" s="1889">
        <v>1642</v>
      </c>
      <c r="AU111" s="1895">
        <v>1798</v>
      </c>
      <c r="AV111" s="1895">
        <v>1918</v>
      </c>
      <c r="AW111" s="1895">
        <v>1992</v>
      </c>
      <c r="AZ111" s="382" t="s">
        <v>8035</v>
      </c>
      <c r="BA111" s="1896">
        <v>7</v>
      </c>
      <c r="BB111" s="1896">
        <v>7</v>
      </c>
      <c r="BC111" s="1896">
        <v>8</v>
      </c>
      <c r="BD111" s="1896">
        <v>9</v>
      </c>
      <c r="BE111" s="463"/>
      <c r="BF111" s="463"/>
      <c r="BG111" s="463"/>
      <c r="BH111" s="463"/>
      <c r="BI111" s="463"/>
      <c r="BJ111" s="463"/>
      <c r="BK111" s="463"/>
      <c r="BL111" s="463"/>
      <c r="BN111" s="463" t="s">
        <v>2209</v>
      </c>
      <c r="BO111" s="1896">
        <v>71</v>
      </c>
      <c r="BP111" s="463">
        <v>82</v>
      </c>
      <c r="BQ111" s="463">
        <v>75</v>
      </c>
      <c r="BR111" s="619">
        <v>73</v>
      </c>
      <c r="CH111" s="1660"/>
      <c r="CI111" s="1660"/>
      <c r="CJ111" s="1660"/>
      <c r="CK111" s="1660"/>
      <c r="CL111" s="1660"/>
      <c r="CM111" s="1660"/>
      <c r="CN111" s="1660"/>
      <c r="CO111" s="1660"/>
      <c r="CP111" s="1660"/>
      <c r="CQ111" s="1660"/>
      <c r="CR111" s="1660"/>
      <c r="CS111" s="1660"/>
      <c r="CT111" s="1660"/>
      <c r="CU111" s="1660"/>
      <c r="CV111" s="1660"/>
      <c r="CX111" s="547"/>
      <c r="CY111" s="547"/>
      <c r="CZ111" s="547"/>
      <c r="DA111" s="547"/>
      <c r="DB111" s="547"/>
      <c r="DC111" s="547"/>
      <c r="DD111" s="547"/>
    </row>
    <row r="112" spans="22:131" ht="12.95" customHeight="1">
      <c r="V112" s="1069"/>
      <c r="AL112" s="549"/>
      <c r="AM112" s="549"/>
      <c r="AN112" s="549"/>
      <c r="AO112" s="549"/>
      <c r="AP112" s="549"/>
      <c r="AS112" s="497" t="s">
        <v>8089</v>
      </c>
      <c r="AT112" s="1890">
        <v>286</v>
      </c>
      <c r="AU112" s="1890">
        <v>316</v>
      </c>
      <c r="AV112" s="1890">
        <v>414</v>
      </c>
      <c r="AW112" s="1890">
        <v>401</v>
      </c>
      <c r="AZ112" s="382" t="s">
        <v>2645</v>
      </c>
      <c r="BA112" s="1896">
        <v>55</v>
      </c>
      <c r="BB112" s="1896">
        <v>57</v>
      </c>
      <c r="BC112" s="1896">
        <v>60</v>
      </c>
      <c r="BD112" s="1896">
        <v>64</v>
      </c>
      <c r="BE112" s="463"/>
      <c r="BF112" s="463"/>
      <c r="BG112" s="463"/>
      <c r="BH112" s="463"/>
      <c r="BI112" s="463"/>
      <c r="BJ112" s="463"/>
      <c r="BK112" s="463"/>
      <c r="BL112" s="463"/>
      <c r="BN112" s="497" t="s">
        <v>8089</v>
      </c>
      <c r="BO112" s="381">
        <v>3</v>
      </c>
      <c r="BP112" s="381">
        <v>2</v>
      </c>
      <c r="BQ112" s="382">
        <v>1</v>
      </c>
      <c r="BR112" s="619">
        <v>2</v>
      </c>
      <c r="CH112" s="1660"/>
      <c r="CI112" s="1660"/>
      <c r="CJ112" s="1660"/>
      <c r="CK112" s="1660"/>
      <c r="CL112" s="1660"/>
      <c r="CM112" s="1660"/>
      <c r="CN112" s="1660"/>
      <c r="CO112" s="1660"/>
      <c r="CP112" s="1660"/>
      <c r="CQ112" s="1660"/>
      <c r="CR112" s="1660"/>
      <c r="CS112" s="1660"/>
      <c r="CT112" s="1660"/>
      <c r="CU112" s="1660"/>
      <c r="CV112" s="1660"/>
    </row>
    <row r="113" spans="23:107" ht="12.95" customHeight="1">
      <c r="AL113" s="549"/>
      <c r="AM113" s="2171"/>
      <c r="AN113" s="2171"/>
      <c r="AO113" s="2171"/>
      <c r="AP113" s="2171"/>
      <c r="AS113" s="549" t="s">
        <v>8058</v>
      </c>
      <c r="AT113" s="549"/>
      <c r="AU113" s="641"/>
      <c r="AV113" s="641"/>
      <c r="AW113" s="641"/>
      <c r="AZ113" s="382" t="s">
        <v>2661</v>
      </c>
      <c r="BA113" s="1896">
        <v>10</v>
      </c>
      <c r="BB113" s="1896">
        <v>10</v>
      </c>
      <c r="BC113" s="1896">
        <v>11</v>
      </c>
      <c r="BD113" s="1896">
        <v>15</v>
      </c>
      <c r="BE113" s="463"/>
      <c r="BF113" s="463"/>
      <c r="BG113" s="463"/>
      <c r="BH113" s="463"/>
      <c r="BI113" s="463"/>
      <c r="BJ113" s="463"/>
      <c r="BK113" s="463"/>
      <c r="BL113" s="463"/>
      <c r="BN113" s="549" t="s">
        <v>8058</v>
      </c>
      <c r="BO113" s="641"/>
      <c r="BP113" s="549"/>
      <c r="BQ113" s="1648"/>
      <c r="BR113" s="1648"/>
      <c r="CH113" s="1660"/>
      <c r="CI113" s="1660"/>
      <c r="CJ113" s="1660"/>
      <c r="CK113" s="1660"/>
      <c r="CL113" s="1660"/>
      <c r="CM113" s="1660"/>
      <c r="CN113" s="1660"/>
      <c r="CO113" s="1660"/>
      <c r="CP113" s="1660"/>
      <c r="CQ113" s="1660"/>
      <c r="CR113" s="1660"/>
      <c r="CS113" s="1660"/>
      <c r="CT113" s="1660"/>
      <c r="CU113" s="1660"/>
      <c r="CV113" s="1660"/>
    </row>
    <row r="114" spans="23:107" ht="12.95" customHeight="1">
      <c r="AL114" s="825"/>
      <c r="AM114" s="861"/>
      <c r="AN114" s="861"/>
      <c r="AO114" s="861"/>
      <c r="AP114" s="861"/>
      <c r="AU114" s="619"/>
      <c r="AV114" s="619"/>
      <c r="AW114" s="619"/>
      <c r="AZ114" s="382" t="s">
        <v>1697</v>
      </c>
      <c r="BA114" s="1896">
        <v>112</v>
      </c>
      <c r="BB114" s="1896">
        <v>126</v>
      </c>
      <c r="BC114" s="1896">
        <v>133</v>
      </c>
      <c r="BD114" s="1896">
        <v>149</v>
      </c>
      <c r="BE114" s="463"/>
      <c r="BF114" s="463"/>
      <c r="BG114" s="463"/>
      <c r="BH114" s="463"/>
      <c r="BI114" s="463"/>
      <c r="BJ114" s="463"/>
      <c r="BK114" s="463"/>
      <c r="BL114" s="463"/>
      <c r="BN114" s="463"/>
      <c r="BR114" s="619"/>
      <c r="CH114" s="1660"/>
      <c r="CI114" s="1660"/>
      <c r="CJ114" s="1660"/>
      <c r="CK114" s="1660"/>
      <c r="CL114" s="1660"/>
      <c r="CM114" s="1660"/>
      <c r="CN114" s="1660"/>
      <c r="CO114" s="1660"/>
      <c r="CP114" s="1660"/>
      <c r="CQ114" s="1660"/>
      <c r="CR114" s="1660"/>
      <c r="CS114" s="1660"/>
      <c r="CT114" s="1660"/>
      <c r="CU114" s="1660"/>
      <c r="CV114" s="1660"/>
    </row>
    <row r="115" spans="23:107" ht="12.95" customHeight="1">
      <c r="AL115" s="562"/>
      <c r="AM115" s="562"/>
      <c r="AN115" s="562"/>
      <c r="AO115" s="562"/>
      <c r="AP115" s="562"/>
      <c r="AS115" s="562"/>
      <c r="AT115" s="1644"/>
      <c r="AU115" s="1644"/>
      <c r="AV115" s="1644"/>
      <c r="AW115" s="1644"/>
      <c r="AZ115" s="382" t="s">
        <v>1698</v>
      </c>
      <c r="BA115" s="1896">
        <v>280</v>
      </c>
      <c r="BB115" s="1896">
        <v>310</v>
      </c>
      <c r="BC115" s="1896">
        <v>339</v>
      </c>
      <c r="BD115" s="1896">
        <v>360</v>
      </c>
      <c r="BE115" s="463"/>
      <c r="BF115" s="463"/>
      <c r="BG115" s="463"/>
      <c r="BH115" s="463"/>
      <c r="BI115" s="463"/>
      <c r="BJ115" s="463"/>
      <c r="BK115" s="463"/>
      <c r="BL115" s="463"/>
      <c r="BO115" s="619"/>
      <c r="BQ115" s="619"/>
      <c r="BR115" s="619"/>
      <c r="CH115" s="1660"/>
      <c r="CI115" s="1660"/>
      <c r="CJ115" s="1660"/>
      <c r="CK115" s="1660"/>
      <c r="CL115" s="1660"/>
      <c r="CM115" s="1660"/>
      <c r="CN115" s="1660"/>
      <c r="CO115" s="1660"/>
      <c r="CP115" s="1660"/>
      <c r="CQ115" s="1660"/>
      <c r="CR115" s="1660"/>
      <c r="CS115" s="1660"/>
      <c r="CT115" s="1660"/>
      <c r="CU115" s="1660"/>
      <c r="CV115" s="1660"/>
    </row>
    <row r="116" spans="23:107" ht="12.95" customHeight="1">
      <c r="AL116" s="562"/>
      <c r="AM116" s="562"/>
      <c r="AN116" s="562"/>
      <c r="AO116" s="562"/>
      <c r="AP116" s="562"/>
      <c r="AS116" s="549"/>
      <c r="AT116" s="549"/>
      <c r="AU116" s="641"/>
      <c r="AV116" s="641"/>
      <c r="AW116" s="641"/>
      <c r="AZ116" s="382" t="s">
        <v>2654</v>
      </c>
      <c r="BA116" s="1896">
        <v>162</v>
      </c>
      <c r="BB116" s="1896">
        <v>190</v>
      </c>
      <c r="BC116" s="1896">
        <v>217</v>
      </c>
      <c r="BD116" s="1896">
        <v>233</v>
      </c>
      <c r="BE116" s="463"/>
      <c r="BF116" s="463"/>
      <c r="BG116" s="463"/>
      <c r="BH116" s="463"/>
      <c r="BI116" s="463"/>
      <c r="BJ116" s="463"/>
      <c r="BK116" s="463"/>
      <c r="BL116" s="463"/>
      <c r="CH116" s="1660"/>
      <c r="CI116" s="1660"/>
      <c r="CJ116" s="1660"/>
      <c r="CK116" s="1660"/>
      <c r="CL116" s="1660"/>
      <c r="CM116" s="1660"/>
      <c r="CN116" s="1660"/>
      <c r="CO116" s="1660"/>
      <c r="CP116" s="1660"/>
      <c r="CQ116" s="1660"/>
      <c r="CR116" s="1660"/>
      <c r="CS116" s="1660"/>
      <c r="CT116" s="1660"/>
      <c r="CU116" s="1660"/>
      <c r="CV116" s="1660"/>
    </row>
    <row r="117" spans="23:107" ht="12.95" customHeight="1">
      <c r="AL117" s="1623"/>
      <c r="AM117" s="986"/>
      <c r="AN117" s="986"/>
      <c r="AO117" s="986"/>
      <c r="AP117" s="986"/>
      <c r="AS117" s="549"/>
      <c r="AT117" s="549"/>
      <c r="AU117" s="641"/>
      <c r="AV117" s="641"/>
      <c r="AW117" s="641"/>
      <c r="AZ117" s="382" t="s">
        <v>2652</v>
      </c>
      <c r="BA117" s="1038">
        <v>118</v>
      </c>
      <c r="BB117" s="1038">
        <v>145</v>
      </c>
      <c r="BC117" s="1038">
        <v>150</v>
      </c>
      <c r="BD117" s="1038">
        <v>156</v>
      </c>
      <c r="BE117" s="463"/>
      <c r="BF117" s="463"/>
      <c r="BG117" s="463"/>
      <c r="BH117" s="463"/>
      <c r="BI117" s="463"/>
      <c r="BJ117" s="463"/>
      <c r="BK117" s="463"/>
      <c r="BL117" s="463"/>
      <c r="BN117" s="381" t="s">
        <v>8122</v>
      </c>
      <c r="BO117" s="381"/>
      <c r="BP117" s="381"/>
      <c r="BQ117" s="381"/>
      <c r="BR117" s="381"/>
      <c r="CH117" s="1660"/>
      <c r="CI117" s="1660"/>
      <c r="CJ117" s="1660"/>
      <c r="CK117" s="1660"/>
      <c r="CL117" s="1660"/>
      <c r="CM117" s="1660"/>
      <c r="CN117" s="1660"/>
      <c r="CO117" s="1660"/>
      <c r="CP117" s="1660"/>
      <c r="CQ117" s="1660"/>
      <c r="CR117" s="1660"/>
      <c r="CS117" s="1660"/>
      <c r="CT117" s="1660"/>
      <c r="CU117" s="1660"/>
      <c r="CV117" s="1660"/>
      <c r="CY117" s="2073"/>
      <c r="CZ117" s="2073"/>
      <c r="DA117" s="2073"/>
      <c r="DB117" s="2073"/>
      <c r="DC117" s="2073"/>
    </row>
    <row r="118" spans="23:107" ht="12.95" customHeight="1">
      <c r="AL118" s="562"/>
      <c r="AM118" s="562"/>
      <c r="AN118" s="562"/>
      <c r="AO118" s="562"/>
      <c r="AP118" s="562"/>
      <c r="AZ118" s="382" t="s">
        <v>6301</v>
      </c>
      <c r="BA118" s="1896">
        <v>29</v>
      </c>
      <c r="BB118" s="1896">
        <v>31</v>
      </c>
      <c r="BC118" s="1896">
        <v>34</v>
      </c>
      <c r="BD118" s="1896">
        <v>36</v>
      </c>
      <c r="BE118" s="463"/>
      <c r="BF118" s="463"/>
      <c r="BG118" s="463"/>
      <c r="BH118" s="463"/>
      <c r="BI118" s="463"/>
      <c r="BJ118" s="463"/>
      <c r="BK118" s="463"/>
      <c r="BL118" s="463"/>
      <c r="BN118" s="398"/>
      <c r="BO118" s="2127" t="s">
        <v>7888</v>
      </c>
      <c r="BP118" s="2128"/>
      <c r="BQ118" s="2128"/>
      <c r="BR118" s="2128"/>
      <c r="CH118" s="1660"/>
      <c r="CI118" s="1660"/>
      <c r="CJ118" s="1660"/>
      <c r="CK118" s="1660"/>
      <c r="CL118" s="1660"/>
      <c r="CM118" s="1660"/>
      <c r="CN118" s="1660"/>
      <c r="CO118" s="1660"/>
      <c r="CX118" s="918"/>
      <c r="CY118" s="881"/>
      <c r="CZ118" s="881"/>
      <c r="DA118" s="881"/>
      <c r="DB118" s="881"/>
      <c r="DC118" s="881"/>
    </row>
    <row r="119" spans="23:107" ht="12.95" customHeight="1">
      <c r="AL119" s="562"/>
      <c r="AM119" s="562"/>
      <c r="AN119" s="562"/>
      <c r="AO119" s="562"/>
      <c r="AP119" s="562"/>
      <c r="AZ119" s="382" t="s">
        <v>465</v>
      </c>
      <c r="BA119" s="1038">
        <v>0</v>
      </c>
      <c r="BB119" s="1038">
        <v>0</v>
      </c>
      <c r="BC119" s="1038">
        <v>0</v>
      </c>
      <c r="BD119" s="1038">
        <v>0</v>
      </c>
      <c r="BE119" s="463"/>
      <c r="BF119" s="463"/>
      <c r="BG119" s="463"/>
      <c r="BH119" s="463"/>
      <c r="BI119" s="463"/>
      <c r="BJ119" s="463"/>
      <c r="BK119" s="463"/>
      <c r="BL119" s="463"/>
      <c r="BN119" s="1516" t="s">
        <v>2642</v>
      </c>
      <c r="BO119" s="729" t="s">
        <v>42</v>
      </c>
      <c r="BP119" s="729" t="s">
        <v>43</v>
      </c>
      <c r="BQ119" s="729" t="s">
        <v>44</v>
      </c>
      <c r="BR119" s="729" t="s">
        <v>45</v>
      </c>
      <c r="CH119" s="1660"/>
      <c r="CI119" s="1660"/>
      <c r="CJ119" s="1660"/>
      <c r="CK119" s="1660"/>
      <c r="CL119" s="1660"/>
      <c r="CM119" s="1660"/>
      <c r="CN119" s="1660"/>
      <c r="CO119" s="1660"/>
      <c r="CX119" s="386"/>
    </row>
    <row r="120" spans="23:107" ht="12.95" customHeight="1">
      <c r="W120" s="1655"/>
      <c r="AL120" s="562"/>
      <c r="AM120" s="562"/>
      <c r="AN120" s="562"/>
      <c r="AO120" s="562"/>
      <c r="AP120" s="562"/>
      <c r="AZ120" s="382" t="s">
        <v>8078</v>
      </c>
      <c r="BA120" s="1038">
        <v>0</v>
      </c>
      <c r="BB120" s="1038">
        <v>0</v>
      </c>
      <c r="BC120" s="1038">
        <v>0</v>
      </c>
      <c r="BD120" s="1038">
        <v>0</v>
      </c>
      <c r="BE120" s="463"/>
      <c r="BF120" s="463"/>
      <c r="BG120" s="463"/>
      <c r="BH120" s="463"/>
      <c r="BI120" s="463"/>
      <c r="BJ120" s="463"/>
      <c r="BK120" s="463"/>
      <c r="BL120" s="463"/>
      <c r="BN120" s="382" t="s">
        <v>3507</v>
      </c>
      <c r="BO120" s="619">
        <f>SUM(BO121:BO153)</f>
        <v>83</v>
      </c>
      <c r="BP120" s="619">
        <f>SUM(BP121:BP153)</f>
        <v>106</v>
      </c>
      <c r="BQ120" s="619">
        <f>SUM(BQ121:BQ153)</f>
        <v>118</v>
      </c>
      <c r="BR120" s="619">
        <f>SUM(BR121:BR153)</f>
        <v>144</v>
      </c>
      <c r="CH120" s="1660"/>
      <c r="CI120" s="1660"/>
      <c r="CJ120" s="1660"/>
      <c r="CK120" s="1660"/>
      <c r="CL120" s="1660"/>
      <c r="CM120" s="1660"/>
      <c r="CN120" s="1660"/>
      <c r="CO120" s="1660"/>
      <c r="CX120" s="386"/>
    </row>
    <row r="121" spans="23:107" ht="12.95" customHeight="1">
      <c r="W121" s="393"/>
      <c r="AL121" s="562"/>
      <c r="AM121" s="562"/>
      <c r="AN121" s="562"/>
      <c r="AO121" s="562"/>
      <c r="AP121" s="562"/>
      <c r="AS121" s="549"/>
      <c r="AT121" s="549"/>
      <c r="AU121" s="549"/>
      <c r="AV121" s="549"/>
      <c r="AW121" s="549"/>
      <c r="AZ121" s="382" t="s">
        <v>2649</v>
      </c>
      <c r="BA121" s="1896">
        <v>811</v>
      </c>
      <c r="BB121" s="1896">
        <v>900</v>
      </c>
      <c r="BC121" s="1896">
        <v>998</v>
      </c>
      <c r="BD121" s="1896">
        <v>1089</v>
      </c>
      <c r="BE121" s="463"/>
      <c r="BF121" s="463"/>
      <c r="BG121" s="463"/>
      <c r="BH121" s="463"/>
      <c r="BI121" s="463"/>
      <c r="BJ121" s="463"/>
      <c r="BK121" s="463"/>
      <c r="BL121" s="463"/>
      <c r="BN121" s="382" t="s">
        <v>2655</v>
      </c>
      <c r="BO121" s="1038">
        <v>2</v>
      </c>
      <c r="BP121" s="1038">
        <v>2</v>
      </c>
      <c r="BQ121" s="619">
        <v>2</v>
      </c>
      <c r="BR121" s="1038">
        <v>2</v>
      </c>
      <c r="CH121" s="1660"/>
      <c r="CI121" s="1660"/>
      <c r="CJ121" s="1660"/>
      <c r="CK121" s="1660"/>
      <c r="CL121" s="1660"/>
      <c r="CM121" s="1660"/>
      <c r="CN121" s="1660"/>
      <c r="CX121" s="386"/>
    </row>
    <row r="122" spans="23:107" ht="12.95" customHeight="1">
      <c r="W122" s="393"/>
      <c r="AL122" s="562"/>
      <c r="AM122" s="562"/>
      <c r="AN122" s="562"/>
      <c r="AO122" s="562"/>
      <c r="AP122" s="562"/>
      <c r="AS122" s="571"/>
      <c r="AT122" s="2171"/>
      <c r="AU122" s="2171"/>
      <c r="AV122" s="2171"/>
      <c r="AW122" s="2171"/>
      <c r="AZ122" s="382" t="s">
        <v>2651</v>
      </c>
      <c r="BA122" s="1896">
        <v>976</v>
      </c>
      <c r="BB122" s="1896">
        <v>1126</v>
      </c>
      <c r="BC122" s="1896">
        <v>1281</v>
      </c>
      <c r="BD122" s="1896">
        <v>1394</v>
      </c>
      <c r="BE122" s="463"/>
      <c r="BG122" s="463"/>
      <c r="BH122" s="463"/>
      <c r="BI122" s="463"/>
      <c r="BJ122" s="463"/>
      <c r="BK122" s="463"/>
      <c r="BN122" s="382" t="s">
        <v>2596</v>
      </c>
      <c r="BO122" s="1038">
        <v>0</v>
      </c>
      <c r="BP122" s="1038">
        <v>0</v>
      </c>
      <c r="BQ122" s="619">
        <v>0</v>
      </c>
      <c r="BR122" s="1038">
        <v>0</v>
      </c>
      <c r="CX122" s="386"/>
      <c r="CY122" s="439"/>
    </row>
    <row r="123" spans="23:107" ht="12.95" customHeight="1">
      <c r="W123" s="1069"/>
      <c r="AL123" s="562"/>
      <c r="AM123" s="562"/>
      <c r="AN123" s="562"/>
      <c r="AO123" s="562"/>
      <c r="AP123" s="562"/>
      <c r="AS123" s="825"/>
      <c r="AT123" s="901"/>
      <c r="AU123" s="901"/>
      <c r="AV123" s="901"/>
      <c r="AW123" s="901"/>
      <c r="AZ123" s="382" t="s">
        <v>8086</v>
      </c>
      <c r="BA123" s="1896">
        <v>3</v>
      </c>
      <c r="BB123" s="1896">
        <v>2</v>
      </c>
      <c r="BC123" s="1896">
        <v>2</v>
      </c>
      <c r="BD123" s="1896">
        <v>2</v>
      </c>
      <c r="BG123" s="463"/>
      <c r="BH123" s="463"/>
      <c r="BI123" s="463"/>
      <c r="BJ123" s="463"/>
      <c r="BK123" s="463"/>
      <c r="BN123" s="382" t="s">
        <v>6385</v>
      </c>
      <c r="BO123" s="619">
        <v>0</v>
      </c>
      <c r="BP123" s="619">
        <v>0</v>
      </c>
      <c r="BQ123" s="619">
        <v>0</v>
      </c>
      <c r="BR123" s="619">
        <v>0</v>
      </c>
      <c r="CX123" s="386"/>
      <c r="CY123" s="439"/>
    </row>
    <row r="124" spans="23:107" ht="12.95" customHeight="1">
      <c r="W124" s="1069"/>
      <c r="AL124" s="549"/>
      <c r="AM124" s="562"/>
      <c r="AN124" s="562"/>
      <c r="AO124" s="562"/>
      <c r="AP124" s="562"/>
      <c r="AS124" s="549"/>
      <c r="AT124" s="1644"/>
      <c r="AU124" s="1644"/>
      <c r="AV124" s="1644"/>
      <c r="AW124" s="1644"/>
      <c r="AZ124" s="382" t="s">
        <v>2658</v>
      </c>
      <c r="BA124" s="1896">
        <v>6</v>
      </c>
      <c r="BB124" s="1896">
        <v>6</v>
      </c>
      <c r="BC124" s="1896">
        <v>8</v>
      </c>
      <c r="BD124" s="1896">
        <v>10</v>
      </c>
      <c r="BG124" s="463"/>
      <c r="BH124" s="463"/>
      <c r="BI124" s="463"/>
      <c r="BJ124" s="463"/>
      <c r="BK124" s="463"/>
      <c r="BN124" s="382" t="s">
        <v>1694</v>
      </c>
      <c r="BO124" s="619">
        <v>0</v>
      </c>
      <c r="BP124" s="1901">
        <v>0</v>
      </c>
      <c r="BQ124" s="619">
        <v>0</v>
      </c>
      <c r="BR124" s="619">
        <v>0</v>
      </c>
      <c r="CX124" s="386"/>
      <c r="CY124" s="439"/>
    </row>
    <row r="125" spans="23:107" ht="12.95" customHeight="1">
      <c r="AL125" s="549"/>
      <c r="AM125" s="562"/>
      <c r="AN125" s="562"/>
      <c r="AO125" s="562"/>
      <c r="AP125" s="562"/>
      <c r="AS125" s="549"/>
      <c r="AT125" s="1644"/>
      <c r="AU125" s="1644"/>
      <c r="AV125" s="1644"/>
      <c r="AW125" s="1644"/>
      <c r="AZ125" s="382" t="s">
        <v>8091</v>
      </c>
      <c r="BA125" s="1896">
        <v>17</v>
      </c>
      <c r="BB125" s="1896">
        <v>19</v>
      </c>
      <c r="BC125" s="1896">
        <v>19</v>
      </c>
      <c r="BD125" s="1896">
        <v>20</v>
      </c>
      <c r="BN125" s="382" t="s">
        <v>6302</v>
      </c>
      <c r="BO125" s="619">
        <v>0</v>
      </c>
      <c r="BP125" s="619">
        <v>0</v>
      </c>
      <c r="BQ125" s="619">
        <v>0</v>
      </c>
      <c r="BR125" s="619">
        <v>0</v>
      </c>
      <c r="CX125" s="386"/>
      <c r="CY125" s="439"/>
    </row>
    <row r="126" spans="23:107" ht="12.95" customHeight="1">
      <c r="AL126" s="549"/>
      <c r="AM126" s="562"/>
      <c r="AN126" s="562"/>
      <c r="AO126" s="562"/>
      <c r="AP126" s="562"/>
      <c r="AS126" s="549"/>
      <c r="AT126" s="1644"/>
      <c r="AU126" s="1644"/>
      <c r="AV126" s="1644"/>
      <c r="AW126" s="1644"/>
      <c r="AZ126" s="391" t="s">
        <v>8092</v>
      </c>
      <c r="BA126" s="1038">
        <v>0</v>
      </c>
      <c r="BB126" s="1038">
        <v>0</v>
      </c>
      <c r="BC126" s="1896">
        <v>18</v>
      </c>
      <c r="BD126" s="1038">
        <v>0</v>
      </c>
      <c r="BF126" s="402"/>
      <c r="BL126" s="402"/>
      <c r="BN126" s="382" t="s">
        <v>7970</v>
      </c>
      <c r="BO126" s="619">
        <v>0</v>
      </c>
      <c r="BP126" s="619">
        <v>0</v>
      </c>
      <c r="BQ126" s="619">
        <v>0</v>
      </c>
      <c r="BR126" s="619">
        <v>0</v>
      </c>
      <c r="BT126" s="845"/>
    </row>
    <row r="127" spans="23:107" ht="12.95" customHeight="1">
      <c r="AL127" s="549"/>
      <c r="AM127" s="562"/>
      <c r="AN127" s="562"/>
      <c r="AO127" s="562"/>
      <c r="AP127" s="562"/>
      <c r="AS127" s="549"/>
      <c r="AT127" s="1644"/>
      <c r="AU127" s="1644"/>
      <c r="AV127" s="1644"/>
      <c r="AW127" s="1644"/>
      <c r="AZ127" s="382" t="s">
        <v>8093</v>
      </c>
      <c r="BA127" s="1896">
        <v>27</v>
      </c>
      <c r="BB127" s="1038">
        <v>27</v>
      </c>
      <c r="BC127" s="1038">
        <v>30</v>
      </c>
      <c r="BD127" s="1038">
        <v>33</v>
      </c>
      <c r="BE127" s="385"/>
      <c r="BF127" s="385"/>
      <c r="BL127" s="385"/>
      <c r="BN127" s="382" t="s">
        <v>7975</v>
      </c>
      <c r="BO127" s="1038">
        <v>0</v>
      </c>
      <c r="BP127" s="1038">
        <v>0</v>
      </c>
      <c r="BQ127" s="1038">
        <v>0</v>
      </c>
      <c r="BR127" s="1038">
        <v>0</v>
      </c>
    </row>
    <row r="128" spans="23:107" ht="12.95" customHeight="1">
      <c r="AL128" s="549"/>
      <c r="AM128" s="562"/>
      <c r="AN128" s="562"/>
      <c r="AO128" s="562"/>
      <c r="AP128" s="562"/>
      <c r="AS128" s="549"/>
      <c r="AT128" s="1644"/>
      <c r="AU128" s="1644"/>
      <c r="AV128" s="1644"/>
      <c r="AW128" s="1644"/>
      <c r="AZ128" s="1068" t="s">
        <v>8094</v>
      </c>
      <c r="BA128" s="1896">
        <v>510</v>
      </c>
      <c r="BB128" s="1896">
        <v>601</v>
      </c>
      <c r="BC128" s="1896">
        <v>690</v>
      </c>
      <c r="BD128" s="1896">
        <v>739</v>
      </c>
      <c r="BE128" s="619"/>
      <c r="BF128" s="463"/>
      <c r="BL128" s="463"/>
      <c r="BN128" s="382" t="s">
        <v>3793</v>
      </c>
      <c r="BO128" s="619">
        <v>2</v>
      </c>
      <c r="BP128" s="619">
        <v>2</v>
      </c>
      <c r="BQ128" s="619">
        <v>2</v>
      </c>
      <c r="BR128" s="619">
        <v>3</v>
      </c>
      <c r="CX128" s="386"/>
    </row>
    <row r="129" spans="26:102" ht="12.95" customHeight="1">
      <c r="AL129" s="549"/>
      <c r="AM129" s="562"/>
      <c r="AN129" s="562"/>
      <c r="AO129" s="562"/>
      <c r="AP129" s="562"/>
      <c r="AS129" s="549"/>
      <c r="AT129" s="1644"/>
      <c r="AU129" s="1644"/>
      <c r="AV129" s="1644"/>
      <c r="AW129" s="1644"/>
      <c r="AZ129" s="463" t="s">
        <v>8095</v>
      </c>
      <c r="BA129" s="1038">
        <v>0</v>
      </c>
      <c r="BB129" s="1038">
        <v>0</v>
      </c>
      <c r="BC129" s="1038">
        <v>0</v>
      </c>
      <c r="BD129" s="1038">
        <v>0</v>
      </c>
      <c r="BE129" s="414"/>
      <c r="BF129" s="463"/>
      <c r="BG129" s="402"/>
      <c r="BH129" s="402"/>
      <c r="BI129" s="402"/>
      <c r="BJ129" s="402"/>
      <c r="BK129" s="402"/>
      <c r="BL129" s="463"/>
      <c r="BN129" s="382" t="s">
        <v>7986</v>
      </c>
      <c r="BO129" s="619">
        <v>15</v>
      </c>
      <c r="BP129" s="619">
        <v>20</v>
      </c>
      <c r="BQ129" s="619">
        <v>21</v>
      </c>
      <c r="BR129" s="619">
        <v>28</v>
      </c>
      <c r="CX129" s="386"/>
    </row>
    <row r="130" spans="26:102" ht="12.95" customHeight="1">
      <c r="AL130" s="549"/>
      <c r="AM130" s="562"/>
      <c r="AN130" s="562"/>
      <c r="AO130" s="562"/>
      <c r="AP130" s="562"/>
      <c r="AS130" s="549"/>
      <c r="AT130" s="1644"/>
      <c r="AU130" s="1644"/>
      <c r="AV130" s="1644"/>
      <c r="AW130" s="1644"/>
      <c r="AX130" s="463"/>
      <c r="AZ130" s="463" t="s">
        <v>8098</v>
      </c>
      <c r="BA130" s="1896">
        <v>17</v>
      </c>
      <c r="BB130" s="1896">
        <v>20</v>
      </c>
      <c r="BC130" s="1896">
        <v>3</v>
      </c>
      <c r="BD130" s="1896">
        <v>23</v>
      </c>
      <c r="BE130" s="439"/>
      <c r="BF130" s="463"/>
      <c r="BG130" s="385"/>
      <c r="BH130" s="385"/>
      <c r="BI130" s="385"/>
      <c r="BJ130" s="385"/>
      <c r="BK130" s="385"/>
      <c r="BL130" s="463"/>
      <c r="BN130" s="382" t="s">
        <v>7995</v>
      </c>
      <c r="BO130" s="619">
        <v>0</v>
      </c>
      <c r="BP130" s="619">
        <v>0</v>
      </c>
      <c r="BQ130" s="619">
        <v>0</v>
      </c>
      <c r="BR130" s="619">
        <v>0</v>
      </c>
      <c r="CX130" s="386"/>
    </row>
    <row r="131" spans="26:102" ht="12" customHeight="1">
      <c r="Z131" s="435"/>
      <c r="AA131" s="435"/>
      <c r="AB131" s="435"/>
      <c r="AC131" s="435"/>
      <c r="AD131" s="435"/>
      <c r="AE131" s="463"/>
      <c r="AF131" s="463"/>
      <c r="AG131" s="463"/>
      <c r="AH131" s="463"/>
      <c r="AI131" s="463"/>
      <c r="AJ131" s="463"/>
      <c r="AL131" s="549"/>
      <c r="AM131" s="562"/>
      <c r="AN131" s="562"/>
      <c r="AO131" s="562"/>
      <c r="AP131" s="562"/>
      <c r="AQ131" s="463"/>
      <c r="AR131" s="463"/>
      <c r="AS131" s="549"/>
      <c r="AT131" s="1644"/>
      <c r="AU131" s="1644"/>
      <c r="AV131" s="1644"/>
      <c r="AW131" s="1644"/>
      <c r="AX131" s="463"/>
      <c r="AZ131" s="1508" t="s">
        <v>8058</v>
      </c>
      <c r="BA131" s="1653"/>
      <c r="BB131" s="1648"/>
      <c r="BC131" s="1648"/>
      <c r="BD131" s="415"/>
      <c r="BE131" s="1895"/>
      <c r="BF131" s="463"/>
      <c r="BG131" s="463"/>
      <c r="BH131" s="463"/>
      <c r="BI131" s="463"/>
      <c r="BJ131" s="463"/>
      <c r="BK131" s="463"/>
      <c r="BL131" s="463"/>
      <c r="BN131" s="382" t="s">
        <v>8002</v>
      </c>
      <c r="BO131" s="619">
        <v>0</v>
      </c>
      <c r="BP131" s="619">
        <v>0</v>
      </c>
      <c r="BQ131" s="619">
        <v>0</v>
      </c>
      <c r="BR131" s="619">
        <v>0</v>
      </c>
      <c r="CX131" s="386"/>
    </row>
    <row r="132" spans="26:102" ht="12" customHeight="1">
      <c r="Z132" s="435"/>
      <c r="AA132" s="435"/>
      <c r="AB132" s="435"/>
      <c r="AC132" s="435"/>
      <c r="AD132" s="435"/>
      <c r="AE132" s="463"/>
      <c r="AF132" s="463"/>
      <c r="AG132" s="463"/>
      <c r="AH132" s="463"/>
      <c r="AI132" s="463"/>
      <c r="AJ132" s="463"/>
      <c r="AK132" s="463"/>
      <c r="AL132" s="549"/>
      <c r="AM132" s="562"/>
      <c r="AN132" s="562"/>
      <c r="AO132" s="562"/>
      <c r="AP132" s="562"/>
      <c r="AQ132" s="463"/>
      <c r="AR132" s="463"/>
      <c r="AS132" s="549"/>
      <c r="AT132" s="1644"/>
      <c r="AU132" s="1644"/>
      <c r="AV132" s="1644"/>
      <c r="AW132" s="1644"/>
      <c r="AX132" s="463"/>
      <c r="BA132" s="758"/>
      <c r="BB132" s="619"/>
      <c r="BC132" s="619"/>
      <c r="BE132" s="1895"/>
      <c r="BF132" s="463"/>
      <c r="BG132" s="463"/>
      <c r="BH132" s="463"/>
      <c r="BI132" s="463"/>
      <c r="BJ132" s="463"/>
      <c r="BK132" s="463"/>
      <c r="BL132" s="463"/>
      <c r="BN132" s="382" t="s">
        <v>8010</v>
      </c>
      <c r="BO132" s="619">
        <v>0</v>
      </c>
      <c r="BP132" s="619">
        <v>0</v>
      </c>
      <c r="BQ132" s="619">
        <v>0</v>
      </c>
      <c r="BR132" s="619">
        <v>0</v>
      </c>
      <c r="CX132" s="386"/>
    </row>
    <row r="133" spans="26:102" ht="12" customHeight="1">
      <c r="Z133" s="439"/>
      <c r="AA133" s="439"/>
      <c r="AB133" s="439"/>
      <c r="AC133" s="439"/>
      <c r="AD133" s="435"/>
      <c r="AE133" s="463"/>
      <c r="AF133" s="463"/>
      <c r="AG133" s="463"/>
      <c r="AH133" s="463"/>
      <c r="AI133" s="463"/>
      <c r="AJ133" s="463"/>
      <c r="AK133" s="463"/>
      <c r="AL133" s="549"/>
      <c r="AM133" s="562"/>
      <c r="AN133" s="562"/>
      <c r="AO133" s="562"/>
      <c r="AP133" s="562"/>
      <c r="AQ133" s="463"/>
      <c r="AR133" s="463"/>
      <c r="AS133" s="549"/>
      <c r="AT133" s="1644"/>
      <c r="AU133" s="1644"/>
      <c r="AV133" s="1644"/>
      <c r="AW133" s="1644"/>
      <c r="BA133" s="758"/>
      <c r="BB133" s="619"/>
      <c r="BC133" s="619"/>
      <c r="BE133" s="1895"/>
      <c r="BF133" s="463"/>
      <c r="BG133" s="463"/>
      <c r="BH133" s="463"/>
      <c r="BI133" s="463"/>
      <c r="BJ133" s="463"/>
      <c r="BK133" s="463"/>
      <c r="BL133" s="463"/>
      <c r="BN133" s="382" t="s">
        <v>1695</v>
      </c>
      <c r="BO133" s="619">
        <v>6</v>
      </c>
      <c r="BP133" s="619">
        <v>9</v>
      </c>
      <c r="BQ133" s="619">
        <v>9</v>
      </c>
      <c r="BR133" s="619">
        <v>11</v>
      </c>
      <c r="CX133" s="386"/>
    </row>
    <row r="134" spans="26:102" ht="12" customHeight="1">
      <c r="AK134" s="463"/>
      <c r="AL134" s="571"/>
      <c r="AM134" s="562"/>
      <c r="AN134" s="562"/>
      <c r="AO134" s="562"/>
      <c r="AP134" s="562"/>
      <c r="AS134" s="549"/>
      <c r="AT134" s="1644"/>
      <c r="AU134" s="1644"/>
      <c r="AV134" s="1644"/>
      <c r="AW134" s="1644"/>
      <c r="BA134" s="758"/>
      <c r="BB134" s="619"/>
      <c r="BC134" s="619"/>
      <c r="BE134" s="1038"/>
      <c r="BF134" s="463"/>
      <c r="BG134" s="463"/>
      <c r="BH134" s="463"/>
      <c r="BI134" s="463"/>
      <c r="BJ134" s="463"/>
      <c r="BK134" s="463"/>
      <c r="BL134" s="463"/>
      <c r="BN134" s="382" t="s">
        <v>2653</v>
      </c>
      <c r="BO134" s="619">
        <v>3</v>
      </c>
      <c r="BP134" s="619">
        <v>8</v>
      </c>
      <c r="BQ134" s="619">
        <v>10</v>
      </c>
      <c r="BR134" s="619">
        <v>11</v>
      </c>
      <c r="CV134" s="870"/>
      <c r="CX134" s="386"/>
    </row>
    <row r="135" spans="26:102" ht="12" customHeight="1">
      <c r="AL135" s="549"/>
      <c r="AM135" s="549"/>
      <c r="AN135" s="549"/>
      <c r="AO135" s="549"/>
      <c r="AP135" s="549"/>
      <c r="AS135" s="549"/>
      <c r="AT135" s="1644"/>
      <c r="AU135" s="1644"/>
      <c r="AV135" s="1644"/>
      <c r="AW135" s="1644"/>
      <c r="BE135" s="1895"/>
      <c r="BF135" s="463"/>
      <c r="BG135" s="463"/>
      <c r="BH135" s="463"/>
      <c r="BI135" s="463"/>
      <c r="BJ135" s="463"/>
      <c r="BK135" s="463"/>
      <c r="BL135" s="463"/>
      <c r="BN135" s="382" t="s">
        <v>1696</v>
      </c>
      <c r="BO135" s="1038">
        <v>38</v>
      </c>
      <c r="BP135" s="1038">
        <v>47</v>
      </c>
      <c r="BQ135" s="1038">
        <v>55</v>
      </c>
      <c r="BR135" s="619">
        <v>68</v>
      </c>
      <c r="CV135" s="870"/>
      <c r="CX135" s="386"/>
    </row>
    <row r="136" spans="26:102" ht="12" customHeight="1">
      <c r="AS136" s="549"/>
      <c r="AT136" s="1644"/>
      <c r="AU136" s="1644"/>
      <c r="AV136" s="1644"/>
      <c r="AW136" s="1644"/>
      <c r="AZ136" s="382" t="s">
        <v>8123</v>
      </c>
      <c r="BE136" s="1895"/>
      <c r="BF136" s="463"/>
      <c r="BG136" s="463"/>
      <c r="BH136" s="463"/>
      <c r="BI136" s="463"/>
      <c r="BJ136" s="463"/>
      <c r="BK136" s="463"/>
      <c r="BL136" s="463"/>
      <c r="BN136" s="382" t="s">
        <v>8035</v>
      </c>
      <c r="BO136" s="619">
        <v>0</v>
      </c>
      <c r="BP136" s="619">
        <v>0</v>
      </c>
      <c r="BQ136" s="619">
        <v>0</v>
      </c>
      <c r="BR136" s="619">
        <v>0</v>
      </c>
      <c r="CX136" s="386"/>
    </row>
    <row r="137" spans="26:102" ht="12" customHeight="1">
      <c r="AS137" s="549"/>
      <c r="AT137" s="1644"/>
      <c r="AU137" s="1644"/>
      <c r="AV137" s="1644"/>
      <c r="AW137" s="1644"/>
      <c r="AZ137" s="381" t="s">
        <v>8124</v>
      </c>
      <c r="BA137" s="381"/>
      <c r="BB137" s="1899"/>
      <c r="BC137" s="1899"/>
      <c r="BD137" s="1899"/>
      <c r="BE137" s="1895"/>
      <c r="BF137" s="463"/>
      <c r="BG137" s="463"/>
      <c r="BH137" s="463"/>
      <c r="BI137" s="463"/>
      <c r="BJ137" s="463"/>
      <c r="BK137" s="463"/>
      <c r="BL137" s="463"/>
      <c r="BN137" s="382" t="s">
        <v>2645</v>
      </c>
      <c r="BO137" s="619">
        <v>0</v>
      </c>
      <c r="BP137" s="619">
        <v>0</v>
      </c>
      <c r="BQ137" s="619">
        <v>0</v>
      </c>
      <c r="BR137" s="619">
        <v>0</v>
      </c>
      <c r="CT137" s="463"/>
      <c r="CX137" s="386"/>
    </row>
    <row r="138" spans="26:102" ht="12" customHeight="1">
      <c r="AS138" s="549"/>
      <c r="AT138" s="1644"/>
      <c r="AU138" s="1644"/>
      <c r="AV138" s="1644"/>
      <c r="AW138" s="1644"/>
      <c r="BA138" s="396" t="s">
        <v>7896</v>
      </c>
      <c r="BB138" s="397"/>
      <c r="BC138" s="397"/>
      <c r="BD138" s="395"/>
      <c r="BE138" s="1895"/>
      <c r="BF138" s="463"/>
      <c r="BG138" s="463"/>
      <c r="BH138" s="463"/>
      <c r="BI138" s="463"/>
      <c r="BJ138" s="463"/>
      <c r="BK138" s="463"/>
      <c r="BL138" s="463"/>
      <c r="BN138" s="382" t="s">
        <v>2661</v>
      </c>
      <c r="BO138" s="619">
        <v>0</v>
      </c>
      <c r="BP138" s="619">
        <v>0</v>
      </c>
      <c r="BQ138" s="619">
        <v>0</v>
      </c>
      <c r="BR138" s="619">
        <v>0</v>
      </c>
      <c r="CT138" s="463"/>
    </row>
    <row r="139" spans="26:102" ht="12" customHeight="1">
      <c r="AS139" s="549"/>
      <c r="AT139" s="1644"/>
      <c r="AU139" s="1644"/>
      <c r="AV139" s="1644"/>
      <c r="AW139" s="1644"/>
      <c r="AZ139" s="381" t="s">
        <v>8125</v>
      </c>
      <c r="BA139" s="441">
        <v>2024</v>
      </c>
      <c r="BB139" s="441">
        <v>2023</v>
      </c>
      <c r="BC139" s="442">
        <v>2022</v>
      </c>
      <c r="BD139" s="664">
        <v>2021</v>
      </c>
      <c r="BE139" s="1038"/>
      <c r="BF139" s="463"/>
      <c r="BG139" s="463"/>
      <c r="BH139" s="463"/>
      <c r="BI139" s="463"/>
      <c r="BJ139" s="463"/>
      <c r="BK139" s="463"/>
      <c r="BL139" s="463"/>
      <c r="BN139" s="382" t="s">
        <v>1697</v>
      </c>
      <c r="BO139" s="619">
        <v>3</v>
      </c>
      <c r="BP139" s="619">
        <v>3</v>
      </c>
      <c r="BQ139" s="619">
        <v>3</v>
      </c>
      <c r="BR139" s="1038">
        <v>4</v>
      </c>
    </row>
    <row r="140" spans="26:102" ht="12.95" customHeight="1">
      <c r="AS140" s="549"/>
      <c r="AT140" s="1644"/>
      <c r="AU140" s="1644"/>
      <c r="AV140" s="1644"/>
      <c r="AW140" s="1644"/>
      <c r="AZ140" s="382" t="s">
        <v>3017</v>
      </c>
      <c r="BA140" s="1889">
        <v>226507</v>
      </c>
      <c r="BB140" s="1889">
        <v>180201</v>
      </c>
      <c r="BC140" s="1889">
        <f>SUM(BC141:BC166)</f>
        <v>171308</v>
      </c>
      <c r="BD140" s="1889">
        <f>SUM(BD141:BD166)</f>
        <v>123971</v>
      </c>
      <c r="BE140" s="1895"/>
      <c r="BF140" s="463"/>
      <c r="BG140" s="463"/>
      <c r="BH140" s="463"/>
      <c r="BI140" s="463"/>
      <c r="BJ140" s="463"/>
      <c r="BK140" s="463"/>
      <c r="BL140" s="463"/>
      <c r="BN140" s="382" t="s">
        <v>1698</v>
      </c>
      <c r="BO140" s="1038">
        <v>6</v>
      </c>
      <c r="BP140" s="619">
        <v>6</v>
      </c>
      <c r="BQ140" s="1038">
        <v>7</v>
      </c>
      <c r="BR140" s="1038">
        <v>7</v>
      </c>
    </row>
    <row r="141" spans="26:102" ht="12.95" customHeight="1">
      <c r="AS141" s="549"/>
      <c r="AT141" s="1644"/>
      <c r="AU141" s="1644"/>
      <c r="AV141" s="1644"/>
      <c r="AW141" s="1644"/>
      <c r="AZ141" s="382" t="s">
        <v>8126</v>
      </c>
      <c r="BA141" s="1889">
        <v>85573</v>
      </c>
      <c r="BB141" s="1889">
        <v>75796</v>
      </c>
      <c r="BC141" s="1889">
        <v>59016</v>
      </c>
      <c r="BD141" s="1889">
        <v>36653</v>
      </c>
      <c r="BE141" s="1895"/>
      <c r="BF141" s="463"/>
      <c r="BG141" s="463"/>
      <c r="BH141" s="463"/>
      <c r="BI141" s="463"/>
      <c r="BJ141" s="463"/>
      <c r="BK141" s="463"/>
      <c r="BL141" s="463"/>
      <c r="BN141" s="382" t="s">
        <v>2654</v>
      </c>
      <c r="BO141" s="1038">
        <v>0</v>
      </c>
      <c r="BP141" s="1038">
        <v>0</v>
      </c>
      <c r="BQ141" s="1038">
        <v>0</v>
      </c>
      <c r="BR141" s="1038">
        <v>0</v>
      </c>
    </row>
    <row r="142" spans="26:102" ht="12.95" customHeight="1">
      <c r="AS142" s="549"/>
      <c r="AT142" s="1644"/>
      <c r="AU142" s="1644"/>
      <c r="AV142" s="1644"/>
      <c r="AW142" s="1644"/>
      <c r="AZ142" s="382" t="s">
        <v>8127</v>
      </c>
      <c r="BA142" s="1889">
        <v>1043</v>
      </c>
      <c r="BB142" s="1889">
        <v>910</v>
      </c>
      <c r="BC142" s="1889">
        <v>825</v>
      </c>
      <c r="BD142" s="1889">
        <v>647</v>
      </c>
      <c r="BE142" s="1895"/>
      <c r="BF142" s="463"/>
      <c r="BG142" s="463"/>
      <c r="BH142" s="463"/>
      <c r="BI142" s="463"/>
      <c r="BJ142" s="463"/>
      <c r="BK142" s="463"/>
      <c r="BL142" s="463"/>
      <c r="BN142" s="382" t="s">
        <v>2652</v>
      </c>
      <c r="BO142" s="619">
        <v>0</v>
      </c>
      <c r="BP142" s="1038">
        <v>0</v>
      </c>
      <c r="BQ142" s="1038">
        <v>0</v>
      </c>
      <c r="BR142" s="619">
        <v>0</v>
      </c>
    </row>
    <row r="143" spans="26:102" ht="12.95" customHeight="1">
      <c r="AS143" s="549"/>
      <c r="AT143" s="1644"/>
      <c r="AU143" s="1644"/>
      <c r="AV143" s="1644"/>
      <c r="AW143" s="1644"/>
      <c r="AZ143" s="382" t="s">
        <v>8128</v>
      </c>
      <c r="BA143" s="1038">
        <v>0</v>
      </c>
      <c r="BB143" s="1038">
        <v>0</v>
      </c>
      <c r="BC143" s="1038">
        <v>0</v>
      </c>
      <c r="BD143" s="1038">
        <v>0</v>
      </c>
      <c r="BE143" s="1895"/>
      <c r="BF143" s="463"/>
      <c r="BG143" s="463"/>
      <c r="BH143" s="463"/>
      <c r="BI143" s="463"/>
      <c r="BJ143" s="463"/>
      <c r="BK143" s="463"/>
      <c r="BL143" s="463"/>
      <c r="BN143" s="382" t="s">
        <v>6301</v>
      </c>
      <c r="BO143" s="619">
        <v>0</v>
      </c>
      <c r="BP143" s="619">
        <v>0</v>
      </c>
      <c r="BQ143" s="619">
        <v>0</v>
      </c>
      <c r="BR143" s="1038">
        <v>0</v>
      </c>
    </row>
    <row r="144" spans="26:102" ht="12.95" customHeight="1">
      <c r="AS144" s="549"/>
      <c r="AT144" s="1644"/>
      <c r="AU144" s="1644"/>
      <c r="AV144" s="1644"/>
      <c r="AW144" s="1644"/>
      <c r="AZ144" s="382" t="s">
        <v>8129</v>
      </c>
      <c r="BA144" s="1889">
        <v>38</v>
      </c>
      <c r="BB144" s="1889">
        <v>18</v>
      </c>
      <c r="BC144" s="1889">
        <v>24</v>
      </c>
      <c r="BD144" s="1889">
        <v>26</v>
      </c>
      <c r="BE144" s="1895"/>
      <c r="BF144" s="463"/>
      <c r="BG144" s="463"/>
      <c r="BH144" s="463"/>
      <c r="BI144" s="463"/>
      <c r="BJ144" s="463"/>
      <c r="BK144" s="463"/>
      <c r="BL144" s="463"/>
      <c r="BN144" s="382" t="s">
        <v>8078</v>
      </c>
      <c r="BO144" s="1038">
        <v>0</v>
      </c>
      <c r="BP144" s="619">
        <v>0</v>
      </c>
      <c r="BQ144" s="1038">
        <v>0</v>
      </c>
      <c r="BR144" s="1038">
        <v>0</v>
      </c>
    </row>
    <row r="145" spans="45:108" ht="12.95" customHeight="1">
      <c r="AS145" s="549"/>
      <c r="AT145" s="1644"/>
      <c r="AU145" s="1641"/>
      <c r="AV145" s="1644"/>
      <c r="AW145" s="1644"/>
      <c r="AZ145" s="382" t="s">
        <v>85</v>
      </c>
      <c r="BA145" s="1889">
        <v>20394</v>
      </c>
      <c r="BB145" s="1889">
        <v>16421</v>
      </c>
      <c r="BC145" s="1889">
        <v>18143</v>
      </c>
      <c r="BD145" s="1889">
        <v>13218</v>
      </c>
      <c r="BE145" s="1895"/>
      <c r="BF145" s="463"/>
      <c r="BG145" s="463"/>
      <c r="BH145" s="463"/>
      <c r="BI145" s="463"/>
      <c r="BJ145" s="463"/>
      <c r="BK145" s="463"/>
      <c r="BL145" s="463"/>
      <c r="BN145" s="382" t="s">
        <v>2649</v>
      </c>
      <c r="BO145" s="619">
        <v>1</v>
      </c>
      <c r="BP145" s="1038">
        <v>1</v>
      </c>
      <c r="BQ145" s="1038">
        <v>1</v>
      </c>
      <c r="BR145" s="619">
        <v>1</v>
      </c>
    </row>
    <row r="146" spans="45:108" ht="12.95" customHeight="1">
      <c r="AS146" s="549"/>
      <c r="AT146" s="1644"/>
      <c r="AU146" s="1641"/>
      <c r="AV146" s="1644"/>
      <c r="AW146" s="1644"/>
      <c r="AZ146" s="382" t="s">
        <v>8130</v>
      </c>
      <c r="BA146" s="1889">
        <v>4728</v>
      </c>
      <c r="BB146" s="1889">
        <v>3768</v>
      </c>
      <c r="BC146" s="1889">
        <v>3555</v>
      </c>
      <c r="BD146" s="1889">
        <v>1962</v>
      </c>
      <c r="BE146" s="1038"/>
      <c r="BF146" s="463"/>
      <c r="BG146" s="463"/>
      <c r="BH146" s="463"/>
      <c r="BI146" s="463"/>
      <c r="BJ146" s="463"/>
      <c r="BK146" s="463"/>
      <c r="BL146" s="463"/>
      <c r="BN146" s="382" t="s">
        <v>2651</v>
      </c>
      <c r="BO146" s="619">
        <v>0</v>
      </c>
      <c r="BP146" s="619">
        <v>0</v>
      </c>
      <c r="BQ146" s="619">
        <v>0</v>
      </c>
      <c r="BR146" s="1038">
        <v>1</v>
      </c>
      <c r="CY146" s="2073"/>
      <c r="CZ146" s="2073"/>
      <c r="DA146" s="2073"/>
      <c r="DB146" s="2073"/>
      <c r="DC146" s="2073"/>
    </row>
    <row r="147" spans="45:108" ht="12.95" customHeight="1">
      <c r="AS147" s="549"/>
      <c r="AT147" s="1644"/>
      <c r="AU147" s="1644"/>
      <c r="AV147" s="1641"/>
      <c r="AW147" s="1641"/>
      <c r="AZ147" s="382" t="s">
        <v>8131</v>
      </c>
      <c r="BA147" s="1889">
        <v>17988</v>
      </c>
      <c r="BB147" s="1889">
        <v>12473</v>
      </c>
      <c r="BC147" s="1889">
        <v>11725</v>
      </c>
      <c r="BD147" s="1889">
        <v>5880</v>
      </c>
      <c r="BE147" s="1895"/>
      <c r="BF147" s="463"/>
      <c r="BG147" s="463"/>
      <c r="BH147" s="463"/>
      <c r="BI147" s="463"/>
      <c r="BJ147" s="463"/>
      <c r="BK147" s="463"/>
      <c r="BL147" s="463"/>
      <c r="BN147" s="382" t="s">
        <v>8086</v>
      </c>
      <c r="BO147" s="619">
        <v>0</v>
      </c>
      <c r="BP147" s="1038">
        <v>0</v>
      </c>
      <c r="BQ147" s="1038">
        <v>0</v>
      </c>
      <c r="BR147" s="1038">
        <v>0</v>
      </c>
      <c r="CX147" s="386"/>
      <c r="CY147" s="385"/>
      <c r="CZ147" s="385"/>
      <c r="DA147" s="385"/>
      <c r="DB147" s="385"/>
      <c r="DC147" s="385"/>
    </row>
    <row r="148" spans="45:108" ht="12.95" customHeight="1">
      <c r="AS148" s="583"/>
      <c r="AT148" s="1644"/>
      <c r="AU148" s="1641"/>
      <c r="AV148" s="1641"/>
      <c r="AW148" s="1641"/>
      <c r="AZ148" s="382" t="s">
        <v>8132</v>
      </c>
      <c r="BA148" s="1038">
        <v>0</v>
      </c>
      <c r="BB148" s="1038">
        <v>0</v>
      </c>
      <c r="BC148" s="1038">
        <v>0</v>
      </c>
      <c r="BD148" s="1038">
        <v>0</v>
      </c>
      <c r="BE148" s="1895"/>
      <c r="BF148" s="463"/>
      <c r="BG148" s="463"/>
      <c r="BH148" s="463"/>
      <c r="BI148" s="463"/>
      <c r="BJ148" s="463"/>
      <c r="BK148" s="463"/>
      <c r="BL148" s="463"/>
      <c r="BN148" s="382" t="s">
        <v>2658</v>
      </c>
      <c r="BO148" s="1038">
        <v>7</v>
      </c>
      <c r="BP148" s="619">
        <v>8</v>
      </c>
      <c r="BQ148" s="1038">
        <v>8</v>
      </c>
      <c r="BR148" s="619">
        <v>8</v>
      </c>
    </row>
    <row r="149" spans="45:108" ht="12.95" customHeight="1">
      <c r="AS149" s="583"/>
      <c r="AT149" s="1644"/>
      <c r="AU149" s="1644"/>
      <c r="AV149" s="1644"/>
      <c r="AW149" s="1644"/>
      <c r="AZ149" s="382" t="s">
        <v>8133</v>
      </c>
      <c r="BA149" s="1889">
        <v>15655</v>
      </c>
      <c r="BB149" s="1889">
        <v>14434</v>
      </c>
      <c r="BC149" s="1889">
        <v>9250</v>
      </c>
      <c r="BD149" s="1889">
        <v>7192</v>
      </c>
      <c r="BE149" s="1038"/>
      <c r="BF149" s="463"/>
      <c r="BG149" s="463"/>
      <c r="BH149" s="463"/>
      <c r="BI149" s="463"/>
      <c r="BJ149" s="463"/>
      <c r="BK149" s="463"/>
      <c r="BL149" s="463"/>
      <c r="BN149" s="382" t="s">
        <v>8091</v>
      </c>
      <c r="BO149" s="619">
        <v>0</v>
      </c>
      <c r="BP149" s="1038">
        <v>0</v>
      </c>
      <c r="BQ149" s="619">
        <v>0</v>
      </c>
      <c r="BR149" s="619">
        <v>0</v>
      </c>
    </row>
    <row r="150" spans="45:108" ht="12.95" customHeight="1">
      <c r="AS150" s="562"/>
      <c r="AT150" s="1644"/>
      <c r="AU150" s="1644"/>
      <c r="AV150" s="1641"/>
      <c r="AW150" s="1641"/>
      <c r="AZ150" s="382" t="s">
        <v>8134</v>
      </c>
      <c r="BA150" s="1889">
        <v>12213</v>
      </c>
      <c r="BB150" s="1889">
        <v>8765</v>
      </c>
      <c r="BC150" s="1889">
        <v>9125</v>
      </c>
      <c r="BD150" s="1889">
        <v>6580</v>
      </c>
      <c r="BE150" s="1895"/>
      <c r="BF150" s="463"/>
      <c r="BG150" s="463"/>
      <c r="BH150" s="463"/>
      <c r="BI150" s="463"/>
      <c r="BJ150" s="463"/>
      <c r="BK150" s="463"/>
      <c r="BL150" s="463"/>
      <c r="BN150" s="382" t="s">
        <v>8093</v>
      </c>
      <c r="BO150" s="1038">
        <v>0</v>
      </c>
      <c r="BP150" s="1038">
        <v>0</v>
      </c>
      <c r="BQ150" s="1038">
        <v>0</v>
      </c>
      <c r="BR150" s="1038">
        <v>0</v>
      </c>
      <c r="DD150" s="414"/>
    </row>
    <row r="151" spans="45:108" ht="12.95" customHeight="1">
      <c r="AS151" s="1623"/>
      <c r="AT151" s="1644"/>
      <c r="AU151" s="1644"/>
      <c r="AV151" s="1644"/>
      <c r="AW151" s="1644"/>
      <c r="AZ151" s="382" t="s">
        <v>8135</v>
      </c>
      <c r="BA151" s="1889">
        <v>4750</v>
      </c>
      <c r="BB151" s="1889">
        <v>3799</v>
      </c>
      <c r="BC151" s="1889">
        <v>3859</v>
      </c>
      <c r="BD151" s="1889">
        <v>2855</v>
      </c>
      <c r="BE151" s="1038"/>
      <c r="BF151" s="435"/>
      <c r="BG151" s="463"/>
      <c r="BH151" s="463"/>
      <c r="BI151" s="463"/>
      <c r="BJ151" s="463"/>
      <c r="BK151" s="463"/>
      <c r="BL151" s="435"/>
      <c r="BN151" s="1068" t="s">
        <v>8094</v>
      </c>
      <c r="BO151" s="619">
        <v>0</v>
      </c>
      <c r="BP151" s="1038">
        <v>0</v>
      </c>
      <c r="BQ151" s="619">
        <v>0</v>
      </c>
      <c r="BR151" s="619">
        <v>0</v>
      </c>
    </row>
    <row r="152" spans="45:108" ht="12.95" customHeight="1">
      <c r="AS152" s="562"/>
      <c r="AT152" s="1644"/>
      <c r="AU152" s="1644"/>
      <c r="AV152" s="1644"/>
      <c r="AW152" s="1644"/>
      <c r="AZ152" s="382" t="s">
        <v>8136</v>
      </c>
      <c r="BA152" s="1889">
        <v>778</v>
      </c>
      <c r="BB152" s="1889">
        <v>459</v>
      </c>
      <c r="BC152" s="1889">
        <v>562</v>
      </c>
      <c r="BD152" s="1889">
        <v>673</v>
      </c>
      <c r="BE152" s="1895"/>
      <c r="BF152" s="435"/>
      <c r="BG152" s="463"/>
      <c r="BH152" s="463"/>
      <c r="BI152" s="463"/>
      <c r="BJ152" s="463"/>
      <c r="BK152" s="463"/>
      <c r="BL152" s="435"/>
      <c r="BN152" s="463" t="s">
        <v>8095</v>
      </c>
      <c r="BO152" s="619">
        <v>0</v>
      </c>
      <c r="BP152" s="619">
        <v>0</v>
      </c>
      <c r="BQ152" s="619">
        <v>0</v>
      </c>
      <c r="BR152" s="619">
        <v>0</v>
      </c>
    </row>
    <row r="153" spans="45:108" ht="12.95" customHeight="1">
      <c r="AS153" s="562"/>
      <c r="AT153" s="1644"/>
      <c r="AU153" s="1644"/>
      <c r="AV153" s="1644"/>
      <c r="AW153" s="1644"/>
      <c r="AZ153" s="382" t="s">
        <v>8137</v>
      </c>
      <c r="BA153" s="1889">
        <v>34693</v>
      </c>
      <c r="BB153" s="1889">
        <v>21790</v>
      </c>
      <c r="BC153" s="1889">
        <v>21935</v>
      </c>
      <c r="BD153" s="1889">
        <v>19822</v>
      </c>
      <c r="BE153" s="1038"/>
      <c r="BF153" s="463"/>
      <c r="BG153" s="463"/>
      <c r="BH153" s="463"/>
      <c r="BI153" s="463"/>
      <c r="BJ153" s="463"/>
      <c r="BK153" s="463"/>
      <c r="BL153" s="463"/>
      <c r="BN153" s="497" t="s">
        <v>8098</v>
      </c>
      <c r="BO153" s="1050">
        <v>0</v>
      </c>
      <c r="BP153" s="645">
        <v>0</v>
      </c>
      <c r="BQ153" s="645">
        <v>0</v>
      </c>
      <c r="BR153" s="645">
        <v>0</v>
      </c>
    </row>
    <row r="154" spans="45:108" ht="12.95" customHeight="1">
      <c r="AS154" s="562"/>
      <c r="AT154" s="1644"/>
      <c r="AU154" s="1644"/>
      <c r="AV154" s="1644"/>
      <c r="AW154" s="1644"/>
      <c r="AZ154" s="382" t="s">
        <v>8138</v>
      </c>
      <c r="BA154" s="1889">
        <v>13742</v>
      </c>
      <c r="BB154" s="1889">
        <v>9707</v>
      </c>
      <c r="BC154" s="1889">
        <v>11958</v>
      </c>
      <c r="BD154" s="1889">
        <v>4256</v>
      </c>
      <c r="BE154" s="1895"/>
      <c r="BF154" s="435"/>
      <c r="BG154" s="435"/>
      <c r="BH154" s="435"/>
      <c r="BI154" s="435"/>
      <c r="BJ154" s="435"/>
      <c r="BK154" s="435"/>
      <c r="BL154" s="435"/>
      <c r="BN154" s="549" t="s">
        <v>8058</v>
      </c>
      <c r="BO154" s="549"/>
      <c r="BP154" s="549"/>
      <c r="BQ154" s="549"/>
      <c r="BR154" s="549"/>
    </row>
    <row r="155" spans="45:108" ht="12.95" customHeight="1">
      <c r="AS155" s="562"/>
      <c r="AT155" s="1644"/>
      <c r="AU155" s="1644"/>
      <c r="AV155" s="1644"/>
      <c r="AW155" s="1644"/>
      <c r="AZ155" s="382" t="s">
        <v>8139</v>
      </c>
      <c r="BA155" s="1038">
        <v>0</v>
      </c>
      <c r="BB155" s="1038">
        <v>0</v>
      </c>
      <c r="BC155" s="1038">
        <v>0</v>
      </c>
      <c r="BD155" s="1038">
        <v>0</v>
      </c>
      <c r="BE155" s="1895"/>
      <c r="BF155" s="463"/>
      <c r="BG155" s="435"/>
      <c r="BH155" s="435"/>
      <c r="BI155" s="435"/>
      <c r="BJ155" s="435"/>
      <c r="BK155" s="435"/>
      <c r="BL155" s="463"/>
    </row>
    <row r="156" spans="45:108" ht="12.95" customHeight="1">
      <c r="AS156" s="562"/>
      <c r="AT156" s="1644"/>
      <c r="AU156" s="1644"/>
      <c r="AV156" s="1644"/>
      <c r="AW156" s="1644"/>
      <c r="AZ156" s="382" t="s">
        <v>8140</v>
      </c>
      <c r="BA156" s="1889">
        <v>126</v>
      </c>
      <c r="BB156" s="1889">
        <v>110</v>
      </c>
      <c r="BC156" s="1889">
        <v>96</v>
      </c>
      <c r="BD156" s="1889">
        <v>64</v>
      </c>
      <c r="BE156" s="1895"/>
      <c r="BF156" s="463"/>
      <c r="BG156" s="463"/>
      <c r="BH156" s="463"/>
      <c r="BI156" s="463"/>
      <c r="BJ156" s="463"/>
      <c r="BK156" s="463"/>
      <c r="BL156" s="463"/>
      <c r="BN156" s="463"/>
    </row>
    <row r="157" spans="45:108" ht="12.95" customHeight="1">
      <c r="AS157" s="549"/>
      <c r="AT157" s="549"/>
      <c r="AU157" s="641"/>
      <c r="AV157" s="641"/>
      <c r="AW157" s="641"/>
      <c r="AZ157" s="382" t="s">
        <v>8141</v>
      </c>
      <c r="BA157" s="1889">
        <v>20</v>
      </c>
      <c r="BB157" s="1889">
        <v>33</v>
      </c>
      <c r="BC157" s="1889">
        <v>25</v>
      </c>
      <c r="BD157" s="1889">
        <v>30</v>
      </c>
      <c r="BE157" s="1895"/>
      <c r="BF157" s="463"/>
      <c r="BG157" s="435"/>
      <c r="BH157" s="435"/>
      <c r="BI157" s="435"/>
      <c r="BJ157" s="435"/>
      <c r="BK157" s="435"/>
      <c r="BL157" s="463"/>
    </row>
    <row r="158" spans="45:108" ht="12.95" customHeight="1">
      <c r="AZ158" s="382" t="s">
        <v>8142</v>
      </c>
      <c r="BA158" s="1038">
        <v>0</v>
      </c>
      <c r="BB158" s="1038">
        <v>0</v>
      </c>
      <c r="BC158" s="1038">
        <v>0</v>
      </c>
      <c r="BD158" s="1038">
        <v>0</v>
      </c>
      <c r="BF158" s="463"/>
      <c r="BG158" s="463"/>
      <c r="BH158" s="463"/>
      <c r="BI158" s="463"/>
      <c r="BJ158" s="463"/>
      <c r="BK158" s="463"/>
      <c r="BL158" s="463"/>
      <c r="BN158" s="381" t="s">
        <v>8153</v>
      </c>
      <c r="BO158" s="381"/>
      <c r="BP158" s="381"/>
      <c r="BQ158" s="381"/>
      <c r="BR158" s="381"/>
    </row>
    <row r="159" spans="45:108" ht="12.95" customHeight="1">
      <c r="AZ159" s="382" t="s">
        <v>8143</v>
      </c>
      <c r="BA159" s="1889">
        <v>8993</v>
      </c>
      <c r="BB159" s="1889">
        <v>7321</v>
      </c>
      <c r="BC159" s="1889">
        <v>11644</v>
      </c>
      <c r="BD159" s="1889">
        <v>7496</v>
      </c>
      <c r="BE159" s="619"/>
      <c r="BF159" s="463"/>
      <c r="BG159" s="463"/>
      <c r="BH159" s="463"/>
      <c r="BI159" s="463"/>
      <c r="BJ159" s="463"/>
      <c r="BK159" s="463"/>
      <c r="BL159" s="463"/>
      <c r="BN159" s="398"/>
      <c r="BO159" s="2127" t="s">
        <v>8073</v>
      </c>
      <c r="BP159" s="2128"/>
      <c r="BQ159" s="2128"/>
      <c r="BR159" s="2128"/>
      <c r="BS159" s="619"/>
    </row>
    <row r="160" spans="45:108" ht="12.95" customHeight="1">
      <c r="AZ160" s="382" t="s">
        <v>8144</v>
      </c>
      <c r="BA160" s="1038">
        <v>0</v>
      </c>
      <c r="BB160" s="1038">
        <v>0</v>
      </c>
      <c r="BC160" s="1038">
        <v>0</v>
      </c>
      <c r="BD160" s="1038">
        <v>0</v>
      </c>
      <c r="BE160" s="619"/>
      <c r="BF160" s="463"/>
      <c r="BG160" s="463"/>
      <c r="BH160" s="463"/>
      <c r="BI160" s="463"/>
      <c r="BJ160" s="463"/>
      <c r="BK160" s="463"/>
      <c r="BL160" s="463"/>
      <c r="BN160" s="1516" t="s">
        <v>2642</v>
      </c>
      <c r="BO160" s="729" t="s">
        <v>42</v>
      </c>
      <c r="BP160" s="729" t="s">
        <v>43</v>
      </c>
      <c r="BQ160" s="729" t="s">
        <v>44</v>
      </c>
      <c r="BR160" s="729" t="s">
        <v>45</v>
      </c>
    </row>
    <row r="161" spans="38:84" ht="12.95" customHeight="1">
      <c r="AZ161" s="382" t="s">
        <v>8145</v>
      </c>
      <c r="BA161" s="1889">
        <v>1396</v>
      </c>
      <c r="BB161" s="1889">
        <v>393</v>
      </c>
      <c r="BC161" s="1889">
        <v>792</v>
      </c>
      <c r="BD161" s="1889">
        <v>326</v>
      </c>
      <c r="BF161" s="619"/>
      <c r="BG161" s="463"/>
      <c r="BH161" s="463"/>
      <c r="BI161" s="463"/>
      <c r="BJ161" s="463"/>
      <c r="BK161" s="463"/>
      <c r="BL161" s="619"/>
      <c r="BN161" s="382" t="s">
        <v>3507</v>
      </c>
      <c r="BO161" s="619">
        <f>SUM(BO162:BO194)</f>
        <v>187</v>
      </c>
      <c r="BP161" s="619">
        <f>SUM(BP162:BP195)</f>
        <v>198</v>
      </c>
      <c r="BQ161" s="619">
        <f>SUM(BQ162:BQ194)</f>
        <v>211</v>
      </c>
      <c r="BR161" s="619">
        <f>SUM(BR162:BR194)</f>
        <v>218</v>
      </c>
      <c r="CF161" s="619"/>
    </row>
    <row r="162" spans="38:84" ht="12.95" customHeight="1">
      <c r="AL162" s="463"/>
      <c r="AM162" s="463"/>
      <c r="AN162" s="463"/>
      <c r="AO162" s="463"/>
      <c r="AP162" s="463"/>
      <c r="AZ162" s="382" t="s">
        <v>8146</v>
      </c>
      <c r="BA162" s="1038">
        <v>0</v>
      </c>
      <c r="BB162" s="1038">
        <v>0</v>
      </c>
      <c r="BC162" s="1038">
        <v>0</v>
      </c>
      <c r="BD162" s="1038">
        <v>0</v>
      </c>
      <c r="BE162" s="619"/>
      <c r="BF162" s="619"/>
      <c r="BG162" s="463"/>
      <c r="BH162" s="463"/>
      <c r="BI162" s="463"/>
      <c r="BJ162" s="463"/>
      <c r="BK162" s="463"/>
      <c r="BL162" s="619"/>
      <c r="BN162" s="382" t="s">
        <v>2655</v>
      </c>
      <c r="BO162" s="1038">
        <v>0</v>
      </c>
      <c r="BP162" s="1038">
        <v>0</v>
      </c>
      <c r="BQ162" s="619">
        <v>0</v>
      </c>
      <c r="BR162" s="1038">
        <v>2</v>
      </c>
    </row>
    <row r="163" spans="38:84" ht="12.95" customHeight="1">
      <c r="AL163" s="463"/>
      <c r="AM163" s="463"/>
      <c r="AN163" s="463"/>
      <c r="AO163" s="463"/>
      <c r="AP163" s="463"/>
      <c r="AZ163" s="382" t="s">
        <v>8147</v>
      </c>
      <c r="BA163" s="1889">
        <v>347</v>
      </c>
      <c r="BB163" s="1889">
        <v>479</v>
      </c>
      <c r="BC163" s="1889">
        <v>554</v>
      </c>
      <c r="BD163" s="1889">
        <v>247</v>
      </c>
      <c r="BE163" s="619"/>
      <c r="BF163" s="619"/>
      <c r="BG163" s="463"/>
      <c r="BH163" s="463"/>
      <c r="BI163" s="463"/>
      <c r="BJ163" s="463"/>
      <c r="BK163" s="463"/>
      <c r="BL163" s="619"/>
      <c r="BN163" s="382" t="s">
        <v>2596</v>
      </c>
      <c r="BO163" s="1038">
        <v>0</v>
      </c>
      <c r="BP163" s="1038">
        <v>0</v>
      </c>
      <c r="BQ163" s="619">
        <v>0</v>
      </c>
      <c r="BR163" s="1038">
        <v>0</v>
      </c>
    </row>
    <row r="164" spans="38:84" ht="12.95" customHeight="1">
      <c r="AL164" s="463"/>
      <c r="AM164" s="463"/>
      <c r="AN164" s="463"/>
      <c r="AO164" s="463"/>
      <c r="AP164" s="463"/>
      <c r="AZ164" s="382" t="s">
        <v>8148</v>
      </c>
      <c r="BA164" s="1889">
        <v>2147</v>
      </c>
      <c r="BB164" s="1889">
        <v>2083</v>
      </c>
      <c r="BC164" s="1889">
        <v>1773</v>
      </c>
      <c r="BD164" s="1889">
        <v>1585</v>
      </c>
      <c r="BG164" s="619"/>
      <c r="BH164" s="619"/>
      <c r="BI164" s="619"/>
      <c r="BJ164" s="619"/>
      <c r="BK164" s="619"/>
      <c r="BN164" s="382" t="s">
        <v>6385</v>
      </c>
      <c r="BO164" s="619">
        <v>0</v>
      </c>
      <c r="BP164" s="619">
        <v>0</v>
      </c>
      <c r="BQ164" s="619">
        <v>0</v>
      </c>
      <c r="BR164" s="619">
        <v>0</v>
      </c>
    </row>
    <row r="165" spans="38:84" ht="12.95" customHeight="1">
      <c r="AZ165" s="382" t="s">
        <v>8149</v>
      </c>
      <c r="BA165" s="1895">
        <v>324</v>
      </c>
      <c r="BB165" s="1895">
        <v>190</v>
      </c>
      <c r="BC165" s="1895">
        <v>5246</v>
      </c>
      <c r="BD165" s="1895">
        <v>14041</v>
      </c>
      <c r="BE165" s="402"/>
      <c r="BF165" s="402"/>
      <c r="BG165" s="619"/>
      <c r="BH165" s="619"/>
      <c r="BI165" s="619"/>
      <c r="BJ165" s="619"/>
      <c r="BK165" s="619"/>
      <c r="BL165" s="402"/>
      <c r="BN165" s="382" t="s">
        <v>1694</v>
      </c>
      <c r="BO165" s="619">
        <v>0</v>
      </c>
      <c r="BP165" s="1901">
        <v>0</v>
      </c>
      <c r="BQ165" s="619">
        <v>0</v>
      </c>
      <c r="BR165" s="619">
        <v>0</v>
      </c>
    </row>
    <row r="166" spans="38:84" ht="12.95" customHeight="1">
      <c r="AZ166" s="381" t="s">
        <v>8150</v>
      </c>
      <c r="BA166" s="1890">
        <v>1449</v>
      </c>
      <c r="BB166" s="1890">
        <v>963</v>
      </c>
      <c r="BC166" s="1890">
        <v>1201</v>
      </c>
      <c r="BD166" s="1890">
        <v>418</v>
      </c>
      <c r="BE166" s="385"/>
      <c r="BF166" s="385"/>
      <c r="BG166" s="619"/>
      <c r="BH166" s="619"/>
      <c r="BI166" s="619"/>
      <c r="BJ166" s="619"/>
      <c r="BK166" s="619"/>
      <c r="BL166" s="385"/>
      <c r="BN166" s="382" t="s">
        <v>6302</v>
      </c>
      <c r="BO166" s="619">
        <v>0</v>
      </c>
      <c r="BP166" s="619">
        <v>0</v>
      </c>
      <c r="BQ166" s="619">
        <v>0</v>
      </c>
      <c r="BR166" s="619">
        <v>0</v>
      </c>
    </row>
    <row r="167" spans="38:84" ht="12" customHeight="1">
      <c r="AZ167" s="549" t="s">
        <v>8058</v>
      </c>
      <c r="BA167" s="549"/>
      <c r="BB167" s="549"/>
      <c r="BC167" s="549"/>
      <c r="BE167" s="619"/>
      <c r="BF167" s="619"/>
      <c r="BL167" s="619"/>
      <c r="BN167" s="382" t="s">
        <v>7970</v>
      </c>
      <c r="BO167" s="619">
        <v>0</v>
      </c>
      <c r="BP167" s="619">
        <v>0</v>
      </c>
      <c r="BQ167" s="619">
        <v>0</v>
      </c>
      <c r="BR167" s="619">
        <v>0</v>
      </c>
    </row>
    <row r="168" spans="38:84" ht="12" customHeight="1">
      <c r="AZ168" s="549" t="s">
        <v>8151</v>
      </c>
      <c r="BA168" s="562"/>
      <c r="BB168" s="562"/>
      <c r="BC168" s="562"/>
      <c r="BE168" s="882"/>
      <c r="BF168" s="619"/>
      <c r="BG168" s="402"/>
      <c r="BH168" s="402"/>
      <c r="BI168" s="402"/>
      <c r="BJ168" s="402"/>
      <c r="BK168" s="402"/>
      <c r="BL168" s="619"/>
      <c r="BN168" s="382" t="s">
        <v>7975</v>
      </c>
      <c r="BO168" s="1038">
        <v>0</v>
      </c>
      <c r="BP168" s="1038">
        <v>0</v>
      </c>
      <c r="BQ168" s="1038">
        <v>0</v>
      </c>
      <c r="BR168" s="1038">
        <v>0</v>
      </c>
    </row>
    <row r="169" spans="38:84" ht="12" customHeight="1">
      <c r="AZ169" s="549" t="s">
        <v>8152</v>
      </c>
      <c r="BA169" s="549"/>
      <c r="BB169" s="562"/>
      <c r="BC169" s="549"/>
      <c r="BD169" s="463"/>
      <c r="BF169" s="619"/>
      <c r="BG169" s="385"/>
      <c r="BH169" s="385"/>
      <c r="BI169" s="385"/>
      <c r="BJ169" s="385"/>
      <c r="BK169" s="385"/>
      <c r="BL169" s="619"/>
      <c r="BN169" s="382" t="s">
        <v>3793</v>
      </c>
      <c r="BO169" s="619">
        <v>4</v>
      </c>
      <c r="BP169" s="619">
        <v>5</v>
      </c>
      <c r="BQ169" s="619">
        <v>5</v>
      </c>
      <c r="BR169" s="619">
        <v>5</v>
      </c>
    </row>
    <row r="170" spans="38:84" ht="12" customHeight="1">
      <c r="AZ170" s="549"/>
      <c r="BA170" s="882"/>
      <c r="BB170" s="882"/>
      <c r="BC170" s="882"/>
      <c r="BD170" s="882"/>
      <c r="BF170" s="619"/>
      <c r="BG170" s="619"/>
      <c r="BH170" s="619"/>
      <c r="BI170" s="619"/>
      <c r="BJ170" s="619"/>
      <c r="BK170" s="619"/>
      <c r="BL170" s="619"/>
      <c r="BN170" s="382" t="s">
        <v>7986</v>
      </c>
      <c r="BO170" s="619">
        <v>35</v>
      </c>
      <c r="BP170" s="619">
        <v>35</v>
      </c>
      <c r="BQ170" s="619">
        <v>37</v>
      </c>
      <c r="BR170" s="619">
        <v>37</v>
      </c>
    </row>
    <row r="171" spans="38:84" ht="12" customHeight="1">
      <c r="BF171" s="619"/>
      <c r="BG171" s="619"/>
      <c r="BH171" s="619"/>
      <c r="BI171" s="619"/>
      <c r="BJ171" s="619"/>
      <c r="BK171" s="619"/>
      <c r="BL171" s="619"/>
      <c r="BN171" s="382" t="s">
        <v>7995</v>
      </c>
      <c r="BO171" s="619">
        <v>0</v>
      </c>
      <c r="BP171" s="619">
        <v>0</v>
      </c>
      <c r="BQ171" s="619">
        <v>0</v>
      </c>
      <c r="BR171" s="619">
        <v>0</v>
      </c>
    </row>
    <row r="172" spans="38:84" ht="12" customHeight="1">
      <c r="BF172" s="619"/>
      <c r="BG172" s="619"/>
      <c r="BH172" s="619"/>
      <c r="BI172" s="619"/>
      <c r="BJ172" s="619"/>
      <c r="BK172" s="619"/>
      <c r="BL172" s="619"/>
      <c r="BN172" s="382" t="s">
        <v>8002</v>
      </c>
      <c r="BO172" s="619">
        <v>0</v>
      </c>
      <c r="BP172" s="619">
        <v>0</v>
      </c>
      <c r="BQ172" s="619">
        <v>0</v>
      </c>
      <c r="BR172" s="619">
        <v>0</v>
      </c>
    </row>
    <row r="173" spans="38:84" ht="12" customHeight="1">
      <c r="BF173" s="619"/>
      <c r="BG173" s="619"/>
      <c r="BH173" s="619"/>
      <c r="BI173" s="619"/>
      <c r="BJ173" s="619"/>
      <c r="BK173" s="619"/>
      <c r="BL173" s="619"/>
      <c r="BN173" s="382" t="s">
        <v>8010</v>
      </c>
      <c r="BO173" s="619">
        <v>0</v>
      </c>
      <c r="BP173" s="619">
        <v>0</v>
      </c>
      <c r="BQ173" s="619">
        <v>0</v>
      </c>
      <c r="BR173" s="619">
        <v>0</v>
      </c>
    </row>
    <row r="174" spans="38:84" ht="12" customHeight="1">
      <c r="BF174" s="619"/>
      <c r="BG174" s="619"/>
      <c r="BH174" s="619"/>
      <c r="BI174" s="619"/>
      <c r="BJ174" s="619"/>
      <c r="BK174" s="619"/>
      <c r="BL174" s="619"/>
      <c r="BN174" s="382" t="s">
        <v>1695</v>
      </c>
      <c r="BO174" s="619">
        <v>6</v>
      </c>
      <c r="BP174" s="619">
        <v>5</v>
      </c>
      <c r="BQ174" s="619">
        <v>6</v>
      </c>
      <c r="BR174" s="619">
        <v>9</v>
      </c>
    </row>
    <row r="175" spans="38:84" ht="12" customHeight="1">
      <c r="BF175" s="619"/>
      <c r="BG175" s="619"/>
      <c r="BH175" s="619"/>
      <c r="BI175" s="619"/>
      <c r="BJ175" s="619"/>
      <c r="BK175" s="619"/>
      <c r="BL175" s="619"/>
      <c r="BN175" s="382" t="s">
        <v>2653</v>
      </c>
      <c r="BO175" s="619">
        <v>10</v>
      </c>
      <c r="BP175" s="619">
        <v>11</v>
      </c>
      <c r="BQ175" s="619">
        <v>12</v>
      </c>
      <c r="BR175" s="619">
        <v>13</v>
      </c>
    </row>
    <row r="176" spans="38:84" ht="12" customHeight="1">
      <c r="BF176" s="619"/>
      <c r="BG176" s="619"/>
      <c r="BH176" s="619"/>
      <c r="BI176" s="619"/>
      <c r="BJ176" s="619"/>
      <c r="BK176" s="619"/>
      <c r="BL176" s="619"/>
      <c r="BN176" s="382" t="s">
        <v>1696</v>
      </c>
      <c r="BO176" s="1038">
        <v>108</v>
      </c>
      <c r="BP176" s="1038">
        <v>115</v>
      </c>
      <c r="BQ176" s="1038">
        <v>124</v>
      </c>
      <c r="BR176" s="619">
        <v>125</v>
      </c>
    </row>
    <row r="177" spans="58:72" ht="12" customHeight="1">
      <c r="BF177" s="619"/>
      <c r="BG177" s="619"/>
      <c r="BH177" s="619"/>
      <c r="BI177" s="619"/>
      <c r="BJ177" s="619"/>
      <c r="BK177" s="619"/>
      <c r="BL177" s="619"/>
      <c r="BN177" s="382" t="s">
        <v>8035</v>
      </c>
      <c r="BO177" s="619">
        <v>0</v>
      </c>
      <c r="BP177" s="619">
        <v>0</v>
      </c>
      <c r="BQ177" s="619">
        <v>0</v>
      </c>
      <c r="BR177" s="619">
        <v>0</v>
      </c>
    </row>
    <row r="178" spans="58:72" ht="12" customHeight="1">
      <c r="BF178" s="619"/>
      <c r="BG178" s="619"/>
      <c r="BH178" s="619"/>
      <c r="BI178" s="619"/>
      <c r="BJ178" s="619"/>
      <c r="BK178" s="619"/>
      <c r="BL178" s="619"/>
      <c r="BN178" s="382" t="s">
        <v>2645</v>
      </c>
      <c r="BO178" s="619">
        <v>0</v>
      </c>
      <c r="BP178" s="619">
        <v>0</v>
      </c>
      <c r="BQ178" s="619">
        <v>0</v>
      </c>
      <c r="BR178" s="619">
        <v>0</v>
      </c>
    </row>
    <row r="179" spans="58:72" ht="12" customHeight="1">
      <c r="BF179" s="619"/>
      <c r="BG179" s="619"/>
      <c r="BH179" s="619"/>
      <c r="BI179" s="619"/>
      <c r="BJ179" s="619"/>
      <c r="BK179" s="619"/>
      <c r="BL179" s="619"/>
      <c r="BN179" s="382" t="s">
        <v>2661</v>
      </c>
      <c r="BO179" s="619">
        <v>0</v>
      </c>
      <c r="BP179" s="619">
        <v>0</v>
      </c>
      <c r="BQ179" s="619">
        <v>0</v>
      </c>
      <c r="BR179" s="619">
        <v>0</v>
      </c>
    </row>
    <row r="180" spans="58:72" ht="12" customHeight="1">
      <c r="BF180" s="619"/>
      <c r="BG180" s="619"/>
      <c r="BH180" s="619"/>
      <c r="BI180" s="619"/>
      <c r="BJ180" s="619"/>
      <c r="BK180" s="619"/>
      <c r="BL180" s="619"/>
      <c r="BN180" s="382" t="s">
        <v>1697</v>
      </c>
      <c r="BO180" s="619">
        <v>6</v>
      </c>
      <c r="BP180" s="619">
        <v>7</v>
      </c>
      <c r="BQ180" s="619">
        <v>7</v>
      </c>
      <c r="BR180" s="1038">
        <v>7</v>
      </c>
    </row>
    <row r="181" spans="58:72" ht="12" customHeight="1">
      <c r="BF181" s="619"/>
      <c r="BG181" s="619"/>
      <c r="BH181" s="619"/>
      <c r="BI181" s="619"/>
      <c r="BJ181" s="619"/>
      <c r="BK181" s="619"/>
      <c r="BL181" s="619"/>
      <c r="BN181" s="382" t="s">
        <v>1698</v>
      </c>
      <c r="BO181" s="1038">
        <v>5</v>
      </c>
      <c r="BP181" s="619">
        <v>6</v>
      </c>
      <c r="BQ181" s="1038">
        <v>6</v>
      </c>
      <c r="BR181" s="1038">
        <v>6</v>
      </c>
    </row>
    <row r="182" spans="58:72" ht="12" customHeight="1">
      <c r="BF182" s="619"/>
      <c r="BG182" s="619"/>
      <c r="BH182" s="619"/>
      <c r="BI182" s="619"/>
      <c r="BJ182" s="619"/>
      <c r="BK182" s="619"/>
      <c r="BL182" s="619"/>
      <c r="BN182" s="382" t="s">
        <v>2654</v>
      </c>
      <c r="BO182" s="1038">
        <v>0</v>
      </c>
      <c r="BP182" s="1038">
        <v>0</v>
      </c>
      <c r="BQ182" s="1038">
        <v>0</v>
      </c>
      <c r="BR182" s="1038">
        <v>0</v>
      </c>
    </row>
    <row r="183" spans="58:72" ht="12" customHeight="1">
      <c r="BF183" s="619"/>
      <c r="BG183" s="619"/>
      <c r="BH183" s="619"/>
      <c r="BI183" s="619"/>
      <c r="BJ183" s="619"/>
      <c r="BK183" s="619"/>
      <c r="BL183" s="619"/>
      <c r="BN183" s="382" t="s">
        <v>2652</v>
      </c>
      <c r="BO183" s="619">
        <v>0</v>
      </c>
      <c r="BP183" s="1038">
        <v>0</v>
      </c>
      <c r="BQ183" s="1038">
        <v>0</v>
      </c>
      <c r="BR183" s="619">
        <v>0</v>
      </c>
    </row>
    <row r="184" spans="58:72" ht="12" customHeight="1">
      <c r="BF184" s="619"/>
      <c r="BG184" s="619"/>
      <c r="BH184" s="619"/>
      <c r="BI184" s="619"/>
      <c r="BJ184" s="619"/>
      <c r="BK184" s="619"/>
      <c r="BL184" s="619"/>
      <c r="BN184" s="382" t="s">
        <v>6301</v>
      </c>
      <c r="BO184" s="619">
        <v>0</v>
      </c>
      <c r="BP184" s="619">
        <v>0</v>
      </c>
      <c r="BQ184" s="619">
        <v>0</v>
      </c>
      <c r="BR184" s="1038">
        <v>0</v>
      </c>
    </row>
    <row r="185" spans="58:72" ht="12" customHeight="1">
      <c r="BF185" s="619"/>
      <c r="BG185" s="619"/>
      <c r="BH185" s="619"/>
      <c r="BI185" s="619"/>
      <c r="BJ185" s="619"/>
      <c r="BK185" s="619"/>
      <c r="BL185" s="619"/>
      <c r="BN185" s="382" t="s">
        <v>8078</v>
      </c>
      <c r="BO185" s="1038">
        <v>0</v>
      </c>
      <c r="BP185" s="619">
        <v>0</v>
      </c>
      <c r="BQ185" s="1038">
        <v>0</v>
      </c>
      <c r="BR185" s="1038">
        <v>0</v>
      </c>
    </row>
    <row r="186" spans="58:72" ht="12" customHeight="1">
      <c r="BF186" s="619"/>
      <c r="BG186" s="619"/>
      <c r="BH186" s="619"/>
      <c r="BI186" s="619"/>
      <c r="BJ186" s="619"/>
      <c r="BK186" s="619"/>
      <c r="BL186" s="619"/>
      <c r="BN186" s="382" t="s">
        <v>2649</v>
      </c>
      <c r="BO186" s="619">
        <v>7</v>
      </c>
      <c r="BP186" s="1038">
        <v>7</v>
      </c>
      <c r="BQ186" s="1038">
        <v>7</v>
      </c>
      <c r="BR186" s="619">
        <v>7</v>
      </c>
    </row>
    <row r="187" spans="58:72" ht="12" customHeight="1">
      <c r="BF187" s="619"/>
      <c r="BG187" s="619"/>
      <c r="BH187" s="619"/>
      <c r="BI187" s="619"/>
      <c r="BJ187" s="619"/>
      <c r="BK187" s="619"/>
      <c r="BL187" s="619"/>
      <c r="BN187" s="382" t="s">
        <v>2651</v>
      </c>
      <c r="BO187" s="619">
        <v>1</v>
      </c>
      <c r="BP187" s="619">
        <v>1</v>
      </c>
      <c r="BQ187" s="619">
        <v>1</v>
      </c>
      <c r="BR187" s="1038">
        <v>1</v>
      </c>
    </row>
    <row r="188" spans="58:72" ht="12" customHeight="1">
      <c r="BF188" s="619"/>
      <c r="BG188" s="619"/>
      <c r="BH188" s="619"/>
      <c r="BI188" s="619"/>
      <c r="BJ188" s="619"/>
      <c r="BK188" s="619"/>
      <c r="BL188" s="619"/>
      <c r="BN188" s="382" t="s">
        <v>8086</v>
      </c>
      <c r="BO188" s="619">
        <v>0</v>
      </c>
      <c r="BP188" s="1038">
        <v>0</v>
      </c>
      <c r="BQ188" s="1038">
        <v>0</v>
      </c>
      <c r="BR188" s="1038">
        <v>0</v>
      </c>
    </row>
    <row r="189" spans="58:72" ht="12" customHeight="1">
      <c r="BF189" s="619"/>
      <c r="BG189" s="619"/>
      <c r="BH189" s="619"/>
      <c r="BI189" s="619"/>
      <c r="BJ189" s="619"/>
      <c r="BK189" s="619"/>
      <c r="BL189" s="619"/>
      <c r="BN189" s="382" t="s">
        <v>2658</v>
      </c>
      <c r="BO189" s="1038">
        <v>5</v>
      </c>
      <c r="BP189" s="619">
        <v>5</v>
      </c>
      <c r="BQ189" s="1038">
        <v>5</v>
      </c>
      <c r="BR189" s="619">
        <v>5</v>
      </c>
      <c r="BT189" s="619"/>
    </row>
    <row r="190" spans="58:72" ht="12" customHeight="1">
      <c r="BF190" s="1038"/>
      <c r="BG190" s="619"/>
      <c r="BH190" s="619"/>
      <c r="BI190" s="619"/>
      <c r="BJ190" s="619"/>
      <c r="BK190" s="619"/>
      <c r="BL190" s="1038"/>
      <c r="BN190" s="382" t="s">
        <v>8091</v>
      </c>
      <c r="BO190" s="619">
        <v>0</v>
      </c>
      <c r="BP190" s="1038">
        <v>0</v>
      </c>
      <c r="BQ190" s="619">
        <v>1</v>
      </c>
      <c r="BR190" s="619">
        <v>1</v>
      </c>
    </row>
    <row r="191" spans="58:72" ht="12" customHeight="1">
      <c r="BF191" s="1038"/>
      <c r="BG191" s="619"/>
      <c r="BH191" s="619"/>
      <c r="BI191" s="619"/>
      <c r="BJ191" s="619"/>
      <c r="BK191" s="619"/>
      <c r="BL191" s="1038"/>
      <c r="BN191" s="382" t="s">
        <v>8093</v>
      </c>
      <c r="BO191" s="1038">
        <v>0</v>
      </c>
      <c r="BP191" s="1038">
        <v>0</v>
      </c>
      <c r="BQ191" s="1038">
        <v>0</v>
      </c>
      <c r="BR191" s="1038">
        <v>0</v>
      </c>
    </row>
    <row r="192" spans="58:72" ht="12" customHeight="1">
      <c r="BF192" s="619"/>
      <c r="BG192" s="619"/>
      <c r="BH192" s="619"/>
      <c r="BI192" s="619"/>
      <c r="BJ192" s="619"/>
      <c r="BK192" s="619"/>
      <c r="BL192" s="619"/>
      <c r="BN192" s="1068" t="s">
        <v>8094</v>
      </c>
      <c r="BO192" s="619">
        <v>0</v>
      </c>
      <c r="BP192" s="1038">
        <v>0</v>
      </c>
      <c r="BQ192" s="619">
        <v>0</v>
      </c>
      <c r="BR192" s="619">
        <v>0</v>
      </c>
    </row>
    <row r="193" spans="52:110" ht="12" customHeight="1">
      <c r="BF193" s="1038"/>
      <c r="BG193" s="1038"/>
      <c r="BH193" s="1038"/>
      <c r="BI193" s="1038"/>
      <c r="BJ193" s="1038"/>
      <c r="BK193" s="1038"/>
      <c r="BL193" s="1038"/>
      <c r="BN193" s="463" t="s">
        <v>8095</v>
      </c>
      <c r="BO193" s="619">
        <v>0</v>
      </c>
      <c r="BP193" s="619">
        <v>0</v>
      </c>
      <c r="BQ193" s="619">
        <v>0</v>
      </c>
      <c r="BR193" s="619">
        <v>0</v>
      </c>
    </row>
    <row r="194" spans="52:110" ht="12" customHeight="1">
      <c r="BF194" s="619"/>
      <c r="BG194" s="1038"/>
      <c r="BH194" s="1038"/>
      <c r="BI194" s="1038"/>
      <c r="BJ194" s="1038"/>
      <c r="BK194" s="1038"/>
      <c r="BL194" s="619"/>
      <c r="BN194" s="497" t="s">
        <v>8098</v>
      </c>
      <c r="BO194" s="1050">
        <v>0</v>
      </c>
      <c r="BP194" s="1891">
        <v>1</v>
      </c>
      <c r="BQ194" s="645">
        <v>0</v>
      </c>
      <c r="BR194" s="645">
        <v>0</v>
      </c>
    </row>
    <row r="195" spans="52:110" ht="12" customHeight="1">
      <c r="BF195" s="619"/>
      <c r="BG195" s="619"/>
      <c r="BH195" s="619"/>
      <c r="BI195" s="619"/>
      <c r="BJ195" s="619"/>
      <c r="BK195" s="619"/>
      <c r="BL195" s="619"/>
      <c r="BN195" s="549" t="s">
        <v>8058</v>
      </c>
      <c r="BO195" s="549"/>
      <c r="BP195" s="549"/>
      <c r="BQ195" s="549"/>
      <c r="BR195" s="549"/>
    </row>
    <row r="196" spans="52:110" ht="12" customHeight="1">
      <c r="BF196" s="619"/>
      <c r="BG196" s="1038"/>
      <c r="BH196" s="1038"/>
      <c r="BI196" s="1038"/>
      <c r="BJ196" s="1038"/>
      <c r="BK196" s="1038"/>
      <c r="BL196" s="619"/>
    </row>
    <row r="197" spans="52:110" ht="12" customHeight="1">
      <c r="BF197" s="619"/>
      <c r="BG197" s="619"/>
      <c r="BH197" s="619"/>
      <c r="BI197" s="619"/>
      <c r="BJ197" s="619"/>
      <c r="BK197" s="619"/>
      <c r="BL197" s="619"/>
    </row>
    <row r="198" spans="52:110" ht="12" customHeight="1">
      <c r="BF198" s="619"/>
      <c r="BG198" s="619"/>
      <c r="BH198" s="619"/>
      <c r="BI198" s="619"/>
      <c r="BJ198" s="619"/>
      <c r="BK198" s="619"/>
      <c r="BL198" s="619"/>
    </row>
    <row r="199" spans="52:110" ht="12" customHeight="1">
      <c r="BF199" s="619"/>
      <c r="BG199" s="619"/>
      <c r="BH199" s="619"/>
      <c r="BI199" s="619"/>
      <c r="BJ199" s="619"/>
      <c r="BK199" s="619"/>
      <c r="BL199" s="619"/>
      <c r="BN199" s="381" t="s">
        <v>8154</v>
      </c>
      <c r="BO199" s="381"/>
      <c r="BP199" s="381"/>
      <c r="BQ199" s="381"/>
      <c r="BR199" s="381"/>
      <c r="BU199" s="619"/>
      <c r="BV199" s="619"/>
      <c r="BW199" s="619"/>
      <c r="BX199" s="619"/>
      <c r="BY199" s="619"/>
      <c r="BZ199" s="619"/>
      <c r="CA199" s="619"/>
      <c r="CB199" s="619"/>
      <c r="CC199" s="619"/>
      <c r="CD199" s="619"/>
      <c r="CE199" s="619"/>
      <c r="DF199" s="414"/>
    </row>
    <row r="200" spans="52:110" ht="12" customHeight="1">
      <c r="BF200" s="619"/>
      <c r="BG200" s="619"/>
      <c r="BH200" s="619"/>
      <c r="BI200" s="619"/>
      <c r="BJ200" s="619"/>
      <c r="BK200" s="619"/>
      <c r="BL200" s="619"/>
      <c r="BN200" s="398"/>
      <c r="BO200" s="2127" t="s">
        <v>8112</v>
      </c>
      <c r="BP200" s="2128"/>
      <c r="BQ200" s="2128"/>
      <c r="BR200" s="2128"/>
    </row>
    <row r="201" spans="52:110" ht="12" customHeight="1">
      <c r="BG201" s="619"/>
      <c r="BH201" s="619"/>
      <c r="BI201" s="619"/>
      <c r="BJ201" s="619"/>
      <c r="BK201" s="619"/>
      <c r="BN201" s="1516" t="s">
        <v>2642</v>
      </c>
      <c r="BO201" s="729" t="s">
        <v>42</v>
      </c>
      <c r="BP201" s="729" t="s">
        <v>43</v>
      </c>
      <c r="BQ201" s="729" t="s">
        <v>44</v>
      </c>
      <c r="BR201" s="729" t="s">
        <v>45</v>
      </c>
      <c r="BS201" s="619"/>
    </row>
    <row r="202" spans="52:110" ht="12" customHeight="1">
      <c r="BG202" s="619"/>
      <c r="BH202" s="619"/>
      <c r="BI202" s="619"/>
      <c r="BJ202" s="619"/>
      <c r="BK202" s="619"/>
      <c r="BN202" s="382" t="s">
        <v>3507</v>
      </c>
      <c r="BO202" s="619">
        <f>SUM(BO203:BO235)</f>
        <v>2103</v>
      </c>
      <c r="BP202" s="619">
        <f>SUM(BP203:BP235)</f>
        <v>2157</v>
      </c>
      <c r="BQ202" s="619">
        <f>SUM(BQ203:BQ235)</f>
        <v>2128</v>
      </c>
      <c r="BR202" s="619">
        <f>SUM(BR203:BR235)</f>
        <v>2145</v>
      </c>
      <c r="CF202" s="619"/>
    </row>
    <row r="203" spans="52:110" ht="12" customHeight="1">
      <c r="BF203" s="1406"/>
      <c r="BG203" s="619"/>
      <c r="BH203" s="619"/>
      <c r="BI203" s="619"/>
      <c r="BJ203" s="619"/>
      <c r="BK203" s="619"/>
      <c r="BL203" s="1406"/>
      <c r="BN203" s="382" t="s">
        <v>2655</v>
      </c>
      <c r="BO203" s="1038">
        <v>1</v>
      </c>
      <c r="BP203" s="1038">
        <v>1</v>
      </c>
      <c r="BQ203" s="1896">
        <v>1</v>
      </c>
      <c r="BR203" s="1038">
        <v>1</v>
      </c>
    </row>
    <row r="204" spans="52:110" ht="12" customHeight="1">
      <c r="BE204" s="1406"/>
      <c r="BF204" s="1665"/>
      <c r="BL204" s="1665"/>
      <c r="BN204" s="382" t="s">
        <v>2596</v>
      </c>
      <c r="BO204" s="1038">
        <v>1</v>
      </c>
      <c r="BP204" s="1038">
        <v>2</v>
      </c>
      <c r="BQ204" s="1896">
        <v>1</v>
      </c>
      <c r="BR204" s="1038">
        <v>1</v>
      </c>
    </row>
    <row r="205" spans="52:110" ht="12" customHeight="1">
      <c r="BE205" s="1665"/>
      <c r="BF205" s="619"/>
      <c r="BL205" s="619"/>
      <c r="BN205" s="382" t="s">
        <v>6385</v>
      </c>
      <c r="BO205" s="619">
        <v>0</v>
      </c>
      <c r="BP205" s="619">
        <v>0</v>
      </c>
      <c r="BQ205" s="619">
        <v>0</v>
      </c>
      <c r="BR205" s="619">
        <v>0</v>
      </c>
    </row>
    <row r="206" spans="52:110" ht="12" customHeight="1">
      <c r="BE206" s="619"/>
      <c r="BF206" s="619"/>
      <c r="BG206" s="1406"/>
      <c r="BH206" s="1406"/>
      <c r="BI206" s="1406"/>
      <c r="BJ206" s="1406"/>
      <c r="BK206" s="1406"/>
      <c r="BL206" s="619"/>
      <c r="BN206" s="382" t="s">
        <v>1694</v>
      </c>
      <c r="BO206" s="619">
        <v>1</v>
      </c>
      <c r="BP206" s="1901">
        <v>1</v>
      </c>
      <c r="BQ206" s="619">
        <v>1</v>
      </c>
      <c r="BR206" s="619">
        <v>1</v>
      </c>
    </row>
    <row r="207" spans="52:110" ht="12" customHeight="1">
      <c r="AZ207" s="583"/>
      <c r="BA207" s="861"/>
      <c r="BB207" s="861"/>
      <c r="BC207" s="861"/>
      <c r="BD207" s="861"/>
      <c r="BE207" s="619"/>
      <c r="BF207" s="619"/>
      <c r="BG207" s="1665"/>
      <c r="BH207" s="1665"/>
      <c r="BI207" s="1665"/>
      <c r="BJ207" s="1665"/>
      <c r="BK207" s="1665"/>
      <c r="BL207" s="619"/>
      <c r="BN207" s="382" t="s">
        <v>6302</v>
      </c>
      <c r="BO207" s="619">
        <v>0</v>
      </c>
      <c r="BP207" s="619">
        <v>0</v>
      </c>
      <c r="BQ207" s="619">
        <v>0</v>
      </c>
      <c r="BR207" s="619">
        <v>0</v>
      </c>
    </row>
    <row r="208" spans="52:110" ht="12" customHeight="1">
      <c r="BE208" s="882"/>
      <c r="BF208" s="619"/>
      <c r="BG208" s="619"/>
      <c r="BH208" s="619"/>
      <c r="BI208" s="619"/>
      <c r="BJ208" s="619"/>
      <c r="BK208" s="619"/>
      <c r="BL208" s="619"/>
      <c r="BN208" s="382" t="s">
        <v>7970</v>
      </c>
      <c r="BO208" s="619">
        <v>0</v>
      </c>
      <c r="BP208" s="619">
        <v>0</v>
      </c>
      <c r="BQ208" s="619">
        <v>0</v>
      </c>
      <c r="BR208" s="619">
        <v>0</v>
      </c>
    </row>
    <row r="209" spans="57:70" ht="12" customHeight="1">
      <c r="BE209" s="861"/>
      <c r="BF209" s="619"/>
      <c r="BG209" s="619"/>
      <c r="BH209" s="619"/>
      <c r="BI209" s="619"/>
      <c r="BJ209" s="619"/>
      <c r="BK209" s="619"/>
      <c r="BL209" s="619"/>
      <c r="BN209" s="382" t="s">
        <v>7975</v>
      </c>
      <c r="BO209" s="1038">
        <v>0</v>
      </c>
      <c r="BP209" s="1038">
        <v>0</v>
      </c>
      <c r="BQ209" s="1038">
        <v>0</v>
      </c>
      <c r="BR209" s="1038">
        <v>0</v>
      </c>
    </row>
    <row r="210" spans="57:70" ht="12" customHeight="1">
      <c r="BE210" s="562"/>
      <c r="BF210" s="619"/>
      <c r="BG210" s="619"/>
      <c r="BH210" s="619"/>
      <c r="BI210" s="619"/>
      <c r="BJ210" s="619"/>
      <c r="BK210" s="619"/>
      <c r="BL210" s="619"/>
      <c r="BN210" s="382" t="s">
        <v>3793</v>
      </c>
      <c r="BO210" s="619">
        <v>13</v>
      </c>
      <c r="BP210" s="619">
        <v>14</v>
      </c>
      <c r="BQ210" s="619">
        <v>13</v>
      </c>
      <c r="BR210" s="619">
        <v>13</v>
      </c>
    </row>
    <row r="211" spans="57:70" ht="12" customHeight="1">
      <c r="BE211" s="562"/>
      <c r="BF211" s="619"/>
      <c r="BG211" s="619"/>
      <c r="BH211" s="619"/>
      <c r="BI211" s="619"/>
      <c r="BJ211" s="619"/>
      <c r="BK211" s="619"/>
      <c r="BL211" s="619"/>
      <c r="BN211" s="382" t="s">
        <v>7986</v>
      </c>
      <c r="BO211" s="619">
        <v>203</v>
      </c>
      <c r="BP211" s="619">
        <v>212</v>
      </c>
      <c r="BQ211" s="619">
        <v>213</v>
      </c>
      <c r="BR211" s="619">
        <v>212</v>
      </c>
    </row>
    <row r="212" spans="57:70" ht="12" customHeight="1">
      <c r="BE212" s="562"/>
      <c r="BF212" s="619"/>
      <c r="BG212" s="619"/>
      <c r="BH212" s="619"/>
      <c r="BI212" s="619"/>
      <c r="BJ212" s="619"/>
      <c r="BK212" s="619"/>
      <c r="BL212" s="619"/>
      <c r="BN212" s="382" t="s">
        <v>7995</v>
      </c>
      <c r="BO212" s="619">
        <v>0</v>
      </c>
      <c r="BP212" s="619">
        <v>0</v>
      </c>
      <c r="BQ212" s="619">
        <v>0</v>
      </c>
      <c r="BR212" s="619">
        <v>0</v>
      </c>
    </row>
    <row r="213" spans="57:70" ht="12" customHeight="1">
      <c r="BE213" s="562"/>
      <c r="BF213" s="619"/>
      <c r="BG213" s="619"/>
      <c r="BH213" s="619"/>
      <c r="BI213" s="619"/>
      <c r="BJ213" s="619"/>
      <c r="BK213" s="619"/>
      <c r="BL213" s="619"/>
      <c r="BN213" s="382" t="s">
        <v>8002</v>
      </c>
      <c r="BO213" s="619">
        <v>2</v>
      </c>
      <c r="BP213" s="619">
        <v>2</v>
      </c>
      <c r="BQ213" s="619">
        <v>2</v>
      </c>
      <c r="BR213" s="619">
        <v>2</v>
      </c>
    </row>
    <row r="214" spans="57:70" ht="12" customHeight="1">
      <c r="BE214" s="562"/>
      <c r="BF214" s="619"/>
      <c r="BG214" s="619"/>
      <c r="BH214" s="619"/>
      <c r="BI214" s="619"/>
      <c r="BJ214" s="619"/>
      <c r="BK214" s="619"/>
      <c r="BL214" s="619"/>
      <c r="BN214" s="382" t="s">
        <v>8010</v>
      </c>
      <c r="BO214" s="619">
        <v>0</v>
      </c>
      <c r="BP214" s="619">
        <v>0</v>
      </c>
      <c r="BQ214" s="619">
        <v>0</v>
      </c>
      <c r="BR214" s="619">
        <v>0</v>
      </c>
    </row>
    <row r="215" spans="57:70" ht="12" customHeight="1">
      <c r="BE215" s="562"/>
      <c r="BF215" s="619"/>
      <c r="BG215" s="619"/>
      <c r="BH215" s="619"/>
      <c r="BI215" s="619"/>
      <c r="BJ215" s="619"/>
      <c r="BK215" s="619"/>
      <c r="BL215" s="619"/>
      <c r="BN215" s="382" t="s">
        <v>1695</v>
      </c>
      <c r="BO215" s="619">
        <v>5</v>
      </c>
      <c r="BP215" s="619">
        <v>5</v>
      </c>
      <c r="BQ215" s="619">
        <v>5</v>
      </c>
      <c r="BR215" s="619">
        <v>8</v>
      </c>
    </row>
    <row r="216" spans="57:70" ht="12" customHeight="1">
      <c r="BE216" s="562"/>
      <c r="BF216" s="619"/>
      <c r="BG216" s="619"/>
      <c r="BH216" s="619"/>
      <c r="BI216" s="619"/>
      <c r="BJ216" s="619"/>
      <c r="BK216" s="619"/>
      <c r="BL216" s="619"/>
      <c r="BN216" s="382" t="s">
        <v>2653</v>
      </c>
      <c r="BO216" s="619">
        <v>1308</v>
      </c>
      <c r="BP216" s="619">
        <v>1321</v>
      </c>
      <c r="BQ216" s="619">
        <v>1286</v>
      </c>
      <c r="BR216" s="619">
        <v>1285</v>
      </c>
    </row>
    <row r="217" spans="57:70" ht="12" customHeight="1">
      <c r="BE217" s="562"/>
      <c r="BF217" s="619"/>
      <c r="BG217" s="619"/>
      <c r="BH217" s="619"/>
      <c r="BI217" s="619"/>
      <c r="BJ217" s="619"/>
      <c r="BK217" s="619"/>
      <c r="BL217" s="619"/>
      <c r="BN217" s="382" t="s">
        <v>1696</v>
      </c>
      <c r="BO217" s="1038">
        <v>233</v>
      </c>
      <c r="BP217" s="1038">
        <v>256</v>
      </c>
      <c r="BQ217" s="1038">
        <v>269</v>
      </c>
      <c r="BR217" s="619">
        <v>283</v>
      </c>
    </row>
    <row r="218" spans="57:70" ht="12" customHeight="1">
      <c r="BE218" s="562"/>
      <c r="BF218" s="619"/>
      <c r="BG218" s="619"/>
      <c r="BH218" s="619"/>
      <c r="BI218" s="619"/>
      <c r="BJ218" s="619"/>
      <c r="BK218" s="619"/>
      <c r="BL218" s="619"/>
      <c r="BN218" s="382" t="s">
        <v>8035</v>
      </c>
      <c r="BO218" s="619">
        <v>0</v>
      </c>
      <c r="BP218" s="619">
        <v>0</v>
      </c>
      <c r="BQ218" s="619">
        <v>0</v>
      </c>
      <c r="BR218" s="619">
        <v>0</v>
      </c>
    </row>
    <row r="219" spans="57:70" ht="12" customHeight="1">
      <c r="BE219" s="562"/>
      <c r="BF219" s="619"/>
      <c r="BG219" s="619"/>
      <c r="BH219" s="619"/>
      <c r="BI219" s="619"/>
      <c r="BJ219" s="619"/>
      <c r="BK219" s="619"/>
      <c r="BL219" s="619"/>
      <c r="BN219" s="382" t="s">
        <v>2645</v>
      </c>
      <c r="BO219" s="619">
        <v>1</v>
      </c>
      <c r="BP219" s="619">
        <v>1</v>
      </c>
      <c r="BQ219" s="619">
        <v>1</v>
      </c>
      <c r="BR219" s="619">
        <v>1</v>
      </c>
    </row>
    <row r="220" spans="57:70" ht="12" customHeight="1">
      <c r="BE220" s="562"/>
      <c r="BF220" s="619"/>
      <c r="BG220" s="619"/>
      <c r="BH220" s="619"/>
      <c r="BI220" s="619"/>
      <c r="BJ220" s="619"/>
      <c r="BK220" s="619"/>
      <c r="BL220" s="619"/>
      <c r="BN220" s="382" t="s">
        <v>2661</v>
      </c>
      <c r="BO220" s="619">
        <v>0</v>
      </c>
      <c r="BP220" s="619">
        <v>0</v>
      </c>
      <c r="BQ220" s="619">
        <v>0</v>
      </c>
      <c r="BR220" s="619">
        <v>0</v>
      </c>
    </row>
    <row r="221" spans="57:70" ht="12" customHeight="1">
      <c r="BE221" s="562"/>
      <c r="BF221" s="619"/>
      <c r="BG221" s="619"/>
      <c r="BH221" s="619"/>
      <c r="BI221" s="619"/>
      <c r="BJ221" s="619"/>
      <c r="BK221" s="619"/>
      <c r="BL221" s="619"/>
      <c r="BN221" s="382" t="s">
        <v>1697</v>
      </c>
      <c r="BO221" s="619">
        <v>9</v>
      </c>
      <c r="BP221" s="619">
        <v>10</v>
      </c>
      <c r="BQ221" s="619">
        <v>11</v>
      </c>
      <c r="BR221" s="1038">
        <v>11</v>
      </c>
    </row>
    <row r="222" spans="57:70" ht="12" customHeight="1">
      <c r="BE222" s="562"/>
      <c r="BF222" s="619"/>
      <c r="BG222" s="619"/>
      <c r="BH222" s="619"/>
      <c r="BI222" s="619"/>
      <c r="BJ222" s="619"/>
      <c r="BK222" s="619"/>
      <c r="BL222" s="619"/>
      <c r="BN222" s="382" t="s">
        <v>1698</v>
      </c>
      <c r="BO222" s="1038">
        <v>10</v>
      </c>
      <c r="BP222" s="619">
        <v>11</v>
      </c>
      <c r="BQ222" s="1038">
        <v>12</v>
      </c>
      <c r="BR222" s="1038">
        <v>12</v>
      </c>
    </row>
    <row r="223" spans="57:70" ht="12" customHeight="1">
      <c r="BE223" s="562"/>
      <c r="BF223" s="619"/>
      <c r="BG223" s="619"/>
      <c r="BH223" s="619"/>
      <c r="BI223" s="619"/>
      <c r="BJ223" s="619"/>
      <c r="BK223" s="619"/>
      <c r="BL223" s="619"/>
      <c r="BN223" s="382" t="s">
        <v>2654</v>
      </c>
      <c r="BO223" s="1038">
        <v>17</v>
      </c>
      <c r="BP223" s="1038">
        <v>16</v>
      </c>
      <c r="BQ223" s="1038">
        <v>17</v>
      </c>
      <c r="BR223" s="1038">
        <v>17</v>
      </c>
    </row>
    <row r="224" spans="57:70" ht="12" customHeight="1">
      <c r="BE224" s="562"/>
      <c r="BF224" s="619"/>
      <c r="BG224" s="619"/>
      <c r="BH224" s="619"/>
      <c r="BI224" s="619"/>
      <c r="BJ224" s="619"/>
      <c r="BK224" s="619"/>
      <c r="BL224" s="619"/>
      <c r="BN224" s="382" t="s">
        <v>2652</v>
      </c>
      <c r="BO224" s="619">
        <v>13</v>
      </c>
      <c r="BP224" s="1038">
        <v>13</v>
      </c>
      <c r="BQ224" s="1038">
        <v>13</v>
      </c>
      <c r="BR224" s="619">
        <v>13</v>
      </c>
    </row>
    <row r="225" spans="57:83" ht="12" customHeight="1">
      <c r="BE225" s="562"/>
      <c r="BF225" s="619"/>
      <c r="BG225" s="619"/>
      <c r="BH225" s="619"/>
      <c r="BI225" s="619"/>
      <c r="BJ225" s="619"/>
      <c r="BK225" s="619"/>
      <c r="BL225" s="619"/>
      <c r="BN225" s="382" t="s">
        <v>6301</v>
      </c>
      <c r="BO225" s="619">
        <v>0</v>
      </c>
      <c r="BP225" s="619">
        <v>0</v>
      </c>
      <c r="BQ225" s="619">
        <v>0</v>
      </c>
      <c r="BR225" s="1038">
        <v>0</v>
      </c>
    </row>
    <row r="226" spans="57:83" ht="12" customHeight="1">
      <c r="BE226" s="562"/>
      <c r="BF226" s="619"/>
      <c r="BG226" s="619"/>
      <c r="BH226" s="619"/>
      <c r="BI226" s="619"/>
      <c r="BJ226" s="619"/>
      <c r="BK226" s="619"/>
      <c r="BL226" s="619"/>
      <c r="BN226" s="382" t="s">
        <v>8078</v>
      </c>
      <c r="BO226" s="1038">
        <v>0</v>
      </c>
      <c r="BP226" s="619">
        <v>0</v>
      </c>
      <c r="BQ226" s="1038">
        <v>0</v>
      </c>
      <c r="BR226" s="1038">
        <v>0</v>
      </c>
    </row>
    <row r="227" spans="57:83" ht="12" customHeight="1">
      <c r="BE227" s="562"/>
      <c r="BF227" s="1038"/>
      <c r="BG227" s="619"/>
      <c r="BH227" s="619"/>
      <c r="BI227" s="619"/>
      <c r="BJ227" s="619"/>
      <c r="BK227" s="619"/>
      <c r="BL227" s="1038"/>
      <c r="BN227" s="382" t="s">
        <v>2649</v>
      </c>
      <c r="BO227" s="619">
        <v>73</v>
      </c>
      <c r="BP227" s="1038">
        <v>76</v>
      </c>
      <c r="BQ227" s="1038">
        <v>71</v>
      </c>
      <c r="BR227" s="619">
        <v>71</v>
      </c>
    </row>
    <row r="228" spans="57:83" ht="12" customHeight="1">
      <c r="BE228" s="562"/>
      <c r="BF228" s="1038"/>
      <c r="BG228" s="619"/>
      <c r="BH228" s="619"/>
      <c r="BI228" s="619"/>
      <c r="BJ228" s="619"/>
      <c r="BK228" s="619"/>
      <c r="BL228" s="1038"/>
      <c r="BN228" s="382" t="s">
        <v>2651</v>
      </c>
      <c r="BO228" s="619">
        <v>120</v>
      </c>
      <c r="BP228" s="619">
        <v>122</v>
      </c>
      <c r="BQ228" s="619">
        <v>122</v>
      </c>
      <c r="BR228" s="1038">
        <v>122</v>
      </c>
    </row>
    <row r="229" spans="57:83" ht="12" customHeight="1">
      <c r="BE229" s="562"/>
      <c r="BF229" s="619"/>
      <c r="BG229" s="619"/>
      <c r="BH229" s="619"/>
      <c r="BI229" s="619"/>
      <c r="BJ229" s="619"/>
      <c r="BK229" s="619"/>
      <c r="BL229" s="619"/>
      <c r="BN229" s="382" t="s">
        <v>8086</v>
      </c>
      <c r="BO229" s="619">
        <v>0</v>
      </c>
      <c r="BP229" s="1038">
        <v>0</v>
      </c>
      <c r="BQ229" s="1038">
        <v>0</v>
      </c>
      <c r="BR229" s="1038">
        <v>0</v>
      </c>
    </row>
    <row r="230" spans="57:83" ht="12" customHeight="1">
      <c r="BE230" s="562"/>
      <c r="BF230" s="1038"/>
      <c r="BG230" s="1038"/>
      <c r="BH230" s="1038"/>
      <c r="BI230" s="1038"/>
      <c r="BJ230" s="1038"/>
      <c r="BK230" s="1038"/>
      <c r="BL230" s="1038"/>
      <c r="BN230" s="382" t="s">
        <v>2658</v>
      </c>
      <c r="BO230" s="1038">
        <v>4</v>
      </c>
      <c r="BP230" s="619">
        <v>4</v>
      </c>
      <c r="BQ230" s="1038">
        <v>7</v>
      </c>
      <c r="BR230" s="619">
        <v>9</v>
      </c>
      <c r="BT230" s="619"/>
    </row>
    <row r="231" spans="57:83" ht="12" customHeight="1">
      <c r="BE231" s="562"/>
      <c r="BF231" s="619"/>
      <c r="BG231" s="1038"/>
      <c r="BH231" s="1038"/>
      <c r="BI231" s="1038"/>
      <c r="BJ231" s="1038"/>
      <c r="BK231" s="1038"/>
      <c r="BL231" s="619"/>
      <c r="BN231" s="382" t="s">
        <v>8091</v>
      </c>
      <c r="BO231" s="619">
        <v>1</v>
      </c>
      <c r="BP231" s="1038">
        <v>1</v>
      </c>
      <c r="BQ231" s="619">
        <v>1</v>
      </c>
      <c r="BR231" s="619">
        <v>1</v>
      </c>
    </row>
    <row r="232" spans="57:83" ht="12" customHeight="1">
      <c r="BE232" s="562"/>
      <c r="BF232" s="619"/>
      <c r="BG232" s="619"/>
      <c r="BH232" s="619"/>
      <c r="BI232" s="619"/>
      <c r="BJ232" s="619"/>
      <c r="BK232" s="619"/>
      <c r="BL232" s="619"/>
      <c r="BN232" s="382" t="s">
        <v>8093</v>
      </c>
      <c r="BO232" s="1038">
        <v>0</v>
      </c>
      <c r="BP232" s="1038">
        <v>0</v>
      </c>
      <c r="BQ232" s="1038">
        <v>0</v>
      </c>
      <c r="BR232" s="1038">
        <v>0</v>
      </c>
    </row>
    <row r="233" spans="57:83" ht="12" customHeight="1">
      <c r="BE233" s="562"/>
      <c r="BF233" s="619"/>
      <c r="BG233" s="1038"/>
      <c r="BH233" s="1038"/>
      <c r="BI233" s="1038"/>
      <c r="BJ233" s="1038"/>
      <c r="BK233" s="1038"/>
      <c r="BL233" s="619"/>
      <c r="BN233" s="1068" t="s">
        <v>8094</v>
      </c>
      <c r="BO233" s="619">
        <v>87</v>
      </c>
      <c r="BP233" s="1038">
        <v>88</v>
      </c>
      <c r="BQ233" s="619">
        <v>81</v>
      </c>
      <c r="BR233" s="619">
        <v>81</v>
      </c>
    </row>
    <row r="234" spans="57:83" ht="12" customHeight="1">
      <c r="BE234" s="562"/>
      <c r="BF234" s="619"/>
      <c r="BG234" s="619"/>
      <c r="BH234" s="619"/>
      <c r="BI234" s="619"/>
      <c r="BJ234" s="619"/>
      <c r="BK234" s="619"/>
      <c r="BL234" s="619"/>
      <c r="BN234" s="463" t="s">
        <v>8095</v>
      </c>
      <c r="BO234" s="619">
        <v>0</v>
      </c>
      <c r="BP234" s="619">
        <v>0</v>
      </c>
      <c r="BQ234" s="619">
        <v>0</v>
      </c>
      <c r="BR234" s="619">
        <v>0</v>
      </c>
    </row>
    <row r="235" spans="57:83" ht="12" customHeight="1">
      <c r="BE235" s="562"/>
      <c r="BF235" s="619"/>
      <c r="BG235" s="619"/>
      <c r="BH235" s="619"/>
      <c r="BI235" s="619"/>
      <c r="BJ235" s="619"/>
      <c r="BK235" s="619"/>
      <c r="BL235" s="619"/>
      <c r="BN235" s="497" t="s">
        <v>8098</v>
      </c>
      <c r="BO235" s="1050">
        <v>1</v>
      </c>
      <c r="BP235" s="1891">
        <v>1</v>
      </c>
      <c r="BQ235" s="645">
        <v>1</v>
      </c>
      <c r="BR235" s="645">
        <v>1</v>
      </c>
    </row>
    <row r="236" spans="57:83" ht="12" customHeight="1">
      <c r="BE236" s="562"/>
      <c r="BF236" s="619"/>
      <c r="BG236" s="619"/>
      <c r="BH236" s="619"/>
      <c r="BI236" s="619"/>
      <c r="BJ236" s="619"/>
      <c r="BK236" s="619"/>
      <c r="BL236" s="619"/>
      <c r="BN236" s="549" t="s">
        <v>8058</v>
      </c>
      <c r="BO236" s="549"/>
      <c r="BP236" s="549"/>
      <c r="BQ236" s="549"/>
      <c r="BR236" s="549"/>
    </row>
    <row r="237" spans="57:83" ht="12" customHeight="1">
      <c r="BE237" s="1663"/>
      <c r="BF237" s="619"/>
      <c r="BG237" s="619"/>
      <c r="BH237" s="619"/>
      <c r="BI237" s="619"/>
      <c r="BJ237" s="619"/>
      <c r="BK237" s="619"/>
      <c r="BL237" s="619"/>
      <c r="BN237" s="549"/>
      <c r="BO237" s="549"/>
      <c r="BP237" s="549"/>
      <c r="BQ237" s="549"/>
      <c r="BR237" s="549"/>
    </row>
    <row r="238" spans="57:83" ht="12" customHeight="1">
      <c r="BE238" s="619"/>
      <c r="BG238" s="619"/>
      <c r="BH238" s="619"/>
      <c r="BI238" s="619"/>
      <c r="BJ238" s="619"/>
      <c r="BK238" s="619"/>
    </row>
    <row r="239" spans="57:83" ht="12" customHeight="1">
      <c r="BE239" s="619"/>
      <c r="BG239" s="619"/>
      <c r="BH239" s="619"/>
      <c r="BI239" s="619"/>
      <c r="BJ239" s="619"/>
      <c r="BK239" s="619"/>
    </row>
    <row r="240" spans="57:83" ht="12" customHeight="1">
      <c r="BE240" s="619"/>
      <c r="BF240" s="1406"/>
      <c r="BG240" s="619"/>
      <c r="BH240" s="619"/>
      <c r="BI240" s="619"/>
      <c r="BJ240" s="619"/>
      <c r="BK240" s="619"/>
      <c r="BL240" s="1406"/>
      <c r="BN240" s="382" t="s">
        <v>8155</v>
      </c>
      <c r="BU240" s="619"/>
      <c r="BV240" s="619"/>
      <c r="BW240" s="619"/>
      <c r="BX240" s="619"/>
      <c r="BY240" s="619"/>
      <c r="BZ240" s="619"/>
      <c r="CA240" s="619"/>
      <c r="CB240" s="619"/>
      <c r="CC240" s="619"/>
      <c r="CD240" s="619"/>
      <c r="CE240" s="619"/>
    </row>
    <row r="241" spans="52:84" ht="12" customHeight="1">
      <c r="BE241" s="619"/>
      <c r="BF241" s="1665"/>
      <c r="BL241" s="1665"/>
      <c r="BN241" s="381" t="s">
        <v>8124</v>
      </c>
      <c r="BP241" s="1075"/>
      <c r="CF241" s="619"/>
    </row>
    <row r="242" spans="52:84" ht="12" customHeight="1">
      <c r="BE242" s="619"/>
      <c r="BF242" s="1666"/>
      <c r="BL242" s="1666"/>
      <c r="BO242" s="415"/>
      <c r="BP242" s="597"/>
      <c r="BQ242" s="396" t="s">
        <v>7896</v>
      </c>
      <c r="BR242" s="397"/>
      <c r="BS242" s="397"/>
      <c r="BT242" s="397"/>
    </row>
    <row r="243" spans="52:84" ht="12" customHeight="1">
      <c r="BE243" s="619"/>
      <c r="BF243" s="619"/>
      <c r="BG243" s="1406"/>
      <c r="BH243" s="1406"/>
      <c r="BI243" s="1406"/>
      <c r="BJ243" s="1406"/>
      <c r="BK243" s="1406"/>
      <c r="BL243" s="619"/>
      <c r="BN243" s="381" t="s">
        <v>8125</v>
      </c>
      <c r="BO243" s="381"/>
      <c r="BP243" s="610"/>
      <c r="BQ243" s="664">
        <v>2024</v>
      </c>
      <c r="BR243" s="664">
        <v>2023</v>
      </c>
      <c r="BS243" s="664">
        <v>2022</v>
      </c>
      <c r="BT243" s="664">
        <v>2021</v>
      </c>
    </row>
    <row r="244" spans="52:84" ht="12" customHeight="1">
      <c r="BF244" s="619"/>
      <c r="BG244" s="1665"/>
      <c r="BH244" s="1665"/>
      <c r="BI244" s="1665"/>
      <c r="BJ244" s="1665"/>
      <c r="BK244" s="1665"/>
      <c r="BL244" s="619"/>
      <c r="BN244" s="382" t="s">
        <v>3017</v>
      </c>
      <c r="BQ244" s="463">
        <v>3121</v>
      </c>
      <c r="BR244" s="463">
        <v>2537</v>
      </c>
      <c r="BS244" s="463">
        <f>SUM(BS245:BS268)</f>
        <v>9548</v>
      </c>
      <c r="BT244" s="463">
        <f>SUM(BT245:BT268)</f>
        <v>25900</v>
      </c>
    </row>
    <row r="245" spans="52:84" ht="12" customHeight="1">
      <c r="BF245" s="619"/>
      <c r="BG245" s="1666"/>
      <c r="BH245" s="1666"/>
      <c r="BI245" s="1666"/>
      <c r="BJ245" s="1666"/>
      <c r="BK245" s="1666"/>
      <c r="BL245" s="619"/>
      <c r="BN245" s="382" t="s">
        <v>8126</v>
      </c>
      <c r="BQ245" s="463">
        <v>306</v>
      </c>
      <c r="BR245" s="463">
        <v>272</v>
      </c>
      <c r="BS245" s="463">
        <v>3110</v>
      </c>
      <c r="BT245" s="463">
        <v>12624</v>
      </c>
    </row>
    <row r="246" spans="52:84" ht="12" customHeight="1">
      <c r="BE246" s="1406"/>
      <c r="BF246" s="619"/>
      <c r="BG246" s="619"/>
      <c r="BH246" s="619"/>
      <c r="BI246" s="619"/>
      <c r="BJ246" s="619"/>
      <c r="BK246" s="619"/>
      <c r="BL246" s="619"/>
      <c r="BN246" s="382" t="s">
        <v>8127</v>
      </c>
      <c r="BQ246" s="463">
        <v>1481</v>
      </c>
      <c r="BR246" s="463">
        <v>0</v>
      </c>
      <c r="BS246" s="463">
        <v>45</v>
      </c>
      <c r="BT246" s="463">
        <v>405</v>
      </c>
    </row>
    <row r="247" spans="52:84" ht="12" customHeight="1">
      <c r="AZ247" s="1667"/>
      <c r="BA247" s="1667"/>
      <c r="BB247" s="1667"/>
      <c r="BC247" s="1667"/>
      <c r="BD247" s="1667"/>
      <c r="BE247" s="1665"/>
      <c r="BF247" s="619"/>
      <c r="BG247" s="619"/>
      <c r="BH247" s="619"/>
      <c r="BI247" s="619"/>
      <c r="BJ247" s="619"/>
      <c r="BK247" s="619"/>
      <c r="BL247" s="619"/>
      <c r="BN247" s="382" t="s">
        <v>8128</v>
      </c>
      <c r="BQ247" s="463">
        <v>0</v>
      </c>
      <c r="BR247" s="463">
        <v>0</v>
      </c>
      <c r="BS247" s="463">
        <v>0</v>
      </c>
      <c r="BT247" s="463">
        <v>0</v>
      </c>
    </row>
    <row r="248" spans="52:84" ht="12" customHeight="1">
      <c r="AZ248" s="549"/>
      <c r="BA248" s="2275"/>
      <c r="BB248" s="2275"/>
      <c r="BC248" s="2275"/>
      <c r="BD248" s="2275"/>
      <c r="BE248" s="1666"/>
      <c r="BF248" s="619"/>
      <c r="BG248" s="619"/>
      <c r="BH248" s="619"/>
      <c r="BI248" s="619"/>
      <c r="BJ248" s="619"/>
      <c r="BK248" s="619"/>
      <c r="BL248" s="619"/>
      <c r="BN248" s="382" t="s">
        <v>8129</v>
      </c>
      <c r="BQ248" s="463">
        <v>0</v>
      </c>
      <c r="BR248" s="463">
        <v>0</v>
      </c>
      <c r="BS248" s="463">
        <v>0</v>
      </c>
      <c r="BT248" s="463">
        <v>0</v>
      </c>
    </row>
    <row r="249" spans="52:84" ht="12" customHeight="1">
      <c r="AZ249" s="583"/>
      <c r="BA249" s="861"/>
      <c r="BB249" s="861"/>
      <c r="BC249" s="861"/>
      <c r="BD249" s="861"/>
      <c r="BE249" s="619"/>
      <c r="BF249" s="619"/>
      <c r="BG249" s="619"/>
      <c r="BH249" s="619"/>
      <c r="BI249" s="619"/>
      <c r="BJ249" s="619"/>
      <c r="BK249" s="619"/>
      <c r="BL249" s="619"/>
      <c r="BN249" s="382" t="s">
        <v>85</v>
      </c>
      <c r="BQ249" s="463">
        <v>87</v>
      </c>
      <c r="BR249" s="463">
        <v>136</v>
      </c>
      <c r="BS249" s="463">
        <v>669</v>
      </c>
      <c r="BT249" s="463">
        <v>2871</v>
      </c>
    </row>
    <row r="250" spans="52:84" ht="12" customHeight="1">
      <c r="BE250" s="619"/>
      <c r="BF250" s="619"/>
      <c r="BG250" s="619"/>
      <c r="BH250" s="619"/>
      <c r="BI250" s="619"/>
      <c r="BJ250" s="619"/>
      <c r="BK250" s="619"/>
      <c r="BL250" s="619"/>
      <c r="BN250" s="382" t="s">
        <v>8130</v>
      </c>
      <c r="BQ250" s="463">
        <v>3</v>
      </c>
      <c r="BR250" s="463">
        <v>13</v>
      </c>
      <c r="BS250" s="463">
        <v>18</v>
      </c>
      <c r="BT250" s="463">
        <v>275</v>
      </c>
    </row>
    <row r="251" spans="52:84" ht="12" customHeight="1">
      <c r="BE251" s="619"/>
      <c r="BF251" s="619"/>
      <c r="BG251" s="619"/>
      <c r="BH251" s="619"/>
      <c r="BI251" s="619"/>
      <c r="BJ251" s="619"/>
      <c r="BK251" s="619"/>
      <c r="BL251" s="619"/>
      <c r="BN251" s="382" t="s">
        <v>8132</v>
      </c>
      <c r="BQ251" s="463">
        <v>0</v>
      </c>
      <c r="BR251" s="463">
        <v>0</v>
      </c>
      <c r="BS251" s="463">
        <v>0</v>
      </c>
      <c r="BT251" s="463">
        <v>0</v>
      </c>
    </row>
    <row r="252" spans="52:84" ht="12" customHeight="1">
      <c r="BE252" s="619"/>
      <c r="BF252" s="619"/>
      <c r="BG252" s="619"/>
      <c r="BH252" s="619"/>
      <c r="BI252" s="619"/>
      <c r="BJ252" s="619"/>
      <c r="BK252" s="619"/>
      <c r="BL252" s="619"/>
      <c r="BN252" s="382" t="s">
        <v>8131</v>
      </c>
      <c r="BQ252" s="463">
        <v>83</v>
      </c>
      <c r="BR252" s="463">
        <v>76</v>
      </c>
      <c r="BS252" s="463">
        <v>403</v>
      </c>
      <c r="BT252" s="463">
        <v>1181</v>
      </c>
    </row>
    <row r="253" spans="52:84" ht="12" customHeight="1">
      <c r="BE253" s="619"/>
      <c r="BF253" s="619"/>
      <c r="BG253" s="619"/>
      <c r="BH253" s="619"/>
      <c r="BI253" s="619"/>
      <c r="BJ253" s="619"/>
      <c r="BK253" s="619"/>
      <c r="BL253" s="619"/>
      <c r="BN253" s="382" t="s">
        <v>8133</v>
      </c>
      <c r="BQ253" s="463">
        <v>203</v>
      </c>
      <c r="BR253" s="463">
        <v>80</v>
      </c>
      <c r="BS253" s="463">
        <v>261</v>
      </c>
      <c r="BT253" s="463">
        <v>2120</v>
      </c>
    </row>
    <row r="254" spans="52:84" ht="12" customHeight="1">
      <c r="BE254" s="619"/>
      <c r="BF254" s="619"/>
      <c r="BG254" s="619"/>
      <c r="BH254" s="619"/>
      <c r="BI254" s="619"/>
      <c r="BJ254" s="619"/>
      <c r="BK254" s="619"/>
      <c r="BL254" s="619"/>
      <c r="BN254" s="382" t="s">
        <v>8156</v>
      </c>
      <c r="BQ254" s="463">
        <v>3</v>
      </c>
      <c r="BR254" s="463">
        <v>1</v>
      </c>
      <c r="BS254" s="463">
        <v>27</v>
      </c>
      <c r="BT254" s="463">
        <v>118</v>
      </c>
    </row>
    <row r="255" spans="52:84" ht="12" customHeight="1">
      <c r="BE255" s="619"/>
      <c r="BF255" s="619"/>
      <c r="BG255" s="619"/>
      <c r="BH255" s="619"/>
      <c r="BI255" s="619"/>
      <c r="BJ255" s="619"/>
      <c r="BK255" s="619"/>
      <c r="BL255" s="619"/>
      <c r="BN255" s="382" t="s">
        <v>8135</v>
      </c>
      <c r="BQ255" s="463">
        <v>16</v>
      </c>
      <c r="BR255" s="463">
        <v>23</v>
      </c>
      <c r="BS255" s="463">
        <v>103</v>
      </c>
      <c r="BT255" s="463">
        <v>632</v>
      </c>
    </row>
    <row r="256" spans="52:84" ht="12" customHeight="1">
      <c r="BE256" s="619"/>
      <c r="BF256" s="619"/>
      <c r="BG256" s="619"/>
      <c r="BH256" s="619"/>
      <c r="BI256" s="619"/>
      <c r="BJ256" s="619"/>
      <c r="BK256" s="619"/>
      <c r="BL256" s="619"/>
      <c r="BN256" s="382" t="s">
        <v>8136</v>
      </c>
      <c r="BQ256" s="463">
        <v>0</v>
      </c>
      <c r="BR256" s="463">
        <v>0</v>
      </c>
      <c r="BS256" s="463">
        <v>43</v>
      </c>
      <c r="BT256" s="463">
        <v>190</v>
      </c>
    </row>
    <row r="257" spans="57:72" ht="12" customHeight="1">
      <c r="BE257" s="619"/>
      <c r="BF257" s="619"/>
      <c r="BG257" s="619"/>
      <c r="BH257" s="619"/>
      <c r="BI257" s="619"/>
      <c r="BJ257" s="619"/>
      <c r="BK257" s="619"/>
      <c r="BL257" s="619"/>
      <c r="BN257" s="382" t="s">
        <v>8137</v>
      </c>
      <c r="BQ257" s="463">
        <v>0</v>
      </c>
      <c r="BR257" s="463">
        <v>109</v>
      </c>
      <c r="BS257" s="463">
        <v>541</v>
      </c>
      <c r="BT257" s="463">
        <v>1648</v>
      </c>
    </row>
    <row r="258" spans="57:72" ht="12" customHeight="1">
      <c r="BE258" s="619"/>
      <c r="BF258" s="619"/>
      <c r="BG258" s="619"/>
      <c r="BH258" s="619"/>
      <c r="BI258" s="619"/>
      <c r="BJ258" s="619"/>
      <c r="BK258" s="619"/>
      <c r="BL258" s="619"/>
      <c r="BN258" s="382" t="s">
        <v>8138</v>
      </c>
      <c r="BQ258" s="463">
        <v>46</v>
      </c>
      <c r="BR258" s="463">
        <v>114</v>
      </c>
      <c r="BS258" s="463">
        <v>1910</v>
      </c>
      <c r="BT258" s="463">
        <v>120</v>
      </c>
    </row>
    <row r="259" spans="57:72" ht="12" customHeight="1">
      <c r="BE259" s="619"/>
      <c r="BF259" s="619"/>
      <c r="BG259" s="619"/>
      <c r="BH259" s="619"/>
      <c r="BI259" s="619"/>
      <c r="BJ259" s="619"/>
      <c r="BK259" s="619"/>
      <c r="BL259" s="619"/>
      <c r="BN259" s="382" t="s">
        <v>8157</v>
      </c>
      <c r="BQ259" s="463">
        <v>817</v>
      </c>
      <c r="BR259" s="463">
        <v>2194</v>
      </c>
      <c r="BS259" s="463">
        <v>1931</v>
      </c>
      <c r="BT259" s="463">
        <v>2930</v>
      </c>
    </row>
    <row r="260" spans="57:72" ht="12" customHeight="1">
      <c r="BE260" s="619"/>
      <c r="BF260" s="619"/>
      <c r="BG260" s="619"/>
      <c r="BH260" s="619"/>
      <c r="BI260" s="619"/>
      <c r="BJ260" s="619"/>
      <c r="BK260" s="619"/>
      <c r="BL260" s="619"/>
      <c r="BN260" s="382" t="s">
        <v>8140</v>
      </c>
      <c r="BQ260" s="463">
        <v>0</v>
      </c>
      <c r="BR260" s="463">
        <v>0</v>
      </c>
      <c r="BS260" s="463">
        <v>1</v>
      </c>
      <c r="BT260" s="463">
        <v>10</v>
      </c>
    </row>
    <row r="261" spans="57:72" ht="12" customHeight="1">
      <c r="BE261" s="619"/>
      <c r="BF261" s="619"/>
      <c r="BG261" s="619"/>
      <c r="BH261" s="619"/>
      <c r="BI261" s="619"/>
      <c r="BJ261" s="619"/>
      <c r="BK261" s="619"/>
      <c r="BL261" s="619"/>
      <c r="BN261" s="382" t="s">
        <v>8141</v>
      </c>
      <c r="BQ261" s="463">
        <v>0</v>
      </c>
      <c r="BR261" s="463">
        <v>0</v>
      </c>
      <c r="BS261" s="463">
        <v>0</v>
      </c>
      <c r="BT261" s="463">
        <v>1</v>
      </c>
    </row>
    <row r="262" spans="57:72" ht="12" customHeight="1">
      <c r="BE262" s="619"/>
      <c r="BF262" s="619"/>
      <c r="BG262" s="619"/>
      <c r="BH262" s="619"/>
      <c r="BI262" s="619"/>
      <c r="BJ262" s="619"/>
      <c r="BK262" s="619"/>
      <c r="BL262" s="619"/>
      <c r="BN262" s="382" t="s">
        <v>8142</v>
      </c>
      <c r="BQ262" s="463">
        <v>0</v>
      </c>
      <c r="BR262" s="463">
        <v>0</v>
      </c>
      <c r="BS262" s="463">
        <v>0</v>
      </c>
      <c r="BT262" s="463">
        <v>0</v>
      </c>
    </row>
    <row r="263" spans="57:72" ht="12" customHeight="1">
      <c r="BE263" s="619"/>
      <c r="BF263" s="619"/>
      <c r="BG263" s="619"/>
      <c r="BH263" s="619"/>
      <c r="BI263" s="619"/>
      <c r="BJ263" s="619"/>
      <c r="BK263" s="619"/>
      <c r="BL263" s="619"/>
      <c r="BN263" s="382" t="s">
        <v>8143</v>
      </c>
      <c r="BQ263" s="463">
        <v>2</v>
      </c>
      <c r="BR263" s="463">
        <v>0</v>
      </c>
      <c r="BS263" s="463">
        <v>229</v>
      </c>
      <c r="BT263" s="463">
        <v>516</v>
      </c>
    </row>
    <row r="264" spans="57:72" ht="12" customHeight="1">
      <c r="BE264" s="619"/>
      <c r="BF264" s="1038"/>
      <c r="BG264" s="619"/>
      <c r="BH264" s="619"/>
      <c r="BI264" s="619"/>
      <c r="BJ264" s="619"/>
      <c r="BK264" s="619"/>
      <c r="BL264" s="1038"/>
      <c r="BN264" s="382" t="s">
        <v>8144</v>
      </c>
      <c r="BQ264" s="474">
        <v>3</v>
      </c>
      <c r="BR264" s="474">
        <v>5</v>
      </c>
      <c r="BS264" s="474">
        <v>114</v>
      </c>
      <c r="BT264" s="474">
        <v>171</v>
      </c>
    </row>
    <row r="265" spans="57:72" ht="12" customHeight="1">
      <c r="BE265" s="619"/>
      <c r="BF265" s="1038"/>
      <c r="BG265" s="619"/>
      <c r="BH265" s="619"/>
      <c r="BI265" s="619"/>
      <c r="BJ265" s="619"/>
      <c r="BK265" s="619"/>
      <c r="BL265" s="1038"/>
      <c r="BN265" s="382" t="s">
        <v>8145</v>
      </c>
      <c r="BQ265" s="463">
        <v>2</v>
      </c>
      <c r="BR265" s="463">
        <v>2</v>
      </c>
      <c r="BS265" s="463">
        <v>6</v>
      </c>
      <c r="BT265" s="463">
        <v>61</v>
      </c>
    </row>
    <row r="266" spans="57:72" ht="12" customHeight="1">
      <c r="BE266" s="619"/>
      <c r="BF266" s="619"/>
      <c r="BG266" s="619"/>
      <c r="BH266" s="619"/>
      <c r="BI266" s="619"/>
      <c r="BJ266" s="619"/>
      <c r="BK266" s="619"/>
      <c r="BL266" s="619"/>
      <c r="BN266" s="382" t="s">
        <v>8158</v>
      </c>
      <c r="BQ266" s="463">
        <v>0</v>
      </c>
      <c r="BR266" s="463">
        <v>0</v>
      </c>
      <c r="BS266" s="463">
        <v>137</v>
      </c>
      <c r="BT266" s="463">
        <v>27</v>
      </c>
    </row>
    <row r="267" spans="57:72" ht="12" customHeight="1">
      <c r="BE267" s="619"/>
      <c r="BF267" s="1038"/>
      <c r="BG267" s="1038"/>
      <c r="BH267" s="1038"/>
      <c r="BI267" s="1038"/>
      <c r="BJ267" s="1038"/>
      <c r="BK267" s="1038"/>
      <c r="BL267" s="1038"/>
      <c r="BN267" s="382" t="s">
        <v>8159</v>
      </c>
      <c r="BQ267" s="463">
        <v>0</v>
      </c>
      <c r="BR267" s="463">
        <v>0</v>
      </c>
      <c r="BS267" s="463">
        <v>0</v>
      </c>
      <c r="BT267" s="463">
        <v>0</v>
      </c>
    </row>
    <row r="268" spans="57:72" ht="12" customHeight="1">
      <c r="BE268" s="619"/>
      <c r="BF268" s="619"/>
      <c r="BG268" s="1038"/>
      <c r="BH268" s="1038"/>
      <c r="BI268" s="1038"/>
      <c r="BJ268" s="1038"/>
      <c r="BK268" s="1038"/>
      <c r="BL268" s="619"/>
      <c r="BN268" s="382" t="s">
        <v>8160</v>
      </c>
      <c r="BQ268" s="463">
        <v>0</v>
      </c>
      <c r="BR268" s="463">
        <v>0</v>
      </c>
      <c r="BS268" s="463">
        <v>0</v>
      </c>
      <c r="BT268" s="463">
        <v>0</v>
      </c>
    </row>
    <row r="269" spans="57:72" ht="12" customHeight="1">
      <c r="BE269" s="619"/>
      <c r="BF269" s="619"/>
      <c r="BG269" s="619"/>
      <c r="BH269" s="619"/>
      <c r="BI269" s="619"/>
      <c r="BJ269" s="619"/>
      <c r="BK269" s="619"/>
      <c r="BL269" s="619"/>
      <c r="BN269" s="381" t="s">
        <v>8149</v>
      </c>
      <c r="BO269" s="381"/>
      <c r="BP269" s="381"/>
      <c r="BQ269" s="1902">
        <v>-324</v>
      </c>
      <c r="BR269" s="1902">
        <v>-281</v>
      </c>
      <c r="BS269" s="1902">
        <v>-2870</v>
      </c>
      <c r="BT269" s="1902">
        <v>-14041</v>
      </c>
    </row>
    <row r="270" spans="57:72" ht="12" customHeight="1">
      <c r="BE270" s="1038"/>
      <c r="BF270" s="619"/>
      <c r="BG270" s="1038"/>
      <c r="BH270" s="1038"/>
      <c r="BI270" s="1038"/>
      <c r="BJ270" s="1038"/>
      <c r="BK270" s="1038"/>
      <c r="BL270" s="619"/>
      <c r="BN270" s="549" t="s">
        <v>8058</v>
      </c>
      <c r="BO270" s="549"/>
      <c r="BP270" s="549"/>
      <c r="BQ270" s="549"/>
      <c r="BR270" s="549"/>
      <c r="BS270" s="1661"/>
      <c r="BT270" s="1661"/>
    </row>
    <row r="271" spans="57:72" ht="12" customHeight="1">
      <c r="BE271" s="1038"/>
      <c r="BF271" s="619"/>
      <c r="BG271" s="619"/>
      <c r="BH271" s="619"/>
      <c r="BI271" s="619"/>
      <c r="BJ271" s="619"/>
      <c r="BK271" s="619"/>
      <c r="BL271" s="619"/>
      <c r="BN271" s="549" t="s">
        <v>8151</v>
      </c>
      <c r="BO271" s="562"/>
      <c r="BP271" s="562"/>
      <c r="BQ271" s="549"/>
      <c r="BR271" s="549"/>
    </row>
    <row r="272" spans="57:72" ht="12" customHeight="1">
      <c r="BE272" s="619"/>
      <c r="BF272" s="619"/>
      <c r="BG272" s="619"/>
      <c r="BH272" s="619"/>
      <c r="BI272" s="619"/>
      <c r="BJ272" s="619"/>
      <c r="BK272" s="619"/>
      <c r="BL272" s="619"/>
      <c r="BN272" s="549" t="s">
        <v>8152</v>
      </c>
      <c r="BO272" s="549"/>
      <c r="BP272" s="549"/>
      <c r="BQ272" s="549"/>
      <c r="BR272" s="549"/>
      <c r="BT272" s="619"/>
    </row>
    <row r="273" spans="52:83" ht="12" customHeight="1">
      <c r="BE273" s="1038"/>
      <c r="BG273" s="619"/>
      <c r="BH273" s="619"/>
      <c r="BI273" s="619"/>
      <c r="BJ273" s="619"/>
      <c r="BK273" s="619"/>
      <c r="BN273" s="549" t="s">
        <v>8161</v>
      </c>
      <c r="BO273" s="549"/>
      <c r="BP273" s="549"/>
      <c r="BQ273" s="549"/>
      <c r="BR273" s="549"/>
    </row>
    <row r="274" spans="52:83" ht="12" customHeight="1">
      <c r="BE274" s="619"/>
      <c r="BG274" s="619"/>
      <c r="BH274" s="619"/>
      <c r="BI274" s="619"/>
      <c r="BJ274" s="619"/>
      <c r="BK274" s="619"/>
    </row>
    <row r="275" spans="52:83" ht="12" customHeight="1">
      <c r="BE275" s="619"/>
      <c r="BG275" s="619"/>
      <c r="BH275" s="619"/>
      <c r="BI275" s="619"/>
      <c r="BJ275" s="619"/>
      <c r="BK275" s="619"/>
    </row>
    <row r="276" spans="52:83" ht="12" customHeight="1">
      <c r="BE276" s="619"/>
    </row>
    <row r="277" spans="52:83" ht="12" customHeight="1">
      <c r="BE277" s="619"/>
      <c r="BF277" s="414"/>
      <c r="BL277" s="414"/>
    </row>
    <row r="278" spans="52:83" ht="12" customHeight="1">
      <c r="BE278" s="619"/>
      <c r="BF278" s="439"/>
      <c r="BL278" s="439"/>
    </row>
    <row r="279" spans="52:83" ht="12" customHeight="1">
      <c r="BF279" s="619"/>
      <c r="BL279" s="619"/>
      <c r="BU279" s="619"/>
      <c r="BV279" s="619"/>
      <c r="BW279" s="619"/>
      <c r="BX279" s="619"/>
      <c r="BY279" s="619"/>
      <c r="BZ279" s="619"/>
      <c r="CA279" s="619"/>
      <c r="CB279" s="619"/>
      <c r="CC279" s="619"/>
      <c r="CD279" s="619"/>
      <c r="CE279" s="619"/>
    </row>
    <row r="280" spans="52:83" ht="12" customHeight="1">
      <c r="AZ280" s="549"/>
      <c r="BA280" s="549"/>
      <c r="BB280" s="549"/>
      <c r="BC280" s="549"/>
      <c r="BD280" s="549"/>
      <c r="BF280" s="619"/>
      <c r="BG280" s="414"/>
      <c r="BH280" s="414"/>
      <c r="BI280" s="414"/>
      <c r="BJ280" s="414"/>
      <c r="BK280" s="414"/>
      <c r="BL280" s="619"/>
      <c r="BN280" s="549"/>
      <c r="BO280" s="549"/>
      <c r="BP280" s="549"/>
      <c r="BQ280" s="549"/>
      <c r="BR280" s="549"/>
    </row>
    <row r="281" spans="52:83" ht="12" customHeight="1">
      <c r="AZ281" s="549"/>
      <c r="BA281" s="562"/>
      <c r="BB281" s="562"/>
      <c r="BC281" s="562"/>
      <c r="BD281" s="562"/>
      <c r="BF281" s="619"/>
      <c r="BG281" s="439"/>
      <c r="BH281" s="439"/>
      <c r="BI281" s="439"/>
      <c r="BJ281" s="439"/>
      <c r="BK281" s="439"/>
      <c r="BL281" s="619"/>
      <c r="BN281" s="571"/>
      <c r="BO281" s="2276"/>
      <c r="BP281" s="2276"/>
      <c r="BQ281" s="2276"/>
      <c r="BR281" s="2276"/>
    </row>
    <row r="282" spans="52:83" ht="12" customHeight="1">
      <c r="AZ282" s="549"/>
      <c r="BA282" s="549"/>
      <c r="BB282" s="549"/>
      <c r="BC282" s="549"/>
      <c r="BD282" s="549"/>
      <c r="BF282" s="619"/>
      <c r="BG282" s="619"/>
      <c r="BH282" s="619"/>
      <c r="BI282" s="619"/>
      <c r="BJ282" s="619"/>
      <c r="BK282" s="619"/>
      <c r="BL282" s="619"/>
    </row>
    <row r="283" spans="52:83" ht="12" customHeight="1">
      <c r="BE283" s="414"/>
      <c r="BF283" s="619"/>
      <c r="BG283" s="619"/>
      <c r="BH283" s="619"/>
      <c r="BI283" s="619"/>
      <c r="BJ283" s="619"/>
      <c r="BK283" s="619"/>
      <c r="BL283" s="619"/>
    </row>
    <row r="284" spans="52:83" ht="12" customHeight="1">
      <c r="BE284" s="439"/>
      <c r="BF284" s="619"/>
      <c r="BG284" s="619"/>
      <c r="BH284" s="619"/>
      <c r="BI284" s="619"/>
      <c r="BJ284" s="619"/>
      <c r="BK284" s="619"/>
      <c r="BL284" s="619"/>
    </row>
    <row r="285" spans="52:83" ht="12" customHeight="1">
      <c r="BE285" s="619"/>
      <c r="BF285" s="619"/>
      <c r="BG285" s="619"/>
      <c r="BH285" s="619"/>
      <c r="BI285" s="619"/>
      <c r="BJ285" s="619"/>
      <c r="BK285" s="619"/>
      <c r="BL285" s="619"/>
    </row>
    <row r="286" spans="52:83" ht="12" customHeight="1">
      <c r="BE286" s="619"/>
      <c r="BF286" s="619"/>
      <c r="BG286" s="619"/>
      <c r="BH286" s="619"/>
      <c r="BI286" s="619"/>
      <c r="BJ286" s="619"/>
      <c r="BK286" s="619"/>
      <c r="BL286" s="619"/>
    </row>
    <row r="287" spans="52:83" ht="12" customHeight="1">
      <c r="AZ287" s="549"/>
      <c r="BA287" s="549"/>
      <c r="BB287" s="549"/>
      <c r="BC287" s="549"/>
      <c r="BD287" s="549"/>
      <c r="BE287" s="619"/>
      <c r="BF287" s="619"/>
      <c r="BG287" s="619"/>
      <c r="BH287" s="619"/>
      <c r="BI287" s="619"/>
      <c r="BJ287" s="619"/>
      <c r="BK287" s="619"/>
      <c r="BL287" s="619"/>
    </row>
    <row r="288" spans="52:83" ht="12" customHeight="1">
      <c r="AZ288" s="549"/>
      <c r="BA288" s="549"/>
      <c r="BB288" s="549"/>
      <c r="BC288" s="549"/>
      <c r="BD288" s="549"/>
      <c r="BE288" s="619"/>
      <c r="BF288" s="619"/>
      <c r="BG288" s="619"/>
      <c r="BH288" s="619"/>
      <c r="BI288" s="619"/>
      <c r="BJ288" s="619"/>
      <c r="BK288" s="619"/>
      <c r="BL288" s="619"/>
    </row>
    <row r="289" spans="52:64" ht="12" customHeight="1">
      <c r="AZ289" s="549"/>
      <c r="BA289" s="2275"/>
      <c r="BB289" s="2275"/>
      <c r="BC289" s="2275"/>
      <c r="BD289" s="549"/>
      <c r="BE289" s="619"/>
      <c r="BF289" s="619"/>
      <c r="BG289" s="619"/>
      <c r="BH289" s="619"/>
      <c r="BI289" s="619"/>
      <c r="BJ289" s="619"/>
      <c r="BK289" s="619"/>
      <c r="BL289" s="619"/>
    </row>
    <row r="290" spans="52:64" ht="12" customHeight="1">
      <c r="AZ290" s="549"/>
      <c r="BA290" s="861"/>
      <c r="BB290" s="861"/>
      <c r="BC290" s="861"/>
      <c r="BD290" s="861"/>
      <c r="BE290" s="619"/>
      <c r="BF290" s="619"/>
      <c r="BG290" s="619"/>
      <c r="BH290" s="619"/>
      <c r="BI290" s="619"/>
      <c r="BJ290" s="619"/>
      <c r="BK290" s="619"/>
      <c r="BL290" s="619"/>
    </row>
    <row r="291" spans="52:64" ht="12" customHeight="1">
      <c r="AZ291" s="549"/>
      <c r="BA291" s="562"/>
      <c r="BB291" s="562"/>
      <c r="BC291" s="562"/>
      <c r="BD291" s="562"/>
      <c r="BE291" s="619"/>
      <c r="BF291" s="619"/>
      <c r="BG291" s="619"/>
      <c r="BH291" s="619"/>
      <c r="BI291" s="619"/>
      <c r="BJ291" s="619"/>
      <c r="BK291" s="619"/>
      <c r="BL291" s="619"/>
    </row>
    <row r="292" spans="52:64" ht="12" customHeight="1">
      <c r="AZ292" s="549"/>
      <c r="BA292" s="562"/>
      <c r="BB292" s="562"/>
      <c r="BC292" s="562"/>
      <c r="BD292" s="562"/>
      <c r="BE292" s="619"/>
      <c r="BF292" s="619"/>
      <c r="BG292" s="619"/>
      <c r="BH292" s="619"/>
      <c r="BI292" s="619"/>
      <c r="BJ292" s="619"/>
      <c r="BK292" s="619"/>
      <c r="BL292" s="619"/>
    </row>
    <row r="293" spans="52:64" ht="12" customHeight="1">
      <c r="AZ293" s="549"/>
      <c r="BA293" s="562"/>
      <c r="BB293" s="562"/>
      <c r="BC293" s="562"/>
      <c r="BD293" s="562"/>
      <c r="BE293" s="619"/>
      <c r="BF293" s="619"/>
      <c r="BG293" s="619"/>
      <c r="BH293" s="619"/>
      <c r="BI293" s="619"/>
      <c r="BJ293" s="619"/>
      <c r="BK293" s="619"/>
      <c r="BL293" s="619"/>
    </row>
    <row r="294" spans="52:64" ht="12" customHeight="1">
      <c r="AZ294" s="549"/>
      <c r="BA294" s="562"/>
      <c r="BB294" s="562"/>
      <c r="BC294" s="562"/>
      <c r="BD294" s="562"/>
      <c r="BE294" s="619"/>
      <c r="BF294" s="619"/>
      <c r="BG294" s="619"/>
      <c r="BH294" s="619"/>
      <c r="BI294" s="619"/>
      <c r="BJ294" s="619"/>
      <c r="BK294" s="619"/>
      <c r="BL294" s="619"/>
    </row>
    <row r="295" spans="52:64" ht="12" customHeight="1">
      <c r="AZ295" s="549"/>
      <c r="BA295" s="562"/>
      <c r="BB295" s="562"/>
      <c r="BC295" s="562"/>
      <c r="BD295" s="562"/>
      <c r="BE295" s="619"/>
      <c r="BF295" s="619"/>
      <c r="BG295" s="619"/>
      <c r="BH295" s="619"/>
      <c r="BI295" s="619"/>
      <c r="BJ295" s="619"/>
      <c r="BK295" s="619"/>
      <c r="BL295" s="619"/>
    </row>
    <row r="296" spans="52:64" ht="12" customHeight="1">
      <c r="AZ296" s="549"/>
      <c r="BA296" s="562"/>
      <c r="BB296" s="562"/>
      <c r="BC296" s="562"/>
      <c r="BD296" s="562"/>
      <c r="BE296" s="619"/>
      <c r="BF296" s="619"/>
      <c r="BG296" s="619"/>
      <c r="BH296" s="619"/>
      <c r="BI296" s="619"/>
      <c r="BJ296" s="619"/>
      <c r="BK296" s="619"/>
      <c r="BL296" s="619"/>
    </row>
    <row r="297" spans="52:64" ht="12" customHeight="1">
      <c r="AZ297" s="549"/>
      <c r="BA297" s="562"/>
      <c r="BB297" s="562"/>
      <c r="BC297" s="562"/>
      <c r="BD297" s="562"/>
      <c r="BE297" s="619"/>
      <c r="BF297" s="619"/>
      <c r="BG297" s="619"/>
      <c r="BH297" s="619"/>
      <c r="BI297" s="619"/>
      <c r="BJ297" s="619"/>
      <c r="BK297" s="619"/>
      <c r="BL297" s="619"/>
    </row>
    <row r="298" spans="52:64" ht="12" customHeight="1">
      <c r="AZ298" s="549"/>
      <c r="BA298" s="562"/>
      <c r="BB298" s="562"/>
      <c r="BC298" s="562"/>
      <c r="BD298" s="562"/>
      <c r="BE298" s="619"/>
      <c r="BF298" s="619"/>
      <c r="BG298" s="619"/>
      <c r="BH298" s="619"/>
      <c r="BI298" s="619"/>
      <c r="BJ298" s="619"/>
      <c r="BK298" s="619"/>
      <c r="BL298" s="619"/>
    </row>
    <row r="299" spans="52:64" ht="12" customHeight="1">
      <c r="AZ299" s="549"/>
      <c r="BA299" s="562"/>
      <c r="BB299" s="562"/>
      <c r="BC299" s="562"/>
      <c r="BD299" s="562"/>
      <c r="BE299" s="619"/>
      <c r="BF299" s="619"/>
      <c r="BG299" s="619"/>
      <c r="BH299" s="619"/>
      <c r="BI299" s="619"/>
      <c r="BJ299" s="619"/>
      <c r="BK299" s="619"/>
      <c r="BL299" s="619"/>
    </row>
    <row r="300" spans="52:64" ht="12" customHeight="1">
      <c r="AZ300" s="549"/>
      <c r="BA300" s="562"/>
      <c r="BB300" s="562"/>
      <c r="BC300" s="562"/>
      <c r="BD300" s="562"/>
      <c r="BE300" s="619"/>
      <c r="BF300" s="1038"/>
      <c r="BG300" s="619"/>
      <c r="BH300" s="619"/>
      <c r="BI300" s="619"/>
      <c r="BJ300" s="619"/>
      <c r="BK300" s="619"/>
      <c r="BL300" s="1038"/>
    </row>
    <row r="301" spans="52:64" ht="12" customHeight="1">
      <c r="AZ301" s="549"/>
      <c r="BA301" s="562"/>
      <c r="BB301" s="562"/>
      <c r="BC301" s="562"/>
      <c r="BD301" s="562"/>
      <c r="BE301" s="619"/>
      <c r="BF301" s="1038"/>
      <c r="BG301" s="619"/>
      <c r="BH301" s="619"/>
      <c r="BI301" s="619"/>
      <c r="BJ301" s="619"/>
      <c r="BK301" s="619"/>
      <c r="BL301" s="1038"/>
    </row>
    <row r="302" spans="52:64" ht="12" customHeight="1">
      <c r="AZ302" s="549"/>
      <c r="BA302" s="562"/>
      <c r="BB302" s="562"/>
      <c r="BC302" s="562"/>
      <c r="BD302" s="562"/>
      <c r="BE302" s="619"/>
      <c r="BF302" s="619"/>
      <c r="BG302" s="619"/>
      <c r="BH302" s="619"/>
      <c r="BI302" s="619"/>
      <c r="BJ302" s="619"/>
      <c r="BK302" s="619"/>
      <c r="BL302" s="619"/>
    </row>
    <row r="303" spans="52:64" ht="12" customHeight="1">
      <c r="AZ303" s="549"/>
      <c r="BA303" s="562"/>
      <c r="BB303" s="562"/>
      <c r="BC303" s="562"/>
      <c r="BD303" s="562"/>
      <c r="BE303" s="619"/>
      <c r="BF303" s="1038"/>
      <c r="BG303" s="1038"/>
      <c r="BH303" s="1038"/>
      <c r="BI303" s="1038"/>
      <c r="BJ303" s="1038"/>
      <c r="BK303" s="1038"/>
      <c r="BL303" s="1038"/>
    </row>
    <row r="304" spans="52:64" ht="12" customHeight="1">
      <c r="AZ304" s="549"/>
      <c r="BA304" s="562"/>
      <c r="BB304" s="562"/>
      <c r="BC304" s="562"/>
      <c r="BD304" s="562"/>
      <c r="BE304" s="619"/>
      <c r="BF304" s="619"/>
      <c r="BG304" s="1038"/>
      <c r="BH304" s="1038"/>
      <c r="BI304" s="1038"/>
      <c r="BJ304" s="1038"/>
      <c r="BK304" s="1038"/>
      <c r="BL304" s="619"/>
    </row>
    <row r="305" spans="52:84" ht="12" customHeight="1">
      <c r="AZ305" s="549"/>
      <c r="BA305" s="562"/>
      <c r="BB305" s="562"/>
      <c r="BC305" s="562"/>
      <c r="BD305" s="562"/>
      <c r="BE305" s="619"/>
      <c r="BF305" s="619"/>
      <c r="BG305" s="619"/>
      <c r="BH305" s="619"/>
      <c r="BI305" s="619"/>
      <c r="BJ305" s="619"/>
      <c r="BK305" s="619"/>
      <c r="BL305" s="619"/>
    </row>
    <row r="306" spans="52:84" ht="12" customHeight="1">
      <c r="AZ306" s="549"/>
      <c r="BA306" s="562"/>
      <c r="BB306" s="562"/>
      <c r="BC306" s="562"/>
      <c r="BD306" s="562"/>
      <c r="BE306" s="1038"/>
      <c r="BF306" s="619"/>
      <c r="BG306" s="1038"/>
      <c r="BH306" s="1038"/>
      <c r="BI306" s="1038"/>
      <c r="BJ306" s="1038"/>
      <c r="BK306" s="1038"/>
      <c r="BL306" s="619"/>
    </row>
    <row r="307" spans="52:84" ht="12" customHeight="1">
      <c r="AZ307" s="549"/>
      <c r="BA307" s="562"/>
      <c r="BB307" s="562"/>
      <c r="BC307" s="562"/>
      <c r="BD307" s="562"/>
      <c r="BE307" s="1038"/>
      <c r="BF307" s="619"/>
      <c r="BG307" s="619"/>
      <c r="BH307" s="619"/>
      <c r="BI307" s="619"/>
      <c r="BJ307" s="619"/>
      <c r="BK307" s="619"/>
      <c r="BL307" s="619"/>
    </row>
    <row r="308" spans="52:84" ht="12" customHeight="1">
      <c r="AZ308" s="549"/>
      <c r="BA308" s="549"/>
      <c r="BB308" s="549"/>
      <c r="BC308" s="549"/>
      <c r="BD308" s="549"/>
      <c r="BE308" s="619"/>
      <c r="BF308" s="619"/>
      <c r="BG308" s="619"/>
      <c r="BH308" s="619"/>
      <c r="BI308" s="619"/>
      <c r="BJ308" s="619"/>
      <c r="BK308" s="619"/>
      <c r="BL308" s="619"/>
    </row>
    <row r="309" spans="52:84" ht="12" customHeight="1">
      <c r="AZ309" s="549"/>
      <c r="BA309" s="562"/>
      <c r="BB309" s="562"/>
      <c r="BC309" s="562"/>
      <c r="BD309" s="562"/>
      <c r="BE309" s="1038"/>
      <c r="BF309" s="619"/>
      <c r="BG309" s="619"/>
      <c r="BH309" s="619"/>
      <c r="BI309" s="619"/>
      <c r="BJ309" s="619"/>
      <c r="BK309" s="619"/>
      <c r="BL309" s="619"/>
    </row>
    <row r="310" spans="52:84" ht="12" customHeight="1">
      <c r="AZ310" s="549"/>
      <c r="BA310" s="549"/>
      <c r="BB310" s="549"/>
      <c r="BC310" s="549"/>
      <c r="BD310" s="549"/>
      <c r="BE310" s="619"/>
      <c r="BF310" s="619"/>
      <c r="BG310" s="619"/>
      <c r="BH310" s="619"/>
      <c r="BI310" s="619"/>
      <c r="BJ310" s="619"/>
      <c r="BK310" s="619"/>
      <c r="BL310" s="619"/>
    </row>
    <row r="311" spans="52:84" ht="12" customHeight="1">
      <c r="AZ311" s="549"/>
      <c r="BA311" s="549"/>
      <c r="BB311" s="549"/>
      <c r="BC311" s="549"/>
      <c r="BD311" s="549"/>
      <c r="BE311" s="619"/>
      <c r="BF311" s="463"/>
      <c r="BG311" s="619"/>
      <c r="BH311" s="619"/>
      <c r="BI311" s="619"/>
      <c r="BJ311" s="619"/>
      <c r="BK311" s="619"/>
      <c r="BL311" s="463"/>
    </row>
    <row r="312" spans="52:84" ht="12" customHeight="1">
      <c r="BE312" s="619"/>
      <c r="BG312" s="619"/>
      <c r="BH312" s="619"/>
      <c r="BI312" s="619"/>
      <c r="BJ312" s="619"/>
      <c r="BK312" s="619"/>
    </row>
    <row r="313" spans="52:84" ht="12" customHeight="1">
      <c r="BE313" s="619"/>
      <c r="BG313" s="619"/>
      <c r="BH313" s="619"/>
      <c r="BI313" s="619"/>
      <c r="BJ313" s="619"/>
      <c r="BK313" s="619"/>
    </row>
    <row r="314" spans="52:84" ht="12" customHeight="1">
      <c r="BE314" s="619"/>
      <c r="BF314" s="414"/>
      <c r="BG314" s="463"/>
      <c r="BH314" s="463"/>
      <c r="BI314" s="463"/>
      <c r="BJ314" s="463"/>
      <c r="BK314" s="463"/>
      <c r="BL314" s="414"/>
    </row>
    <row r="315" spans="52:84" ht="12" customHeight="1">
      <c r="BE315" s="619"/>
      <c r="BF315" s="439"/>
      <c r="BL315" s="439"/>
    </row>
    <row r="316" spans="52:84" ht="12" customHeight="1">
      <c r="BE316" s="619"/>
      <c r="BF316" s="619"/>
      <c r="BL316" s="619"/>
    </row>
    <row r="317" spans="52:84" ht="12" customHeight="1">
      <c r="BE317" s="463"/>
      <c r="BF317" s="619"/>
      <c r="BG317" s="414"/>
      <c r="BH317" s="414"/>
      <c r="BI317" s="414"/>
      <c r="BJ317" s="414"/>
      <c r="BK317" s="414"/>
      <c r="BL317" s="619"/>
      <c r="CF317" s="463"/>
    </row>
    <row r="318" spans="52:84" ht="12" customHeight="1">
      <c r="BF318" s="619"/>
      <c r="BG318" s="439"/>
      <c r="BH318" s="439"/>
      <c r="BI318" s="439"/>
      <c r="BJ318" s="439"/>
      <c r="BK318" s="439"/>
      <c r="BL318" s="619"/>
    </row>
    <row r="319" spans="52:84" ht="12" customHeight="1">
      <c r="BF319" s="619"/>
      <c r="BG319" s="619"/>
      <c r="BH319" s="619"/>
      <c r="BI319" s="619"/>
      <c r="BJ319" s="619"/>
      <c r="BK319" s="619"/>
      <c r="BL319" s="619"/>
      <c r="BN319" s="549"/>
      <c r="BO319" s="549"/>
      <c r="BP319" s="549"/>
      <c r="BQ319" s="549"/>
      <c r="BR319" s="549"/>
    </row>
    <row r="320" spans="52:84" ht="12" customHeight="1">
      <c r="BE320" s="414"/>
      <c r="BF320" s="619"/>
      <c r="BG320" s="619"/>
      <c r="BH320" s="619"/>
      <c r="BI320" s="619"/>
      <c r="BJ320" s="619"/>
      <c r="BK320" s="619"/>
      <c r="BL320" s="619"/>
    </row>
    <row r="321" spans="57:71" ht="12" customHeight="1">
      <c r="BE321" s="439"/>
      <c r="BF321" s="619"/>
      <c r="BG321" s="619"/>
      <c r="BH321" s="619"/>
      <c r="BI321" s="619"/>
      <c r="BJ321" s="619"/>
      <c r="BK321" s="619"/>
      <c r="BL321" s="619"/>
    </row>
    <row r="322" spans="57:71" ht="12" customHeight="1">
      <c r="BE322" s="619"/>
      <c r="BF322" s="619"/>
      <c r="BG322" s="619"/>
      <c r="BH322" s="619"/>
      <c r="BI322" s="619"/>
      <c r="BJ322" s="619"/>
      <c r="BK322" s="619"/>
      <c r="BL322" s="619"/>
    </row>
    <row r="323" spans="57:71" ht="12" customHeight="1">
      <c r="BE323" s="619"/>
      <c r="BF323" s="619"/>
      <c r="BG323" s="619"/>
      <c r="BH323" s="619"/>
      <c r="BI323" s="619"/>
      <c r="BJ323" s="619"/>
      <c r="BK323" s="619"/>
      <c r="BL323" s="619"/>
    </row>
    <row r="324" spans="57:71" ht="12" customHeight="1">
      <c r="BE324" s="619"/>
      <c r="BF324" s="619"/>
      <c r="BG324" s="619"/>
      <c r="BH324" s="619"/>
      <c r="BI324" s="619"/>
      <c r="BJ324" s="619"/>
      <c r="BK324" s="619"/>
      <c r="BL324" s="619"/>
      <c r="BS324" s="463"/>
    </row>
    <row r="325" spans="57:71" ht="12" customHeight="1">
      <c r="BE325" s="619"/>
      <c r="BF325" s="619"/>
      <c r="BG325" s="619"/>
      <c r="BH325" s="619"/>
      <c r="BI325" s="619"/>
      <c r="BJ325" s="619"/>
      <c r="BK325" s="619"/>
      <c r="BL325" s="619"/>
    </row>
    <row r="326" spans="57:71" ht="12" customHeight="1">
      <c r="BE326" s="619"/>
      <c r="BF326" s="619"/>
      <c r="BG326" s="619"/>
      <c r="BH326" s="619"/>
      <c r="BI326" s="619"/>
      <c r="BJ326" s="619"/>
      <c r="BK326" s="619"/>
      <c r="BL326" s="619"/>
    </row>
    <row r="327" spans="57:71" ht="12" customHeight="1">
      <c r="BE327" s="619"/>
      <c r="BF327" s="619"/>
      <c r="BG327" s="619"/>
      <c r="BH327" s="619"/>
      <c r="BI327" s="619"/>
      <c r="BJ327" s="619"/>
      <c r="BK327" s="619"/>
      <c r="BL327" s="619"/>
    </row>
    <row r="328" spans="57:71" ht="12" customHeight="1">
      <c r="BE328" s="619"/>
      <c r="BF328" s="619"/>
      <c r="BG328" s="619"/>
      <c r="BH328" s="619"/>
      <c r="BI328" s="619"/>
      <c r="BJ328" s="619"/>
      <c r="BK328" s="619"/>
      <c r="BL328" s="619"/>
    </row>
    <row r="329" spans="57:71" ht="12" customHeight="1">
      <c r="BE329" s="619"/>
      <c r="BF329" s="619"/>
      <c r="BG329" s="619"/>
      <c r="BH329" s="619"/>
      <c r="BI329" s="619"/>
      <c r="BJ329" s="619"/>
      <c r="BK329" s="619"/>
      <c r="BL329" s="619"/>
    </row>
    <row r="330" spans="57:71" ht="12" customHeight="1">
      <c r="BE330" s="619"/>
      <c r="BF330" s="619"/>
      <c r="BG330" s="619"/>
      <c r="BH330" s="619"/>
      <c r="BI330" s="619"/>
      <c r="BJ330" s="619"/>
      <c r="BK330" s="619"/>
      <c r="BL330" s="619"/>
    </row>
    <row r="331" spans="57:71" ht="12" customHeight="1">
      <c r="BE331" s="619"/>
      <c r="BF331" s="619"/>
      <c r="BG331" s="619"/>
      <c r="BH331" s="619"/>
      <c r="BI331" s="619"/>
      <c r="BJ331" s="619"/>
      <c r="BK331" s="619"/>
      <c r="BL331" s="619"/>
    </row>
    <row r="332" spans="57:71" ht="12" customHeight="1">
      <c r="BE332" s="619"/>
      <c r="BF332" s="619"/>
      <c r="BG332" s="619"/>
      <c r="BH332" s="619"/>
      <c r="BI332" s="619"/>
      <c r="BJ332" s="619"/>
      <c r="BK332" s="619"/>
      <c r="BL332" s="619"/>
    </row>
    <row r="333" spans="57:71" ht="12" customHeight="1">
      <c r="BE333" s="619"/>
      <c r="BF333" s="619"/>
      <c r="BG333" s="619"/>
      <c r="BH333" s="619"/>
      <c r="BI333" s="619"/>
      <c r="BJ333" s="619"/>
      <c r="BK333" s="619"/>
      <c r="BL333" s="619"/>
    </row>
    <row r="334" spans="57:71" ht="12" customHeight="1">
      <c r="BE334" s="619"/>
      <c r="BF334" s="619"/>
      <c r="BG334" s="619"/>
      <c r="BH334" s="619"/>
      <c r="BI334" s="619"/>
      <c r="BJ334" s="619"/>
      <c r="BK334" s="619"/>
      <c r="BL334" s="619"/>
    </row>
    <row r="335" spans="57:71" ht="12" customHeight="1">
      <c r="BE335" s="619"/>
      <c r="BF335" s="619"/>
      <c r="BG335" s="619"/>
      <c r="BH335" s="619"/>
      <c r="BI335" s="619"/>
      <c r="BJ335" s="619"/>
      <c r="BK335" s="619"/>
      <c r="BL335" s="619"/>
    </row>
    <row r="336" spans="57:71" ht="12" customHeight="1">
      <c r="BE336" s="619"/>
      <c r="BF336" s="619"/>
      <c r="BG336" s="619"/>
      <c r="BH336" s="619"/>
      <c r="BI336" s="619"/>
      <c r="BJ336" s="619"/>
      <c r="BK336" s="619"/>
      <c r="BL336" s="619"/>
    </row>
    <row r="337" spans="57:109" ht="12" customHeight="1">
      <c r="BE337" s="619"/>
      <c r="BF337" s="619"/>
      <c r="BG337" s="619"/>
      <c r="BH337" s="619"/>
      <c r="BI337" s="619"/>
      <c r="BJ337" s="619"/>
      <c r="BK337" s="619"/>
      <c r="BL337" s="619"/>
    </row>
    <row r="338" spans="57:109" ht="12" customHeight="1">
      <c r="BE338" s="619"/>
      <c r="BF338" s="1038"/>
      <c r="BG338" s="619"/>
      <c r="BH338" s="619"/>
      <c r="BI338" s="619"/>
      <c r="BJ338" s="619"/>
      <c r="BK338" s="619"/>
      <c r="BL338" s="1038"/>
    </row>
    <row r="339" spans="57:109" ht="12" customHeight="1">
      <c r="BE339" s="619"/>
      <c r="BF339" s="1038"/>
      <c r="BG339" s="619"/>
      <c r="BH339" s="619"/>
      <c r="BI339" s="619"/>
      <c r="BJ339" s="619"/>
      <c r="BK339" s="619"/>
      <c r="BL339" s="1038"/>
    </row>
    <row r="340" spans="57:109" ht="12" customHeight="1">
      <c r="BE340" s="619"/>
      <c r="BF340" s="619"/>
      <c r="BG340" s="619"/>
      <c r="BH340" s="619"/>
      <c r="BI340" s="619"/>
      <c r="BJ340" s="619"/>
      <c r="BK340" s="619"/>
      <c r="BL340" s="619"/>
    </row>
    <row r="341" spans="57:109" ht="12" customHeight="1">
      <c r="BE341" s="619"/>
      <c r="BF341" s="1038"/>
      <c r="BG341" s="1038"/>
      <c r="BH341" s="1038"/>
      <c r="BI341" s="1038"/>
      <c r="BJ341" s="1038"/>
      <c r="BK341" s="1038"/>
      <c r="BL341" s="1038"/>
    </row>
    <row r="342" spans="57:109" ht="12" customHeight="1">
      <c r="BE342" s="619"/>
      <c r="BF342" s="619"/>
      <c r="BG342" s="1038"/>
      <c r="BH342" s="1038"/>
      <c r="BI342" s="1038"/>
      <c r="BJ342" s="1038"/>
      <c r="BK342" s="1038"/>
      <c r="BL342" s="619"/>
      <c r="DE342" s="414"/>
    </row>
    <row r="343" spans="57:109" ht="12" customHeight="1">
      <c r="BE343" s="619"/>
      <c r="BF343" s="619"/>
      <c r="BG343" s="619"/>
      <c r="BH343" s="619"/>
      <c r="BI343" s="619"/>
      <c r="BJ343" s="619"/>
      <c r="BK343" s="619"/>
      <c r="BL343" s="619"/>
    </row>
    <row r="344" spans="57:109" ht="12" customHeight="1">
      <c r="BE344" s="1038"/>
      <c r="BF344" s="619"/>
      <c r="BG344" s="1038"/>
      <c r="BH344" s="1038"/>
      <c r="BI344" s="1038"/>
      <c r="BJ344" s="1038"/>
      <c r="BK344" s="1038"/>
      <c r="BL344" s="619"/>
    </row>
    <row r="345" spans="57:109" ht="12" customHeight="1">
      <c r="BE345" s="1038"/>
      <c r="BF345" s="619"/>
      <c r="BG345" s="619"/>
      <c r="BH345" s="619"/>
      <c r="BI345" s="619"/>
      <c r="BJ345" s="619"/>
      <c r="BK345" s="619"/>
      <c r="BL345" s="619"/>
    </row>
    <row r="346" spans="57:109" ht="12" customHeight="1">
      <c r="BE346" s="619"/>
      <c r="BF346" s="619"/>
      <c r="BG346" s="619"/>
      <c r="BH346" s="619"/>
      <c r="BI346" s="619"/>
      <c r="BJ346" s="619"/>
      <c r="BK346" s="619"/>
      <c r="BL346" s="619"/>
    </row>
    <row r="347" spans="57:109" ht="12" customHeight="1">
      <c r="BE347" s="1038"/>
      <c r="BF347" s="619"/>
      <c r="BG347" s="619"/>
      <c r="BH347" s="619"/>
      <c r="BI347" s="619"/>
      <c r="BJ347" s="619"/>
      <c r="BK347" s="619"/>
      <c r="BL347" s="619"/>
    </row>
    <row r="348" spans="57:109" ht="12" customHeight="1">
      <c r="BE348" s="619"/>
      <c r="BF348" s="619"/>
      <c r="BG348" s="619"/>
      <c r="BH348" s="619"/>
      <c r="BI348" s="619"/>
      <c r="BJ348" s="619"/>
      <c r="BK348" s="619"/>
      <c r="BL348" s="619"/>
      <c r="BT348" s="463"/>
    </row>
    <row r="349" spans="57:109" ht="12" customHeight="1">
      <c r="BE349" s="619"/>
      <c r="BG349" s="619"/>
      <c r="BH349" s="619"/>
      <c r="BI349" s="619"/>
      <c r="BJ349" s="619"/>
      <c r="BK349" s="619"/>
    </row>
    <row r="350" spans="57:109" ht="12" customHeight="1">
      <c r="BE350" s="619"/>
      <c r="BG350" s="619"/>
      <c r="BH350" s="619"/>
      <c r="BI350" s="619"/>
      <c r="BJ350" s="619"/>
      <c r="BK350" s="619"/>
    </row>
    <row r="351" spans="57:109" ht="12" customHeight="1">
      <c r="BE351" s="619"/>
      <c r="BG351" s="619"/>
      <c r="BH351" s="619"/>
      <c r="BI351" s="619"/>
      <c r="BJ351" s="619"/>
      <c r="BK351" s="619"/>
    </row>
    <row r="352" spans="57:109" ht="12" customHeight="1">
      <c r="BE352" s="619"/>
    </row>
    <row r="353" spans="57:83" ht="12" customHeight="1">
      <c r="BE353" s="619"/>
    </row>
    <row r="354" spans="57:83" ht="12" customHeight="1">
      <c r="BE354" s="619"/>
      <c r="BF354" s="414"/>
      <c r="BL354" s="414"/>
    </row>
    <row r="355" spans="57:83" ht="12" customHeight="1">
      <c r="BF355" s="439"/>
      <c r="BL355" s="439"/>
      <c r="BU355" s="463"/>
      <c r="BV355" s="463"/>
      <c r="BW355" s="463"/>
      <c r="BX355" s="463"/>
      <c r="BY355" s="463"/>
      <c r="BZ355" s="463"/>
      <c r="CA355" s="463"/>
      <c r="CB355" s="463"/>
      <c r="CC355" s="463"/>
      <c r="CD355" s="463"/>
      <c r="CE355" s="463"/>
    </row>
    <row r="356" spans="57:83" ht="12" customHeight="1">
      <c r="BF356" s="619"/>
      <c r="BL356" s="619"/>
    </row>
    <row r="357" spans="57:83" ht="12" customHeight="1">
      <c r="BF357" s="1038"/>
      <c r="BG357" s="414"/>
      <c r="BH357" s="414"/>
      <c r="BI357" s="414"/>
      <c r="BJ357" s="414"/>
      <c r="BK357" s="414"/>
      <c r="BL357" s="1038"/>
      <c r="BN357" s="549"/>
      <c r="BO357" s="549"/>
      <c r="BP357" s="549"/>
      <c r="BQ357" s="549"/>
      <c r="BR357" s="549"/>
    </row>
    <row r="358" spans="57:83" ht="12" customHeight="1">
      <c r="BF358" s="1038"/>
      <c r="BG358" s="439"/>
      <c r="BH358" s="439"/>
      <c r="BI358" s="439"/>
      <c r="BJ358" s="439"/>
      <c r="BK358" s="439"/>
      <c r="BL358" s="1038"/>
      <c r="BN358" s="549"/>
      <c r="BO358" s="549"/>
      <c r="BP358" s="549"/>
      <c r="BQ358" s="549"/>
      <c r="BR358" s="549"/>
    </row>
    <row r="359" spans="57:83" ht="12" customHeight="1">
      <c r="BF359" s="619"/>
      <c r="BG359" s="619"/>
      <c r="BH359" s="619"/>
      <c r="BI359" s="619"/>
      <c r="BJ359" s="619"/>
      <c r="BK359" s="619"/>
      <c r="BL359" s="619"/>
    </row>
    <row r="360" spans="57:83" ht="12" customHeight="1">
      <c r="BE360" s="414"/>
      <c r="BF360" s="619"/>
      <c r="BG360" s="1038"/>
      <c r="BH360" s="1038"/>
      <c r="BI360" s="1038"/>
      <c r="BJ360" s="1038"/>
      <c r="BK360" s="1038"/>
      <c r="BL360" s="619"/>
    </row>
    <row r="361" spans="57:83" ht="12" customHeight="1">
      <c r="BE361" s="439"/>
      <c r="BF361" s="619"/>
      <c r="BG361" s="1038"/>
      <c r="BH361" s="1038"/>
      <c r="BI361" s="1038"/>
      <c r="BJ361" s="1038"/>
      <c r="BK361" s="1038"/>
      <c r="BL361" s="619"/>
    </row>
    <row r="362" spans="57:83" ht="12" customHeight="1">
      <c r="BE362" s="619"/>
      <c r="BF362" s="619"/>
      <c r="BG362" s="619"/>
      <c r="BH362" s="619"/>
      <c r="BI362" s="619"/>
      <c r="BJ362" s="619"/>
      <c r="BK362" s="619"/>
      <c r="BL362" s="619"/>
    </row>
    <row r="363" spans="57:83" ht="12" customHeight="1">
      <c r="BE363" s="1038"/>
      <c r="BF363" s="619"/>
      <c r="BG363" s="619"/>
      <c r="BH363" s="619"/>
      <c r="BI363" s="619"/>
      <c r="BJ363" s="619"/>
      <c r="BK363" s="619"/>
      <c r="BL363" s="619"/>
    </row>
    <row r="364" spans="57:83" ht="12" customHeight="1">
      <c r="BE364" s="1038"/>
      <c r="BF364" s="619"/>
      <c r="BG364" s="619"/>
      <c r="BH364" s="619"/>
      <c r="BI364" s="619"/>
      <c r="BJ364" s="619"/>
      <c r="BK364" s="619"/>
      <c r="BL364" s="619"/>
    </row>
    <row r="365" spans="57:83" ht="12" customHeight="1">
      <c r="BE365" s="619"/>
      <c r="BF365" s="619"/>
      <c r="BG365" s="619"/>
      <c r="BH365" s="619"/>
      <c r="BI365" s="619"/>
      <c r="BJ365" s="619"/>
      <c r="BK365" s="619"/>
      <c r="BL365" s="619"/>
    </row>
    <row r="366" spans="57:83" ht="12" customHeight="1">
      <c r="BE366" s="619"/>
      <c r="BF366" s="619"/>
      <c r="BG366" s="619"/>
      <c r="BH366" s="619"/>
      <c r="BI366" s="619"/>
      <c r="BJ366" s="619"/>
      <c r="BK366" s="619"/>
      <c r="BL366" s="619"/>
    </row>
    <row r="367" spans="57:83" ht="12" customHeight="1">
      <c r="BE367" s="619"/>
      <c r="BF367" s="619"/>
      <c r="BG367" s="619"/>
      <c r="BH367" s="619"/>
      <c r="BI367" s="619"/>
      <c r="BJ367" s="619"/>
      <c r="BK367" s="619"/>
      <c r="BL367" s="619"/>
    </row>
    <row r="368" spans="57:83" ht="12" customHeight="1">
      <c r="BE368" s="619"/>
      <c r="BF368" s="619"/>
      <c r="BG368" s="619"/>
      <c r="BH368" s="619"/>
      <c r="BI368" s="619"/>
      <c r="BJ368" s="619"/>
      <c r="BK368" s="619"/>
      <c r="BL368" s="619"/>
    </row>
    <row r="369" spans="57:64" ht="12" customHeight="1">
      <c r="BE369" s="619"/>
      <c r="BF369" s="619"/>
      <c r="BG369" s="619"/>
      <c r="BH369" s="619"/>
      <c r="BI369" s="619"/>
      <c r="BJ369" s="619"/>
      <c r="BK369" s="619"/>
      <c r="BL369" s="619"/>
    </row>
    <row r="370" spans="57:64" ht="12" customHeight="1">
      <c r="BE370" s="619"/>
      <c r="BF370" s="619"/>
      <c r="BG370" s="619"/>
      <c r="BH370" s="619"/>
      <c r="BI370" s="619"/>
      <c r="BJ370" s="619"/>
      <c r="BK370" s="619"/>
      <c r="BL370" s="619"/>
    </row>
    <row r="371" spans="57:64" ht="12" customHeight="1">
      <c r="BE371" s="619"/>
      <c r="BF371" s="619"/>
      <c r="BG371" s="549"/>
      <c r="BH371" s="549"/>
      <c r="BI371" s="549"/>
      <c r="BJ371" s="549"/>
      <c r="BK371" s="549"/>
      <c r="BL371" s="619"/>
    </row>
    <row r="372" spans="57:64" ht="12" customHeight="1">
      <c r="BE372" s="619"/>
      <c r="BF372" s="619"/>
      <c r="BG372" s="549"/>
      <c r="BH372" s="549"/>
      <c r="BI372" s="1664"/>
      <c r="BJ372" s="1664"/>
      <c r="BK372" s="1664"/>
      <c r="BL372" s="619"/>
    </row>
    <row r="373" spans="57:64" ht="12" customHeight="1">
      <c r="BE373" s="619"/>
      <c r="BF373" s="619"/>
      <c r="BG373" s="549"/>
      <c r="BH373" s="2275"/>
      <c r="BI373" s="2275"/>
      <c r="BJ373" s="2275"/>
      <c r="BK373" s="2275"/>
      <c r="BL373" s="619"/>
    </row>
    <row r="374" spans="57:64" ht="12" customHeight="1">
      <c r="BE374" s="619"/>
      <c r="BF374" s="619"/>
      <c r="BG374" s="549"/>
      <c r="BH374" s="861"/>
      <c r="BI374" s="861"/>
      <c r="BJ374" s="861"/>
      <c r="BK374" s="861"/>
      <c r="BL374" s="619"/>
    </row>
    <row r="375" spans="57:64" ht="12" customHeight="1">
      <c r="BE375" s="619"/>
      <c r="BF375" s="619"/>
      <c r="BG375" s="549"/>
      <c r="BH375" s="562"/>
      <c r="BI375" s="562"/>
      <c r="BJ375" s="562"/>
      <c r="BK375" s="562"/>
      <c r="BL375" s="619"/>
    </row>
    <row r="376" spans="57:64" ht="12" customHeight="1">
      <c r="BE376" s="619"/>
      <c r="BF376" s="619"/>
      <c r="BG376" s="549"/>
      <c r="BH376" s="562"/>
      <c r="BI376" s="562"/>
      <c r="BJ376" s="562"/>
      <c r="BK376" s="562"/>
      <c r="BL376" s="619"/>
    </row>
    <row r="377" spans="57:64" ht="12" customHeight="1">
      <c r="BE377" s="619"/>
      <c r="BF377" s="619"/>
      <c r="BG377" s="549"/>
      <c r="BH377" s="986"/>
      <c r="BI377" s="562"/>
      <c r="BJ377" s="562"/>
      <c r="BK377" s="562"/>
      <c r="BL377" s="619"/>
    </row>
    <row r="378" spans="57:64" ht="12" customHeight="1">
      <c r="BE378" s="619"/>
      <c r="BF378" s="619"/>
      <c r="BG378" s="549"/>
      <c r="BH378" s="986"/>
      <c r="BI378" s="562"/>
      <c r="BJ378" s="562"/>
      <c r="BK378" s="562"/>
      <c r="BL378" s="619"/>
    </row>
    <row r="379" spans="57:64" ht="12" customHeight="1">
      <c r="BE379" s="619"/>
      <c r="BF379" s="619"/>
      <c r="BG379" s="549"/>
      <c r="BH379" s="986"/>
      <c r="BI379" s="562"/>
      <c r="BJ379" s="562"/>
      <c r="BK379" s="562"/>
      <c r="BL379" s="619"/>
    </row>
    <row r="380" spans="57:64" ht="12" customHeight="1">
      <c r="BE380" s="619"/>
      <c r="BF380" s="619"/>
      <c r="BG380" s="549"/>
      <c r="BH380" s="986"/>
      <c r="BI380" s="562"/>
      <c r="BJ380" s="562"/>
      <c r="BK380" s="562"/>
      <c r="BL380" s="619"/>
    </row>
    <row r="381" spans="57:64" ht="12" customHeight="1">
      <c r="BE381" s="619"/>
      <c r="BF381" s="619"/>
      <c r="BG381" s="549"/>
      <c r="BH381" s="986"/>
      <c r="BI381" s="562"/>
      <c r="BJ381" s="562"/>
      <c r="BK381" s="562"/>
      <c r="BL381" s="619"/>
    </row>
    <row r="382" spans="57:64" ht="12" customHeight="1">
      <c r="BE382" s="619"/>
      <c r="BF382" s="1038"/>
      <c r="BG382" s="549"/>
      <c r="BH382" s="986"/>
      <c r="BI382" s="562"/>
      <c r="BJ382" s="562"/>
      <c r="BK382" s="562"/>
      <c r="BL382" s="1038"/>
    </row>
    <row r="383" spans="57:64" ht="12" customHeight="1">
      <c r="BE383" s="619"/>
      <c r="BF383" s="1038"/>
      <c r="BG383" s="549"/>
      <c r="BH383" s="986"/>
      <c r="BI383" s="562"/>
      <c r="BJ383" s="562"/>
      <c r="BK383" s="562"/>
      <c r="BL383" s="1038"/>
    </row>
    <row r="384" spans="57:64" ht="12" customHeight="1">
      <c r="BE384" s="619"/>
      <c r="BF384" s="619"/>
      <c r="BG384" s="549"/>
      <c r="BH384" s="986"/>
      <c r="BI384" s="562"/>
      <c r="BJ384" s="562"/>
      <c r="BK384" s="562"/>
      <c r="BL384" s="619"/>
    </row>
    <row r="385" spans="57:70" ht="12" customHeight="1">
      <c r="BE385" s="619"/>
      <c r="BF385" s="619"/>
      <c r="BG385" s="549"/>
      <c r="BH385" s="986"/>
      <c r="BI385" s="562"/>
      <c r="BJ385" s="562"/>
      <c r="BK385" s="562"/>
      <c r="BL385" s="619"/>
    </row>
    <row r="386" spans="57:70" ht="12" customHeight="1">
      <c r="BE386" s="619"/>
      <c r="BF386" s="1038"/>
      <c r="BG386" s="549"/>
      <c r="BH386" s="986"/>
      <c r="BI386" s="562"/>
      <c r="BJ386" s="562"/>
      <c r="BK386" s="562"/>
      <c r="BL386" s="1038"/>
    </row>
    <row r="387" spans="57:70" ht="12" customHeight="1">
      <c r="BE387" s="619"/>
      <c r="BF387" s="619"/>
      <c r="BG387" s="549"/>
      <c r="BH387" s="986"/>
      <c r="BI387" s="562"/>
      <c r="BJ387" s="562"/>
      <c r="BK387" s="562"/>
      <c r="BL387" s="619"/>
    </row>
    <row r="388" spans="57:70" ht="12" customHeight="1">
      <c r="BE388" s="1038"/>
      <c r="BF388" s="619"/>
      <c r="BG388" s="549"/>
      <c r="BH388" s="986"/>
      <c r="BI388" s="562"/>
      <c r="BJ388" s="562"/>
      <c r="BK388" s="562"/>
      <c r="BL388" s="619"/>
    </row>
    <row r="389" spans="57:70" ht="12" customHeight="1">
      <c r="BE389" s="1038"/>
      <c r="BF389" s="619"/>
      <c r="BG389" s="549"/>
      <c r="BH389" s="986"/>
      <c r="BI389" s="562"/>
      <c r="BJ389" s="562"/>
      <c r="BK389" s="562"/>
      <c r="BL389" s="619"/>
    </row>
    <row r="390" spans="57:70" ht="12" customHeight="1">
      <c r="BE390" s="619"/>
      <c r="BG390" s="549"/>
      <c r="BH390" s="986"/>
      <c r="BI390" s="562"/>
      <c r="BJ390" s="562"/>
      <c r="BK390" s="562"/>
    </row>
    <row r="391" spans="57:70" ht="12" customHeight="1">
      <c r="BE391" s="619"/>
      <c r="BG391" s="549"/>
      <c r="BH391" s="986"/>
      <c r="BI391" s="562"/>
      <c r="BJ391" s="562"/>
      <c r="BK391" s="562"/>
      <c r="BO391" s="435"/>
      <c r="BP391" s="463"/>
      <c r="BQ391" s="463"/>
      <c r="BR391" s="463"/>
    </row>
    <row r="392" spans="57:70" ht="12" customHeight="1">
      <c r="BE392" s="1038"/>
      <c r="BF392" s="1276"/>
      <c r="BG392" s="549"/>
      <c r="BH392" s="986"/>
      <c r="BI392" s="562"/>
      <c r="BJ392" s="562"/>
      <c r="BK392" s="562"/>
      <c r="BL392" s="1276"/>
    </row>
    <row r="393" spans="57:70" ht="12" customHeight="1">
      <c r="BE393" s="619"/>
      <c r="BF393" s="1668"/>
      <c r="BG393" s="549"/>
      <c r="BH393" s="549"/>
      <c r="BI393" s="549"/>
      <c r="BJ393" s="549"/>
      <c r="BK393" s="549"/>
      <c r="BL393" s="1668"/>
      <c r="BO393" s="463"/>
      <c r="BP393" s="463"/>
      <c r="BQ393" s="463"/>
      <c r="BR393" s="463"/>
    </row>
    <row r="394" spans="57:70" ht="12" customHeight="1">
      <c r="BE394" s="619"/>
      <c r="BF394" s="1669"/>
      <c r="BG394" s="549"/>
      <c r="BH394" s="562"/>
      <c r="BI394" s="562"/>
      <c r="BJ394" s="562"/>
      <c r="BK394" s="562"/>
      <c r="BL394" s="1669"/>
    </row>
    <row r="395" spans="57:70" ht="12" customHeight="1">
      <c r="BE395" s="619"/>
      <c r="BF395" s="1670"/>
      <c r="BG395" s="549"/>
      <c r="BH395" s="549"/>
      <c r="BI395" s="562"/>
      <c r="BJ395" s="549"/>
      <c r="BK395" s="549"/>
      <c r="BL395" s="1670"/>
    </row>
    <row r="396" spans="57:70" ht="12" customHeight="1">
      <c r="BF396" s="1671"/>
      <c r="BG396" s="1670"/>
      <c r="BH396" s="1670"/>
      <c r="BI396" s="1670"/>
      <c r="BJ396" s="1670"/>
      <c r="BK396" s="1670"/>
      <c r="BL396" s="1671"/>
    </row>
    <row r="397" spans="57:70" ht="12" customHeight="1">
      <c r="BF397" s="1671"/>
      <c r="BG397" s="1670"/>
      <c r="BH397" s="1670"/>
      <c r="BI397" s="1670"/>
      <c r="BJ397" s="1670"/>
      <c r="BK397" s="1670"/>
      <c r="BL397" s="1671"/>
      <c r="BP397" s="463"/>
      <c r="BQ397" s="463"/>
      <c r="BR397" s="463"/>
    </row>
    <row r="398" spans="57:70" ht="12" customHeight="1">
      <c r="BE398" s="1276"/>
      <c r="BF398" s="1670"/>
      <c r="BG398" s="1670"/>
      <c r="BH398" s="1670"/>
      <c r="BI398" s="1670"/>
      <c r="BJ398" s="1670"/>
      <c r="BK398" s="1670"/>
      <c r="BL398" s="1670"/>
      <c r="BO398" s="414"/>
      <c r="BP398" s="414"/>
      <c r="BQ398" s="414"/>
      <c r="BR398" s="414"/>
    </row>
    <row r="399" spans="57:70" ht="12" customHeight="1">
      <c r="BE399" s="1668"/>
      <c r="BF399" s="1670"/>
      <c r="BG399" s="1670"/>
      <c r="BH399" s="1670"/>
      <c r="BI399" s="1670"/>
      <c r="BJ399" s="1670"/>
      <c r="BK399" s="1670"/>
      <c r="BL399" s="1670"/>
      <c r="BO399" s="439"/>
      <c r="BP399" s="439"/>
      <c r="BQ399" s="439"/>
      <c r="BR399" s="439"/>
    </row>
    <row r="400" spans="57:70" ht="12" customHeight="1">
      <c r="BE400" s="1669"/>
      <c r="BF400" s="1670"/>
      <c r="BG400" s="1670"/>
      <c r="BH400" s="1670"/>
      <c r="BI400" s="1670"/>
      <c r="BJ400" s="1670"/>
      <c r="BK400" s="1670"/>
      <c r="BL400" s="1670"/>
      <c r="BO400" s="435"/>
      <c r="BP400" s="463"/>
      <c r="BQ400" s="463"/>
      <c r="BR400" s="463"/>
    </row>
    <row r="401" spans="57:70" ht="12" customHeight="1">
      <c r="BE401" s="1670"/>
      <c r="BF401" s="1670"/>
      <c r="BG401" s="1670"/>
      <c r="BH401" s="1670"/>
      <c r="BI401" s="1670"/>
      <c r="BJ401" s="1670"/>
      <c r="BK401" s="1670"/>
      <c r="BL401" s="1670"/>
      <c r="BO401" s="435"/>
      <c r="BP401" s="463"/>
      <c r="BQ401" s="463"/>
      <c r="BR401" s="463"/>
    </row>
    <row r="402" spans="57:70" ht="12" customHeight="1">
      <c r="BE402" s="1671"/>
      <c r="BF402" s="1670"/>
      <c r="BG402" s="1670"/>
      <c r="BH402" s="1670"/>
      <c r="BI402" s="1670"/>
      <c r="BJ402" s="1670"/>
      <c r="BK402" s="1670"/>
      <c r="BL402" s="1670"/>
      <c r="BO402" s="435"/>
      <c r="BP402" s="463"/>
      <c r="BQ402" s="463"/>
      <c r="BR402" s="463"/>
    </row>
    <row r="403" spans="57:70" ht="12" customHeight="1">
      <c r="BE403" s="1671"/>
      <c r="BF403" s="1670"/>
      <c r="BG403" s="1670"/>
      <c r="BH403" s="1670"/>
      <c r="BI403" s="1670"/>
      <c r="BJ403" s="1670"/>
      <c r="BK403" s="1670"/>
      <c r="BL403" s="1670"/>
      <c r="BO403" s="435"/>
      <c r="BP403" s="463"/>
      <c r="BQ403" s="463"/>
      <c r="BR403" s="463"/>
    </row>
    <row r="404" spans="57:70" ht="12" customHeight="1">
      <c r="BE404" s="1670"/>
      <c r="BF404" s="1670"/>
      <c r="BG404" s="1670"/>
      <c r="BH404" s="1670"/>
      <c r="BI404" s="1670"/>
      <c r="BJ404" s="1670"/>
      <c r="BK404" s="1670"/>
      <c r="BL404" s="1670"/>
      <c r="BO404" s="435"/>
      <c r="BP404" s="463"/>
      <c r="BQ404" s="463"/>
      <c r="BR404" s="463"/>
    </row>
    <row r="405" spans="57:70" ht="12" customHeight="1">
      <c r="BE405" s="1670"/>
      <c r="BF405" s="1670"/>
      <c r="BG405" s="1670"/>
      <c r="BH405" s="1670"/>
      <c r="BI405" s="1670"/>
      <c r="BJ405" s="1670"/>
      <c r="BK405" s="1670"/>
      <c r="BL405" s="1670"/>
      <c r="BO405" s="435"/>
      <c r="BP405" s="463"/>
      <c r="BQ405" s="463"/>
      <c r="BR405" s="463"/>
    </row>
    <row r="406" spans="57:70" ht="12" customHeight="1">
      <c r="BE406" s="1670"/>
      <c r="BF406" s="1670"/>
      <c r="BG406" s="1670"/>
      <c r="BH406" s="1670"/>
      <c r="BI406" s="1670"/>
      <c r="BJ406" s="1670"/>
      <c r="BK406" s="1670"/>
      <c r="BL406" s="1670"/>
      <c r="BO406" s="435"/>
      <c r="BP406" s="463"/>
      <c r="BQ406" s="463"/>
      <c r="BR406" s="463"/>
    </row>
    <row r="407" spans="57:70" ht="12" customHeight="1">
      <c r="BE407" s="1670"/>
      <c r="BF407" s="1670"/>
      <c r="BG407" s="1670"/>
      <c r="BH407" s="1670"/>
      <c r="BI407" s="1670"/>
      <c r="BJ407" s="1670"/>
      <c r="BK407" s="1670"/>
      <c r="BL407" s="1670"/>
      <c r="BO407" s="435"/>
      <c r="BP407" s="463"/>
      <c r="BQ407" s="463"/>
      <c r="BR407" s="463"/>
    </row>
    <row r="408" spans="57:70" ht="12" customHeight="1">
      <c r="BE408" s="1670"/>
      <c r="BF408" s="1670"/>
      <c r="BG408" s="1670"/>
      <c r="BH408" s="1670"/>
      <c r="BI408" s="1670"/>
      <c r="BJ408" s="1670"/>
      <c r="BK408" s="1670"/>
      <c r="BL408" s="1670"/>
      <c r="BO408" s="435"/>
      <c r="BP408" s="463"/>
      <c r="BQ408" s="463"/>
      <c r="BR408" s="463"/>
    </row>
    <row r="409" spans="57:70" ht="12" customHeight="1">
      <c r="BE409" s="1670"/>
      <c r="BF409" s="1670"/>
      <c r="BG409" s="1670"/>
      <c r="BH409" s="1670"/>
      <c r="BI409" s="1670"/>
      <c r="BJ409" s="1670"/>
      <c r="BK409" s="1670"/>
      <c r="BL409" s="1670"/>
      <c r="BO409" s="435"/>
      <c r="BP409" s="463"/>
      <c r="BQ409" s="463"/>
      <c r="BR409" s="463"/>
    </row>
    <row r="410" spans="57:70" ht="12" customHeight="1">
      <c r="BE410" s="1670"/>
      <c r="BF410" s="1670"/>
      <c r="BG410" s="1670"/>
      <c r="BH410" s="1670"/>
      <c r="BI410" s="1670"/>
      <c r="BJ410" s="1670"/>
      <c r="BK410" s="1670"/>
      <c r="BL410" s="1670"/>
      <c r="BO410" s="435"/>
      <c r="BP410" s="463"/>
      <c r="BQ410" s="463"/>
      <c r="BR410" s="463"/>
    </row>
    <row r="411" spans="57:70" ht="12" customHeight="1">
      <c r="BE411" s="1670"/>
      <c r="BF411" s="1670"/>
      <c r="BG411" s="1670"/>
      <c r="BH411" s="1670"/>
      <c r="BI411" s="1670"/>
      <c r="BJ411" s="1670"/>
      <c r="BK411" s="1670"/>
      <c r="BL411" s="1670"/>
      <c r="BO411" s="435"/>
      <c r="BP411" s="463"/>
      <c r="BQ411" s="463"/>
      <c r="BR411" s="463"/>
    </row>
    <row r="412" spans="57:70" ht="12" customHeight="1">
      <c r="BE412" s="1670"/>
      <c r="BF412" s="1670"/>
      <c r="BG412" s="1670"/>
      <c r="BH412" s="1670"/>
      <c r="BI412" s="1670"/>
      <c r="BJ412" s="1670"/>
      <c r="BK412" s="1670"/>
      <c r="BL412" s="1670"/>
      <c r="BO412" s="435"/>
      <c r="BP412" s="463"/>
      <c r="BQ412" s="463"/>
      <c r="BR412" s="463"/>
    </row>
    <row r="413" spans="57:70" ht="12" customHeight="1">
      <c r="BE413" s="1670"/>
      <c r="BF413" s="1670"/>
      <c r="BG413" s="1670"/>
      <c r="BH413" s="1670"/>
      <c r="BI413" s="1670"/>
      <c r="BJ413" s="1670"/>
      <c r="BK413" s="1670"/>
      <c r="BL413" s="1670"/>
      <c r="BO413" s="435"/>
      <c r="BP413" s="463"/>
      <c r="BQ413" s="463"/>
      <c r="BR413" s="463"/>
    </row>
    <row r="414" spans="57:70" ht="12" customHeight="1">
      <c r="BE414" s="1670"/>
      <c r="BF414" s="1670"/>
      <c r="BG414" s="1670"/>
      <c r="BH414" s="1670"/>
      <c r="BI414" s="1670"/>
      <c r="BJ414" s="1670"/>
      <c r="BK414" s="1670"/>
      <c r="BL414" s="1670"/>
      <c r="BO414" s="435"/>
      <c r="BP414" s="463"/>
      <c r="BQ414" s="463"/>
      <c r="BR414" s="463"/>
    </row>
    <row r="415" spans="57:70" ht="12" customHeight="1">
      <c r="BE415" s="1670"/>
      <c r="BF415" s="1670"/>
      <c r="BG415" s="1670"/>
      <c r="BH415" s="1670"/>
      <c r="BI415" s="1670"/>
      <c r="BJ415" s="1670"/>
      <c r="BK415" s="1670"/>
      <c r="BL415" s="1670"/>
      <c r="BO415" s="435"/>
      <c r="BP415" s="463"/>
      <c r="BQ415" s="463"/>
      <c r="BR415" s="463"/>
    </row>
    <row r="416" spans="57:70" ht="12" customHeight="1">
      <c r="BE416" s="1670"/>
      <c r="BF416" s="1670"/>
      <c r="BG416" s="1671"/>
      <c r="BH416" s="1671"/>
      <c r="BI416" s="1671"/>
      <c r="BJ416" s="1671"/>
      <c r="BK416" s="1671"/>
      <c r="BL416" s="1670"/>
      <c r="BO416" s="435"/>
      <c r="BP416" s="463"/>
      <c r="BQ416" s="463"/>
      <c r="BR416" s="463"/>
    </row>
    <row r="417" spans="57:70" ht="12" customHeight="1">
      <c r="BE417" s="1670"/>
      <c r="BF417" s="1670"/>
      <c r="BG417" s="1671"/>
      <c r="BH417" s="1671"/>
      <c r="BI417" s="1671"/>
      <c r="BJ417" s="1671"/>
      <c r="BK417" s="1671"/>
      <c r="BL417" s="1670"/>
      <c r="BO417" s="435"/>
      <c r="BP417" s="463"/>
      <c r="BQ417" s="463"/>
      <c r="BR417" s="463"/>
    </row>
    <row r="418" spans="57:70" ht="12" customHeight="1">
      <c r="BE418" s="1670"/>
      <c r="BF418" s="1670"/>
      <c r="BG418" s="1670"/>
      <c r="BH418" s="1670"/>
      <c r="BI418" s="1670"/>
      <c r="BJ418" s="1670"/>
      <c r="BK418" s="1670"/>
      <c r="BL418" s="1670"/>
    </row>
    <row r="419" spans="57:70" ht="12" customHeight="1">
      <c r="BE419" s="1670"/>
      <c r="BF419" s="1671"/>
      <c r="BG419" s="1670"/>
      <c r="BH419" s="1670"/>
      <c r="BI419" s="1670"/>
      <c r="BJ419" s="1670"/>
      <c r="BK419" s="1670"/>
      <c r="BL419" s="1671"/>
      <c r="BP419" s="463"/>
      <c r="BQ419" s="463"/>
      <c r="BR419" s="463"/>
    </row>
    <row r="420" spans="57:70" ht="12" customHeight="1">
      <c r="BE420" s="1670"/>
      <c r="BF420" s="1671"/>
      <c r="BG420" s="1671"/>
      <c r="BH420" s="1671"/>
      <c r="BI420" s="1671"/>
      <c r="BJ420" s="1671"/>
      <c r="BK420" s="1671"/>
      <c r="BL420" s="1671"/>
    </row>
    <row r="421" spans="57:70" ht="12" customHeight="1">
      <c r="BE421" s="1670"/>
      <c r="BF421" s="1670"/>
      <c r="BG421" s="1670"/>
      <c r="BH421" s="1670"/>
      <c r="BI421" s="1670"/>
      <c r="BJ421" s="1670"/>
      <c r="BK421" s="1670"/>
      <c r="BL421" s="1670"/>
    </row>
    <row r="422" spans="57:70" ht="12" customHeight="1">
      <c r="BE422" s="1670"/>
      <c r="BF422" s="1670"/>
      <c r="BG422" s="1670"/>
      <c r="BH422" s="1670"/>
      <c r="BI422" s="1670"/>
      <c r="BJ422" s="1670"/>
      <c r="BK422" s="1670"/>
      <c r="BL422" s="1670"/>
    </row>
    <row r="423" spans="57:70" ht="12" customHeight="1">
      <c r="BE423" s="1670"/>
      <c r="BF423" s="1671"/>
      <c r="BG423" s="1670"/>
      <c r="BH423" s="1670"/>
      <c r="BI423" s="1670"/>
      <c r="BJ423" s="1670"/>
      <c r="BK423" s="1670"/>
      <c r="BL423" s="1671"/>
    </row>
    <row r="424" spans="57:70" ht="12" customHeight="1">
      <c r="BE424" s="1670"/>
      <c r="BF424" s="1670"/>
      <c r="BG424" s="1276"/>
      <c r="BH424" s="1276"/>
      <c r="BI424" s="1276"/>
      <c r="BJ424" s="1276"/>
      <c r="BK424" s="1276"/>
      <c r="BL424" s="1670"/>
    </row>
    <row r="425" spans="57:70" ht="12" customHeight="1">
      <c r="BE425" s="1671"/>
      <c r="BF425" s="1670"/>
      <c r="BL425" s="1670"/>
    </row>
    <row r="426" spans="57:70" ht="12" customHeight="1">
      <c r="BE426" s="1671"/>
      <c r="BF426" s="1670"/>
      <c r="BL426" s="1670"/>
    </row>
    <row r="427" spans="57:70" ht="12" customHeight="1">
      <c r="BE427" s="1670"/>
      <c r="BF427" s="1276"/>
      <c r="BL427" s="1276"/>
    </row>
    <row r="428" spans="57:70" ht="12" customHeight="1">
      <c r="BE428" s="1670"/>
      <c r="BG428" s="414"/>
      <c r="BH428" s="414"/>
      <c r="BI428" s="414"/>
      <c r="BJ428" s="414"/>
      <c r="BK428" s="414"/>
    </row>
    <row r="429" spans="57:70" ht="12" customHeight="1">
      <c r="BE429" s="1671"/>
      <c r="BG429" s="439"/>
      <c r="BH429" s="439"/>
      <c r="BI429" s="439"/>
      <c r="BJ429" s="439"/>
      <c r="BK429" s="439"/>
    </row>
    <row r="430" spans="57:70" ht="12" customHeight="1">
      <c r="BE430" s="1670"/>
      <c r="BG430" s="619"/>
      <c r="BH430" s="619"/>
      <c r="BI430" s="619"/>
      <c r="BJ430" s="619"/>
      <c r="BK430" s="619"/>
    </row>
    <row r="431" spans="57:70" ht="12" customHeight="1">
      <c r="BE431" s="1670"/>
      <c r="BF431" s="414"/>
      <c r="BG431" s="1038"/>
      <c r="BH431" s="1038"/>
      <c r="BI431" s="1038"/>
      <c r="BJ431" s="1038"/>
      <c r="BK431" s="1038"/>
      <c r="BL431" s="414"/>
    </row>
    <row r="432" spans="57:70" ht="12" customHeight="1">
      <c r="BE432" s="1670"/>
      <c r="BF432" s="439"/>
      <c r="BG432" s="1038"/>
      <c r="BH432" s="1038"/>
      <c r="BI432" s="1038"/>
      <c r="BJ432" s="1038"/>
      <c r="BK432" s="1038"/>
      <c r="BL432" s="439"/>
    </row>
    <row r="433" spans="57:84" ht="12" customHeight="1">
      <c r="BE433" s="1276"/>
      <c r="BF433" s="619"/>
      <c r="BG433" s="619"/>
      <c r="BH433" s="619"/>
      <c r="BI433" s="619"/>
      <c r="BJ433" s="619"/>
      <c r="BK433" s="619"/>
      <c r="BL433" s="619"/>
      <c r="CF433" s="398"/>
    </row>
    <row r="434" spans="57:84" ht="12" customHeight="1">
      <c r="BF434" s="1038"/>
      <c r="BG434" s="619"/>
      <c r="BH434" s="619"/>
      <c r="BI434" s="619"/>
      <c r="BJ434" s="619"/>
      <c r="BK434" s="619"/>
      <c r="BL434" s="1038"/>
    </row>
    <row r="435" spans="57:84" ht="12" customHeight="1">
      <c r="BF435" s="1038"/>
      <c r="BG435" s="619"/>
      <c r="BH435" s="619"/>
      <c r="BI435" s="619"/>
      <c r="BJ435" s="619"/>
      <c r="BK435" s="619"/>
      <c r="BL435" s="1038"/>
    </row>
    <row r="436" spans="57:84" ht="12" customHeight="1">
      <c r="BF436" s="619"/>
      <c r="BG436" s="619"/>
      <c r="BH436" s="619"/>
      <c r="BI436" s="619"/>
      <c r="BJ436" s="619"/>
      <c r="BK436" s="619"/>
      <c r="BL436" s="619"/>
    </row>
    <row r="437" spans="57:84" ht="12" customHeight="1">
      <c r="BE437" s="414"/>
      <c r="BF437" s="619"/>
      <c r="BG437" s="619"/>
      <c r="BH437" s="619"/>
      <c r="BI437" s="619"/>
      <c r="BJ437" s="619"/>
      <c r="BK437" s="619"/>
      <c r="BL437" s="619"/>
    </row>
    <row r="438" spans="57:84" ht="12" customHeight="1">
      <c r="BE438" s="439"/>
      <c r="BF438" s="619"/>
      <c r="BG438" s="619"/>
      <c r="BH438" s="619"/>
      <c r="BI438" s="619"/>
      <c r="BJ438" s="619"/>
      <c r="BK438" s="619"/>
      <c r="BL438" s="619"/>
    </row>
    <row r="439" spans="57:84" ht="12" customHeight="1">
      <c r="BE439" s="619"/>
      <c r="BF439" s="619"/>
      <c r="BG439" s="619"/>
      <c r="BH439" s="619"/>
      <c r="BI439" s="619"/>
      <c r="BJ439" s="619"/>
      <c r="BK439" s="619"/>
      <c r="BL439" s="619"/>
    </row>
    <row r="440" spans="57:84" ht="12" customHeight="1">
      <c r="BE440" s="1038"/>
      <c r="BF440" s="619"/>
      <c r="BG440" s="619"/>
      <c r="BH440" s="619"/>
      <c r="BI440" s="619"/>
      <c r="BJ440" s="619"/>
      <c r="BK440" s="619"/>
      <c r="BL440" s="619"/>
      <c r="BS440" s="398"/>
    </row>
    <row r="441" spans="57:84" ht="12" customHeight="1">
      <c r="BE441" s="1038"/>
      <c r="BF441" s="619"/>
      <c r="BG441" s="619"/>
      <c r="BH441" s="619"/>
      <c r="BI441" s="619"/>
      <c r="BJ441" s="619"/>
      <c r="BK441" s="619"/>
      <c r="BL441" s="619"/>
    </row>
    <row r="442" spans="57:84" ht="12" customHeight="1">
      <c r="BE442" s="619"/>
      <c r="BF442" s="619"/>
      <c r="BG442" s="619"/>
      <c r="BH442" s="619"/>
      <c r="BI442" s="619"/>
      <c r="BJ442" s="619"/>
      <c r="BK442" s="619"/>
      <c r="BL442" s="619"/>
    </row>
    <row r="443" spans="57:84" ht="12" customHeight="1">
      <c r="BE443" s="619"/>
      <c r="BF443" s="619"/>
      <c r="BG443" s="619"/>
      <c r="BH443" s="619"/>
      <c r="BI443" s="619"/>
      <c r="BJ443" s="619"/>
      <c r="BK443" s="619"/>
      <c r="BL443" s="619"/>
    </row>
    <row r="444" spans="57:84" ht="12" customHeight="1">
      <c r="BE444" s="619"/>
      <c r="BF444" s="619"/>
      <c r="BG444" s="619"/>
      <c r="BH444" s="619"/>
      <c r="BI444" s="619"/>
      <c r="BJ444" s="619"/>
      <c r="BK444" s="619"/>
      <c r="BL444" s="619"/>
    </row>
    <row r="445" spans="57:84" ht="12" customHeight="1">
      <c r="BE445" s="619"/>
      <c r="BF445" s="619"/>
      <c r="BG445" s="619"/>
      <c r="BH445" s="619"/>
      <c r="BI445" s="619"/>
      <c r="BJ445" s="619"/>
      <c r="BK445" s="619"/>
      <c r="BL445" s="619"/>
    </row>
    <row r="446" spans="57:84" ht="12" customHeight="1">
      <c r="BE446" s="619"/>
      <c r="BF446" s="619"/>
      <c r="BG446" s="619"/>
      <c r="BH446" s="619"/>
      <c r="BI446" s="619"/>
      <c r="BJ446" s="619"/>
      <c r="BK446" s="619"/>
      <c r="BL446" s="619"/>
    </row>
    <row r="447" spans="57:84" ht="12" customHeight="1">
      <c r="BE447" s="619"/>
      <c r="BF447" s="619"/>
      <c r="BG447" s="619"/>
      <c r="BH447" s="619"/>
      <c r="BI447" s="619"/>
      <c r="BJ447" s="619"/>
      <c r="BK447" s="619"/>
      <c r="BL447" s="619"/>
    </row>
    <row r="448" spans="57:84" ht="12" customHeight="1">
      <c r="BE448" s="619"/>
      <c r="BF448" s="619"/>
      <c r="BG448" s="619"/>
      <c r="BH448" s="619"/>
      <c r="BI448" s="619"/>
      <c r="BJ448" s="619"/>
      <c r="BK448" s="619"/>
      <c r="BL448" s="619"/>
    </row>
    <row r="449" spans="57:72" ht="12" customHeight="1">
      <c r="BE449" s="619"/>
      <c r="BF449" s="619"/>
      <c r="BG449" s="619"/>
      <c r="BH449" s="619"/>
      <c r="BI449" s="619"/>
      <c r="BJ449" s="619"/>
      <c r="BK449" s="619"/>
      <c r="BL449" s="619"/>
    </row>
    <row r="450" spans="57:72" ht="12" customHeight="1">
      <c r="BE450" s="619"/>
      <c r="BF450" s="619"/>
      <c r="BG450" s="619"/>
      <c r="BH450" s="619"/>
      <c r="BI450" s="619"/>
      <c r="BJ450" s="619"/>
      <c r="BK450" s="619"/>
      <c r="BL450" s="619"/>
    </row>
    <row r="451" spans="57:72" ht="12" customHeight="1">
      <c r="BE451" s="619"/>
      <c r="BF451" s="619"/>
      <c r="BG451" s="619"/>
      <c r="BH451" s="619"/>
      <c r="BI451" s="619"/>
      <c r="BJ451" s="619"/>
      <c r="BK451" s="619"/>
      <c r="BL451" s="619"/>
    </row>
    <row r="452" spans="57:72" ht="12" customHeight="1">
      <c r="BE452" s="619"/>
      <c r="BF452" s="619"/>
      <c r="BG452" s="619"/>
      <c r="BH452" s="619"/>
      <c r="BI452" s="619"/>
      <c r="BJ452" s="619"/>
      <c r="BK452" s="619"/>
      <c r="BL452" s="619"/>
    </row>
    <row r="453" spans="57:72" ht="12" customHeight="1">
      <c r="BE453" s="619"/>
      <c r="BF453" s="619"/>
      <c r="BG453" s="619"/>
      <c r="BH453" s="619"/>
      <c r="BI453" s="619"/>
      <c r="BJ453" s="619"/>
      <c r="BK453" s="619"/>
      <c r="BL453" s="619"/>
    </row>
    <row r="454" spans="57:72" ht="12" customHeight="1">
      <c r="BE454" s="619"/>
      <c r="BF454" s="619"/>
      <c r="BG454" s="1038"/>
      <c r="BH454" s="1038"/>
      <c r="BI454" s="1038"/>
      <c r="BJ454" s="1038"/>
      <c r="BK454" s="1038"/>
      <c r="BL454" s="619"/>
    </row>
    <row r="455" spans="57:72" ht="12" customHeight="1">
      <c r="BE455" s="619"/>
      <c r="BF455" s="619"/>
      <c r="BG455" s="1038"/>
      <c r="BH455" s="1038"/>
      <c r="BI455" s="1038"/>
      <c r="BJ455" s="1038"/>
      <c r="BK455" s="1038"/>
      <c r="BL455" s="619"/>
    </row>
    <row r="456" spans="57:72" ht="12" customHeight="1">
      <c r="BE456" s="619"/>
      <c r="BF456" s="619"/>
      <c r="BG456" s="619"/>
      <c r="BH456" s="619"/>
      <c r="BI456" s="619"/>
      <c r="BJ456" s="619"/>
      <c r="BK456" s="619"/>
      <c r="BL456" s="619"/>
    </row>
    <row r="457" spans="57:72" ht="12" customHeight="1">
      <c r="BE457" s="619"/>
      <c r="BF457" s="1038"/>
      <c r="BG457" s="619"/>
      <c r="BH457" s="619"/>
      <c r="BI457" s="619"/>
      <c r="BJ457" s="619"/>
      <c r="BK457" s="619"/>
      <c r="BL457" s="1038"/>
    </row>
    <row r="458" spans="57:72" ht="12" customHeight="1">
      <c r="BE458" s="619"/>
      <c r="BF458" s="1038"/>
      <c r="BG458" s="1038"/>
      <c r="BH458" s="1038"/>
      <c r="BI458" s="1038"/>
      <c r="BJ458" s="1038"/>
      <c r="BK458" s="1038"/>
      <c r="BL458" s="1038"/>
    </row>
    <row r="459" spans="57:72" ht="12" customHeight="1">
      <c r="BE459" s="619"/>
      <c r="BF459" s="619"/>
      <c r="BG459" s="619"/>
      <c r="BH459" s="619"/>
      <c r="BI459" s="619"/>
      <c r="BJ459" s="619"/>
      <c r="BK459" s="619"/>
      <c r="BL459" s="619"/>
    </row>
    <row r="460" spans="57:72" ht="12" customHeight="1">
      <c r="BE460" s="619"/>
      <c r="BF460" s="619"/>
      <c r="BG460" s="619"/>
      <c r="BH460" s="619"/>
      <c r="BI460" s="619"/>
      <c r="BJ460" s="619"/>
      <c r="BK460" s="619"/>
      <c r="BL460" s="619"/>
    </row>
    <row r="461" spans="57:72" ht="12" customHeight="1">
      <c r="BE461" s="619"/>
      <c r="BF461" s="1038"/>
      <c r="BG461" s="619"/>
      <c r="BH461" s="619"/>
      <c r="BI461" s="619"/>
      <c r="BJ461" s="619"/>
      <c r="BK461" s="619"/>
      <c r="BL461" s="1038"/>
    </row>
    <row r="462" spans="57:72" ht="12" customHeight="1">
      <c r="BE462" s="619"/>
      <c r="BF462" s="619"/>
      <c r="BL462" s="619"/>
    </row>
    <row r="463" spans="57:72" ht="12" customHeight="1">
      <c r="BE463" s="1038"/>
      <c r="BF463" s="619"/>
      <c r="BL463" s="619"/>
    </row>
    <row r="464" spans="57:72" ht="12" customHeight="1">
      <c r="BE464" s="1038"/>
      <c r="BF464" s="619"/>
      <c r="BL464" s="619"/>
      <c r="BT464" s="398"/>
    </row>
    <row r="465" spans="57:83" ht="12" customHeight="1">
      <c r="BE465" s="619"/>
      <c r="BG465" s="414"/>
      <c r="BH465" s="414"/>
      <c r="BI465" s="414"/>
      <c r="BJ465" s="414"/>
      <c r="BK465" s="414"/>
    </row>
    <row r="466" spans="57:83" ht="12" customHeight="1">
      <c r="BE466" s="619"/>
      <c r="BG466" s="439"/>
      <c r="BH466" s="439"/>
      <c r="BI466" s="439"/>
      <c r="BJ466" s="439"/>
      <c r="BK466" s="439"/>
    </row>
    <row r="467" spans="57:83" ht="12" customHeight="1">
      <c r="BE467" s="1038"/>
      <c r="BG467" s="619"/>
      <c r="BH467" s="619"/>
      <c r="BI467" s="619"/>
      <c r="BJ467" s="619"/>
      <c r="BK467" s="619"/>
    </row>
    <row r="468" spans="57:83" ht="12" customHeight="1">
      <c r="BE468" s="619"/>
      <c r="BF468" s="414"/>
      <c r="BG468" s="619"/>
      <c r="BH468" s="619"/>
      <c r="BI468" s="619"/>
      <c r="BJ468" s="619"/>
      <c r="BK468" s="619"/>
      <c r="BL468" s="414"/>
    </row>
    <row r="469" spans="57:83" ht="12" customHeight="1">
      <c r="BE469" s="619"/>
      <c r="BF469" s="439"/>
      <c r="BG469" s="619"/>
      <c r="BH469" s="619"/>
      <c r="BI469" s="619"/>
      <c r="BJ469" s="619"/>
      <c r="BK469" s="619"/>
      <c r="BL469" s="439"/>
    </row>
    <row r="470" spans="57:83" ht="12" customHeight="1">
      <c r="BE470" s="619"/>
      <c r="BF470" s="619"/>
      <c r="BG470" s="619"/>
      <c r="BH470" s="619"/>
      <c r="BI470" s="619"/>
      <c r="BJ470" s="619"/>
      <c r="BK470" s="619"/>
      <c r="BL470" s="619"/>
    </row>
    <row r="471" spans="57:83" ht="12" customHeight="1">
      <c r="BF471" s="619"/>
      <c r="BG471" s="619"/>
      <c r="BH471" s="619"/>
      <c r="BI471" s="619"/>
      <c r="BJ471" s="619"/>
      <c r="BK471" s="619"/>
      <c r="BL471" s="619"/>
      <c r="BU471" s="398"/>
      <c r="BV471" s="398"/>
      <c r="BW471" s="398"/>
      <c r="BX471" s="398"/>
      <c r="BY471" s="398"/>
      <c r="BZ471" s="398"/>
      <c r="CA471" s="398"/>
      <c r="CB471" s="398"/>
      <c r="CC471" s="398"/>
      <c r="CD471" s="398"/>
      <c r="CE471" s="398"/>
    </row>
    <row r="472" spans="57:83" ht="12" customHeight="1">
      <c r="BF472" s="619"/>
      <c r="BG472" s="619"/>
      <c r="BH472" s="619"/>
      <c r="BI472" s="619"/>
      <c r="BJ472" s="619"/>
      <c r="BK472" s="619"/>
      <c r="BL472" s="619"/>
    </row>
    <row r="473" spans="57:83" ht="12" customHeight="1">
      <c r="BF473" s="619"/>
      <c r="BG473" s="619"/>
      <c r="BH473" s="619"/>
      <c r="BI473" s="619"/>
      <c r="BJ473" s="619"/>
      <c r="BK473" s="619"/>
      <c r="BL473" s="619"/>
    </row>
    <row r="474" spans="57:83" ht="12" customHeight="1">
      <c r="BE474" s="414"/>
      <c r="BF474" s="619"/>
      <c r="BG474" s="619"/>
      <c r="BH474" s="619"/>
      <c r="BI474" s="619"/>
      <c r="BJ474" s="619"/>
      <c r="BK474" s="619"/>
      <c r="BL474" s="619"/>
    </row>
    <row r="475" spans="57:83" ht="12" customHeight="1">
      <c r="BE475" s="439"/>
      <c r="BF475" s="619"/>
      <c r="BG475" s="619"/>
      <c r="BH475" s="619"/>
      <c r="BI475" s="619"/>
      <c r="BJ475" s="619"/>
      <c r="BK475" s="619"/>
      <c r="BL475" s="619"/>
    </row>
    <row r="476" spans="57:83" ht="12" customHeight="1">
      <c r="BE476" s="619"/>
      <c r="BF476" s="619"/>
      <c r="BG476" s="619"/>
      <c r="BH476" s="619"/>
      <c r="BI476" s="619"/>
      <c r="BJ476" s="619"/>
      <c r="BK476" s="619"/>
      <c r="BL476" s="619"/>
    </row>
    <row r="477" spans="57:83" ht="12" customHeight="1">
      <c r="BE477" s="619"/>
      <c r="BF477" s="619"/>
      <c r="BG477" s="619"/>
      <c r="BH477" s="619"/>
      <c r="BI477" s="619"/>
      <c r="BJ477" s="619"/>
      <c r="BK477" s="619"/>
      <c r="BL477" s="619"/>
    </row>
    <row r="478" spans="57:83" ht="12" customHeight="1">
      <c r="BE478" s="619"/>
      <c r="BF478" s="619"/>
      <c r="BG478" s="619"/>
      <c r="BH478" s="619"/>
      <c r="BI478" s="619"/>
      <c r="BJ478" s="619"/>
      <c r="BK478" s="619"/>
      <c r="BL478" s="619"/>
    </row>
    <row r="479" spans="57:83" ht="12" customHeight="1">
      <c r="BE479" s="619"/>
      <c r="BF479" s="619"/>
      <c r="BG479" s="619"/>
      <c r="BH479" s="619"/>
      <c r="BI479" s="619"/>
      <c r="BJ479" s="619"/>
      <c r="BK479" s="619"/>
      <c r="BL479" s="619"/>
    </row>
    <row r="480" spans="57:83" ht="12" customHeight="1">
      <c r="BE480" s="619"/>
      <c r="BF480" s="619"/>
      <c r="BG480" s="619"/>
      <c r="BH480" s="619"/>
      <c r="BI480" s="619"/>
      <c r="BJ480" s="619"/>
      <c r="BK480" s="619"/>
      <c r="BL480" s="619"/>
    </row>
    <row r="481" spans="57:64" ht="12" customHeight="1">
      <c r="BE481" s="619"/>
      <c r="BF481" s="619"/>
      <c r="BG481" s="619"/>
      <c r="BH481" s="619"/>
      <c r="BI481" s="619"/>
      <c r="BJ481" s="619"/>
      <c r="BK481" s="619"/>
      <c r="BL481" s="619"/>
    </row>
    <row r="482" spans="57:64" ht="12" customHeight="1">
      <c r="BE482" s="619"/>
      <c r="BF482" s="619"/>
      <c r="BG482" s="619"/>
      <c r="BH482" s="619"/>
      <c r="BI482" s="619"/>
      <c r="BJ482" s="619"/>
      <c r="BK482" s="619"/>
      <c r="BL482" s="619"/>
    </row>
    <row r="483" spans="57:64" ht="12" customHeight="1">
      <c r="BE483" s="619"/>
      <c r="BF483" s="619"/>
      <c r="BG483" s="619"/>
      <c r="BH483" s="619"/>
      <c r="BI483" s="619"/>
      <c r="BJ483" s="619"/>
      <c r="BK483" s="619"/>
      <c r="BL483" s="619"/>
    </row>
    <row r="484" spans="57:64" ht="12" customHeight="1">
      <c r="BE484" s="619"/>
      <c r="BF484" s="619"/>
      <c r="BG484" s="619"/>
      <c r="BH484" s="619"/>
      <c r="BI484" s="619"/>
      <c r="BJ484" s="619"/>
      <c r="BK484" s="619"/>
      <c r="BL484" s="619"/>
    </row>
    <row r="485" spans="57:64" ht="12" customHeight="1">
      <c r="BE485" s="619"/>
      <c r="BF485" s="619"/>
      <c r="BG485" s="619"/>
      <c r="BH485" s="619"/>
      <c r="BI485" s="619"/>
      <c r="BJ485" s="619"/>
      <c r="BK485" s="619"/>
      <c r="BL485" s="619"/>
    </row>
    <row r="486" spans="57:64" ht="12" customHeight="1">
      <c r="BE486" s="619"/>
      <c r="BF486" s="619"/>
      <c r="BG486" s="619"/>
      <c r="BH486" s="619"/>
      <c r="BI486" s="619"/>
      <c r="BJ486" s="619"/>
      <c r="BK486" s="619"/>
      <c r="BL486" s="619"/>
    </row>
    <row r="487" spans="57:64" ht="12" customHeight="1">
      <c r="BE487" s="619"/>
      <c r="BF487" s="619"/>
      <c r="BG487" s="619"/>
      <c r="BH487" s="619"/>
      <c r="BI487" s="619"/>
      <c r="BJ487" s="619"/>
      <c r="BK487" s="619"/>
      <c r="BL487" s="619"/>
    </row>
    <row r="488" spans="57:64" ht="12" customHeight="1">
      <c r="BE488" s="619"/>
      <c r="BF488" s="619"/>
      <c r="BG488" s="619"/>
      <c r="BH488" s="619"/>
      <c r="BI488" s="619"/>
      <c r="BJ488" s="619"/>
      <c r="BK488" s="619"/>
      <c r="BL488" s="619"/>
    </row>
    <row r="489" spans="57:64" ht="12" customHeight="1">
      <c r="BE489" s="619"/>
      <c r="BF489" s="619"/>
      <c r="BG489" s="619"/>
      <c r="BH489" s="619"/>
      <c r="BI489" s="619"/>
      <c r="BJ489" s="619"/>
      <c r="BK489" s="619"/>
      <c r="BL489" s="619"/>
    </row>
    <row r="490" spans="57:64" ht="12" customHeight="1">
      <c r="BE490" s="619"/>
      <c r="BF490" s="619"/>
      <c r="BG490" s="619"/>
      <c r="BH490" s="619"/>
      <c r="BI490" s="619"/>
      <c r="BJ490" s="619"/>
      <c r="BK490" s="619"/>
      <c r="BL490" s="619"/>
    </row>
    <row r="491" spans="57:64" ht="12" customHeight="1">
      <c r="BE491" s="619"/>
      <c r="BF491" s="619"/>
      <c r="BG491" s="1038"/>
      <c r="BH491" s="1038"/>
      <c r="BI491" s="1038"/>
      <c r="BJ491" s="1038"/>
      <c r="BK491" s="1038"/>
      <c r="BL491" s="619"/>
    </row>
    <row r="492" spans="57:64" ht="12" customHeight="1">
      <c r="BE492" s="619"/>
      <c r="BF492" s="619"/>
      <c r="BG492" s="1038"/>
      <c r="BH492" s="1038"/>
      <c r="BI492" s="1038"/>
      <c r="BJ492" s="1038"/>
      <c r="BK492" s="1038"/>
      <c r="BL492" s="619"/>
    </row>
    <row r="493" spans="57:64" ht="12" customHeight="1">
      <c r="BE493" s="619"/>
      <c r="BF493" s="619"/>
      <c r="BG493" s="619"/>
      <c r="BH493" s="619"/>
      <c r="BI493" s="619"/>
      <c r="BJ493" s="619"/>
      <c r="BK493" s="619"/>
      <c r="BL493" s="619"/>
    </row>
    <row r="494" spans="57:64" ht="12" customHeight="1">
      <c r="BE494" s="619"/>
      <c r="BF494" s="1038"/>
      <c r="BG494" s="619"/>
      <c r="BH494" s="619"/>
      <c r="BI494" s="619"/>
      <c r="BJ494" s="619"/>
      <c r="BK494" s="619"/>
      <c r="BL494" s="1038"/>
    </row>
    <row r="495" spans="57:64" ht="12" customHeight="1">
      <c r="BE495" s="619"/>
      <c r="BF495" s="1038"/>
      <c r="BG495" s="1038"/>
      <c r="BH495" s="1038"/>
      <c r="BI495" s="1038"/>
      <c r="BJ495" s="1038"/>
      <c r="BK495" s="1038"/>
      <c r="BL495" s="1038"/>
    </row>
    <row r="496" spans="57:64" ht="12" customHeight="1">
      <c r="BE496" s="619"/>
      <c r="BF496" s="619"/>
      <c r="BG496" s="619"/>
      <c r="BH496" s="619"/>
      <c r="BI496" s="619"/>
      <c r="BJ496" s="619"/>
      <c r="BK496" s="619"/>
      <c r="BL496" s="619"/>
    </row>
    <row r="497" spans="57:64" ht="12" customHeight="1">
      <c r="BE497" s="619"/>
      <c r="BF497" s="619"/>
      <c r="BG497" s="619"/>
      <c r="BH497" s="619"/>
      <c r="BI497" s="619"/>
      <c r="BJ497" s="619"/>
      <c r="BK497" s="619"/>
      <c r="BL497" s="619"/>
    </row>
    <row r="498" spans="57:64" ht="12" customHeight="1">
      <c r="BE498" s="619"/>
      <c r="BF498" s="1038"/>
      <c r="BG498" s="619"/>
      <c r="BH498" s="619"/>
      <c r="BI498" s="619"/>
      <c r="BJ498" s="619"/>
      <c r="BK498" s="619"/>
      <c r="BL498" s="1038"/>
    </row>
    <row r="499" spans="57:64" ht="12" customHeight="1">
      <c r="BE499" s="619"/>
      <c r="BF499" s="619"/>
      <c r="BL499" s="619"/>
    </row>
    <row r="500" spans="57:64" ht="12" customHeight="1">
      <c r="BE500" s="1038"/>
      <c r="BF500" s="619"/>
      <c r="BL500" s="619"/>
    </row>
    <row r="501" spans="57:64" ht="12" customHeight="1">
      <c r="BE501" s="1038"/>
      <c r="BF501" s="619"/>
      <c r="BL501" s="619"/>
    </row>
    <row r="502" spans="57:64" ht="12" customHeight="1">
      <c r="BE502" s="619"/>
    </row>
    <row r="503" spans="57:64" ht="12" customHeight="1">
      <c r="BE503" s="619"/>
      <c r="BG503" s="414"/>
      <c r="BH503" s="414"/>
      <c r="BI503" s="414"/>
      <c r="BJ503" s="414"/>
      <c r="BK503" s="414"/>
    </row>
    <row r="504" spans="57:64" ht="12" customHeight="1">
      <c r="BE504" s="1038"/>
      <c r="BG504" s="439"/>
      <c r="BH504" s="439"/>
      <c r="BI504" s="439"/>
      <c r="BJ504" s="439"/>
      <c r="BK504" s="439"/>
    </row>
    <row r="505" spans="57:64" ht="12" customHeight="1">
      <c r="BE505" s="619"/>
      <c r="BG505" s="619"/>
      <c r="BH505" s="619"/>
      <c r="BI505" s="619"/>
      <c r="BJ505" s="619"/>
      <c r="BK505" s="619"/>
    </row>
    <row r="506" spans="57:64" ht="12" customHeight="1">
      <c r="BE506" s="619"/>
      <c r="BF506" s="414"/>
      <c r="BG506" s="1038"/>
      <c r="BH506" s="1038"/>
      <c r="BI506" s="1038"/>
      <c r="BJ506" s="1038"/>
      <c r="BK506" s="1038"/>
      <c r="BL506" s="414"/>
    </row>
    <row r="507" spans="57:64" ht="12" customHeight="1">
      <c r="BE507" s="619"/>
      <c r="BF507" s="439"/>
      <c r="BG507" s="1038"/>
      <c r="BH507" s="1038"/>
      <c r="BI507" s="1038"/>
      <c r="BJ507" s="1038"/>
      <c r="BK507" s="1038"/>
      <c r="BL507" s="439"/>
    </row>
    <row r="508" spans="57:64" ht="12" customHeight="1">
      <c r="BF508" s="619"/>
      <c r="BG508" s="619"/>
      <c r="BH508" s="619"/>
      <c r="BI508" s="619"/>
      <c r="BJ508" s="619"/>
      <c r="BK508" s="619"/>
      <c r="BL508" s="619"/>
    </row>
    <row r="509" spans="57:64" ht="12" customHeight="1">
      <c r="BF509" s="1038"/>
      <c r="BG509" s="619"/>
      <c r="BH509" s="619"/>
      <c r="BI509" s="619"/>
      <c r="BJ509" s="619"/>
      <c r="BK509" s="619"/>
      <c r="BL509" s="1038"/>
    </row>
    <row r="510" spans="57:64" ht="12" customHeight="1">
      <c r="BF510" s="1038"/>
      <c r="BG510" s="619"/>
      <c r="BH510" s="619"/>
      <c r="BI510" s="619"/>
      <c r="BJ510" s="619"/>
      <c r="BK510" s="619"/>
      <c r="BL510" s="1038"/>
    </row>
    <row r="511" spans="57:64" ht="12" customHeight="1">
      <c r="BF511" s="619"/>
      <c r="BG511" s="619"/>
      <c r="BH511" s="619"/>
      <c r="BI511" s="619"/>
      <c r="BJ511" s="619"/>
      <c r="BK511" s="619"/>
      <c r="BL511" s="619"/>
    </row>
    <row r="512" spans="57:64" ht="12" customHeight="1">
      <c r="BE512" s="414"/>
      <c r="BF512" s="619"/>
      <c r="BG512" s="619"/>
      <c r="BH512" s="619"/>
      <c r="BI512" s="619"/>
      <c r="BJ512" s="619"/>
      <c r="BK512" s="619"/>
      <c r="BL512" s="619"/>
    </row>
    <row r="513" spans="57:64" ht="12" customHeight="1">
      <c r="BE513" s="439"/>
      <c r="BF513" s="619"/>
      <c r="BG513" s="619"/>
      <c r="BH513" s="619"/>
      <c r="BI513" s="619"/>
      <c r="BJ513" s="619"/>
      <c r="BK513" s="619"/>
      <c r="BL513" s="619"/>
    </row>
    <row r="514" spans="57:64" ht="12" customHeight="1">
      <c r="BE514" s="619"/>
      <c r="BF514" s="619"/>
      <c r="BG514" s="619"/>
      <c r="BH514" s="619"/>
      <c r="BI514" s="619"/>
      <c r="BJ514" s="619"/>
      <c r="BK514" s="619"/>
      <c r="BL514" s="619"/>
    </row>
    <row r="515" spans="57:64" ht="12" customHeight="1">
      <c r="BE515" s="1038"/>
      <c r="BF515" s="619"/>
      <c r="BG515" s="619"/>
      <c r="BH515" s="619"/>
      <c r="BI515" s="619"/>
      <c r="BJ515" s="619"/>
      <c r="BK515" s="619"/>
      <c r="BL515" s="619"/>
    </row>
    <row r="516" spans="57:64" ht="12" customHeight="1">
      <c r="BE516" s="1038"/>
      <c r="BF516" s="619"/>
      <c r="BG516" s="619"/>
      <c r="BH516" s="619"/>
      <c r="BI516" s="619"/>
      <c r="BJ516" s="619"/>
      <c r="BK516" s="619"/>
      <c r="BL516" s="619"/>
    </row>
    <row r="517" spans="57:64" ht="12" customHeight="1">
      <c r="BE517" s="619"/>
      <c r="BF517" s="619"/>
      <c r="BG517" s="619"/>
      <c r="BH517" s="619"/>
      <c r="BI517" s="619"/>
      <c r="BJ517" s="619"/>
      <c r="BK517" s="619"/>
      <c r="BL517" s="619"/>
    </row>
    <row r="518" spans="57:64" ht="12" customHeight="1">
      <c r="BE518" s="619"/>
      <c r="BF518" s="619"/>
      <c r="BG518" s="619"/>
      <c r="BH518" s="619"/>
      <c r="BI518" s="619"/>
      <c r="BJ518" s="619"/>
      <c r="BK518" s="619"/>
      <c r="BL518" s="619"/>
    </row>
    <row r="519" spans="57:64" ht="12" customHeight="1">
      <c r="BE519" s="619"/>
      <c r="BF519" s="619"/>
      <c r="BG519" s="619"/>
      <c r="BH519" s="619"/>
      <c r="BI519" s="619"/>
      <c r="BJ519" s="619"/>
      <c r="BK519" s="619"/>
      <c r="BL519" s="619"/>
    </row>
    <row r="520" spans="57:64" ht="12" customHeight="1">
      <c r="BE520" s="619"/>
      <c r="BF520" s="619"/>
      <c r="BG520" s="619"/>
      <c r="BH520" s="619"/>
      <c r="BI520" s="619"/>
      <c r="BJ520" s="619"/>
      <c r="BK520" s="619"/>
      <c r="BL520" s="619"/>
    </row>
    <row r="521" spans="57:64" ht="12" customHeight="1">
      <c r="BE521" s="619"/>
      <c r="BF521" s="619"/>
      <c r="BG521" s="619"/>
      <c r="BH521" s="619"/>
      <c r="BI521" s="619"/>
      <c r="BJ521" s="619"/>
      <c r="BK521" s="619"/>
      <c r="BL521" s="619"/>
    </row>
    <row r="522" spans="57:64" ht="12" customHeight="1">
      <c r="BE522" s="619"/>
      <c r="BF522" s="619"/>
      <c r="BG522" s="619"/>
      <c r="BH522" s="619"/>
      <c r="BI522" s="619"/>
      <c r="BJ522" s="619"/>
      <c r="BK522" s="619"/>
      <c r="BL522" s="619"/>
    </row>
    <row r="523" spans="57:64" ht="12" customHeight="1">
      <c r="BE523" s="619"/>
      <c r="BF523" s="619"/>
      <c r="BG523" s="619"/>
      <c r="BH523" s="619"/>
      <c r="BI523" s="619"/>
      <c r="BJ523" s="619"/>
      <c r="BK523" s="619"/>
      <c r="BL523" s="619"/>
    </row>
    <row r="524" spans="57:64" ht="12" customHeight="1">
      <c r="BE524" s="619"/>
      <c r="BF524" s="619"/>
      <c r="BG524" s="619"/>
      <c r="BH524" s="619"/>
      <c r="BI524" s="619"/>
      <c r="BJ524" s="619"/>
      <c r="BK524" s="619"/>
      <c r="BL524" s="619"/>
    </row>
    <row r="525" spans="57:64" ht="12" customHeight="1">
      <c r="BE525" s="619"/>
      <c r="BF525" s="619"/>
      <c r="BG525" s="619"/>
      <c r="BH525" s="619"/>
      <c r="BI525" s="619"/>
      <c r="BJ525" s="619"/>
      <c r="BK525" s="619"/>
      <c r="BL525" s="619"/>
    </row>
    <row r="526" spans="57:64" ht="12" customHeight="1">
      <c r="BE526" s="619"/>
      <c r="BF526" s="619"/>
      <c r="BG526" s="619"/>
      <c r="BH526" s="619"/>
      <c r="BI526" s="619"/>
      <c r="BJ526" s="619"/>
      <c r="BK526" s="619"/>
      <c r="BL526" s="619"/>
    </row>
    <row r="527" spans="57:64" ht="12" customHeight="1">
      <c r="BE527" s="619"/>
      <c r="BF527" s="619"/>
      <c r="BG527" s="619"/>
      <c r="BH527" s="619"/>
      <c r="BI527" s="619"/>
      <c r="BJ527" s="619"/>
      <c r="BK527" s="619"/>
      <c r="BL527" s="619"/>
    </row>
    <row r="528" spans="57:64" ht="12" customHeight="1">
      <c r="BE528" s="619"/>
      <c r="BF528" s="619"/>
      <c r="BG528" s="619"/>
      <c r="BH528" s="619"/>
      <c r="BI528" s="619"/>
      <c r="BJ528" s="619"/>
      <c r="BK528" s="619"/>
      <c r="BL528" s="619"/>
    </row>
    <row r="529" spans="57:64" ht="12" customHeight="1">
      <c r="BE529" s="619"/>
      <c r="BF529" s="619"/>
      <c r="BG529" s="1038"/>
      <c r="BH529" s="1038"/>
      <c r="BI529" s="1038"/>
      <c r="BJ529" s="1038"/>
      <c r="BK529" s="1038"/>
      <c r="BL529" s="619"/>
    </row>
    <row r="530" spans="57:64" ht="12" customHeight="1">
      <c r="BE530" s="619"/>
      <c r="BF530" s="619"/>
      <c r="BG530" s="1038"/>
      <c r="BH530" s="1038"/>
      <c r="BI530" s="1038"/>
      <c r="BJ530" s="1038"/>
      <c r="BK530" s="1038"/>
      <c r="BL530" s="619"/>
    </row>
    <row r="531" spans="57:64" ht="12" customHeight="1">
      <c r="BE531" s="619"/>
      <c r="BF531" s="619"/>
      <c r="BG531" s="619"/>
      <c r="BH531" s="619"/>
      <c r="BI531" s="619"/>
      <c r="BJ531" s="619"/>
      <c r="BK531" s="619"/>
      <c r="BL531" s="619"/>
    </row>
    <row r="532" spans="57:64" ht="12" customHeight="1">
      <c r="BE532" s="619"/>
      <c r="BF532" s="1038"/>
      <c r="BG532" s="1038"/>
      <c r="BH532" s="1038"/>
      <c r="BI532" s="1038"/>
      <c r="BJ532" s="1038"/>
      <c r="BK532" s="1038"/>
      <c r="BL532" s="1038"/>
    </row>
    <row r="533" spans="57:64" ht="12" customHeight="1">
      <c r="BE533" s="619"/>
      <c r="BF533" s="1038"/>
      <c r="BG533" s="619"/>
      <c r="BH533" s="619"/>
      <c r="BI533" s="619"/>
      <c r="BJ533" s="619"/>
      <c r="BK533" s="619"/>
      <c r="BL533" s="1038"/>
    </row>
    <row r="534" spans="57:64" ht="12" customHeight="1">
      <c r="BE534" s="619"/>
      <c r="BF534" s="619"/>
      <c r="BG534" s="619"/>
      <c r="BH534" s="619"/>
      <c r="BI534" s="619"/>
      <c r="BJ534" s="619"/>
      <c r="BK534" s="619"/>
      <c r="BL534" s="619"/>
    </row>
    <row r="535" spans="57:64" ht="12" customHeight="1">
      <c r="BE535" s="619"/>
      <c r="BF535" s="1038"/>
      <c r="BG535" s="619"/>
      <c r="BH535" s="619"/>
      <c r="BI535" s="619"/>
      <c r="BJ535" s="619"/>
      <c r="BK535" s="619"/>
      <c r="BL535" s="1038"/>
    </row>
    <row r="536" spans="57:64" ht="12" customHeight="1">
      <c r="BE536" s="619"/>
      <c r="BF536" s="619"/>
      <c r="BG536" s="619"/>
      <c r="BH536" s="619"/>
      <c r="BI536" s="619"/>
      <c r="BJ536" s="619"/>
      <c r="BK536" s="619"/>
      <c r="BL536" s="619"/>
    </row>
    <row r="537" spans="57:64" ht="12" customHeight="1">
      <c r="BE537" s="619"/>
      <c r="BF537" s="619"/>
      <c r="BL537" s="619"/>
    </row>
    <row r="538" spans="57:64" ht="12" customHeight="1">
      <c r="BE538" s="1038"/>
      <c r="BF538" s="619"/>
      <c r="BL538" s="619"/>
    </row>
    <row r="539" spans="57:64" ht="12" customHeight="1">
      <c r="BE539" s="1038"/>
      <c r="BF539" s="619"/>
      <c r="BL539" s="619"/>
    </row>
    <row r="540" spans="57:64" ht="12" customHeight="1">
      <c r="BE540" s="619"/>
    </row>
    <row r="541" spans="57:64" ht="12" customHeight="1">
      <c r="BE541" s="1038"/>
      <c r="BG541" s="414"/>
      <c r="BH541" s="414"/>
      <c r="BI541" s="414"/>
      <c r="BJ541" s="414"/>
      <c r="BK541" s="414"/>
    </row>
    <row r="542" spans="57:64" ht="12" customHeight="1">
      <c r="BE542" s="619"/>
      <c r="BG542" s="439"/>
      <c r="BH542" s="439"/>
      <c r="BI542" s="439"/>
      <c r="BJ542" s="439"/>
      <c r="BK542" s="439"/>
    </row>
    <row r="543" spans="57:64" ht="12" customHeight="1">
      <c r="BE543" s="619"/>
      <c r="BG543" s="619"/>
      <c r="BH543" s="619"/>
      <c r="BI543" s="619"/>
      <c r="BJ543" s="619"/>
      <c r="BK543" s="619"/>
    </row>
    <row r="544" spans="57:64" ht="12" customHeight="1">
      <c r="BE544" s="619"/>
      <c r="BF544" s="414"/>
      <c r="BG544" s="619"/>
      <c r="BH544" s="619"/>
      <c r="BI544" s="619"/>
      <c r="BJ544" s="619"/>
      <c r="BK544" s="619"/>
      <c r="BL544" s="414"/>
    </row>
    <row r="545" spans="57:84" ht="12" customHeight="1">
      <c r="BE545" s="619"/>
      <c r="BF545" s="439"/>
      <c r="BG545" s="619"/>
      <c r="BH545" s="619"/>
      <c r="BI545" s="619"/>
      <c r="BJ545" s="619"/>
      <c r="BK545" s="619"/>
      <c r="BL545" s="439"/>
    </row>
    <row r="546" spans="57:84" ht="12" customHeight="1">
      <c r="BF546" s="619"/>
      <c r="BG546" s="619"/>
      <c r="BH546" s="619"/>
      <c r="BI546" s="619"/>
      <c r="BJ546" s="619"/>
      <c r="BK546" s="619"/>
      <c r="BL546" s="619"/>
    </row>
    <row r="547" spans="57:84" ht="12" customHeight="1">
      <c r="BF547" s="619"/>
      <c r="BG547" s="619"/>
      <c r="BH547" s="619"/>
      <c r="BI547" s="619"/>
      <c r="BJ547" s="619"/>
      <c r="BK547" s="619"/>
      <c r="BL547" s="619"/>
    </row>
    <row r="548" spans="57:84" ht="12" customHeight="1">
      <c r="BF548" s="619"/>
      <c r="BG548" s="619"/>
      <c r="BH548" s="619"/>
      <c r="BI548" s="619"/>
      <c r="BJ548" s="619"/>
      <c r="BK548" s="619"/>
      <c r="BL548" s="619"/>
    </row>
    <row r="549" spans="57:84" ht="12" customHeight="1">
      <c r="BF549" s="619"/>
      <c r="BG549" s="619"/>
      <c r="BH549" s="619"/>
      <c r="BI549" s="619"/>
      <c r="BJ549" s="619"/>
      <c r="BK549" s="619"/>
      <c r="BL549" s="619"/>
    </row>
    <row r="550" spans="57:84" ht="12" customHeight="1">
      <c r="BE550" s="414"/>
      <c r="BF550" s="619"/>
      <c r="BG550" s="619"/>
      <c r="BH550" s="619"/>
      <c r="BI550" s="619"/>
      <c r="BJ550" s="619"/>
      <c r="BK550" s="619"/>
      <c r="BL550" s="619"/>
    </row>
    <row r="551" spans="57:84" ht="12" customHeight="1">
      <c r="BE551" s="439"/>
      <c r="BF551" s="619"/>
      <c r="BG551" s="619"/>
      <c r="BH551" s="619"/>
      <c r="BI551" s="619"/>
      <c r="BJ551" s="619"/>
      <c r="BK551" s="619"/>
      <c r="BL551" s="619"/>
    </row>
    <row r="552" spans="57:84" ht="12" customHeight="1">
      <c r="BE552" s="619"/>
      <c r="BF552" s="619"/>
      <c r="BG552" s="619"/>
      <c r="BH552" s="619"/>
      <c r="BI552" s="619"/>
      <c r="BJ552" s="619"/>
      <c r="BK552" s="619"/>
      <c r="BL552" s="619"/>
    </row>
    <row r="553" spans="57:84" ht="12" customHeight="1">
      <c r="BE553" s="619"/>
      <c r="BF553" s="619"/>
      <c r="BG553" s="619"/>
      <c r="BH553" s="619"/>
      <c r="BI553" s="619"/>
      <c r="BJ553" s="619"/>
      <c r="BK553" s="619"/>
      <c r="BL553" s="619"/>
    </row>
    <row r="554" spans="57:84" ht="12" customHeight="1">
      <c r="BE554" s="619"/>
      <c r="BF554" s="619"/>
      <c r="BG554" s="619"/>
      <c r="BH554" s="619"/>
      <c r="BI554" s="619"/>
      <c r="BJ554" s="619"/>
      <c r="BK554" s="619"/>
      <c r="BL554" s="619"/>
    </row>
    <row r="555" spans="57:84" ht="12" customHeight="1">
      <c r="BE555" s="619"/>
      <c r="BF555" s="619"/>
      <c r="BG555" s="619"/>
      <c r="BH555" s="619"/>
      <c r="BI555" s="619"/>
      <c r="BJ555" s="619"/>
      <c r="BK555" s="619"/>
      <c r="BL555" s="619"/>
    </row>
    <row r="556" spans="57:84" ht="12" customHeight="1">
      <c r="BE556" s="619"/>
      <c r="BF556" s="619"/>
      <c r="BG556" s="619"/>
      <c r="BH556" s="619"/>
      <c r="BI556" s="619"/>
      <c r="BJ556" s="619"/>
      <c r="BK556" s="619"/>
      <c r="BL556" s="619"/>
    </row>
    <row r="557" spans="57:84" ht="12" customHeight="1">
      <c r="BE557" s="619"/>
      <c r="BF557" s="619"/>
      <c r="BG557" s="619"/>
      <c r="BH557" s="619"/>
      <c r="BI557" s="619"/>
      <c r="BJ557" s="619"/>
      <c r="BK557" s="619"/>
      <c r="BL557" s="619"/>
    </row>
    <row r="558" spans="57:84" ht="12" customHeight="1">
      <c r="BE558" s="619"/>
      <c r="BF558" s="619"/>
      <c r="BG558" s="619"/>
      <c r="BH558" s="619"/>
      <c r="BI558" s="619"/>
      <c r="BJ558" s="619"/>
      <c r="BK558" s="619"/>
      <c r="BL558" s="619"/>
      <c r="CF558" s="1276"/>
    </row>
    <row r="559" spans="57:84" ht="12" customHeight="1">
      <c r="BE559" s="619"/>
      <c r="BF559" s="619"/>
      <c r="BG559" s="619"/>
      <c r="BH559" s="619"/>
      <c r="BI559" s="619"/>
      <c r="BJ559" s="619"/>
      <c r="BK559" s="619"/>
      <c r="BL559" s="619"/>
      <c r="CF559" s="1276"/>
    </row>
    <row r="560" spans="57:84" ht="12" customHeight="1">
      <c r="BE560" s="619"/>
      <c r="BF560" s="619"/>
      <c r="BG560" s="619"/>
      <c r="BH560" s="619"/>
      <c r="BI560" s="619"/>
      <c r="BJ560" s="619"/>
      <c r="BK560" s="619"/>
      <c r="BL560" s="619"/>
      <c r="CF560" s="1276"/>
    </row>
    <row r="561" spans="57:84" ht="12" customHeight="1">
      <c r="BE561" s="619"/>
      <c r="BF561" s="619"/>
      <c r="BG561" s="619"/>
      <c r="BH561" s="619"/>
      <c r="BI561" s="619"/>
      <c r="BJ561" s="619"/>
      <c r="BK561" s="619"/>
      <c r="BL561" s="619"/>
      <c r="CF561" s="1276"/>
    </row>
    <row r="562" spans="57:84" ht="12" customHeight="1">
      <c r="BE562" s="619"/>
      <c r="BF562" s="619"/>
      <c r="BG562" s="619"/>
      <c r="BH562" s="619"/>
      <c r="BI562" s="619"/>
      <c r="BJ562" s="619"/>
      <c r="BK562" s="619"/>
      <c r="BL562" s="619"/>
      <c r="CF562" s="1276"/>
    </row>
    <row r="563" spans="57:84" ht="12" customHeight="1">
      <c r="BE563" s="619"/>
      <c r="BF563" s="619"/>
      <c r="BG563" s="619"/>
      <c r="BH563" s="619"/>
      <c r="BI563" s="619"/>
      <c r="BJ563" s="619"/>
      <c r="BK563" s="619"/>
      <c r="BL563" s="619"/>
      <c r="CF563" s="1276"/>
    </row>
    <row r="564" spans="57:84" ht="12" customHeight="1">
      <c r="BE564" s="619"/>
      <c r="BF564" s="619"/>
      <c r="BG564" s="619"/>
      <c r="BH564" s="619"/>
      <c r="BI564" s="619"/>
      <c r="BJ564" s="619"/>
      <c r="BK564" s="619"/>
      <c r="BL564" s="619"/>
      <c r="CF564" s="1276"/>
    </row>
    <row r="565" spans="57:84" ht="12" customHeight="1">
      <c r="BE565" s="619"/>
      <c r="BF565" s="619"/>
      <c r="BG565" s="619"/>
      <c r="BH565" s="619"/>
      <c r="BI565" s="619"/>
      <c r="BJ565" s="619"/>
      <c r="BK565" s="619"/>
      <c r="BL565" s="619"/>
      <c r="BS565" s="1276"/>
      <c r="CF565" s="1276"/>
    </row>
    <row r="566" spans="57:84" ht="12" customHeight="1">
      <c r="BE566" s="619"/>
      <c r="BF566" s="619"/>
      <c r="BG566" s="619"/>
      <c r="BH566" s="619"/>
      <c r="BI566" s="619"/>
      <c r="BJ566" s="619"/>
      <c r="BK566" s="619"/>
      <c r="BL566" s="619"/>
      <c r="BS566" s="1276"/>
      <c r="CF566" s="1276"/>
    </row>
    <row r="567" spans="57:84" ht="12" customHeight="1">
      <c r="BE567" s="619"/>
      <c r="BF567" s="619"/>
      <c r="BG567" s="1038"/>
      <c r="BH567" s="1038"/>
      <c r="BI567" s="1038"/>
      <c r="BJ567" s="1038"/>
      <c r="BK567" s="1038"/>
      <c r="BL567" s="619"/>
      <c r="BS567" s="1276"/>
      <c r="CF567" s="1276"/>
    </row>
    <row r="568" spans="57:84" ht="12" customHeight="1">
      <c r="BE568" s="619"/>
      <c r="BF568" s="619"/>
      <c r="BG568" s="1038"/>
      <c r="BH568" s="1038"/>
      <c r="BI568" s="1038"/>
      <c r="BJ568" s="1038"/>
      <c r="BK568" s="1038"/>
      <c r="BL568" s="619"/>
      <c r="BS568" s="1276"/>
      <c r="CF568" s="1276"/>
    </row>
    <row r="569" spans="57:84" ht="12" customHeight="1">
      <c r="BE569" s="619"/>
      <c r="BF569" s="619"/>
      <c r="BG569" s="619"/>
      <c r="BH569" s="619"/>
      <c r="BI569" s="619"/>
      <c r="BJ569" s="619"/>
      <c r="BK569" s="619"/>
      <c r="BL569" s="619"/>
      <c r="BS569" s="1276"/>
      <c r="CF569" s="1276"/>
    </row>
    <row r="570" spans="57:84" ht="12" customHeight="1">
      <c r="BE570" s="619"/>
      <c r="BF570" s="1038"/>
      <c r="BG570" s="1038"/>
      <c r="BH570" s="1038"/>
      <c r="BI570" s="1038"/>
      <c r="BJ570" s="1038"/>
      <c r="BK570" s="1038"/>
      <c r="BL570" s="1038"/>
      <c r="BS570" s="1276"/>
      <c r="CF570" s="1276"/>
    </row>
    <row r="571" spans="57:84" ht="12" customHeight="1">
      <c r="BE571" s="619"/>
      <c r="BF571" s="1038"/>
      <c r="BG571" s="619"/>
      <c r="BH571" s="619"/>
      <c r="BI571" s="619"/>
      <c r="BJ571" s="619"/>
      <c r="BK571" s="619"/>
      <c r="BL571" s="1038"/>
      <c r="BS571" s="1276"/>
      <c r="CF571" s="1276"/>
    </row>
    <row r="572" spans="57:84" ht="12" customHeight="1">
      <c r="BE572" s="619"/>
      <c r="BF572" s="619"/>
      <c r="BG572" s="619"/>
      <c r="BH572" s="619"/>
      <c r="BI572" s="619"/>
      <c r="BJ572" s="619"/>
      <c r="BK572" s="619"/>
      <c r="BL572" s="619"/>
      <c r="BS572" s="1276"/>
      <c r="CF572" s="1276"/>
    </row>
    <row r="573" spans="57:84" ht="12" customHeight="1">
      <c r="BE573" s="619"/>
      <c r="BF573" s="1038"/>
      <c r="BG573" s="619"/>
      <c r="BH573" s="619"/>
      <c r="BI573" s="619"/>
      <c r="BJ573" s="619"/>
      <c r="BK573" s="619"/>
      <c r="BL573" s="1038"/>
      <c r="BS573" s="1276"/>
      <c r="CF573" s="1276"/>
    </row>
    <row r="574" spans="57:84" ht="12" customHeight="1">
      <c r="BE574" s="619"/>
      <c r="BF574" s="619"/>
      <c r="BG574" s="619"/>
      <c r="BH574" s="619"/>
      <c r="BI574" s="619"/>
      <c r="BJ574" s="619"/>
      <c r="BK574" s="619"/>
      <c r="BL574" s="619"/>
      <c r="BS574" s="1276"/>
    </row>
    <row r="575" spans="57:84" ht="12" customHeight="1">
      <c r="BE575" s="619"/>
      <c r="BF575" s="619"/>
      <c r="BG575" s="619"/>
      <c r="BH575" s="619"/>
      <c r="BI575" s="619"/>
      <c r="BJ575" s="619"/>
      <c r="BK575" s="619"/>
      <c r="BL575" s="619"/>
      <c r="BS575" s="1276"/>
    </row>
    <row r="576" spans="57:84" ht="12" customHeight="1">
      <c r="BE576" s="1038"/>
      <c r="BF576" s="619"/>
      <c r="BL576" s="619"/>
      <c r="BS576" s="1276"/>
    </row>
    <row r="577" spans="57:72" ht="12" customHeight="1">
      <c r="BE577" s="1038"/>
      <c r="BF577" s="619"/>
      <c r="BL577" s="619"/>
      <c r="BS577" s="1276"/>
    </row>
    <row r="578" spans="57:72" ht="12" customHeight="1">
      <c r="BE578" s="619"/>
      <c r="BF578" s="619"/>
      <c r="BL578" s="619"/>
      <c r="BS578" s="1276"/>
    </row>
    <row r="579" spans="57:72" ht="12" customHeight="1">
      <c r="BE579" s="1038"/>
      <c r="BS579" s="1276"/>
    </row>
    <row r="580" spans="57:72" ht="12" customHeight="1">
      <c r="BE580" s="619"/>
      <c r="BS580" s="1276"/>
    </row>
    <row r="581" spans="57:72" ht="12" customHeight="1">
      <c r="BE581" s="619"/>
      <c r="BG581" s="1075"/>
      <c r="BH581" s="1075"/>
      <c r="BI581" s="1075"/>
      <c r="BJ581" s="1075"/>
      <c r="BK581" s="1075"/>
    </row>
    <row r="582" spans="57:72" ht="12" customHeight="1">
      <c r="BE582" s="619"/>
      <c r="BG582" s="414"/>
      <c r="BH582" s="414"/>
      <c r="BI582" s="414"/>
      <c r="BJ582" s="414"/>
      <c r="BK582" s="414"/>
    </row>
    <row r="583" spans="57:72" ht="12" customHeight="1">
      <c r="BE583" s="619"/>
      <c r="BG583" s="439"/>
      <c r="BH583" s="439"/>
      <c r="BI583" s="439"/>
      <c r="BJ583" s="439"/>
      <c r="BK583" s="439"/>
    </row>
    <row r="584" spans="57:72" ht="12" customHeight="1">
      <c r="BE584" s="619"/>
      <c r="BF584" s="1075"/>
      <c r="BG584" s="463"/>
      <c r="BH584" s="463"/>
      <c r="BI584" s="463"/>
      <c r="BJ584" s="463"/>
      <c r="BK584" s="463"/>
      <c r="BL584" s="1075"/>
    </row>
    <row r="585" spans="57:72" ht="12" customHeight="1">
      <c r="BF585" s="414"/>
      <c r="BG585" s="463"/>
      <c r="BH585" s="463"/>
      <c r="BI585" s="463"/>
      <c r="BJ585" s="463"/>
      <c r="BK585" s="463"/>
      <c r="BL585" s="414"/>
    </row>
    <row r="586" spans="57:72" ht="12" customHeight="1">
      <c r="BF586" s="439"/>
      <c r="BG586" s="463"/>
      <c r="BH586" s="463"/>
      <c r="BI586" s="463"/>
      <c r="BJ586" s="463"/>
      <c r="BK586" s="463"/>
      <c r="BL586" s="439"/>
    </row>
    <row r="587" spans="57:72" ht="12" customHeight="1">
      <c r="BF587" s="463"/>
      <c r="BG587" s="463"/>
      <c r="BH587" s="463"/>
      <c r="BI587" s="463"/>
      <c r="BJ587" s="463"/>
      <c r="BK587" s="463"/>
      <c r="BL587" s="463"/>
    </row>
    <row r="588" spans="57:72" ht="12" customHeight="1">
      <c r="BF588" s="463"/>
      <c r="BG588" s="463"/>
      <c r="BH588" s="463"/>
      <c r="BI588" s="463"/>
      <c r="BJ588" s="463"/>
      <c r="BK588" s="463"/>
      <c r="BL588" s="463"/>
    </row>
    <row r="589" spans="57:72" ht="12" customHeight="1">
      <c r="BF589" s="463"/>
      <c r="BG589" s="463"/>
      <c r="BH589" s="463"/>
      <c r="BI589" s="463"/>
      <c r="BJ589" s="463"/>
      <c r="BK589" s="463"/>
      <c r="BL589" s="463"/>
      <c r="BT589" s="1276"/>
    </row>
    <row r="590" spans="57:72" ht="12" customHeight="1">
      <c r="BE590" s="1075"/>
      <c r="BF590" s="463"/>
      <c r="BG590" s="463"/>
      <c r="BH590" s="463"/>
      <c r="BI590" s="463"/>
      <c r="BJ590" s="463"/>
      <c r="BK590" s="463"/>
      <c r="BL590" s="463"/>
      <c r="BT590" s="1276"/>
    </row>
    <row r="591" spans="57:72" ht="12" customHeight="1">
      <c r="BE591" s="414"/>
      <c r="BF591" s="463"/>
      <c r="BG591" s="463"/>
      <c r="BH591" s="463"/>
      <c r="BI591" s="463"/>
      <c r="BJ591" s="463"/>
      <c r="BK591" s="463"/>
      <c r="BL591" s="463"/>
      <c r="BT591" s="1276"/>
    </row>
    <row r="592" spans="57:72" ht="12" customHeight="1">
      <c r="BE592" s="439"/>
      <c r="BF592" s="463"/>
      <c r="BG592" s="463"/>
      <c r="BH592" s="463"/>
      <c r="BI592" s="463"/>
      <c r="BJ592" s="463"/>
      <c r="BK592" s="463"/>
      <c r="BL592" s="463"/>
      <c r="BT592" s="1276"/>
    </row>
    <row r="593" spans="57:83" ht="12" customHeight="1">
      <c r="BE593" s="463"/>
      <c r="BF593" s="463"/>
      <c r="BG593" s="463"/>
      <c r="BH593" s="463"/>
      <c r="BI593" s="463"/>
      <c r="BJ593" s="463"/>
      <c r="BK593" s="463"/>
      <c r="BL593" s="463"/>
      <c r="BT593" s="1276"/>
    </row>
    <row r="594" spans="57:83" ht="12" customHeight="1">
      <c r="BE594" s="463"/>
      <c r="BF594" s="463"/>
      <c r="BG594" s="463"/>
      <c r="BH594" s="463"/>
      <c r="BI594" s="463"/>
      <c r="BJ594" s="463"/>
      <c r="BK594" s="463"/>
      <c r="BL594" s="463"/>
      <c r="BT594" s="1276"/>
    </row>
    <row r="595" spans="57:83" ht="12" customHeight="1">
      <c r="BE595" s="463"/>
      <c r="BF595" s="463"/>
      <c r="BG595" s="463"/>
      <c r="BH595" s="463"/>
      <c r="BI595" s="463"/>
      <c r="BJ595" s="463"/>
      <c r="BK595" s="463"/>
      <c r="BL595" s="463"/>
      <c r="BT595" s="1276"/>
    </row>
    <row r="596" spans="57:83" ht="12" customHeight="1">
      <c r="BE596" s="463"/>
      <c r="BF596" s="463"/>
      <c r="BG596" s="463"/>
      <c r="BH596" s="463"/>
      <c r="BI596" s="463"/>
      <c r="BJ596" s="463"/>
      <c r="BK596" s="463"/>
      <c r="BL596" s="463"/>
      <c r="BT596" s="1276"/>
      <c r="BU596" s="1276"/>
      <c r="BV596" s="1276"/>
      <c r="BW596" s="1276"/>
      <c r="BX596" s="1276"/>
      <c r="BY596" s="1276"/>
      <c r="BZ596" s="1276"/>
      <c r="CA596" s="1276"/>
      <c r="CB596" s="1276"/>
      <c r="CC596" s="1276"/>
      <c r="CD596" s="1276"/>
      <c r="CE596" s="1276"/>
    </row>
    <row r="597" spans="57:83" ht="12" customHeight="1">
      <c r="BE597" s="463"/>
      <c r="BF597" s="463"/>
      <c r="BG597" s="463"/>
      <c r="BH597" s="463"/>
      <c r="BI597" s="463"/>
      <c r="BJ597" s="463"/>
      <c r="BK597" s="463"/>
      <c r="BL597" s="463"/>
      <c r="BT597" s="1276"/>
      <c r="BU597" s="1276"/>
      <c r="BV597" s="1276"/>
      <c r="BW597" s="1276"/>
      <c r="BX597" s="1276"/>
      <c r="BY597" s="1276"/>
      <c r="BZ597" s="1276"/>
      <c r="CA597" s="1276"/>
      <c r="CB597" s="1276"/>
      <c r="CC597" s="1276"/>
      <c r="CD597" s="1276"/>
      <c r="CE597" s="1276"/>
    </row>
    <row r="598" spans="57:83" ht="12" customHeight="1">
      <c r="BE598" s="463"/>
      <c r="BF598" s="463"/>
      <c r="BG598" s="463"/>
      <c r="BH598" s="463"/>
      <c r="BI598" s="463"/>
      <c r="BJ598" s="463"/>
      <c r="BK598" s="463"/>
      <c r="BL598" s="463"/>
      <c r="BT598" s="1276"/>
      <c r="BU598" s="1276"/>
      <c r="BV598" s="1276"/>
      <c r="BW598" s="1276"/>
      <c r="BX598" s="1276"/>
      <c r="BY598" s="1276"/>
      <c r="BZ598" s="1276"/>
      <c r="CA598" s="1276"/>
      <c r="CB598" s="1276"/>
      <c r="CC598" s="1276"/>
      <c r="CD598" s="1276"/>
      <c r="CE598" s="1276"/>
    </row>
    <row r="599" spans="57:83" ht="12" customHeight="1">
      <c r="BE599" s="463"/>
      <c r="BF599" s="463"/>
      <c r="BG599" s="463"/>
      <c r="BH599" s="463"/>
      <c r="BI599" s="463"/>
      <c r="BJ599" s="463"/>
      <c r="BK599" s="463"/>
      <c r="BL599" s="463"/>
      <c r="BT599" s="1276"/>
      <c r="BU599" s="1276"/>
      <c r="BV599" s="1276"/>
      <c r="BW599" s="1276"/>
      <c r="BX599" s="1276"/>
      <c r="BY599" s="1276"/>
      <c r="BZ599" s="1276"/>
      <c r="CA599" s="1276"/>
      <c r="CB599" s="1276"/>
      <c r="CC599" s="1276"/>
      <c r="CD599" s="1276"/>
      <c r="CE599" s="1276"/>
    </row>
    <row r="600" spans="57:83" ht="12" customHeight="1">
      <c r="BE600" s="463"/>
      <c r="BF600" s="463"/>
      <c r="BG600" s="463"/>
      <c r="BH600" s="463"/>
      <c r="BI600" s="463"/>
      <c r="BJ600" s="463"/>
      <c r="BK600" s="463"/>
      <c r="BL600" s="463"/>
      <c r="BT600" s="1276"/>
      <c r="BU600" s="1276"/>
      <c r="BV600" s="1276"/>
      <c r="BW600" s="1276"/>
      <c r="BX600" s="1276"/>
      <c r="BY600" s="1276"/>
      <c r="BZ600" s="1276"/>
      <c r="CA600" s="1276"/>
      <c r="CB600" s="1276"/>
      <c r="CC600" s="1276"/>
      <c r="CD600" s="1276"/>
      <c r="CE600" s="1276"/>
    </row>
    <row r="601" spans="57:83" ht="12" customHeight="1">
      <c r="BE601" s="463"/>
      <c r="BF601" s="463"/>
      <c r="BG601" s="463"/>
      <c r="BH601" s="463"/>
      <c r="BI601" s="463"/>
      <c r="BJ601" s="463"/>
      <c r="BK601" s="463"/>
      <c r="BL601" s="463"/>
      <c r="BT601" s="1276"/>
      <c r="BU601" s="1276"/>
      <c r="BV601" s="1276"/>
      <c r="BW601" s="1276"/>
      <c r="BX601" s="1276"/>
      <c r="BY601" s="1276"/>
      <c r="BZ601" s="1276"/>
      <c r="CA601" s="1276"/>
      <c r="CB601" s="1276"/>
      <c r="CC601" s="1276"/>
      <c r="CD601" s="1276"/>
      <c r="CE601" s="1276"/>
    </row>
    <row r="602" spans="57:83" ht="12" customHeight="1">
      <c r="BE602" s="463"/>
      <c r="BF602" s="463"/>
      <c r="BG602" s="463"/>
      <c r="BH602" s="463"/>
      <c r="BI602" s="463"/>
      <c r="BJ602" s="463"/>
      <c r="BK602" s="463"/>
      <c r="BL602" s="463"/>
      <c r="BT602" s="1276"/>
      <c r="BU602" s="1276"/>
      <c r="BV602" s="1276"/>
      <c r="BW602" s="1276"/>
      <c r="BX602" s="1276"/>
      <c r="BY602" s="1276"/>
      <c r="BZ602" s="1276"/>
      <c r="CA602" s="1276"/>
      <c r="CB602" s="1276"/>
      <c r="CC602" s="1276"/>
      <c r="CD602" s="1276"/>
      <c r="CE602" s="1276"/>
    </row>
    <row r="603" spans="57:83" ht="12" customHeight="1">
      <c r="BE603" s="463"/>
      <c r="BF603" s="463"/>
      <c r="BG603" s="463"/>
      <c r="BH603" s="463"/>
      <c r="BI603" s="463"/>
      <c r="BJ603" s="463"/>
      <c r="BK603" s="463"/>
      <c r="BL603" s="463"/>
      <c r="BT603" s="1276"/>
      <c r="BU603" s="1276"/>
      <c r="BV603" s="1276"/>
      <c r="BW603" s="1276"/>
      <c r="BX603" s="1276"/>
      <c r="BY603" s="1276"/>
      <c r="BZ603" s="1276"/>
      <c r="CA603" s="1276"/>
      <c r="CB603" s="1276"/>
      <c r="CC603" s="1276"/>
      <c r="CD603" s="1276"/>
      <c r="CE603" s="1276"/>
    </row>
    <row r="604" spans="57:83" ht="12" customHeight="1">
      <c r="BE604" s="463"/>
      <c r="BF604" s="463"/>
      <c r="BG604" s="463"/>
      <c r="BH604" s="463"/>
      <c r="BI604" s="463"/>
      <c r="BJ604" s="463"/>
      <c r="BK604" s="463"/>
      <c r="BL604" s="463"/>
      <c r="BT604" s="1276"/>
      <c r="BU604" s="1276"/>
      <c r="BV604" s="1276"/>
      <c r="BW604" s="1276"/>
      <c r="BX604" s="1276"/>
      <c r="BY604" s="1276"/>
      <c r="BZ604" s="1276"/>
      <c r="CA604" s="1276"/>
      <c r="CB604" s="1276"/>
      <c r="CC604" s="1276"/>
      <c r="CD604" s="1276"/>
      <c r="CE604" s="1276"/>
    </row>
    <row r="605" spans="57:83" ht="12" customHeight="1">
      <c r="BE605" s="463"/>
      <c r="BF605" s="463"/>
      <c r="BL605" s="463"/>
      <c r="BU605" s="1276"/>
      <c r="BV605" s="1276"/>
      <c r="BW605" s="1276"/>
      <c r="BX605" s="1276"/>
      <c r="BY605" s="1276"/>
      <c r="BZ605" s="1276"/>
      <c r="CA605" s="1276"/>
      <c r="CB605" s="1276"/>
      <c r="CC605" s="1276"/>
      <c r="CD605" s="1276"/>
      <c r="CE605" s="1276"/>
    </row>
    <row r="606" spans="57:83" ht="12" customHeight="1">
      <c r="BE606" s="463"/>
      <c r="BF606" s="463"/>
      <c r="BG606" s="463"/>
      <c r="BH606" s="463"/>
      <c r="BI606" s="463"/>
      <c r="BJ606" s="463"/>
      <c r="BK606" s="463"/>
      <c r="BL606" s="463"/>
      <c r="BU606" s="1276"/>
      <c r="BV606" s="1276"/>
      <c r="BW606" s="1276"/>
      <c r="BX606" s="1276"/>
      <c r="BY606" s="1276"/>
      <c r="BZ606" s="1276"/>
      <c r="CA606" s="1276"/>
      <c r="CB606" s="1276"/>
      <c r="CC606" s="1276"/>
      <c r="CD606" s="1276"/>
      <c r="CE606" s="1276"/>
    </row>
    <row r="607" spans="57:83" ht="12" customHeight="1">
      <c r="BE607" s="463"/>
      <c r="BF607" s="463"/>
      <c r="BL607" s="463"/>
      <c r="BU607" s="1276"/>
      <c r="BV607" s="1276"/>
      <c r="BW607" s="1276"/>
      <c r="BX607" s="1276"/>
      <c r="BY607" s="1276"/>
      <c r="BZ607" s="1276"/>
      <c r="CA607" s="1276"/>
      <c r="CB607" s="1276"/>
      <c r="CC607" s="1276"/>
      <c r="CD607" s="1276"/>
      <c r="CE607" s="1276"/>
    </row>
    <row r="608" spans="57:83" ht="12" customHeight="1">
      <c r="BE608" s="463"/>
      <c r="BU608" s="1276"/>
      <c r="BV608" s="1276"/>
      <c r="BW608" s="1276"/>
      <c r="BX608" s="1276"/>
      <c r="BY608" s="1276"/>
      <c r="BZ608" s="1276"/>
      <c r="CA608" s="1276"/>
      <c r="CB608" s="1276"/>
      <c r="CC608" s="1276"/>
      <c r="CD608" s="1276"/>
      <c r="CE608" s="1276"/>
    </row>
    <row r="609" spans="57:83" ht="12" customHeight="1">
      <c r="BE609" s="463"/>
      <c r="BF609" s="463"/>
      <c r="BL609" s="463"/>
      <c r="BU609" s="1276"/>
      <c r="BV609" s="1276"/>
      <c r="BW609" s="1276"/>
      <c r="BX609" s="1276"/>
      <c r="BY609" s="1276"/>
      <c r="BZ609" s="1276"/>
      <c r="CA609" s="1276"/>
      <c r="CB609" s="1276"/>
      <c r="CC609" s="1276"/>
      <c r="CD609" s="1276"/>
      <c r="CE609" s="1276"/>
    </row>
    <row r="610" spans="57:83" ht="12" customHeight="1">
      <c r="BE610" s="463"/>
      <c r="BU610" s="1276"/>
      <c r="BV610" s="1276"/>
      <c r="BW610" s="1276"/>
      <c r="BX610" s="1276"/>
      <c r="BY610" s="1276"/>
      <c r="BZ610" s="1276"/>
      <c r="CA610" s="1276"/>
      <c r="CB610" s="1276"/>
      <c r="CC610" s="1276"/>
      <c r="CD610" s="1276"/>
      <c r="CE610" s="1276"/>
    </row>
    <row r="611" spans="57:83" ht="12" customHeight="1">
      <c r="BE611" s="463"/>
      <c r="BU611" s="1276"/>
      <c r="BV611" s="1276"/>
      <c r="BW611" s="1276"/>
      <c r="BX611" s="1276"/>
      <c r="BY611" s="1276"/>
      <c r="BZ611" s="1276"/>
      <c r="CA611" s="1276"/>
      <c r="CB611" s="1276"/>
      <c r="CC611" s="1276"/>
      <c r="CD611" s="1276"/>
      <c r="CE611" s="1276"/>
    </row>
    <row r="612" spans="57:83" ht="12" customHeight="1">
      <c r="BE612" s="463"/>
      <c r="BG612" s="1075"/>
      <c r="BH612" s="1075"/>
      <c r="BI612" s="1075"/>
      <c r="BJ612" s="1075"/>
      <c r="BK612" s="1075"/>
    </row>
    <row r="613" spans="57:83" ht="12" customHeight="1">
      <c r="BE613" s="463"/>
      <c r="BG613" s="414"/>
      <c r="BH613" s="414"/>
      <c r="BI613" s="414"/>
      <c r="BJ613" s="414"/>
      <c r="BK613" s="414"/>
    </row>
    <row r="614" spans="57:83" ht="12" customHeight="1">
      <c r="BG614" s="439"/>
      <c r="BH614" s="439"/>
      <c r="BI614" s="439"/>
      <c r="BJ614" s="439"/>
      <c r="BK614" s="439"/>
    </row>
    <row r="615" spans="57:83" ht="12" customHeight="1">
      <c r="BE615" s="463"/>
      <c r="BF615" s="1075"/>
      <c r="BG615" s="463"/>
      <c r="BH615" s="463"/>
      <c r="BI615" s="463"/>
      <c r="BJ615" s="463"/>
      <c r="BK615" s="463"/>
      <c r="BL615" s="1075"/>
    </row>
    <row r="616" spans="57:83" ht="12" customHeight="1">
      <c r="BF616" s="414"/>
      <c r="BG616" s="463"/>
      <c r="BH616" s="463"/>
      <c r="BI616" s="463"/>
      <c r="BJ616" s="463"/>
      <c r="BK616" s="463"/>
      <c r="BL616" s="414"/>
    </row>
    <row r="617" spans="57:83" ht="12" customHeight="1">
      <c r="BF617" s="439"/>
      <c r="BG617" s="463"/>
      <c r="BH617" s="463"/>
      <c r="BI617" s="463"/>
      <c r="BJ617" s="463"/>
      <c r="BK617" s="463"/>
      <c r="BL617" s="439"/>
    </row>
    <row r="618" spans="57:83" ht="12" customHeight="1">
      <c r="BF618" s="463"/>
      <c r="BG618" s="463"/>
      <c r="BH618" s="463"/>
      <c r="BI618" s="463"/>
      <c r="BJ618" s="463"/>
      <c r="BK618" s="463"/>
      <c r="BL618" s="463"/>
    </row>
    <row r="619" spans="57:83" ht="12" customHeight="1">
      <c r="BF619" s="463"/>
      <c r="BG619" s="463"/>
      <c r="BH619" s="463"/>
      <c r="BI619" s="463"/>
      <c r="BJ619" s="463"/>
      <c r="BK619" s="463"/>
      <c r="BL619" s="463"/>
    </row>
    <row r="620" spans="57:83" ht="12" customHeight="1">
      <c r="BF620" s="463"/>
      <c r="BG620" s="463"/>
      <c r="BH620" s="463"/>
      <c r="BI620" s="463"/>
      <c r="BJ620" s="463"/>
      <c r="BK620" s="463"/>
      <c r="BL620" s="463"/>
    </row>
    <row r="621" spans="57:83" ht="12" customHeight="1">
      <c r="BE621" s="1075"/>
      <c r="BF621" s="463"/>
      <c r="BG621" s="463"/>
      <c r="BH621" s="463"/>
      <c r="BI621" s="463"/>
      <c r="BJ621" s="463"/>
      <c r="BK621" s="463"/>
      <c r="BL621" s="463"/>
    </row>
    <row r="622" spans="57:83" ht="12" customHeight="1">
      <c r="BE622" s="414"/>
      <c r="BF622" s="463"/>
      <c r="BG622" s="463"/>
      <c r="BH622" s="463"/>
      <c r="BI622" s="463"/>
      <c r="BJ622" s="463"/>
      <c r="BK622" s="463"/>
      <c r="BL622" s="463"/>
    </row>
    <row r="623" spans="57:83" ht="12" customHeight="1">
      <c r="BE623" s="439"/>
      <c r="BF623" s="463"/>
      <c r="BG623" s="463"/>
      <c r="BH623" s="463"/>
      <c r="BI623" s="463"/>
      <c r="BJ623" s="463"/>
      <c r="BK623" s="463"/>
      <c r="BL623" s="463"/>
    </row>
    <row r="624" spans="57:83" ht="12" customHeight="1">
      <c r="BE624" s="463"/>
      <c r="BF624" s="463"/>
      <c r="BG624" s="463"/>
      <c r="BH624" s="463"/>
      <c r="BI624" s="463"/>
      <c r="BJ624" s="463"/>
      <c r="BK624" s="463"/>
      <c r="BL624" s="463"/>
    </row>
    <row r="625" spans="57:64" ht="12" customHeight="1">
      <c r="BE625" s="463"/>
      <c r="BF625" s="463"/>
      <c r="BG625" s="463"/>
      <c r="BH625" s="463"/>
      <c r="BI625" s="463"/>
      <c r="BJ625" s="463"/>
      <c r="BK625" s="463"/>
      <c r="BL625" s="463"/>
    </row>
    <row r="626" spans="57:64" ht="12" customHeight="1">
      <c r="BE626" s="463"/>
      <c r="BF626" s="463"/>
      <c r="BG626" s="463"/>
      <c r="BH626" s="463"/>
      <c r="BI626" s="463"/>
      <c r="BJ626" s="463"/>
      <c r="BK626" s="463"/>
      <c r="BL626" s="463"/>
    </row>
    <row r="627" spans="57:64" ht="12" customHeight="1">
      <c r="BE627" s="463"/>
      <c r="BF627" s="463"/>
      <c r="BG627" s="463"/>
      <c r="BH627" s="463"/>
      <c r="BI627" s="463"/>
      <c r="BJ627" s="463"/>
      <c r="BK627" s="463"/>
      <c r="BL627" s="463"/>
    </row>
    <row r="628" spans="57:64" ht="12" customHeight="1">
      <c r="BE628" s="463"/>
      <c r="BF628" s="463"/>
      <c r="BG628" s="463"/>
      <c r="BH628" s="463"/>
      <c r="BI628" s="463"/>
      <c r="BJ628" s="463"/>
      <c r="BK628" s="463"/>
      <c r="BL628" s="463"/>
    </row>
    <row r="629" spans="57:64" ht="12" customHeight="1">
      <c r="BE629" s="463"/>
      <c r="BF629" s="463"/>
      <c r="BG629" s="463"/>
      <c r="BH629" s="463"/>
      <c r="BI629" s="463"/>
      <c r="BJ629" s="463"/>
      <c r="BK629" s="463"/>
      <c r="BL629" s="463"/>
    </row>
    <row r="630" spans="57:64" ht="12" customHeight="1">
      <c r="BE630" s="463"/>
      <c r="BF630" s="463"/>
      <c r="BG630" s="463"/>
      <c r="BH630" s="463"/>
      <c r="BI630" s="463"/>
      <c r="BJ630" s="463"/>
      <c r="BK630" s="463"/>
      <c r="BL630" s="463"/>
    </row>
    <row r="631" spans="57:64" ht="12" customHeight="1">
      <c r="BE631" s="463"/>
      <c r="BF631" s="463"/>
      <c r="BG631" s="463"/>
      <c r="BH631" s="463"/>
      <c r="BI631" s="463"/>
      <c r="BJ631" s="463"/>
      <c r="BK631" s="463"/>
      <c r="BL631" s="463"/>
    </row>
    <row r="632" spans="57:64" ht="12" customHeight="1">
      <c r="BE632" s="463"/>
      <c r="BF632" s="463"/>
      <c r="BG632" s="463"/>
      <c r="BH632" s="463"/>
      <c r="BI632" s="463"/>
      <c r="BJ632" s="463"/>
      <c r="BK632" s="463"/>
      <c r="BL632" s="463"/>
    </row>
    <row r="633" spans="57:64" ht="12" customHeight="1">
      <c r="BE633" s="463"/>
      <c r="BF633" s="463"/>
      <c r="BG633" s="463"/>
      <c r="BH633" s="463"/>
      <c r="BI633" s="463"/>
      <c r="BJ633" s="463"/>
      <c r="BK633" s="463"/>
      <c r="BL633" s="463"/>
    </row>
    <row r="634" spans="57:64" ht="12" customHeight="1">
      <c r="BE634" s="463"/>
      <c r="BF634" s="463"/>
      <c r="BG634" s="463"/>
      <c r="BH634" s="463"/>
      <c r="BI634" s="463"/>
      <c r="BJ634" s="463"/>
      <c r="BK634" s="463"/>
      <c r="BL634" s="463"/>
    </row>
    <row r="635" spans="57:64" ht="12" customHeight="1">
      <c r="BE635" s="463"/>
      <c r="BF635" s="463"/>
      <c r="BG635" s="463"/>
      <c r="BH635" s="463"/>
      <c r="BI635" s="463"/>
      <c r="BJ635" s="463"/>
      <c r="BK635" s="463"/>
      <c r="BL635" s="463"/>
    </row>
    <row r="636" spans="57:64" ht="12" customHeight="1">
      <c r="BE636" s="463"/>
      <c r="BF636" s="463"/>
      <c r="BG636" s="463"/>
      <c r="BH636" s="463"/>
      <c r="BI636" s="463"/>
      <c r="BJ636" s="463"/>
      <c r="BK636" s="463"/>
      <c r="BL636" s="463"/>
    </row>
    <row r="637" spans="57:64" ht="12" customHeight="1">
      <c r="BE637" s="463"/>
      <c r="BF637" s="463"/>
      <c r="BG637" s="463"/>
      <c r="BH637" s="463"/>
      <c r="BI637" s="463"/>
      <c r="BJ637" s="463"/>
      <c r="BK637" s="463"/>
      <c r="BL637" s="463"/>
    </row>
    <row r="638" spans="57:64" ht="12" customHeight="1">
      <c r="BE638" s="463"/>
      <c r="BF638" s="463"/>
      <c r="BG638" s="463"/>
      <c r="BH638" s="463"/>
      <c r="BI638" s="463"/>
      <c r="BJ638" s="463"/>
      <c r="BK638" s="463"/>
      <c r="BL638" s="463"/>
    </row>
    <row r="639" spans="57:64" ht="12" customHeight="1">
      <c r="BE639" s="463"/>
      <c r="BF639" s="463"/>
      <c r="BL639" s="463"/>
    </row>
    <row r="640" spans="57:64" ht="12" customHeight="1">
      <c r="BE640" s="463"/>
      <c r="BF640" s="463"/>
      <c r="BG640" s="463"/>
      <c r="BH640" s="463"/>
      <c r="BI640" s="463"/>
      <c r="BJ640" s="463"/>
      <c r="BK640" s="463"/>
      <c r="BL640" s="463"/>
    </row>
    <row r="641" spans="57:64" ht="12" customHeight="1">
      <c r="BE641" s="463"/>
      <c r="BF641" s="463"/>
      <c r="BL641" s="463"/>
    </row>
    <row r="642" spans="57:64" ht="12" customHeight="1">
      <c r="BE642" s="463"/>
    </row>
    <row r="643" spans="57:64" ht="12" customHeight="1">
      <c r="BE643" s="463"/>
      <c r="BF643" s="463"/>
      <c r="BL643" s="463"/>
    </row>
    <row r="644" spans="57:64" ht="12" customHeight="1">
      <c r="BE644" s="463"/>
    </row>
    <row r="645" spans="57:64" ht="12" customHeight="1">
      <c r="BE645" s="463"/>
      <c r="BG645" s="1075"/>
      <c r="BH645" s="1075"/>
      <c r="BI645" s="1075"/>
      <c r="BJ645" s="1075"/>
      <c r="BK645" s="1075"/>
    </row>
    <row r="646" spans="57:64" ht="12" customHeight="1">
      <c r="BE646" s="463"/>
      <c r="BG646" s="414"/>
      <c r="BH646" s="414"/>
      <c r="BI646" s="414"/>
      <c r="BJ646" s="414"/>
      <c r="BK646" s="414"/>
    </row>
    <row r="647" spans="57:64" ht="12" customHeight="1">
      <c r="BE647" s="463"/>
      <c r="BG647" s="439"/>
      <c r="BH647" s="439"/>
      <c r="BI647" s="439"/>
      <c r="BJ647" s="439"/>
      <c r="BK647" s="439"/>
    </row>
    <row r="648" spans="57:64" ht="12" customHeight="1">
      <c r="BF648" s="1075"/>
      <c r="BG648" s="463"/>
      <c r="BH648" s="463"/>
      <c r="BI648" s="463"/>
      <c r="BJ648" s="463"/>
      <c r="BK648" s="463"/>
      <c r="BL648" s="1075"/>
    </row>
    <row r="649" spans="57:64" ht="12" customHeight="1">
      <c r="BE649" s="463"/>
      <c r="BF649" s="414"/>
      <c r="BG649" s="463"/>
      <c r="BH649" s="463"/>
      <c r="BI649" s="463"/>
      <c r="BJ649" s="463"/>
      <c r="BK649" s="463"/>
      <c r="BL649" s="414"/>
    </row>
    <row r="650" spans="57:64" ht="12" customHeight="1">
      <c r="BF650" s="439"/>
      <c r="BG650" s="463"/>
      <c r="BH650" s="463"/>
      <c r="BI650" s="463"/>
      <c r="BJ650" s="463"/>
      <c r="BK650" s="463"/>
      <c r="BL650" s="439"/>
    </row>
    <row r="651" spans="57:64" ht="12" customHeight="1">
      <c r="BF651" s="463"/>
      <c r="BG651" s="463"/>
      <c r="BH651" s="463"/>
      <c r="BI651" s="463"/>
      <c r="BJ651" s="463"/>
      <c r="BK651" s="463"/>
      <c r="BL651" s="463"/>
    </row>
    <row r="652" spans="57:64" ht="12" customHeight="1">
      <c r="BF652" s="463"/>
      <c r="BG652" s="463"/>
      <c r="BH652" s="463"/>
      <c r="BI652" s="463"/>
      <c r="BJ652" s="463"/>
      <c r="BK652" s="463"/>
      <c r="BL652" s="463"/>
    </row>
    <row r="653" spans="57:64" ht="12" customHeight="1">
      <c r="BF653" s="463"/>
      <c r="BG653" s="463"/>
      <c r="BH653" s="463"/>
      <c r="BI653" s="463"/>
      <c r="BJ653" s="463"/>
      <c r="BK653" s="463"/>
      <c r="BL653" s="463"/>
    </row>
    <row r="654" spans="57:64" ht="12" customHeight="1">
      <c r="BE654" s="1075"/>
      <c r="BF654" s="463"/>
      <c r="BG654" s="463"/>
      <c r="BH654" s="463"/>
      <c r="BI654" s="463"/>
      <c r="BJ654" s="463"/>
      <c r="BK654" s="463"/>
      <c r="BL654" s="463"/>
    </row>
    <row r="655" spans="57:64" ht="12" customHeight="1">
      <c r="BE655" s="414"/>
      <c r="BF655" s="463"/>
      <c r="BG655" s="463"/>
      <c r="BH655" s="463"/>
      <c r="BI655" s="463"/>
      <c r="BJ655" s="463"/>
      <c r="BK655" s="463"/>
      <c r="BL655" s="463"/>
    </row>
    <row r="656" spans="57:64" ht="12" customHeight="1">
      <c r="BE656" s="439"/>
      <c r="BF656" s="463"/>
      <c r="BG656" s="463"/>
      <c r="BH656" s="463"/>
      <c r="BI656" s="463"/>
      <c r="BJ656" s="463"/>
      <c r="BK656" s="463"/>
      <c r="BL656" s="463"/>
    </row>
    <row r="657" spans="57:64" ht="12" customHeight="1">
      <c r="BE657" s="463"/>
      <c r="BF657" s="463"/>
      <c r="BG657" s="463"/>
      <c r="BH657" s="463"/>
      <c r="BI657" s="463"/>
      <c r="BJ657" s="463"/>
      <c r="BK657" s="463"/>
      <c r="BL657" s="463"/>
    </row>
    <row r="658" spans="57:64" ht="12" customHeight="1">
      <c r="BE658" s="463"/>
      <c r="BF658" s="463"/>
      <c r="BG658" s="463"/>
      <c r="BH658" s="463"/>
      <c r="BI658" s="463"/>
      <c r="BJ658" s="463"/>
      <c r="BK658" s="463"/>
      <c r="BL658" s="463"/>
    </row>
    <row r="659" spans="57:64" ht="12" customHeight="1">
      <c r="BE659" s="463"/>
      <c r="BF659" s="463"/>
      <c r="BG659" s="463"/>
      <c r="BH659" s="463"/>
      <c r="BI659" s="463"/>
      <c r="BJ659" s="463"/>
      <c r="BK659" s="463"/>
      <c r="BL659" s="463"/>
    </row>
    <row r="660" spans="57:64" ht="12" customHeight="1">
      <c r="BE660" s="463"/>
      <c r="BF660" s="463"/>
      <c r="BG660" s="463"/>
      <c r="BH660" s="463"/>
      <c r="BI660" s="463"/>
      <c r="BJ660" s="463"/>
      <c r="BK660" s="463"/>
      <c r="BL660" s="463"/>
    </row>
    <row r="661" spans="57:64" ht="12" customHeight="1">
      <c r="BE661" s="463"/>
      <c r="BF661" s="463"/>
      <c r="BG661" s="463"/>
      <c r="BH661" s="463"/>
      <c r="BI661" s="463"/>
      <c r="BJ661" s="463"/>
      <c r="BK661" s="463"/>
      <c r="BL661" s="463"/>
    </row>
    <row r="662" spans="57:64" ht="12" customHeight="1">
      <c r="BE662" s="463"/>
      <c r="BF662" s="463"/>
      <c r="BG662" s="463"/>
      <c r="BH662" s="463"/>
      <c r="BI662" s="463"/>
      <c r="BJ662" s="463"/>
      <c r="BK662" s="463"/>
      <c r="BL662" s="463"/>
    </row>
    <row r="663" spans="57:64" ht="12" customHeight="1">
      <c r="BE663" s="463"/>
      <c r="BF663" s="463"/>
      <c r="BG663" s="463"/>
      <c r="BH663" s="463"/>
      <c r="BI663" s="463"/>
      <c r="BJ663" s="463"/>
      <c r="BK663" s="463"/>
      <c r="BL663" s="463"/>
    </row>
    <row r="664" spans="57:64" ht="12" customHeight="1">
      <c r="BE664" s="463"/>
      <c r="BF664" s="463"/>
      <c r="BG664" s="463"/>
      <c r="BH664" s="463"/>
      <c r="BI664" s="463"/>
      <c r="BJ664" s="463"/>
      <c r="BK664" s="463"/>
      <c r="BL664" s="463"/>
    </row>
    <row r="665" spans="57:64" ht="12" customHeight="1">
      <c r="BE665" s="463"/>
      <c r="BF665" s="463"/>
      <c r="BG665" s="463"/>
      <c r="BH665" s="463"/>
      <c r="BI665" s="463"/>
      <c r="BJ665" s="463"/>
      <c r="BK665" s="463"/>
      <c r="BL665" s="463"/>
    </row>
    <row r="666" spans="57:64" ht="12" customHeight="1">
      <c r="BE666" s="463"/>
      <c r="BF666" s="463"/>
      <c r="BG666" s="463"/>
      <c r="BH666" s="463"/>
      <c r="BI666" s="463"/>
      <c r="BJ666" s="463"/>
      <c r="BK666" s="463"/>
      <c r="BL666" s="463"/>
    </row>
    <row r="667" spans="57:64" ht="12" customHeight="1">
      <c r="BE667" s="463"/>
      <c r="BF667" s="463"/>
      <c r="BG667" s="463"/>
      <c r="BH667" s="463"/>
      <c r="BI667" s="463"/>
      <c r="BJ667" s="463"/>
      <c r="BK667" s="463"/>
      <c r="BL667" s="463"/>
    </row>
    <row r="668" spans="57:64" ht="12" customHeight="1">
      <c r="BE668" s="463"/>
      <c r="BF668" s="463"/>
      <c r="BG668" s="463"/>
      <c r="BH668" s="463"/>
      <c r="BI668" s="463"/>
      <c r="BJ668" s="463"/>
      <c r="BK668" s="463"/>
      <c r="BL668" s="463"/>
    </row>
    <row r="669" spans="57:64" ht="12" customHeight="1">
      <c r="BE669" s="463"/>
      <c r="BF669" s="463"/>
      <c r="BG669" s="463"/>
      <c r="BH669" s="463"/>
      <c r="BI669" s="463"/>
      <c r="BJ669" s="463"/>
      <c r="BK669" s="463"/>
      <c r="BL669" s="463"/>
    </row>
    <row r="670" spans="57:64" ht="12" customHeight="1">
      <c r="BE670" s="463"/>
      <c r="BF670" s="463"/>
      <c r="BG670" s="435"/>
      <c r="BH670" s="435"/>
      <c r="BI670" s="435"/>
      <c r="BJ670" s="435"/>
      <c r="BK670" s="435"/>
      <c r="BL670" s="463"/>
    </row>
    <row r="671" spans="57:64" ht="12" customHeight="1">
      <c r="BE671" s="463"/>
      <c r="BF671" s="463"/>
      <c r="BG671" s="435"/>
      <c r="BH671" s="435"/>
      <c r="BI671" s="435"/>
      <c r="BJ671" s="435"/>
      <c r="BK671" s="435"/>
      <c r="BL671" s="463"/>
    </row>
    <row r="672" spans="57:64" ht="12" customHeight="1">
      <c r="BE672" s="463"/>
      <c r="BF672" s="463"/>
      <c r="BG672" s="917"/>
      <c r="BH672" s="917"/>
      <c r="BI672" s="917"/>
      <c r="BJ672" s="917"/>
      <c r="BK672" s="917"/>
      <c r="BL672" s="463"/>
    </row>
    <row r="673" spans="57:64" ht="12" customHeight="1">
      <c r="BE673" s="463"/>
      <c r="BF673" s="435"/>
      <c r="BL673" s="435"/>
    </row>
    <row r="674" spans="57:64" ht="12" customHeight="1">
      <c r="BE674" s="463"/>
      <c r="BF674" s="435"/>
      <c r="BG674" s="463"/>
      <c r="BH674" s="463"/>
      <c r="BI674" s="463"/>
      <c r="BJ674" s="463"/>
      <c r="BK674" s="463"/>
      <c r="BL674" s="435"/>
    </row>
    <row r="675" spans="57:64" ht="12" customHeight="1">
      <c r="BE675" s="463"/>
      <c r="BF675" s="917"/>
      <c r="BL675" s="917"/>
    </row>
    <row r="676" spans="57:64" ht="12" customHeight="1">
      <c r="BE676" s="463"/>
    </row>
    <row r="677" spans="57:64" ht="12" customHeight="1">
      <c r="BE677" s="463"/>
      <c r="BF677" s="463"/>
      <c r="BL677" s="463"/>
    </row>
    <row r="678" spans="57:64" ht="12" customHeight="1">
      <c r="BE678" s="463"/>
    </row>
    <row r="679" spans="57:64" ht="12" customHeight="1">
      <c r="BE679" s="435"/>
    </row>
    <row r="680" spans="57:64" ht="12" customHeight="1">
      <c r="BE680" s="435"/>
    </row>
    <row r="681" spans="57:64" ht="12" customHeight="1">
      <c r="BE681" s="917"/>
      <c r="BG681" s="414"/>
      <c r="BH681" s="414"/>
      <c r="BI681" s="414"/>
      <c r="BJ681" s="414"/>
      <c r="BK681" s="414"/>
    </row>
    <row r="682" spans="57:64" ht="12" customHeight="1">
      <c r="BG682" s="439"/>
      <c r="BH682" s="439"/>
      <c r="BI682" s="439"/>
      <c r="BJ682" s="439"/>
      <c r="BK682" s="439"/>
    </row>
    <row r="683" spans="57:64" ht="12" customHeight="1">
      <c r="BE683" s="463"/>
      <c r="BG683" s="463"/>
      <c r="BH683" s="463"/>
      <c r="BI683" s="463"/>
      <c r="BJ683" s="463"/>
      <c r="BK683" s="463"/>
    </row>
    <row r="684" spans="57:64" ht="12" customHeight="1">
      <c r="BF684" s="414"/>
      <c r="BG684" s="463"/>
      <c r="BH684" s="463"/>
      <c r="BI684" s="463"/>
      <c r="BJ684" s="463"/>
      <c r="BK684" s="463"/>
      <c r="BL684" s="414"/>
    </row>
    <row r="685" spans="57:64" ht="12" customHeight="1">
      <c r="BF685" s="439"/>
      <c r="BG685" s="463"/>
      <c r="BH685" s="463"/>
      <c r="BI685" s="463"/>
      <c r="BJ685" s="463"/>
      <c r="BK685" s="463"/>
      <c r="BL685" s="439"/>
    </row>
    <row r="686" spans="57:64" ht="12" customHeight="1">
      <c r="BF686" s="463"/>
      <c r="BG686" s="463"/>
      <c r="BH686" s="463"/>
      <c r="BI686" s="463"/>
      <c r="BJ686" s="463"/>
      <c r="BK686" s="463"/>
      <c r="BL686" s="463"/>
    </row>
    <row r="687" spans="57:64" ht="12" customHeight="1">
      <c r="BF687" s="463"/>
      <c r="BG687" s="463"/>
      <c r="BH687" s="463"/>
      <c r="BI687" s="463"/>
      <c r="BJ687" s="463"/>
      <c r="BK687" s="463"/>
      <c r="BL687" s="463"/>
    </row>
    <row r="688" spans="57:64" ht="12" customHeight="1">
      <c r="BF688" s="463"/>
      <c r="BG688" s="463"/>
      <c r="BH688" s="463"/>
      <c r="BI688" s="463"/>
      <c r="BJ688" s="463"/>
      <c r="BK688" s="463"/>
      <c r="BL688" s="463"/>
    </row>
    <row r="689" spans="57:84" ht="12" customHeight="1">
      <c r="BF689" s="463"/>
      <c r="BG689" s="463"/>
      <c r="BH689" s="463"/>
      <c r="BI689" s="463"/>
      <c r="BJ689" s="463"/>
      <c r="BK689" s="463"/>
      <c r="BL689" s="463"/>
    </row>
    <row r="690" spans="57:84" ht="12" customHeight="1">
      <c r="BE690" s="414"/>
      <c r="BF690" s="463"/>
      <c r="BG690" s="463"/>
      <c r="BH690" s="463"/>
      <c r="BI690" s="463"/>
      <c r="BJ690" s="463"/>
      <c r="BK690" s="463"/>
      <c r="BL690" s="463"/>
    </row>
    <row r="691" spans="57:84" ht="12" customHeight="1">
      <c r="BE691" s="439"/>
      <c r="BF691" s="463"/>
      <c r="BG691" s="463"/>
      <c r="BH691" s="463"/>
      <c r="BI691" s="463"/>
      <c r="BJ691" s="463"/>
      <c r="BK691" s="463"/>
      <c r="BL691" s="463"/>
    </row>
    <row r="692" spans="57:84" ht="12" customHeight="1">
      <c r="BE692" s="463"/>
      <c r="BF692" s="463"/>
      <c r="BG692" s="463"/>
      <c r="BH692" s="463"/>
      <c r="BI692" s="463"/>
      <c r="BJ692" s="463"/>
      <c r="BK692" s="463"/>
      <c r="BL692" s="463"/>
    </row>
    <row r="693" spans="57:84" ht="12" customHeight="1">
      <c r="BE693" s="463"/>
      <c r="BF693" s="463"/>
      <c r="BG693" s="463"/>
      <c r="BH693" s="463"/>
      <c r="BI693" s="463"/>
      <c r="BJ693" s="463"/>
      <c r="BK693" s="463"/>
      <c r="BL693" s="463"/>
    </row>
    <row r="694" spans="57:84" ht="12" customHeight="1">
      <c r="BE694" s="463"/>
      <c r="BF694" s="463"/>
      <c r="BG694" s="463"/>
      <c r="BH694" s="463"/>
      <c r="BI694" s="463"/>
      <c r="BJ694" s="463"/>
      <c r="BK694" s="463"/>
      <c r="BL694" s="463"/>
    </row>
    <row r="695" spans="57:84" ht="12" customHeight="1">
      <c r="BE695" s="463"/>
      <c r="BF695" s="463"/>
      <c r="BG695" s="463"/>
      <c r="BH695" s="463"/>
      <c r="BI695" s="463"/>
      <c r="BJ695" s="463"/>
      <c r="BK695" s="463"/>
      <c r="BL695" s="463"/>
    </row>
    <row r="696" spans="57:84" ht="12" customHeight="1">
      <c r="BE696" s="463"/>
      <c r="BF696" s="463"/>
      <c r="BG696" s="463"/>
      <c r="BH696" s="463"/>
      <c r="BI696" s="463"/>
      <c r="BJ696" s="463"/>
      <c r="BK696" s="463"/>
      <c r="BL696" s="463"/>
    </row>
    <row r="697" spans="57:84" ht="12" customHeight="1">
      <c r="BE697" s="463"/>
      <c r="BF697" s="463"/>
      <c r="BG697" s="463"/>
      <c r="BH697" s="463"/>
      <c r="BI697" s="463"/>
      <c r="BJ697" s="463"/>
      <c r="BK697" s="463"/>
      <c r="BL697" s="463"/>
    </row>
    <row r="698" spans="57:84" ht="12" customHeight="1">
      <c r="BE698" s="463"/>
      <c r="BF698" s="463"/>
      <c r="BG698" s="463"/>
      <c r="BH698" s="463"/>
      <c r="BI698" s="463"/>
      <c r="BJ698" s="463"/>
      <c r="BK698" s="463"/>
      <c r="BL698" s="463"/>
    </row>
    <row r="699" spans="57:84" ht="12" customHeight="1">
      <c r="BE699" s="463"/>
      <c r="BF699" s="463"/>
      <c r="BG699" s="463"/>
      <c r="BH699" s="463"/>
      <c r="BI699" s="463"/>
      <c r="BJ699" s="463"/>
      <c r="BK699" s="463"/>
      <c r="BL699" s="463"/>
    </row>
    <row r="700" spans="57:84" ht="12" customHeight="1">
      <c r="BE700" s="463"/>
      <c r="BF700" s="463"/>
      <c r="BG700" s="463"/>
      <c r="BH700" s="463"/>
      <c r="BI700" s="463"/>
      <c r="BJ700" s="463"/>
      <c r="BK700" s="463"/>
      <c r="BL700" s="463"/>
      <c r="CF700" s="639"/>
    </row>
    <row r="701" spans="57:84" ht="12" customHeight="1">
      <c r="BE701" s="463"/>
      <c r="BF701" s="463"/>
      <c r="BG701" s="463"/>
      <c r="BH701" s="463"/>
      <c r="BI701" s="463"/>
      <c r="BJ701" s="463"/>
      <c r="BK701" s="463"/>
      <c r="BL701" s="463"/>
    </row>
    <row r="702" spans="57:84" ht="12" customHeight="1">
      <c r="BE702" s="463"/>
      <c r="BF702" s="463"/>
      <c r="BL702" s="463"/>
    </row>
    <row r="703" spans="57:84" ht="12" customHeight="1">
      <c r="BE703" s="463"/>
      <c r="BF703" s="463"/>
      <c r="BG703" s="463"/>
      <c r="BH703" s="463"/>
      <c r="BI703" s="463"/>
      <c r="BJ703" s="463"/>
      <c r="BK703" s="463"/>
      <c r="BL703" s="463"/>
    </row>
    <row r="704" spans="57:84" ht="12" customHeight="1">
      <c r="BE704" s="463"/>
      <c r="BF704" s="463"/>
      <c r="BL704" s="463"/>
    </row>
    <row r="705" spans="57:71" ht="12" customHeight="1">
      <c r="BE705" s="463"/>
    </row>
    <row r="706" spans="57:71" ht="12" customHeight="1">
      <c r="BE706" s="463"/>
      <c r="BF706" s="463"/>
      <c r="BL706" s="463"/>
    </row>
    <row r="707" spans="57:71" ht="12" customHeight="1">
      <c r="BE707" s="463"/>
      <c r="BS707" s="639"/>
    </row>
    <row r="708" spans="57:71" ht="12" customHeight="1">
      <c r="BE708" s="463"/>
    </row>
    <row r="709" spans="57:71" ht="12" customHeight="1">
      <c r="BE709" s="463"/>
    </row>
    <row r="710" spans="57:71" ht="12" customHeight="1">
      <c r="BE710" s="463"/>
    </row>
    <row r="711" spans="57:71" ht="12" customHeight="1">
      <c r="BG711" s="414"/>
      <c r="BH711" s="414"/>
      <c r="BI711" s="414"/>
      <c r="BJ711" s="414"/>
      <c r="BK711" s="414"/>
    </row>
    <row r="712" spans="57:71" ht="12" customHeight="1">
      <c r="BE712" s="463"/>
      <c r="BG712" s="439"/>
      <c r="BH712" s="439"/>
      <c r="BI712" s="439"/>
      <c r="BJ712" s="439"/>
      <c r="BK712" s="439"/>
    </row>
    <row r="713" spans="57:71" ht="12" customHeight="1">
      <c r="BG713" s="463"/>
      <c r="BH713" s="463"/>
      <c r="BI713" s="463"/>
      <c r="BJ713" s="463"/>
      <c r="BK713" s="463"/>
    </row>
    <row r="714" spans="57:71" ht="12" customHeight="1">
      <c r="BF714" s="414"/>
      <c r="BG714" s="463"/>
      <c r="BH714" s="463"/>
      <c r="BI714" s="463"/>
      <c r="BJ714" s="463"/>
      <c r="BK714" s="463"/>
      <c r="BL714" s="414"/>
    </row>
    <row r="715" spans="57:71" ht="12" customHeight="1">
      <c r="BF715" s="439"/>
      <c r="BG715" s="463"/>
      <c r="BH715" s="463"/>
      <c r="BI715" s="463"/>
      <c r="BJ715" s="463"/>
      <c r="BK715" s="463"/>
      <c r="BL715" s="439"/>
    </row>
    <row r="716" spans="57:71" ht="12" customHeight="1">
      <c r="BF716" s="463"/>
      <c r="BG716" s="463"/>
      <c r="BH716" s="463"/>
      <c r="BI716" s="463"/>
      <c r="BJ716" s="463"/>
      <c r="BK716" s="463"/>
      <c r="BL716" s="463"/>
    </row>
    <row r="717" spans="57:71" ht="12" customHeight="1">
      <c r="BF717" s="463"/>
      <c r="BG717" s="463"/>
      <c r="BH717" s="463"/>
      <c r="BI717" s="463"/>
      <c r="BJ717" s="463"/>
      <c r="BK717" s="463"/>
      <c r="BL717" s="463"/>
    </row>
    <row r="718" spans="57:71" ht="12" customHeight="1">
      <c r="BF718" s="463"/>
      <c r="BG718" s="463"/>
      <c r="BH718" s="463"/>
      <c r="BI718" s="463"/>
      <c r="BJ718" s="463"/>
      <c r="BK718" s="463"/>
      <c r="BL718" s="463"/>
    </row>
    <row r="719" spans="57:71" ht="12" customHeight="1">
      <c r="BF719" s="463"/>
      <c r="BG719" s="463"/>
      <c r="BH719" s="463"/>
      <c r="BI719" s="463"/>
      <c r="BJ719" s="463"/>
      <c r="BK719" s="463"/>
      <c r="BL719" s="463"/>
    </row>
    <row r="720" spans="57:71" ht="12" customHeight="1">
      <c r="BE720" s="414"/>
      <c r="BF720" s="463"/>
      <c r="BG720" s="463"/>
      <c r="BH720" s="463"/>
      <c r="BI720" s="463"/>
      <c r="BJ720" s="463"/>
      <c r="BK720" s="463"/>
      <c r="BL720" s="463"/>
    </row>
    <row r="721" spans="57:72" ht="12" customHeight="1">
      <c r="BE721" s="439"/>
      <c r="BF721" s="463"/>
      <c r="BG721" s="463"/>
      <c r="BH721" s="463"/>
      <c r="BI721" s="463"/>
      <c r="BJ721" s="463"/>
      <c r="BK721" s="463"/>
      <c r="BL721" s="463"/>
    </row>
    <row r="722" spans="57:72" ht="12" customHeight="1">
      <c r="BE722" s="463"/>
      <c r="BF722" s="463"/>
      <c r="BG722" s="463"/>
      <c r="BH722" s="463"/>
      <c r="BI722" s="463"/>
      <c r="BJ722" s="463"/>
      <c r="BK722" s="463"/>
      <c r="BL722" s="463"/>
    </row>
    <row r="723" spans="57:72" ht="12" customHeight="1">
      <c r="BE723" s="463"/>
      <c r="BF723" s="463"/>
      <c r="BG723" s="463"/>
      <c r="BH723" s="463"/>
      <c r="BI723" s="463"/>
      <c r="BJ723" s="463"/>
      <c r="BK723" s="463"/>
      <c r="BL723" s="463"/>
    </row>
    <row r="724" spans="57:72" ht="12" customHeight="1">
      <c r="BE724" s="463"/>
      <c r="BF724" s="463"/>
      <c r="BG724" s="463"/>
      <c r="BH724" s="463"/>
      <c r="BI724" s="463"/>
      <c r="BJ724" s="463"/>
      <c r="BK724" s="463"/>
      <c r="BL724" s="463"/>
    </row>
    <row r="725" spans="57:72" ht="12" customHeight="1">
      <c r="BE725" s="463"/>
      <c r="BF725" s="463"/>
      <c r="BG725" s="463"/>
      <c r="BH725" s="463"/>
      <c r="BI725" s="463"/>
      <c r="BJ725" s="463"/>
      <c r="BK725" s="463"/>
      <c r="BL725" s="463"/>
    </row>
    <row r="726" spans="57:72" ht="12" customHeight="1">
      <c r="BE726" s="463"/>
      <c r="BF726" s="463"/>
      <c r="BG726" s="463"/>
      <c r="BH726" s="463"/>
      <c r="BI726" s="463"/>
      <c r="BJ726" s="463"/>
      <c r="BK726" s="463"/>
      <c r="BL726" s="463"/>
    </row>
    <row r="727" spans="57:72" ht="12" customHeight="1">
      <c r="BE727" s="463"/>
      <c r="BF727" s="463"/>
      <c r="BG727" s="463"/>
      <c r="BH727" s="463"/>
      <c r="BI727" s="463"/>
      <c r="BJ727" s="463"/>
      <c r="BK727" s="463"/>
      <c r="BL727" s="463"/>
    </row>
    <row r="728" spans="57:72" ht="12" customHeight="1">
      <c r="BE728" s="463"/>
      <c r="BF728" s="463"/>
      <c r="BG728" s="463"/>
      <c r="BH728" s="463"/>
      <c r="BI728" s="463"/>
      <c r="BJ728" s="463"/>
      <c r="BK728" s="463"/>
      <c r="BL728" s="463"/>
    </row>
    <row r="729" spans="57:72" ht="12" customHeight="1">
      <c r="BE729" s="463"/>
      <c r="BF729" s="463"/>
      <c r="BG729" s="463"/>
      <c r="BH729" s="463"/>
      <c r="BI729" s="463"/>
      <c r="BJ729" s="463"/>
      <c r="BK729" s="463"/>
      <c r="BL729" s="463"/>
    </row>
    <row r="730" spans="57:72" ht="12" customHeight="1">
      <c r="BE730" s="463"/>
      <c r="BF730" s="463"/>
      <c r="BG730" s="463"/>
      <c r="BH730" s="463"/>
      <c r="BI730" s="463"/>
      <c r="BJ730" s="463"/>
      <c r="BK730" s="463"/>
      <c r="BL730" s="463"/>
    </row>
    <row r="731" spans="57:72" ht="12" customHeight="1">
      <c r="BE731" s="463"/>
      <c r="BF731" s="463"/>
      <c r="BG731" s="463"/>
      <c r="BH731" s="463"/>
      <c r="BI731" s="463"/>
      <c r="BJ731" s="463"/>
      <c r="BK731" s="463"/>
      <c r="BL731" s="463"/>
      <c r="BT731" s="639"/>
    </row>
    <row r="732" spans="57:72" ht="12" customHeight="1">
      <c r="BE732" s="463"/>
      <c r="BF732" s="463"/>
      <c r="BG732" s="463"/>
      <c r="BH732" s="463"/>
      <c r="BI732" s="463"/>
      <c r="BJ732" s="463"/>
      <c r="BK732" s="463"/>
      <c r="BL732" s="463"/>
    </row>
    <row r="733" spans="57:72" ht="12" customHeight="1">
      <c r="BE733" s="463"/>
      <c r="BF733" s="463"/>
      <c r="BG733" s="463"/>
      <c r="BH733" s="463"/>
      <c r="BI733" s="463"/>
      <c r="BJ733" s="463"/>
      <c r="BK733" s="463"/>
      <c r="BL733" s="463"/>
    </row>
    <row r="734" spans="57:72" ht="12" customHeight="1">
      <c r="BE734" s="463"/>
      <c r="BF734" s="463"/>
      <c r="BG734" s="463"/>
      <c r="BH734" s="463"/>
      <c r="BI734" s="463"/>
      <c r="BJ734" s="463"/>
      <c r="BK734" s="463"/>
      <c r="BL734" s="463"/>
    </row>
    <row r="735" spans="57:72" ht="12" customHeight="1">
      <c r="BE735" s="463"/>
      <c r="BF735" s="463"/>
      <c r="BG735" s="463"/>
      <c r="BH735" s="463"/>
      <c r="BI735" s="463"/>
      <c r="BJ735" s="463"/>
      <c r="BK735" s="463"/>
      <c r="BL735" s="463"/>
    </row>
    <row r="736" spans="57:72" ht="12" customHeight="1">
      <c r="BE736" s="463"/>
      <c r="BF736" s="463"/>
      <c r="BG736" s="463"/>
      <c r="BH736" s="463"/>
      <c r="BI736" s="463"/>
      <c r="BJ736" s="463"/>
      <c r="BK736" s="463"/>
      <c r="BL736" s="463"/>
    </row>
    <row r="737" spans="57:83" ht="12" customHeight="1">
      <c r="BE737" s="463"/>
      <c r="BF737" s="463"/>
      <c r="BG737" s="463"/>
      <c r="BH737" s="463"/>
      <c r="BI737" s="463"/>
      <c r="BJ737" s="463"/>
      <c r="BK737" s="463"/>
      <c r="BL737" s="463"/>
    </row>
    <row r="738" spans="57:83" ht="12" customHeight="1">
      <c r="BE738" s="463"/>
      <c r="BF738" s="463"/>
      <c r="BL738" s="463"/>
      <c r="BU738" s="639"/>
      <c r="BV738" s="639"/>
      <c r="BW738" s="639"/>
      <c r="BX738" s="639"/>
      <c r="BY738" s="639"/>
      <c r="BZ738" s="639"/>
      <c r="CA738" s="639"/>
      <c r="CB738" s="639"/>
      <c r="CC738" s="639"/>
      <c r="CD738" s="639"/>
      <c r="CE738" s="639"/>
    </row>
    <row r="739" spans="57:83" ht="12" customHeight="1">
      <c r="BE739" s="463"/>
      <c r="BF739" s="463"/>
      <c r="BG739" s="463"/>
      <c r="BH739" s="463"/>
      <c r="BI739" s="463"/>
      <c r="BJ739" s="463"/>
      <c r="BK739" s="463"/>
      <c r="BL739" s="463"/>
    </row>
    <row r="740" spans="57:83" ht="12" customHeight="1">
      <c r="BE740" s="463"/>
      <c r="BF740" s="463"/>
      <c r="BL740" s="463"/>
    </row>
    <row r="741" spans="57:83" ht="12" customHeight="1">
      <c r="BE741" s="463"/>
    </row>
    <row r="743" spans="57:83" ht="12" customHeight="1">
      <c r="BE743" s="463"/>
    </row>
    <row r="746" spans="57:83" ht="12" customHeight="1">
      <c r="BE746" s="463"/>
    </row>
    <row r="748" spans="57:83" ht="12" customHeight="1">
      <c r="BE748" s="463"/>
    </row>
  </sheetData>
  <mergeCells count="73">
    <mergeCell ref="P55:W55"/>
    <mergeCell ref="P56:W56"/>
    <mergeCell ref="P57:W57"/>
    <mergeCell ref="P58:W58"/>
    <mergeCell ref="P59:W59"/>
    <mergeCell ref="BU1:CE1"/>
    <mergeCell ref="Z2:AA2"/>
    <mergeCell ref="AB2:AC2"/>
    <mergeCell ref="AD2:AE2"/>
    <mergeCell ref="AF2:AG2"/>
    <mergeCell ref="AH2:AI2"/>
    <mergeCell ref="AM2:AP2"/>
    <mergeCell ref="AT2:AW2"/>
    <mergeCell ref="BA2:BD2"/>
    <mergeCell ref="BH2:BK2"/>
    <mergeCell ref="BO2:BR2"/>
    <mergeCell ref="BV2:CA3"/>
    <mergeCell ref="DC2:DD2"/>
    <mergeCell ref="DE2:DF2"/>
    <mergeCell ref="CB3:CD3"/>
    <mergeCell ref="CY13:CZ13"/>
    <mergeCell ref="DA13:DB13"/>
    <mergeCell ref="DC13:DD13"/>
    <mergeCell ref="CB2:CD2"/>
    <mergeCell ref="CE2:CE5"/>
    <mergeCell ref="CY2:CZ2"/>
    <mergeCell ref="DA2:DB2"/>
    <mergeCell ref="Z14:AA14"/>
    <mergeCell ref="AB14:AC14"/>
    <mergeCell ref="AD14:AE14"/>
    <mergeCell ref="AF14:AG14"/>
    <mergeCell ref="AH14:AI14"/>
    <mergeCell ref="DA24:DB24"/>
    <mergeCell ref="BH29:BK29"/>
    <mergeCell ref="AM30:AP30"/>
    <mergeCell ref="BU30:CE30"/>
    <mergeCell ref="BV31:CA32"/>
    <mergeCell ref="CB31:CD31"/>
    <mergeCell ref="CE31:CE34"/>
    <mergeCell ref="CB32:CD32"/>
    <mergeCell ref="CY24:CZ24"/>
    <mergeCell ref="Z42:AA42"/>
    <mergeCell ref="AB42:AC42"/>
    <mergeCell ref="BO41:BR41"/>
    <mergeCell ref="BH82:BK82"/>
    <mergeCell ref="BH57:BK57"/>
    <mergeCell ref="AT41:AW41"/>
    <mergeCell ref="BU60:CE60"/>
    <mergeCell ref="AM59:AP59"/>
    <mergeCell ref="BV61:CA62"/>
    <mergeCell ref="CB61:CD61"/>
    <mergeCell ref="CE61:CE64"/>
    <mergeCell ref="CB62:CD62"/>
    <mergeCell ref="CY78:CZ78"/>
    <mergeCell ref="DA78:DB78"/>
    <mergeCell ref="DC78:DD78"/>
    <mergeCell ref="AT80:AW80"/>
    <mergeCell ref="BO80:BR80"/>
    <mergeCell ref="BH85:BK85"/>
    <mergeCell ref="AM86:AP86"/>
    <mergeCell ref="BU90:BX90"/>
    <mergeCell ref="BU91:BX91"/>
    <mergeCell ref="AM113:AP113"/>
    <mergeCell ref="CY117:DC117"/>
    <mergeCell ref="BO118:BR118"/>
    <mergeCell ref="AT122:AW122"/>
    <mergeCell ref="CY146:DC146"/>
    <mergeCell ref="BH373:BK373"/>
    <mergeCell ref="BO200:BR200"/>
    <mergeCell ref="BA248:BD248"/>
    <mergeCell ref="BO281:BR281"/>
    <mergeCell ref="BA289:BC289"/>
    <mergeCell ref="BO159:BR159"/>
  </mergeCells>
  <pageMargins left="1" right="0.75" top="1" bottom="1" header="0.5" footer="0.5"/>
  <pageSetup paperSize="5" orientation="landscape" r:id="rId1"/>
  <headerFooter alignWithMargins="0"/>
  <ignoredErrors>
    <ignoredError sqref="I16:I25" numberStoredAsText="1"/>
    <ignoredError sqref="BS244:BT245 DN9:DR9 EB5:EC22 EB31:EC49"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BB02-6C5E-4D63-8228-9B30261F014A}">
  <sheetPr>
    <tabColor rgb="FFFFFF00"/>
  </sheetPr>
  <dimension ref="A1:BL269"/>
  <sheetViews>
    <sheetView showGridLines="0" topLeftCell="AR58" zoomScale="90" zoomScaleNormal="90" workbookViewId="0">
      <selection activeCell="BM45" sqref="BM45"/>
    </sheetView>
  </sheetViews>
  <sheetFormatPr defaultRowHeight="15"/>
  <cols>
    <col min="1" max="1" width="19.85546875" customWidth="1"/>
    <col min="2" max="8" width="9.7109375" customWidth="1"/>
    <col min="10" max="10" width="7" customWidth="1"/>
    <col min="11" max="11" width="48.7109375" customWidth="1"/>
    <col min="12" max="12" width="13.140625" customWidth="1"/>
    <col min="13" max="13" width="22.42578125" customWidth="1"/>
    <col min="14" max="14" width="14" customWidth="1"/>
    <col min="15" max="15" width="16" customWidth="1"/>
    <col min="17" max="17" width="45.85546875" customWidth="1"/>
    <col min="18" max="18" width="12.85546875" customWidth="1"/>
    <col min="19" max="19" width="19.5703125" customWidth="1"/>
    <col min="21" max="21" width="11.140625" customWidth="1"/>
    <col min="22" max="22" width="15.7109375" customWidth="1"/>
    <col min="24" max="24" width="50.5703125" customWidth="1"/>
    <col min="25" max="25" width="12.85546875" customWidth="1"/>
    <col min="26" max="26" width="20.42578125" customWidth="1"/>
    <col min="27" max="27" width="15.5703125" customWidth="1"/>
    <col min="28" max="28" width="13.140625" customWidth="1"/>
    <col min="30" max="30" width="48.28515625" customWidth="1"/>
    <col min="31" max="31" width="9.85546875" customWidth="1"/>
    <col min="32" max="32" width="7.5703125" customWidth="1"/>
    <col min="33" max="39" width="10.7109375" customWidth="1"/>
    <col min="40" max="40" width="16.28515625" customWidth="1"/>
    <col min="41" max="41" width="17.28515625" customWidth="1"/>
    <col min="43" max="43" width="43.85546875" customWidth="1"/>
    <col min="45" max="45" width="7.5703125" customWidth="1"/>
    <col min="46" max="46" width="14.140625" customWidth="1"/>
    <col min="49" max="49" width="12.140625" customWidth="1"/>
    <col min="52" max="52" width="10.7109375" customWidth="1"/>
    <col min="53" max="53" width="12.7109375" customWidth="1"/>
    <col min="54" max="54" width="13.5703125" customWidth="1"/>
    <col min="55" max="55" width="37.5703125" customWidth="1"/>
    <col min="56" max="56" width="11.140625" customWidth="1"/>
    <col min="57" max="57" width="9.85546875" customWidth="1"/>
    <col min="58" max="58" width="15.7109375" customWidth="1"/>
    <col min="59" max="59" width="13.28515625" customWidth="1"/>
    <col min="60" max="60" width="39.140625" customWidth="1"/>
    <col min="61" max="61" width="11.42578125" customWidth="1"/>
    <col min="62" max="62" width="9.85546875" customWidth="1"/>
  </cols>
  <sheetData>
    <row r="1" spans="1:64" ht="12" customHeight="1">
      <c r="A1" s="1" t="s">
        <v>1614</v>
      </c>
      <c r="B1" s="2"/>
      <c r="C1" s="2"/>
      <c r="D1" s="2"/>
      <c r="E1" s="2"/>
      <c r="F1" s="2"/>
      <c r="G1" s="2"/>
      <c r="H1" s="2"/>
      <c r="J1" s="1" t="s">
        <v>134</v>
      </c>
      <c r="K1" s="3"/>
      <c r="L1" s="3"/>
      <c r="M1" s="3"/>
      <c r="N1" s="2"/>
      <c r="P1" s="1" t="s">
        <v>243</v>
      </c>
      <c r="Q1" s="3"/>
      <c r="R1" s="3"/>
      <c r="S1" s="3"/>
      <c r="T1" s="2"/>
      <c r="W1" s="1" t="s">
        <v>351</v>
      </c>
      <c r="X1" s="3"/>
      <c r="Y1" s="3"/>
      <c r="Z1" s="3"/>
      <c r="AA1" s="3"/>
      <c r="AC1" s="71" t="s">
        <v>384</v>
      </c>
      <c r="AD1" s="72"/>
      <c r="AE1" s="72"/>
      <c r="AF1" s="72"/>
      <c r="AG1" s="72"/>
      <c r="AH1" s="72"/>
      <c r="AI1" s="72"/>
      <c r="AJ1" s="72"/>
      <c r="AK1" s="72"/>
      <c r="AL1" s="72"/>
      <c r="AM1" s="72"/>
      <c r="AN1" s="72"/>
      <c r="AP1" s="1" t="s">
        <v>417</v>
      </c>
      <c r="AQ1" s="2"/>
      <c r="AR1" s="2"/>
      <c r="AS1" s="2"/>
      <c r="AT1" s="2"/>
      <c r="AU1" s="2"/>
      <c r="AV1" s="2"/>
      <c r="AW1" s="2"/>
      <c r="AX1" s="2"/>
      <c r="AY1" s="2"/>
      <c r="AZ1" s="2"/>
      <c r="BC1" s="1" t="s">
        <v>460</v>
      </c>
      <c r="BD1" s="2"/>
      <c r="BE1" s="2"/>
      <c r="BF1" s="2"/>
      <c r="BH1" s="1" t="s">
        <v>490</v>
      </c>
      <c r="BI1" s="2"/>
      <c r="BJ1" s="2"/>
      <c r="BK1" s="2"/>
    </row>
    <row r="2" spans="1:64" ht="12" customHeight="1">
      <c r="A2" s="10" t="s">
        <v>127</v>
      </c>
      <c r="J2" s="1" t="s">
        <v>127</v>
      </c>
      <c r="K2" s="3"/>
      <c r="L2" s="3"/>
      <c r="M2" s="3"/>
      <c r="N2" s="2"/>
      <c r="P2" s="1" t="s">
        <v>127</v>
      </c>
      <c r="Q2" s="3"/>
      <c r="R2" s="3"/>
      <c r="S2" s="3"/>
      <c r="T2" s="2"/>
      <c r="W2" s="1" t="s">
        <v>127</v>
      </c>
      <c r="X2" s="3"/>
      <c r="Y2" s="3"/>
      <c r="Z2" s="3"/>
      <c r="AA2" s="3"/>
      <c r="AC2" s="71" t="s">
        <v>127</v>
      </c>
      <c r="AD2" s="72"/>
      <c r="AE2" s="72"/>
      <c r="AF2" s="72"/>
      <c r="AG2" s="72"/>
      <c r="AH2" s="72"/>
      <c r="AI2" s="72"/>
      <c r="AJ2" s="72"/>
      <c r="AK2" s="72"/>
      <c r="AL2" s="72"/>
      <c r="AM2" s="72"/>
      <c r="AN2" s="72"/>
      <c r="AP2" s="1" t="s">
        <v>127</v>
      </c>
      <c r="AQ2" s="2"/>
      <c r="AR2" s="2"/>
      <c r="AS2" s="2"/>
      <c r="AT2" s="2"/>
      <c r="AU2" s="2"/>
      <c r="AV2" s="2"/>
      <c r="AW2" s="2"/>
      <c r="AX2" s="2"/>
      <c r="AY2" s="2"/>
      <c r="AZ2" s="2"/>
      <c r="BC2" s="2" t="s">
        <v>127</v>
      </c>
      <c r="BD2" s="2"/>
      <c r="BE2" s="2"/>
      <c r="BF2" s="2"/>
      <c r="BH2" s="2" t="s">
        <v>127</v>
      </c>
      <c r="BI2" s="2"/>
      <c r="BJ2" s="2"/>
      <c r="BK2" s="2"/>
      <c r="BL2" s="2"/>
    </row>
    <row r="3" spans="1:64" ht="12" customHeight="1">
      <c r="B3" s="66">
        <v>2023</v>
      </c>
      <c r="C3" s="26">
        <v>2022</v>
      </c>
      <c r="D3" s="26">
        <v>2021</v>
      </c>
      <c r="E3" s="26">
        <v>2020</v>
      </c>
      <c r="F3" s="2042">
        <v>2019</v>
      </c>
      <c r="G3" s="2043"/>
      <c r="H3" s="21"/>
      <c r="J3" s="2115" t="s">
        <v>135</v>
      </c>
      <c r="K3" s="2305" t="s">
        <v>136</v>
      </c>
      <c r="L3" s="2270" t="s">
        <v>242</v>
      </c>
      <c r="M3" s="33" t="s">
        <v>3</v>
      </c>
      <c r="N3" s="2"/>
      <c r="P3" s="2113" t="s">
        <v>135</v>
      </c>
      <c r="Q3" s="2305" t="s">
        <v>136</v>
      </c>
      <c r="R3" s="2270" t="s">
        <v>242</v>
      </c>
      <c r="S3" s="12" t="s">
        <v>34</v>
      </c>
      <c r="T3" s="2"/>
      <c r="W3" s="2113" t="s">
        <v>135</v>
      </c>
      <c r="X3" s="2305" t="s">
        <v>136</v>
      </c>
      <c r="Y3" s="2270" t="s">
        <v>383</v>
      </c>
      <c r="Z3" s="27" t="s">
        <v>35</v>
      </c>
      <c r="AA3" s="2"/>
      <c r="AC3" s="2309" t="s">
        <v>135</v>
      </c>
      <c r="AD3" s="2311" t="s">
        <v>387</v>
      </c>
      <c r="AE3" s="2295" t="s">
        <v>454</v>
      </c>
      <c r="AF3" s="2297" t="s">
        <v>453</v>
      </c>
      <c r="AG3" s="2307" t="s">
        <v>386</v>
      </c>
      <c r="AH3" s="2307"/>
      <c r="AI3" s="2307"/>
      <c r="AJ3" s="2307"/>
      <c r="AK3" s="2307"/>
      <c r="AL3" s="2307"/>
      <c r="AM3" s="2308"/>
      <c r="AN3" s="78"/>
      <c r="AP3" s="2113" t="s">
        <v>135</v>
      </c>
      <c r="AQ3" s="2305" t="s">
        <v>387</v>
      </c>
      <c r="AR3" s="2301" t="s">
        <v>451</v>
      </c>
      <c r="AS3" s="2303" t="s">
        <v>453</v>
      </c>
      <c r="AT3" s="2047" t="s">
        <v>386</v>
      </c>
      <c r="AU3" s="2047"/>
      <c r="AV3" s="2047"/>
      <c r="AW3" s="2047"/>
      <c r="AX3" s="2047"/>
      <c r="AY3" s="2047"/>
      <c r="AZ3" s="2042"/>
      <c r="BC3" s="110"/>
      <c r="BD3" s="99">
        <v>45739</v>
      </c>
      <c r="BE3" s="109" t="s">
        <v>385</v>
      </c>
      <c r="BF3" s="3"/>
      <c r="BH3" s="108"/>
      <c r="BI3" s="98">
        <v>45950</v>
      </c>
      <c r="BJ3" s="107" t="s">
        <v>385</v>
      </c>
      <c r="BK3" s="2"/>
      <c r="BL3" s="2"/>
    </row>
    <row r="4" spans="1:64" ht="12.75" customHeight="1">
      <c r="A4" s="242" t="s">
        <v>128</v>
      </c>
      <c r="B4" s="48">
        <v>45739</v>
      </c>
      <c r="C4" s="49">
        <v>45738</v>
      </c>
      <c r="D4" s="49">
        <v>46012</v>
      </c>
      <c r="E4" s="49">
        <v>45950</v>
      </c>
      <c r="F4" s="49">
        <v>45980</v>
      </c>
      <c r="G4" s="241">
        <v>45676</v>
      </c>
      <c r="H4" s="1925"/>
      <c r="J4" s="2116"/>
      <c r="K4" s="2306"/>
      <c r="L4" s="2268"/>
      <c r="M4" s="50">
        <v>45739</v>
      </c>
      <c r="N4" s="2"/>
      <c r="P4" s="2114"/>
      <c r="Q4" s="2306"/>
      <c r="R4" s="2268"/>
      <c r="S4" s="50">
        <v>45738</v>
      </c>
      <c r="T4" s="2"/>
      <c r="W4" s="2114"/>
      <c r="X4" s="2306"/>
      <c r="Y4" s="2268"/>
      <c r="Z4" s="50">
        <v>46012</v>
      </c>
      <c r="AA4" s="3"/>
      <c r="AC4" s="2310"/>
      <c r="AD4" s="2312"/>
      <c r="AE4" s="2296"/>
      <c r="AF4" s="2298"/>
      <c r="AG4" s="73" t="s">
        <v>388</v>
      </c>
      <c r="AH4" s="73" t="s">
        <v>389</v>
      </c>
      <c r="AI4" s="73" t="s">
        <v>390</v>
      </c>
      <c r="AJ4" s="73" t="s">
        <v>391</v>
      </c>
      <c r="AK4" s="73" t="s">
        <v>392</v>
      </c>
      <c r="AL4" s="73" t="s">
        <v>393</v>
      </c>
      <c r="AM4" s="86" t="s">
        <v>394</v>
      </c>
      <c r="AN4" s="1926"/>
      <c r="AP4" s="2114"/>
      <c r="AQ4" s="2306"/>
      <c r="AR4" s="2302"/>
      <c r="AS4" s="2304"/>
      <c r="AT4" s="26" t="s">
        <v>388</v>
      </c>
      <c r="AU4" s="26" t="s">
        <v>392</v>
      </c>
      <c r="AV4" s="26" t="s">
        <v>390</v>
      </c>
      <c r="AW4" s="26" t="s">
        <v>418</v>
      </c>
      <c r="AX4" s="26" t="s">
        <v>398</v>
      </c>
      <c r="AY4" s="26" t="s">
        <v>399</v>
      </c>
      <c r="AZ4" s="27" t="s">
        <v>394</v>
      </c>
      <c r="BC4" s="111" t="s">
        <v>386</v>
      </c>
      <c r="BD4" s="100" t="s">
        <v>461</v>
      </c>
      <c r="BE4" s="106" t="s">
        <v>129</v>
      </c>
      <c r="BF4" s="3"/>
      <c r="BH4" s="23" t="s">
        <v>386</v>
      </c>
      <c r="BI4" s="97" t="s">
        <v>461</v>
      </c>
      <c r="BJ4" s="29" t="s">
        <v>129</v>
      </c>
      <c r="BK4" s="2"/>
      <c r="BL4" s="2"/>
    </row>
    <row r="5" spans="1:64" ht="12.95" customHeight="1">
      <c r="A5" s="3" t="s">
        <v>129</v>
      </c>
      <c r="B5" s="53">
        <v>79225</v>
      </c>
      <c r="C5" s="53">
        <v>52423</v>
      </c>
      <c r="D5" s="53">
        <v>52404</v>
      </c>
      <c r="E5" s="53">
        <v>41978</v>
      </c>
      <c r="F5" s="53">
        <v>36365</v>
      </c>
      <c r="G5" s="53">
        <v>34133</v>
      </c>
      <c r="H5" s="53"/>
      <c r="J5" s="2"/>
      <c r="K5" s="2" t="s">
        <v>129</v>
      </c>
      <c r="L5" s="47">
        <v>950700</v>
      </c>
      <c r="M5" s="47">
        <v>79225</v>
      </c>
      <c r="N5" s="2"/>
      <c r="P5" s="8"/>
      <c r="Q5" s="8" t="s">
        <v>129</v>
      </c>
      <c r="R5" s="57">
        <v>629076</v>
      </c>
      <c r="S5" s="57">
        <v>52423</v>
      </c>
      <c r="T5" s="2"/>
      <c r="W5" s="3"/>
      <c r="X5" s="3" t="s">
        <v>129</v>
      </c>
      <c r="Y5" s="47">
        <v>616848</v>
      </c>
      <c r="Z5" s="47">
        <v>51404</v>
      </c>
      <c r="AA5" s="2"/>
      <c r="AC5" s="74"/>
      <c r="AD5" s="74" t="s">
        <v>129</v>
      </c>
      <c r="AE5" s="75">
        <v>79225</v>
      </c>
      <c r="AF5" s="140">
        <v>100</v>
      </c>
      <c r="AG5" s="75">
        <v>54850</v>
      </c>
      <c r="AH5" s="75">
        <v>3731</v>
      </c>
      <c r="AI5" s="75">
        <v>3651</v>
      </c>
      <c r="AJ5" s="75">
        <v>3518</v>
      </c>
      <c r="AK5" s="75">
        <v>2561</v>
      </c>
      <c r="AL5" s="75">
        <v>2244</v>
      </c>
      <c r="AM5" s="75">
        <v>8669</v>
      </c>
      <c r="AN5" s="75"/>
      <c r="AP5" s="21"/>
      <c r="AQ5" s="3" t="s">
        <v>129</v>
      </c>
      <c r="AR5" s="53">
        <v>41978</v>
      </c>
      <c r="AS5" s="87">
        <v>100</v>
      </c>
      <c r="AT5" s="53">
        <v>27155</v>
      </c>
      <c r="AU5" s="53">
        <v>6214</v>
      </c>
      <c r="AV5" s="53">
        <v>2518</v>
      </c>
      <c r="AW5" s="53">
        <v>1456</v>
      </c>
      <c r="AX5" s="53">
        <v>1339</v>
      </c>
      <c r="AY5" s="22">
        <v>982</v>
      </c>
      <c r="AZ5" s="53">
        <v>3158</v>
      </c>
      <c r="BC5" s="3" t="s">
        <v>129</v>
      </c>
      <c r="BD5" s="53">
        <v>79224</v>
      </c>
      <c r="BE5" s="87">
        <v>100</v>
      </c>
      <c r="BF5" s="3"/>
      <c r="BG5" s="3"/>
      <c r="BH5" s="3" t="s">
        <v>129</v>
      </c>
      <c r="BI5" s="53">
        <v>41978</v>
      </c>
      <c r="BJ5" s="87">
        <v>100</v>
      </c>
      <c r="BK5" s="2"/>
      <c r="BL5" s="2"/>
    </row>
    <row r="6" spans="1:64" ht="12.95" customHeight="1">
      <c r="A6" s="3" t="s">
        <v>130</v>
      </c>
      <c r="B6" s="53">
        <v>17498</v>
      </c>
      <c r="C6" s="53">
        <v>3704</v>
      </c>
      <c r="D6" s="53">
        <v>9227</v>
      </c>
      <c r="E6" s="53">
        <v>3487</v>
      </c>
      <c r="F6" s="53">
        <v>10400</v>
      </c>
      <c r="G6" s="53">
        <v>11682</v>
      </c>
      <c r="H6" s="53"/>
      <c r="J6" s="55"/>
      <c r="K6" s="20" t="s">
        <v>137</v>
      </c>
      <c r="L6" s="47">
        <v>212364</v>
      </c>
      <c r="M6" s="53">
        <v>17697</v>
      </c>
      <c r="N6" s="3"/>
      <c r="P6" s="2"/>
      <c r="Q6" s="20" t="s">
        <v>244</v>
      </c>
      <c r="R6" s="47">
        <v>211524</v>
      </c>
      <c r="S6" s="47">
        <v>17627</v>
      </c>
      <c r="T6" s="2"/>
      <c r="W6" s="3"/>
      <c r="X6" s="20" t="s">
        <v>352</v>
      </c>
      <c r="Y6" s="53">
        <v>164028</v>
      </c>
      <c r="Z6" s="53">
        <v>13669</v>
      </c>
      <c r="AA6" s="3"/>
      <c r="AC6" s="78">
        <v>8703</v>
      </c>
      <c r="AD6" s="72" t="s">
        <v>395</v>
      </c>
      <c r="AE6" s="77">
        <v>10956</v>
      </c>
      <c r="AF6" s="76">
        <v>13.8</v>
      </c>
      <c r="AG6" s="77">
        <v>8608</v>
      </c>
      <c r="AH6" s="72"/>
      <c r="AI6" s="77">
        <v>1260</v>
      </c>
      <c r="AJ6" s="72"/>
      <c r="AK6" s="77">
        <v>1088</v>
      </c>
      <c r="AL6" s="72"/>
      <c r="AM6" s="72"/>
      <c r="AN6" s="72"/>
      <c r="AP6" s="21">
        <v>8703</v>
      </c>
      <c r="AQ6" s="3" t="s">
        <v>293</v>
      </c>
      <c r="AR6" s="53">
        <v>3858</v>
      </c>
      <c r="AS6" s="22">
        <v>9.1999999999999993</v>
      </c>
      <c r="AT6" s="53">
        <v>1502</v>
      </c>
      <c r="AU6" s="53">
        <v>2019</v>
      </c>
      <c r="AV6" s="22">
        <v>337</v>
      </c>
      <c r="AW6" s="3"/>
      <c r="AX6" s="3"/>
      <c r="AY6" s="3"/>
      <c r="AZ6" s="3"/>
      <c r="BC6" s="3" t="s">
        <v>462</v>
      </c>
      <c r="BD6" s="53">
        <v>54850</v>
      </c>
      <c r="BE6" s="22">
        <v>69.2</v>
      </c>
      <c r="BF6" s="2"/>
      <c r="BG6" s="2"/>
      <c r="BH6" s="2" t="s">
        <v>462</v>
      </c>
      <c r="BI6" s="47">
        <v>26312</v>
      </c>
      <c r="BJ6" s="5">
        <v>62.7</v>
      </c>
      <c r="BK6" s="2"/>
      <c r="BL6" s="2"/>
    </row>
    <row r="7" spans="1:64" ht="12.95" customHeight="1">
      <c r="A7" s="23" t="s">
        <v>131</v>
      </c>
      <c r="B7" s="54">
        <v>61727</v>
      </c>
      <c r="C7" s="54">
        <v>48719</v>
      </c>
      <c r="D7" s="54">
        <v>43177</v>
      </c>
      <c r="E7" s="54">
        <v>38490</v>
      </c>
      <c r="F7" s="54">
        <v>25991</v>
      </c>
      <c r="G7" s="54">
        <v>22451</v>
      </c>
      <c r="H7" s="53"/>
      <c r="J7" s="56" t="s">
        <v>337</v>
      </c>
      <c r="K7" s="2" t="s">
        <v>138</v>
      </c>
      <c r="L7" s="47">
        <v>21024</v>
      </c>
      <c r="M7" s="53">
        <v>1752</v>
      </c>
      <c r="N7" s="3"/>
      <c r="P7" s="56" t="s">
        <v>337</v>
      </c>
      <c r="Q7" s="2" t="s">
        <v>245</v>
      </c>
      <c r="R7" s="47">
        <v>22128</v>
      </c>
      <c r="S7" s="53">
        <v>1844</v>
      </c>
      <c r="T7" s="2"/>
      <c r="W7" s="56" t="s">
        <v>337</v>
      </c>
      <c r="X7" s="3" t="s">
        <v>353</v>
      </c>
      <c r="Y7" s="53">
        <v>1464</v>
      </c>
      <c r="Z7" s="5">
        <v>122</v>
      </c>
      <c r="AA7" s="2"/>
      <c r="AC7" s="78">
        <v>3006</v>
      </c>
      <c r="AD7" s="72" t="s">
        <v>217</v>
      </c>
      <c r="AE7" s="77">
        <v>6830</v>
      </c>
      <c r="AF7" s="76">
        <v>8.6</v>
      </c>
      <c r="AG7" s="77">
        <v>6827</v>
      </c>
      <c r="AH7" s="72"/>
      <c r="AI7" s="76">
        <v>3</v>
      </c>
      <c r="AJ7" s="72"/>
      <c r="AK7" s="72"/>
      <c r="AL7" s="72"/>
      <c r="AM7" s="72"/>
      <c r="AN7" s="72"/>
      <c r="AP7" s="21">
        <v>8708</v>
      </c>
      <c r="AQ7" s="3" t="s">
        <v>295</v>
      </c>
      <c r="AR7" s="53">
        <v>2429</v>
      </c>
      <c r="AS7" s="22">
        <v>5.8</v>
      </c>
      <c r="AT7" s="53">
        <v>1081</v>
      </c>
      <c r="AU7" s="53">
        <v>1237</v>
      </c>
      <c r="AV7" s="22">
        <v>15</v>
      </c>
      <c r="AW7" s="3"/>
      <c r="AX7" s="22">
        <v>1</v>
      </c>
      <c r="AY7" s="22">
        <v>62</v>
      </c>
      <c r="AZ7" s="22">
        <v>33</v>
      </c>
      <c r="BC7" s="3" t="s">
        <v>389</v>
      </c>
      <c r="BD7" s="53">
        <v>3731</v>
      </c>
      <c r="BE7" s="22">
        <v>4.7</v>
      </c>
      <c r="BF7" s="3"/>
      <c r="BG7" s="3"/>
      <c r="BH7" s="2" t="s">
        <v>392</v>
      </c>
      <c r="BI7" s="47">
        <v>6212</v>
      </c>
      <c r="BJ7" s="5">
        <v>14.8</v>
      </c>
      <c r="BK7" s="2"/>
      <c r="BL7" s="2"/>
    </row>
    <row r="8" spans="1:64" ht="12.95" customHeight="1">
      <c r="A8" s="13" t="s">
        <v>132</v>
      </c>
      <c r="B8" s="2"/>
      <c r="C8" s="2"/>
      <c r="D8" s="2"/>
      <c r="E8" s="2"/>
      <c r="F8" s="2"/>
      <c r="G8" s="2"/>
      <c r="H8" s="2"/>
      <c r="J8" s="56" t="s">
        <v>338</v>
      </c>
      <c r="K8" s="2" t="s">
        <v>139</v>
      </c>
      <c r="L8" s="47">
        <v>6636</v>
      </c>
      <c r="M8" s="22">
        <v>553</v>
      </c>
      <c r="N8" s="3"/>
      <c r="P8" s="56" t="s">
        <v>338</v>
      </c>
      <c r="Q8" s="2" t="s">
        <v>246</v>
      </c>
      <c r="R8" s="47">
        <v>9288</v>
      </c>
      <c r="S8" s="22">
        <v>774</v>
      </c>
      <c r="T8" s="2"/>
      <c r="W8" s="56" t="s">
        <v>338</v>
      </c>
      <c r="X8" s="3" t="s">
        <v>246</v>
      </c>
      <c r="Y8" s="53">
        <v>4860</v>
      </c>
      <c r="Z8" s="5">
        <v>405</v>
      </c>
      <c r="AA8" s="2"/>
      <c r="AC8" s="78">
        <v>4206</v>
      </c>
      <c r="AD8" s="72" t="s">
        <v>187</v>
      </c>
      <c r="AE8" s="77">
        <v>4205</v>
      </c>
      <c r="AF8" s="76">
        <v>5.3</v>
      </c>
      <c r="AG8" s="76">
        <v>176</v>
      </c>
      <c r="AH8" s="76">
        <v>460</v>
      </c>
      <c r="AI8" s="76">
        <v>9</v>
      </c>
      <c r="AJ8" s="77">
        <v>3173</v>
      </c>
      <c r="AK8" s="76">
        <v>15</v>
      </c>
      <c r="AL8" s="76">
        <v>254</v>
      </c>
      <c r="AM8" s="76">
        <v>118</v>
      </c>
      <c r="AN8" s="76"/>
      <c r="AP8" s="21">
        <v>8516</v>
      </c>
      <c r="AQ8" s="3" t="s">
        <v>296</v>
      </c>
      <c r="AR8" s="53">
        <v>2310</v>
      </c>
      <c r="AS8" s="22">
        <v>5.5</v>
      </c>
      <c r="AT8" s="53">
        <v>1857</v>
      </c>
      <c r="AU8" s="22">
        <v>153</v>
      </c>
      <c r="AV8" s="22">
        <v>19</v>
      </c>
      <c r="AW8" s="3"/>
      <c r="AX8" s="22">
        <v>26</v>
      </c>
      <c r="AY8" s="22">
        <v>1</v>
      </c>
      <c r="AZ8" s="22">
        <v>254</v>
      </c>
      <c r="BC8" s="3" t="s">
        <v>463</v>
      </c>
      <c r="BD8" s="53">
        <v>3651</v>
      </c>
      <c r="BE8" s="22">
        <v>4.5999999999999996</v>
      </c>
      <c r="BF8" s="3"/>
      <c r="BG8" s="3"/>
      <c r="BH8" s="2" t="s">
        <v>463</v>
      </c>
      <c r="BI8" s="47">
        <v>2518</v>
      </c>
      <c r="BJ8" s="88">
        <v>6</v>
      </c>
      <c r="BK8" s="3"/>
      <c r="BL8" s="2"/>
    </row>
    <row r="9" spans="1:64" ht="12.95" customHeight="1">
      <c r="A9" s="14" t="s">
        <v>133</v>
      </c>
      <c r="B9" s="14"/>
      <c r="C9" s="14"/>
      <c r="D9" s="2"/>
      <c r="E9" s="2"/>
      <c r="F9" s="2"/>
      <c r="G9" s="2"/>
      <c r="H9" s="2"/>
      <c r="J9" s="56" t="s">
        <v>339</v>
      </c>
      <c r="K9" s="3" t="s">
        <v>140</v>
      </c>
      <c r="L9" s="47">
        <v>11232</v>
      </c>
      <c r="M9" s="5">
        <v>936</v>
      </c>
      <c r="N9" s="2"/>
      <c r="P9" s="56" t="s">
        <v>339</v>
      </c>
      <c r="Q9" s="2" t="s">
        <v>247</v>
      </c>
      <c r="R9" s="47">
        <v>12084</v>
      </c>
      <c r="S9" s="53">
        <v>1007</v>
      </c>
      <c r="T9" s="2"/>
      <c r="W9" s="56" t="s">
        <v>339</v>
      </c>
      <c r="X9" s="3" t="s">
        <v>247</v>
      </c>
      <c r="Y9" s="53">
        <v>9792</v>
      </c>
      <c r="Z9" s="5">
        <v>816</v>
      </c>
      <c r="AA9" s="2"/>
      <c r="AC9" s="78">
        <v>8704</v>
      </c>
      <c r="AD9" s="72" t="s">
        <v>193</v>
      </c>
      <c r="AE9" s="77">
        <v>3294</v>
      </c>
      <c r="AF9" s="76">
        <v>4.2</v>
      </c>
      <c r="AG9" s="77">
        <v>3022</v>
      </c>
      <c r="AH9" s="72"/>
      <c r="AI9" s="76">
        <v>272</v>
      </c>
      <c r="AJ9" s="72"/>
      <c r="AK9" s="72"/>
      <c r="AL9" s="72"/>
      <c r="AM9" s="72"/>
      <c r="AN9" s="72"/>
      <c r="AP9" s="21">
        <v>4421</v>
      </c>
      <c r="AQ9" s="3" t="s">
        <v>305</v>
      </c>
      <c r="AR9" s="53">
        <v>2128</v>
      </c>
      <c r="AS9" s="22">
        <v>5.0999999999999996</v>
      </c>
      <c r="AT9" s="53">
        <v>1505</v>
      </c>
      <c r="AU9" s="22">
        <v>8</v>
      </c>
      <c r="AV9" s="22">
        <v>2</v>
      </c>
      <c r="AW9" s="3"/>
      <c r="AX9" s="22">
        <v>133</v>
      </c>
      <c r="AY9" s="22">
        <v>1</v>
      </c>
      <c r="AZ9" s="22">
        <v>480</v>
      </c>
      <c r="BC9" s="3" t="s">
        <v>391</v>
      </c>
      <c r="BD9" s="53">
        <v>3518</v>
      </c>
      <c r="BE9" s="22">
        <v>4.4000000000000004</v>
      </c>
      <c r="BF9" s="3"/>
      <c r="BG9" s="2"/>
      <c r="BH9" s="2" t="s">
        <v>418</v>
      </c>
      <c r="BI9" s="47">
        <v>1456</v>
      </c>
      <c r="BJ9" s="5">
        <v>3.5</v>
      </c>
      <c r="BK9" s="2"/>
      <c r="BL9" s="2"/>
    </row>
    <row r="10" spans="1:64" ht="12.95" customHeight="1">
      <c r="J10" s="56" t="s">
        <v>340</v>
      </c>
      <c r="K10" s="2" t="s">
        <v>141</v>
      </c>
      <c r="L10" s="47">
        <v>13980</v>
      </c>
      <c r="M10" s="53">
        <v>1165</v>
      </c>
      <c r="N10" s="3"/>
      <c r="P10" s="56" t="s">
        <v>340</v>
      </c>
      <c r="Q10" s="2" t="s">
        <v>248</v>
      </c>
      <c r="R10" s="47">
        <v>7812</v>
      </c>
      <c r="S10" s="22">
        <v>651</v>
      </c>
      <c r="T10" s="2"/>
      <c r="W10" s="56" t="s">
        <v>340</v>
      </c>
      <c r="X10" s="3" t="s">
        <v>354</v>
      </c>
      <c r="Y10" s="53">
        <v>9324</v>
      </c>
      <c r="Z10" s="5">
        <v>777</v>
      </c>
      <c r="AA10" s="2"/>
      <c r="AC10" s="78">
        <v>8300</v>
      </c>
      <c r="AD10" s="72" t="s">
        <v>212</v>
      </c>
      <c r="AE10" s="77">
        <v>2888</v>
      </c>
      <c r="AF10" s="76">
        <v>3.6</v>
      </c>
      <c r="AG10" s="77">
        <v>2423</v>
      </c>
      <c r="AH10" s="76">
        <v>15</v>
      </c>
      <c r="AI10" s="72"/>
      <c r="AJ10" s="72"/>
      <c r="AK10" s="72"/>
      <c r="AL10" s="76">
        <v>2</v>
      </c>
      <c r="AM10" s="76">
        <v>448</v>
      </c>
      <c r="AN10" s="76"/>
      <c r="AP10" s="21">
        <v>7200</v>
      </c>
      <c r="AQ10" s="3" t="s">
        <v>409</v>
      </c>
      <c r="AR10" s="53">
        <v>1679</v>
      </c>
      <c r="AS10" s="87">
        <v>4</v>
      </c>
      <c r="AT10" s="22">
        <v>287</v>
      </c>
      <c r="AU10" s="22">
        <v>529</v>
      </c>
      <c r="AV10" s="22">
        <v>752</v>
      </c>
      <c r="AW10" s="3"/>
      <c r="AX10" s="3"/>
      <c r="AY10" s="22">
        <v>10</v>
      </c>
      <c r="AZ10" s="22">
        <v>101</v>
      </c>
      <c r="BC10" s="3" t="s">
        <v>392</v>
      </c>
      <c r="BD10" s="53">
        <v>2561</v>
      </c>
      <c r="BE10" s="22">
        <v>3.2</v>
      </c>
      <c r="BF10" s="3"/>
      <c r="BG10" s="2"/>
      <c r="BH10" s="2" t="s">
        <v>482</v>
      </c>
      <c r="BI10" s="47">
        <v>1341</v>
      </c>
      <c r="BJ10" s="5">
        <v>3.2</v>
      </c>
      <c r="BK10" s="2"/>
      <c r="BL10" s="2"/>
    </row>
    <row r="11" spans="1:64" ht="12.95" customHeight="1">
      <c r="J11" s="56" t="s">
        <v>341</v>
      </c>
      <c r="K11" s="2" t="s">
        <v>142</v>
      </c>
      <c r="L11" s="5">
        <v>60</v>
      </c>
      <c r="M11" s="22">
        <v>5</v>
      </c>
      <c r="N11" s="3"/>
      <c r="P11" s="56" t="s">
        <v>341</v>
      </c>
      <c r="Q11" s="2" t="s">
        <v>249</v>
      </c>
      <c r="R11" s="5">
        <v>96</v>
      </c>
      <c r="S11" s="22">
        <v>8</v>
      </c>
      <c r="T11" s="2"/>
      <c r="W11" s="56" t="s">
        <v>341</v>
      </c>
      <c r="X11" s="3" t="s">
        <v>249</v>
      </c>
      <c r="Y11" s="22">
        <v>24</v>
      </c>
      <c r="Z11" s="5">
        <v>2</v>
      </c>
      <c r="AA11" s="2"/>
      <c r="AC11" s="78">
        <v>3401</v>
      </c>
      <c r="AD11" s="72" t="s">
        <v>221</v>
      </c>
      <c r="AE11" s="77">
        <v>2877</v>
      </c>
      <c r="AF11" s="76">
        <v>3.6</v>
      </c>
      <c r="AG11" s="77">
        <v>2857</v>
      </c>
      <c r="AH11" s="72"/>
      <c r="AI11" s="72"/>
      <c r="AJ11" s="72"/>
      <c r="AK11" s="72"/>
      <c r="AL11" s="72"/>
      <c r="AM11" s="76">
        <v>20</v>
      </c>
      <c r="AN11" s="76"/>
      <c r="AP11" s="21">
        <v>2106</v>
      </c>
      <c r="AQ11" s="3" t="s">
        <v>276</v>
      </c>
      <c r="AR11" s="53">
        <v>1567</v>
      </c>
      <c r="AS11" s="22">
        <v>3.7</v>
      </c>
      <c r="AT11" s="22">
        <v>724</v>
      </c>
      <c r="AU11" s="22">
        <v>330</v>
      </c>
      <c r="AV11" s="22">
        <v>8</v>
      </c>
      <c r="AW11" s="22">
        <v>396</v>
      </c>
      <c r="AX11" s="3"/>
      <c r="AY11" s="22">
        <v>69</v>
      </c>
      <c r="AZ11" s="22">
        <v>40</v>
      </c>
      <c r="BC11" s="3" t="s">
        <v>464</v>
      </c>
      <c r="BD11" s="53">
        <v>2244</v>
      </c>
      <c r="BE11" s="22">
        <v>2.8</v>
      </c>
      <c r="BF11" s="3"/>
      <c r="BG11" s="3"/>
      <c r="BH11" s="2" t="s">
        <v>399</v>
      </c>
      <c r="BI11" s="5">
        <v>982</v>
      </c>
      <c r="BJ11" s="5">
        <v>2.2999999999999998</v>
      </c>
      <c r="BK11" s="2"/>
      <c r="BL11" s="3"/>
    </row>
    <row r="12" spans="1:64" ht="12.95" customHeight="1">
      <c r="J12" s="56" t="s">
        <v>342</v>
      </c>
      <c r="K12" s="2" t="s">
        <v>143</v>
      </c>
      <c r="L12" s="47">
        <v>4020</v>
      </c>
      <c r="M12" s="22">
        <v>335</v>
      </c>
      <c r="N12" s="3"/>
      <c r="P12" s="56" t="s">
        <v>342</v>
      </c>
      <c r="Q12" s="2" t="s">
        <v>250</v>
      </c>
      <c r="R12" s="47">
        <v>6180</v>
      </c>
      <c r="S12" s="22">
        <v>515</v>
      </c>
      <c r="T12" s="2"/>
      <c r="W12" s="56" t="s">
        <v>342</v>
      </c>
      <c r="X12" s="3" t="s">
        <v>250</v>
      </c>
      <c r="Y12" s="53">
        <v>8448</v>
      </c>
      <c r="Z12" s="5">
        <v>704</v>
      </c>
      <c r="AA12" s="2"/>
      <c r="AC12" s="78">
        <v>8516</v>
      </c>
      <c r="AD12" s="72" t="s">
        <v>196</v>
      </c>
      <c r="AE12" s="77">
        <v>2680</v>
      </c>
      <c r="AF12" s="76">
        <v>3.4</v>
      </c>
      <c r="AG12" s="77">
        <v>2363</v>
      </c>
      <c r="AH12" s="76">
        <v>21</v>
      </c>
      <c r="AI12" s="72"/>
      <c r="AJ12" s="72"/>
      <c r="AK12" s="72"/>
      <c r="AL12" s="72"/>
      <c r="AM12" s="76">
        <v>296</v>
      </c>
      <c r="AN12" s="76"/>
      <c r="AP12" s="21">
        <v>3006</v>
      </c>
      <c r="AQ12" s="3" t="s">
        <v>317</v>
      </c>
      <c r="AR12" s="53">
        <v>1505</v>
      </c>
      <c r="AS12" s="22">
        <v>3.6</v>
      </c>
      <c r="AT12" s="53">
        <v>1002</v>
      </c>
      <c r="AU12" s="3"/>
      <c r="AV12" s="22">
        <v>53</v>
      </c>
      <c r="AW12" s="22">
        <v>20</v>
      </c>
      <c r="AX12" s="3"/>
      <c r="AY12" s="3"/>
      <c r="AZ12" s="22">
        <v>430</v>
      </c>
      <c r="BC12" s="3" t="s">
        <v>398</v>
      </c>
      <c r="BD12" s="53">
        <v>1875</v>
      </c>
      <c r="BE12" s="22">
        <v>2.4</v>
      </c>
      <c r="BF12" s="3"/>
      <c r="BG12" s="3"/>
      <c r="BH12" s="2" t="s">
        <v>481</v>
      </c>
      <c r="BI12" s="5">
        <v>907</v>
      </c>
      <c r="BJ12" s="5">
        <v>2.2000000000000002</v>
      </c>
      <c r="BK12" s="2"/>
      <c r="BL12" s="2"/>
    </row>
    <row r="13" spans="1:64" ht="12.95" customHeight="1">
      <c r="J13" s="56" t="s">
        <v>343</v>
      </c>
      <c r="K13" s="2" t="s">
        <v>144</v>
      </c>
      <c r="L13" s="5">
        <v>684</v>
      </c>
      <c r="M13" s="22">
        <v>57</v>
      </c>
      <c r="N13" s="3"/>
      <c r="P13" s="56" t="s">
        <v>343</v>
      </c>
      <c r="Q13" s="2" t="s">
        <v>251</v>
      </c>
      <c r="R13" s="47">
        <v>3384</v>
      </c>
      <c r="S13" s="22">
        <v>282</v>
      </c>
      <c r="T13" s="2"/>
      <c r="W13" s="56" t="s">
        <v>343</v>
      </c>
      <c r="X13" s="3" t="s">
        <v>251</v>
      </c>
      <c r="Y13" s="53">
        <v>1368</v>
      </c>
      <c r="Z13" s="5">
        <v>114</v>
      </c>
      <c r="AA13" s="2"/>
      <c r="AC13" s="78">
        <v>2710</v>
      </c>
      <c r="AD13" s="72" t="s">
        <v>216</v>
      </c>
      <c r="AE13" s="77">
        <v>2260</v>
      </c>
      <c r="AF13" s="76">
        <v>2.9</v>
      </c>
      <c r="AG13" s="76">
        <v>143</v>
      </c>
      <c r="AH13" s="77">
        <v>2066</v>
      </c>
      <c r="AI13" s="72"/>
      <c r="AJ13" s="72"/>
      <c r="AK13" s="72"/>
      <c r="AL13" s="76">
        <v>51</v>
      </c>
      <c r="AM13" s="72"/>
      <c r="AN13" s="72"/>
      <c r="AP13" s="21">
        <v>4818</v>
      </c>
      <c r="AQ13" s="3" t="s">
        <v>419</v>
      </c>
      <c r="AR13" s="53">
        <v>1243</v>
      </c>
      <c r="AS13" s="87">
        <v>3</v>
      </c>
      <c r="AT13" s="22">
        <v>543</v>
      </c>
      <c r="AU13" s="22">
        <v>27</v>
      </c>
      <c r="AV13" s="22">
        <v>172</v>
      </c>
      <c r="AW13" s="22">
        <v>64</v>
      </c>
      <c r="AX13" s="22">
        <v>239</v>
      </c>
      <c r="AY13" s="22">
        <v>12</v>
      </c>
      <c r="AZ13" s="22">
        <v>186</v>
      </c>
      <c r="BC13" s="3" t="s">
        <v>399</v>
      </c>
      <c r="BD13" s="53">
        <v>1804</v>
      </c>
      <c r="BE13" s="22">
        <v>2.2999999999999998</v>
      </c>
      <c r="BF13" s="3"/>
      <c r="BG13" s="3"/>
      <c r="BH13" s="2" t="s">
        <v>467</v>
      </c>
      <c r="BI13" s="5">
        <v>429</v>
      </c>
      <c r="BJ13" s="88">
        <v>1</v>
      </c>
      <c r="BK13" s="2"/>
      <c r="BL13" s="2"/>
    </row>
    <row r="14" spans="1:64" ht="12.95" customHeight="1">
      <c r="J14" s="56" t="s">
        <v>344</v>
      </c>
      <c r="K14" s="3" t="s">
        <v>145</v>
      </c>
      <c r="L14" s="47">
        <v>7788</v>
      </c>
      <c r="M14" s="5">
        <v>649</v>
      </c>
      <c r="N14" s="2"/>
      <c r="P14" s="56" t="s">
        <v>344</v>
      </c>
      <c r="Q14" s="2" t="s">
        <v>252</v>
      </c>
      <c r="R14" s="47">
        <v>7020</v>
      </c>
      <c r="S14" s="22">
        <v>585</v>
      </c>
      <c r="T14" s="2"/>
      <c r="W14" s="56" t="s">
        <v>344</v>
      </c>
      <c r="X14" s="7" t="s">
        <v>355</v>
      </c>
      <c r="Y14" s="53">
        <v>7404</v>
      </c>
      <c r="Z14" s="5">
        <v>617</v>
      </c>
      <c r="AA14" s="2"/>
      <c r="AC14" s="78">
        <v>2203</v>
      </c>
      <c r="AD14" s="72" t="s">
        <v>178</v>
      </c>
      <c r="AE14" s="77">
        <v>1888</v>
      </c>
      <c r="AF14" s="76">
        <v>2.4</v>
      </c>
      <c r="AG14" s="77">
        <v>1673</v>
      </c>
      <c r="AH14" s="76">
        <v>40</v>
      </c>
      <c r="AI14" s="76">
        <v>44</v>
      </c>
      <c r="AJ14" s="72"/>
      <c r="AK14" s="76">
        <v>20</v>
      </c>
      <c r="AL14" s="72"/>
      <c r="AM14" s="76">
        <v>111</v>
      </c>
      <c r="AN14" s="76"/>
      <c r="AP14" s="21">
        <v>8300</v>
      </c>
      <c r="AQ14" s="3" t="s">
        <v>312</v>
      </c>
      <c r="AR14" s="22">
        <v>962</v>
      </c>
      <c r="AS14" s="22">
        <v>2.2999999999999998</v>
      </c>
      <c r="AT14" s="22">
        <v>843</v>
      </c>
      <c r="AU14" s="22">
        <v>37</v>
      </c>
      <c r="AV14" s="22">
        <v>30</v>
      </c>
      <c r="AW14" s="3"/>
      <c r="AX14" s="22">
        <v>12</v>
      </c>
      <c r="AY14" s="22">
        <v>20</v>
      </c>
      <c r="AZ14" s="22">
        <v>19</v>
      </c>
      <c r="BC14" s="3" t="s">
        <v>418</v>
      </c>
      <c r="BD14" s="22">
        <v>835</v>
      </c>
      <c r="BE14" s="22">
        <v>1.1000000000000001</v>
      </c>
      <c r="BF14" s="3"/>
      <c r="BG14" s="3"/>
      <c r="BH14" s="2" t="s">
        <v>464</v>
      </c>
      <c r="BI14" s="5">
        <v>428</v>
      </c>
      <c r="BJ14" s="88">
        <v>1</v>
      </c>
      <c r="BK14" s="2"/>
      <c r="BL14" s="2"/>
    </row>
    <row r="15" spans="1:64" ht="12.95" customHeight="1">
      <c r="J15" s="56" t="s">
        <v>345</v>
      </c>
      <c r="K15" s="2" t="s">
        <v>146</v>
      </c>
      <c r="L15" s="47">
        <v>3300</v>
      </c>
      <c r="M15" s="22">
        <v>275</v>
      </c>
      <c r="N15" s="3"/>
      <c r="P15" s="56" t="s">
        <v>345</v>
      </c>
      <c r="Q15" s="2" t="s">
        <v>253</v>
      </c>
      <c r="R15" s="5">
        <v>480</v>
      </c>
      <c r="S15" s="22">
        <v>40</v>
      </c>
      <c r="T15" s="2"/>
      <c r="W15" s="56" t="s">
        <v>345</v>
      </c>
      <c r="X15" s="3" t="s">
        <v>253</v>
      </c>
      <c r="Y15" s="53">
        <v>2472</v>
      </c>
      <c r="Z15" s="5">
        <v>206</v>
      </c>
      <c r="AA15" s="2"/>
      <c r="AC15" s="78">
        <v>7200</v>
      </c>
      <c r="AD15" s="72" t="s">
        <v>209</v>
      </c>
      <c r="AE15" s="77">
        <v>1863</v>
      </c>
      <c r="AF15" s="76">
        <v>2.4</v>
      </c>
      <c r="AG15" s="76">
        <v>116</v>
      </c>
      <c r="AH15" s="72"/>
      <c r="AI15" s="77">
        <v>1193</v>
      </c>
      <c r="AJ15" s="72"/>
      <c r="AK15" s="72"/>
      <c r="AL15" s="76">
        <v>177</v>
      </c>
      <c r="AM15" s="76">
        <v>377</v>
      </c>
      <c r="AN15" s="76"/>
      <c r="AP15" s="21">
        <v>2710</v>
      </c>
      <c r="AQ15" s="3" t="s">
        <v>411</v>
      </c>
      <c r="AR15" s="22">
        <v>881</v>
      </c>
      <c r="AS15" s="22">
        <v>2.1</v>
      </c>
      <c r="AT15" s="22">
        <v>255</v>
      </c>
      <c r="AU15" s="22">
        <v>70</v>
      </c>
      <c r="AV15" s="22">
        <v>520</v>
      </c>
      <c r="AW15" s="3"/>
      <c r="AX15" s="3"/>
      <c r="AY15" s="3"/>
      <c r="AZ15" s="22">
        <v>36</v>
      </c>
      <c r="BC15" s="3" t="s">
        <v>465</v>
      </c>
      <c r="BD15" s="22">
        <v>695</v>
      </c>
      <c r="BE15" s="22">
        <v>0.9</v>
      </c>
      <c r="BF15" s="3"/>
      <c r="BG15" s="3"/>
      <c r="BH15" s="2" t="s">
        <v>441</v>
      </c>
      <c r="BI15" s="5">
        <v>315</v>
      </c>
      <c r="BJ15" s="5">
        <v>0.8</v>
      </c>
      <c r="BK15" s="2"/>
      <c r="BL15" s="2"/>
    </row>
    <row r="16" spans="1:64" ht="12.95" customHeight="1">
      <c r="J16" s="56" t="s">
        <v>346</v>
      </c>
      <c r="K16" s="2" t="s">
        <v>147</v>
      </c>
      <c r="L16" s="47">
        <v>1680</v>
      </c>
      <c r="M16" s="22">
        <v>140</v>
      </c>
      <c r="N16" s="3"/>
      <c r="P16" s="56" t="s">
        <v>346</v>
      </c>
      <c r="Q16" s="2" t="s">
        <v>254</v>
      </c>
      <c r="R16" s="47">
        <v>1296</v>
      </c>
      <c r="S16" s="22">
        <v>108</v>
      </c>
      <c r="T16" s="2"/>
      <c r="W16" s="56" t="s">
        <v>346</v>
      </c>
      <c r="X16" s="3" t="s">
        <v>254</v>
      </c>
      <c r="Y16" s="22">
        <v>0</v>
      </c>
      <c r="Z16" s="5">
        <v>0</v>
      </c>
      <c r="AA16" s="2"/>
      <c r="AC16" s="78">
        <v>9101</v>
      </c>
      <c r="AD16" s="72" t="s">
        <v>234</v>
      </c>
      <c r="AE16" s="77">
        <v>1767</v>
      </c>
      <c r="AF16" s="76">
        <v>2.2000000000000002</v>
      </c>
      <c r="AG16" s="76">
        <v>33</v>
      </c>
      <c r="AH16" s="72"/>
      <c r="AI16" s="72"/>
      <c r="AJ16" s="76">
        <v>12</v>
      </c>
      <c r="AK16" s="77">
        <v>1324</v>
      </c>
      <c r="AL16" s="76">
        <v>384</v>
      </c>
      <c r="AM16" s="76">
        <v>14</v>
      </c>
      <c r="AN16" s="76"/>
      <c r="AP16" s="21">
        <v>2300</v>
      </c>
      <c r="AQ16" s="3" t="s">
        <v>420</v>
      </c>
      <c r="AR16" s="22">
        <v>845</v>
      </c>
      <c r="AS16" s="87">
        <v>2</v>
      </c>
      <c r="AT16" s="22">
        <v>832</v>
      </c>
      <c r="AU16" s="3"/>
      <c r="AV16" s="3"/>
      <c r="AW16" s="22">
        <v>13</v>
      </c>
      <c r="AX16" s="3"/>
      <c r="AY16" s="3"/>
      <c r="AZ16" s="3"/>
      <c r="BC16" s="3" t="s">
        <v>466</v>
      </c>
      <c r="BD16" s="22">
        <v>614</v>
      </c>
      <c r="BE16" s="22">
        <v>0.8</v>
      </c>
      <c r="BF16" s="3"/>
      <c r="BG16" s="3"/>
      <c r="BH16" s="2" t="s">
        <v>468</v>
      </c>
      <c r="BI16" s="5">
        <v>289</v>
      </c>
      <c r="BJ16" s="5">
        <v>0.7</v>
      </c>
      <c r="BK16" s="2"/>
      <c r="BL16" s="2"/>
    </row>
    <row r="17" spans="10:64" ht="12.95" customHeight="1">
      <c r="J17" s="56" t="s">
        <v>347</v>
      </c>
      <c r="K17" s="2" t="s">
        <v>148</v>
      </c>
      <c r="L17" s="5">
        <v>468</v>
      </c>
      <c r="M17" s="22">
        <v>39</v>
      </c>
      <c r="N17" s="3"/>
      <c r="P17" s="56" t="s">
        <v>347</v>
      </c>
      <c r="Q17" s="2" t="s">
        <v>255</v>
      </c>
      <c r="R17" s="5">
        <v>288</v>
      </c>
      <c r="S17" s="22">
        <v>24</v>
      </c>
      <c r="T17" s="2"/>
      <c r="W17" s="56" t="s">
        <v>347</v>
      </c>
      <c r="X17" s="3" t="s">
        <v>255</v>
      </c>
      <c r="Y17" s="22">
        <v>900</v>
      </c>
      <c r="Z17" s="5">
        <v>75</v>
      </c>
      <c r="AA17" s="2"/>
      <c r="AC17" s="79" t="s">
        <v>337</v>
      </c>
      <c r="AD17" s="74" t="s">
        <v>138</v>
      </c>
      <c r="AE17" s="77">
        <v>1752</v>
      </c>
      <c r="AF17" s="76">
        <v>2.2000000000000002</v>
      </c>
      <c r="AG17" s="77">
        <v>1708</v>
      </c>
      <c r="AH17" s="72"/>
      <c r="AI17" s="72"/>
      <c r="AJ17" s="72"/>
      <c r="AK17" s="72"/>
      <c r="AL17" s="72"/>
      <c r="AM17" s="76">
        <v>44</v>
      </c>
      <c r="AN17" s="76"/>
      <c r="AP17" s="21">
        <v>9403</v>
      </c>
      <c r="AQ17" s="3" t="s">
        <v>421</v>
      </c>
      <c r="AR17" s="22">
        <v>818</v>
      </c>
      <c r="AS17" s="22">
        <v>1.9</v>
      </c>
      <c r="AT17" s="22">
        <v>204</v>
      </c>
      <c r="AU17" s="22">
        <v>390</v>
      </c>
      <c r="AV17" s="22">
        <v>5</v>
      </c>
      <c r="AW17" s="3"/>
      <c r="AX17" s="22">
        <v>163</v>
      </c>
      <c r="AY17" s="3"/>
      <c r="AZ17" s="22">
        <v>56</v>
      </c>
      <c r="BC17" s="3" t="s">
        <v>467</v>
      </c>
      <c r="BD17" s="22">
        <v>530</v>
      </c>
      <c r="BE17" s="22">
        <v>0.7</v>
      </c>
      <c r="BF17" s="3"/>
      <c r="BG17" s="3"/>
      <c r="BH17" s="2" t="s">
        <v>465</v>
      </c>
      <c r="BI17" s="5">
        <v>174</v>
      </c>
      <c r="BJ17" s="5">
        <v>0.4</v>
      </c>
      <c r="BK17" s="2"/>
      <c r="BL17" s="2"/>
    </row>
    <row r="18" spans="10:64" ht="12.95" customHeight="1">
      <c r="J18" s="56" t="s">
        <v>348</v>
      </c>
      <c r="K18" s="2" t="s">
        <v>149</v>
      </c>
      <c r="L18" s="47">
        <v>3396</v>
      </c>
      <c r="M18" s="22">
        <v>283</v>
      </c>
      <c r="N18" s="3"/>
      <c r="P18" s="56" t="s">
        <v>348</v>
      </c>
      <c r="Q18" s="2" t="s">
        <v>256</v>
      </c>
      <c r="R18" s="47">
        <v>2352</v>
      </c>
      <c r="S18" s="22">
        <v>196</v>
      </c>
      <c r="T18" s="2"/>
      <c r="W18" s="56" t="s">
        <v>348</v>
      </c>
      <c r="X18" s="3" t="s">
        <v>256</v>
      </c>
      <c r="Y18" s="53">
        <v>4560</v>
      </c>
      <c r="Z18" s="5">
        <v>380</v>
      </c>
      <c r="AA18" s="2"/>
      <c r="AC18" s="78">
        <v>8471</v>
      </c>
      <c r="AD18" s="72" t="s">
        <v>94</v>
      </c>
      <c r="AE18" s="77">
        <v>1635</v>
      </c>
      <c r="AF18" s="76">
        <v>2.1</v>
      </c>
      <c r="AG18" s="77">
        <v>1471</v>
      </c>
      <c r="AH18" s="76">
        <v>78</v>
      </c>
      <c r="AI18" s="76">
        <v>32</v>
      </c>
      <c r="AJ18" s="72"/>
      <c r="AK18" s="72"/>
      <c r="AL18" s="72"/>
      <c r="AM18" s="76">
        <v>54</v>
      </c>
      <c r="AN18" s="76"/>
      <c r="AP18" s="21">
        <v>4011</v>
      </c>
      <c r="AQ18" s="3" t="s">
        <v>292</v>
      </c>
      <c r="AR18" s="22">
        <v>757</v>
      </c>
      <c r="AS18" s="22">
        <v>1.8</v>
      </c>
      <c r="AT18" s="22">
        <v>142</v>
      </c>
      <c r="AU18" s="22">
        <v>25</v>
      </c>
      <c r="AV18" s="22">
        <v>109</v>
      </c>
      <c r="AW18" s="3"/>
      <c r="AX18" s="22">
        <v>430</v>
      </c>
      <c r="AY18" s="3"/>
      <c r="AZ18" s="22">
        <v>50</v>
      </c>
      <c r="BC18" s="3" t="s">
        <v>468</v>
      </c>
      <c r="BD18" s="22">
        <v>499</v>
      </c>
      <c r="BE18" s="22">
        <v>0.6</v>
      </c>
      <c r="BF18" s="3"/>
      <c r="BG18" s="3"/>
      <c r="BH18" s="2" t="s">
        <v>391</v>
      </c>
      <c r="BI18" s="5">
        <v>174</v>
      </c>
      <c r="BJ18" s="5">
        <v>0.4</v>
      </c>
      <c r="BK18" s="2"/>
      <c r="BL18" s="2"/>
    </row>
    <row r="19" spans="10:64" ht="12.95" customHeight="1">
      <c r="J19" s="56" t="s">
        <v>349</v>
      </c>
      <c r="K19" s="2" t="s">
        <v>150</v>
      </c>
      <c r="L19" s="47">
        <v>4512</v>
      </c>
      <c r="M19" s="22">
        <v>376</v>
      </c>
      <c r="N19" s="3"/>
      <c r="P19" s="56" t="s">
        <v>349</v>
      </c>
      <c r="Q19" s="2" t="s">
        <v>257</v>
      </c>
      <c r="R19" s="47">
        <v>4380</v>
      </c>
      <c r="S19" s="22">
        <v>365</v>
      </c>
      <c r="T19" s="2"/>
      <c r="W19" s="56" t="s">
        <v>349</v>
      </c>
      <c r="X19" s="3" t="s">
        <v>257</v>
      </c>
      <c r="Y19" s="53">
        <v>3468</v>
      </c>
      <c r="Z19" s="5">
        <v>289</v>
      </c>
      <c r="AA19" s="2"/>
      <c r="AC19" s="78">
        <v>2106</v>
      </c>
      <c r="AD19" s="74" t="s">
        <v>171</v>
      </c>
      <c r="AE19" s="77">
        <v>1428</v>
      </c>
      <c r="AF19" s="76">
        <v>1.8</v>
      </c>
      <c r="AG19" s="77">
        <v>1387</v>
      </c>
      <c r="AH19" s="72"/>
      <c r="AI19" s="76">
        <v>17</v>
      </c>
      <c r="AJ19" s="72"/>
      <c r="AK19" s="72"/>
      <c r="AL19" s="72"/>
      <c r="AM19" s="76">
        <v>24</v>
      </c>
      <c r="AN19" s="76"/>
      <c r="AP19" s="21">
        <v>2208</v>
      </c>
      <c r="AQ19" s="3" t="s">
        <v>282</v>
      </c>
      <c r="AR19" s="22">
        <v>727</v>
      </c>
      <c r="AS19" s="22">
        <v>1.7</v>
      </c>
      <c r="AT19" s="22">
        <v>550</v>
      </c>
      <c r="AU19" s="22">
        <v>173</v>
      </c>
      <c r="AV19" s="3"/>
      <c r="AW19" s="22">
        <v>4</v>
      </c>
      <c r="AX19" s="3"/>
      <c r="AY19" s="3"/>
      <c r="AZ19" s="3"/>
      <c r="BC19" s="3" t="s">
        <v>469</v>
      </c>
      <c r="BD19" s="22">
        <v>355</v>
      </c>
      <c r="BE19" s="22">
        <v>0.4</v>
      </c>
      <c r="BF19" s="3"/>
      <c r="BG19" s="3"/>
      <c r="BH19" s="2" t="s">
        <v>427</v>
      </c>
      <c r="BI19" s="5">
        <v>94</v>
      </c>
      <c r="BJ19" s="5">
        <v>0.2</v>
      </c>
      <c r="BK19" s="2"/>
      <c r="BL19" s="2"/>
    </row>
    <row r="20" spans="10:64" ht="12.95" customHeight="1">
      <c r="J20" s="21">
        <v>1006</v>
      </c>
      <c r="K20" s="2" t="s">
        <v>151</v>
      </c>
      <c r="L20" s="47">
        <v>9948</v>
      </c>
      <c r="M20" s="22">
        <v>829</v>
      </c>
      <c r="N20" s="3"/>
      <c r="P20" s="21">
        <v>1006</v>
      </c>
      <c r="Q20" s="2" t="s">
        <v>151</v>
      </c>
      <c r="R20" s="47">
        <v>5604</v>
      </c>
      <c r="S20" s="22">
        <v>467</v>
      </c>
      <c r="T20" s="2"/>
      <c r="W20" s="21">
        <v>1006</v>
      </c>
      <c r="X20" s="3" t="s">
        <v>151</v>
      </c>
      <c r="Y20" s="53">
        <v>14880</v>
      </c>
      <c r="Z20" s="47">
        <v>1240</v>
      </c>
      <c r="AA20" s="2"/>
      <c r="AC20" s="78">
        <v>3304</v>
      </c>
      <c r="AD20" s="72" t="s">
        <v>220</v>
      </c>
      <c r="AE20" s="77">
        <v>1367</v>
      </c>
      <c r="AF20" s="76">
        <v>1.7</v>
      </c>
      <c r="AG20" s="76">
        <v>745</v>
      </c>
      <c r="AH20" s="76">
        <v>235</v>
      </c>
      <c r="AI20" s="76">
        <v>195</v>
      </c>
      <c r="AJ20" s="76">
        <v>155</v>
      </c>
      <c r="AK20" s="72"/>
      <c r="AL20" s="72"/>
      <c r="AM20" s="76">
        <v>37</v>
      </c>
      <c r="AN20" s="76"/>
      <c r="AP20" s="21">
        <v>3926</v>
      </c>
      <c r="AQ20" s="3" t="s">
        <v>287</v>
      </c>
      <c r="AR20" s="22">
        <v>723</v>
      </c>
      <c r="AS20" s="22">
        <v>1.7</v>
      </c>
      <c r="AT20" s="22">
        <v>295</v>
      </c>
      <c r="AU20" s="22">
        <v>38</v>
      </c>
      <c r="AV20" s="22">
        <v>27</v>
      </c>
      <c r="AW20" s="22">
        <v>156</v>
      </c>
      <c r="AX20" s="22">
        <v>3</v>
      </c>
      <c r="AY20" s="22">
        <v>144</v>
      </c>
      <c r="AZ20" s="22">
        <v>61</v>
      </c>
      <c r="BC20" s="3" t="s">
        <v>441</v>
      </c>
      <c r="BD20" s="22">
        <v>282</v>
      </c>
      <c r="BE20" s="22">
        <v>0.4</v>
      </c>
      <c r="BF20" s="3"/>
      <c r="BG20" s="3"/>
      <c r="BH20" s="2" t="s">
        <v>466</v>
      </c>
      <c r="BI20" s="5">
        <v>85</v>
      </c>
      <c r="BJ20" s="5">
        <v>0.2</v>
      </c>
      <c r="BK20" s="2"/>
      <c r="BL20" s="2"/>
    </row>
    <row r="21" spans="10:64" ht="12.95" customHeight="1">
      <c r="J21" s="21">
        <v>1101</v>
      </c>
      <c r="K21" s="2" t="s">
        <v>152</v>
      </c>
      <c r="L21" s="5">
        <v>612</v>
      </c>
      <c r="M21" s="22">
        <v>51</v>
      </c>
      <c r="N21" s="3"/>
      <c r="P21" s="21">
        <v>1101</v>
      </c>
      <c r="Q21" s="2" t="s">
        <v>258</v>
      </c>
      <c r="R21" s="47">
        <v>1644</v>
      </c>
      <c r="S21" s="22">
        <v>137</v>
      </c>
      <c r="T21" s="2"/>
      <c r="W21" s="21">
        <v>1101</v>
      </c>
      <c r="X21" s="3" t="s">
        <v>258</v>
      </c>
      <c r="Y21" s="22">
        <v>936</v>
      </c>
      <c r="Z21" s="5">
        <v>78</v>
      </c>
      <c r="AA21" s="2"/>
      <c r="AC21" s="78">
        <v>1602</v>
      </c>
      <c r="AD21" s="72" t="s">
        <v>154</v>
      </c>
      <c r="AE21" s="77">
        <v>1353</v>
      </c>
      <c r="AF21" s="76">
        <v>1.7</v>
      </c>
      <c r="AG21" s="76">
        <v>977</v>
      </c>
      <c r="AH21" s="72"/>
      <c r="AI21" s="72"/>
      <c r="AJ21" s="72"/>
      <c r="AK21" s="72"/>
      <c r="AL21" s="72"/>
      <c r="AM21" s="76">
        <v>376</v>
      </c>
      <c r="AN21" s="76"/>
      <c r="AP21" s="21">
        <v>3304</v>
      </c>
      <c r="AQ21" s="3" t="s">
        <v>412</v>
      </c>
      <c r="AR21" s="22">
        <v>701</v>
      </c>
      <c r="AS21" s="22">
        <v>1.7</v>
      </c>
      <c r="AT21" s="22">
        <v>370</v>
      </c>
      <c r="AU21" s="22">
        <v>44</v>
      </c>
      <c r="AV21" s="22">
        <v>46</v>
      </c>
      <c r="AW21" s="3"/>
      <c r="AX21" s="22">
        <v>6</v>
      </c>
      <c r="AY21" s="3"/>
      <c r="AZ21" s="22">
        <v>234</v>
      </c>
      <c r="BC21" s="3" t="s">
        <v>427</v>
      </c>
      <c r="BD21" s="22">
        <v>226</v>
      </c>
      <c r="BE21" s="22">
        <v>0.3</v>
      </c>
      <c r="BF21" s="3"/>
      <c r="BG21" s="3"/>
      <c r="BH21" s="2" t="s">
        <v>484</v>
      </c>
      <c r="BI21" s="5">
        <v>78</v>
      </c>
      <c r="BJ21" s="5">
        <v>0.2</v>
      </c>
      <c r="BK21" s="2"/>
      <c r="BL21" s="2"/>
    </row>
    <row r="22" spans="10:64" ht="12.95" customHeight="1">
      <c r="J22" s="21">
        <v>1515</v>
      </c>
      <c r="K22" s="2" t="s">
        <v>153</v>
      </c>
      <c r="L22" s="47">
        <v>2328</v>
      </c>
      <c r="M22" s="22">
        <v>194</v>
      </c>
      <c r="N22" s="3"/>
      <c r="P22" s="21">
        <v>1515</v>
      </c>
      <c r="Q22" s="2" t="s">
        <v>259</v>
      </c>
      <c r="R22" s="47">
        <v>3396</v>
      </c>
      <c r="S22" s="22">
        <v>283</v>
      </c>
      <c r="T22" s="2"/>
      <c r="W22" s="21">
        <v>1515</v>
      </c>
      <c r="X22" s="3" t="s">
        <v>259</v>
      </c>
      <c r="Y22" s="22">
        <v>0</v>
      </c>
      <c r="Z22" s="5">
        <v>0</v>
      </c>
      <c r="AA22" s="2"/>
      <c r="AC22" s="78">
        <v>2402</v>
      </c>
      <c r="AD22" s="72" t="s">
        <v>215</v>
      </c>
      <c r="AE22" s="77">
        <v>1336</v>
      </c>
      <c r="AF22" s="76">
        <v>1.7</v>
      </c>
      <c r="AG22" s="76">
        <v>706</v>
      </c>
      <c r="AH22" s="72"/>
      <c r="AI22" s="76">
        <v>137</v>
      </c>
      <c r="AJ22" s="72"/>
      <c r="AK22" s="72"/>
      <c r="AL22" s="72"/>
      <c r="AM22" s="76">
        <v>493</v>
      </c>
      <c r="AN22" s="76"/>
      <c r="AP22" s="21">
        <v>2203</v>
      </c>
      <c r="AQ22" s="3" t="s">
        <v>422</v>
      </c>
      <c r="AR22" s="22">
        <v>575</v>
      </c>
      <c r="AS22" s="22">
        <v>1.4</v>
      </c>
      <c r="AT22" s="22">
        <v>482</v>
      </c>
      <c r="AU22" s="3"/>
      <c r="AV22" s="3"/>
      <c r="AW22" s="3"/>
      <c r="AX22" s="22">
        <v>33</v>
      </c>
      <c r="AY22" s="3"/>
      <c r="AZ22" s="22">
        <v>59</v>
      </c>
      <c r="BC22" s="3" t="s">
        <v>470</v>
      </c>
      <c r="BD22" s="22">
        <v>198</v>
      </c>
      <c r="BE22" s="22">
        <v>0.2</v>
      </c>
      <c r="BF22" s="3"/>
      <c r="BG22" s="3"/>
      <c r="BH22" s="2" t="s">
        <v>488</v>
      </c>
      <c r="BI22" s="5">
        <v>55</v>
      </c>
      <c r="BJ22" s="5">
        <v>0.1</v>
      </c>
      <c r="BK22" s="2"/>
      <c r="BL22" s="2"/>
    </row>
    <row r="23" spans="10:64" ht="12.95" customHeight="1">
      <c r="J23" s="21">
        <v>1602</v>
      </c>
      <c r="K23" s="2" t="s">
        <v>154</v>
      </c>
      <c r="L23" s="47">
        <v>16236</v>
      </c>
      <c r="M23" s="53">
        <v>1353</v>
      </c>
      <c r="N23" s="3"/>
      <c r="P23" s="21">
        <v>1602</v>
      </c>
      <c r="Q23" s="2" t="s">
        <v>260</v>
      </c>
      <c r="R23" s="47">
        <v>16764</v>
      </c>
      <c r="S23" s="53">
        <v>1397</v>
      </c>
      <c r="T23" s="2"/>
      <c r="W23" s="21">
        <v>1601</v>
      </c>
      <c r="X23" s="3" t="s">
        <v>356</v>
      </c>
      <c r="Y23" s="22">
        <v>0</v>
      </c>
      <c r="Z23" s="5">
        <v>0</v>
      </c>
      <c r="AA23" s="2"/>
      <c r="AC23" s="78">
        <v>1905</v>
      </c>
      <c r="AD23" s="74" t="s">
        <v>163</v>
      </c>
      <c r="AE23" s="77">
        <v>1281</v>
      </c>
      <c r="AF23" s="76">
        <v>1.6</v>
      </c>
      <c r="AG23" s="77">
        <v>1021</v>
      </c>
      <c r="AH23" s="76">
        <v>50</v>
      </c>
      <c r="AI23" s="76">
        <v>18</v>
      </c>
      <c r="AJ23" s="72"/>
      <c r="AK23" s="76">
        <v>23</v>
      </c>
      <c r="AL23" s="72"/>
      <c r="AM23" s="76">
        <v>169</v>
      </c>
      <c r="AN23" s="76"/>
      <c r="AP23" s="21">
        <v>8704</v>
      </c>
      <c r="AQ23" s="3" t="s">
        <v>423</v>
      </c>
      <c r="AR23" s="22">
        <v>573</v>
      </c>
      <c r="AS23" s="22">
        <v>1.4</v>
      </c>
      <c r="AT23" s="22">
        <v>573</v>
      </c>
      <c r="AU23" s="3"/>
      <c r="AV23" s="3"/>
      <c r="AW23" s="3"/>
      <c r="AX23" s="3"/>
      <c r="AY23" s="3"/>
      <c r="AZ23" s="3"/>
      <c r="BC23" s="3" t="s">
        <v>471</v>
      </c>
      <c r="BD23" s="22">
        <v>171</v>
      </c>
      <c r="BE23" s="22">
        <v>0.2</v>
      </c>
      <c r="BF23" s="3"/>
      <c r="BG23" s="3"/>
      <c r="BH23" s="2" t="s">
        <v>491</v>
      </c>
      <c r="BI23" s="5">
        <v>47</v>
      </c>
      <c r="BJ23" s="5">
        <v>0.1</v>
      </c>
      <c r="BK23" s="2"/>
      <c r="BL23" s="2"/>
    </row>
    <row r="24" spans="10:64" ht="12.95" customHeight="1">
      <c r="J24" s="21">
        <v>1604</v>
      </c>
      <c r="K24" s="2" t="s">
        <v>155</v>
      </c>
      <c r="L24" s="47">
        <v>1296</v>
      </c>
      <c r="M24" s="22">
        <v>108</v>
      </c>
      <c r="N24" s="3"/>
      <c r="P24" s="21">
        <v>1604</v>
      </c>
      <c r="Q24" s="2" t="s">
        <v>261</v>
      </c>
      <c r="R24" s="47">
        <v>2400</v>
      </c>
      <c r="S24" s="22">
        <v>200</v>
      </c>
      <c r="T24" s="2"/>
      <c r="W24" s="21">
        <v>1602</v>
      </c>
      <c r="X24" s="3" t="s">
        <v>260</v>
      </c>
      <c r="Y24" s="53">
        <v>10788</v>
      </c>
      <c r="Z24" s="5">
        <v>899</v>
      </c>
      <c r="AA24" s="2"/>
      <c r="AC24" s="78">
        <v>2523</v>
      </c>
      <c r="AD24" s="72" t="s">
        <v>202</v>
      </c>
      <c r="AE24" s="77">
        <v>1239</v>
      </c>
      <c r="AF24" s="76">
        <v>1.6</v>
      </c>
      <c r="AG24" s="76">
        <v>199</v>
      </c>
      <c r="AH24" s="72"/>
      <c r="AI24" s="72"/>
      <c r="AJ24" s="72"/>
      <c r="AK24" s="72"/>
      <c r="AL24" s="72"/>
      <c r="AM24" s="77">
        <v>1040</v>
      </c>
      <c r="AN24" s="77"/>
      <c r="AP24" s="21">
        <v>3401</v>
      </c>
      <c r="AQ24" s="3" t="s">
        <v>424</v>
      </c>
      <c r="AR24" s="22">
        <v>570</v>
      </c>
      <c r="AS24" s="22">
        <v>1.4</v>
      </c>
      <c r="AT24" s="22">
        <v>546</v>
      </c>
      <c r="AU24" s="3"/>
      <c r="AV24" s="3"/>
      <c r="AW24" s="22">
        <v>8</v>
      </c>
      <c r="AX24" s="3"/>
      <c r="AY24" s="3"/>
      <c r="AZ24" s="22">
        <v>16</v>
      </c>
      <c r="BC24" s="3" t="s">
        <v>472</v>
      </c>
      <c r="BD24" s="22">
        <v>109</v>
      </c>
      <c r="BE24" s="22">
        <v>0.1</v>
      </c>
      <c r="BF24" s="3"/>
      <c r="BG24" s="3"/>
      <c r="BH24" s="2" t="s">
        <v>471</v>
      </c>
      <c r="BI24" s="5">
        <v>28</v>
      </c>
      <c r="BJ24" s="5">
        <v>0.1</v>
      </c>
      <c r="BK24" s="2"/>
      <c r="BL24" s="2"/>
    </row>
    <row r="25" spans="10:64" ht="12.95" customHeight="1">
      <c r="J25" s="21">
        <v>1605</v>
      </c>
      <c r="K25" s="2" t="s">
        <v>156</v>
      </c>
      <c r="L25" s="5">
        <v>240</v>
      </c>
      <c r="M25" s="22">
        <v>20</v>
      </c>
      <c r="N25" s="3"/>
      <c r="P25" s="21">
        <v>1605</v>
      </c>
      <c r="Q25" s="2" t="s">
        <v>262</v>
      </c>
      <c r="R25" s="47">
        <v>1680</v>
      </c>
      <c r="S25" s="22">
        <v>140</v>
      </c>
      <c r="T25" s="2"/>
      <c r="W25" s="21">
        <v>1604</v>
      </c>
      <c r="X25" s="3" t="s">
        <v>357</v>
      </c>
      <c r="Y25" s="53">
        <v>2244</v>
      </c>
      <c r="Z25" s="5">
        <v>187</v>
      </c>
      <c r="AA25" s="2"/>
      <c r="AC25" s="79" t="s">
        <v>340</v>
      </c>
      <c r="AD25" s="72" t="s">
        <v>141</v>
      </c>
      <c r="AE25" s="77">
        <v>1165</v>
      </c>
      <c r="AF25" s="76">
        <v>1.5</v>
      </c>
      <c r="AG25" s="76">
        <v>148</v>
      </c>
      <c r="AH25" s="72"/>
      <c r="AI25" s="76">
        <v>4</v>
      </c>
      <c r="AJ25" s="72"/>
      <c r="AK25" s="72"/>
      <c r="AL25" s="76">
        <v>270</v>
      </c>
      <c r="AM25" s="76">
        <v>743</v>
      </c>
      <c r="AN25" s="76"/>
      <c r="AP25" s="21">
        <v>2523</v>
      </c>
      <c r="AQ25" s="3" t="s">
        <v>302</v>
      </c>
      <c r="AR25" s="22">
        <v>522</v>
      </c>
      <c r="AS25" s="22">
        <v>1.2</v>
      </c>
      <c r="AT25" s="22">
        <v>119</v>
      </c>
      <c r="AU25" s="3"/>
      <c r="AV25" s="22">
        <v>5</v>
      </c>
      <c r="AW25" s="3"/>
      <c r="AX25" s="3"/>
      <c r="AY25" s="22">
        <v>330</v>
      </c>
      <c r="AZ25" s="22">
        <v>69</v>
      </c>
      <c r="BC25" s="3" t="s">
        <v>473</v>
      </c>
      <c r="BD25" s="22">
        <v>106</v>
      </c>
      <c r="BE25" s="22">
        <v>0.1</v>
      </c>
      <c r="BF25" s="3"/>
      <c r="BG25" s="3"/>
      <c r="BH25" s="2" t="s">
        <v>477</v>
      </c>
      <c r="BI25" s="5">
        <v>13</v>
      </c>
      <c r="BJ25" s="88">
        <v>0</v>
      </c>
      <c r="BK25" s="3"/>
      <c r="BL25" s="2"/>
    </row>
    <row r="26" spans="10:64" ht="12.95" customHeight="1">
      <c r="J26" s="21">
        <v>1701</v>
      </c>
      <c r="K26" s="2" t="s">
        <v>157</v>
      </c>
      <c r="L26" s="47">
        <v>5976</v>
      </c>
      <c r="M26" s="22">
        <v>498</v>
      </c>
      <c r="N26" s="3"/>
      <c r="P26" s="21">
        <v>1701</v>
      </c>
      <c r="Q26" s="2" t="s">
        <v>263</v>
      </c>
      <c r="R26" s="47">
        <v>5628</v>
      </c>
      <c r="S26" s="22">
        <v>469</v>
      </c>
      <c r="T26" s="2"/>
      <c r="W26" s="21">
        <v>1605</v>
      </c>
      <c r="X26" s="3" t="s">
        <v>262</v>
      </c>
      <c r="Y26" s="53">
        <v>1260</v>
      </c>
      <c r="Z26" s="5">
        <v>105</v>
      </c>
      <c r="AA26" s="2"/>
      <c r="AC26" s="78">
        <v>6402</v>
      </c>
      <c r="AD26" s="72" t="s">
        <v>189</v>
      </c>
      <c r="AE26" s="77">
        <v>1144</v>
      </c>
      <c r="AF26" s="76">
        <v>1.4</v>
      </c>
      <c r="AG26" s="76">
        <v>841</v>
      </c>
      <c r="AH26" s="76">
        <v>51</v>
      </c>
      <c r="AI26" s="72"/>
      <c r="AJ26" s="76">
        <v>105</v>
      </c>
      <c r="AK26" s="72"/>
      <c r="AL26" s="72"/>
      <c r="AM26" s="76">
        <v>147</v>
      </c>
      <c r="AN26" s="76"/>
      <c r="AP26" s="21">
        <v>2202</v>
      </c>
      <c r="AQ26" s="3" t="s">
        <v>278</v>
      </c>
      <c r="AR26" s="22">
        <v>519</v>
      </c>
      <c r="AS26" s="22">
        <v>1.2</v>
      </c>
      <c r="AT26" s="22">
        <v>435</v>
      </c>
      <c r="AU26" s="22">
        <v>4</v>
      </c>
      <c r="AV26" s="3"/>
      <c r="AW26" s="22">
        <v>40</v>
      </c>
      <c r="AX26" s="3"/>
      <c r="AY26" s="3"/>
      <c r="AZ26" s="22">
        <v>39</v>
      </c>
      <c r="BC26" s="3" t="s">
        <v>394</v>
      </c>
      <c r="BD26" s="22">
        <v>370</v>
      </c>
      <c r="BE26" s="22">
        <v>0.5</v>
      </c>
      <c r="BF26" s="3"/>
      <c r="BG26" s="3"/>
      <c r="BH26" s="10" t="s">
        <v>394</v>
      </c>
      <c r="BI26" s="11">
        <v>42</v>
      </c>
      <c r="BJ26" s="11">
        <v>0.1</v>
      </c>
      <c r="BK26" s="2"/>
      <c r="BL26" s="2"/>
    </row>
    <row r="27" spans="10:64" ht="12.95" customHeight="1">
      <c r="J27" s="21">
        <v>1806</v>
      </c>
      <c r="K27" s="2" t="s">
        <v>158</v>
      </c>
      <c r="L27" s="47">
        <v>9168</v>
      </c>
      <c r="M27" s="22">
        <v>764</v>
      </c>
      <c r="N27" s="3"/>
      <c r="P27" s="21">
        <v>1806</v>
      </c>
      <c r="Q27" s="2" t="s">
        <v>264</v>
      </c>
      <c r="R27" s="5">
        <v>948</v>
      </c>
      <c r="S27" s="22">
        <v>79</v>
      </c>
      <c r="T27" s="2"/>
      <c r="W27" s="21">
        <v>1701</v>
      </c>
      <c r="X27" s="3" t="s">
        <v>358</v>
      </c>
      <c r="Y27" s="53">
        <v>4380</v>
      </c>
      <c r="Z27" s="5">
        <v>365</v>
      </c>
      <c r="AA27" s="2"/>
      <c r="AC27" s="78">
        <v>2202</v>
      </c>
      <c r="AD27" s="72" t="s">
        <v>173</v>
      </c>
      <c r="AE27" s="76">
        <v>992</v>
      </c>
      <c r="AF27" s="76">
        <v>1.3</v>
      </c>
      <c r="AG27" s="76">
        <v>944</v>
      </c>
      <c r="AH27" s="72"/>
      <c r="AI27" s="76">
        <v>1</v>
      </c>
      <c r="AJ27" s="72"/>
      <c r="AK27" s="72"/>
      <c r="AL27" s="72"/>
      <c r="AM27" s="76">
        <v>47</v>
      </c>
      <c r="AN27" s="76"/>
      <c r="AP27" s="21">
        <v>7616</v>
      </c>
      <c r="AQ27" s="3" t="s">
        <v>425</v>
      </c>
      <c r="AR27" s="22">
        <v>489</v>
      </c>
      <c r="AS27" s="22">
        <v>1.2</v>
      </c>
      <c r="AT27" s="22">
        <v>356</v>
      </c>
      <c r="AU27" s="3"/>
      <c r="AV27" s="22">
        <v>3</v>
      </c>
      <c r="AW27" s="3"/>
      <c r="AX27" s="22">
        <v>39</v>
      </c>
      <c r="AY27" s="22">
        <v>88</v>
      </c>
      <c r="AZ27" s="22">
        <v>3</v>
      </c>
      <c r="BC27" s="104" t="s">
        <v>132</v>
      </c>
      <c r="BD27" s="105"/>
      <c r="BE27" s="105"/>
      <c r="BF27" s="102"/>
      <c r="BG27" s="3"/>
      <c r="BH27" s="104" t="s">
        <v>132</v>
      </c>
      <c r="BI27" s="105"/>
      <c r="BJ27" s="105"/>
      <c r="BK27" s="102"/>
      <c r="BL27" s="2"/>
    </row>
    <row r="28" spans="10:64" ht="12" customHeight="1">
      <c r="J28" s="21">
        <v>1901</v>
      </c>
      <c r="K28" s="2" t="s">
        <v>159</v>
      </c>
      <c r="L28" s="47">
        <v>2040</v>
      </c>
      <c r="M28" s="22">
        <v>170</v>
      </c>
      <c r="N28" s="3"/>
      <c r="P28" s="21">
        <v>1901</v>
      </c>
      <c r="Q28" s="2" t="s">
        <v>265</v>
      </c>
      <c r="R28" s="47">
        <v>1560</v>
      </c>
      <c r="S28" s="22">
        <v>130</v>
      </c>
      <c r="T28" s="2"/>
      <c r="W28" s="21">
        <v>1806</v>
      </c>
      <c r="X28" s="3" t="s">
        <v>264</v>
      </c>
      <c r="Y28" s="53">
        <v>1776</v>
      </c>
      <c r="Z28" s="5">
        <v>148</v>
      </c>
      <c r="AA28" s="2"/>
      <c r="AC28" s="78">
        <v>6203</v>
      </c>
      <c r="AD28" s="72" t="s">
        <v>182</v>
      </c>
      <c r="AE28" s="76">
        <v>969</v>
      </c>
      <c r="AF28" s="76">
        <v>1.2</v>
      </c>
      <c r="AG28" s="76">
        <v>837</v>
      </c>
      <c r="AH28" s="76">
        <v>39</v>
      </c>
      <c r="AI28" s="76">
        <v>14</v>
      </c>
      <c r="AJ28" s="72"/>
      <c r="AK28" s="72"/>
      <c r="AL28" s="76">
        <v>35</v>
      </c>
      <c r="AM28" s="76">
        <v>44</v>
      </c>
      <c r="AN28" s="76"/>
      <c r="AP28" s="21">
        <v>3208</v>
      </c>
      <c r="AQ28" s="3" t="s">
        <v>303</v>
      </c>
      <c r="AR28" s="22">
        <v>425</v>
      </c>
      <c r="AS28" s="87">
        <v>1</v>
      </c>
      <c r="AT28" s="22">
        <v>335</v>
      </c>
      <c r="AU28" s="22">
        <v>89</v>
      </c>
      <c r="AV28" s="3"/>
      <c r="AW28" s="3"/>
      <c r="AX28" s="3"/>
      <c r="AY28" s="3"/>
      <c r="AZ28" s="3"/>
      <c r="BC28" s="2313" t="s">
        <v>489</v>
      </c>
      <c r="BD28" s="2313"/>
      <c r="BE28" s="102"/>
      <c r="BF28" s="103"/>
      <c r="BG28" s="3"/>
      <c r="BH28" s="2313" t="s">
        <v>489</v>
      </c>
      <c r="BI28" s="2313"/>
      <c r="BJ28" s="102"/>
      <c r="BK28" s="103"/>
      <c r="BL28" s="3"/>
    </row>
    <row r="29" spans="10:64" ht="12" customHeight="1">
      <c r="J29" s="21">
        <v>1902</v>
      </c>
      <c r="K29" s="2" t="s">
        <v>160</v>
      </c>
      <c r="L29" s="47">
        <v>1572</v>
      </c>
      <c r="M29" s="22">
        <v>131</v>
      </c>
      <c r="N29" s="3"/>
      <c r="P29" s="21">
        <v>1902</v>
      </c>
      <c r="Q29" s="2" t="s">
        <v>266</v>
      </c>
      <c r="R29" s="47">
        <v>1848</v>
      </c>
      <c r="S29" s="22">
        <v>154</v>
      </c>
      <c r="T29" s="2"/>
      <c r="W29" s="21">
        <v>1901</v>
      </c>
      <c r="X29" s="3" t="s">
        <v>265</v>
      </c>
      <c r="Y29" s="53">
        <v>3276</v>
      </c>
      <c r="Z29" s="5">
        <v>273</v>
      </c>
      <c r="AA29" s="2"/>
      <c r="AC29" s="78">
        <v>3926</v>
      </c>
      <c r="AD29" s="72" t="s">
        <v>186</v>
      </c>
      <c r="AE29" s="76">
        <v>953</v>
      </c>
      <c r="AF29" s="76">
        <v>1.2</v>
      </c>
      <c r="AG29" s="76">
        <v>803</v>
      </c>
      <c r="AH29" s="72"/>
      <c r="AI29" s="76">
        <v>6</v>
      </c>
      <c r="AJ29" s="76">
        <v>2</v>
      </c>
      <c r="AK29" s="72"/>
      <c r="AL29" s="76">
        <v>3</v>
      </c>
      <c r="AM29" s="76">
        <v>139</v>
      </c>
      <c r="AN29" s="76"/>
      <c r="AP29" s="21">
        <v>6402</v>
      </c>
      <c r="AQ29" s="3" t="s">
        <v>291</v>
      </c>
      <c r="AR29" s="22">
        <v>392</v>
      </c>
      <c r="AS29" s="22">
        <v>0.9</v>
      </c>
      <c r="AT29" s="22">
        <v>125</v>
      </c>
      <c r="AU29" s="22">
        <v>13</v>
      </c>
      <c r="AV29" s="3"/>
      <c r="AW29" s="3"/>
      <c r="AX29" s="22">
        <v>146</v>
      </c>
      <c r="AY29" s="22">
        <v>19</v>
      </c>
      <c r="AZ29" s="22">
        <v>91</v>
      </c>
      <c r="BC29" s="2"/>
      <c r="BD29" s="2"/>
      <c r="BE29" s="2"/>
      <c r="BF29" s="2"/>
      <c r="BG29" s="3"/>
      <c r="BH29" s="2"/>
      <c r="BI29" s="2"/>
      <c r="BJ29" s="2"/>
      <c r="BK29" s="2"/>
      <c r="BL29" s="2"/>
    </row>
    <row r="30" spans="10:64" ht="12.95" customHeight="1">
      <c r="J30" s="21">
        <v>1903</v>
      </c>
      <c r="K30" s="2" t="s">
        <v>161</v>
      </c>
      <c r="L30" s="5">
        <v>12</v>
      </c>
      <c r="M30" s="22">
        <v>1</v>
      </c>
      <c r="N30" s="3"/>
      <c r="P30" s="21">
        <v>1903</v>
      </c>
      <c r="Q30" s="2" t="s">
        <v>267</v>
      </c>
      <c r="R30" s="5">
        <v>444</v>
      </c>
      <c r="S30" s="22">
        <v>37</v>
      </c>
      <c r="T30" s="2"/>
      <c r="W30" s="21">
        <v>1902</v>
      </c>
      <c r="X30" s="3" t="s">
        <v>266</v>
      </c>
      <c r="Y30" s="53">
        <v>1536</v>
      </c>
      <c r="Z30" s="5">
        <v>128</v>
      </c>
      <c r="AA30" s="2"/>
      <c r="AC30" s="79" t="s">
        <v>339</v>
      </c>
      <c r="AD30" s="72" t="s">
        <v>140</v>
      </c>
      <c r="AE30" s="76">
        <v>936</v>
      </c>
      <c r="AF30" s="76">
        <v>1.2</v>
      </c>
      <c r="AG30" s="76">
        <v>919</v>
      </c>
      <c r="AH30" s="72"/>
      <c r="AI30" s="72"/>
      <c r="AJ30" s="72"/>
      <c r="AK30" s="72"/>
      <c r="AL30" s="72"/>
      <c r="AM30" s="76">
        <v>17</v>
      </c>
      <c r="AN30" s="76"/>
      <c r="AP30" s="21">
        <v>4202</v>
      </c>
      <c r="AQ30" s="3" t="s">
        <v>288</v>
      </c>
      <c r="AR30" s="22">
        <v>357</v>
      </c>
      <c r="AS30" s="22">
        <v>0.9</v>
      </c>
      <c r="AT30" s="3"/>
      <c r="AU30" s="3"/>
      <c r="AV30" s="3"/>
      <c r="AW30" s="3"/>
      <c r="AX30" s="3"/>
      <c r="AY30" s="22">
        <v>15</v>
      </c>
      <c r="AZ30" s="22">
        <v>342</v>
      </c>
      <c r="BC30" s="2"/>
      <c r="BD30" s="2"/>
      <c r="BE30" s="2"/>
      <c r="BF30" s="2"/>
      <c r="BG30" s="3"/>
      <c r="BH30" s="2"/>
      <c r="BI30" s="2"/>
      <c r="BJ30" s="2"/>
      <c r="BK30" s="2"/>
      <c r="BL30" s="2"/>
    </row>
    <row r="31" spans="10:64" ht="12.95" customHeight="1">
      <c r="J31" s="21">
        <v>1904</v>
      </c>
      <c r="K31" s="2" t="s">
        <v>162</v>
      </c>
      <c r="L31" s="47">
        <v>3900</v>
      </c>
      <c r="M31" s="22">
        <v>325</v>
      </c>
      <c r="N31" s="3"/>
      <c r="P31" s="21">
        <v>1904</v>
      </c>
      <c r="Q31" s="2" t="s">
        <v>162</v>
      </c>
      <c r="R31" s="5">
        <v>984</v>
      </c>
      <c r="S31" s="22">
        <v>82</v>
      </c>
      <c r="T31" s="2"/>
      <c r="W31" s="21">
        <v>1903</v>
      </c>
      <c r="X31" s="3" t="s">
        <v>359</v>
      </c>
      <c r="Y31" s="22">
        <v>144</v>
      </c>
      <c r="Z31" s="5">
        <v>12</v>
      </c>
      <c r="AA31" s="2"/>
      <c r="AC31" s="80"/>
      <c r="AD31" s="81" t="s">
        <v>394</v>
      </c>
      <c r="AE31" s="82">
        <v>20167</v>
      </c>
      <c r="AF31" s="83">
        <v>25.5</v>
      </c>
      <c r="AG31" s="82">
        <v>13905</v>
      </c>
      <c r="AH31" s="83">
        <v>678</v>
      </c>
      <c r="AI31" s="83">
        <v>445</v>
      </c>
      <c r="AJ31" s="83">
        <v>71</v>
      </c>
      <c r="AK31" s="83">
        <v>92</v>
      </c>
      <c r="AL31" s="82">
        <v>1066</v>
      </c>
      <c r="AM31" s="82">
        <v>3910</v>
      </c>
      <c r="AN31" s="77"/>
      <c r="AP31" s="40"/>
      <c r="AQ31" s="10" t="s">
        <v>394</v>
      </c>
      <c r="AR31" s="54">
        <v>27555</v>
      </c>
      <c r="AS31" s="29">
        <v>65.599999999999994</v>
      </c>
      <c r="AT31" s="54">
        <v>12192</v>
      </c>
      <c r="AU31" s="54">
        <v>1028</v>
      </c>
      <c r="AV31" s="29">
        <v>415</v>
      </c>
      <c r="AW31" s="29">
        <v>755</v>
      </c>
      <c r="AX31" s="29">
        <v>108</v>
      </c>
      <c r="AY31" s="29">
        <v>211</v>
      </c>
      <c r="AZ31" s="29">
        <v>559</v>
      </c>
      <c r="BC31" s="3"/>
      <c r="BD31" s="3"/>
      <c r="BE31" s="3"/>
      <c r="BF31" s="3"/>
      <c r="BG31" s="3"/>
      <c r="BH31" s="2"/>
      <c r="BI31" s="2"/>
      <c r="BJ31" s="2"/>
      <c r="BK31" s="2"/>
      <c r="BL31" s="2"/>
    </row>
    <row r="32" spans="10:64" ht="12" customHeight="1">
      <c r="J32" s="21">
        <v>1905</v>
      </c>
      <c r="K32" s="2" t="s">
        <v>163</v>
      </c>
      <c r="L32" s="47">
        <v>15384</v>
      </c>
      <c r="M32" s="53">
        <v>1282</v>
      </c>
      <c r="N32" s="3"/>
      <c r="P32" s="21">
        <v>1905</v>
      </c>
      <c r="Q32" s="2" t="s">
        <v>268</v>
      </c>
      <c r="R32" s="47">
        <v>8616</v>
      </c>
      <c r="S32" s="22">
        <v>718</v>
      </c>
      <c r="T32" s="2"/>
      <c r="W32" s="21">
        <v>1904</v>
      </c>
      <c r="X32" s="3" t="s">
        <v>162</v>
      </c>
      <c r="Y32" s="53">
        <v>1644</v>
      </c>
      <c r="Z32" s="5">
        <v>137</v>
      </c>
      <c r="AA32" s="2"/>
      <c r="AC32" s="84" t="s">
        <v>174</v>
      </c>
      <c r="AD32" s="85"/>
      <c r="AE32" s="85"/>
      <c r="AF32" s="85"/>
      <c r="AG32" s="85"/>
      <c r="AH32" s="85"/>
      <c r="AI32" s="85"/>
      <c r="AJ32" s="85"/>
      <c r="AK32" s="72"/>
      <c r="AL32" s="72"/>
      <c r="AM32" s="72"/>
      <c r="AN32" s="72"/>
      <c r="AP32" s="13" t="s">
        <v>174</v>
      </c>
      <c r="AQ32" s="14"/>
      <c r="AR32" s="14"/>
      <c r="AS32" s="14"/>
      <c r="AT32" s="14"/>
      <c r="AU32" s="14"/>
      <c r="AV32" s="14"/>
      <c r="AW32" s="14"/>
      <c r="AX32" s="14"/>
      <c r="AY32" s="2"/>
      <c r="AZ32" s="2"/>
      <c r="BC32" s="1" t="s">
        <v>474</v>
      </c>
      <c r="BD32" s="2"/>
      <c r="BE32" s="2"/>
      <c r="BF32" s="2"/>
      <c r="BG32" s="2"/>
      <c r="BH32" s="1" t="s">
        <v>492</v>
      </c>
      <c r="BI32" s="2"/>
      <c r="BJ32" s="2"/>
      <c r="BK32" s="2"/>
      <c r="BL32" s="2"/>
    </row>
    <row r="33" spans="10:64" ht="12" customHeight="1">
      <c r="J33" s="21">
        <v>2005</v>
      </c>
      <c r="K33" s="2" t="s">
        <v>164</v>
      </c>
      <c r="L33" s="47">
        <v>3384</v>
      </c>
      <c r="M33" s="22">
        <v>282</v>
      </c>
      <c r="N33" s="3"/>
      <c r="P33" s="21">
        <v>2005</v>
      </c>
      <c r="Q33" s="2" t="s">
        <v>269</v>
      </c>
      <c r="R33" s="47">
        <v>3084</v>
      </c>
      <c r="S33" s="22">
        <v>257</v>
      </c>
      <c r="T33" s="2"/>
      <c r="W33" s="21">
        <v>1905</v>
      </c>
      <c r="X33" s="3" t="s">
        <v>268</v>
      </c>
      <c r="Y33" s="53">
        <v>12744</v>
      </c>
      <c r="Z33" s="47">
        <v>1062</v>
      </c>
      <c r="AA33" s="2"/>
      <c r="AP33" s="2"/>
      <c r="AQ33" s="2"/>
      <c r="AR33" s="2"/>
      <c r="AS33" s="2"/>
      <c r="AT33" s="2"/>
      <c r="AU33" s="2"/>
      <c r="AV33" s="2"/>
      <c r="AW33" s="2"/>
      <c r="AX33" s="2"/>
      <c r="AY33" s="2"/>
      <c r="AZ33" s="2"/>
      <c r="BC33" s="2" t="s">
        <v>127</v>
      </c>
      <c r="BD33" s="2"/>
      <c r="BE33" s="2"/>
      <c r="BF33" s="2"/>
      <c r="BG33" s="2"/>
      <c r="BH33" s="2" t="s">
        <v>127</v>
      </c>
      <c r="BI33" s="2"/>
      <c r="BJ33" s="2"/>
      <c r="BK33" s="2"/>
      <c r="BL33" s="3"/>
    </row>
    <row r="34" spans="10:64" ht="12.95" customHeight="1">
      <c r="J34" s="21">
        <v>2008</v>
      </c>
      <c r="K34" s="2" t="s">
        <v>165</v>
      </c>
      <c r="L34" s="47">
        <v>6516</v>
      </c>
      <c r="M34" s="22">
        <v>543</v>
      </c>
      <c r="N34" s="3"/>
      <c r="P34" s="21">
        <v>2008</v>
      </c>
      <c r="Q34" s="2" t="s">
        <v>270</v>
      </c>
      <c r="R34" s="47">
        <v>3108</v>
      </c>
      <c r="S34" s="22">
        <v>259</v>
      </c>
      <c r="T34" s="2"/>
      <c r="W34" s="21">
        <v>2005</v>
      </c>
      <c r="X34" s="3" t="s">
        <v>269</v>
      </c>
      <c r="Y34" s="53">
        <v>1812</v>
      </c>
      <c r="Z34" s="5">
        <v>151</v>
      </c>
      <c r="AA34" s="2"/>
      <c r="AP34" s="2"/>
      <c r="AQ34" s="2"/>
      <c r="AR34" s="2"/>
      <c r="AS34" s="2"/>
      <c r="AT34" s="2"/>
      <c r="AU34" s="2"/>
      <c r="AV34" s="2"/>
      <c r="AW34" s="2"/>
      <c r="AX34" s="2"/>
      <c r="AY34" s="2"/>
      <c r="AZ34" s="2"/>
      <c r="BC34" s="108"/>
      <c r="BD34" s="98">
        <v>45738</v>
      </c>
      <c r="BE34" s="109" t="s">
        <v>385</v>
      </c>
      <c r="BF34" s="3"/>
      <c r="BG34" s="2"/>
      <c r="BH34" s="108"/>
      <c r="BI34" s="98">
        <v>45980</v>
      </c>
      <c r="BJ34" s="107" t="s">
        <v>385</v>
      </c>
      <c r="BK34" s="3"/>
      <c r="BL34" s="2"/>
    </row>
    <row r="35" spans="10:64" ht="12" customHeight="1">
      <c r="J35" s="21">
        <v>2009</v>
      </c>
      <c r="K35" s="2" t="s">
        <v>166</v>
      </c>
      <c r="L35" s="47">
        <v>4068</v>
      </c>
      <c r="M35" s="22">
        <v>339</v>
      </c>
      <c r="N35" s="3"/>
      <c r="P35" s="21">
        <v>2009</v>
      </c>
      <c r="Q35" s="2" t="s">
        <v>271</v>
      </c>
      <c r="R35" s="47">
        <v>6288</v>
      </c>
      <c r="S35" s="22">
        <v>524</v>
      </c>
      <c r="T35" s="2"/>
      <c r="W35" s="21">
        <v>2008</v>
      </c>
      <c r="X35" s="3" t="s">
        <v>270</v>
      </c>
      <c r="Y35" s="53">
        <v>4644</v>
      </c>
      <c r="Z35" s="5">
        <v>387</v>
      </c>
      <c r="AA35" s="2"/>
      <c r="AN35" s="2"/>
      <c r="AP35" s="2"/>
      <c r="AQ35" s="2"/>
      <c r="AR35" s="2"/>
      <c r="AS35" s="2"/>
      <c r="AT35" s="2"/>
      <c r="AU35" s="2"/>
      <c r="AV35" s="2"/>
      <c r="AW35" s="2"/>
      <c r="AX35" s="2"/>
      <c r="AY35" s="2"/>
      <c r="AZ35" s="2"/>
      <c r="BC35" s="23" t="s">
        <v>386</v>
      </c>
      <c r="BD35" s="97" t="s">
        <v>461</v>
      </c>
      <c r="BE35" s="106" t="s">
        <v>129</v>
      </c>
      <c r="BF35" s="3"/>
      <c r="BG35" s="3"/>
      <c r="BH35" s="23" t="s">
        <v>386</v>
      </c>
      <c r="BI35" s="97" t="s">
        <v>461</v>
      </c>
      <c r="BJ35" s="29" t="s">
        <v>129</v>
      </c>
      <c r="BK35" s="2"/>
      <c r="BL35" s="2"/>
    </row>
    <row r="36" spans="10:64" ht="14.25" customHeight="1">
      <c r="J36" s="21">
        <v>2101</v>
      </c>
      <c r="K36" s="2" t="s">
        <v>167</v>
      </c>
      <c r="L36" s="47">
        <v>8040</v>
      </c>
      <c r="M36" s="22">
        <v>670</v>
      </c>
      <c r="N36" s="3"/>
      <c r="P36" s="21">
        <v>2101</v>
      </c>
      <c r="Q36" s="2" t="s">
        <v>272</v>
      </c>
      <c r="R36" s="47">
        <v>5316</v>
      </c>
      <c r="S36" s="22">
        <v>443</v>
      </c>
      <c r="T36" s="2"/>
      <c r="W36" s="21">
        <v>2009</v>
      </c>
      <c r="X36" s="3" t="s">
        <v>360</v>
      </c>
      <c r="Y36" s="53">
        <v>3408</v>
      </c>
      <c r="Z36" s="5">
        <v>284</v>
      </c>
      <c r="AA36" s="2"/>
      <c r="AC36" s="1" t="s">
        <v>396</v>
      </c>
      <c r="AD36" s="2"/>
      <c r="AE36" s="2"/>
      <c r="AF36" s="2"/>
      <c r="AG36" s="2"/>
      <c r="AH36" s="2"/>
      <c r="AI36" s="2"/>
      <c r="AJ36" s="2"/>
      <c r="AK36" s="2"/>
      <c r="AL36" s="2"/>
      <c r="AM36" s="2"/>
      <c r="AN36" s="2"/>
      <c r="AP36" s="1" t="s">
        <v>426</v>
      </c>
      <c r="AQ36" s="2"/>
      <c r="AR36" s="2"/>
      <c r="AS36" s="2"/>
      <c r="AT36" s="2"/>
      <c r="AU36" s="2"/>
      <c r="AV36" s="2"/>
      <c r="AW36" s="2"/>
      <c r="AX36" s="3"/>
      <c r="AY36" s="2"/>
      <c r="AZ36" s="2"/>
      <c r="BC36" s="3" t="s">
        <v>129</v>
      </c>
      <c r="BD36" s="53">
        <v>52425</v>
      </c>
      <c r="BE36" s="87">
        <v>100</v>
      </c>
      <c r="BF36" s="3"/>
      <c r="BG36" s="3"/>
      <c r="BH36" s="3" t="s">
        <v>129</v>
      </c>
      <c r="BI36" s="53">
        <v>36365</v>
      </c>
      <c r="BJ36" s="87">
        <v>100</v>
      </c>
      <c r="BK36" s="2"/>
      <c r="BL36" s="2"/>
    </row>
    <row r="37" spans="10:64" ht="12.95" customHeight="1">
      <c r="J37" s="21">
        <v>2103</v>
      </c>
      <c r="K37" s="2" t="s">
        <v>168</v>
      </c>
      <c r="L37" s="47">
        <v>6396</v>
      </c>
      <c r="M37" s="22">
        <v>533</v>
      </c>
      <c r="N37" s="3"/>
      <c r="P37" s="21">
        <v>2103</v>
      </c>
      <c r="Q37" s="2" t="s">
        <v>273</v>
      </c>
      <c r="R37" s="47">
        <v>7560</v>
      </c>
      <c r="S37" s="22">
        <v>630</v>
      </c>
      <c r="T37" s="2"/>
      <c r="W37" s="21">
        <v>2101</v>
      </c>
      <c r="X37" s="3" t="s">
        <v>272</v>
      </c>
      <c r="Y37" s="53">
        <v>6648</v>
      </c>
      <c r="Z37" s="5">
        <v>554</v>
      </c>
      <c r="AA37" s="2"/>
      <c r="AC37" s="1" t="s">
        <v>127</v>
      </c>
      <c r="AD37" s="2"/>
      <c r="AE37" s="2"/>
      <c r="AF37" s="2"/>
      <c r="AG37" s="2"/>
      <c r="AH37" s="2"/>
      <c r="AI37" s="2"/>
      <c r="AJ37" s="2"/>
      <c r="AK37" s="2"/>
      <c r="AL37" s="2"/>
      <c r="AM37" s="2"/>
      <c r="AN37" s="21"/>
      <c r="AP37" s="1" t="s">
        <v>127</v>
      </c>
      <c r="AQ37" s="2"/>
      <c r="AR37" s="2"/>
      <c r="AS37" s="2"/>
      <c r="AT37" s="2"/>
      <c r="AU37" s="2"/>
      <c r="AV37" s="2"/>
      <c r="AW37" s="2"/>
      <c r="AX37" s="2"/>
      <c r="AY37" s="2"/>
      <c r="AZ37" s="2"/>
      <c r="BC37" s="2" t="s">
        <v>462</v>
      </c>
      <c r="BD37" s="47">
        <v>35700</v>
      </c>
      <c r="BE37" s="5">
        <v>68.099999999999994</v>
      </c>
      <c r="BF37" s="2"/>
      <c r="BG37" s="2"/>
      <c r="BH37" s="2" t="s">
        <v>462</v>
      </c>
      <c r="BI37" s="47">
        <v>19003</v>
      </c>
      <c r="BJ37" s="5">
        <v>52.3</v>
      </c>
      <c r="BK37" s="2"/>
      <c r="BL37" s="2"/>
    </row>
    <row r="38" spans="10:64" ht="12.95" customHeight="1">
      <c r="J38" s="21">
        <v>2104</v>
      </c>
      <c r="K38" s="2" t="s">
        <v>169</v>
      </c>
      <c r="L38" s="5">
        <v>828</v>
      </c>
      <c r="M38" s="22">
        <v>69</v>
      </c>
      <c r="N38" s="3"/>
      <c r="P38" s="35">
        <v>2104</v>
      </c>
      <c r="Q38" s="3" t="s">
        <v>274</v>
      </c>
      <c r="R38" s="47">
        <v>2748</v>
      </c>
      <c r="S38" s="22">
        <v>229</v>
      </c>
      <c r="T38" s="2"/>
      <c r="W38" s="21">
        <v>2103</v>
      </c>
      <c r="X38" s="3" t="s">
        <v>273</v>
      </c>
      <c r="Y38" s="22">
        <v>96</v>
      </c>
      <c r="Z38" s="5">
        <v>8</v>
      </c>
      <c r="AA38" s="2"/>
      <c r="AC38" s="2115" t="s">
        <v>135</v>
      </c>
      <c r="AD38" s="2270" t="s">
        <v>387</v>
      </c>
      <c r="AE38" s="2299" t="s">
        <v>455</v>
      </c>
      <c r="AF38" s="2303" t="s">
        <v>453</v>
      </c>
      <c r="AG38" s="2047" t="s">
        <v>386</v>
      </c>
      <c r="AH38" s="2047"/>
      <c r="AI38" s="2047"/>
      <c r="AJ38" s="2047"/>
      <c r="AK38" s="2047"/>
      <c r="AL38" s="2047"/>
      <c r="AM38" s="2042"/>
      <c r="AN38" s="21"/>
      <c r="AP38" s="2113" t="s">
        <v>135</v>
      </c>
      <c r="AQ38" s="2305" t="s">
        <v>387</v>
      </c>
      <c r="AR38" s="2301" t="s">
        <v>458</v>
      </c>
      <c r="AS38" s="2303" t="s">
        <v>453</v>
      </c>
      <c r="AT38" s="2047" t="s">
        <v>386</v>
      </c>
      <c r="AU38" s="2047"/>
      <c r="AV38" s="2047"/>
      <c r="AW38" s="2047"/>
      <c r="AX38" s="2047"/>
      <c r="AY38" s="2047"/>
      <c r="AZ38" s="2042"/>
      <c r="BC38" s="3" t="s">
        <v>463</v>
      </c>
      <c r="BD38" s="53">
        <v>4681</v>
      </c>
      <c r="BE38" s="22">
        <v>8.9</v>
      </c>
      <c r="BF38" s="3"/>
      <c r="BG38" s="3"/>
      <c r="BH38" s="2" t="s">
        <v>427</v>
      </c>
      <c r="BI38" s="47">
        <v>2608</v>
      </c>
      <c r="BJ38" s="5">
        <v>7.2</v>
      </c>
      <c r="BK38" s="2"/>
      <c r="BL38" s="2"/>
    </row>
    <row r="39" spans="10:64" ht="12.95" customHeight="1">
      <c r="J39" s="21">
        <v>2105</v>
      </c>
      <c r="K39" s="2" t="s">
        <v>170</v>
      </c>
      <c r="L39" s="47">
        <v>3984</v>
      </c>
      <c r="M39" s="22">
        <v>332</v>
      </c>
      <c r="N39" s="3"/>
      <c r="P39" s="21">
        <v>2105</v>
      </c>
      <c r="Q39" s="2" t="s">
        <v>275</v>
      </c>
      <c r="R39" s="47">
        <v>1056</v>
      </c>
      <c r="S39" s="22">
        <v>88</v>
      </c>
      <c r="T39" s="2"/>
      <c r="W39" s="21">
        <v>2104</v>
      </c>
      <c r="X39" s="3" t="s">
        <v>274</v>
      </c>
      <c r="Y39" s="53">
        <v>2604</v>
      </c>
      <c r="Z39" s="5">
        <v>217</v>
      </c>
      <c r="AA39" s="2"/>
      <c r="AC39" s="2116"/>
      <c r="AD39" s="2268"/>
      <c r="AE39" s="2300"/>
      <c r="AF39" s="2304"/>
      <c r="AG39" s="26" t="s">
        <v>388</v>
      </c>
      <c r="AH39" s="26" t="s">
        <v>392</v>
      </c>
      <c r="AI39" s="26" t="s">
        <v>390</v>
      </c>
      <c r="AJ39" s="64" t="s">
        <v>397</v>
      </c>
      <c r="AK39" s="26" t="s">
        <v>398</v>
      </c>
      <c r="AL39" s="26" t="s">
        <v>399</v>
      </c>
      <c r="AM39" s="27" t="s">
        <v>394</v>
      </c>
      <c r="AN39" s="53"/>
      <c r="AP39" s="2114"/>
      <c r="AQ39" s="2306"/>
      <c r="AR39" s="2302"/>
      <c r="AS39" s="2304"/>
      <c r="AT39" s="26" t="s">
        <v>388</v>
      </c>
      <c r="AU39" s="26" t="s">
        <v>427</v>
      </c>
      <c r="AV39" s="26" t="s">
        <v>398</v>
      </c>
      <c r="AW39" s="26" t="s">
        <v>389</v>
      </c>
      <c r="AX39" s="26" t="s">
        <v>390</v>
      </c>
      <c r="AY39" s="26" t="s">
        <v>392</v>
      </c>
      <c r="AZ39" s="27" t="s">
        <v>394</v>
      </c>
      <c r="BC39" s="3" t="s">
        <v>392</v>
      </c>
      <c r="BD39" s="53">
        <v>3172</v>
      </c>
      <c r="BE39" s="22">
        <v>6.1</v>
      </c>
      <c r="BF39" s="3"/>
      <c r="BG39" s="3"/>
      <c r="BH39" s="2" t="s">
        <v>493</v>
      </c>
      <c r="BI39" s="47">
        <v>2495</v>
      </c>
      <c r="BJ39" s="5">
        <v>6.9</v>
      </c>
      <c r="BK39" s="2"/>
      <c r="BL39" s="3"/>
    </row>
    <row r="40" spans="10:64" ht="12.75" customHeight="1">
      <c r="J40" s="21">
        <v>2106</v>
      </c>
      <c r="K40" s="2" t="s">
        <v>171</v>
      </c>
      <c r="L40" s="47">
        <v>17124</v>
      </c>
      <c r="M40" s="53">
        <v>1427</v>
      </c>
      <c r="N40" s="3"/>
      <c r="P40" s="21">
        <v>2106</v>
      </c>
      <c r="Q40" s="2" t="s">
        <v>276</v>
      </c>
      <c r="R40" s="47">
        <v>20592</v>
      </c>
      <c r="S40" s="53">
        <v>1716</v>
      </c>
      <c r="T40" s="2"/>
      <c r="W40" s="21">
        <v>2105</v>
      </c>
      <c r="X40" s="3" t="s">
        <v>361</v>
      </c>
      <c r="Y40" s="22">
        <v>744</v>
      </c>
      <c r="Z40" s="5">
        <v>62</v>
      </c>
      <c r="AA40" s="2"/>
      <c r="AC40" s="3"/>
      <c r="AD40" s="3" t="s">
        <v>129</v>
      </c>
      <c r="AE40" s="53">
        <v>52187</v>
      </c>
      <c r="AF40" s="88">
        <v>100</v>
      </c>
      <c r="AG40" s="53">
        <v>35700</v>
      </c>
      <c r="AH40" s="47">
        <v>3172</v>
      </c>
      <c r="AI40" s="53">
        <v>4681</v>
      </c>
      <c r="AJ40" s="62">
        <v>514</v>
      </c>
      <c r="AK40" s="47">
        <v>1660</v>
      </c>
      <c r="AL40" s="47">
        <v>2343</v>
      </c>
      <c r="AM40" s="53">
        <v>4353</v>
      </c>
      <c r="AN40" s="22"/>
      <c r="AP40" s="35"/>
      <c r="AQ40" s="3" t="s">
        <v>129</v>
      </c>
      <c r="AR40" s="53">
        <v>33906</v>
      </c>
      <c r="AS40" s="87">
        <v>100</v>
      </c>
      <c r="AT40" s="53">
        <v>19003</v>
      </c>
      <c r="AU40" s="53">
        <v>2608</v>
      </c>
      <c r="AV40" s="53">
        <v>2495</v>
      </c>
      <c r="AW40" s="53">
        <v>2026</v>
      </c>
      <c r="AX40" s="53">
        <v>1699</v>
      </c>
      <c r="AY40" s="53">
        <v>1301</v>
      </c>
      <c r="AZ40" s="53">
        <v>4774</v>
      </c>
      <c r="BC40" s="3" t="s">
        <v>399</v>
      </c>
      <c r="BD40" s="53">
        <v>2343</v>
      </c>
      <c r="BE40" s="22">
        <v>4.5</v>
      </c>
      <c r="BF40" s="3"/>
      <c r="BG40" s="2"/>
      <c r="BH40" s="2" t="s">
        <v>389</v>
      </c>
      <c r="BI40" s="47">
        <v>2026</v>
      </c>
      <c r="BJ40" s="5">
        <v>5.6</v>
      </c>
      <c r="BK40" s="2"/>
      <c r="BL40" s="2"/>
    </row>
    <row r="41" spans="10:64" ht="12.95" customHeight="1">
      <c r="J41" s="21">
        <v>2201</v>
      </c>
      <c r="K41" s="2" t="s">
        <v>172</v>
      </c>
      <c r="L41" s="47">
        <v>2652</v>
      </c>
      <c r="M41" s="22">
        <v>221</v>
      </c>
      <c r="N41" s="3"/>
      <c r="P41" s="21">
        <v>2201</v>
      </c>
      <c r="Q41" s="2" t="s">
        <v>277</v>
      </c>
      <c r="R41" s="47">
        <v>11208</v>
      </c>
      <c r="S41" s="22">
        <v>934</v>
      </c>
      <c r="T41" s="2"/>
      <c r="W41" s="21">
        <v>2106</v>
      </c>
      <c r="X41" s="3" t="s">
        <v>276</v>
      </c>
      <c r="Y41" s="53">
        <v>10824</v>
      </c>
      <c r="Z41" s="5">
        <v>902</v>
      </c>
      <c r="AA41" s="2"/>
      <c r="AC41" s="35">
        <v>8703</v>
      </c>
      <c r="AD41" s="2" t="s">
        <v>400</v>
      </c>
      <c r="AE41" s="53">
        <v>6993</v>
      </c>
      <c r="AF41" s="22">
        <v>13.4</v>
      </c>
      <c r="AG41" s="53">
        <v>4393</v>
      </c>
      <c r="AH41" s="5">
        <v>682</v>
      </c>
      <c r="AI41" s="53">
        <v>1755</v>
      </c>
      <c r="AJ41" s="3"/>
      <c r="AK41" s="2"/>
      <c r="AL41" s="2"/>
      <c r="AM41" s="22">
        <v>163</v>
      </c>
      <c r="AN41" s="2"/>
      <c r="AP41" s="21">
        <v>4206</v>
      </c>
      <c r="AQ41" s="2" t="s">
        <v>289</v>
      </c>
      <c r="AR41" s="53">
        <v>3192</v>
      </c>
      <c r="AS41" s="22">
        <v>9.4</v>
      </c>
      <c r="AT41" s="22">
        <v>89</v>
      </c>
      <c r="AU41" s="53">
        <v>1736</v>
      </c>
      <c r="AV41" s="22">
        <v>180</v>
      </c>
      <c r="AW41" s="22">
        <v>121</v>
      </c>
      <c r="AX41" s="22">
        <v>16</v>
      </c>
      <c r="AY41" s="22">
        <v>0</v>
      </c>
      <c r="AZ41" s="53">
        <v>1050</v>
      </c>
      <c r="BC41" s="3" t="s">
        <v>475</v>
      </c>
      <c r="BD41" s="53">
        <v>1660</v>
      </c>
      <c r="BE41" s="22">
        <v>3.2</v>
      </c>
      <c r="BF41" s="3"/>
      <c r="BG41" s="2"/>
      <c r="BH41" s="2" t="s">
        <v>463</v>
      </c>
      <c r="BI41" s="47">
        <v>1699</v>
      </c>
      <c r="BJ41" s="5">
        <v>4.7</v>
      </c>
      <c r="BK41" s="2"/>
      <c r="BL41" s="2"/>
    </row>
    <row r="42" spans="10:64" ht="12.95" customHeight="1">
      <c r="J42" s="40">
        <v>2202</v>
      </c>
      <c r="K42" s="10" t="s">
        <v>173</v>
      </c>
      <c r="L42" s="51">
        <v>11892</v>
      </c>
      <c r="M42" s="29">
        <v>991</v>
      </c>
      <c r="N42" s="3"/>
      <c r="P42" s="58">
        <v>2202</v>
      </c>
      <c r="Q42" s="10" t="s">
        <v>278</v>
      </c>
      <c r="R42" s="51">
        <v>17472</v>
      </c>
      <c r="S42" s="51">
        <v>1456</v>
      </c>
      <c r="T42" s="2"/>
      <c r="W42" s="21">
        <v>2201</v>
      </c>
      <c r="X42" s="7" t="s">
        <v>362</v>
      </c>
      <c r="Y42" s="53">
        <v>1980</v>
      </c>
      <c r="Z42" s="5">
        <v>165</v>
      </c>
      <c r="AA42" s="2"/>
      <c r="AC42" s="35">
        <v>3401</v>
      </c>
      <c r="AD42" s="2" t="s">
        <v>401</v>
      </c>
      <c r="AE42" s="53">
        <v>4150</v>
      </c>
      <c r="AF42" s="87">
        <v>8</v>
      </c>
      <c r="AG42" s="47">
        <v>4140</v>
      </c>
      <c r="AH42" s="5">
        <v>3</v>
      </c>
      <c r="AI42" s="2"/>
      <c r="AJ42" s="62">
        <v>8</v>
      </c>
      <c r="AK42" s="2"/>
      <c r="AL42" s="2"/>
      <c r="AM42" s="2"/>
      <c r="AN42" s="22"/>
      <c r="AP42" s="21">
        <v>6203</v>
      </c>
      <c r="AQ42" s="2" t="s">
        <v>428</v>
      </c>
      <c r="AR42" s="53">
        <v>1737</v>
      </c>
      <c r="AS42" s="22">
        <v>5.0999999999999996</v>
      </c>
      <c r="AT42" s="53">
        <v>1452</v>
      </c>
      <c r="AU42" s="22">
        <v>19</v>
      </c>
      <c r="AV42" s="22">
        <v>58</v>
      </c>
      <c r="AW42" s="22">
        <v>1</v>
      </c>
      <c r="AX42" s="22">
        <v>4</v>
      </c>
      <c r="AY42" s="22">
        <v>4</v>
      </c>
      <c r="AZ42" s="22">
        <v>199</v>
      </c>
      <c r="BC42" s="3" t="s">
        <v>389</v>
      </c>
      <c r="BD42" s="53">
        <v>1413</v>
      </c>
      <c r="BE42" s="22">
        <v>2.7</v>
      </c>
      <c r="BF42" s="3"/>
      <c r="BG42" s="3"/>
      <c r="BH42" s="2" t="s">
        <v>392</v>
      </c>
      <c r="BI42" s="47">
        <v>1301</v>
      </c>
      <c r="BJ42" s="5">
        <v>3.6</v>
      </c>
      <c r="BK42" s="2"/>
      <c r="BL42" s="2"/>
    </row>
    <row r="43" spans="10:64" ht="12.95" customHeight="1">
      <c r="J43" s="13" t="s">
        <v>174</v>
      </c>
      <c r="K43" s="13"/>
      <c r="L43" s="13"/>
      <c r="M43" s="13"/>
      <c r="N43" s="13"/>
      <c r="O43" s="25"/>
      <c r="P43" s="13" t="s">
        <v>174</v>
      </c>
      <c r="Q43" s="14"/>
      <c r="R43" s="14"/>
      <c r="S43" s="14"/>
      <c r="T43" s="14"/>
      <c r="U43" s="25"/>
      <c r="V43" s="25"/>
      <c r="W43" s="40">
        <v>2202</v>
      </c>
      <c r="X43" s="59" t="s">
        <v>452</v>
      </c>
      <c r="Y43" s="54">
        <v>19164</v>
      </c>
      <c r="Z43" s="51">
        <v>1597</v>
      </c>
      <c r="AA43" s="2"/>
      <c r="AC43" s="35">
        <v>8516</v>
      </c>
      <c r="AD43" s="2" t="s">
        <v>402</v>
      </c>
      <c r="AE43" s="53">
        <v>3124</v>
      </c>
      <c r="AF43" s="87">
        <v>6</v>
      </c>
      <c r="AG43" s="47">
        <v>2845</v>
      </c>
      <c r="AH43" s="2"/>
      <c r="AI43" s="5">
        <v>79</v>
      </c>
      <c r="AJ43" s="2"/>
      <c r="AK43" s="22">
        <v>123</v>
      </c>
      <c r="AL43" s="2"/>
      <c r="AM43" s="22">
        <v>77</v>
      </c>
      <c r="AN43" s="2"/>
      <c r="AP43" s="21">
        <v>8703</v>
      </c>
      <c r="AQ43" s="2" t="s">
        <v>293</v>
      </c>
      <c r="AR43" s="53">
        <v>1603</v>
      </c>
      <c r="AS43" s="22">
        <v>4.7</v>
      </c>
      <c r="AT43" s="53">
        <v>1434</v>
      </c>
      <c r="AU43" s="3"/>
      <c r="AV43" s="3"/>
      <c r="AW43" s="3"/>
      <c r="AX43" s="22">
        <v>166</v>
      </c>
      <c r="AY43" s="22">
        <v>3</v>
      </c>
      <c r="AZ43" s="3"/>
      <c r="BC43" s="3" t="s">
        <v>467</v>
      </c>
      <c r="BD43" s="22">
        <v>596</v>
      </c>
      <c r="BE43" s="22">
        <v>1.1000000000000001</v>
      </c>
      <c r="BF43" s="3"/>
      <c r="BG43" s="3"/>
      <c r="BH43" s="2" t="s">
        <v>399</v>
      </c>
      <c r="BI43" s="47">
        <v>1149</v>
      </c>
      <c r="BJ43" s="5">
        <v>3.2</v>
      </c>
      <c r="BK43" s="2"/>
      <c r="BL43" s="2"/>
    </row>
    <row r="44" spans="10:64" ht="12.95" customHeight="1">
      <c r="J44" s="13" t="s">
        <v>175</v>
      </c>
      <c r="K44" s="13"/>
      <c r="L44" s="13"/>
      <c r="M44" s="13"/>
      <c r="N44" s="13"/>
      <c r="O44" s="25"/>
      <c r="P44" s="13" t="s">
        <v>175</v>
      </c>
      <c r="Q44" s="14"/>
      <c r="R44" s="14"/>
      <c r="S44" s="14"/>
      <c r="T44" s="14"/>
      <c r="U44" s="25"/>
      <c r="V44" s="25"/>
      <c r="W44" s="13" t="s">
        <v>174</v>
      </c>
      <c r="X44" s="14"/>
      <c r="Y44" s="14"/>
      <c r="Z44" s="14"/>
      <c r="AA44" s="14"/>
      <c r="AB44" s="25"/>
      <c r="AC44" s="56" t="s">
        <v>337</v>
      </c>
      <c r="AD44" s="2" t="s">
        <v>245</v>
      </c>
      <c r="AE44" s="53">
        <v>1844</v>
      </c>
      <c r="AF44" s="22">
        <v>3.5</v>
      </c>
      <c r="AG44" s="47">
        <v>1841</v>
      </c>
      <c r="AH44" s="2"/>
      <c r="AI44" s="22">
        <v>2</v>
      </c>
      <c r="AJ44" s="3"/>
      <c r="AK44" s="2"/>
      <c r="AL44" s="2"/>
      <c r="AM44" s="2"/>
      <c r="AN44" s="22"/>
      <c r="AP44" s="21">
        <v>8548</v>
      </c>
      <c r="AQ44" s="2" t="s">
        <v>429</v>
      </c>
      <c r="AR44" s="53">
        <v>1481</v>
      </c>
      <c r="AS44" s="22">
        <v>4.4000000000000004</v>
      </c>
      <c r="AT44" s="22">
        <v>788</v>
      </c>
      <c r="AU44" s="3"/>
      <c r="AV44" s="22">
        <v>609</v>
      </c>
      <c r="AW44" s="3"/>
      <c r="AX44" s="3"/>
      <c r="AY44" s="22">
        <v>72</v>
      </c>
      <c r="AZ44" s="22">
        <v>12</v>
      </c>
      <c r="BC44" s="3" t="s">
        <v>418</v>
      </c>
      <c r="BD44" s="22">
        <v>514</v>
      </c>
      <c r="BE44" s="87">
        <v>1</v>
      </c>
      <c r="BF44" s="3"/>
      <c r="BG44" s="3"/>
      <c r="BH44" s="2" t="s">
        <v>391</v>
      </c>
      <c r="BI44" s="5">
        <v>964</v>
      </c>
      <c r="BJ44" s="5">
        <v>2.7</v>
      </c>
      <c r="BK44" s="2"/>
      <c r="BL44" s="2"/>
    </row>
    <row r="45" spans="10:64" ht="12.95" customHeight="1">
      <c r="J45" s="13"/>
      <c r="K45" s="13"/>
      <c r="L45" s="13"/>
      <c r="M45" s="13"/>
      <c r="N45" s="2"/>
      <c r="P45" s="2"/>
      <c r="Q45" s="2"/>
      <c r="R45" s="2"/>
      <c r="S45" s="2"/>
      <c r="T45" s="2"/>
      <c r="W45" s="13" t="s">
        <v>175</v>
      </c>
      <c r="X45" s="14"/>
      <c r="Y45" s="14"/>
      <c r="Z45" s="14"/>
      <c r="AA45" s="14"/>
      <c r="AB45" s="25"/>
      <c r="AC45" s="35">
        <v>3304</v>
      </c>
      <c r="AD45" s="2" t="s">
        <v>319</v>
      </c>
      <c r="AE45" s="53">
        <v>1772</v>
      </c>
      <c r="AF45" s="22">
        <v>3.4</v>
      </c>
      <c r="AG45" s="53">
        <v>1333</v>
      </c>
      <c r="AH45" s="5">
        <v>65</v>
      </c>
      <c r="AI45" s="2"/>
      <c r="AJ45" s="63">
        <v>21</v>
      </c>
      <c r="AK45" s="3"/>
      <c r="AL45" s="2"/>
      <c r="AM45" s="22">
        <v>353</v>
      </c>
      <c r="AN45" s="22"/>
      <c r="AP45" s="21">
        <v>2106</v>
      </c>
      <c r="AQ45" s="2" t="s">
        <v>276</v>
      </c>
      <c r="AR45" s="53">
        <v>1294</v>
      </c>
      <c r="AS45" s="22">
        <v>3.8</v>
      </c>
      <c r="AT45" s="22">
        <v>548</v>
      </c>
      <c r="AU45" s="3"/>
      <c r="AV45" s="22">
        <v>60</v>
      </c>
      <c r="AW45" s="3"/>
      <c r="AX45" s="22">
        <v>70</v>
      </c>
      <c r="AY45" s="22">
        <v>122</v>
      </c>
      <c r="AZ45" s="22">
        <v>494</v>
      </c>
      <c r="BC45" s="3" t="s">
        <v>466</v>
      </c>
      <c r="BD45" s="22">
        <v>481</v>
      </c>
      <c r="BE45" s="22">
        <v>0.9</v>
      </c>
      <c r="BF45" s="3"/>
      <c r="BG45" s="3"/>
      <c r="BH45" s="2" t="s">
        <v>441</v>
      </c>
      <c r="BI45" s="5">
        <v>790</v>
      </c>
      <c r="BJ45" s="5">
        <v>2.2000000000000002</v>
      </c>
      <c r="BK45" s="2"/>
      <c r="BL45" s="2"/>
    </row>
    <row r="46" spans="10:64" ht="12.95" customHeight="1">
      <c r="J46" s="2"/>
      <c r="K46" s="2"/>
      <c r="L46" s="2"/>
      <c r="M46" s="2"/>
      <c r="N46" s="2"/>
      <c r="P46" s="2"/>
      <c r="Q46" s="2"/>
      <c r="R46" s="2"/>
      <c r="S46" s="2"/>
      <c r="T46" s="2"/>
      <c r="W46" s="13"/>
      <c r="X46" s="14"/>
      <c r="Y46" s="14"/>
      <c r="Z46" s="14"/>
      <c r="AA46" s="2"/>
      <c r="AC46" s="35">
        <v>2106</v>
      </c>
      <c r="AD46" s="2" t="s">
        <v>276</v>
      </c>
      <c r="AE46" s="53">
        <v>1716</v>
      </c>
      <c r="AF46" s="22">
        <v>3.3</v>
      </c>
      <c r="AG46" s="53">
        <v>1069</v>
      </c>
      <c r="AH46" s="5">
        <v>338</v>
      </c>
      <c r="AI46" s="22">
        <v>191</v>
      </c>
      <c r="AJ46" s="63">
        <v>13</v>
      </c>
      <c r="AK46" s="3"/>
      <c r="AL46" s="5">
        <v>10</v>
      </c>
      <c r="AM46" s="22">
        <v>96</v>
      </c>
      <c r="AN46" s="22"/>
      <c r="AP46" s="21">
        <v>2523</v>
      </c>
      <c r="AQ46" s="2" t="s">
        <v>302</v>
      </c>
      <c r="AR46" s="53">
        <v>1196</v>
      </c>
      <c r="AS46" s="22">
        <v>3.5</v>
      </c>
      <c r="AT46" s="22">
        <v>74</v>
      </c>
      <c r="AU46" s="3"/>
      <c r="AV46" s="3"/>
      <c r="AW46" s="22">
        <v>900</v>
      </c>
      <c r="AX46" s="22">
        <v>56</v>
      </c>
      <c r="AY46" s="3"/>
      <c r="AZ46" s="22">
        <v>166</v>
      </c>
      <c r="BC46" s="3" t="s">
        <v>441</v>
      </c>
      <c r="BD46" s="22">
        <v>415</v>
      </c>
      <c r="BE46" s="22">
        <v>0.8</v>
      </c>
      <c r="BF46" s="3"/>
      <c r="BG46" s="3"/>
      <c r="BH46" s="2" t="s">
        <v>494</v>
      </c>
      <c r="BI46" s="5">
        <v>708</v>
      </c>
      <c r="BJ46" s="5">
        <v>1.9</v>
      </c>
      <c r="BK46" s="2"/>
      <c r="BL46" s="2"/>
    </row>
    <row r="47" spans="10:64" ht="12.95" customHeight="1">
      <c r="J47" s="2"/>
      <c r="K47" s="2"/>
      <c r="L47" s="2"/>
      <c r="M47" s="2"/>
      <c r="N47" s="2"/>
      <c r="P47" s="2"/>
      <c r="Q47" s="2"/>
      <c r="R47" s="2"/>
      <c r="S47" s="2"/>
      <c r="T47" s="2"/>
      <c r="W47" s="2"/>
      <c r="X47" s="2"/>
      <c r="Y47" s="2"/>
      <c r="Z47" s="2"/>
      <c r="AA47" s="2"/>
      <c r="AC47" s="35">
        <v>2202</v>
      </c>
      <c r="AD47" s="2" t="s">
        <v>278</v>
      </c>
      <c r="AE47" s="53">
        <v>1456</v>
      </c>
      <c r="AF47" s="5">
        <v>2.8</v>
      </c>
      <c r="AG47" s="53">
        <v>1194</v>
      </c>
      <c r="AH47" s="22">
        <v>15</v>
      </c>
      <c r="AI47" s="22">
        <v>14</v>
      </c>
      <c r="AJ47" s="63">
        <v>77</v>
      </c>
      <c r="AK47" s="22">
        <v>17</v>
      </c>
      <c r="AL47" s="22">
        <v>75</v>
      </c>
      <c r="AM47" s="22">
        <v>65</v>
      </c>
      <c r="AN47" s="2"/>
      <c r="AP47" s="21">
        <v>2203</v>
      </c>
      <c r="AQ47" s="2" t="s">
        <v>430</v>
      </c>
      <c r="AR47" s="53">
        <v>1187</v>
      </c>
      <c r="AS47" s="22">
        <v>3.5</v>
      </c>
      <c r="AT47" s="53">
        <v>1035</v>
      </c>
      <c r="AU47" s="3"/>
      <c r="AV47" s="22">
        <v>33</v>
      </c>
      <c r="AW47" s="22">
        <v>62</v>
      </c>
      <c r="AX47" s="3"/>
      <c r="AY47" s="22">
        <v>29</v>
      </c>
      <c r="AZ47" s="22">
        <v>28</v>
      </c>
      <c r="BC47" s="3" t="s">
        <v>464</v>
      </c>
      <c r="BD47" s="22">
        <v>269</v>
      </c>
      <c r="BE47" s="22">
        <v>0.5</v>
      </c>
      <c r="BF47" s="3"/>
      <c r="BG47" s="3"/>
      <c r="BH47" s="2" t="s">
        <v>397</v>
      </c>
      <c r="BI47" s="5">
        <v>658</v>
      </c>
      <c r="BJ47" s="5">
        <v>1.8</v>
      </c>
      <c r="BK47" s="2"/>
      <c r="BL47" s="2"/>
    </row>
    <row r="48" spans="10:64" ht="12.95" customHeight="1">
      <c r="J48" s="1" t="s">
        <v>176</v>
      </c>
      <c r="K48" s="3"/>
      <c r="L48" s="3"/>
      <c r="M48" s="3"/>
      <c r="N48" s="2"/>
      <c r="P48" s="1" t="s">
        <v>279</v>
      </c>
      <c r="Q48" s="3"/>
      <c r="R48" s="3"/>
      <c r="S48" s="2"/>
      <c r="T48" s="2"/>
      <c r="W48" s="2"/>
      <c r="X48" s="2"/>
      <c r="Y48" s="2"/>
      <c r="Z48" s="2"/>
      <c r="AA48" s="3"/>
      <c r="AC48" s="35">
        <v>1602</v>
      </c>
      <c r="AD48" s="2" t="s">
        <v>260</v>
      </c>
      <c r="AE48" s="53">
        <v>1397</v>
      </c>
      <c r="AF48" s="5">
        <v>2.7</v>
      </c>
      <c r="AG48" s="47">
        <v>1375</v>
      </c>
      <c r="AH48" s="3"/>
      <c r="AI48" s="5">
        <v>12</v>
      </c>
      <c r="AJ48" s="62">
        <v>9</v>
      </c>
      <c r="AK48" s="2"/>
      <c r="AL48" s="2"/>
      <c r="AM48" s="2"/>
      <c r="AN48" s="5"/>
      <c r="AP48" s="21">
        <v>6204</v>
      </c>
      <c r="AQ48" s="2" t="s">
        <v>431</v>
      </c>
      <c r="AR48" s="53">
        <v>1144</v>
      </c>
      <c r="AS48" s="22">
        <v>3.4</v>
      </c>
      <c r="AT48" s="22">
        <v>818</v>
      </c>
      <c r="AU48" s="22">
        <v>42</v>
      </c>
      <c r="AV48" s="22">
        <v>53</v>
      </c>
      <c r="AW48" s="22">
        <v>14</v>
      </c>
      <c r="AX48" s="22">
        <v>1</v>
      </c>
      <c r="AY48" s="22">
        <v>51</v>
      </c>
      <c r="AZ48" s="22">
        <v>165</v>
      </c>
      <c r="BC48" s="3" t="s">
        <v>476</v>
      </c>
      <c r="BD48" s="22">
        <v>261</v>
      </c>
      <c r="BE48" s="22">
        <v>0.5</v>
      </c>
      <c r="BF48" s="3"/>
      <c r="BG48" s="3"/>
      <c r="BH48" s="2" t="s">
        <v>466</v>
      </c>
      <c r="BI48" s="5">
        <v>551</v>
      </c>
      <c r="BJ48" s="5">
        <v>1.5</v>
      </c>
      <c r="BK48" s="2"/>
      <c r="BL48" s="2"/>
    </row>
    <row r="49" spans="10:64" ht="12.95" customHeight="1">
      <c r="J49" s="1" t="s">
        <v>127</v>
      </c>
      <c r="K49" s="3"/>
      <c r="L49" s="3"/>
      <c r="M49" s="3"/>
      <c r="N49" s="2"/>
      <c r="P49" s="1" t="s">
        <v>127</v>
      </c>
      <c r="Q49" s="3"/>
      <c r="R49" s="3"/>
      <c r="S49" s="2"/>
      <c r="T49" s="2"/>
      <c r="W49" s="1" t="s">
        <v>363</v>
      </c>
      <c r="X49" s="3"/>
      <c r="Y49" s="3"/>
      <c r="Z49" s="3"/>
      <c r="AA49" s="2"/>
      <c r="AC49" s="35">
        <v>2523</v>
      </c>
      <c r="AD49" s="2" t="s">
        <v>302</v>
      </c>
      <c r="AE49" s="47">
        <v>1228</v>
      </c>
      <c r="AF49" s="5">
        <v>2.4</v>
      </c>
      <c r="AG49" s="22">
        <v>104</v>
      </c>
      <c r="AH49" s="3"/>
      <c r="AI49" s="5">
        <v>53</v>
      </c>
      <c r="AJ49" s="3"/>
      <c r="AK49" s="2"/>
      <c r="AL49" s="53">
        <v>1048</v>
      </c>
      <c r="AM49" s="5">
        <v>23</v>
      </c>
      <c r="AN49" s="2"/>
      <c r="AP49" s="21">
        <v>3304</v>
      </c>
      <c r="AQ49" s="2" t="s">
        <v>432</v>
      </c>
      <c r="AR49" s="53">
        <v>1137</v>
      </c>
      <c r="AS49" s="22">
        <v>3.4</v>
      </c>
      <c r="AT49" s="22">
        <v>628</v>
      </c>
      <c r="AU49" s="22">
        <v>58</v>
      </c>
      <c r="AV49" s="22">
        <v>2</v>
      </c>
      <c r="AW49" s="3"/>
      <c r="AX49" s="22">
        <v>116</v>
      </c>
      <c r="AY49" s="22">
        <v>30</v>
      </c>
      <c r="AZ49" s="22">
        <v>303</v>
      </c>
      <c r="BC49" s="3" t="s">
        <v>427</v>
      </c>
      <c r="BD49" s="22">
        <v>143</v>
      </c>
      <c r="BE49" s="22">
        <v>0.3</v>
      </c>
      <c r="BF49" s="3"/>
      <c r="BG49" s="3"/>
      <c r="BH49" s="2" t="s">
        <v>467</v>
      </c>
      <c r="BI49" s="5">
        <v>546</v>
      </c>
      <c r="BJ49" s="5">
        <v>1.5</v>
      </c>
      <c r="BK49" s="2"/>
      <c r="BL49" s="2"/>
    </row>
    <row r="50" spans="10:64" ht="12.95" customHeight="1">
      <c r="J50" s="2115" t="s">
        <v>135</v>
      </c>
      <c r="K50" s="2305" t="s">
        <v>136</v>
      </c>
      <c r="L50" s="2270" t="s">
        <v>242</v>
      </c>
      <c r="M50" s="33" t="s">
        <v>3</v>
      </c>
      <c r="N50" s="2"/>
      <c r="P50" s="2113" t="s">
        <v>135</v>
      </c>
      <c r="Q50" s="2305" t="s">
        <v>136</v>
      </c>
      <c r="R50" s="2270" t="s">
        <v>242</v>
      </c>
      <c r="S50" s="12" t="s">
        <v>34</v>
      </c>
      <c r="T50" s="2"/>
      <c r="W50" s="1" t="s">
        <v>127</v>
      </c>
      <c r="X50" s="3"/>
      <c r="Y50" s="3"/>
      <c r="Z50" s="3"/>
      <c r="AA50" s="3"/>
      <c r="AC50" s="35">
        <v>3006</v>
      </c>
      <c r="AD50" s="2" t="s">
        <v>317</v>
      </c>
      <c r="AE50" s="53">
        <v>1235</v>
      </c>
      <c r="AF50" s="22">
        <v>2.4</v>
      </c>
      <c r="AG50" s="53">
        <v>1230</v>
      </c>
      <c r="AH50" s="5">
        <v>1</v>
      </c>
      <c r="AI50" s="22">
        <v>2</v>
      </c>
      <c r="AJ50" s="62">
        <v>2</v>
      </c>
      <c r="AK50" s="3"/>
      <c r="AL50" s="2"/>
      <c r="AM50" s="2"/>
      <c r="AN50" s="5"/>
      <c r="AP50" s="21">
        <v>8708</v>
      </c>
      <c r="AQ50" s="2" t="s">
        <v>295</v>
      </c>
      <c r="AR50" s="53">
        <v>1011</v>
      </c>
      <c r="AS50" s="87">
        <v>3</v>
      </c>
      <c r="AT50" s="22">
        <v>916</v>
      </c>
      <c r="AU50" s="3"/>
      <c r="AV50" s="3"/>
      <c r="AW50" s="3"/>
      <c r="AX50" s="22">
        <v>32</v>
      </c>
      <c r="AY50" s="22">
        <v>34</v>
      </c>
      <c r="AZ50" s="22">
        <v>29</v>
      </c>
      <c r="BC50" s="3" t="s">
        <v>471</v>
      </c>
      <c r="BD50" s="22">
        <v>126</v>
      </c>
      <c r="BE50" s="22">
        <v>0.2</v>
      </c>
      <c r="BF50" s="3"/>
      <c r="BG50" s="3"/>
      <c r="BH50" s="2" t="s">
        <v>465</v>
      </c>
      <c r="BI50" s="5">
        <v>305</v>
      </c>
      <c r="BJ50" s="5">
        <v>0.8</v>
      </c>
      <c r="BK50" s="2"/>
      <c r="BL50" s="2"/>
    </row>
    <row r="51" spans="10:64" ht="12.95" customHeight="1">
      <c r="J51" s="2116"/>
      <c r="K51" s="2306"/>
      <c r="L51" s="2268"/>
      <c r="M51" s="50">
        <v>45739</v>
      </c>
      <c r="N51" s="2"/>
      <c r="P51" s="2114"/>
      <c r="Q51" s="2306"/>
      <c r="R51" s="2268"/>
      <c r="S51" s="50">
        <v>45738</v>
      </c>
      <c r="T51" s="2"/>
      <c r="W51" s="2113" t="s">
        <v>135</v>
      </c>
      <c r="X51" s="2305" t="s">
        <v>136</v>
      </c>
      <c r="Y51" s="2270" t="s">
        <v>242</v>
      </c>
      <c r="Z51" s="27" t="s">
        <v>35</v>
      </c>
      <c r="AA51" s="2"/>
      <c r="AC51" s="35">
        <v>7200</v>
      </c>
      <c r="AD51" s="2" t="s">
        <v>309</v>
      </c>
      <c r="AE51" s="47">
        <v>1408</v>
      </c>
      <c r="AF51" s="22">
        <v>2.7</v>
      </c>
      <c r="AG51" s="22">
        <v>19</v>
      </c>
      <c r="AH51" s="5">
        <v>624</v>
      </c>
      <c r="AI51" s="22">
        <v>686</v>
      </c>
      <c r="AJ51" s="2"/>
      <c r="AK51" s="22">
        <v>70</v>
      </c>
      <c r="AL51" s="2"/>
      <c r="AM51" s="5">
        <v>9</v>
      </c>
      <c r="AN51" s="5"/>
      <c r="AP51" s="21">
        <v>6217</v>
      </c>
      <c r="AQ51" s="2" t="s">
        <v>286</v>
      </c>
      <c r="AR51" s="53">
        <v>1011</v>
      </c>
      <c r="AS51" s="87">
        <v>3</v>
      </c>
      <c r="AT51" s="22">
        <v>836</v>
      </c>
      <c r="AU51" s="22">
        <v>53</v>
      </c>
      <c r="AV51" s="22">
        <v>4</v>
      </c>
      <c r="AW51" s="22">
        <v>17</v>
      </c>
      <c r="AX51" s="22">
        <v>1</v>
      </c>
      <c r="AY51" s="22">
        <v>34</v>
      </c>
      <c r="AZ51" s="22">
        <v>66</v>
      </c>
      <c r="BC51" s="3" t="s">
        <v>465</v>
      </c>
      <c r="BD51" s="22">
        <v>124</v>
      </c>
      <c r="BE51" s="22">
        <v>0.2</v>
      </c>
      <c r="BF51" s="3"/>
      <c r="BG51" s="3"/>
      <c r="BH51" s="2" t="s">
        <v>495</v>
      </c>
      <c r="BI51" s="5">
        <v>252</v>
      </c>
      <c r="BJ51" s="5">
        <v>0.7</v>
      </c>
      <c r="BK51" s="2"/>
      <c r="BL51" s="2"/>
    </row>
    <row r="52" spans="10:64" ht="12.95" customHeight="1">
      <c r="J52" s="2"/>
      <c r="K52" s="2"/>
      <c r="L52" s="2"/>
      <c r="M52" s="2"/>
      <c r="N52" s="3"/>
      <c r="P52" s="2"/>
      <c r="Q52" s="2"/>
      <c r="R52" s="2"/>
      <c r="S52" s="2"/>
      <c r="T52" s="2"/>
      <c r="W52" s="2114"/>
      <c r="X52" s="2306"/>
      <c r="Y52" s="2268"/>
      <c r="Z52" s="50">
        <v>46012</v>
      </c>
      <c r="AA52" s="3"/>
      <c r="AC52" s="35">
        <v>2203</v>
      </c>
      <c r="AD52" s="2" t="s">
        <v>280</v>
      </c>
      <c r="AE52" s="53">
        <v>1088</v>
      </c>
      <c r="AF52" s="22">
        <v>2.1</v>
      </c>
      <c r="AG52" s="5">
        <v>705</v>
      </c>
      <c r="AH52" s="22">
        <v>48</v>
      </c>
      <c r="AI52" s="2"/>
      <c r="AJ52" s="3"/>
      <c r="AK52" s="5">
        <v>235</v>
      </c>
      <c r="AL52" s="2"/>
      <c r="AM52" s="5">
        <v>335</v>
      </c>
      <c r="AN52" s="22"/>
      <c r="AP52" s="21">
        <v>9101</v>
      </c>
      <c r="AQ52" s="2" t="s">
        <v>433</v>
      </c>
      <c r="AR52" s="22">
        <v>955</v>
      </c>
      <c r="AS52" s="22">
        <v>2.8</v>
      </c>
      <c r="AT52" s="22">
        <v>77</v>
      </c>
      <c r="AU52" s="22">
        <v>34</v>
      </c>
      <c r="AV52" s="22">
        <v>64</v>
      </c>
      <c r="AW52" s="3"/>
      <c r="AX52" s="22">
        <v>9</v>
      </c>
      <c r="AY52" s="22">
        <v>15</v>
      </c>
      <c r="AZ52" s="22">
        <v>756</v>
      </c>
      <c r="BC52" s="3" t="s">
        <v>468</v>
      </c>
      <c r="BD52" s="22">
        <v>118</v>
      </c>
      <c r="BE52" s="22">
        <v>0.2</v>
      </c>
      <c r="BF52" s="3"/>
      <c r="BG52" s="3"/>
      <c r="BH52" s="2" t="s">
        <v>496</v>
      </c>
      <c r="BI52" s="5">
        <v>192</v>
      </c>
      <c r="BJ52" s="5">
        <v>0.5</v>
      </c>
      <c r="BK52" s="2"/>
      <c r="BL52" s="2"/>
    </row>
    <row r="53" spans="10:64" ht="12.95" customHeight="1">
      <c r="J53" s="3"/>
      <c r="K53" s="6" t="s">
        <v>177</v>
      </c>
      <c r="L53" s="47">
        <v>33084</v>
      </c>
      <c r="M53" s="47">
        <v>2757</v>
      </c>
      <c r="N53" s="3"/>
      <c r="P53" s="2"/>
      <c r="Q53" s="6" t="s">
        <v>177</v>
      </c>
      <c r="R53" s="47">
        <v>16968</v>
      </c>
      <c r="S53" s="53">
        <v>1414</v>
      </c>
      <c r="T53" s="2"/>
      <c r="W53" s="3"/>
      <c r="X53" s="3"/>
      <c r="Y53" s="2"/>
      <c r="Z53" s="2"/>
      <c r="AA53" s="2"/>
      <c r="AC53" s="35">
        <v>4818</v>
      </c>
      <c r="AD53" s="2" t="s">
        <v>290</v>
      </c>
      <c r="AE53" s="53">
        <v>1022</v>
      </c>
      <c r="AF53" s="88">
        <v>2</v>
      </c>
      <c r="AG53" s="22">
        <v>873</v>
      </c>
      <c r="AH53" s="5">
        <v>1</v>
      </c>
      <c r="AI53" s="22">
        <v>16</v>
      </c>
      <c r="AJ53" s="62">
        <v>8</v>
      </c>
      <c r="AK53" s="22">
        <v>6</v>
      </c>
      <c r="AL53" s="5">
        <v>1</v>
      </c>
      <c r="AM53" s="22">
        <v>117</v>
      </c>
      <c r="AN53" s="2"/>
      <c r="AP53" s="21">
        <v>4421</v>
      </c>
      <c r="AQ53" s="2" t="s">
        <v>305</v>
      </c>
      <c r="AR53" s="22">
        <v>926</v>
      </c>
      <c r="AS53" s="22">
        <v>2.7</v>
      </c>
      <c r="AT53" s="22">
        <v>473</v>
      </c>
      <c r="AU53" s="3"/>
      <c r="AV53" s="22">
        <v>165</v>
      </c>
      <c r="AW53" s="22">
        <v>239</v>
      </c>
      <c r="AX53" s="3"/>
      <c r="AY53" s="3"/>
      <c r="AZ53" s="22">
        <v>49</v>
      </c>
      <c r="BC53" s="3" t="s">
        <v>391</v>
      </c>
      <c r="BD53" s="22">
        <v>110</v>
      </c>
      <c r="BE53" s="22">
        <v>0.2</v>
      </c>
      <c r="BF53" s="3"/>
      <c r="BG53" s="3"/>
      <c r="BH53" s="2" t="s">
        <v>478</v>
      </c>
      <c r="BI53" s="5">
        <v>162</v>
      </c>
      <c r="BJ53" s="5">
        <v>0.4</v>
      </c>
      <c r="BK53" s="2"/>
      <c r="BL53" s="2"/>
    </row>
    <row r="54" spans="10:64" ht="12.95" customHeight="1">
      <c r="J54" s="21">
        <v>2203</v>
      </c>
      <c r="K54" s="2" t="s">
        <v>178</v>
      </c>
      <c r="L54" s="47">
        <v>22644</v>
      </c>
      <c r="M54" s="47">
        <v>1887</v>
      </c>
      <c r="N54" s="3"/>
      <c r="P54" s="35">
        <v>2203</v>
      </c>
      <c r="Q54" s="2" t="s">
        <v>280</v>
      </c>
      <c r="R54" s="47">
        <v>13056</v>
      </c>
      <c r="S54" s="53">
        <v>1088</v>
      </c>
      <c r="T54" s="2"/>
      <c r="W54" s="3"/>
      <c r="X54" s="20" t="s">
        <v>177</v>
      </c>
      <c r="Y54" s="53">
        <v>12312</v>
      </c>
      <c r="Z54" s="53">
        <v>1026</v>
      </c>
      <c r="AA54" s="2"/>
      <c r="AC54" s="56" t="s">
        <v>339</v>
      </c>
      <c r="AD54" s="2" t="s">
        <v>247</v>
      </c>
      <c r="AE54" s="53">
        <v>1007</v>
      </c>
      <c r="AF54" s="5">
        <v>1.9</v>
      </c>
      <c r="AG54" s="47">
        <v>1007</v>
      </c>
      <c r="AH54" s="2"/>
      <c r="AI54" s="2"/>
      <c r="AJ54" s="2"/>
      <c r="AK54" s="2"/>
      <c r="AL54" s="2"/>
      <c r="AM54" s="2"/>
      <c r="AN54" s="5"/>
      <c r="AP54" s="21">
        <v>3006</v>
      </c>
      <c r="AQ54" s="2" t="s">
        <v>317</v>
      </c>
      <c r="AR54" s="22">
        <v>781</v>
      </c>
      <c r="AS54" s="22">
        <v>2.2999999999999998</v>
      </c>
      <c r="AT54" s="22">
        <v>580</v>
      </c>
      <c r="AU54" s="3"/>
      <c r="AV54" s="3"/>
      <c r="AW54" s="3"/>
      <c r="AX54" s="3"/>
      <c r="AY54" s="3"/>
      <c r="AZ54" s="22">
        <v>201</v>
      </c>
      <c r="BC54" s="3" t="s">
        <v>477</v>
      </c>
      <c r="BD54" s="22">
        <v>64</v>
      </c>
      <c r="BE54" s="22">
        <v>0.1</v>
      </c>
      <c r="BF54" s="3"/>
      <c r="BG54" s="3"/>
      <c r="BH54" s="2" t="s">
        <v>476</v>
      </c>
      <c r="BI54" s="5">
        <v>118</v>
      </c>
      <c r="BJ54" s="5">
        <v>0.3</v>
      </c>
      <c r="BK54" s="2"/>
      <c r="BL54" s="2"/>
    </row>
    <row r="55" spans="10:64" ht="12.95" customHeight="1">
      <c r="J55" s="21">
        <v>2204</v>
      </c>
      <c r="K55" s="2" t="s">
        <v>179</v>
      </c>
      <c r="L55" s="47">
        <v>4488</v>
      </c>
      <c r="M55" s="5">
        <v>374</v>
      </c>
      <c r="N55" s="3"/>
      <c r="P55" s="35">
        <v>2204</v>
      </c>
      <c r="Q55" s="2" t="s">
        <v>281</v>
      </c>
      <c r="R55" s="5">
        <v>192</v>
      </c>
      <c r="S55" s="22">
        <v>16</v>
      </c>
      <c r="T55" s="2"/>
      <c r="W55" s="21">
        <v>2203</v>
      </c>
      <c r="X55" s="3" t="s">
        <v>364</v>
      </c>
      <c r="Y55" s="53">
        <v>6384</v>
      </c>
      <c r="Z55" s="5">
        <v>532</v>
      </c>
      <c r="AA55" s="2"/>
      <c r="AC55" s="35">
        <v>8708</v>
      </c>
      <c r="AD55" s="2" t="s">
        <v>295</v>
      </c>
      <c r="AE55" s="22">
        <v>973</v>
      </c>
      <c r="AF55" s="5">
        <v>1.9</v>
      </c>
      <c r="AG55" s="22">
        <v>840</v>
      </c>
      <c r="AH55" s="5">
        <v>39</v>
      </c>
      <c r="AI55" s="3"/>
      <c r="AJ55" s="2"/>
      <c r="AK55" s="5">
        <v>78</v>
      </c>
      <c r="AL55" s="2"/>
      <c r="AM55" s="5">
        <v>16</v>
      </c>
      <c r="AN55" s="5"/>
      <c r="AP55" s="21">
        <v>2101</v>
      </c>
      <c r="AQ55" s="2" t="s">
        <v>434</v>
      </c>
      <c r="AR55" s="22">
        <v>699</v>
      </c>
      <c r="AS55" s="22">
        <v>2.1</v>
      </c>
      <c r="AT55" s="22">
        <v>229</v>
      </c>
      <c r="AU55" s="3"/>
      <c r="AV55" s="3"/>
      <c r="AW55" s="3"/>
      <c r="AX55" s="22">
        <v>7</v>
      </c>
      <c r="AY55" s="3"/>
      <c r="AZ55" s="22">
        <v>463</v>
      </c>
      <c r="BC55" s="3" t="s">
        <v>478</v>
      </c>
      <c r="BD55" s="22">
        <v>47</v>
      </c>
      <c r="BE55" s="22">
        <v>0.1</v>
      </c>
      <c r="BF55" s="3"/>
      <c r="BG55" s="3"/>
      <c r="BH55" s="2" t="s">
        <v>471</v>
      </c>
      <c r="BI55" s="5">
        <v>102</v>
      </c>
      <c r="BJ55" s="5">
        <v>0.3</v>
      </c>
      <c r="BK55" s="2"/>
      <c r="BL55" s="2"/>
    </row>
    <row r="56" spans="10:64" ht="12.95" customHeight="1">
      <c r="J56" s="21">
        <v>2208</v>
      </c>
      <c r="K56" s="2" t="s">
        <v>180</v>
      </c>
      <c r="L56" s="47">
        <v>5940</v>
      </c>
      <c r="M56" s="5">
        <v>495</v>
      </c>
      <c r="N56" s="3"/>
      <c r="P56" s="35">
        <v>2208</v>
      </c>
      <c r="Q56" s="2" t="s">
        <v>282</v>
      </c>
      <c r="R56" s="47">
        <v>3720</v>
      </c>
      <c r="S56" s="22">
        <v>310</v>
      </c>
      <c r="T56" s="2"/>
      <c r="W56" s="21">
        <v>2208</v>
      </c>
      <c r="X56" s="3" t="s">
        <v>365</v>
      </c>
      <c r="Y56" s="53">
        <v>5928</v>
      </c>
      <c r="Z56" s="5">
        <v>494</v>
      </c>
      <c r="AA56" s="3"/>
      <c r="AC56" s="35">
        <v>2201</v>
      </c>
      <c r="AD56" s="2" t="s">
        <v>277</v>
      </c>
      <c r="AE56" s="22">
        <v>934</v>
      </c>
      <c r="AF56" s="5">
        <v>1.8</v>
      </c>
      <c r="AG56" s="22">
        <v>133</v>
      </c>
      <c r="AH56" s="2"/>
      <c r="AI56" s="5">
        <v>768</v>
      </c>
      <c r="AJ56" s="2"/>
      <c r="AK56" s="3"/>
      <c r="AL56" s="5">
        <v>10</v>
      </c>
      <c r="AM56" s="5">
        <v>22</v>
      </c>
      <c r="AN56" s="2"/>
      <c r="AP56" s="21">
        <v>7200</v>
      </c>
      <c r="AQ56" s="2" t="s">
        <v>309</v>
      </c>
      <c r="AR56" s="22">
        <v>674</v>
      </c>
      <c r="AS56" s="87">
        <v>2</v>
      </c>
      <c r="AT56" s="22">
        <v>302</v>
      </c>
      <c r="AU56" s="3"/>
      <c r="AV56" s="22">
        <v>97</v>
      </c>
      <c r="AW56" s="3"/>
      <c r="AX56" s="22">
        <v>37</v>
      </c>
      <c r="AY56" s="22">
        <v>199</v>
      </c>
      <c r="AZ56" s="22">
        <v>39</v>
      </c>
      <c r="BC56" s="3" t="s">
        <v>479</v>
      </c>
      <c r="BD56" s="22">
        <v>34</v>
      </c>
      <c r="BE56" s="22">
        <v>0.1</v>
      </c>
      <c r="BF56" s="3"/>
      <c r="BG56" s="3"/>
      <c r="BH56" s="2" t="s">
        <v>497</v>
      </c>
      <c r="BI56" s="5">
        <v>94</v>
      </c>
      <c r="BJ56" s="5">
        <v>0.3</v>
      </c>
      <c r="BK56" s="2"/>
      <c r="BL56" s="2"/>
    </row>
    <row r="57" spans="10:64" ht="12.95" customHeight="1">
      <c r="J57" s="3"/>
      <c r="K57" s="2"/>
      <c r="L57" s="2"/>
      <c r="M57" s="2"/>
      <c r="N57" s="3"/>
      <c r="P57" s="2"/>
      <c r="Q57" s="2"/>
      <c r="R57" s="2"/>
      <c r="S57" s="3"/>
      <c r="T57" s="2"/>
      <c r="W57" s="3"/>
      <c r="X57" s="3"/>
      <c r="Y57" s="3"/>
      <c r="Z57" s="2"/>
      <c r="AA57" s="2"/>
      <c r="AC57" s="35">
        <v>8471</v>
      </c>
      <c r="AD57" s="2" t="s">
        <v>329</v>
      </c>
      <c r="AE57" s="5">
        <v>781</v>
      </c>
      <c r="AF57" s="22">
        <v>1.5</v>
      </c>
      <c r="AG57" s="5">
        <v>276</v>
      </c>
      <c r="AH57" s="22">
        <v>504</v>
      </c>
      <c r="AI57" s="2"/>
      <c r="AJ57" s="2"/>
      <c r="AK57" s="2"/>
      <c r="AL57" s="2"/>
      <c r="AM57" s="2"/>
      <c r="AN57" s="2"/>
      <c r="AP57" s="56" t="s">
        <v>340</v>
      </c>
      <c r="AQ57" s="2" t="s">
        <v>435</v>
      </c>
      <c r="AR57" s="22">
        <v>659</v>
      </c>
      <c r="AS57" s="22">
        <v>1.9</v>
      </c>
      <c r="AT57" s="22">
        <v>213</v>
      </c>
      <c r="AU57" s="3"/>
      <c r="AV57" s="3"/>
      <c r="AW57" s="3"/>
      <c r="AX57" s="22">
        <v>46</v>
      </c>
      <c r="AY57" s="3"/>
      <c r="AZ57" s="22">
        <v>400</v>
      </c>
      <c r="BC57" s="23" t="s">
        <v>394</v>
      </c>
      <c r="BD57" s="29">
        <v>154</v>
      </c>
      <c r="BE57" s="29">
        <v>0.3</v>
      </c>
      <c r="BF57" s="3"/>
      <c r="BG57" s="3"/>
      <c r="BH57" s="10" t="s">
        <v>394</v>
      </c>
      <c r="BI57" s="11">
        <v>642</v>
      </c>
      <c r="BJ57" s="11">
        <v>1.8</v>
      </c>
      <c r="BK57" s="102"/>
      <c r="BL57" s="2"/>
    </row>
    <row r="58" spans="10:64" ht="12.95" customHeight="1">
      <c r="J58" s="3"/>
      <c r="K58" s="6" t="s">
        <v>181</v>
      </c>
      <c r="L58" s="52">
        <v>21540</v>
      </c>
      <c r="M58" s="52">
        <v>1795</v>
      </c>
      <c r="N58" s="3"/>
      <c r="P58" s="2"/>
      <c r="Q58" s="6" t="s">
        <v>181</v>
      </c>
      <c r="R58" s="47">
        <v>10404</v>
      </c>
      <c r="S58" s="22">
        <v>867</v>
      </c>
      <c r="T58" s="2"/>
      <c r="W58" s="3"/>
      <c r="X58" s="20" t="s">
        <v>366</v>
      </c>
      <c r="Y58" s="53">
        <v>108396</v>
      </c>
      <c r="Z58" s="53">
        <v>9033</v>
      </c>
      <c r="AA58" s="2"/>
      <c r="AC58" s="65" t="s">
        <v>338</v>
      </c>
      <c r="AD58" s="2" t="s">
        <v>246</v>
      </c>
      <c r="AE58" s="5">
        <v>774</v>
      </c>
      <c r="AF58" s="22">
        <v>1.5</v>
      </c>
      <c r="AG58" s="5">
        <v>774</v>
      </c>
      <c r="AH58" s="2"/>
      <c r="AI58" s="2"/>
      <c r="AJ58" s="2"/>
      <c r="AK58" s="2"/>
      <c r="AL58" s="2"/>
      <c r="AM58" s="2"/>
      <c r="AN58" s="5"/>
      <c r="AP58" s="21">
        <v>2202</v>
      </c>
      <c r="AQ58" s="2" t="s">
        <v>436</v>
      </c>
      <c r="AR58" s="22">
        <v>621</v>
      </c>
      <c r="AS58" s="22">
        <v>1.8</v>
      </c>
      <c r="AT58" s="22">
        <v>575</v>
      </c>
      <c r="AU58" s="3"/>
      <c r="AV58" s="22">
        <v>2</v>
      </c>
      <c r="AW58" s="3"/>
      <c r="AX58" s="22">
        <v>7</v>
      </c>
      <c r="AY58" s="3"/>
      <c r="AZ58" s="22">
        <v>37</v>
      </c>
      <c r="BC58" s="101" t="s">
        <v>132</v>
      </c>
      <c r="BD58" s="102"/>
      <c r="BE58" s="102"/>
      <c r="BF58" s="102"/>
      <c r="BG58" s="3"/>
      <c r="BH58" s="101" t="s">
        <v>132</v>
      </c>
      <c r="BI58" s="102"/>
      <c r="BJ58" s="102"/>
      <c r="BK58" s="103"/>
      <c r="BL58" s="2"/>
    </row>
    <row r="59" spans="10:64" ht="12.95" customHeight="1">
      <c r="J59" s="21">
        <v>6203</v>
      </c>
      <c r="K59" s="2" t="s">
        <v>182</v>
      </c>
      <c r="L59" s="47">
        <v>11616</v>
      </c>
      <c r="M59" s="5">
        <v>968</v>
      </c>
      <c r="N59" s="3"/>
      <c r="P59" s="35">
        <v>4203</v>
      </c>
      <c r="Q59" s="2" t="s">
        <v>283</v>
      </c>
      <c r="R59" s="5">
        <v>12</v>
      </c>
      <c r="S59" s="22">
        <v>1</v>
      </c>
      <c r="T59" s="2"/>
      <c r="W59" s="21">
        <v>4011</v>
      </c>
      <c r="X59" s="3" t="s">
        <v>292</v>
      </c>
      <c r="Y59" s="53">
        <v>1344</v>
      </c>
      <c r="Z59" s="5">
        <v>112</v>
      </c>
      <c r="AA59" s="2"/>
      <c r="AC59" s="35">
        <v>1905</v>
      </c>
      <c r="AD59" s="2" t="s">
        <v>403</v>
      </c>
      <c r="AE59" s="5">
        <v>718</v>
      </c>
      <c r="AF59" s="22">
        <v>1.4</v>
      </c>
      <c r="AG59" s="5">
        <v>379</v>
      </c>
      <c r="AH59" s="22">
        <v>204</v>
      </c>
      <c r="AI59" s="5">
        <v>21</v>
      </c>
      <c r="AJ59" s="62">
        <v>76</v>
      </c>
      <c r="AK59" s="2"/>
      <c r="AL59" s="22">
        <v>13</v>
      </c>
      <c r="AM59" s="5">
        <v>24</v>
      </c>
      <c r="AN59" s="2"/>
      <c r="AP59" s="21">
        <v>4818</v>
      </c>
      <c r="AQ59" s="2" t="s">
        <v>290</v>
      </c>
      <c r="AR59" s="22">
        <v>573</v>
      </c>
      <c r="AS59" s="22">
        <v>1.7</v>
      </c>
      <c r="AT59" s="22">
        <v>170</v>
      </c>
      <c r="AU59" s="3"/>
      <c r="AV59" s="22">
        <v>242</v>
      </c>
      <c r="AW59" s="3"/>
      <c r="AX59" s="22">
        <v>41</v>
      </c>
      <c r="AY59" s="22">
        <v>2</v>
      </c>
      <c r="AZ59" s="22">
        <v>118</v>
      </c>
      <c r="BC59" s="2313" t="s">
        <v>489</v>
      </c>
      <c r="BD59" s="2313"/>
      <c r="BE59" s="2313"/>
      <c r="BF59" s="103"/>
      <c r="BG59" s="3"/>
      <c r="BH59" s="2313" t="s">
        <v>489</v>
      </c>
      <c r="BI59" s="2313"/>
      <c r="BJ59" s="102"/>
      <c r="BK59" s="3"/>
      <c r="BL59" s="2"/>
    </row>
    <row r="60" spans="10:64" ht="12.95" customHeight="1">
      <c r="J60" s="21">
        <v>6204</v>
      </c>
      <c r="K60" s="2" t="s">
        <v>183</v>
      </c>
      <c r="L60" s="47">
        <v>6744</v>
      </c>
      <c r="M60" s="5">
        <v>562</v>
      </c>
      <c r="N60" s="3"/>
      <c r="P60" s="35">
        <v>6203</v>
      </c>
      <c r="Q60" s="2" t="s">
        <v>284</v>
      </c>
      <c r="R60" s="47">
        <v>6300</v>
      </c>
      <c r="S60" s="22">
        <v>525</v>
      </c>
      <c r="T60" s="2"/>
      <c r="W60" s="21">
        <v>8703</v>
      </c>
      <c r="X60" s="3" t="s">
        <v>293</v>
      </c>
      <c r="Y60" s="53">
        <v>97980</v>
      </c>
      <c r="Z60" s="47">
        <v>8165</v>
      </c>
      <c r="AA60" s="2"/>
      <c r="AC60" s="35">
        <v>3917</v>
      </c>
      <c r="AD60" s="2" t="s">
        <v>304</v>
      </c>
      <c r="AE60" s="5">
        <v>683</v>
      </c>
      <c r="AF60" s="22">
        <v>1.3</v>
      </c>
      <c r="AG60" s="5">
        <v>682</v>
      </c>
      <c r="AH60" s="2"/>
      <c r="AI60" s="2"/>
      <c r="AJ60" s="2"/>
      <c r="AK60" s="5">
        <v>1</v>
      </c>
      <c r="AL60" s="2"/>
      <c r="AM60" s="2"/>
      <c r="AN60" s="5"/>
      <c r="AP60" s="21">
        <v>2208</v>
      </c>
      <c r="AQ60" s="2" t="s">
        <v>282</v>
      </c>
      <c r="AR60" s="22">
        <v>564</v>
      </c>
      <c r="AS60" s="22">
        <v>1.7</v>
      </c>
      <c r="AT60" s="22">
        <v>264</v>
      </c>
      <c r="AU60" s="22">
        <v>13</v>
      </c>
      <c r="AV60" s="3"/>
      <c r="AW60" s="22">
        <v>206</v>
      </c>
      <c r="AX60" s="22">
        <v>14</v>
      </c>
      <c r="AY60" s="22">
        <v>56</v>
      </c>
      <c r="AZ60" s="22">
        <v>11</v>
      </c>
      <c r="BC60" s="2"/>
      <c r="BD60" s="2"/>
      <c r="BE60" s="2"/>
      <c r="BF60" s="3"/>
      <c r="BG60" s="3"/>
      <c r="BH60" s="2"/>
      <c r="BI60" s="2"/>
      <c r="BJ60" s="2"/>
      <c r="BK60" s="2"/>
      <c r="BL60" s="2"/>
    </row>
    <row r="61" spans="10:64" ht="12.95" customHeight="1">
      <c r="J61" s="21">
        <v>6217</v>
      </c>
      <c r="K61" s="2" t="s">
        <v>184</v>
      </c>
      <c r="L61" s="47">
        <v>3180</v>
      </c>
      <c r="M61" s="5">
        <v>265</v>
      </c>
      <c r="N61" s="3"/>
      <c r="P61" s="35">
        <v>6204</v>
      </c>
      <c r="Q61" s="2" t="s">
        <v>285</v>
      </c>
      <c r="R61" s="47">
        <v>3156</v>
      </c>
      <c r="S61" s="22">
        <v>263</v>
      </c>
      <c r="T61" s="2"/>
      <c r="W61" s="21">
        <v>8704</v>
      </c>
      <c r="X61" s="3" t="s">
        <v>367</v>
      </c>
      <c r="Y61" s="53">
        <v>2976</v>
      </c>
      <c r="Z61" s="5">
        <v>248</v>
      </c>
      <c r="AA61" s="2"/>
      <c r="AC61" s="35">
        <v>4011</v>
      </c>
      <c r="AD61" s="2" t="s">
        <v>292</v>
      </c>
      <c r="AE61" s="22">
        <v>672</v>
      </c>
      <c r="AF61" s="5">
        <v>1.3</v>
      </c>
      <c r="AG61" s="22">
        <v>89</v>
      </c>
      <c r="AH61" s="2"/>
      <c r="AI61" s="2"/>
      <c r="AJ61" s="2"/>
      <c r="AK61" s="5">
        <v>340</v>
      </c>
      <c r="AL61" s="2"/>
      <c r="AM61" s="5">
        <v>243</v>
      </c>
      <c r="AN61" s="22"/>
      <c r="AP61" s="21">
        <v>1806</v>
      </c>
      <c r="AQ61" s="2" t="s">
        <v>437</v>
      </c>
      <c r="AR61" s="22">
        <v>523</v>
      </c>
      <c r="AS61" s="22">
        <v>1.5</v>
      </c>
      <c r="AT61" s="22">
        <v>290</v>
      </c>
      <c r="AU61" s="3"/>
      <c r="AV61" s="3"/>
      <c r="AW61" s="22">
        <v>68</v>
      </c>
      <c r="AX61" s="22">
        <v>115</v>
      </c>
      <c r="AY61" s="22">
        <v>4</v>
      </c>
      <c r="AZ61" s="22">
        <v>46</v>
      </c>
      <c r="BC61" s="2"/>
      <c r="BD61" s="2"/>
      <c r="BE61" s="2"/>
      <c r="BF61" s="3"/>
      <c r="BG61" s="3"/>
      <c r="BH61" s="2"/>
      <c r="BI61" s="2"/>
      <c r="BJ61" s="2"/>
      <c r="BK61" s="2"/>
      <c r="BL61" s="2"/>
    </row>
    <row r="62" spans="10:64" ht="12.95" customHeight="1">
      <c r="J62" s="3"/>
      <c r="K62" s="2"/>
      <c r="L62" s="2"/>
      <c r="M62" s="2"/>
      <c r="N62" s="3"/>
      <c r="P62" s="35">
        <v>6217</v>
      </c>
      <c r="Q62" s="2" t="s">
        <v>286</v>
      </c>
      <c r="R62" s="5">
        <v>948</v>
      </c>
      <c r="S62" s="22">
        <v>79</v>
      </c>
      <c r="T62" s="2"/>
      <c r="W62" s="21">
        <v>8708</v>
      </c>
      <c r="X62" s="3" t="s">
        <v>295</v>
      </c>
      <c r="Y62" s="53">
        <v>6096</v>
      </c>
      <c r="Z62" s="5">
        <v>508</v>
      </c>
      <c r="AA62" s="2"/>
      <c r="AC62" s="35">
        <v>8300</v>
      </c>
      <c r="AD62" s="2" t="s">
        <v>404</v>
      </c>
      <c r="AE62" s="22">
        <v>659</v>
      </c>
      <c r="AF62" s="5">
        <v>1.3</v>
      </c>
      <c r="AG62" s="22">
        <v>637</v>
      </c>
      <c r="AH62" s="2"/>
      <c r="AI62" s="22">
        <v>2</v>
      </c>
      <c r="AJ62" s="3"/>
      <c r="AK62" s="5">
        <v>5</v>
      </c>
      <c r="AL62" s="5">
        <v>7</v>
      </c>
      <c r="AM62" s="22">
        <v>8</v>
      </c>
      <c r="AN62" s="5"/>
      <c r="AP62" s="21">
        <v>7113</v>
      </c>
      <c r="AQ62" s="2" t="s">
        <v>438</v>
      </c>
      <c r="AR62" s="22">
        <v>521</v>
      </c>
      <c r="AS62" s="22">
        <v>1.5</v>
      </c>
      <c r="AT62" s="22">
        <v>123</v>
      </c>
      <c r="AU62" s="22">
        <v>271</v>
      </c>
      <c r="AV62" s="22">
        <v>40</v>
      </c>
      <c r="AW62" s="22">
        <v>14</v>
      </c>
      <c r="AX62" s="3"/>
      <c r="AY62" s="22">
        <v>5</v>
      </c>
      <c r="AZ62" s="22">
        <v>68</v>
      </c>
      <c r="BC62" s="2"/>
      <c r="BD62" s="2"/>
      <c r="BE62" s="2"/>
      <c r="BF62" s="3"/>
      <c r="BG62" s="3"/>
      <c r="BH62" s="2"/>
      <c r="BI62" s="2"/>
      <c r="BJ62" s="2"/>
      <c r="BK62" s="3"/>
      <c r="BL62" s="2"/>
    </row>
    <row r="63" spans="10:64" ht="12.95" customHeight="1">
      <c r="J63" s="3"/>
      <c r="K63" s="6" t="s">
        <v>185</v>
      </c>
      <c r="L63" s="47">
        <v>83472</v>
      </c>
      <c r="M63" s="47">
        <v>6956</v>
      </c>
      <c r="N63" s="3"/>
      <c r="P63" s="2"/>
      <c r="Q63" s="2"/>
      <c r="R63" s="2"/>
      <c r="S63" s="3"/>
      <c r="T63" s="2"/>
      <c r="W63" s="3"/>
      <c r="X63" s="3"/>
      <c r="Y63" s="3"/>
      <c r="Z63" s="2"/>
      <c r="AA63" s="2"/>
      <c r="AC63" s="35">
        <v>2008</v>
      </c>
      <c r="AD63" s="2" t="s">
        <v>405</v>
      </c>
      <c r="AE63" s="5">
        <v>658</v>
      </c>
      <c r="AF63" s="22">
        <v>1.3</v>
      </c>
      <c r="AG63" s="5">
        <v>267</v>
      </c>
      <c r="AH63" s="22">
        <v>21</v>
      </c>
      <c r="AI63" s="5">
        <v>304</v>
      </c>
      <c r="AJ63" s="62">
        <v>38</v>
      </c>
      <c r="AK63" s="2"/>
      <c r="AL63" s="22">
        <v>2</v>
      </c>
      <c r="AM63" s="5">
        <v>26</v>
      </c>
      <c r="AN63" s="5"/>
      <c r="AP63" s="21">
        <v>6912</v>
      </c>
      <c r="AQ63" s="2" t="s">
        <v>371</v>
      </c>
      <c r="AR63" s="22">
        <v>489</v>
      </c>
      <c r="AS63" s="22">
        <v>1.4</v>
      </c>
      <c r="AT63" s="22">
        <v>11</v>
      </c>
      <c r="AU63" s="3"/>
      <c r="AV63" s="22">
        <v>178</v>
      </c>
      <c r="AW63" s="22">
        <v>291</v>
      </c>
      <c r="AX63" s="22">
        <v>6</v>
      </c>
      <c r="AY63" s="22">
        <v>3</v>
      </c>
      <c r="AZ63" s="3"/>
      <c r="BC63" s="1" t="s">
        <v>480</v>
      </c>
      <c r="BD63" s="2"/>
      <c r="BE63" s="2"/>
      <c r="BF63" s="2"/>
      <c r="BG63" s="2"/>
      <c r="BH63" s="1" t="s">
        <v>498</v>
      </c>
      <c r="BI63" s="2"/>
      <c r="BJ63" s="2"/>
      <c r="BK63" s="2"/>
      <c r="BL63" s="2"/>
    </row>
    <row r="64" spans="10:64" ht="12.95" customHeight="1">
      <c r="J64" s="21">
        <v>3926</v>
      </c>
      <c r="K64" s="2" t="s">
        <v>186</v>
      </c>
      <c r="L64" s="47">
        <v>11436</v>
      </c>
      <c r="M64" s="5">
        <v>953</v>
      </c>
      <c r="N64" s="3"/>
      <c r="P64" s="2"/>
      <c r="Q64" s="6" t="s">
        <v>185</v>
      </c>
      <c r="R64" s="47">
        <v>30036</v>
      </c>
      <c r="S64" s="53">
        <v>2503</v>
      </c>
      <c r="T64" s="2"/>
      <c r="W64" s="2"/>
      <c r="X64" s="6" t="s">
        <v>368</v>
      </c>
      <c r="Y64" s="53">
        <v>21864</v>
      </c>
      <c r="Z64" s="47">
        <v>1822</v>
      </c>
      <c r="AA64" s="2"/>
      <c r="AC64" s="65" t="s">
        <v>340</v>
      </c>
      <c r="AD64" s="2" t="s">
        <v>248</v>
      </c>
      <c r="AE64" s="5">
        <v>651</v>
      </c>
      <c r="AF64" s="22">
        <v>1.2</v>
      </c>
      <c r="AG64" s="5">
        <v>121</v>
      </c>
      <c r="AH64" s="22">
        <v>79</v>
      </c>
      <c r="AI64" s="5">
        <v>33</v>
      </c>
      <c r="AJ64" s="2"/>
      <c r="AK64" s="5">
        <v>79</v>
      </c>
      <c r="AL64" s="5">
        <v>258</v>
      </c>
      <c r="AM64" s="5">
        <v>80</v>
      </c>
      <c r="AN64" s="5"/>
      <c r="AP64" s="56" t="s">
        <v>349</v>
      </c>
      <c r="AQ64" s="2" t="s">
        <v>257</v>
      </c>
      <c r="AR64" s="22">
        <v>483</v>
      </c>
      <c r="AS64" s="22">
        <v>1.4</v>
      </c>
      <c r="AT64" s="22">
        <v>391</v>
      </c>
      <c r="AU64" s="3"/>
      <c r="AV64" s="22">
        <v>12</v>
      </c>
      <c r="AW64" s="3"/>
      <c r="AX64" s="22">
        <v>16</v>
      </c>
      <c r="AY64" s="3"/>
      <c r="AZ64" s="22">
        <v>64</v>
      </c>
      <c r="BC64" s="2" t="s">
        <v>127</v>
      </c>
      <c r="BD64" s="2"/>
      <c r="BE64" s="2"/>
      <c r="BF64" s="2"/>
      <c r="BG64" s="2"/>
      <c r="BH64" s="2" t="s">
        <v>127</v>
      </c>
      <c r="BI64" s="2"/>
      <c r="BJ64" s="2"/>
      <c r="BK64" s="2"/>
      <c r="BL64" s="3"/>
    </row>
    <row r="65" spans="10:64" ht="12.95" customHeight="1">
      <c r="J65" s="21">
        <v>4206</v>
      </c>
      <c r="K65" s="2" t="s">
        <v>187</v>
      </c>
      <c r="L65" s="47">
        <v>50460</v>
      </c>
      <c r="M65" s="47">
        <v>4205</v>
      </c>
      <c r="N65" s="3"/>
      <c r="P65" s="35">
        <v>3926</v>
      </c>
      <c r="Q65" s="2" t="s">
        <v>287</v>
      </c>
      <c r="R65" s="47">
        <v>4224</v>
      </c>
      <c r="S65" s="22">
        <v>352</v>
      </c>
      <c r="T65" s="2"/>
      <c r="W65" s="35">
        <v>6203</v>
      </c>
      <c r="X65" s="2" t="s">
        <v>284</v>
      </c>
      <c r="Y65" s="53">
        <v>10044</v>
      </c>
      <c r="Z65" s="5">
        <v>837</v>
      </c>
      <c r="AA65" s="2"/>
      <c r="AC65" s="35">
        <v>2710</v>
      </c>
      <c r="AD65" s="2" t="s">
        <v>316</v>
      </c>
      <c r="AE65" s="22">
        <v>629</v>
      </c>
      <c r="AF65" s="5">
        <v>1.2</v>
      </c>
      <c r="AG65" s="22">
        <v>110</v>
      </c>
      <c r="AH65" s="2"/>
      <c r="AI65" s="5">
        <v>222</v>
      </c>
      <c r="AJ65" s="2"/>
      <c r="AK65" s="3"/>
      <c r="AL65" s="2"/>
      <c r="AM65" s="5">
        <v>298</v>
      </c>
      <c r="AN65" s="47"/>
      <c r="AP65" s="56" t="s">
        <v>339</v>
      </c>
      <c r="AQ65" s="2" t="s">
        <v>439</v>
      </c>
      <c r="AR65" s="22">
        <v>469</v>
      </c>
      <c r="AS65" s="22">
        <v>1.4</v>
      </c>
      <c r="AT65" s="22">
        <v>459</v>
      </c>
      <c r="AU65" s="3"/>
      <c r="AV65" s="3"/>
      <c r="AW65" s="3"/>
      <c r="AX65" s="3"/>
      <c r="AY65" s="3"/>
      <c r="AZ65" s="22">
        <v>10</v>
      </c>
      <c r="BC65" s="108"/>
      <c r="BD65" s="98">
        <v>46012</v>
      </c>
      <c r="BE65" s="107" t="s">
        <v>385</v>
      </c>
      <c r="BF65" s="2"/>
      <c r="BG65" s="2"/>
      <c r="BH65" s="92"/>
      <c r="BI65" s="98">
        <v>45676</v>
      </c>
      <c r="BJ65" s="94" t="s">
        <v>385</v>
      </c>
      <c r="BK65" s="2"/>
      <c r="BL65" s="2"/>
    </row>
    <row r="66" spans="10:64" ht="12.95" customHeight="1">
      <c r="J66" s="21">
        <v>4818</v>
      </c>
      <c r="K66" s="2" t="s">
        <v>188</v>
      </c>
      <c r="L66" s="47">
        <v>7860</v>
      </c>
      <c r="M66" s="5">
        <v>655</v>
      </c>
      <c r="N66" s="3"/>
      <c r="P66" s="35">
        <v>4202</v>
      </c>
      <c r="Q66" s="2" t="s">
        <v>288</v>
      </c>
      <c r="R66" s="47">
        <v>1572</v>
      </c>
      <c r="S66" s="22">
        <v>131</v>
      </c>
      <c r="T66" s="2"/>
      <c r="W66" s="21">
        <v>6204</v>
      </c>
      <c r="X66" s="3" t="s">
        <v>285</v>
      </c>
      <c r="Y66" s="53">
        <v>4908</v>
      </c>
      <c r="Z66" s="5">
        <v>409</v>
      </c>
      <c r="AA66" s="2"/>
      <c r="AC66" s="10"/>
      <c r="AD66" s="10" t="s">
        <v>394</v>
      </c>
      <c r="AE66" s="51">
        <v>14615</v>
      </c>
      <c r="AF66" s="89">
        <v>28</v>
      </c>
      <c r="AG66" s="51">
        <v>9266</v>
      </c>
      <c r="AH66" s="11">
        <v>547</v>
      </c>
      <c r="AI66" s="11">
        <v>519</v>
      </c>
      <c r="AJ66" s="11">
        <v>262</v>
      </c>
      <c r="AK66" s="11">
        <v>707</v>
      </c>
      <c r="AL66" s="11">
        <v>918</v>
      </c>
      <c r="AM66" s="51">
        <v>2396</v>
      </c>
      <c r="AN66" s="2"/>
      <c r="AP66" s="40"/>
      <c r="AQ66" s="10" t="s">
        <v>394</v>
      </c>
      <c r="AR66" s="54">
        <v>8976</v>
      </c>
      <c r="AS66" s="29">
        <v>26.5</v>
      </c>
      <c r="AT66" s="54">
        <v>6228</v>
      </c>
      <c r="AU66" s="29">
        <v>382</v>
      </c>
      <c r="AV66" s="29">
        <v>696</v>
      </c>
      <c r="AW66" s="29">
        <v>93</v>
      </c>
      <c r="AX66" s="29">
        <v>939</v>
      </c>
      <c r="AY66" s="29">
        <v>638</v>
      </c>
      <c r="AZ66" s="23"/>
      <c r="BC66" s="23" t="s">
        <v>386</v>
      </c>
      <c r="BD66" s="97" t="s">
        <v>461</v>
      </c>
      <c r="BE66" s="29" t="s">
        <v>129</v>
      </c>
      <c r="BF66" s="2"/>
      <c r="BG66" s="2"/>
      <c r="BH66" s="93" t="s">
        <v>386</v>
      </c>
      <c r="BI66" s="97" t="s">
        <v>461</v>
      </c>
      <c r="BJ66" s="95" t="s">
        <v>129</v>
      </c>
      <c r="BK66" s="2"/>
      <c r="BL66" s="2"/>
    </row>
    <row r="67" spans="10:64" ht="12.95" customHeight="1">
      <c r="J67" s="21">
        <v>6402</v>
      </c>
      <c r="K67" s="2" t="s">
        <v>189</v>
      </c>
      <c r="L67" s="47">
        <v>13728</v>
      </c>
      <c r="M67" s="47">
        <v>1144</v>
      </c>
      <c r="N67" s="3"/>
      <c r="P67" s="35">
        <v>4206</v>
      </c>
      <c r="Q67" s="2" t="s">
        <v>289</v>
      </c>
      <c r="R67" s="47">
        <v>6696</v>
      </c>
      <c r="S67" s="22">
        <v>558</v>
      </c>
      <c r="T67" s="2"/>
      <c r="W67" s="21">
        <v>6217</v>
      </c>
      <c r="X67" s="3" t="s">
        <v>286</v>
      </c>
      <c r="Y67" s="53">
        <v>6912</v>
      </c>
      <c r="Z67" s="5">
        <v>576</v>
      </c>
      <c r="AA67" s="2"/>
      <c r="AC67" s="13" t="s">
        <v>174</v>
      </c>
      <c r="AD67" s="14"/>
      <c r="AE67" s="14"/>
      <c r="AF67" s="14"/>
      <c r="AG67" s="14"/>
      <c r="AH67" s="14"/>
      <c r="AI67" s="14"/>
      <c r="AJ67" s="14"/>
      <c r="AK67" s="2"/>
      <c r="AL67" s="2"/>
      <c r="AM67" s="2"/>
      <c r="AP67" s="1" t="s">
        <v>174</v>
      </c>
      <c r="AQ67" s="2"/>
      <c r="AR67" s="2"/>
      <c r="AS67" s="2"/>
      <c r="AT67" s="2"/>
      <c r="AU67" s="2"/>
      <c r="AV67" s="2"/>
      <c r="AW67" s="2"/>
      <c r="AX67" s="2"/>
      <c r="AY67" s="2"/>
      <c r="AZ67" s="2"/>
      <c r="BC67" s="3" t="s">
        <v>129</v>
      </c>
      <c r="BD67" s="53">
        <v>52403</v>
      </c>
      <c r="BE67" s="87">
        <v>100</v>
      </c>
      <c r="BF67" s="3"/>
      <c r="BG67" s="3"/>
      <c r="BH67" s="3" t="s">
        <v>129</v>
      </c>
      <c r="BI67" s="53">
        <v>34134</v>
      </c>
      <c r="BJ67" s="87">
        <v>100</v>
      </c>
      <c r="BK67" s="2"/>
      <c r="BL67" s="3"/>
    </row>
    <row r="68" spans="10:64" ht="12.95" customHeight="1">
      <c r="J68" s="3"/>
      <c r="K68" s="2"/>
      <c r="L68" s="2"/>
      <c r="M68" s="2"/>
      <c r="N68" s="3"/>
      <c r="P68" s="35">
        <v>4818</v>
      </c>
      <c r="Q68" s="2" t="s">
        <v>290</v>
      </c>
      <c r="R68" s="47">
        <v>12264</v>
      </c>
      <c r="S68" s="53">
        <v>1022</v>
      </c>
      <c r="T68" s="2"/>
      <c r="W68" s="3"/>
      <c r="X68" s="3"/>
      <c r="Y68" s="3"/>
      <c r="Z68" s="2"/>
      <c r="AA68" s="3"/>
      <c r="AP68" s="2"/>
      <c r="AQ68" s="2"/>
      <c r="AR68" s="2"/>
      <c r="AS68" s="2"/>
      <c r="AT68" s="2"/>
      <c r="AU68" s="2"/>
      <c r="AV68" s="2"/>
      <c r="AW68" s="2"/>
      <c r="AX68" s="2"/>
      <c r="AY68" s="2"/>
      <c r="AZ68" s="2"/>
      <c r="BC68" s="2" t="s">
        <v>462</v>
      </c>
      <c r="BD68" s="47">
        <v>32079</v>
      </c>
      <c r="BE68" s="5">
        <v>61.2</v>
      </c>
      <c r="BF68" s="2"/>
      <c r="BG68" s="2"/>
      <c r="BH68" s="2" t="s">
        <v>462</v>
      </c>
      <c r="BI68" s="47">
        <v>18174</v>
      </c>
      <c r="BJ68" s="5">
        <v>53.2</v>
      </c>
      <c r="BK68" s="2"/>
      <c r="BL68" s="2"/>
    </row>
    <row r="69" spans="10:64" ht="12.95" customHeight="1">
      <c r="J69" s="3"/>
      <c r="K69" s="6" t="s">
        <v>190</v>
      </c>
      <c r="L69" s="47">
        <v>182628</v>
      </c>
      <c r="M69" s="47">
        <v>15219</v>
      </c>
      <c r="N69" s="3"/>
      <c r="P69" s="35">
        <v>6402</v>
      </c>
      <c r="Q69" s="2" t="s">
        <v>291</v>
      </c>
      <c r="R69" s="47">
        <v>5280</v>
      </c>
      <c r="S69" s="22">
        <v>440</v>
      </c>
      <c r="T69" s="2"/>
      <c r="W69" s="3"/>
      <c r="X69" s="20" t="s">
        <v>369</v>
      </c>
      <c r="Y69" s="53">
        <v>43980</v>
      </c>
      <c r="Z69" s="53">
        <v>3665</v>
      </c>
      <c r="AA69" s="2"/>
      <c r="AP69" s="2"/>
      <c r="AQ69" s="2"/>
      <c r="AR69" s="2"/>
      <c r="AS69" s="2"/>
      <c r="AT69" s="2"/>
      <c r="AU69" s="2"/>
      <c r="AV69" s="2"/>
      <c r="AW69" s="2"/>
      <c r="AX69" s="2"/>
      <c r="AY69" s="2"/>
      <c r="AZ69" s="2"/>
      <c r="BC69" s="2" t="s">
        <v>463</v>
      </c>
      <c r="BD69" s="47">
        <v>4003</v>
      </c>
      <c r="BE69" s="5">
        <v>7.6</v>
      </c>
      <c r="BF69" s="2"/>
      <c r="BG69" s="2"/>
      <c r="BH69" s="2" t="s">
        <v>427</v>
      </c>
      <c r="BI69" s="47">
        <v>2052</v>
      </c>
      <c r="BJ69" s="88">
        <v>6</v>
      </c>
      <c r="BK69" s="2"/>
      <c r="BL69" s="2"/>
    </row>
    <row r="70" spans="10:64" ht="12.95" customHeight="1">
      <c r="J70" s="21">
        <v>4011</v>
      </c>
      <c r="K70" s="2" t="s">
        <v>191</v>
      </c>
      <c r="L70" s="47">
        <v>2076</v>
      </c>
      <c r="M70" s="5">
        <v>173</v>
      </c>
      <c r="N70" s="3"/>
      <c r="P70" s="2"/>
      <c r="Q70" s="2"/>
      <c r="R70" s="2"/>
      <c r="S70" s="3"/>
      <c r="T70" s="2"/>
      <c r="W70" s="21">
        <v>3926</v>
      </c>
      <c r="X70" s="3" t="s">
        <v>287</v>
      </c>
      <c r="Y70" s="53">
        <v>7980</v>
      </c>
      <c r="Z70" s="5">
        <v>665</v>
      </c>
      <c r="AA70" s="2"/>
      <c r="AN70" s="2"/>
      <c r="AP70" s="2"/>
      <c r="AQ70" s="2"/>
      <c r="AR70" s="2"/>
      <c r="AS70" s="2"/>
      <c r="AT70" s="2"/>
      <c r="AU70" s="2"/>
      <c r="AV70" s="2"/>
      <c r="AW70" s="2"/>
      <c r="AX70" s="2"/>
      <c r="AY70" s="2"/>
      <c r="AZ70" s="2"/>
      <c r="BC70" s="2" t="s">
        <v>392</v>
      </c>
      <c r="BD70" s="47">
        <v>2645</v>
      </c>
      <c r="BE70" s="88">
        <v>5</v>
      </c>
      <c r="BF70" s="2"/>
      <c r="BG70" s="2"/>
      <c r="BH70" s="2" t="s">
        <v>493</v>
      </c>
      <c r="BI70" s="47">
        <v>2024</v>
      </c>
      <c r="BJ70" s="5">
        <v>5.9</v>
      </c>
      <c r="BK70" s="2"/>
      <c r="BL70" s="2"/>
    </row>
    <row r="71" spans="10:64" ht="12.95" customHeight="1">
      <c r="J71" s="21">
        <v>8703</v>
      </c>
      <c r="K71" s="2" t="s">
        <v>192</v>
      </c>
      <c r="L71" s="47">
        <v>131472</v>
      </c>
      <c r="M71" s="47">
        <v>10956</v>
      </c>
      <c r="N71" s="3"/>
      <c r="P71" s="2"/>
      <c r="Q71" s="6" t="s">
        <v>190</v>
      </c>
      <c r="R71" s="47">
        <v>109368</v>
      </c>
      <c r="S71" s="53">
        <v>9114</v>
      </c>
      <c r="T71" s="2"/>
      <c r="W71" s="21">
        <v>4206</v>
      </c>
      <c r="X71" s="3" t="s">
        <v>289</v>
      </c>
      <c r="Y71" s="53">
        <v>23724</v>
      </c>
      <c r="Z71" s="47">
        <v>1977</v>
      </c>
      <c r="AA71" s="2"/>
      <c r="AC71" s="1" t="s">
        <v>406</v>
      </c>
      <c r="AD71" s="2"/>
      <c r="AE71" s="2"/>
      <c r="AF71" s="2"/>
      <c r="AG71" s="2"/>
      <c r="AH71" s="2"/>
      <c r="AI71" s="2"/>
      <c r="AJ71" s="2"/>
      <c r="AK71" s="2"/>
      <c r="AL71" s="2"/>
      <c r="AM71" s="2"/>
      <c r="AN71" s="2"/>
      <c r="AP71" s="1" t="s">
        <v>440</v>
      </c>
      <c r="AQ71" s="2"/>
      <c r="AR71" s="2"/>
      <c r="AS71" s="2"/>
      <c r="AT71" s="2"/>
      <c r="AU71" s="2"/>
      <c r="AV71" s="2"/>
      <c r="AW71" s="2"/>
      <c r="AX71" s="2"/>
      <c r="AY71" s="2"/>
      <c r="AZ71" s="2"/>
      <c r="BC71" s="2" t="s">
        <v>481</v>
      </c>
      <c r="BD71" s="47">
        <v>2553</v>
      </c>
      <c r="BE71" s="5">
        <v>4.9000000000000004</v>
      </c>
      <c r="BF71" s="2"/>
      <c r="BG71" s="2"/>
      <c r="BH71" s="2" t="s">
        <v>399</v>
      </c>
      <c r="BI71" s="47">
        <v>1495</v>
      </c>
      <c r="BJ71" s="5">
        <v>4.4000000000000004</v>
      </c>
      <c r="BK71" s="2"/>
      <c r="BL71" s="2"/>
    </row>
    <row r="72" spans="10:64" ht="12.95" customHeight="1">
      <c r="J72" s="21">
        <v>8704</v>
      </c>
      <c r="K72" s="2" t="s">
        <v>193</v>
      </c>
      <c r="L72" s="47">
        <v>39528</v>
      </c>
      <c r="M72" s="47">
        <v>3294</v>
      </c>
      <c r="N72" s="3"/>
      <c r="P72" s="35">
        <v>4011</v>
      </c>
      <c r="Q72" s="2" t="s">
        <v>292</v>
      </c>
      <c r="R72" s="47">
        <v>8064</v>
      </c>
      <c r="S72" s="22">
        <v>672</v>
      </c>
      <c r="T72" s="2"/>
      <c r="W72" s="21">
        <v>4818</v>
      </c>
      <c r="X72" s="3" t="s">
        <v>290</v>
      </c>
      <c r="Y72" s="53">
        <v>6960</v>
      </c>
      <c r="Z72" s="5">
        <v>580</v>
      </c>
      <c r="AA72" s="2"/>
      <c r="AC72" s="1" t="s">
        <v>127</v>
      </c>
      <c r="AD72" s="2"/>
      <c r="AE72" s="2"/>
      <c r="AF72" s="2"/>
      <c r="AG72" s="2"/>
      <c r="AH72" s="2"/>
      <c r="AI72" s="2"/>
      <c r="AJ72" s="2"/>
      <c r="AK72" s="2"/>
      <c r="AL72" s="2"/>
      <c r="AM72" s="2"/>
      <c r="AN72" s="21"/>
      <c r="AP72" s="1" t="s">
        <v>127</v>
      </c>
      <c r="AQ72" s="2"/>
      <c r="AR72" s="2"/>
      <c r="AS72" s="2"/>
      <c r="AT72" s="2"/>
      <c r="AU72" s="2"/>
      <c r="AV72" s="2"/>
      <c r="AW72" s="2"/>
      <c r="AX72" s="2"/>
      <c r="AY72" s="2"/>
      <c r="AZ72" s="2"/>
      <c r="BC72" s="2" t="s">
        <v>399</v>
      </c>
      <c r="BD72" s="47">
        <v>2267</v>
      </c>
      <c r="BE72" s="5">
        <v>4.3</v>
      </c>
      <c r="BF72" s="2"/>
      <c r="BG72" s="2"/>
      <c r="BH72" s="3" t="s">
        <v>441</v>
      </c>
      <c r="BI72" s="47">
        <v>1480</v>
      </c>
      <c r="BJ72" s="5">
        <v>4.3</v>
      </c>
      <c r="BK72" s="2"/>
      <c r="BL72" s="2"/>
    </row>
    <row r="73" spans="10:64" ht="15" customHeight="1">
      <c r="J73" s="21">
        <v>8708</v>
      </c>
      <c r="K73" s="2" t="s">
        <v>194</v>
      </c>
      <c r="L73" s="47">
        <v>9552</v>
      </c>
      <c r="M73" s="5">
        <v>796</v>
      </c>
      <c r="N73" s="3"/>
      <c r="P73" s="35">
        <v>8703</v>
      </c>
      <c r="Q73" s="2" t="s">
        <v>293</v>
      </c>
      <c r="R73" s="47">
        <v>83916</v>
      </c>
      <c r="S73" s="53">
        <v>6993</v>
      </c>
      <c r="T73" s="3"/>
      <c r="W73" s="21">
        <v>6402</v>
      </c>
      <c r="X73" s="3" t="s">
        <v>291</v>
      </c>
      <c r="Y73" s="53">
        <v>5316</v>
      </c>
      <c r="Z73" s="5">
        <v>443</v>
      </c>
      <c r="AA73" s="2"/>
      <c r="AC73" s="2113" t="s">
        <v>135</v>
      </c>
      <c r="AD73" s="2305" t="s">
        <v>387</v>
      </c>
      <c r="AE73" s="2301" t="s">
        <v>456</v>
      </c>
      <c r="AF73" s="2303" t="s">
        <v>457</v>
      </c>
      <c r="AG73" s="2047" t="s">
        <v>386</v>
      </c>
      <c r="AH73" s="2047"/>
      <c r="AI73" s="2047"/>
      <c r="AJ73" s="2047"/>
      <c r="AK73" s="2047"/>
      <c r="AL73" s="2047"/>
      <c r="AM73" s="2042"/>
      <c r="AN73" s="1927"/>
      <c r="AP73" s="2113" t="s">
        <v>135</v>
      </c>
      <c r="AQ73" s="2305" t="s">
        <v>387</v>
      </c>
      <c r="AR73" s="2301" t="s">
        <v>459</v>
      </c>
      <c r="AS73" s="2303" t="s">
        <v>453</v>
      </c>
      <c r="AT73" s="2314" t="s">
        <v>386</v>
      </c>
      <c r="AU73" s="2315"/>
      <c r="AV73" s="2315"/>
      <c r="AW73" s="2315"/>
      <c r="AX73" s="2315"/>
      <c r="AY73" s="2315"/>
      <c r="AZ73" s="2315"/>
      <c r="BC73" s="2" t="s">
        <v>464</v>
      </c>
      <c r="BD73" s="47">
        <v>1679</v>
      </c>
      <c r="BE73" s="5">
        <v>3.2</v>
      </c>
      <c r="BF73" s="2"/>
      <c r="BG73" s="2"/>
      <c r="BH73" s="2" t="s">
        <v>391</v>
      </c>
      <c r="BI73" s="47">
        <v>1416</v>
      </c>
      <c r="BJ73" s="5">
        <v>4.2</v>
      </c>
      <c r="BK73" s="2"/>
      <c r="BL73" s="2"/>
    </row>
    <row r="74" spans="10:64" ht="12.95" customHeight="1">
      <c r="J74" s="3"/>
      <c r="K74" s="2"/>
      <c r="L74" s="2"/>
      <c r="M74" s="2"/>
      <c r="N74" s="3"/>
      <c r="P74" s="35">
        <v>8704</v>
      </c>
      <c r="Q74" s="2" t="s">
        <v>294</v>
      </c>
      <c r="R74" s="47">
        <v>5712</v>
      </c>
      <c r="S74" s="22">
        <v>476</v>
      </c>
      <c r="T74" s="3"/>
      <c r="W74" s="2"/>
      <c r="X74" s="2"/>
      <c r="Y74" s="3"/>
      <c r="Z74" s="2"/>
      <c r="AA74" s="2"/>
      <c r="AC74" s="2114"/>
      <c r="AD74" s="2306"/>
      <c r="AE74" s="2302"/>
      <c r="AF74" s="2304"/>
      <c r="AG74" s="243" t="s">
        <v>388</v>
      </c>
      <c r="AH74" s="243" t="s">
        <v>390</v>
      </c>
      <c r="AI74" s="243" t="s">
        <v>392</v>
      </c>
      <c r="AJ74" s="243" t="s">
        <v>389</v>
      </c>
      <c r="AK74" s="243" t="s">
        <v>399</v>
      </c>
      <c r="AL74" s="243" t="s">
        <v>393</v>
      </c>
      <c r="AM74" s="244" t="s">
        <v>394</v>
      </c>
      <c r="AN74" s="53"/>
      <c r="AP74" s="2114"/>
      <c r="AQ74" s="2306"/>
      <c r="AR74" s="2302"/>
      <c r="AS74" s="2304"/>
      <c r="AT74" s="26" t="s">
        <v>388</v>
      </c>
      <c r="AU74" s="26" t="s">
        <v>427</v>
      </c>
      <c r="AV74" s="26" t="s">
        <v>441</v>
      </c>
      <c r="AW74" s="26" t="s">
        <v>398</v>
      </c>
      <c r="AX74" s="26" t="s">
        <v>390</v>
      </c>
      <c r="AY74" s="26" t="s">
        <v>442</v>
      </c>
      <c r="AZ74" s="27" t="s">
        <v>394</v>
      </c>
      <c r="BC74" s="2" t="s">
        <v>482</v>
      </c>
      <c r="BD74" s="47">
        <v>1617</v>
      </c>
      <c r="BE74" s="5">
        <v>3.1</v>
      </c>
      <c r="BF74" s="2"/>
      <c r="BG74" s="2"/>
      <c r="BH74" s="2" t="s">
        <v>463</v>
      </c>
      <c r="BI74" s="47">
        <v>1115</v>
      </c>
      <c r="BJ74" s="5">
        <v>3.3</v>
      </c>
      <c r="BK74" s="2"/>
      <c r="BL74" s="2"/>
    </row>
    <row r="75" spans="10:64" ht="12.95" customHeight="1">
      <c r="J75" s="3"/>
      <c r="K75" s="20" t="s">
        <v>195</v>
      </c>
      <c r="L75" s="47">
        <v>51276</v>
      </c>
      <c r="M75" s="47">
        <v>4273</v>
      </c>
      <c r="N75" s="2"/>
      <c r="P75" s="35">
        <v>8708</v>
      </c>
      <c r="Q75" s="2" t="s">
        <v>295</v>
      </c>
      <c r="R75" s="47">
        <v>11676</v>
      </c>
      <c r="S75" s="22">
        <v>973</v>
      </c>
      <c r="T75" s="3"/>
      <c r="W75" s="3"/>
      <c r="X75" s="20" t="s">
        <v>195</v>
      </c>
      <c r="Y75" s="53">
        <v>59412</v>
      </c>
      <c r="Z75" s="47">
        <v>4951</v>
      </c>
      <c r="AA75" s="2"/>
      <c r="AC75" s="2"/>
      <c r="AD75" s="3" t="s">
        <v>129</v>
      </c>
      <c r="AE75" s="53">
        <v>51404</v>
      </c>
      <c r="AF75" s="87">
        <v>100</v>
      </c>
      <c r="AG75" s="53">
        <v>32079</v>
      </c>
      <c r="AH75" s="53">
        <v>4003</v>
      </c>
      <c r="AI75" s="53">
        <v>2645</v>
      </c>
      <c r="AJ75" s="53">
        <v>2553</v>
      </c>
      <c r="AK75" s="53">
        <v>2267</v>
      </c>
      <c r="AL75" s="53">
        <v>1679</v>
      </c>
      <c r="AM75" s="53">
        <v>7178</v>
      </c>
      <c r="AN75" s="2"/>
      <c r="AP75" s="35"/>
      <c r="AQ75" s="2" t="s">
        <v>129</v>
      </c>
      <c r="AR75" s="53">
        <v>29590</v>
      </c>
      <c r="AS75" s="87">
        <v>100</v>
      </c>
      <c r="AT75" s="53">
        <v>18174</v>
      </c>
      <c r="AU75" s="53">
        <v>2052</v>
      </c>
      <c r="AV75" s="53">
        <v>1480</v>
      </c>
      <c r="AW75" s="53">
        <v>2025</v>
      </c>
      <c r="AX75" s="53">
        <v>1275</v>
      </c>
      <c r="AY75" s="53">
        <v>1416</v>
      </c>
      <c r="AZ75" s="53">
        <v>3916</v>
      </c>
      <c r="BC75" s="2" t="s">
        <v>391</v>
      </c>
      <c r="BD75" s="47">
        <v>1268</v>
      </c>
      <c r="BE75" s="5">
        <v>2.4</v>
      </c>
      <c r="BF75" s="2"/>
      <c r="BG75" s="2"/>
      <c r="BH75" s="2" t="s">
        <v>467</v>
      </c>
      <c r="BI75" s="5">
        <v>893</v>
      </c>
      <c r="BJ75" s="5">
        <v>2.6</v>
      </c>
      <c r="BK75" s="2"/>
      <c r="BL75" s="2"/>
    </row>
    <row r="76" spans="10:64" ht="12.95" customHeight="1">
      <c r="J76" s="21">
        <v>8516</v>
      </c>
      <c r="K76" s="2" t="s">
        <v>196</v>
      </c>
      <c r="L76" s="47">
        <v>32160</v>
      </c>
      <c r="M76" s="47">
        <v>2680</v>
      </c>
      <c r="N76" s="2"/>
      <c r="P76" s="2"/>
      <c r="Q76" s="2"/>
      <c r="R76" s="2"/>
      <c r="S76" s="3"/>
      <c r="T76" s="3"/>
      <c r="W76" s="21">
        <v>8516</v>
      </c>
      <c r="X76" s="3" t="s">
        <v>296</v>
      </c>
      <c r="Y76" s="53">
        <v>33120</v>
      </c>
      <c r="Z76" s="47">
        <v>2760</v>
      </c>
      <c r="AA76" s="2"/>
      <c r="AC76" s="21">
        <v>8703</v>
      </c>
      <c r="AD76" s="2" t="s">
        <v>293</v>
      </c>
      <c r="AE76" s="53">
        <v>8165</v>
      </c>
      <c r="AF76" s="22">
        <v>15.9</v>
      </c>
      <c r="AG76" s="53">
        <v>5755</v>
      </c>
      <c r="AH76" s="22">
        <v>436</v>
      </c>
      <c r="AI76" s="53">
        <v>1974</v>
      </c>
      <c r="AJ76" s="3"/>
      <c r="AK76" s="3"/>
      <c r="AL76" s="3"/>
      <c r="AM76" s="2"/>
      <c r="AN76" s="22"/>
      <c r="AP76" s="21">
        <v>4206</v>
      </c>
      <c r="AQ76" s="90" t="s">
        <v>289</v>
      </c>
      <c r="AR76" s="53">
        <v>2685</v>
      </c>
      <c r="AS76" s="22">
        <v>9.1</v>
      </c>
      <c r="AT76" s="22">
        <v>200</v>
      </c>
      <c r="AU76" s="53">
        <v>1157</v>
      </c>
      <c r="AV76" s="22">
        <v>122</v>
      </c>
      <c r="AW76" s="3"/>
      <c r="AX76" s="22">
        <v>693</v>
      </c>
      <c r="AY76" s="22">
        <v>1</v>
      </c>
      <c r="AZ76" s="22">
        <v>512</v>
      </c>
      <c r="BC76" s="2" t="s">
        <v>467</v>
      </c>
      <c r="BD76" s="5">
        <v>715</v>
      </c>
      <c r="BE76" s="5">
        <v>1.4</v>
      </c>
      <c r="BF76" s="2"/>
      <c r="BG76" s="2"/>
      <c r="BH76" s="2" t="s">
        <v>392</v>
      </c>
      <c r="BI76" s="5">
        <v>808</v>
      </c>
      <c r="BJ76" s="5">
        <v>2.4</v>
      </c>
      <c r="BK76" s="2"/>
      <c r="BL76" s="2"/>
    </row>
    <row r="77" spans="10:64" ht="12.95" customHeight="1">
      <c r="J77" s="21">
        <v>8548</v>
      </c>
      <c r="K77" s="2" t="s">
        <v>197</v>
      </c>
      <c r="L77" s="47">
        <v>6036</v>
      </c>
      <c r="M77" s="5">
        <v>503</v>
      </c>
      <c r="N77" s="2"/>
      <c r="P77" s="3"/>
      <c r="Q77" s="20" t="s">
        <v>195</v>
      </c>
      <c r="R77" s="47">
        <v>52944</v>
      </c>
      <c r="S77" s="53">
        <v>4412</v>
      </c>
      <c r="T77" s="3"/>
      <c r="W77" s="21">
        <v>8548</v>
      </c>
      <c r="X77" s="3" t="s">
        <v>297</v>
      </c>
      <c r="Y77" s="53">
        <v>4188</v>
      </c>
      <c r="Z77" s="5">
        <v>349</v>
      </c>
      <c r="AA77" s="2"/>
      <c r="AC77" s="21">
        <v>8300</v>
      </c>
      <c r="AD77" s="2" t="s">
        <v>312</v>
      </c>
      <c r="AE77" s="53">
        <v>4248</v>
      </c>
      <c r="AF77" s="22">
        <v>8.3000000000000007</v>
      </c>
      <c r="AG77" s="53">
        <v>4160</v>
      </c>
      <c r="AH77" s="22">
        <v>6</v>
      </c>
      <c r="AI77" s="3"/>
      <c r="AJ77" s="22">
        <v>1</v>
      </c>
      <c r="AK77" s="22">
        <v>64</v>
      </c>
      <c r="AL77" s="22">
        <v>4</v>
      </c>
      <c r="AM77" s="22">
        <v>13</v>
      </c>
      <c r="AN77" s="22"/>
      <c r="AP77" s="21">
        <v>8703</v>
      </c>
      <c r="AQ77" s="90" t="s">
        <v>400</v>
      </c>
      <c r="AR77" s="53">
        <v>2672</v>
      </c>
      <c r="AS77" s="87">
        <v>9</v>
      </c>
      <c r="AT77" s="53">
        <v>2672</v>
      </c>
      <c r="AU77" s="3"/>
      <c r="AV77" s="3"/>
      <c r="AW77" s="3"/>
      <c r="AX77" s="3"/>
      <c r="AY77" s="3"/>
      <c r="AZ77" s="3"/>
      <c r="BC77" s="2" t="s">
        <v>418</v>
      </c>
      <c r="BD77" s="5">
        <v>711</v>
      </c>
      <c r="BE77" s="5">
        <v>1.4</v>
      </c>
      <c r="BF77" s="2"/>
      <c r="BG77" s="2"/>
      <c r="BH77" s="2" t="s">
        <v>465</v>
      </c>
      <c r="BI77" s="5">
        <v>805</v>
      </c>
      <c r="BJ77" s="5">
        <v>2.4</v>
      </c>
      <c r="BK77" s="2"/>
      <c r="BL77" s="2"/>
    </row>
    <row r="78" spans="10:64" ht="12.95" customHeight="1">
      <c r="J78" s="21">
        <v>9403</v>
      </c>
      <c r="K78" s="2" t="s">
        <v>198</v>
      </c>
      <c r="L78" s="47">
        <v>6360</v>
      </c>
      <c r="M78" s="5">
        <v>530</v>
      </c>
      <c r="N78" s="2"/>
      <c r="P78" s="21">
        <v>8516</v>
      </c>
      <c r="Q78" s="2" t="s">
        <v>296</v>
      </c>
      <c r="R78" s="47">
        <v>37488</v>
      </c>
      <c r="S78" s="53">
        <v>3124</v>
      </c>
      <c r="T78" s="3"/>
      <c r="W78" s="21">
        <v>9101</v>
      </c>
      <c r="X78" s="3" t="s">
        <v>298</v>
      </c>
      <c r="Y78" s="53">
        <v>6228</v>
      </c>
      <c r="Z78" s="5">
        <v>519</v>
      </c>
      <c r="AA78" s="2"/>
      <c r="AC78" s="21">
        <v>8516</v>
      </c>
      <c r="AD78" s="2" t="s">
        <v>407</v>
      </c>
      <c r="AE78" s="53">
        <v>2756</v>
      </c>
      <c r="AF78" s="22">
        <v>5.4</v>
      </c>
      <c r="AG78" s="53">
        <v>1443</v>
      </c>
      <c r="AH78" s="22">
        <v>139</v>
      </c>
      <c r="AI78" s="22">
        <v>61</v>
      </c>
      <c r="AJ78" s="22">
        <v>278</v>
      </c>
      <c r="AK78" s="22">
        <v>20</v>
      </c>
      <c r="AL78" s="22">
        <v>622</v>
      </c>
      <c r="AM78" s="22">
        <v>194</v>
      </c>
      <c r="AN78" s="3"/>
      <c r="AP78" s="21">
        <v>3304</v>
      </c>
      <c r="AQ78" s="90" t="s">
        <v>432</v>
      </c>
      <c r="AR78" s="53">
        <v>2442</v>
      </c>
      <c r="AS78" s="22">
        <v>8.3000000000000007</v>
      </c>
      <c r="AT78" s="22">
        <v>949</v>
      </c>
      <c r="AU78" s="22">
        <v>56</v>
      </c>
      <c r="AV78" s="22">
        <v>7</v>
      </c>
      <c r="AW78" s="3"/>
      <c r="AX78" s="22">
        <v>336</v>
      </c>
      <c r="AY78" s="22">
        <v>125</v>
      </c>
      <c r="AZ78" s="22">
        <v>969</v>
      </c>
      <c r="BC78" s="2" t="s">
        <v>483</v>
      </c>
      <c r="BD78" s="5">
        <v>543</v>
      </c>
      <c r="BE78" s="88">
        <v>1</v>
      </c>
      <c r="BF78" s="2"/>
      <c r="BG78" s="2"/>
      <c r="BH78" s="2" t="s">
        <v>389</v>
      </c>
      <c r="BI78" s="5">
        <v>628</v>
      </c>
      <c r="BJ78" s="5">
        <v>1.8</v>
      </c>
      <c r="BK78" s="2"/>
      <c r="BL78" s="2"/>
    </row>
    <row r="79" spans="10:64" ht="12.95" customHeight="1">
      <c r="J79" s="40">
        <v>9405</v>
      </c>
      <c r="K79" s="10" t="s">
        <v>199</v>
      </c>
      <c r="L79" s="54">
        <v>6720</v>
      </c>
      <c r="M79" s="11">
        <v>560</v>
      </c>
      <c r="N79" s="14"/>
      <c r="O79" s="25"/>
      <c r="P79" s="21">
        <v>8548</v>
      </c>
      <c r="Q79" s="2" t="s">
        <v>297</v>
      </c>
      <c r="R79" s="47">
        <v>4368</v>
      </c>
      <c r="S79" s="22">
        <v>364</v>
      </c>
      <c r="T79" s="2"/>
      <c r="W79" s="21">
        <v>9403</v>
      </c>
      <c r="X79" s="3" t="s">
        <v>299</v>
      </c>
      <c r="Y79" s="53">
        <v>6924</v>
      </c>
      <c r="Z79" s="5">
        <v>577</v>
      </c>
      <c r="AA79" s="2"/>
      <c r="AC79" s="21">
        <v>3006</v>
      </c>
      <c r="AD79" s="2" t="s">
        <v>408</v>
      </c>
      <c r="AE79" s="53">
        <v>2579</v>
      </c>
      <c r="AF79" s="87">
        <v>5</v>
      </c>
      <c r="AG79" s="53">
        <v>2516</v>
      </c>
      <c r="AH79" s="22">
        <v>63</v>
      </c>
      <c r="AI79" s="3"/>
      <c r="AJ79" s="3"/>
      <c r="AK79" s="3"/>
      <c r="AL79" s="3"/>
      <c r="AM79" s="3"/>
      <c r="AN79" s="22"/>
      <c r="AP79" s="21">
        <v>2202</v>
      </c>
      <c r="AQ79" s="90" t="s">
        <v>443</v>
      </c>
      <c r="AR79" s="53">
        <v>2014</v>
      </c>
      <c r="AS79" s="22">
        <v>6.8</v>
      </c>
      <c r="AT79" s="22">
        <v>928</v>
      </c>
      <c r="AU79" s="3"/>
      <c r="AV79" s="3"/>
      <c r="AW79" s="22">
        <v>772</v>
      </c>
      <c r="AX79" s="3"/>
      <c r="AY79" s="3"/>
      <c r="AZ79" s="22">
        <v>314</v>
      </c>
      <c r="BC79" s="2" t="s">
        <v>468</v>
      </c>
      <c r="BD79" s="5">
        <v>349</v>
      </c>
      <c r="BE79" s="5">
        <v>0.7</v>
      </c>
      <c r="BF79" s="2"/>
      <c r="BG79" s="2"/>
      <c r="BH79" s="2" t="s">
        <v>397</v>
      </c>
      <c r="BI79" s="5">
        <v>505</v>
      </c>
      <c r="BJ79" s="5">
        <v>1.5</v>
      </c>
      <c r="BK79" s="2"/>
      <c r="BL79" s="2"/>
    </row>
    <row r="80" spans="10:64" ht="12.95" customHeight="1">
      <c r="J80" s="13" t="s">
        <v>174</v>
      </c>
      <c r="K80" s="14"/>
      <c r="L80" s="14"/>
      <c r="M80" s="14"/>
      <c r="N80" s="14"/>
      <c r="O80" s="25"/>
      <c r="P80" s="21">
        <v>9101</v>
      </c>
      <c r="Q80" s="2" t="s">
        <v>298</v>
      </c>
      <c r="R80" s="5">
        <v>696</v>
      </c>
      <c r="S80" s="22">
        <v>58</v>
      </c>
      <c r="T80" s="2"/>
      <c r="W80" s="40">
        <v>9405</v>
      </c>
      <c r="X80" s="23" t="s">
        <v>300</v>
      </c>
      <c r="Y80" s="54">
        <v>8964</v>
      </c>
      <c r="Z80" s="11">
        <v>747</v>
      </c>
      <c r="AA80" s="14"/>
      <c r="AB80" s="25"/>
      <c r="AC80" s="21">
        <v>7200</v>
      </c>
      <c r="AD80" s="2" t="s">
        <v>409</v>
      </c>
      <c r="AE80" s="53">
        <v>2033</v>
      </c>
      <c r="AF80" s="87">
        <v>4</v>
      </c>
      <c r="AG80" s="22">
        <v>772</v>
      </c>
      <c r="AH80" s="22">
        <v>862</v>
      </c>
      <c r="AI80" s="22">
        <v>60</v>
      </c>
      <c r="AJ80" s="3"/>
      <c r="AK80" s="22">
        <v>17</v>
      </c>
      <c r="AL80" s="22">
        <v>201</v>
      </c>
      <c r="AM80" s="22">
        <v>121</v>
      </c>
      <c r="AN80" s="53"/>
      <c r="AP80" s="21">
        <v>9101</v>
      </c>
      <c r="AQ80" s="90" t="s">
        <v>444</v>
      </c>
      <c r="AR80" s="53">
        <v>1542</v>
      </c>
      <c r="AS80" s="22">
        <v>5.2</v>
      </c>
      <c r="AT80" s="22">
        <v>65</v>
      </c>
      <c r="AU80" s="22">
        <v>6</v>
      </c>
      <c r="AV80" s="22">
        <v>125</v>
      </c>
      <c r="AW80" s="3"/>
      <c r="AX80" s="3"/>
      <c r="AY80" s="53">
        <v>1230</v>
      </c>
      <c r="AZ80" s="22">
        <v>116</v>
      </c>
      <c r="BC80" s="2" t="s">
        <v>484</v>
      </c>
      <c r="BD80" s="5">
        <v>285</v>
      </c>
      <c r="BE80" s="5">
        <v>0.5</v>
      </c>
      <c r="BF80" s="2"/>
      <c r="BG80" s="2"/>
      <c r="BH80" s="2" t="s">
        <v>483</v>
      </c>
      <c r="BI80" s="5">
        <v>408</v>
      </c>
      <c r="BJ80" s="5">
        <v>1.2</v>
      </c>
      <c r="BK80" s="2"/>
      <c r="BL80" s="2"/>
    </row>
    <row r="81" spans="10:64" ht="12.95" customHeight="1">
      <c r="J81" s="13" t="s">
        <v>175</v>
      </c>
      <c r="K81" s="14"/>
      <c r="L81" s="14"/>
      <c r="M81" s="14"/>
      <c r="N81" s="2"/>
      <c r="P81" s="21">
        <v>9403</v>
      </c>
      <c r="Q81" s="2" t="s">
        <v>299</v>
      </c>
      <c r="R81" s="47">
        <v>6144</v>
      </c>
      <c r="S81" s="22">
        <v>512</v>
      </c>
      <c r="T81" s="3"/>
      <c r="W81" s="13" t="s">
        <v>174</v>
      </c>
      <c r="X81" s="14"/>
      <c r="Y81" s="14"/>
      <c r="Z81" s="14"/>
      <c r="AA81" s="14"/>
      <c r="AB81" s="25"/>
      <c r="AC81" s="21">
        <v>4206</v>
      </c>
      <c r="AD81" s="2" t="s">
        <v>410</v>
      </c>
      <c r="AE81" s="53">
        <v>1977</v>
      </c>
      <c r="AF81" s="22">
        <v>3.8</v>
      </c>
      <c r="AG81" s="22">
        <v>395</v>
      </c>
      <c r="AH81" s="22">
        <v>276</v>
      </c>
      <c r="AI81" s="22">
        <v>42</v>
      </c>
      <c r="AJ81" s="22">
        <v>11</v>
      </c>
      <c r="AK81" s="22">
        <v>59</v>
      </c>
      <c r="AL81" s="3"/>
      <c r="AM81" s="53">
        <v>1194</v>
      </c>
      <c r="AN81" s="3"/>
      <c r="AP81" s="21">
        <v>9102</v>
      </c>
      <c r="AQ81" s="90" t="s">
        <v>445</v>
      </c>
      <c r="AR81" s="53">
        <v>1123</v>
      </c>
      <c r="AS81" s="22">
        <v>3.8</v>
      </c>
      <c r="AT81" s="22">
        <v>377</v>
      </c>
      <c r="AU81" s="3"/>
      <c r="AV81" s="22">
        <v>420</v>
      </c>
      <c r="AW81" s="3"/>
      <c r="AX81" s="3"/>
      <c r="AY81" s="3"/>
      <c r="AZ81" s="22">
        <v>326</v>
      </c>
      <c r="BC81" s="2" t="s">
        <v>465</v>
      </c>
      <c r="BD81" s="5">
        <v>267</v>
      </c>
      <c r="BE81" s="5">
        <v>0.5</v>
      </c>
      <c r="BF81" s="2"/>
      <c r="BG81" s="2"/>
      <c r="BH81" s="2" t="s">
        <v>393</v>
      </c>
      <c r="BI81" s="5">
        <v>388</v>
      </c>
      <c r="BJ81" s="5">
        <v>1.1000000000000001</v>
      </c>
      <c r="BK81" s="2"/>
      <c r="BL81" s="2"/>
    </row>
    <row r="82" spans="10:64" ht="12.95" customHeight="1">
      <c r="J82" s="2"/>
      <c r="K82" s="2"/>
      <c r="L82" s="2"/>
      <c r="M82" s="2"/>
      <c r="N82" s="2"/>
      <c r="P82" s="40">
        <v>9405</v>
      </c>
      <c r="Q82" s="10" t="s">
        <v>300</v>
      </c>
      <c r="R82" s="51">
        <v>4248</v>
      </c>
      <c r="S82" s="29">
        <v>354</v>
      </c>
      <c r="T82" s="3"/>
      <c r="V82" s="25"/>
      <c r="W82" s="13" t="s">
        <v>175</v>
      </c>
      <c r="X82" s="14"/>
      <c r="Y82" s="14"/>
      <c r="Z82" s="14"/>
      <c r="AA82" s="2"/>
      <c r="AC82" s="21">
        <v>2710</v>
      </c>
      <c r="AD82" s="2" t="s">
        <v>411</v>
      </c>
      <c r="AE82" s="53">
        <v>1686</v>
      </c>
      <c r="AF82" s="22">
        <v>3.3</v>
      </c>
      <c r="AG82" s="22">
        <v>9</v>
      </c>
      <c r="AH82" s="22">
        <v>311</v>
      </c>
      <c r="AI82" s="3"/>
      <c r="AJ82" s="53">
        <v>1366</v>
      </c>
      <c r="AK82" s="3"/>
      <c r="AL82" s="3"/>
      <c r="AM82" s="3"/>
      <c r="AN82" s="22"/>
      <c r="AP82" s="21">
        <v>9103</v>
      </c>
      <c r="AQ82" s="90" t="s">
        <v>430</v>
      </c>
      <c r="AR82" s="53">
        <v>1065</v>
      </c>
      <c r="AS82" s="22">
        <v>3.6</v>
      </c>
      <c r="AT82" s="22">
        <v>908</v>
      </c>
      <c r="AU82" s="3"/>
      <c r="AV82" s="22">
        <v>106</v>
      </c>
      <c r="AW82" s="3"/>
      <c r="AX82" s="3"/>
      <c r="AY82" s="3"/>
      <c r="AZ82" s="22">
        <v>51</v>
      </c>
      <c r="BC82" s="2" t="s">
        <v>485</v>
      </c>
      <c r="BD82" s="5">
        <v>206</v>
      </c>
      <c r="BE82" s="5">
        <v>0.4</v>
      </c>
      <c r="BF82" s="2"/>
      <c r="BG82" s="2"/>
      <c r="BH82" s="2" t="s">
        <v>496</v>
      </c>
      <c r="BI82" s="5">
        <v>365</v>
      </c>
      <c r="BJ82" s="5">
        <v>1.1000000000000001</v>
      </c>
      <c r="BK82" s="2"/>
      <c r="BL82" s="2"/>
    </row>
    <row r="83" spans="10:64" ht="12.95" customHeight="1">
      <c r="J83" s="2"/>
      <c r="K83" s="2"/>
      <c r="L83" s="2"/>
      <c r="M83" s="2"/>
      <c r="N83" s="2"/>
      <c r="P83" s="13" t="s">
        <v>174</v>
      </c>
      <c r="Q83" s="14"/>
      <c r="R83" s="14"/>
      <c r="S83" s="14"/>
      <c r="T83" s="30"/>
      <c r="U83" s="25"/>
      <c r="V83" s="25"/>
      <c r="W83" s="13"/>
      <c r="X83" s="14"/>
      <c r="Y83" s="14"/>
      <c r="Z83" s="14"/>
      <c r="AA83" s="2"/>
      <c r="AC83" s="21">
        <v>2202</v>
      </c>
      <c r="AD83" s="2" t="s">
        <v>278</v>
      </c>
      <c r="AE83" s="53">
        <v>1597</v>
      </c>
      <c r="AF83" s="22">
        <v>3.1</v>
      </c>
      <c r="AG83" s="53">
        <v>1110</v>
      </c>
      <c r="AH83" s="22">
        <v>37</v>
      </c>
      <c r="AI83" s="3"/>
      <c r="AJ83" s="3"/>
      <c r="AK83" s="22">
        <v>208</v>
      </c>
      <c r="AL83" s="22">
        <v>109</v>
      </c>
      <c r="AM83" s="22">
        <v>134</v>
      </c>
      <c r="AN83" s="22"/>
      <c r="AP83" s="21">
        <v>9104</v>
      </c>
      <c r="AQ83" s="90" t="s">
        <v>317</v>
      </c>
      <c r="AR83" s="22">
        <v>873</v>
      </c>
      <c r="AS83" s="87">
        <v>3</v>
      </c>
      <c r="AT83" s="22">
        <v>837</v>
      </c>
      <c r="AU83" s="3"/>
      <c r="AV83" s="22">
        <v>1</v>
      </c>
      <c r="AW83" s="3"/>
      <c r="AX83" s="3"/>
      <c r="AY83" s="3"/>
      <c r="AZ83" s="22">
        <v>35</v>
      </c>
      <c r="BC83" s="2" t="s">
        <v>427</v>
      </c>
      <c r="BD83" s="5">
        <v>195</v>
      </c>
      <c r="BE83" s="5">
        <v>0.4</v>
      </c>
      <c r="BF83" s="2"/>
      <c r="BG83" s="2"/>
      <c r="BH83" s="2" t="s">
        <v>478</v>
      </c>
      <c r="BI83" s="5">
        <v>355</v>
      </c>
      <c r="BJ83" s="88">
        <v>1</v>
      </c>
      <c r="BK83" s="2"/>
      <c r="BL83" s="2"/>
    </row>
    <row r="84" spans="10:64" ht="12.95" customHeight="1">
      <c r="J84" s="2"/>
      <c r="K84" s="2"/>
      <c r="L84" s="2"/>
      <c r="M84" s="2"/>
      <c r="N84" s="2"/>
      <c r="P84" s="13" t="s">
        <v>175</v>
      </c>
      <c r="Q84" s="14"/>
      <c r="R84" s="14"/>
      <c r="S84" s="14"/>
      <c r="T84" s="30"/>
      <c r="U84" s="25"/>
      <c r="W84" s="2"/>
      <c r="X84" s="2"/>
      <c r="Y84" s="2"/>
      <c r="Z84" s="2"/>
      <c r="AA84" s="2"/>
      <c r="AC84" s="21">
        <v>1006</v>
      </c>
      <c r="AD84" s="2" t="s">
        <v>151</v>
      </c>
      <c r="AE84" s="53">
        <v>1240</v>
      </c>
      <c r="AF84" s="22">
        <v>2.4</v>
      </c>
      <c r="AG84" s="53">
        <v>1012</v>
      </c>
      <c r="AH84" s="3"/>
      <c r="AI84" s="3"/>
      <c r="AJ84" s="3"/>
      <c r="AK84" s="3"/>
      <c r="AL84" s="3"/>
      <c r="AM84" s="22">
        <v>228</v>
      </c>
      <c r="AN84" s="22"/>
      <c r="AP84" s="21">
        <v>9105</v>
      </c>
      <c r="AQ84" s="90" t="s">
        <v>446</v>
      </c>
      <c r="AR84" s="22">
        <v>82</v>
      </c>
      <c r="AS84" s="22">
        <v>0.3</v>
      </c>
      <c r="AT84" s="22">
        <v>348</v>
      </c>
      <c r="AU84" s="22">
        <v>192</v>
      </c>
      <c r="AV84" s="22">
        <v>41</v>
      </c>
      <c r="AW84" s="3"/>
      <c r="AX84" s="22">
        <v>68</v>
      </c>
      <c r="AY84" s="22">
        <v>49</v>
      </c>
      <c r="AZ84" s="22">
        <v>131</v>
      </c>
      <c r="BC84" s="2" t="s">
        <v>486</v>
      </c>
      <c r="BD84" s="5">
        <v>190</v>
      </c>
      <c r="BE84" s="5">
        <v>0.4</v>
      </c>
      <c r="BF84" s="2"/>
      <c r="BG84" s="2"/>
      <c r="BH84" s="2" t="s">
        <v>485</v>
      </c>
      <c r="BI84" s="5">
        <v>264</v>
      </c>
      <c r="BJ84" s="5">
        <v>0.8</v>
      </c>
      <c r="BK84" s="2"/>
      <c r="BL84" s="2"/>
    </row>
    <row r="85" spans="10:64" ht="12.95" customHeight="1">
      <c r="J85" s="1" t="s">
        <v>200</v>
      </c>
      <c r="K85" s="3"/>
      <c r="L85" s="3"/>
      <c r="M85" s="3"/>
      <c r="N85" s="3"/>
      <c r="P85" s="13"/>
      <c r="Q85" s="14"/>
      <c r="R85" s="14"/>
      <c r="S85" s="14"/>
      <c r="T85" s="3"/>
      <c r="W85" s="2"/>
      <c r="X85" s="2"/>
      <c r="Y85" s="2"/>
      <c r="Z85" s="2"/>
      <c r="AA85" s="2"/>
      <c r="AC85" s="21">
        <v>3304</v>
      </c>
      <c r="AD85" s="2" t="s">
        <v>412</v>
      </c>
      <c r="AE85" s="53">
        <v>1180</v>
      </c>
      <c r="AF85" s="22">
        <v>2.2999999999999998</v>
      </c>
      <c r="AG85" s="22">
        <v>589</v>
      </c>
      <c r="AH85" s="22">
        <v>10</v>
      </c>
      <c r="AI85" s="22">
        <v>13</v>
      </c>
      <c r="AJ85" s="22">
        <v>46</v>
      </c>
      <c r="AK85" s="3"/>
      <c r="AL85" s="22">
        <v>65</v>
      </c>
      <c r="AM85" s="22">
        <v>456</v>
      </c>
      <c r="AN85" s="22"/>
      <c r="AP85" s="21">
        <v>9106</v>
      </c>
      <c r="AQ85" s="90" t="s">
        <v>297</v>
      </c>
      <c r="AR85" s="22">
        <v>713</v>
      </c>
      <c r="AS85" s="22">
        <v>2.4</v>
      </c>
      <c r="AT85" s="22">
        <v>423</v>
      </c>
      <c r="AU85" s="3"/>
      <c r="AV85" s="22">
        <v>212</v>
      </c>
      <c r="AW85" s="3"/>
      <c r="AX85" s="3"/>
      <c r="AY85" s="3"/>
      <c r="AZ85" s="22">
        <v>78</v>
      </c>
      <c r="BC85" s="2" t="s">
        <v>487</v>
      </c>
      <c r="BD85" s="5">
        <v>154</v>
      </c>
      <c r="BE85" s="5">
        <v>0.3</v>
      </c>
      <c r="BF85" s="2"/>
      <c r="BG85" s="2"/>
      <c r="BH85" s="2" t="s">
        <v>499</v>
      </c>
      <c r="BI85" s="5">
        <v>149</v>
      </c>
      <c r="BJ85" s="5">
        <v>0.4</v>
      </c>
      <c r="BK85" s="2"/>
      <c r="BL85" s="2"/>
    </row>
    <row r="86" spans="10:64" ht="12.95" customHeight="1">
      <c r="J86" s="1" t="s">
        <v>127</v>
      </c>
      <c r="K86" s="3"/>
      <c r="L86" s="3"/>
      <c r="M86" s="3"/>
      <c r="N86" s="2"/>
      <c r="P86" s="2"/>
      <c r="Q86" s="2"/>
      <c r="R86" s="2"/>
      <c r="S86" s="2"/>
      <c r="T86" s="3"/>
      <c r="W86" s="1" t="s">
        <v>370</v>
      </c>
      <c r="X86" s="3"/>
      <c r="Y86" s="3"/>
      <c r="Z86" s="3"/>
      <c r="AA86" s="3"/>
      <c r="AC86" s="21">
        <v>1905</v>
      </c>
      <c r="AD86" s="2" t="s">
        <v>268</v>
      </c>
      <c r="AE86" s="53">
        <v>1062</v>
      </c>
      <c r="AF86" s="22">
        <v>2.1</v>
      </c>
      <c r="AG86" s="22">
        <v>881</v>
      </c>
      <c r="AH86" s="22">
        <v>20</v>
      </c>
      <c r="AI86" s="22">
        <v>17</v>
      </c>
      <c r="AJ86" s="22">
        <v>3</v>
      </c>
      <c r="AK86" s="22">
        <v>5</v>
      </c>
      <c r="AL86" s="3"/>
      <c r="AM86" s="22">
        <v>136</v>
      </c>
      <c r="AN86" s="22"/>
      <c r="AP86" s="21">
        <v>9107</v>
      </c>
      <c r="AQ86" s="90" t="s">
        <v>286</v>
      </c>
      <c r="AR86" s="22">
        <v>633</v>
      </c>
      <c r="AS86" s="22">
        <v>2.1</v>
      </c>
      <c r="AT86" s="22">
        <v>130</v>
      </c>
      <c r="AU86" s="22">
        <v>246</v>
      </c>
      <c r="AV86" s="22">
        <v>35</v>
      </c>
      <c r="AW86" s="3"/>
      <c r="AX86" s="22">
        <v>153</v>
      </c>
      <c r="AY86" s="22">
        <v>4</v>
      </c>
      <c r="AZ86" s="22">
        <v>66</v>
      </c>
      <c r="BC86" s="2" t="s">
        <v>488</v>
      </c>
      <c r="BD86" s="5">
        <v>148</v>
      </c>
      <c r="BE86" s="5">
        <v>0.3</v>
      </c>
      <c r="BF86" s="2"/>
      <c r="BG86" s="2"/>
      <c r="BH86" s="2" t="s">
        <v>468</v>
      </c>
      <c r="BI86" s="5">
        <v>124</v>
      </c>
      <c r="BJ86" s="5">
        <v>0.4</v>
      </c>
      <c r="BK86" s="2"/>
      <c r="BL86" s="2"/>
    </row>
    <row r="87" spans="10:64" ht="12.95" customHeight="1">
      <c r="J87" s="2113" t="s">
        <v>135</v>
      </c>
      <c r="K87" s="2305" t="s">
        <v>136</v>
      </c>
      <c r="L87" s="2270" t="s">
        <v>242</v>
      </c>
      <c r="M87" s="12" t="s">
        <v>3</v>
      </c>
      <c r="N87" s="3"/>
      <c r="P87" s="2"/>
      <c r="Q87" s="2"/>
      <c r="R87" s="2"/>
      <c r="S87" s="2"/>
      <c r="T87" s="3"/>
      <c r="W87" s="1" t="s">
        <v>127</v>
      </c>
      <c r="X87" s="3"/>
      <c r="Y87" s="3"/>
      <c r="Z87" s="3"/>
      <c r="AA87" s="3"/>
      <c r="AC87" s="21">
        <v>2106</v>
      </c>
      <c r="AD87" s="2" t="s">
        <v>276</v>
      </c>
      <c r="AE87" s="22">
        <v>902</v>
      </c>
      <c r="AF87" s="22">
        <v>1.8</v>
      </c>
      <c r="AG87" s="22">
        <v>790</v>
      </c>
      <c r="AH87" s="22">
        <v>42</v>
      </c>
      <c r="AI87" s="3"/>
      <c r="AJ87" s="3"/>
      <c r="AK87" s="3"/>
      <c r="AL87" s="3"/>
      <c r="AM87" s="22">
        <v>70</v>
      </c>
      <c r="AN87" s="3"/>
      <c r="AP87" s="21">
        <v>9108</v>
      </c>
      <c r="AQ87" s="90" t="s">
        <v>447</v>
      </c>
      <c r="AR87" s="22">
        <v>631</v>
      </c>
      <c r="AS87" s="22">
        <v>2.1</v>
      </c>
      <c r="AT87" s="22">
        <v>532</v>
      </c>
      <c r="AU87" s="22">
        <v>37</v>
      </c>
      <c r="AV87" s="22">
        <v>8</v>
      </c>
      <c r="AW87" s="3"/>
      <c r="AX87" s="22">
        <v>1</v>
      </c>
      <c r="AY87" s="3"/>
      <c r="AZ87" s="22">
        <v>53</v>
      </c>
      <c r="BC87" s="2" t="s">
        <v>441</v>
      </c>
      <c r="BD87" s="5">
        <v>109</v>
      </c>
      <c r="BE87" s="5">
        <v>0.2</v>
      </c>
      <c r="BF87" s="2"/>
      <c r="BG87" s="2"/>
      <c r="BH87" s="2" t="s">
        <v>491</v>
      </c>
      <c r="BI87" s="5">
        <v>114</v>
      </c>
      <c r="BJ87" s="5">
        <v>0.3</v>
      </c>
      <c r="BK87" s="102"/>
      <c r="BL87" s="2"/>
    </row>
    <row r="88" spans="10:64" ht="12" customHeight="1">
      <c r="J88" s="2114"/>
      <c r="K88" s="2306"/>
      <c r="L88" s="2268"/>
      <c r="M88" s="50">
        <v>45739</v>
      </c>
      <c r="N88" s="2"/>
      <c r="P88" s="1" t="s">
        <v>301</v>
      </c>
      <c r="Q88" s="3"/>
      <c r="R88" s="3"/>
      <c r="S88" s="2"/>
      <c r="T88" s="3"/>
      <c r="W88" s="2113" t="s">
        <v>135</v>
      </c>
      <c r="X88" s="2305" t="s">
        <v>136</v>
      </c>
      <c r="Y88" s="2303" t="s">
        <v>242</v>
      </c>
      <c r="Z88" s="27" t="s">
        <v>35</v>
      </c>
      <c r="AA88" s="2"/>
      <c r="AC88" s="21">
        <v>1602</v>
      </c>
      <c r="AD88" s="2" t="s">
        <v>260</v>
      </c>
      <c r="AE88" s="22">
        <v>899</v>
      </c>
      <c r="AF88" s="22">
        <v>1.7</v>
      </c>
      <c r="AG88" s="22">
        <v>899</v>
      </c>
      <c r="AH88" s="3"/>
      <c r="AI88" s="3"/>
      <c r="AJ88" s="3"/>
      <c r="AK88" s="3"/>
      <c r="AL88" s="3"/>
      <c r="AM88" s="3"/>
      <c r="AN88" s="22"/>
      <c r="AP88" s="21">
        <v>9109</v>
      </c>
      <c r="AQ88" s="90" t="s">
        <v>290</v>
      </c>
      <c r="AR88" s="22">
        <v>452</v>
      </c>
      <c r="AS88" s="22">
        <v>1.5</v>
      </c>
      <c r="AT88" s="22">
        <v>333</v>
      </c>
      <c r="AU88" s="3"/>
      <c r="AV88" s="22">
        <v>86</v>
      </c>
      <c r="AW88" s="3"/>
      <c r="AX88" s="3"/>
      <c r="AY88" s="3"/>
      <c r="AZ88" s="22">
        <v>34</v>
      </c>
      <c r="BC88" s="10" t="s">
        <v>394</v>
      </c>
      <c r="BD88" s="11">
        <v>420</v>
      </c>
      <c r="BE88" s="11">
        <v>0.8</v>
      </c>
      <c r="BF88" s="2"/>
      <c r="BG88" s="2"/>
      <c r="BH88" s="10" t="s">
        <v>394</v>
      </c>
      <c r="BI88" s="11">
        <v>572</v>
      </c>
      <c r="BJ88" s="11">
        <v>1.7</v>
      </c>
      <c r="BK88" s="103"/>
      <c r="BL88" s="2"/>
    </row>
    <row r="89" spans="10:64" ht="12" customHeight="1">
      <c r="J89" s="8"/>
      <c r="K89" s="8"/>
      <c r="L89" s="8"/>
      <c r="M89" s="8"/>
      <c r="N89" s="3"/>
      <c r="P89" s="1" t="s">
        <v>127</v>
      </c>
      <c r="Q89" s="3"/>
      <c r="R89" s="3"/>
      <c r="S89" s="2"/>
      <c r="T89" s="3"/>
      <c r="W89" s="2114"/>
      <c r="X89" s="2306"/>
      <c r="Y89" s="2304"/>
      <c r="Z89" s="50">
        <v>46012</v>
      </c>
      <c r="AA89" s="3"/>
      <c r="AC89" s="21">
        <v>6203</v>
      </c>
      <c r="AD89" s="2" t="s">
        <v>284</v>
      </c>
      <c r="AE89" s="22">
        <v>837</v>
      </c>
      <c r="AF89" s="22">
        <v>1.6</v>
      </c>
      <c r="AG89" s="22">
        <v>664</v>
      </c>
      <c r="AH89" s="22">
        <v>29</v>
      </c>
      <c r="AI89" s="22">
        <v>3</v>
      </c>
      <c r="AJ89" s="22">
        <v>29</v>
      </c>
      <c r="AK89" s="3"/>
      <c r="AL89" s="22">
        <v>14</v>
      </c>
      <c r="AM89" s="22">
        <v>99</v>
      </c>
      <c r="AN89" s="22"/>
      <c r="AP89" s="21">
        <v>9110</v>
      </c>
      <c r="AQ89" s="90" t="s">
        <v>309</v>
      </c>
      <c r="AR89" s="22">
        <v>431</v>
      </c>
      <c r="AS89" s="22">
        <v>1.5</v>
      </c>
      <c r="AT89" s="22">
        <v>52</v>
      </c>
      <c r="AU89" s="3"/>
      <c r="AV89" s="22">
        <v>1</v>
      </c>
      <c r="AW89" s="3"/>
      <c r="AX89" s="3"/>
      <c r="AY89" s="3"/>
      <c r="AZ89" s="22">
        <v>378</v>
      </c>
      <c r="BC89" s="101" t="s">
        <v>132</v>
      </c>
      <c r="BD89" s="102"/>
      <c r="BE89" s="102"/>
      <c r="BF89" s="102"/>
      <c r="BG89" s="2"/>
      <c r="BH89" s="101" t="s">
        <v>132</v>
      </c>
      <c r="BI89" s="102"/>
      <c r="BJ89" s="102"/>
      <c r="BL89" s="2"/>
    </row>
    <row r="90" spans="10:64" ht="12.95" customHeight="1">
      <c r="J90" s="2"/>
      <c r="K90" s="20" t="s">
        <v>201</v>
      </c>
      <c r="L90" s="47">
        <v>104820</v>
      </c>
      <c r="M90" s="53">
        <v>8735</v>
      </c>
      <c r="N90" s="3"/>
      <c r="P90" s="2113" t="s">
        <v>135</v>
      </c>
      <c r="Q90" s="2305" t="s">
        <v>136</v>
      </c>
      <c r="R90" s="2270" t="s">
        <v>242</v>
      </c>
      <c r="S90" s="12" t="s">
        <v>34</v>
      </c>
      <c r="T90" s="3"/>
      <c r="W90" s="21"/>
      <c r="X90" s="3"/>
      <c r="Y90" s="2"/>
      <c r="Z90" s="3"/>
      <c r="AA90" s="3"/>
      <c r="AC90" s="56" t="s">
        <v>339</v>
      </c>
      <c r="AD90" s="2" t="s">
        <v>413</v>
      </c>
      <c r="AE90" s="22">
        <v>816</v>
      </c>
      <c r="AF90" s="22">
        <v>1.6</v>
      </c>
      <c r="AG90" s="22">
        <v>662</v>
      </c>
      <c r="AH90" s="3"/>
      <c r="AI90" s="3"/>
      <c r="AJ90" s="3"/>
      <c r="AK90" s="3"/>
      <c r="AL90" s="3"/>
      <c r="AM90" s="22">
        <v>154</v>
      </c>
      <c r="AN90" s="22"/>
      <c r="AP90" s="21">
        <v>9111</v>
      </c>
      <c r="AQ90" s="90" t="s">
        <v>282</v>
      </c>
      <c r="AR90" s="22">
        <v>423</v>
      </c>
      <c r="AS90" s="22">
        <v>1.4</v>
      </c>
      <c r="AT90" s="22">
        <v>172</v>
      </c>
      <c r="AU90" s="22">
        <v>5</v>
      </c>
      <c r="AV90" s="3"/>
      <c r="AW90" s="22">
        <v>11</v>
      </c>
      <c r="AX90" s="3"/>
      <c r="AY90" s="3"/>
      <c r="AZ90" s="22">
        <v>235</v>
      </c>
      <c r="BC90" s="2313" t="s">
        <v>489</v>
      </c>
      <c r="BD90" s="2313"/>
      <c r="BE90" s="102"/>
      <c r="BF90" s="103"/>
      <c r="BG90" s="2"/>
      <c r="BH90" s="2313" t="s">
        <v>489</v>
      </c>
      <c r="BI90" s="2313"/>
      <c r="BJ90" s="102"/>
    </row>
    <row r="91" spans="10:64" ht="12.95" customHeight="1">
      <c r="J91" s="21">
        <v>2523</v>
      </c>
      <c r="K91" s="2" t="s">
        <v>202</v>
      </c>
      <c r="L91" s="47">
        <v>14868</v>
      </c>
      <c r="M91" s="53">
        <v>1239</v>
      </c>
      <c r="N91" s="3"/>
      <c r="P91" s="2114"/>
      <c r="Q91" s="2306"/>
      <c r="R91" s="2268"/>
      <c r="S91" s="50">
        <v>45738</v>
      </c>
      <c r="T91" s="3"/>
      <c r="W91" s="21"/>
      <c r="X91" s="20" t="s">
        <v>201</v>
      </c>
      <c r="Y91" s="53">
        <v>101868</v>
      </c>
      <c r="Z91" s="47">
        <v>8489</v>
      </c>
      <c r="AA91" s="2"/>
      <c r="AC91" s="56" t="s">
        <v>340</v>
      </c>
      <c r="AD91" s="2" t="s">
        <v>414</v>
      </c>
      <c r="AE91" s="22">
        <v>777</v>
      </c>
      <c r="AF91" s="22">
        <v>1.5</v>
      </c>
      <c r="AG91" s="22">
        <v>66</v>
      </c>
      <c r="AH91" s="22">
        <v>19</v>
      </c>
      <c r="AI91" s="22">
        <v>28</v>
      </c>
      <c r="AJ91" s="3"/>
      <c r="AK91" s="22">
        <v>222</v>
      </c>
      <c r="AL91" s="3"/>
      <c r="AM91" s="22">
        <v>442</v>
      </c>
      <c r="AN91" s="22"/>
      <c r="AP91" s="21">
        <v>9112</v>
      </c>
      <c r="AQ91" s="90" t="s">
        <v>285</v>
      </c>
      <c r="AR91" s="22">
        <v>408</v>
      </c>
      <c r="AS91" s="22">
        <v>1.4</v>
      </c>
      <c r="AT91" s="22">
        <v>284</v>
      </c>
      <c r="AU91" s="22">
        <v>19</v>
      </c>
      <c r="AV91" s="22">
        <v>14</v>
      </c>
      <c r="AW91" s="3"/>
      <c r="AX91" s="22">
        <v>22</v>
      </c>
      <c r="AY91" s="3"/>
      <c r="AZ91" s="22">
        <v>68</v>
      </c>
      <c r="BG91" s="2"/>
    </row>
    <row r="92" spans="10:64" ht="12.95" customHeight="1">
      <c r="J92" s="21">
        <v>3208</v>
      </c>
      <c r="K92" s="2" t="s">
        <v>203</v>
      </c>
      <c r="L92" s="47">
        <v>10416</v>
      </c>
      <c r="M92" s="22">
        <v>868</v>
      </c>
      <c r="N92" s="3"/>
      <c r="P92" s="2"/>
      <c r="Q92" s="2"/>
      <c r="R92" s="2"/>
      <c r="S92" s="2"/>
      <c r="T92" s="3"/>
      <c r="W92" s="21">
        <v>2523</v>
      </c>
      <c r="X92" s="3" t="s">
        <v>302</v>
      </c>
      <c r="Y92" s="53">
        <v>4896</v>
      </c>
      <c r="Z92" s="5">
        <v>408</v>
      </c>
      <c r="AA92" s="2"/>
      <c r="AC92" s="21">
        <v>9405</v>
      </c>
      <c r="AD92" s="2" t="s">
        <v>300</v>
      </c>
      <c r="AE92" s="22">
        <v>747</v>
      </c>
      <c r="AF92" s="22">
        <v>1.5</v>
      </c>
      <c r="AG92" s="22">
        <v>503</v>
      </c>
      <c r="AH92" s="22">
        <v>47</v>
      </c>
      <c r="AI92" s="3"/>
      <c r="AJ92" s="3"/>
      <c r="AK92" s="22">
        <v>69</v>
      </c>
      <c r="AL92" s="3"/>
      <c r="AM92" s="22">
        <v>128</v>
      </c>
      <c r="AN92" s="22"/>
      <c r="AP92" s="21">
        <v>9113</v>
      </c>
      <c r="AQ92" s="90" t="s">
        <v>302</v>
      </c>
      <c r="AR92" s="22">
        <v>375</v>
      </c>
      <c r="AS92" s="22">
        <v>1.3</v>
      </c>
      <c r="AT92" s="22">
        <v>16</v>
      </c>
      <c r="AU92" s="3"/>
      <c r="AV92" s="3"/>
      <c r="AW92" s="22">
        <v>331</v>
      </c>
      <c r="AX92" s="3"/>
      <c r="AY92" s="3"/>
      <c r="AZ92" s="22">
        <v>28</v>
      </c>
      <c r="BG92" s="2"/>
    </row>
    <row r="93" spans="10:64" ht="12.95" customHeight="1">
      <c r="J93" s="21">
        <v>3917</v>
      </c>
      <c r="K93" s="2" t="s">
        <v>204</v>
      </c>
      <c r="L93" s="53">
        <v>4572</v>
      </c>
      <c r="M93" s="22">
        <v>381</v>
      </c>
      <c r="N93" s="3"/>
      <c r="P93" s="2"/>
      <c r="Q93" s="6" t="s">
        <v>201</v>
      </c>
      <c r="R93" s="47">
        <v>70416</v>
      </c>
      <c r="S93" s="53">
        <v>5868</v>
      </c>
      <c r="T93" s="3"/>
      <c r="W93" s="21">
        <v>3208</v>
      </c>
      <c r="X93" s="3" t="s">
        <v>303</v>
      </c>
      <c r="Y93" s="53">
        <v>4704</v>
      </c>
      <c r="Z93" s="5">
        <v>392</v>
      </c>
      <c r="AA93" s="2"/>
      <c r="AC93" s="56" t="s">
        <v>342</v>
      </c>
      <c r="AD93" s="2" t="s">
        <v>250</v>
      </c>
      <c r="AE93" s="22">
        <v>704</v>
      </c>
      <c r="AF93" s="22">
        <v>1.4</v>
      </c>
      <c r="AG93" s="22">
        <v>173</v>
      </c>
      <c r="AH93" s="22">
        <v>13</v>
      </c>
      <c r="AI93" s="22">
        <v>2</v>
      </c>
      <c r="AJ93" s="3"/>
      <c r="AK93" s="22">
        <v>123</v>
      </c>
      <c r="AL93" s="22">
        <v>183</v>
      </c>
      <c r="AM93" s="22">
        <v>209</v>
      </c>
      <c r="AN93" s="22"/>
      <c r="AP93" s="21">
        <v>9114</v>
      </c>
      <c r="AQ93" s="90" t="s">
        <v>221</v>
      </c>
      <c r="AR93" s="22">
        <v>331</v>
      </c>
      <c r="AS93" s="22">
        <v>1.1000000000000001</v>
      </c>
      <c r="AT93" s="22">
        <v>314</v>
      </c>
      <c r="AU93" s="3"/>
      <c r="AV93" s="22">
        <v>1</v>
      </c>
      <c r="AW93" s="3"/>
      <c r="AX93" s="3"/>
      <c r="AY93" s="3"/>
      <c r="AZ93" s="22">
        <v>17</v>
      </c>
      <c r="BG93" s="2"/>
    </row>
    <row r="94" spans="10:64" ht="12.95" customHeight="1">
      <c r="J94" s="21">
        <v>4421</v>
      </c>
      <c r="K94" s="2" t="s">
        <v>205</v>
      </c>
      <c r="L94" s="53">
        <v>6336</v>
      </c>
      <c r="M94" s="22">
        <v>528</v>
      </c>
      <c r="N94" s="3"/>
      <c r="P94" s="21">
        <v>2523</v>
      </c>
      <c r="Q94" s="2" t="s">
        <v>302</v>
      </c>
      <c r="R94" s="47">
        <v>14736</v>
      </c>
      <c r="S94" s="53">
        <v>1228</v>
      </c>
      <c r="T94" s="3"/>
      <c r="W94" s="21">
        <v>3917</v>
      </c>
      <c r="X94" s="3" t="s">
        <v>304</v>
      </c>
      <c r="Y94" s="22">
        <v>960</v>
      </c>
      <c r="Z94" s="5">
        <v>80</v>
      </c>
      <c r="AA94" s="2"/>
      <c r="AC94" s="21">
        <v>3926</v>
      </c>
      <c r="AD94" s="2" t="s">
        <v>287</v>
      </c>
      <c r="AE94" s="22">
        <v>665</v>
      </c>
      <c r="AF94" s="22">
        <v>1.3</v>
      </c>
      <c r="AG94" s="22">
        <v>411</v>
      </c>
      <c r="AH94" s="22">
        <v>103</v>
      </c>
      <c r="AI94" s="3"/>
      <c r="AJ94" s="22">
        <v>14</v>
      </c>
      <c r="AK94" s="22">
        <v>66</v>
      </c>
      <c r="AL94" s="22">
        <v>42</v>
      </c>
      <c r="AM94" s="22">
        <v>29</v>
      </c>
      <c r="AN94" s="22"/>
      <c r="AP94" s="21">
        <v>9115</v>
      </c>
      <c r="AQ94" s="90" t="s">
        <v>448</v>
      </c>
      <c r="AR94" s="22">
        <v>328</v>
      </c>
      <c r="AS94" s="22">
        <v>1.1000000000000001</v>
      </c>
      <c r="AT94" s="22">
        <v>82</v>
      </c>
      <c r="AU94" s="22">
        <v>173</v>
      </c>
      <c r="AV94" s="22">
        <v>37</v>
      </c>
      <c r="AW94" s="3"/>
      <c r="AX94" s="22">
        <v>2</v>
      </c>
      <c r="AY94" s="3"/>
      <c r="AZ94" s="22">
        <v>34</v>
      </c>
      <c r="BG94" s="2"/>
    </row>
    <row r="95" spans="10:64" ht="12.95" customHeight="1">
      <c r="J95" s="21">
        <v>6800</v>
      </c>
      <c r="K95" s="3" t="s">
        <v>206</v>
      </c>
      <c r="L95" s="47">
        <v>2724</v>
      </c>
      <c r="M95" s="22">
        <v>227</v>
      </c>
      <c r="N95" s="3"/>
      <c r="P95" s="21">
        <v>3208</v>
      </c>
      <c r="Q95" s="2" t="s">
        <v>303</v>
      </c>
      <c r="R95" s="47">
        <v>3408</v>
      </c>
      <c r="S95" s="22">
        <v>284</v>
      </c>
      <c r="T95" s="3"/>
      <c r="W95" s="21">
        <v>4421</v>
      </c>
      <c r="X95" s="3" t="s">
        <v>305</v>
      </c>
      <c r="Y95" s="53">
        <v>6504</v>
      </c>
      <c r="Z95" s="5">
        <v>542</v>
      </c>
      <c r="AA95" s="2"/>
      <c r="AC95" s="56" t="s">
        <v>344</v>
      </c>
      <c r="AD95" s="2" t="s">
        <v>415</v>
      </c>
      <c r="AE95" s="22">
        <v>589</v>
      </c>
      <c r="AF95" s="22">
        <v>1.1000000000000001</v>
      </c>
      <c r="AG95" s="22">
        <v>156</v>
      </c>
      <c r="AH95" s="3"/>
      <c r="AI95" s="3"/>
      <c r="AJ95" s="22">
        <v>1</v>
      </c>
      <c r="AK95" s="3"/>
      <c r="AL95" s="3"/>
      <c r="AM95" s="22">
        <v>432</v>
      </c>
      <c r="AN95" s="22"/>
      <c r="AP95" s="21">
        <v>9116</v>
      </c>
      <c r="AQ95" s="90" t="s">
        <v>449</v>
      </c>
      <c r="AR95" s="22">
        <v>379</v>
      </c>
      <c r="AS95" s="22">
        <v>1.3</v>
      </c>
      <c r="AT95" s="3"/>
      <c r="AU95" s="3"/>
      <c r="AV95" s="22">
        <v>223</v>
      </c>
      <c r="AW95" s="22">
        <v>38</v>
      </c>
      <c r="AX95" s="3"/>
      <c r="AY95" s="3"/>
      <c r="AZ95" s="22">
        <v>118</v>
      </c>
    </row>
    <row r="96" spans="10:64" ht="12.95" customHeight="1">
      <c r="J96" s="21">
        <v>6912</v>
      </c>
      <c r="K96" s="2" t="s">
        <v>207</v>
      </c>
      <c r="L96" s="47">
        <v>1620</v>
      </c>
      <c r="M96" s="22">
        <v>135</v>
      </c>
      <c r="N96" s="3"/>
      <c r="P96" s="21">
        <v>3917</v>
      </c>
      <c r="Q96" s="2" t="s">
        <v>304</v>
      </c>
      <c r="R96" s="47">
        <v>8196</v>
      </c>
      <c r="S96" s="22">
        <v>683</v>
      </c>
      <c r="T96" s="3"/>
      <c r="W96" s="21">
        <v>6800</v>
      </c>
      <c r="X96" s="3" t="s">
        <v>306</v>
      </c>
      <c r="Y96" s="22">
        <v>432</v>
      </c>
      <c r="Z96" s="5">
        <v>36</v>
      </c>
      <c r="AA96" s="2"/>
      <c r="AC96" s="21">
        <v>4818</v>
      </c>
      <c r="AD96" s="2" t="s">
        <v>290</v>
      </c>
      <c r="AE96" s="22">
        <v>580</v>
      </c>
      <c r="AF96" s="22">
        <v>1.1000000000000001</v>
      </c>
      <c r="AG96" s="22">
        <v>345</v>
      </c>
      <c r="AH96" s="22">
        <v>42</v>
      </c>
      <c r="AI96" s="3"/>
      <c r="AJ96" s="3"/>
      <c r="AK96" s="22">
        <v>24</v>
      </c>
      <c r="AL96" s="22">
        <v>76</v>
      </c>
      <c r="AM96" s="22">
        <v>94</v>
      </c>
      <c r="AN96" s="22"/>
      <c r="AP96" s="21">
        <v>9117</v>
      </c>
      <c r="AQ96" s="90" t="s">
        <v>314</v>
      </c>
      <c r="AR96" s="22">
        <v>309</v>
      </c>
      <c r="AS96" s="87">
        <v>1</v>
      </c>
      <c r="AT96" s="22">
        <v>304</v>
      </c>
      <c r="AU96" s="3"/>
      <c r="AV96" s="22">
        <v>4</v>
      </c>
      <c r="AW96" s="3"/>
      <c r="AX96" s="3"/>
      <c r="AY96" s="3"/>
      <c r="AZ96" s="22">
        <v>1</v>
      </c>
    </row>
    <row r="97" spans="10:52" ht="12.95" customHeight="1">
      <c r="J97" s="21">
        <v>7000</v>
      </c>
      <c r="K97" s="2" t="s">
        <v>208</v>
      </c>
      <c r="L97" s="47">
        <v>1020</v>
      </c>
      <c r="M97" s="22">
        <v>85</v>
      </c>
      <c r="N97" s="3"/>
      <c r="P97" s="21">
        <v>4421</v>
      </c>
      <c r="Q97" s="2" t="s">
        <v>305</v>
      </c>
      <c r="R97" s="47">
        <v>3672</v>
      </c>
      <c r="S97" s="22">
        <v>306</v>
      </c>
      <c r="T97" s="3"/>
      <c r="W97" s="21">
        <v>6912</v>
      </c>
      <c r="X97" s="3" t="s">
        <v>371</v>
      </c>
      <c r="Y97" s="53">
        <v>1752</v>
      </c>
      <c r="Z97" s="5">
        <v>146</v>
      </c>
      <c r="AA97" s="2"/>
      <c r="AC97" s="21">
        <v>9403</v>
      </c>
      <c r="AD97" s="2" t="s">
        <v>299</v>
      </c>
      <c r="AE97" s="22">
        <v>577</v>
      </c>
      <c r="AF97" s="22">
        <v>1.1000000000000001</v>
      </c>
      <c r="AG97" s="22">
        <v>54</v>
      </c>
      <c r="AH97" s="3"/>
      <c r="AI97" s="3"/>
      <c r="AJ97" s="3"/>
      <c r="AK97" s="22">
        <v>105</v>
      </c>
      <c r="AL97" s="22">
        <v>7</v>
      </c>
      <c r="AM97" s="22">
        <v>412</v>
      </c>
      <c r="AN97" s="22"/>
      <c r="AP97" s="21">
        <v>9118</v>
      </c>
      <c r="AQ97" s="90" t="s">
        <v>305</v>
      </c>
      <c r="AR97" s="22">
        <v>288</v>
      </c>
      <c r="AS97" s="87">
        <v>1</v>
      </c>
      <c r="AT97" s="22">
        <v>223</v>
      </c>
      <c r="AU97" s="3"/>
      <c r="AV97" s="22">
        <v>8</v>
      </c>
      <c r="AW97" s="3"/>
      <c r="AX97" s="3"/>
      <c r="AY97" s="3"/>
      <c r="AZ97" s="22">
        <v>57</v>
      </c>
    </row>
    <row r="98" spans="10:52" ht="12.95" customHeight="1">
      <c r="J98" s="21">
        <v>7200</v>
      </c>
      <c r="K98" s="2" t="s">
        <v>209</v>
      </c>
      <c r="L98" s="47">
        <v>22356</v>
      </c>
      <c r="M98" s="53">
        <v>1863</v>
      </c>
      <c r="N98" s="3"/>
      <c r="P98" s="21">
        <v>6800</v>
      </c>
      <c r="Q98" s="2" t="s">
        <v>306</v>
      </c>
      <c r="R98" s="47">
        <v>2640</v>
      </c>
      <c r="S98" s="22">
        <v>220</v>
      </c>
      <c r="T98" s="3"/>
      <c r="W98" s="21">
        <v>7000</v>
      </c>
      <c r="X98" s="3" t="s">
        <v>308</v>
      </c>
      <c r="Y98" s="22">
        <v>108</v>
      </c>
      <c r="Z98" s="5">
        <v>9</v>
      </c>
      <c r="AA98" s="2"/>
      <c r="AC98" s="21">
        <v>6217</v>
      </c>
      <c r="AD98" s="2" t="s">
        <v>286</v>
      </c>
      <c r="AE98" s="22">
        <v>576</v>
      </c>
      <c r="AF98" s="22">
        <v>1.1000000000000001</v>
      </c>
      <c r="AG98" s="22">
        <v>89</v>
      </c>
      <c r="AH98" s="22">
        <v>12</v>
      </c>
      <c r="AI98" s="22">
        <v>148</v>
      </c>
      <c r="AJ98" s="22">
        <v>178</v>
      </c>
      <c r="AK98" s="3"/>
      <c r="AL98" s="3"/>
      <c r="AM98" s="22">
        <v>151</v>
      </c>
      <c r="AN98" s="22"/>
      <c r="AP98" s="21">
        <v>9119</v>
      </c>
      <c r="AQ98" s="90" t="s">
        <v>295</v>
      </c>
      <c r="AR98" s="22">
        <v>281</v>
      </c>
      <c r="AS98" s="22">
        <v>0.9</v>
      </c>
      <c r="AT98" s="22">
        <v>172</v>
      </c>
      <c r="AU98" s="3"/>
      <c r="AV98" s="3"/>
      <c r="AW98" s="3"/>
      <c r="AX98" s="3"/>
      <c r="AY98" s="3"/>
      <c r="AZ98" s="22">
        <v>108</v>
      </c>
    </row>
    <row r="99" spans="10:52" ht="12.95" customHeight="1">
      <c r="J99" s="21">
        <v>7411</v>
      </c>
      <c r="K99" s="2" t="s">
        <v>210</v>
      </c>
      <c r="L99" s="47">
        <v>2760</v>
      </c>
      <c r="M99" s="22">
        <v>230</v>
      </c>
      <c r="N99" s="3"/>
      <c r="P99" s="21">
        <v>6912</v>
      </c>
      <c r="Q99" s="2" t="s">
        <v>307</v>
      </c>
      <c r="R99" s="47">
        <v>1632</v>
      </c>
      <c r="S99" s="22">
        <v>136</v>
      </c>
      <c r="T99" s="3"/>
      <c r="W99" s="21">
        <v>7200</v>
      </c>
      <c r="X99" s="3" t="s">
        <v>309</v>
      </c>
      <c r="Y99" s="53">
        <v>24396</v>
      </c>
      <c r="Z99" s="47">
        <v>2033</v>
      </c>
      <c r="AA99" s="2"/>
      <c r="AC99" s="21">
        <v>3401</v>
      </c>
      <c r="AD99" s="2" t="s">
        <v>320</v>
      </c>
      <c r="AE99" s="22">
        <v>563</v>
      </c>
      <c r="AF99" s="22">
        <v>1.1000000000000001</v>
      </c>
      <c r="AG99" s="22">
        <v>541</v>
      </c>
      <c r="AH99" s="3"/>
      <c r="AI99" s="3"/>
      <c r="AJ99" s="22">
        <v>4</v>
      </c>
      <c r="AK99" s="3"/>
      <c r="AL99" s="3"/>
      <c r="AM99" s="22">
        <v>18</v>
      </c>
      <c r="AN99" s="22"/>
      <c r="AP99" s="21">
        <v>9120</v>
      </c>
      <c r="AQ99" s="90" t="s">
        <v>450</v>
      </c>
      <c r="AR99" s="22">
        <v>210</v>
      </c>
      <c r="AS99" s="22">
        <v>0.7</v>
      </c>
      <c r="AT99" s="22">
        <v>210</v>
      </c>
      <c r="AU99" s="3"/>
      <c r="AV99" s="3"/>
      <c r="AW99" s="3"/>
      <c r="AX99" s="3"/>
      <c r="AY99" s="3"/>
      <c r="AZ99" s="3"/>
    </row>
    <row r="100" spans="10:52" ht="12.95" customHeight="1">
      <c r="J100" s="21">
        <v>7616</v>
      </c>
      <c r="K100" s="2" t="s">
        <v>211</v>
      </c>
      <c r="L100" s="47">
        <v>3492</v>
      </c>
      <c r="M100" s="22">
        <v>291</v>
      </c>
      <c r="N100" s="3"/>
      <c r="P100" s="21">
        <v>7000</v>
      </c>
      <c r="Q100" s="2" t="s">
        <v>308</v>
      </c>
      <c r="R100" s="47">
        <v>4644</v>
      </c>
      <c r="S100" s="22">
        <v>387</v>
      </c>
      <c r="T100" s="3"/>
      <c r="W100" s="21">
        <v>7411</v>
      </c>
      <c r="X100" s="3" t="s">
        <v>310</v>
      </c>
      <c r="Y100" s="22">
        <v>984</v>
      </c>
      <c r="Z100" s="5">
        <v>82</v>
      </c>
      <c r="AA100" s="2"/>
      <c r="AC100" s="21">
        <v>8471</v>
      </c>
      <c r="AD100" s="2" t="s">
        <v>416</v>
      </c>
      <c r="AE100" s="22">
        <v>559</v>
      </c>
      <c r="AF100" s="22">
        <v>1.1000000000000001</v>
      </c>
      <c r="AG100" s="22">
        <v>196</v>
      </c>
      <c r="AH100" s="22">
        <v>337</v>
      </c>
      <c r="AI100" s="3"/>
      <c r="AJ100" s="3"/>
      <c r="AK100" s="3"/>
      <c r="AL100" s="3"/>
      <c r="AM100" s="22">
        <v>26</v>
      </c>
      <c r="AN100" s="53"/>
      <c r="AP100" s="21">
        <v>9121</v>
      </c>
      <c r="AQ100" s="90" t="s">
        <v>299</v>
      </c>
      <c r="AR100" s="22">
        <v>198</v>
      </c>
      <c r="AS100" s="22">
        <v>0.7</v>
      </c>
      <c r="AT100" s="22">
        <v>11</v>
      </c>
      <c r="AU100" s="3"/>
      <c r="AV100" s="3"/>
      <c r="AW100" s="3"/>
      <c r="AX100" s="3"/>
      <c r="AY100" s="3"/>
      <c r="AZ100" s="22">
        <v>187</v>
      </c>
    </row>
    <row r="101" spans="10:52" ht="12.95" customHeight="1">
      <c r="J101" s="21">
        <v>8300</v>
      </c>
      <c r="K101" s="2" t="s">
        <v>212</v>
      </c>
      <c r="L101" s="53">
        <v>34656</v>
      </c>
      <c r="M101" s="53">
        <v>2888</v>
      </c>
      <c r="N101" s="3"/>
      <c r="P101" s="21">
        <v>7200</v>
      </c>
      <c r="Q101" s="2" t="s">
        <v>309</v>
      </c>
      <c r="R101" s="47">
        <v>16896</v>
      </c>
      <c r="S101" s="53">
        <v>1408</v>
      </c>
      <c r="T101" s="3"/>
      <c r="W101" s="21">
        <v>7616</v>
      </c>
      <c r="X101" s="3" t="s">
        <v>311</v>
      </c>
      <c r="Y101" s="53">
        <v>6144</v>
      </c>
      <c r="Z101" s="5">
        <v>512</v>
      </c>
      <c r="AA101" s="2"/>
      <c r="AC101" s="23"/>
      <c r="AD101" s="10" t="s">
        <v>394</v>
      </c>
      <c r="AE101" s="54">
        <v>13088</v>
      </c>
      <c r="AF101" s="29">
        <v>25.5</v>
      </c>
      <c r="AG101" s="54">
        <v>7889</v>
      </c>
      <c r="AH101" s="54">
        <v>1199</v>
      </c>
      <c r="AI101" s="29">
        <v>296</v>
      </c>
      <c r="AJ101" s="29">
        <v>622</v>
      </c>
      <c r="AK101" s="54">
        <v>1287</v>
      </c>
      <c r="AL101" s="29">
        <v>357</v>
      </c>
      <c r="AM101" s="54">
        <v>4740</v>
      </c>
      <c r="AN101" s="2"/>
      <c r="AP101" s="40"/>
      <c r="AQ101" s="10" t="s">
        <v>394</v>
      </c>
      <c r="AR101" s="54">
        <v>8702</v>
      </c>
      <c r="AS101" s="29">
        <v>29.4</v>
      </c>
      <c r="AT101" s="54">
        <v>7632</v>
      </c>
      <c r="AU101" s="29">
        <v>161</v>
      </c>
      <c r="AV101" s="29">
        <v>29</v>
      </c>
      <c r="AW101" s="29">
        <v>873</v>
      </c>
      <c r="AX101" s="23"/>
      <c r="AY101" s="29">
        <v>7</v>
      </c>
      <c r="AZ101" s="23"/>
    </row>
    <row r="102" spans="10:52" ht="12" customHeight="1">
      <c r="J102" s="3"/>
      <c r="K102" s="2"/>
      <c r="L102" s="3"/>
      <c r="M102" s="3"/>
      <c r="N102" s="3"/>
      <c r="P102" s="21">
        <v>7411</v>
      </c>
      <c r="Q102" s="2" t="s">
        <v>310</v>
      </c>
      <c r="R102" s="47">
        <v>1260</v>
      </c>
      <c r="S102" s="22">
        <v>105</v>
      </c>
      <c r="T102" s="3"/>
      <c r="W102" s="21">
        <v>8300</v>
      </c>
      <c r="X102" s="3" t="s">
        <v>372</v>
      </c>
      <c r="Y102" s="53">
        <v>50976</v>
      </c>
      <c r="Z102" s="47">
        <v>4248</v>
      </c>
      <c r="AA102" s="2"/>
      <c r="AC102" s="13" t="s">
        <v>174</v>
      </c>
      <c r="AD102" s="14"/>
      <c r="AE102" s="14"/>
      <c r="AF102" s="14"/>
      <c r="AG102" s="14"/>
      <c r="AH102" s="14"/>
      <c r="AI102" s="14"/>
      <c r="AJ102" s="14"/>
      <c r="AK102" s="2"/>
      <c r="AL102" s="2"/>
      <c r="AM102" s="2"/>
      <c r="AP102" s="1" t="s">
        <v>174</v>
      </c>
      <c r="AQ102" s="2"/>
      <c r="AR102" s="2"/>
      <c r="AS102" s="2"/>
      <c r="AT102" s="2"/>
      <c r="AU102" s="2"/>
      <c r="AV102" s="2"/>
      <c r="AW102" s="2"/>
      <c r="AX102" s="2"/>
      <c r="AY102" s="2"/>
      <c r="AZ102" s="2"/>
    </row>
    <row r="103" spans="10:52" ht="12.95" customHeight="1">
      <c r="J103" s="3"/>
      <c r="K103" s="20" t="s">
        <v>213</v>
      </c>
      <c r="L103" s="47">
        <v>261516</v>
      </c>
      <c r="M103" s="53">
        <v>21793</v>
      </c>
      <c r="N103" s="3"/>
      <c r="P103" s="21">
        <v>7616</v>
      </c>
      <c r="Q103" s="2" t="s">
        <v>311</v>
      </c>
      <c r="R103" s="47">
        <v>5412</v>
      </c>
      <c r="S103" s="22">
        <v>451</v>
      </c>
      <c r="T103" s="3"/>
      <c r="W103" s="21"/>
      <c r="X103" s="3"/>
      <c r="Y103" s="3"/>
      <c r="Z103" s="3"/>
      <c r="AA103" s="3"/>
    </row>
    <row r="104" spans="10:52" ht="12.95" customHeight="1">
      <c r="J104" s="56" t="s">
        <v>350</v>
      </c>
      <c r="K104" s="2" t="s">
        <v>214</v>
      </c>
      <c r="L104" s="5">
        <v>636</v>
      </c>
      <c r="M104" s="22">
        <v>53</v>
      </c>
      <c r="N104" s="3"/>
      <c r="P104" s="21">
        <v>8300</v>
      </c>
      <c r="Q104" s="2" t="s">
        <v>312</v>
      </c>
      <c r="R104" s="47">
        <v>7908</v>
      </c>
      <c r="S104" s="22">
        <v>659</v>
      </c>
      <c r="T104" s="3"/>
      <c r="W104" s="35"/>
      <c r="X104" s="20" t="s">
        <v>213</v>
      </c>
      <c r="Y104" s="53">
        <v>104988</v>
      </c>
      <c r="Z104" s="53">
        <v>8749</v>
      </c>
      <c r="AA104" s="3"/>
    </row>
    <row r="105" spans="10:52" ht="12.95" customHeight="1">
      <c r="J105" s="21">
        <v>2402</v>
      </c>
      <c r="K105" s="2" t="s">
        <v>215</v>
      </c>
      <c r="L105" s="47">
        <v>16032</v>
      </c>
      <c r="M105" s="53">
        <v>1336</v>
      </c>
      <c r="N105" s="3"/>
      <c r="P105" s="3"/>
      <c r="Q105" s="2"/>
      <c r="R105" s="2"/>
      <c r="S105" s="3"/>
      <c r="T105" s="3"/>
      <c r="W105" s="56" t="s">
        <v>350</v>
      </c>
      <c r="X105" s="3" t="s">
        <v>313</v>
      </c>
      <c r="Y105" s="53">
        <v>1596</v>
      </c>
      <c r="Z105" s="5">
        <v>133</v>
      </c>
      <c r="AA105" s="2"/>
    </row>
    <row r="106" spans="10:52" ht="12.95" customHeight="1">
      <c r="J106" s="21">
        <v>2710</v>
      </c>
      <c r="K106" s="2" t="s">
        <v>216</v>
      </c>
      <c r="L106" s="47">
        <v>27120</v>
      </c>
      <c r="M106" s="53">
        <v>2260</v>
      </c>
      <c r="N106" s="3"/>
      <c r="P106" s="3"/>
      <c r="Q106" s="20" t="s">
        <v>213</v>
      </c>
      <c r="R106" s="47">
        <v>127416</v>
      </c>
      <c r="S106" s="53">
        <v>10618</v>
      </c>
      <c r="T106" s="3"/>
      <c r="W106" s="21">
        <v>2300</v>
      </c>
      <c r="X106" s="3" t="s">
        <v>314</v>
      </c>
      <c r="Y106" s="22">
        <v>504</v>
      </c>
      <c r="Z106" s="5">
        <v>42</v>
      </c>
      <c r="AA106" s="2"/>
    </row>
    <row r="107" spans="10:52" ht="12.95" customHeight="1">
      <c r="J107" s="21">
        <v>3006</v>
      </c>
      <c r="K107" s="2" t="s">
        <v>217</v>
      </c>
      <c r="L107" s="47">
        <v>81972</v>
      </c>
      <c r="M107" s="53">
        <v>6831</v>
      </c>
      <c r="N107" s="3"/>
      <c r="P107" s="56" t="s">
        <v>350</v>
      </c>
      <c r="Q107" s="2" t="s">
        <v>313</v>
      </c>
      <c r="R107" s="5">
        <v>156</v>
      </c>
      <c r="S107" s="22">
        <v>13</v>
      </c>
      <c r="T107" s="3"/>
      <c r="W107" s="21">
        <v>2402</v>
      </c>
      <c r="X107" s="3" t="s">
        <v>373</v>
      </c>
      <c r="Y107" s="53">
        <v>4260</v>
      </c>
      <c r="Z107" s="5">
        <v>355</v>
      </c>
      <c r="AA107" s="2"/>
    </row>
    <row r="108" spans="10:52" ht="12.95" customHeight="1">
      <c r="J108" s="21">
        <v>3101</v>
      </c>
      <c r="K108" s="2" t="s">
        <v>218</v>
      </c>
      <c r="L108" s="5">
        <v>444</v>
      </c>
      <c r="M108" s="22">
        <v>37</v>
      </c>
      <c r="N108" s="3"/>
      <c r="P108" s="21">
        <v>2300</v>
      </c>
      <c r="Q108" s="2" t="s">
        <v>314</v>
      </c>
      <c r="R108" s="5">
        <v>312</v>
      </c>
      <c r="S108" s="22">
        <v>26</v>
      </c>
      <c r="T108" s="3"/>
      <c r="W108" s="21">
        <v>2710</v>
      </c>
      <c r="X108" s="3" t="s">
        <v>316</v>
      </c>
      <c r="Y108" s="53">
        <v>20232</v>
      </c>
      <c r="Z108" s="47">
        <v>1686</v>
      </c>
      <c r="AA108" s="2"/>
    </row>
    <row r="109" spans="10:52" ht="12.95" customHeight="1">
      <c r="J109" s="21">
        <v>3215</v>
      </c>
      <c r="K109" s="2" t="s">
        <v>219</v>
      </c>
      <c r="L109" s="5">
        <v>48</v>
      </c>
      <c r="M109" s="22">
        <v>4</v>
      </c>
      <c r="N109" s="3"/>
      <c r="P109" s="21">
        <v>2402</v>
      </c>
      <c r="Q109" s="2" t="s">
        <v>315</v>
      </c>
      <c r="R109" s="47">
        <v>3732</v>
      </c>
      <c r="S109" s="22">
        <v>311</v>
      </c>
      <c r="T109" s="3"/>
      <c r="W109" s="21">
        <v>3006</v>
      </c>
      <c r="X109" s="3" t="s">
        <v>317</v>
      </c>
      <c r="Y109" s="53">
        <v>30948</v>
      </c>
      <c r="Z109" s="47">
        <v>2579</v>
      </c>
      <c r="AA109" s="2"/>
    </row>
    <row r="110" spans="10:52" ht="12.95" customHeight="1">
      <c r="J110" s="21">
        <v>3304</v>
      </c>
      <c r="K110" s="2" t="s">
        <v>220</v>
      </c>
      <c r="L110" s="53">
        <v>16404</v>
      </c>
      <c r="M110" s="53">
        <v>1367</v>
      </c>
      <c r="N110" s="3"/>
      <c r="P110" s="21">
        <v>2710</v>
      </c>
      <c r="Q110" s="2" t="s">
        <v>316</v>
      </c>
      <c r="R110" s="47">
        <v>7548</v>
      </c>
      <c r="S110" s="22">
        <v>629</v>
      </c>
      <c r="T110" s="3"/>
      <c r="W110" s="21">
        <v>3101</v>
      </c>
      <c r="X110" s="3" t="s">
        <v>218</v>
      </c>
      <c r="Y110" s="22">
        <v>60</v>
      </c>
      <c r="Z110" s="5">
        <v>5</v>
      </c>
      <c r="AA110" s="2"/>
    </row>
    <row r="111" spans="10:52" ht="12.95" customHeight="1">
      <c r="J111" s="21">
        <v>3401</v>
      </c>
      <c r="K111" s="2" t="s">
        <v>221</v>
      </c>
      <c r="L111" s="47">
        <v>34536</v>
      </c>
      <c r="M111" s="53">
        <v>2878</v>
      </c>
      <c r="N111" s="3"/>
      <c r="P111" s="21">
        <v>3006</v>
      </c>
      <c r="Q111" s="2" t="s">
        <v>317</v>
      </c>
      <c r="R111" s="47">
        <v>14820</v>
      </c>
      <c r="S111" s="53">
        <v>1235</v>
      </c>
      <c r="T111" s="3"/>
      <c r="W111" s="21">
        <v>3215</v>
      </c>
      <c r="X111" s="3" t="s">
        <v>374</v>
      </c>
      <c r="Y111" s="22">
        <v>144</v>
      </c>
      <c r="Z111" s="5">
        <v>12</v>
      </c>
      <c r="AA111" s="2"/>
    </row>
    <row r="112" spans="10:52" ht="12.95" customHeight="1">
      <c r="J112" s="21">
        <v>3500</v>
      </c>
      <c r="K112" s="2" t="s">
        <v>222</v>
      </c>
      <c r="L112" s="53">
        <v>5952</v>
      </c>
      <c r="M112" s="22">
        <v>496</v>
      </c>
      <c r="N112" s="3"/>
      <c r="P112" s="21">
        <v>3101</v>
      </c>
      <c r="Q112" s="2" t="s">
        <v>218</v>
      </c>
      <c r="R112" s="5">
        <v>696</v>
      </c>
      <c r="S112" s="22">
        <v>58</v>
      </c>
      <c r="T112" s="3"/>
      <c r="W112" s="21">
        <v>3304</v>
      </c>
      <c r="X112" s="3" t="s">
        <v>319</v>
      </c>
      <c r="Y112" s="53">
        <v>14160</v>
      </c>
      <c r="Z112" s="47">
        <v>1180</v>
      </c>
      <c r="AA112" s="2"/>
    </row>
    <row r="113" spans="10:27" ht="12.95" customHeight="1">
      <c r="J113" s="21">
        <v>3800</v>
      </c>
      <c r="K113" s="2" t="s">
        <v>223</v>
      </c>
      <c r="L113" s="47">
        <v>2532</v>
      </c>
      <c r="M113" s="22">
        <v>211</v>
      </c>
      <c r="N113" s="3"/>
      <c r="P113" s="21">
        <v>3215</v>
      </c>
      <c r="Q113" s="2" t="s">
        <v>318</v>
      </c>
      <c r="R113" s="5">
        <v>12</v>
      </c>
      <c r="S113" s="22">
        <v>1</v>
      </c>
      <c r="T113" s="3"/>
      <c r="W113" s="21">
        <v>3401</v>
      </c>
      <c r="X113" s="3" t="s">
        <v>320</v>
      </c>
      <c r="Y113" s="53">
        <v>6756</v>
      </c>
      <c r="Z113" s="5">
        <v>563</v>
      </c>
      <c r="AA113" s="2"/>
    </row>
    <row r="114" spans="10:27" ht="12.95" customHeight="1">
      <c r="J114" s="21">
        <v>4900</v>
      </c>
      <c r="K114" s="2" t="s">
        <v>224</v>
      </c>
      <c r="L114" s="53">
        <v>1020</v>
      </c>
      <c r="M114" s="22">
        <v>85</v>
      </c>
      <c r="N114" s="3"/>
      <c r="P114" s="21">
        <v>3304</v>
      </c>
      <c r="Q114" s="2" t="s">
        <v>319</v>
      </c>
      <c r="R114" s="47">
        <v>21264</v>
      </c>
      <c r="S114" s="53">
        <v>1772</v>
      </c>
      <c r="T114" s="3"/>
      <c r="W114" s="21">
        <v>3500</v>
      </c>
      <c r="X114" s="3" t="s">
        <v>321</v>
      </c>
      <c r="Y114" s="22">
        <v>396</v>
      </c>
      <c r="Z114" s="5">
        <v>33</v>
      </c>
      <c r="AA114" s="2"/>
    </row>
    <row r="115" spans="10:27" ht="12.95" customHeight="1">
      <c r="J115" s="21">
        <v>5700</v>
      </c>
      <c r="K115" s="2" t="s">
        <v>225</v>
      </c>
      <c r="L115" s="47">
        <v>3648</v>
      </c>
      <c r="M115" s="22">
        <v>304</v>
      </c>
      <c r="N115" s="3"/>
      <c r="P115" s="21">
        <v>3401</v>
      </c>
      <c r="Q115" s="2" t="s">
        <v>320</v>
      </c>
      <c r="R115" s="47">
        <v>49800</v>
      </c>
      <c r="S115" s="53">
        <v>4150</v>
      </c>
      <c r="T115" s="3"/>
      <c r="W115" s="21">
        <v>3800</v>
      </c>
      <c r="X115" s="3" t="s">
        <v>322</v>
      </c>
      <c r="Y115" s="22">
        <v>516</v>
      </c>
      <c r="Z115" s="5">
        <v>43</v>
      </c>
      <c r="AA115" s="2"/>
    </row>
    <row r="116" spans="10:27" ht="12.95" customHeight="1">
      <c r="J116" s="21">
        <v>6302</v>
      </c>
      <c r="K116" s="2" t="s">
        <v>226</v>
      </c>
      <c r="L116" s="5">
        <v>456</v>
      </c>
      <c r="M116" s="22">
        <v>38</v>
      </c>
      <c r="N116" s="3"/>
      <c r="P116" s="21">
        <v>3500</v>
      </c>
      <c r="Q116" s="2" t="s">
        <v>321</v>
      </c>
      <c r="R116" s="47">
        <v>1224</v>
      </c>
      <c r="S116" s="22">
        <v>102</v>
      </c>
      <c r="T116" s="3"/>
      <c r="W116" s="21">
        <v>4900</v>
      </c>
      <c r="X116" s="3" t="s">
        <v>323</v>
      </c>
      <c r="Y116" s="22">
        <v>216</v>
      </c>
      <c r="Z116" s="5">
        <v>18</v>
      </c>
      <c r="AA116" s="2"/>
    </row>
    <row r="117" spans="10:27" ht="12.95" customHeight="1">
      <c r="J117" s="21">
        <v>6500</v>
      </c>
      <c r="K117" s="2" t="s">
        <v>227</v>
      </c>
      <c r="L117" s="5">
        <v>804</v>
      </c>
      <c r="M117" s="22">
        <v>67</v>
      </c>
      <c r="N117" s="3"/>
      <c r="P117" s="21">
        <v>3800</v>
      </c>
      <c r="Q117" s="2" t="s">
        <v>322</v>
      </c>
      <c r="R117" s="47">
        <v>2904</v>
      </c>
      <c r="S117" s="22">
        <v>242</v>
      </c>
      <c r="T117" s="3"/>
      <c r="W117" s="21">
        <v>5700</v>
      </c>
      <c r="X117" s="3" t="s">
        <v>324</v>
      </c>
      <c r="Y117" s="53">
        <v>1620</v>
      </c>
      <c r="Z117" s="5">
        <v>135</v>
      </c>
      <c r="AA117" s="2"/>
    </row>
    <row r="118" spans="10:27" ht="12.95" customHeight="1">
      <c r="J118" s="21">
        <v>6600</v>
      </c>
      <c r="K118" s="3" t="s">
        <v>228</v>
      </c>
      <c r="L118" s="5">
        <v>48</v>
      </c>
      <c r="M118" s="22">
        <v>4</v>
      </c>
      <c r="N118" s="3"/>
      <c r="P118" s="21">
        <v>4900</v>
      </c>
      <c r="Q118" s="2" t="s">
        <v>323</v>
      </c>
      <c r="R118" s="5">
        <v>144</v>
      </c>
      <c r="S118" s="22">
        <v>12</v>
      </c>
      <c r="T118" s="2"/>
      <c r="W118" s="21">
        <v>6302</v>
      </c>
      <c r="X118" s="3" t="s">
        <v>325</v>
      </c>
      <c r="Y118" s="22">
        <v>360</v>
      </c>
      <c r="Z118" s="5">
        <v>30</v>
      </c>
      <c r="AA118" s="2"/>
    </row>
    <row r="119" spans="10:27" ht="12.95" customHeight="1">
      <c r="J119" s="21">
        <v>7113</v>
      </c>
      <c r="K119" s="2" t="s">
        <v>229</v>
      </c>
      <c r="L119" s="53">
        <v>9012</v>
      </c>
      <c r="M119" s="22">
        <v>751</v>
      </c>
      <c r="N119" s="3"/>
      <c r="P119" s="21">
        <v>5700</v>
      </c>
      <c r="Q119" s="2" t="s">
        <v>324</v>
      </c>
      <c r="R119" s="5">
        <v>444</v>
      </c>
      <c r="S119" s="22">
        <v>37</v>
      </c>
      <c r="T119" s="2"/>
      <c r="W119" s="21">
        <v>6500</v>
      </c>
      <c r="X119" s="3" t="s">
        <v>326</v>
      </c>
      <c r="Y119" s="22">
        <v>480</v>
      </c>
      <c r="Z119" s="5">
        <v>40</v>
      </c>
      <c r="AA119" s="2"/>
    </row>
    <row r="120" spans="10:27" ht="12.95" customHeight="1">
      <c r="J120" s="21">
        <v>8471</v>
      </c>
      <c r="K120" s="2" t="s">
        <v>94</v>
      </c>
      <c r="L120" s="47">
        <v>19620</v>
      </c>
      <c r="M120" s="53">
        <v>1635</v>
      </c>
      <c r="N120" s="3"/>
      <c r="P120" s="21">
        <v>6302</v>
      </c>
      <c r="Q120" s="2" t="s">
        <v>325</v>
      </c>
      <c r="R120" s="47">
        <v>1764</v>
      </c>
      <c r="S120" s="22">
        <v>147</v>
      </c>
      <c r="T120" s="2"/>
      <c r="W120" s="21">
        <v>6600</v>
      </c>
      <c r="X120" s="3" t="s">
        <v>327</v>
      </c>
      <c r="Y120" s="22">
        <v>72</v>
      </c>
      <c r="Z120" s="5">
        <v>6</v>
      </c>
      <c r="AA120" s="2"/>
    </row>
    <row r="121" spans="10:27" ht="12.95" customHeight="1">
      <c r="J121" s="21">
        <v>8473</v>
      </c>
      <c r="K121" s="3" t="s">
        <v>230</v>
      </c>
      <c r="L121" s="5">
        <v>360</v>
      </c>
      <c r="M121" s="22">
        <v>30</v>
      </c>
      <c r="N121" s="3"/>
      <c r="P121" s="21">
        <v>6500</v>
      </c>
      <c r="Q121" s="2" t="s">
        <v>326</v>
      </c>
      <c r="R121" s="5">
        <v>420</v>
      </c>
      <c r="S121" s="22">
        <v>35</v>
      </c>
      <c r="T121" s="2"/>
      <c r="W121" s="21">
        <v>7113</v>
      </c>
      <c r="X121" s="3" t="s">
        <v>328</v>
      </c>
      <c r="Y121" s="53">
        <v>5352</v>
      </c>
      <c r="Z121" s="5">
        <v>446</v>
      </c>
      <c r="AA121" s="2"/>
    </row>
    <row r="122" spans="10:27" ht="12.95" customHeight="1">
      <c r="J122" s="21">
        <v>8506</v>
      </c>
      <c r="K122" s="2" t="s">
        <v>231</v>
      </c>
      <c r="L122" s="53">
        <v>10560</v>
      </c>
      <c r="M122" s="22">
        <v>880</v>
      </c>
      <c r="N122" s="3"/>
      <c r="P122" s="21">
        <v>6600</v>
      </c>
      <c r="Q122" s="2" t="s">
        <v>327</v>
      </c>
      <c r="R122" s="5">
        <v>12</v>
      </c>
      <c r="S122" s="22">
        <v>1</v>
      </c>
      <c r="T122" s="2"/>
      <c r="W122" s="21">
        <v>8471</v>
      </c>
      <c r="X122" s="3" t="s">
        <v>329</v>
      </c>
      <c r="Y122" s="53">
        <v>6708</v>
      </c>
      <c r="Z122" s="5">
        <v>559</v>
      </c>
      <c r="AA122" s="2"/>
    </row>
    <row r="123" spans="10:27" ht="12.95" customHeight="1">
      <c r="J123" s="21">
        <v>9004</v>
      </c>
      <c r="K123" s="2" t="s">
        <v>232</v>
      </c>
      <c r="L123" s="5">
        <v>696</v>
      </c>
      <c r="M123" s="22">
        <v>58</v>
      </c>
      <c r="N123" s="3"/>
      <c r="P123" s="21">
        <v>7113</v>
      </c>
      <c r="Q123" s="2" t="s">
        <v>328</v>
      </c>
      <c r="R123" s="47">
        <v>2700</v>
      </c>
      <c r="S123" s="22">
        <v>225</v>
      </c>
      <c r="T123" s="2"/>
      <c r="W123" s="21">
        <v>8473</v>
      </c>
      <c r="X123" s="3" t="s">
        <v>330</v>
      </c>
      <c r="Y123" s="22">
        <v>240</v>
      </c>
      <c r="Z123" s="5">
        <v>20</v>
      </c>
      <c r="AA123" s="2"/>
    </row>
    <row r="124" spans="10:27" ht="12.95" customHeight="1">
      <c r="J124" s="21">
        <v>9006</v>
      </c>
      <c r="K124" s="2" t="s">
        <v>233</v>
      </c>
      <c r="L124" s="22">
        <v>24</v>
      </c>
      <c r="M124" s="22">
        <v>2</v>
      </c>
      <c r="N124" s="3"/>
      <c r="P124" s="21">
        <v>8471</v>
      </c>
      <c r="Q124" s="2" t="s">
        <v>329</v>
      </c>
      <c r="R124" s="47">
        <v>9372</v>
      </c>
      <c r="S124" s="22">
        <v>781</v>
      </c>
      <c r="T124" s="2"/>
      <c r="W124" s="21">
        <v>8506</v>
      </c>
      <c r="X124" s="3" t="s">
        <v>331</v>
      </c>
      <c r="Y124" s="53">
        <v>4632</v>
      </c>
      <c r="Z124" s="5">
        <v>386</v>
      </c>
      <c r="AA124" s="2"/>
    </row>
    <row r="125" spans="10:27" ht="12.95" customHeight="1">
      <c r="J125" s="21">
        <v>9101</v>
      </c>
      <c r="K125" s="2" t="s">
        <v>234</v>
      </c>
      <c r="L125" s="53">
        <v>21216</v>
      </c>
      <c r="M125" s="53">
        <v>1768</v>
      </c>
      <c r="N125" s="3"/>
      <c r="P125" s="21">
        <v>8473</v>
      </c>
      <c r="Q125" s="2" t="s">
        <v>330</v>
      </c>
      <c r="R125" s="5">
        <v>96</v>
      </c>
      <c r="S125" s="22">
        <v>8</v>
      </c>
      <c r="T125" s="2"/>
      <c r="W125" s="21">
        <v>9004</v>
      </c>
      <c r="X125" s="3" t="s">
        <v>332</v>
      </c>
      <c r="Y125" s="22">
        <v>336</v>
      </c>
      <c r="Z125" s="5">
        <v>28</v>
      </c>
      <c r="AA125" s="2"/>
    </row>
    <row r="126" spans="10:27" ht="12.95" customHeight="1">
      <c r="J126" s="21">
        <v>9200</v>
      </c>
      <c r="K126" s="2" t="s">
        <v>235</v>
      </c>
      <c r="L126" s="22">
        <v>48</v>
      </c>
      <c r="M126" s="22">
        <v>4</v>
      </c>
      <c r="N126" s="3"/>
      <c r="P126" s="21">
        <v>8506</v>
      </c>
      <c r="Q126" s="2" t="s">
        <v>331</v>
      </c>
      <c r="R126" s="47">
        <v>6684</v>
      </c>
      <c r="S126" s="22">
        <v>557</v>
      </c>
      <c r="T126" s="2"/>
      <c r="W126" s="21">
        <v>9006</v>
      </c>
      <c r="X126" s="3" t="s">
        <v>375</v>
      </c>
      <c r="Y126" s="22">
        <v>312</v>
      </c>
      <c r="Z126" s="5">
        <v>26</v>
      </c>
      <c r="AA126" s="2"/>
    </row>
    <row r="127" spans="10:27" ht="12.95" customHeight="1">
      <c r="J127" s="21">
        <v>9300</v>
      </c>
      <c r="K127" s="2" t="s">
        <v>236</v>
      </c>
      <c r="L127" s="22">
        <v>204</v>
      </c>
      <c r="M127" s="22">
        <v>17</v>
      </c>
      <c r="N127" s="3"/>
      <c r="P127" s="21">
        <v>9004</v>
      </c>
      <c r="Q127" s="2" t="s">
        <v>332</v>
      </c>
      <c r="R127" s="5">
        <v>804</v>
      </c>
      <c r="S127" s="22">
        <v>67</v>
      </c>
      <c r="T127" s="2"/>
      <c r="W127" s="21">
        <v>9200</v>
      </c>
      <c r="X127" s="3" t="s">
        <v>376</v>
      </c>
      <c r="Y127" s="22">
        <v>24</v>
      </c>
      <c r="Z127" s="5">
        <v>2</v>
      </c>
      <c r="AA127" s="2"/>
    </row>
    <row r="128" spans="10:27" ht="12.95" customHeight="1">
      <c r="J128" s="21">
        <v>9406</v>
      </c>
      <c r="K128" s="2" t="s">
        <v>237</v>
      </c>
      <c r="L128" s="47">
        <v>1032</v>
      </c>
      <c r="M128" s="22">
        <v>86</v>
      </c>
      <c r="N128" s="3"/>
      <c r="P128" s="21">
        <v>9200</v>
      </c>
      <c r="Q128" s="2" t="s">
        <v>333</v>
      </c>
      <c r="R128" s="47">
        <v>1056</v>
      </c>
      <c r="S128" s="22">
        <v>88</v>
      </c>
      <c r="T128" s="2"/>
      <c r="W128" s="21">
        <v>9406</v>
      </c>
      <c r="X128" s="3" t="s">
        <v>334</v>
      </c>
      <c r="Y128" s="22">
        <v>216</v>
      </c>
      <c r="Z128" s="5">
        <v>18</v>
      </c>
      <c r="AA128" s="2"/>
    </row>
    <row r="129" spans="10:28" ht="12.95" customHeight="1">
      <c r="J129" s="21">
        <v>9503</v>
      </c>
      <c r="K129" s="2" t="s">
        <v>238</v>
      </c>
      <c r="L129" s="47">
        <v>3060</v>
      </c>
      <c r="M129" s="22">
        <v>255</v>
      </c>
      <c r="N129" s="3"/>
      <c r="P129" s="21">
        <v>9406</v>
      </c>
      <c r="Q129" s="2" t="s">
        <v>334</v>
      </c>
      <c r="R129" s="5">
        <v>468</v>
      </c>
      <c r="S129" s="22">
        <v>39</v>
      </c>
      <c r="T129" s="2"/>
      <c r="W129" s="21">
        <v>9503</v>
      </c>
      <c r="X129" s="3" t="s">
        <v>238</v>
      </c>
      <c r="Y129" s="22">
        <v>900</v>
      </c>
      <c r="Z129" s="5">
        <v>75</v>
      </c>
      <c r="AA129" s="2"/>
    </row>
    <row r="130" spans="10:28" ht="12.95" customHeight="1">
      <c r="J130" s="21">
        <v>9508</v>
      </c>
      <c r="K130" s="3" t="s">
        <v>239</v>
      </c>
      <c r="L130" s="47">
        <v>2028</v>
      </c>
      <c r="M130" s="22">
        <v>169</v>
      </c>
      <c r="N130" s="3"/>
      <c r="P130" s="21">
        <v>9503</v>
      </c>
      <c r="Q130" s="2" t="s">
        <v>238</v>
      </c>
      <c r="R130" s="5">
        <v>504</v>
      </c>
      <c r="S130" s="22">
        <v>42</v>
      </c>
      <c r="T130" s="2"/>
      <c r="W130" s="21">
        <v>9508</v>
      </c>
      <c r="X130" s="3" t="s">
        <v>335</v>
      </c>
      <c r="Y130" s="53">
        <v>3876</v>
      </c>
      <c r="Z130" s="5">
        <v>323</v>
      </c>
      <c r="AA130" s="2"/>
    </row>
    <row r="131" spans="10:28" ht="12" customHeight="1">
      <c r="J131" s="21">
        <v>9608</v>
      </c>
      <c r="K131" s="2" t="s">
        <v>240</v>
      </c>
      <c r="L131" s="22">
        <v>180</v>
      </c>
      <c r="M131" s="22">
        <v>15</v>
      </c>
      <c r="N131" s="2"/>
      <c r="O131" s="25"/>
      <c r="P131" s="21">
        <v>9508</v>
      </c>
      <c r="Q131" s="2" t="s">
        <v>335</v>
      </c>
      <c r="R131" s="5">
        <v>132</v>
      </c>
      <c r="S131" s="22">
        <v>11</v>
      </c>
      <c r="T131" s="3"/>
      <c r="V131" s="25"/>
      <c r="W131" s="21">
        <v>9608</v>
      </c>
      <c r="X131" s="3" t="s">
        <v>336</v>
      </c>
      <c r="Y131" s="22">
        <v>60</v>
      </c>
      <c r="Z131" s="5">
        <v>5</v>
      </c>
      <c r="AA131" s="2"/>
      <c r="AB131" s="25"/>
    </row>
    <row r="132" spans="10:28" ht="12" customHeight="1">
      <c r="J132" s="40">
        <v>9613</v>
      </c>
      <c r="K132" s="10" t="s">
        <v>241</v>
      </c>
      <c r="L132" s="54">
        <v>1824</v>
      </c>
      <c r="M132" s="29">
        <v>152</v>
      </c>
      <c r="N132" s="14"/>
      <c r="O132" s="25"/>
      <c r="P132" s="40">
        <v>9608</v>
      </c>
      <c r="Q132" s="10" t="s">
        <v>336</v>
      </c>
      <c r="R132" s="11">
        <v>84</v>
      </c>
      <c r="S132" s="29">
        <v>7</v>
      </c>
      <c r="T132" s="30"/>
      <c r="U132" s="25"/>
      <c r="V132" s="25"/>
      <c r="W132" s="40">
        <v>9613</v>
      </c>
      <c r="X132" s="23" t="s">
        <v>377</v>
      </c>
      <c r="Y132" s="29">
        <v>36</v>
      </c>
      <c r="Z132" s="11">
        <v>3</v>
      </c>
      <c r="AA132" s="14"/>
      <c r="AB132" s="25"/>
    </row>
    <row r="133" spans="10:28" ht="12.95" customHeight="1">
      <c r="J133" s="13" t="s">
        <v>174</v>
      </c>
      <c r="K133" s="14"/>
      <c r="L133" s="14"/>
      <c r="M133" s="14"/>
      <c r="N133" s="14"/>
      <c r="P133" s="13" t="s">
        <v>174</v>
      </c>
      <c r="Q133" s="14"/>
      <c r="R133" s="14"/>
      <c r="S133" s="14"/>
      <c r="T133" s="14"/>
      <c r="U133" s="25"/>
      <c r="W133" s="13" t="s">
        <v>174</v>
      </c>
      <c r="X133" s="14"/>
      <c r="Y133" s="14"/>
      <c r="Z133" s="14"/>
      <c r="AA133" s="14"/>
    </row>
    <row r="134" spans="10:28">
      <c r="J134" s="13" t="s">
        <v>175</v>
      </c>
      <c r="K134" s="14"/>
      <c r="L134" s="14"/>
      <c r="M134" s="14"/>
      <c r="P134" s="13" t="s">
        <v>175</v>
      </c>
      <c r="Q134" s="14"/>
      <c r="R134" s="14"/>
      <c r="S134" s="14"/>
      <c r="W134" s="13" t="s">
        <v>175</v>
      </c>
      <c r="X134" s="14"/>
      <c r="Y134" s="14"/>
      <c r="Z134" s="14"/>
      <c r="AA134" s="2"/>
    </row>
    <row r="135" spans="10:28">
      <c r="W135" s="2"/>
      <c r="X135" s="2"/>
      <c r="Y135" s="2"/>
      <c r="Z135" s="2"/>
      <c r="AA135" s="2"/>
    </row>
    <row r="136" spans="10:28" ht="12" customHeight="1">
      <c r="W136" s="2"/>
      <c r="X136" s="2"/>
      <c r="Y136" s="2"/>
      <c r="Z136" s="2"/>
      <c r="AA136" s="3"/>
    </row>
    <row r="137" spans="10:28" ht="12" customHeight="1">
      <c r="W137" s="2"/>
      <c r="X137" s="2"/>
      <c r="Y137" s="2"/>
      <c r="Z137" s="2"/>
      <c r="AA137" s="3"/>
    </row>
    <row r="138" spans="10:28" ht="12.95" customHeight="1">
      <c r="W138" s="1" t="s">
        <v>378</v>
      </c>
      <c r="X138" s="3"/>
      <c r="Y138" s="3"/>
      <c r="Z138" s="3"/>
      <c r="AA138" s="2"/>
    </row>
    <row r="139" spans="10:28" ht="12.95" customHeight="1">
      <c r="W139" s="1" t="s">
        <v>127</v>
      </c>
      <c r="X139" s="3"/>
      <c r="Y139" s="3"/>
      <c r="Z139" s="3"/>
      <c r="AA139" s="3"/>
    </row>
    <row r="140" spans="10:28" ht="12.95" customHeight="1">
      <c r="W140" s="2113" t="s">
        <v>135</v>
      </c>
      <c r="X140" s="2305" t="s">
        <v>136</v>
      </c>
      <c r="Y140" s="2270" t="s">
        <v>242</v>
      </c>
      <c r="Z140" s="27" t="s">
        <v>111</v>
      </c>
      <c r="AA140" s="2"/>
    </row>
    <row r="141" spans="10:28" ht="12.95" customHeight="1">
      <c r="W141" s="2114"/>
      <c r="X141" s="2306"/>
      <c r="Y141" s="2268"/>
      <c r="Z141" s="50">
        <v>45950</v>
      </c>
      <c r="AA141" s="3"/>
    </row>
    <row r="142" spans="10:28" ht="12.95" customHeight="1">
      <c r="W142" s="21"/>
      <c r="X142" s="3" t="s">
        <v>129</v>
      </c>
      <c r="Y142" s="47">
        <v>503736</v>
      </c>
      <c r="Z142" s="47">
        <v>41978</v>
      </c>
      <c r="AA142" s="2"/>
    </row>
    <row r="143" spans="10:28" ht="12.95" customHeight="1">
      <c r="W143" s="21"/>
      <c r="X143" s="20" t="s">
        <v>352</v>
      </c>
      <c r="Y143" s="53">
        <v>155508</v>
      </c>
      <c r="Z143" s="53">
        <v>12959</v>
      </c>
      <c r="AA143" s="2"/>
    </row>
    <row r="144" spans="10:28" ht="12.95" customHeight="1">
      <c r="W144" s="56" t="s">
        <v>337</v>
      </c>
      <c r="X144" s="3" t="s">
        <v>353</v>
      </c>
      <c r="Y144" s="53">
        <v>13008</v>
      </c>
      <c r="Z144" s="47">
        <v>1084</v>
      </c>
      <c r="AA144" s="2"/>
    </row>
    <row r="145" spans="23:27" ht="12.95" customHeight="1">
      <c r="W145" s="56" t="s">
        <v>338</v>
      </c>
      <c r="X145" s="3" t="s">
        <v>246</v>
      </c>
      <c r="Y145" s="53">
        <v>2172</v>
      </c>
      <c r="Z145" s="5">
        <v>181</v>
      </c>
      <c r="AA145" s="2"/>
    </row>
    <row r="146" spans="23:27" ht="12.95" customHeight="1">
      <c r="W146" s="56" t="s">
        <v>339</v>
      </c>
      <c r="X146" s="3" t="s">
        <v>247</v>
      </c>
      <c r="Y146" s="53">
        <v>12852</v>
      </c>
      <c r="Z146" s="47">
        <v>1071</v>
      </c>
      <c r="AA146" s="2"/>
    </row>
    <row r="147" spans="23:27" ht="12.95" customHeight="1">
      <c r="W147" s="56" t="s">
        <v>340</v>
      </c>
      <c r="X147" s="3" t="s">
        <v>354</v>
      </c>
      <c r="Y147" s="53">
        <v>3744</v>
      </c>
      <c r="Z147" s="5">
        <v>312</v>
      </c>
      <c r="AA147" s="2"/>
    </row>
    <row r="148" spans="23:27" ht="12.95" customHeight="1">
      <c r="W148" s="56" t="s">
        <v>341</v>
      </c>
      <c r="X148" s="3" t="s">
        <v>249</v>
      </c>
      <c r="Y148" s="22">
        <v>96</v>
      </c>
      <c r="Z148" s="5">
        <v>8</v>
      </c>
      <c r="AA148" s="2"/>
    </row>
    <row r="149" spans="23:27" ht="12.95" customHeight="1">
      <c r="W149" s="56" t="s">
        <v>342</v>
      </c>
      <c r="X149" s="3" t="s">
        <v>250</v>
      </c>
      <c r="Y149" s="53">
        <v>2628</v>
      </c>
      <c r="Z149" s="5">
        <v>219</v>
      </c>
      <c r="AA149" s="2"/>
    </row>
    <row r="150" spans="23:27" ht="12.95" customHeight="1">
      <c r="W150" s="56" t="s">
        <v>343</v>
      </c>
      <c r="X150" s="3" t="s">
        <v>251</v>
      </c>
      <c r="Y150" s="22">
        <v>804</v>
      </c>
      <c r="Z150" s="5">
        <v>67</v>
      </c>
      <c r="AA150" s="2"/>
    </row>
    <row r="151" spans="23:27" ht="12.95" customHeight="1">
      <c r="W151" s="56" t="s">
        <v>344</v>
      </c>
      <c r="X151" s="7" t="s">
        <v>355</v>
      </c>
      <c r="Y151" s="53">
        <v>6468</v>
      </c>
      <c r="Z151" s="5">
        <v>539</v>
      </c>
      <c r="AA151" s="2"/>
    </row>
    <row r="152" spans="23:27" ht="12.95" customHeight="1">
      <c r="W152" s="56" t="s">
        <v>345</v>
      </c>
      <c r="X152" s="3" t="s">
        <v>253</v>
      </c>
      <c r="Y152" s="22">
        <v>312</v>
      </c>
      <c r="Z152" s="5">
        <v>26</v>
      </c>
      <c r="AA152" s="2"/>
    </row>
    <row r="153" spans="23:27" ht="12.95" customHeight="1">
      <c r="W153" s="56" t="s">
        <v>346</v>
      </c>
      <c r="X153" s="3" t="s">
        <v>254</v>
      </c>
      <c r="Y153" s="22">
        <v>804</v>
      </c>
      <c r="Z153" s="5">
        <v>67</v>
      </c>
      <c r="AA153" s="2"/>
    </row>
    <row r="154" spans="23:27" ht="12.95" customHeight="1">
      <c r="W154" s="56" t="s">
        <v>347</v>
      </c>
      <c r="X154" s="3" t="s">
        <v>255</v>
      </c>
      <c r="Y154" s="53">
        <v>1344</v>
      </c>
      <c r="Z154" s="5">
        <v>112</v>
      </c>
      <c r="AA154" s="2"/>
    </row>
    <row r="155" spans="23:27" ht="12.95" customHeight="1">
      <c r="W155" s="56" t="s">
        <v>348</v>
      </c>
      <c r="X155" s="3" t="s">
        <v>256</v>
      </c>
      <c r="Y155" s="53">
        <v>1488</v>
      </c>
      <c r="Z155" s="5">
        <v>124</v>
      </c>
      <c r="AA155" s="2"/>
    </row>
    <row r="156" spans="23:27" ht="12.95" customHeight="1">
      <c r="W156" s="56" t="s">
        <v>349</v>
      </c>
      <c r="X156" s="3" t="s">
        <v>257</v>
      </c>
      <c r="Y156" s="53">
        <v>2628</v>
      </c>
      <c r="Z156" s="5">
        <v>219</v>
      </c>
      <c r="AA156" s="2"/>
    </row>
    <row r="157" spans="23:27" ht="12.95" customHeight="1">
      <c r="W157" s="21">
        <v>1006</v>
      </c>
      <c r="X157" s="3" t="s">
        <v>151</v>
      </c>
      <c r="Y157" s="53">
        <v>3204</v>
      </c>
      <c r="Z157" s="5">
        <v>267</v>
      </c>
      <c r="AA157" s="2"/>
    </row>
    <row r="158" spans="23:27" ht="12.95" customHeight="1">
      <c r="W158" s="21">
        <v>1101</v>
      </c>
      <c r="X158" s="3" t="s">
        <v>258</v>
      </c>
      <c r="Y158" s="53">
        <v>2568</v>
      </c>
      <c r="Z158" s="5">
        <v>214</v>
      </c>
      <c r="AA158" s="2"/>
    </row>
    <row r="159" spans="23:27" ht="12.95" customHeight="1">
      <c r="W159" s="21">
        <v>1515</v>
      </c>
      <c r="X159" s="3" t="s">
        <v>259</v>
      </c>
      <c r="Y159" s="53">
        <v>2136</v>
      </c>
      <c r="Z159" s="5">
        <v>178</v>
      </c>
      <c r="AA159" s="2"/>
    </row>
    <row r="160" spans="23:27" ht="12.95" customHeight="1">
      <c r="W160" s="21">
        <v>1601</v>
      </c>
      <c r="X160" s="3" t="s">
        <v>356</v>
      </c>
      <c r="Y160" s="22">
        <v>216</v>
      </c>
      <c r="Z160" s="5">
        <v>18</v>
      </c>
      <c r="AA160" s="2"/>
    </row>
    <row r="161" spans="23:27" ht="12.95" customHeight="1">
      <c r="W161" s="21">
        <v>1602</v>
      </c>
      <c r="X161" s="3" t="s">
        <v>260</v>
      </c>
      <c r="Y161" s="53">
        <v>6360</v>
      </c>
      <c r="Z161" s="5">
        <v>530</v>
      </c>
      <c r="AA161" s="2"/>
    </row>
    <row r="162" spans="23:27" ht="12.95" customHeight="1">
      <c r="W162" s="21">
        <v>1604</v>
      </c>
      <c r="X162" s="3" t="s">
        <v>357</v>
      </c>
      <c r="Y162" s="53">
        <v>5196</v>
      </c>
      <c r="Z162" s="5">
        <v>433</v>
      </c>
      <c r="AA162" s="2"/>
    </row>
    <row r="163" spans="23:27" ht="12.95" customHeight="1">
      <c r="W163" s="21">
        <v>1605</v>
      </c>
      <c r="X163" s="3" t="s">
        <v>262</v>
      </c>
      <c r="Y163" s="53">
        <v>1140</v>
      </c>
      <c r="Z163" s="5">
        <v>95</v>
      </c>
      <c r="AA163" s="2"/>
    </row>
    <row r="164" spans="23:27" ht="12.95" customHeight="1">
      <c r="W164" s="21">
        <v>1701</v>
      </c>
      <c r="X164" s="3" t="s">
        <v>263</v>
      </c>
      <c r="Y164" s="53">
        <v>4788</v>
      </c>
      <c r="Z164" s="5">
        <v>399</v>
      </c>
      <c r="AA164" s="2"/>
    </row>
    <row r="165" spans="23:27" ht="12.95" customHeight="1">
      <c r="W165" s="21">
        <v>1806</v>
      </c>
      <c r="X165" s="3" t="s">
        <v>264</v>
      </c>
      <c r="Y165" s="53">
        <v>6564</v>
      </c>
      <c r="Z165" s="5">
        <v>547</v>
      </c>
      <c r="AA165" s="2"/>
    </row>
    <row r="166" spans="23:27" ht="12.95" customHeight="1">
      <c r="W166" s="21">
        <v>1901</v>
      </c>
      <c r="X166" s="3" t="s">
        <v>379</v>
      </c>
      <c r="Y166" s="53">
        <v>2604</v>
      </c>
      <c r="Z166" s="5">
        <v>217</v>
      </c>
      <c r="AA166" s="2"/>
    </row>
    <row r="167" spans="23:27" ht="12.95" customHeight="1">
      <c r="W167" s="21">
        <v>1902</v>
      </c>
      <c r="X167" s="3" t="s">
        <v>266</v>
      </c>
      <c r="Y167" s="53">
        <v>2328</v>
      </c>
      <c r="Z167" s="5">
        <v>194</v>
      </c>
      <c r="AA167" s="2"/>
    </row>
    <row r="168" spans="23:27" ht="12.95" customHeight="1">
      <c r="W168" s="21">
        <v>1904</v>
      </c>
      <c r="X168" s="3" t="s">
        <v>162</v>
      </c>
      <c r="Y168" s="53">
        <v>1188</v>
      </c>
      <c r="Z168" s="5">
        <v>99</v>
      </c>
      <c r="AA168" s="2"/>
    </row>
    <row r="169" spans="23:27" ht="12.95" customHeight="1">
      <c r="W169" s="21">
        <v>1905</v>
      </c>
      <c r="X169" s="3" t="s">
        <v>268</v>
      </c>
      <c r="Y169" s="53">
        <v>14472</v>
      </c>
      <c r="Z169" s="47">
        <v>1206</v>
      </c>
      <c r="AA169" s="2"/>
    </row>
    <row r="170" spans="23:27" ht="12.95" customHeight="1">
      <c r="W170" s="21">
        <v>2005</v>
      </c>
      <c r="X170" s="3" t="s">
        <v>269</v>
      </c>
      <c r="Y170" s="53">
        <v>3684</v>
      </c>
      <c r="Z170" s="5">
        <v>307</v>
      </c>
      <c r="AA170" s="2"/>
    </row>
    <row r="171" spans="23:27" ht="12.95" customHeight="1">
      <c r="W171" s="21">
        <v>2008</v>
      </c>
      <c r="X171" s="3" t="s">
        <v>270</v>
      </c>
      <c r="Y171" s="53">
        <v>6528</v>
      </c>
      <c r="Z171" s="5">
        <v>544</v>
      </c>
      <c r="AA171" s="2"/>
    </row>
    <row r="172" spans="23:27" ht="12.95" customHeight="1">
      <c r="W172" s="21">
        <v>2009</v>
      </c>
      <c r="X172" s="3" t="s">
        <v>360</v>
      </c>
      <c r="Y172" s="53">
        <v>2844</v>
      </c>
      <c r="Z172" s="5">
        <v>237</v>
      </c>
      <c r="AA172" s="2"/>
    </row>
    <row r="173" spans="23:27" ht="12.95" customHeight="1">
      <c r="W173" s="21">
        <v>2101</v>
      </c>
      <c r="X173" s="3" t="s">
        <v>272</v>
      </c>
      <c r="Y173" s="53">
        <v>2304</v>
      </c>
      <c r="Z173" s="5">
        <v>192</v>
      </c>
      <c r="AA173" s="2"/>
    </row>
    <row r="174" spans="23:27" ht="12.95" customHeight="1">
      <c r="W174" s="21">
        <v>2103</v>
      </c>
      <c r="X174" s="3" t="s">
        <v>273</v>
      </c>
      <c r="Y174" s="53">
        <v>6876</v>
      </c>
      <c r="Z174" s="5">
        <v>573</v>
      </c>
      <c r="AA174" s="2"/>
    </row>
    <row r="175" spans="23:27" ht="12.95" customHeight="1">
      <c r="W175" s="21">
        <v>2104</v>
      </c>
      <c r="X175" s="3" t="s">
        <v>274</v>
      </c>
      <c r="Y175" s="53">
        <v>2316</v>
      </c>
      <c r="Z175" s="5">
        <v>193</v>
      </c>
      <c r="AA175" s="2"/>
    </row>
    <row r="176" spans="23:27" ht="12.95" customHeight="1">
      <c r="W176" s="21">
        <v>2105</v>
      </c>
      <c r="X176" s="3" t="s">
        <v>361</v>
      </c>
      <c r="Y176" s="53">
        <v>3360</v>
      </c>
      <c r="Z176" s="5">
        <v>280</v>
      </c>
      <c r="AA176" s="2"/>
    </row>
    <row r="177" spans="23:28" ht="12.95" customHeight="1">
      <c r="W177" s="21">
        <v>2106</v>
      </c>
      <c r="X177" s="3" t="s">
        <v>276</v>
      </c>
      <c r="Y177" s="53">
        <v>18804</v>
      </c>
      <c r="Z177" s="47">
        <v>1567</v>
      </c>
      <c r="AA177" s="2"/>
    </row>
    <row r="178" spans="23:28" ht="12" customHeight="1">
      <c r="W178" s="21">
        <v>2201</v>
      </c>
      <c r="X178" s="7" t="s">
        <v>362</v>
      </c>
      <c r="Y178" s="53">
        <v>1452</v>
      </c>
      <c r="Z178" s="5">
        <v>121</v>
      </c>
      <c r="AA178" s="2"/>
      <c r="AB178" s="25"/>
    </row>
    <row r="179" spans="23:28" ht="12" customHeight="1">
      <c r="W179" s="21">
        <v>2202</v>
      </c>
      <c r="X179" s="7" t="s">
        <v>452</v>
      </c>
      <c r="Y179" s="53">
        <v>6228</v>
      </c>
      <c r="Z179" s="5">
        <v>519</v>
      </c>
      <c r="AA179" s="14"/>
      <c r="AB179" s="25"/>
    </row>
    <row r="180" spans="23:28" ht="12.95" customHeight="1">
      <c r="W180" s="60" t="s">
        <v>174</v>
      </c>
      <c r="X180" s="61"/>
      <c r="Y180" s="61"/>
      <c r="Z180" s="61"/>
      <c r="AA180" s="14"/>
    </row>
    <row r="181" spans="23:28" ht="12.95" customHeight="1">
      <c r="W181" s="13" t="s">
        <v>175</v>
      </c>
      <c r="X181" s="14"/>
      <c r="Y181" s="14"/>
      <c r="Z181" s="14"/>
      <c r="AA181" s="3"/>
    </row>
    <row r="182" spans="23:28" ht="12.95" customHeight="1">
      <c r="W182" s="2"/>
      <c r="X182" s="2"/>
      <c r="Y182" s="2"/>
      <c r="Z182" s="2"/>
      <c r="AA182" s="2"/>
    </row>
    <row r="183" spans="23:28" ht="12.95" customHeight="1">
      <c r="W183" s="2"/>
      <c r="X183" s="2"/>
      <c r="Y183" s="2"/>
      <c r="Z183" s="2"/>
      <c r="AA183" s="3"/>
    </row>
    <row r="184" spans="23:28" ht="12.95" customHeight="1">
      <c r="W184" s="1" t="s">
        <v>380</v>
      </c>
      <c r="X184" s="3"/>
      <c r="Y184" s="3"/>
      <c r="Z184" s="3"/>
      <c r="AA184" s="3"/>
    </row>
    <row r="185" spans="23:28" ht="12.95" customHeight="1">
      <c r="W185" s="1" t="s">
        <v>127</v>
      </c>
      <c r="X185" s="3"/>
      <c r="Y185" s="3"/>
      <c r="Z185" s="3"/>
      <c r="AA185" s="2"/>
    </row>
    <row r="186" spans="23:28" ht="12.95" customHeight="1">
      <c r="W186" s="2113" t="s">
        <v>135</v>
      </c>
      <c r="X186" s="2305" t="s">
        <v>136</v>
      </c>
      <c r="Y186" s="2270" t="s">
        <v>242</v>
      </c>
      <c r="Z186" s="27" t="s">
        <v>111</v>
      </c>
      <c r="AA186" s="3"/>
    </row>
    <row r="187" spans="23:28" ht="12.95" customHeight="1">
      <c r="W187" s="2114"/>
      <c r="X187" s="2306"/>
      <c r="Y187" s="2268"/>
      <c r="Z187" s="50">
        <v>45950</v>
      </c>
      <c r="AA187" s="2"/>
    </row>
    <row r="188" spans="23:28" ht="12.95" customHeight="1">
      <c r="W188" s="21"/>
      <c r="X188" s="3"/>
      <c r="Y188" s="2"/>
      <c r="Z188" s="2"/>
      <c r="AA188" s="3"/>
    </row>
    <row r="189" spans="23:28" ht="12.95" customHeight="1">
      <c r="W189" s="21"/>
      <c r="X189" s="20" t="s">
        <v>177</v>
      </c>
      <c r="Y189" s="53">
        <v>15684</v>
      </c>
      <c r="Z189" s="53">
        <v>1307</v>
      </c>
      <c r="AA189" s="2"/>
    </row>
    <row r="190" spans="23:28" ht="12.95" customHeight="1">
      <c r="W190" s="21">
        <v>2203</v>
      </c>
      <c r="X190" s="3" t="s">
        <v>364</v>
      </c>
      <c r="Y190" s="53">
        <v>6900</v>
      </c>
      <c r="Z190" s="5">
        <v>575</v>
      </c>
      <c r="AA190" s="2"/>
    </row>
    <row r="191" spans="23:28" ht="12.95" customHeight="1">
      <c r="W191" s="21">
        <v>2204</v>
      </c>
      <c r="X191" s="3" t="s">
        <v>281</v>
      </c>
      <c r="Y191" s="22">
        <v>72</v>
      </c>
      <c r="Z191" s="5">
        <v>6</v>
      </c>
      <c r="AA191" s="2"/>
    </row>
    <row r="192" spans="23:28" ht="12.95" customHeight="1">
      <c r="W192" s="21">
        <v>2208</v>
      </c>
      <c r="X192" s="3" t="s">
        <v>365</v>
      </c>
      <c r="Y192" s="53">
        <v>8724</v>
      </c>
      <c r="Z192" s="5">
        <v>727</v>
      </c>
      <c r="AA192" s="3"/>
    </row>
    <row r="193" spans="23:27" ht="12.95" customHeight="1">
      <c r="W193" s="21"/>
      <c r="X193" s="3"/>
      <c r="Y193" s="3"/>
      <c r="Z193" s="3"/>
      <c r="AA193" s="3"/>
    </row>
    <row r="194" spans="23:27" ht="12.95" customHeight="1">
      <c r="W194" s="21"/>
      <c r="X194" s="20" t="s">
        <v>366</v>
      </c>
      <c r="Y194" s="53">
        <v>91392</v>
      </c>
      <c r="Z194" s="53">
        <v>7616</v>
      </c>
      <c r="AA194" s="2"/>
    </row>
    <row r="195" spans="23:27" ht="12.95" customHeight="1">
      <c r="W195" s="21">
        <v>4011</v>
      </c>
      <c r="X195" s="3" t="s">
        <v>292</v>
      </c>
      <c r="Y195" s="53">
        <v>9084</v>
      </c>
      <c r="Z195" s="5">
        <v>757</v>
      </c>
      <c r="AA195" s="2"/>
    </row>
    <row r="196" spans="23:27" ht="12.95" customHeight="1">
      <c r="W196" s="21">
        <v>8703</v>
      </c>
      <c r="X196" s="3" t="s">
        <v>293</v>
      </c>
      <c r="Y196" s="53">
        <v>46296</v>
      </c>
      <c r="Z196" s="5">
        <v>3858</v>
      </c>
      <c r="AA196" s="2"/>
    </row>
    <row r="197" spans="23:27" ht="12.95" customHeight="1">
      <c r="W197" s="21">
        <v>8704</v>
      </c>
      <c r="X197" s="3" t="s">
        <v>367</v>
      </c>
      <c r="Y197" s="53">
        <v>6876</v>
      </c>
      <c r="Z197" s="5">
        <v>573</v>
      </c>
      <c r="AA197" s="2"/>
    </row>
    <row r="198" spans="23:27" ht="12.95" customHeight="1">
      <c r="W198" s="21">
        <v>8708</v>
      </c>
      <c r="X198" s="3" t="s">
        <v>295</v>
      </c>
      <c r="Y198" s="53">
        <v>29148</v>
      </c>
      <c r="Z198" s="5">
        <v>2429</v>
      </c>
      <c r="AA198" s="2"/>
    </row>
    <row r="199" spans="23:27" ht="12.95" customHeight="1">
      <c r="W199" s="21"/>
      <c r="X199" s="3"/>
      <c r="Y199" s="3"/>
      <c r="Z199" s="2"/>
      <c r="AA199" s="2"/>
    </row>
    <row r="200" spans="23:27" ht="12.95" customHeight="1">
      <c r="W200" s="35"/>
      <c r="X200" s="6" t="s">
        <v>368</v>
      </c>
      <c r="Y200" s="53">
        <v>9696</v>
      </c>
      <c r="Z200" s="5">
        <v>808</v>
      </c>
      <c r="AA200" s="2"/>
    </row>
    <row r="201" spans="23:27" ht="12.95" customHeight="1">
      <c r="W201" s="35">
        <v>4203</v>
      </c>
      <c r="X201" s="2" t="s">
        <v>286</v>
      </c>
      <c r="Y201" s="22">
        <v>108</v>
      </c>
      <c r="Z201" s="5">
        <v>9</v>
      </c>
      <c r="AA201" s="2"/>
    </row>
    <row r="202" spans="23:27" ht="12.95" customHeight="1">
      <c r="W202" s="21">
        <v>6203</v>
      </c>
      <c r="X202" s="3" t="s">
        <v>284</v>
      </c>
      <c r="Y202" s="53">
        <v>3624</v>
      </c>
      <c r="Z202" s="5">
        <v>302</v>
      </c>
      <c r="AA202" s="2"/>
    </row>
    <row r="203" spans="23:27" ht="12.95" customHeight="1">
      <c r="W203" s="21">
        <v>6204</v>
      </c>
      <c r="X203" s="3" t="s">
        <v>285</v>
      </c>
      <c r="Y203" s="53">
        <v>1908</v>
      </c>
      <c r="Z203" s="5">
        <v>159</v>
      </c>
      <c r="AA203" s="2"/>
    </row>
    <row r="204" spans="23:27" ht="12.95" customHeight="1">
      <c r="W204" s="21">
        <v>6217</v>
      </c>
      <c r="X204" s="3" t="s">
        <v>286</v>
      </c>
      <c r="Y204" s="53">
        <v>4056</v>
      </c>
      <c r="Z204" s="5">
        <v>338</v>
      </c>
      <c r="AA204" s="2"/>
    </row>
    <row r="205" spans="23:27" ht="12.95" customHeight="1">
      <c r="W205" s="21"/>
      <c r="X205" s="3"/>
      <c r="Y205" s="3"/>
      <c r="Z205" s="2"/>
      <c r="AA205" s="3"/>
    </row>
    <row r="206" spans="23:27" ht="12.95" customHeight="1">
      <c r="W206" s="21"/>
      <c r="X206" s="20" t="s">
        <v>369</v>
      </c>
      <c r="Y206" s="53">
        <v>33396</v>
      </c>
      <c r="Z206" s="53">
        <v>2783</v>
      </c>
      <c r="AA206" s="2"/>
    </row>
    <row r="207" spans="23:27" ht="12.95" customHeight="1">
      <c r="W207" s="21">
        <v>3926</v>
      </c>
      <c r="X207" s="3" t="s">
        <v>287</v>
      </c>
      <c r="Y207" s="53">
        <v>8676</v>
      </c>
      <c r="Z207" s="5">
        <v>723</v>
      </c>
      <c r="AA207" s="2"/>
    </row>
    <row r="208" spans="23:27" ht="12.95" customHeight="1">
      <c r="W208" s="21">
        <v>4202</v>
      </c>
      <c r="X208" s="3" t="s">
        <v>288</v>
      </c>
      <c r="Y208" s="53">
        <v>4284</v>
      </c>
      <c r="Z208" s="5">
        <v>357</v>
      </c>
      <c r="AA208" s="2"/>
    </row>
    <row r="209" spans="23:28" ht="12.95" customHeight="1">
      <c r="W209" s="21">
        <v>4206</v>
      </c>
      <c r="X209" s="3" t="s">
        <v>289</v>
      </c>
      <c r="Y209" s="22">
        <v>804</v>
      </c>
      <c r="Z209" s="5">
        <v>67</v>
      </c>
      <c r="AA209" s="2"/>
    </row>
    <row r="210" spans="23:28" ht="12.95" customHeight="1">
      <c r="W210" s="21">
        <v>4818</v>
      </c>
      <c r="X210" s="3" t="s">
        <v>290</v>
      </c>
      <c r="Y210" s="53">
        <v>14916</v>
      </c>
      <c r="Z210" s="47">
        <v>1243</v>
      </c>
      <c r="AA210" s="2"/>
    </row>
    <row r="211" spans="23:28" ht="12.95" customHeight="1">
      <c r="W211" s="21">
        <v>6402</v>
      </c>
      <c r="X211" s="3" t="s">
        <v>291</v>
      </c>
      <c r="Y211" s="53">
        <v>4704</v>
      </c>
      <c r="Z211" s="5">
        <v>392</v>
      </c>
      <c r="AA211" s="2"/>
    </row>
    <row r="212" spans="23:28" ht="12.95" customHeight="1">
      <c r="W212" s="21"/>
      <c r="X212" s="3"/>
      <c r="Y212" s="3"/>
      <c r="Z212" s="2"/>
      <c r="AA212" s="2"/>
    </row>
    <row r="213" spans="23:28" ht="12.95" customHeight="1">
      <c r="W213" s="21"/>
      <c r="X213" s="20" t="s">
        <v>195</v>
      </c>
      <c r="Y213" s="53">
        <v>42636</v>
      </c>
      <c r="Z213" s="47">
        <v>3553</v>
      </c>
      <c r="AA213" s="2"/>
    </row>
    <row r="214" spans="23:28" ht="12.95" customHeight="1">
      <c r="W214" s="21">
        <v>8516</v>
      </c>
      <c r="X214" s="3" t="s">
        <v>296</v>
      </c>
      <c r="Y214" s="53">
        <v>27720</v>
      </c>
      <c r="Z214" s="47">
        <v>2310</v>
      </c>
      <c r="AA214" s="2"/>
    </row>
    <row r="215" spans="23:28" ht="12.95" customHeight="1">
      <c r="W215" s="21">
        <v>8548</v>
      </c>
      <c r="X215" s="3" t="s">
        <v>297</v>
      </c>
      <c r="Y215" s="53">
        <v>2628</v>
      </c>
      <c r="Z215" s="5">
        <v>219</v>
      </c>
      <c r="AA215" s="2"/>
    </row>
    <row r="216" spans="23:28" ht="12.95" customHeight="1">
      <c r="W216" s="21">
        <v>9101</v>
      </c>
      <c r="X216" s="3" t="s">
        <v>298</v>
      </c>
      <c r="Y216" s="53">
        <v>1008</v>
      </c>
      <c r="Z216" s="5">
        <v>84</v>
      </c>
      <c r="AA216" s="2"/>
    </row>
    <row r="217" spans="23:28" ht="12" customHeight="1">
      <c r="W217" s="21">
        <v>9403</v>
      </c>
      <c r="X217" s="3" t="s">
        <v>299</v>
      </c>
      <c r="Y217" s="53">
        <v>9816</v>
      </c>
      <c r="Z217" s="5">
        <v>818</v>
      </c>
      <c r="AA217" s="2"/>
      <c r="AB217" s="25"/>
    </row>
    <row r="218" spans="23:28" ht="12" customHeight="1">
      <c r="W218" s="40">
        <v>9405</v>
      </c>
      <c r="X218" s="23" t="s">
        <v>300</v>
      </c>
      <c r="Y218" s="54">
        <v>1464</v>
      </c>
      <c r="Z218" s="11">
        <v>122</v>
      </c>
      <c r="AA218" s="14"/>
      <c r="AB218" s="25"/>
    </row>
    <row r="219" spans="23:28" ht="12.95" customHeight="1">
      <c r="W219" s="13" t="s">
        <v>174</v>
      </c>
      <c r="X219" s="14"/>
      <c r="Y219" s="14"/>
      <c r="Z219" s="14"/>
      <c r="AA219" s="14"/>
    </row>
    <row r="220" spans="23:28" ht="12.95" customHeight="1">
      <c r="W220" s="13" t="s">
        <v>175</v>
      </c>
      <c r="X220" s="14"/>
      <c r="Y220" s="14"/>
      <c r="Z220" s="14"/>
      <c r="AA220" s="2"/>
    </row>
    <row r="221" spans="23:28" ht="12" customHeight="1">
      <c r="W221" s="2"/>
      <c r="X221" s="2"/>
      <c r="Y221" s="2"/>
      <c r="Z221" s="2"/>
      <c r="AA221" s="2"/>
    </row>
    <row r="222" spans="23:28" ht="12" customHeight="1">
      <c r="W222" s="2"/>
      <c r="X222" s="2"/>
      <c r="Y222" s="2"/>
      <c r="Z222" s="2"/>
      <c r="AA222" s="2"/>
    </row>
    <row r="223" spans="23:28" ht="12.95" customHeight="1">
      <c r="W223" s="1" t="s">
        <v>381</v>
      </c>
      <c r="X223" s="3"/>
      <c r="Y223" s="3"/>
      <c r="Z223" s="3"/>
      <c r="AA223" s="3"/>
    </row>
    <row r="224" spans="23:28" ht="12.95" customHeight="1">
      <c r="W224" s="1" t="s">
        <v>127</v>
      </c>
      <c r="X224" s="3"/>
      <c r="Y224" s="3"/>
      <c r="Z224" s="3"/>
      <c r="AA224" s="3"/>
    </row>
    <row r="225" spans="23:27" ht="12.95" customHeight="1">
      <c r="W225" s="2113" t="s">
        <v>135</v>
      </c>
      <c r="X225" s="2305" t="s">
        <v>136</v>
      </c>
      <c r="Y225" s="2270" t="s">
        <v>242</v>
      </c>
      <c r="Z225" s="27" t="s">
        <v>111</v>
      </c>
      <c r="AA225" s="3"/>
    </row>
    <row r="226" spans="23:27" ht="12.95" customHeight="1">
      <c r="W226" s="2114"/>
      <c r="X226" s="2306"/>
      <c r="Y226" s="2268"/>
      <c r="Z226" s="50">
        <v>45950</v>
      </c>
      <c r="AA226" s="2"/>
    </row>
    <row r="227" spans="23:27" ht="12.95" customHeight="1">
      <c r="W227" s="21"/>
      <c r="X227" s="3"/>
      <c r="Y227" s="2"/>
      <c r="Z227" s="3"/>
      <c r="AA227" s="3"/>
    </row>
    <row r="228" spans="23:27" ht="12.95" customHeight="1">
      <c r="W228" s="21"/>
      <c r="X228" s="20" t="s">
        <v>201</v>
      </c>
      <c r="Y228" s="53">
        <v>80832</v>
      </c>
      <c r="Z228" s="47">
        <v>6736</v>
      </c>
      <c r="AA228" s="3"/>
    </row>
    <row r="229" spans="23:27" ht="12.95" customHeight="1">
      <c r="W229" s="21">
        <v>2523</v>
      </c>
      <c r="X229" s="3" t="s">
        <v>302</v>
      </c>
      <c r="Y229" s="53">
        <v>6264</v>
      </c>
      <c r="Z229" s="5">
        <v>522</v>
      </c>
      <c r="AA229" s="2"/>
    </row>
    <row r="230" spans="23:27" ht="12.95" customHeight="1">
      <c r="W230" s="21">
        <v>3208</v>
      </c>
      <c r="X230" s="3" t="s">
        <v>303</v>
      </c>
      <c r="Y230" s="53">
        <v>5100</v>
      </c>
      <c r="Z230" s="5">
        <v>425</v>
      </c>
      <c r="AA230" s="2"/>
    </row>
    <row r="231" spans="23:27" ht="12.95" customHeight="1">
      <c r="W231" s="21">
        <v>3917</v>
      </c>
      <c r="X231" s="3" t="s">
        <v>304</v>
      </c>
      <c r="Y231" s="53">
        <v>1524</v>
      </c>
      <c r="Z231" s="5">
        <v>127</v>
      </c>
      <c r="AA231" s="2"/>
    </row>
    <row r="232" spans="23:27" ht="12.95" customHeight="1">
      <c r="W232" s="21">
        <v>4421</v>
      </c>
      <c r="X232" s="3" t="s">
        <v>305</v>
      </c>
      <c r="Y232" s="53">
        <v>25536</v>
      </c>
      <c r="Z232" s="47">
        <v>2128</v>
      </c>
      <c r="AA232" s="2"/>
    </row>
    <row r="233" spans="23:27" ht="12.95" customHeight="1">
      <c r="W233" s="21">
        <v>6800</v>
      </c>
      <c r="X233" s="3" t="s">
        <v>306</v>
      </c>
      <c r="Y233" s="22">
        <v>768</v>
      </c>
      <c r="Z233" s="5">
        <v>64</v>
      </c>
      <c r="AA233" s="2"/>
    </row>
    <row r="234" spans="23:27" ht="12.95" customHeight="1">
      <c r="W234" s="21">
        <v>6912</v>
      </c>
      <c r="X234" s="3" t="s">
        <v>371</v>
      </c>
      <c r="Y234" s="53">
        <v>3312</v>
      </c>
      <c r="Z234" s="5">
        <v>276</v>
      </c>
      <c r="AA234" s="2"/>
    </row>
    <row r="235" spans="23:27" ht="12.95" customHeight="1">
      <c r="W235" s="21">
        <v>7000</v>
      </c>
      <c r="X235" s="3" t="s">
        <v>308</v>
      </c>
      <c r="Y235" s="22">
        <v>240</v>
      </c>
      <c r="Z235" s="5">
        <v>20</v>
      </c>
      <c r="AA235" s="2"/>
    </row>
    <row r="236" spans="23:27" ht="12.95" customHeight="1">
      <c r="W236" s="21">
        <v>7200</v>
      </c>
      <c r="X236" s="3" t="s">
        <v>309</v>
      </c>
      <c r="Y236" s="53">
        <v>20148</v>
      </c>
      <c r="Z236" s="47">
        <v>1679</v>
      </c>
      <c r="AA236" s="2"/>
    </row>
    <row r="237" spans="23:27" ht="12.95" customHeight="1">
      <c r="W237" s="21">
        <v>7411</v>
      </c>
      <c r="X237" s="3" t="s">
        <v>310</v>
      </c>
      <c r="Y237" s="22">
        <v>540</v>
      </c>
      <c r="Z237" s="5">
        <v>45</v>
      </c>
      <c r="AA237" s="2"/>
    </row>
    <row r="238" spans="23:27" ht="12.95" customHeight="1">
      <c r="W238" s="21">
        <v>7616</v>
      </c>
      <c r="X238" s="3" t="s">
        <v>311</v>
      </c>
      <c r="Y238" s="53">
        <v>5868</v>
      </c>
      <c r="Z238" s="5">
        <v>489</v>
      </c>
      <c r="AA238" s="2"/>
    </row>
    <row r="239" spans="23:27" ht="12.95" customHeight="1">
      <c r="W239" s="21">
        <v>8300</v>
      </c>
      <c r="X239" s="3" t="s">
        <v>372</v>
      </c>
      <c r="Y239" s="53">
        <v>11544</v>
      </c>
      <c r="Z239" s="5">
        <v>962</v>
      </c>
      <c r="AA239" s="2"/>
    </row>
    <row r="240" spans="23:27" ht="12.95" customHeight="1">
      <c r="W240" s="21"/>
      <c r="X240" s="3"/>
      <c r="Y240" s="3"/>
      <c r="Z240" s="3"/>
      <c r="AA240" s="2"/>
    </row>
    <row r="241" spans="23:27" ht="12.95" customHeight="1">
      <c r="W241" s="35"/>
      <c r="X241" s="20" t="s">
        <v>213</v>
      </c>
      <c r="Y241" s="53">
        <v>74568</v>
      </c>
      <c r="Z241" s="53">
        <v>6214</v>
      </c>
      <c r="AA241" s="3"/>
    </row>
    <row r="242" spans="23:27" ht="12.95" customHeight="1">
      <c r="W242" s="56" t="s">
        <v>350</v>
      </c>
      <c r="X242" s="3" t="s">
        <v>313</v>
      </c>
      <c r="Y242" s="53">
        <v>1380</v>
      </c>
      <c r="Z242" s="5">
        <v>115</v>
      </c>
      <c r="AA242" s="3"/>
    </row>
    <row r="243" spans="23:27" ht="12.95" customHeight="1">
      <c r="W243" s="21">
        <v>2300</v>
      </c>
      <c r="X243" s="3" t="s">
        <v>314</v>
      </c>
      <c r="Y243" s="53">
        <v>10140</v>
      </c>
      <c r="Z243" s="5">
        <v>845</v>
      </c>
      <c r="AA243" s="2"/>
    </row>
    <row r="244" spans="23:27" ht="12.95" customHeight="1">
      <c r="W244" s="21">
        <v>2710</v>
      </c>
      <c r="X244" s="3" t="s">
        <v>316</v>
      </c>
      <c r="Y244" s="53">
        <v>10572</v>
      </c>
      <c r="Z244" s="5">
        <v>881</v>
      </c>
      <c r="AA244" s="2"/>
    </row>
    <row r="245" spans="23:27" ht="12.95" customHeight="1">
      <c r="W245" s="21">
        <v>3006</v>
      </c>
      <c r="X245" s="3" t="s">
        <v>317</v>
      </c>
      <c r="Y245" s="53">
        <v>18060</v>
      </c>
      <c r="Z245" s="47">
        <v>1505</v>
      </c>
      <c r="AA245" s="2"/>
    </row>
    <row r="246" spans="23:27" ht="12.95" customHeight="1">
      <c r="W246" s="21">
        <v>3101</v>
      </c>
      <c r="X246" s="3" t="s">
        <v>218</v>
      </c>
      <c r="Y246" s="22">
        <v>792</v>
      </c>
      <c r="Z246" s="5">
        <v>66</v>
      </c>
      <c r="AA246" s="2"/>
    </row>
    <row r="247" spans="23:27" ht="12.95" customHeight="1">
      <c r="W247" s="21">
        <v>3215</v>
      </c>
      <c r="X247" s="3" t="s">
        <v>374</v>
      </c>
      <c r="Y247" s="22">
        <v>264</v>
      </c>
      <c r="Z247" s="5">
        <v>22</v>
      </c>
      <c r="AA247" s="2"/>
    </row>
    <row r="248" spans="23:27" ht="12.95" customHeight="1">
      <c r="W248" s="21">
        <v>3304</v>
      </c>
      <c r="X248" s="3" t="s">
        <v>319</v>
      </c>
      <c r="Y248" s="53">
        <v>8412</v>
      </c>
      <c r="Z248" s="5">
        <v>701</v>
      </c>
      <c r="AA248" s="2"/>
    </row>
    <row r="249" spans="23:27" ht="12.95" customHeight="1">
      <c r="W249" s="21">
        <v>3401</v>
      </c>
      <c r="X249" s="3" t="s">
        <v>320</v>
      </c>
      <c r="Y249" s="53">
        <v>6840</v>
      </c>
      <c r="Z249" s="5">
        <v>570</v>
      </c>
      <c r="AA249" s="2"/>
    </row>
    <row r="250" spans="23:27" ht="12.95" customHeight="1">
      <c r="W250" s="21">
        <v>3500</v>
      </c>
      <c r="X250" s="3" t="s">
        <v>321</v>
      </c>
      <c r="Y250" s="22">
        <v>240</v>
      </c>
      <c r="Z250" s="5">
        <v>20</v>
      </c>
      <c r="AA250" s="2"/>
    </row>
    <row r="251" spans="23:27" ht="12.95" customHeight="1">
      <c r="W251" s="21">
        <v>3800</v>
      </c>
      <c r="X251" s="3" t="s">
        <v>322</v>
      </c>
      <c r="Y251" s="53">
        <v>2760</v>
      </c>
      <c r="Z251" s="5">
        <v>230</v>
      </c>
      <c r="AA251" s="2"/>
    </row>
    <row r="252" spans="23:27" ht="12.95" customHeight="1">
      <c r="W252" s="21">
        <v>4900</v>
      </c>
      <c r="X252" s="3" t="s">
        <v>323</v>
      </c>
      <c r="Y252" s="22">
        <v>588</v>
      </c>
      <c r="Z252" s="5">
        <v>49</v>
      </c>
      <c r="AA252" s="2"/>
    </row>
    <row r="253" spans="23:27" ht="12.95" customHeight="1">
      <c r="W253" s="21">
        <v>5700</v>
      </c>
      <c r="X253" s="3" t="s">
        <v>324</v>
      </c>
      <c r="Y253" s="22">
        <v>384</v>
      </c>
      <c r="Z253" s="5">
        <v>32</v>
      </c>
      <c r="AA253" s="2"/>
    </row>
    <row r="254" spans="23:27" ht="12.95" customHeight="1">
      <c r="W254" s="21">
        <v>6302</v>
      </c>
      <c r="X254" s="3" t="s">
        <v>325</v>
      </c>
      <c r="Y254" s="53">
        <v>1620</v>
      </c>
      <c r="Z254" s="5">
        <v>135</v>
      </c>
      <c r="AA254" s="2"/>
    </row>
    <row r="255" spans="23:27" ht="12.95" customHeight="1">
      <c r="W255" s="21">
        <v>6500</v>
      </c>
      <c r="X255" s="3" t="s">
        <v>326</v>
      </c>
      <c r="Y255" s="22">
        <v>60</v>
      </c>
      <c r="Z255" s="5">
        <v>5</v>
      </c>
      <c r="AA255" s="2"/>
    </row>
    <row r="256" spans="23:27" ht="12.95" customHeight="1">
      <c r="W256" s="21">
        <v>6600</v>
      </c>
      <c r="X256" s="3" t="s">
        <v>327</v>
      </c>
      <c r="Y256" s="22">
        <v>60</v>
      </c>
      <c r="Z256" s="5">
        <v>5</v>
      </c>
      <c r="AA256" s="2"/>
    </row>
    <row r="257" spans="23:28" ht="12.95" customHeight="1">
      <c r="W257" s="21">
        <v>7113</v>
      </c>
      <c r="X257" s="3" t="s">
        <v>328</v>
      </c>
      <c r="Y257" s="53">
        <v>1824</v>
      </c>
      <c r="Z257" s="5">
        <v>152</v>
      </c>
      <c r="AA257" s="2"/>
    </row>
    <row r="258" spans="23:28" ht="12.95" customHeight="1">
      <c r="W258" s="21">
        <v>8471</v>
      </c>
      <c r="X258" s="3" t="s">
        <v>329</v>
      </c>
      <c r="Y258" s="53">
        <v>2088</v>
      </c>
      <c r="Z258" s="5">
        <v>174</v>
      </c>
      <c r="AA258" s="2"/>
    </row>
    <row r="259" spans="23:28" ht="12.95" customHeight="1">
      <c r="W259" s="21">
        <v>8473</v>
      </c>
      <c r="X259" s="3" t="s">
        <v>330</v>
      </c>
      <c r="Y259" s="22">
        <v>360</v>
      </c>
      <c r="Z259" s="5">
        <v>30</v>
      </c>
      <c r="AA259" s="2"/>
    </row>
    <row r="260" spans="23:28" ht="12.95" customHeight="1">
      <c r="W260" s="21">
        <v>8506</v>
      </c>
      <c r="X260" s="3" t="s">
        <v>331</v>
      </c>
      <c r="Y260" s="53">
        <v>2712</v>
      </c>
      <c r="Z260" s="5">
        <v>226</v>
      </c>
      <c r="AA260" s="2"/>
    </row>
    <row r="261" spans="23:28" ht="12.95" customHeight="1">
      <c r="W261" s="21">
        <v>9004</v>
      </c>
      <c r="X261" s="3" t="s">
        <v>332</v>
      </c>
      <c r="Y261" s="22">
        <v>636</v>
      </c>
      <c r="Z261" s="5">
        <v>53</v>
      </c>
      <c r="AA261" s="2"/>
    </row>
    <row r="262" spans="23:28" ht="12.95" customHeight="1">
      <c r="W262" s="21">
        <v>9300</v>
      </c>
      <c r="X262" s="3" t="s">
        <v>382</v>
      </c>
      <c r="Y262" s="22">
        <v>120</v>
      </c>
      <c r="Z262" s="5">
        <v>10</v>
      </c>
      <c r="AA262" s="2"/>
    </row>
    <row r="263" spans="23:28" ht="12.95" customHeight="1">
      <c r="W263" s="21">
        <v>9406</v>
      </c>
      <c r="X263" s="3" t="s">
        <v>334</v>
      </c>
      <c r="Y263" s="22">
        <v>48</v>
      </c>
      <c r="Z263" s="5">
        <v>4</v>
      </c>
      <c r="AA263" s="2"/>
    </row>
    <row r="264" spans="23:28" ht="12.95" customHeight="1">
      <c r="W264" s="21">
        <v>9503</v>
      </c>
      <c r="X264" s="3" t="s">
        <v>238</v>
      </c>
      <c r="Y264" s="53">
        <v>2796</v>
      </c>
      <c r="Z264" s="5">
        <v>233</v>
      </c>
      <c r="AA264" s="2"/>
    </row>
    <row r="265" spans="23:28" ht="12" customHeight="1">
      <c r="W265" s="21">
        <v>9508</v>
      </c>
      <c r="X265" s="3" t="s">
        <v>335</v>
      </c>
      <c r="Y265" s="53">
        <v>1692</v>
      </c>
      <c r="Z265" s="5">
        <v>141</v>
      </c>
      <c r="AA265" s="2"/>
      <c r="AB265" s="25"/>
    </row>
    <row r="266" spans="23:28" ht="12" customHeight="1">
      <c r="W266" s="40">
        <v>9608</v>
      </c>
      <c r="X266" s="23" t="s">
        <v>336</v>
      </c>
      <c r="Y266" s="29">
        <v>144</v>
      </c>
      <c r="Z266" s="11">
        <v>12</v>
      </c>
      <c r="AA266" s="14"/>
      <c r="AB266" s="25"/>
    </row>
    <row r="267" spans="23:28">
      <c r="W267" s="13" t="s">
        <v>174</v>
      </c>
      <c r="X267" s="14"/>
      <c r="Y267" s="14"/>
      <c r="Z267" s="14"/>
      <c r="AA267" s="14"/>
    </row>
    <row r="268" spans="23:28">
      <c r="W268" s="13" t="s">
        <v>175</v>
      </c>
      <c r="X268" s="14"/>
      <c r="Y268" s="14"/>
      <c r="Z268" s="14"/>
      <c r="AA268" s="2"/>
    </row>
    <row r="269" spans="23:28">
      <c r="W269" s="2"/>
      <c r="X269" s="2"/>
      <c r="Y269" s="2"/>
      <c r="Z269" s="2"/>
    </row>
  </sheetData>
  <mergeCells count="73">
    <mergeCell ref="BC90:BD90"/>
    <mergeCell ref="BH90:BI90"/>
    <mergeCell ref="AT73:AZ73"/>
    <mergeCell ref="BC28:BD28"/>
    <mergeCell ref="BH28:BI28"/>
    <mergeCell ref="BC59:BE59"/>
    <mergeCell ref="BH59:BI59"/>
    <mergeCell ref="K50:K51"/>
    <mergeCell ref="F3:G3"/>
    <mergeCell ref="AR38:AR39"/>
    <mergeCell ref="AS38:AS39"/>
    <mergeCell ref="AP73:AP74"/>
    <mergeCell ref="AQ73:AQ74"/>
    <mergeCell ref="AR73:AR74"/>
    <mergeCell ref="AS73:AS74"/>
    <mergeCell ref="X3:X4"/>
    <mergeCell ref="Y3:Y4"/>
    <mergeCell ref="W51:W52"/>
    <mergeCell ref="X51:X52"/>
    <mergeCell ref="Y51:Y52"/>
    <mergeCell ref="AC73:AC74"/>
    <mergeCell ref="AD73:AD74"/>
    <mergeCell ref="AF38:AF39"/>
    <mergeCell ref="W88:W89"/>
    <mergeCell ref="J87:J88"/>
    <mergeCell ref="K87:K88"/>
    <mergeCell ref="L87:L88"/>
    <mergeCell ref="P3:P4"/>
    <mergeCell ref="Q3:Q4"/>
    <mergeCell ref="R3:R4"/>
    <mergeCell ref="P50:P51"/>
    <mergeCell ref="Q50:Q51"/>
    <mergeCell ref="R50:R51"/>
    <mergeCell ref="L3:L4"/>
    <mergeCell ref="L50:L51"/>
    <mergeCell ref="W3:W4"/>
    <mergeCell ref="J50:J51"/>
    <mergeCell ref="J3:J4"/>
    <mergeCell ref="K3:K4"/>
    <mergeCell ref="X186:X187"/>
    <mergeCell ref="Y186:Y187"/>
    <mergeCell ref="P90:P91"/>
    <mergeCell ref="Q90:Q91"/>
    <mergeCell ref="R90:R91"/>
    <mergeCell ref="W225:W226"/>
    <mergeCell ref="X225:X226"/>
    <mergeCell ref="Y225:Y226"/>
    <mergeCell ref="AG3:AM3"/>
    <mergeCell ref="AC3:AC4"/>
    <mergeCell ref="AD3:AD4"/>
    <mergeCell ref="AG38:AM38"/>
    <mergeCell ref="AC38:AC39"/>
    <mergeCell ref="AD38:AD39"/>
    <mergeCell ref="AG73:AM73"/>
    <mergeCell ref="X88:X89"/>
    <mergeCell ref="Y88:Y89"/>
    <mergeCell ref="W140:W141"/>
    <mergeCell ref="X140:X141"/>
    <mergeCell ref="Y140:Y141"/>
    <mergeCell ref="W186:W187"/>
    <mergeCell ref="AT3:AZ3"/>
    <mergeCell ref="AT38:AZ38"/>
    <mergeCell ref="AP3:AP4"/>
    <mergeCell ref="AQ3:AQ4"/>
    <mergeCell ref="AR3:AR4"/>
    <mergeCell ref="AS3:AS4"/>
    <mergeCell ref="AP38:AP39"/>
    <mergeCell ref="AQ38:AQ39"/>
    <mergeCell ref="AE3:AE4"/>
    <mergeCell ref="AF3:AF4"/>
    <mergeCell ref="AE38:AE39"/>
    <mergeCell ref="AE73:AE74"/>
    <mergeCell ref="AF73:AF74"/>
  </mergeCells>
  <pageMargins left="0.7" right="0.7" top="0.75" bottom="0.75" header="0.3" footer="0.3"/>
  <pageSetup orientation="portrait" r:id="rId1"/>
  <ignoredErrors>
    <ignoredError sqref="J7:J19 P7:P19 J104 P107 W7:W19 W105 W242 AC25:AC30 AC44:AC64 W144:W156 AC17 AP57:AP65 AC90:AC9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4E3B1-F85B-4007-813D-61F07EC75B42}">
  <sheetPr>
    <tabColor rgb="FFFFFF00"/>
    <pageSetUpPr fitToPage="1"/>
  </sheetPr>
  <dimension ref="A1:CF133"/>
  <sheetViews>
    <sheetView showGridLines="0" zoomScale="90" zoomScaleNormal="90" workbookViewId="0">
      <selection activeCell="BG61" sqref="BG61"/>
    </sheetView>
  </sheetViews>
  <sheetFormatPr defaultColWidth="8.7109375" defaultRowHeight="12.75"/>
  <cols>
    <col min="1" max="2" width="15.7109375" style="382" customWidth="1"/>
    <col min="3" max="6" width="14.7109375" style="382" customWidth="1"/>
    <col min="7" max="9" width="8.7109375" style="382"/>
    <col min="10" max="10" width="26" style="382" customWidth="1"/>
    <col min="11" max="15" width="17.7109375" style="382" customWidth="1"/>
    <col min="16" max="18" width="9.28515625" style="382" customWidth="1"/>
    <col min="19" max="21" width="24.7109375" style="382" customWidth="1"/>
    <col min="22" max="24" width="9.28515625" style="382" customWidth="1"/>
    <col min="25" max="28" width="24.7109375" style="382" customWidth="1"/>
    <col min="29" max="30" width="8.7109375" style="382"/>
    <col min="31" max="31" width="10.140625" style="382" customWidth="1"/>
    <col min="32" max="32" width="25.7109375" style="382" customWidth="1"/>
    <col min="33" max="37" width="15.7109375" style="382" customWidth="1"/>
    <col min="38" max="40" width="9.140625" style="382" customWidth="1"/>
    <col min="41" max="41" width="25.7109375" style="382" customWidth="1"/>
    <col min="42" max="46" width="15.7109375" style="382" customWidth="1"/>
    <col min="47" max="49" width="9.140625" style="382" customWidth="1"/>
    <col min="50" max="50" width="18.7109375" style="382" customWidth="1"/>
    <col min="51" max="64" width="8.7109375" style="382" customWidth="1"/>
    <col min="65" max="65" width="8.7109375" style="382"/>
    <col min="66" max="66" width="66" style="382" customWidth="1"/>
    <col min="67" max="69" width="14.7109375" style="382" customWidth="1"/>
    <col min="70" max="72" width="8.7109375" style="382"/>
    <col min="73" max="73" width="58.85546875" style="382" customWidth="1"/>
    <col min="74" max="74" width="15.140625" style="382" customWidth="1"/>
    <col min="75" max="75" width="20.7109375" style="382" customWidth="1"/>
    <col min="76" max="77" width="15.28515625" style="382" customWidth="1"/>
    <col min="78" max="78" width="17.28515625" style="382" customWidth="1"/>
    <col min="79" max="79" width="8.7109375" style="382"/>
    <col min="80" max="80" width="62" style="382" customWidth="1"/>
    <col min="81" max="84" width="13.7109375" style="382" customWidth="1"/>
    <col min="85" max="256" width="8.7109375" style="382"/>
    <col min="257" max="258" width="15.7109375" style="382" customWidth="1"/>
    <col min="259" max="262" width="14.7109375" style="382" customWidth="1"/>
    <col min="263" max="265" width="8.7109375" style="382"/>
    <col min="266" max="266" width="26" style="382" customWidth="1"/>
    <col min="267" max="271" width="17.7109375" style="382" customWidth="1"/>
    <col min="272" max="274" width="9.28515625" style="382" customWidth="1"/>
    <col min="275" max="277" width="24.7109375" style="382" customWidth="1"/>
    <col min="278" max="280" width="9.28515625" style="382" customWidth="1"/>
    <col min="281" max="284" width="24.7109375" style="382" customWidth="1"/>
    <col min="285" max="286" width="8.7109375" style="382"/>
    <col min="287" max="287" width="10.140625" style="382" customWidth="1"/>
    <col min="288" max="288" width="25.7109375" style="382" customWidth="1"/>
    <col min="289" max="293" width="15.7109375" style="382" customWidth="1"/>
    <col min="294" max="296" width="9.140625" style="382" customWidth="1"/>
    <col min="297" max="297" width="25.7109375" style="382" customWidth="1"/>
    <col min="298" max="302" width="15.7109375" style="382" customWidth="1"/>
    <col min="303" max="305" width="9.140625" style="382" customWidth="1"/>
    <col min="306" max="306" width="18.7109375" style="382" customWidth="1"/>
    <col min="307" max="321" width="8.7109375" style="382"/>
    <col min="322" max="322" width="66" style="382" customWidth="1"/>
    <col min="323" max="325" width="14.7109375" style="382" customWidth="1"/>
    <col min="326" max="328" width="8.7109375" style="382"/>
    <col min="329" max="329" width="58.85546875" style="382" customWidth="1"/>
    <col min="330" max="330" width="15.140625" style="382" customWidth="1"/>
    <col min="331" max="331" width="20.7109375" style="382" customWidth="1"/>
    <col min="332" max="333" width="15.28515625" style="382" customWidth="1"/>
    <col min="334" max="334" width="17.28515625" style="382" customWidth="1"/>
    <col min="335" max="335" width="8.7109375" style="382"/>
    <col min="336" max="336" width="62" style="382" customWidth="1"/>
    <col min="337" max="340" width="13.7109375" style="382" customWidth="1"/>
    <col min="341" max="512" width="8.7109375" style="382"/>
    <col min="513" max="514" width="15.7109375" style="382" customWidth="1"/>
    <col min="515" max="518" width="14.7109375" style="382" customWidth="1"/>
    <col min="519" max="521" width="8.7109375" style="382"/>
    <col min="522" max="522" width="26" style="382" customWidth="1"/>
    <col min="523" max="527" width="17.7109375" style="382" customWidth="1"/>
    <col min="528" max="530" width="9.28515625" style="382" customWidth="1"/>
    <col min="531" max="533" width="24.7109375" style="382" customWidth="1"/>
    <col min="534" max="536" width="9.28515625" style="382" customWidth="1"/>
    <col min="537" max="540" width="24.7109375" style="382" customWidth="1"/>
    <col min="541" max="542" width="8.7109375" style="382"/>
    <col min="543" max="543" width="10.140625" style="382" customWidth="1"/>
    <col min="544" max="544" width="25.7109375" style="382" customWidth="1"/>
    <col min="545" max="549" width="15.7109375" style="382" customWidth="1"/>
    <col min="550" max="552" width="9.140625" style="382" customWidth="1"/>
    <col min="553" max="553" width="25.7109375" style="382" customWidth="1"/>
    <col min="554" max="558" width="15.7109375" style="382" customWidth="1"/>
    <col min="559" max="561" width="9.140625" style="382" customWidth="1"/>
    <col min="562" max="562" width="18.7109375" style="382" customWidth="1"/>
    <col min="563" max="577" width="8.7109375" style="382"/>
    <col min="578" max="578" width="66" style="382" customWidth="1"/>
    <col min="579" max="581" width="14.7109375" style="382" customWidth="1"/>
    <col min="582" max="584" width="8.7109375" style="382"/>
    <col min="585" max="585" width="58.85546875" style="382" customWidth="1"/>
    <col min="586" max="586" width="15.140625" style="382" customWidth="1"/>
    <col min="587" max="587" width="20.7109375" style="382" customWidth="1"/>
    <col min="588" max="589" width="15.28515625" style="382" customWidth="1"/>
    <col min="590" max="590" width="17.28515625" style="382" customWidth="1"/>
    <col min="591" max="591" width="8.7109375" style="382"/>
    <col min="592" max="592" width="62" style="382" customWidth="1"/>
    <col min="593" max="596" width="13.7109375" style="382" customWidth="1"/>
    <col min="597" max="768" width="8.7109375" style="382"/>
    <col min="769" max="770" width="15.7109375" style="382" customWidth="1"/>
    <col min="771" max="774" width="14.7109375" style="382" customWidth="1"/>
    <col min="775" max="777" width="8.7109375" style="382"/>
    <col min="778" max="778" width="26" style="382" customWidth="1"/>
    <col min="779" max="783" width="17.7109375" style="382" customWidth="1"/>
    <col min="784" max="786" width="9.28515625" style="382" customWidth="1"/>
    <col min="787" max="789" width="24.7109375" style="382" customWidth="1"/>
    <col min="790" max="792" width="9.28515625" style="382" customWidth="1"/>
    <col min="793" max="796" width="24.7109375" style="382" customWidth="1"/>
    <col min="797" max="798" width="8.7109375" style="382"/>
    <col min="799" max="799" width="10.140625" style="382" customWidth="1"/>
    <col min="800" max="800" width="25.7109375" style="382" customWidth="1"/>
    <col min="801" max="805" width="15.7109375" style="382" customWidth="1"/>
    <col min="806" max="808" width="9.140625" style="382" customWidth="1"/>
    <col min="809" max="809" width="25.7109375" style="382" customWidth="1"/>
    <col min="810" max="814" width="15.7109375" style="382" customWidth="1"/>
    <col min="815" max="817" width="9.140625" style="382" customWidth="1"/>
    <col min="818" max="818" width="18.7109375" style="382" customWidth="1"/>
    <col min="819" max="833" width="8.7109375" style="382"/>
    <col min="834" max="834" width="66" style="382" customWidth="1"/>
    <col min="835" max="837" width="14.7109375" style="382" customWidth="1"/>
    <col min="838" max="840" width="8.7109375" style="382"/>
    <col min="841" max="841" width="58.85546875" style="382" customWidth="1"/>
    <col min="842" max="842" width="15.140625" style="382" customWidth="1"/>
    <col min="843" max="843" width="20.7109375" style="382" customWidth="1"/>
    <col min="844" max="845" width="15.28515625" style="382" customWidth="1"/>
    <col min="846" max="846" width="17.28515625" style="382" customWidth="1"/>
    <col min="847" max="847" width="8.7109375" style="382"/>
    <col min="848" max="848" width="62" style="382" customWidth="1"/>
    <col min="849" max="852" width="13.7109375" style="382" customWidth="1"/>
    <col min="853" max="1024" width="8.7109375" style="382"/>
    <col min="1025" max="1026" width="15.7109375" style="382" customWidth="1"/>
    <col min="1027" max="1030" width="14.7109375" style="382" customWidth="1"/>
    <col min="1031" max="1033" width="8.7109375" style="382"/>
    <col min="1034" max="1034" width="26" style="382" customWidth="1"/>
    <col min="1035" max="1039" width="17.7109375" style="382" customWidth="1"/>
    <col min="1040" max="1042" width="9.28515625" style="382" customWidth="1"/>
    <col min="1043" max="1045" width="24.7109375" style="382" customWidth="1"/>
    <col min="1046" max="1048" width="9.28515625" style="382" customWidth="1"/>
    <col min="1049" max="1052" width="24.7109375" style="382" customWidth="1"/>
    <col min="1053" max="1054" width="8.7109375" style="382"/>
    <col min="1055" max="1055" width="10.140625" style="382" customWidth="1"/>
    <col min="1056" max="1056" width="25.7109375" style="382" customWidth="1"/>
    <col min="1057" max="1061" width="15.7109375" style="382" customWidth="1"/>
    <col min="1062" max="1064" width="9.140625" style="382" customWidth="1"/>
    <col min="1065" max="1065" width="25.7109375" style="382" customWidth="1"/>
    <col min="1066" max="1070" width="15.7109375" style="382" customWidth="1"/>
    <col min="1071" max="1073" width="9.140625" style="382" customWidth="1"/>
    <col min="1074" max="1074" width="18.7109375" style="382" customWidth="1"/>
    <col min="1075" max="1089" width="8.7109375" style="382"/>
    <col min="1090" max="1090" width="66" style="382" customWidth="1"/>
    <col min="1091" max="1093" width="14.7109375" style="382" customWidth="1"/>
    <col min="1094" max="1096" width="8.7109375" style="382"/>
    <col min="1097" max="1097" width="58.85546875" style="382" customWidth="1"/>
    <col min="1098" max="1098" width="15.140625" style="382" customWidth="1"/>
    <col min="1099" max="1099" width="20.7109375" style="382" customWidth="1"/>
    <col min="1100" max="1101" width="15.28515625" style="382" customWidth="1"/>
    <col min="1102" max="1102" width="17.28515625" style="382" customWidth="1"/>
    <col min="1103" max="1103" width="8.7109375" style="382"/>
    <col min="1104" max="1104" width="62" style="382" customWidth="1"/>
    <col min="1105" max="1108" width="13.7109375" style="382" customWidth="1"/>
    <col min="1109" max="1280" width="8.7109375" style="382"/>
    <col min="1281" max="1282" width="15.7109375" style="382" customWidth="1"/>
    <col min="1283" max="1286" width="14.7109375" style="382" customWidth="1"/>
    <col min="1287" max="1289" width="8.7109375" style="382"/>
    <col min="1290" max="1290" width="26" style="382" customWidth="1"/>
    <col min="1291" max="1295" width="17.7109375" style="382" customWidth="1"/>
    <col min="1296" max="1298" width="9.28515625" style="382" customWidth="1"/>
    <col min="1299" max="1301" width="24.7109375" style="382" customWidth="1"/>
    <col min="1302" max="1304" width="9.28515625" style="382" customWidth="1"/>
    <col min="1305" max="1308" width="24.7109375" style="382" customWidth="1"/>
    <col min="1309" max="1310" width="8.7109375" style="382"/>
    <col min="1311" max="1311" width="10.140625" style="382" customWidth="1"/>
    <col min="1312" max="1312" width="25.7109375" style="382" customWidth="1"/>
    <col min="1313" max="1317" width="15.7109375" style="382" customWidth="1"/>
    <col min="1318" max="1320" width="9.140625" style="382" customWidth="1"/>
    <col min="1321" max="1321" width="25.7109375" style="382" customWidth="1"/>
    <col min="1322" max="1326" width="15.7109375" style="382" customWidth="1"/>
    <col min="1327" max="1329" width="9.140625" style="382" customWidth="1"/>
    <col min="1330" max="1330" width="18.7109375" style="382" customWidth="1"/>
    <col min="1331" max="1345" width="8.7109375" style="382"/>
    <col min="1346" max="1346" width="66" style="382" customWidth="1"/>
    <col min="1347" max="1349" width="14.7109375" style="382" customWidth="1"/>
    <col min="1350" max="1352" width="8.7109375" style="382"/>
    <col min="1353" max="1353" width="58.85546875" style="382" customWidth="1"/>
    <col min="1354" max="1354" width="15.140625" style="382" customWidth="1"/>
    <col min="1355" max="1355" width="20.7109375" style="382" customWidth="1"/>
    <col min="1356" max="1357" width="15.28515625" style="382" customWidth="1"/>
    <col min="1358" max="1358" width="17.28515625" style="382" customWidth="1"/>
    <col min="1359" max="1359" width="8.7109375" style="382"/>
    <col min="1360" max="1360" width="62" style="382" customWidth="1"/>
    <col min="1361" max="1364" width="13.7109375" style="382" customWidth="1"/>
    <col min="1365" max="1536" width="8.7109375" style="382"/>
    <col min="1537" max="1538" width="15.7109375" style="382" customWidth="1"/>
    <col min="1539" max="1542" width="14.7109375" style="382" customWidth="1"/>
    <col min="1543" max="1545" width="8.7109375" style="382"/>
    <col min="1546" max="1546" width="26" style="382" customWidth="1"/>
    <col min="1547" max="1551" width="17.7109375" style="382" customWidth="1"/>
    <col min="1552" max="1554" width="9.28515625" style="382" customWidth="1"/>
    <col min="1555" max="1557" width="24.7109375" style="382" customWidth="1"/>
    <col min="1558" max="1560" width="9.28515625" style="382" customWidth="1"/>
    <col min="1561" max="1564" width="24.7109375" style="382" customWidth="1"/>
    <col min="1565" max="1566" width="8.7109375" style="382"/>
    <col min="1567" max="1567" width="10.140625" style="382" customWidth="1"/>
    <col min="1568" max="1568" width="25.7109375" style="382" customWidth="1"/>
    <col min="1569" max="1573" width="15.7109375" style="382" customWidth="1"/>
    <col min="1574" max="1576" width="9.140625" style="382" customWidth="1"/>
    <col min="1577" max="1577" width="25.7109375" style="382" customWidth="1"/>
    <col min="1578" max="1582" width="15.7109375" style="382" customWidth="1"/>
    <col min="1583" max="1585" width="9.140625" style="382" customWidth="1"/>
    <col min="1586" max="1586" width="18.7109375" style="382" customWidth="1"/>
    <col min="1587" max="1601" width="8.7109375" style="382"/>
    <col min="1602" max="1602" width="66" style="382" customWidth="1"/>
    <col min="1603" max="1605" width="14.7109375" style="382" customWidth="1"/>
    <col min="1606" max="1608" width="8.7109375" style="382"/>
    <col min="1609" max="1609" width="58.85546875" style="382" customWidth="1"/>
    <col min="1610" max="1610" width="15.140625" style="382" customWidth="1"/>
    <col min="1611" max="1611" width="20.7109375" style="382" customWidth="1"/>
    <col min="1612" max="1613" width="15.28515625" style="382" customWidth="1"/>
    <col min="1614" max="1614" width="17.28515625" style="382" customWidth="1"/>
    <col min="1615" max="1615" width="8.7109375" style="382"/>
    <col min="1616" max="1616" width="62" style="382" customWidth="1"/>
    <col min="1617" max="1620" width="13.7109375" style="382" customWidth="1"/>
    <col min="1621" max="1792" width="8.7109375" style="382"/>
    <col min="1793" max="1794" width="15.7109375" style="382" customWidth="1"/>
    <col min="1795" max="1798" width="14.7109375" style="382" customWidth="1"/>
    <col min="1799" max="1801" width="8.7109375" style="382"/>
    <col min="1802" max="1802" width="26" style="382" customWidth="1"/>
    <col min="1803" max="1807" width="17.7109375" style="382" customWidth="1"/>
    <col min="1808" max="1810" width="9.28515625" style="382" customWidth="1"/>
    <col min="1811" max="1813" width="24.7109375" style="382" customWidth="1"/>
    <col min="1814" max="1816" width="9.28515625" style="382" customWidth="1"/>
    <col min="1817" max="1820" width="24.7109375" style="382" customWidth="1"/>
    <col min="1821" max="1822" width="8.7109375" style="382"/>
    <col min="1823" max="1823" width="10.140625" style="382" customWidth="1"/>
    <col min="1824" max="1824" width="25.7109375" style="382" customWidth="1"/>
    <col min="1825" max="1829" width="15.7109375" style="382" customWidth="1"/>
    <col min="1830" max="1832" width="9.140625" style="382" customWidth="1"/>
    <col min="1833" max="1833" width="25.7109375" style="382" customWidth="1"/>
    <col min="1834" max="1838" width="15.7109375" style="382" customWidth="1"/>
    <col min="1839" max="1841" width="9.140625" style="382" customWidth="1"/>
    <col min="1842" max="1842" width="18.7109375" style="382" customWidth="1"/>
    <col min="1843" max="1857" width="8.7109375" style="382"/>
    <col min="1858" max="1858" width="66" style="382" customWidth="1"/>
    <col min="1859" max="1861" width="14.7109375" style="382" customWidth="1"/>
    <col min="1862" max="1864" width="8.7109375" style="382"/>
    <col min="1865" max="1865" width="58.85546875" style="382" customWidth="1"/>
    <col min="1866" max="1866" width="15.140625" style="382" customWidth="1"/>
    <col min="1867" max="1867" width="20.7109375" style="382" customWidth="1"/>
    <col min="1868" max="1869" width="15.28515625" style="382" customWidth="1"/>
    <col min="1870" max="1870" width="17.28515625" style="382" customWidth="1"/>
    <col min="1871" max="1871" width="8.7109375" style="382"/>
    <col min="1872" max="1872" width="62" style="382" customWidth="1"/>
    <col min="1873" max="1876" width="13.7109375" style="382" customWidth="1"/>
    <col min="1877" max="2048" width="8.7109375" style="382"/>
    <col min="2049" max="2050" width="15.7109375" style="382" customWidth="1"/>
    <col min="2051" max="2054" width="14.7109375" style="382" customWidth="1"/>
    <col min="2055" max="2057" width="8.7109375" style="382"/>
    <col min="2058" max="2058" width="26" style="382" customWidth="1"/>
    <col min="2059" max="2063" width="17.7109375" style="382" customWidth="1"/>
    <col min="2064" max="2066" width="9.28515625" style="382" customWidth="1"/>
    <col min="2067" max="2069" width="24.7109375" style="382" customWidth="1"/>
    <col min="2070" max="2072" width="9.28515625" style="382" customWidth="1"/>
    <col min="2073" max="2076" width="24.7109375" style="382" customWidth="1"/>
    <col min="2077" max="2078" width="8.7109375" style="382"/>
    <col min="2079" max="2079" width="10.140625" style="382" customWidth="1"/>
    <col min="2080" max="2080" width="25.7109375" style="382" customWidth="1"/>
    <col min="2081" max="2085" width="15.7109375" style="382" customWidth="1"/>
    <col min="2086" max="2088" width="9.140625" style="382" customWidth="1"/>
    <col min="2089" max="2089" width="25.7109375" style="382" customWidth="1"/>
    <col min="2090" max="2094" width="15.7109375" style="382" customWidth="1"/>
    <col min="2095" max="2097" width="9.140625" style="382" customWidth="1"/>
    <col min="2098" max="2098" width="18.7109375" style="382" customWidth="1"/>
    <col min="2099" max="2113" width="8.7109375" style="382"/>
    <col min="2114" max="2114" width="66" style="382" customWidth="1"/>
    <col min="2115" max="2117" width="14.7109375" style="382" customWidth="1"/>
    <col min="2118" max="2120" width="8.7109375" style="382"/>
    <col min="2121" max="2121" width="58.85546875" style="382" customWidth="1"/>
    <col min="2122" max="2122" width="15.140625" style="382" customWidth="1"/>
    <col min="2123" max="2123" width="20.7109375" style="382" customWidth="1"/>
    <col min="2124" max="2125" width="15.28515625" style="382" customWidth="1"/>
    <col min="2126" max="2126" width="17.28515625" style="382" customWidth="1"/>
    <col min="2127" max="2127" width="8.7109375" style="382"/>
    <col min="2128" max="2128" width="62" style="382" customWidth="1"/>
    <col min="2129" max="2132" width="13.7109375" style="382" customWidth="1"/>
    <col min="2133" max="2304" width="8.7109375" style="382"/>
    <col min="2305" max="2306" width="15.7109375" style="382" customWidth="1"/>
    <col min="2307" max="2310" width="14.7109375" style="382" customWidth="1"/>
    <col min="2311" max="2313" width="8.7109375" style="382"/>
    <col min="2314" max="2314" width="26" style="382" customWidth="1"/>
    <col min="2315" max="2319" width="17.7109375" style="382" customWidth="1"/>
    <col min="2320" max="2322" width="9.28515625" style="382" customWidth="1"/>
    <col min="2323" max="2325" width="24.7109375" style="382" customWidth="1"/>
    <col min="2326" max="2328" width="9.28515625" style="382" customWidth="1"/>
    <col min="2329" max="2332" width="24.7109375" style="382" customWidth="1"/>
    <col min="2333" max="2334" width="8.7109375" style="382"/>
    <col min="2335" max="2335" width="10.140625" style="382" customWidth="1"/>
    <col min="2336" max="2336" width="25.7109375" style="382" customWidth="1"/>
    <col min="2337" max="2341" width="15.7109375" style="382" customWidth="1"/>
    <col min="2342" max="2344" width="9.140625" style="382" customWidth="1"/>
    <col min="2345" max="2345" width="25.7109375" style="382" customWidth="1"/>
    <col min="2346" max="2350" width="15.7109375" style="382" customWidth="1"/>
    <col min="2351" max="2353" width="9.140625" style="382" customWidth="1"/>
    <col min="2354" max="2354" width="18.7109375" style="382" customWidth="1"/>
    <col min="2355" max="2369" width="8.7109375" style="382"/>
    <col min="2370" max="2370" width="66" style="382" customWidth="1"/>
    <col min="2371" max="2373" width="14.7109375" style="382" customWidth="1"/>
    <col min="2374" max="2376" width="8.7109375" style="382"/>
    <col min="2377" max="2377" width="58.85546875" style="382" customWidth="1"/>
    <col min="2378" max="2378" width="15.140625" style="382" customWidth="1"/>
    <col min="2379" max="2379" width="20.7109375" style="382" customWidth="1"/>
    <col min="2380" max="2381" width="15.28515625" style="382" customWidth="1"/>
    <col min="2382" max="2382" width="17.28515625" style="382" customWidth="1"/>
    <col min="2383" max="2383" width="8.7109375" style="382"/>
    <col min="2384" max="2384" width="62" style="382" customWidth="1"/>
    <col min="2385" max="2388" width="13.7109375" style="382" customWidth="1"/>
    <col min="2389" max="2560" width="8.7109375" style="382"/>
    <col min="2561" max="2562" width="15.7109375" style="382" customWidth="1"/>
    <col min="2563" max="2566" width="14.7109375" style="382" customWidth="1"/>
    <col min="2567" max="2569" width="8.7109375" style="382"/>
    <col min="2570" max="2570" width="26" style="382" customWidth="1"/>
    <col min="2571" max="2575" width="17.7109375" style="382" customWidth="1"/>
    <col min="2576" max="2578" width="9.28515625" style="382" customWidth="1"/>
    <col min="2579" max="2581" width="24.7109375" style="382" customWidth="1"/>
    <col min="2582" max="2584" width="9.28515625" style="382" customWidth="1"/>
    <col min="2585" max="2588" width="24.7109375" style="382" customWidth="1"/>
    <col min="2589" max="2590" width="8.7109375" style="382"/>
    <col min="2591" max="2591" width="10.140625" style="382" customWidth="1"/>
    <col min="2592" max="2592" width="25.7109375" style="382" customWidth="1"/>
    <col min="2593" max="2597" width="15.7109375" style="382" customWidth="1"/>
    <col min="2598" max="2600" width="9.140625" style="382" customWidth="1"/>
    <col min="2601" max="2601" width="25.7109375" style="382" customWidth="1"/>
    <col min="2602" max="2606" width="15.7109375" style="382" customWidth="1"/>
    <col min="2607" max="2609" width="9.140625" style="382" customWidth="1"/>
    <col min="2610" max="2610" width="18.7109375" style="382" customWidth="1"/>
    <col min="2611" max="2625" width="8.7109375" style="382"/>
    <col min="2626" max="2626" width="66" style="382" customWidth="1"/>
    <col min="2627" max="2629" width="14.7109375" style="382" customWidth="1"/>
    <col min="2630" max="2632" width="8.7109375" style="382"/>
    <col min="2633" max="2633" width="58.85546875" style="382" customWidth="1"/>
    <col min="2634" max="2634" width="15.140625" style="382" customWidth="1"/>
    <col min="2635" max="2635" width="20.7109375" style="382" customWidth="1"/>
    <col min="2636" max="2637" width="15.28515625" style="382" customWidth="1"/>
    <col min="2638" max="2638" width="17.28515625" style="382" customWidth="1"/>
    <col min="2639" max="2639" width="8.7109375" style="382"/>
    <col min="2640" max="2640" width="62" style="382" customWidth="1"/>
    <col min="2641" max="2644" width="13.7109375" style="382" customWidth="1"/>
    <col min="2645" max="2816" width="8.7109375" style="382"/>
    <col min="2817" max="2818" width="15.7109375" style="382" customWidth="1"/>
    <col min="2819" max="2822" width="14.7109375" style="382" customWidth="1"/>
    <col min="2823" max="2825" width="8.7109375" style="382"/>
    <col min="2826" max="2826" width="26" style="382" customWidth="1"/>
    <col min="2827" max="2831" width="17.7109375" style="382" customWidth="1"/>
    <col min="2832" max="2834" width="9.28515625" style="382" customWidth="1"/>
    <col min="2835" max="2837" width="24.7109375" style="382" customWidth="1"/>
    <col min="2838" max="2840" width="9.28515625" style="382" customWidth="1"/>
    <col min="2841" max="2844" width="24.7109375" style="382" customWidth="1"/>
    <col min="2845" max="2846" width="8.7109375" style="382"/>
    <col min="2847" max="2847" width="10.140625" style="382" customWidth="1"/>
    <col min="2848" max="2848" width="25.7109375" style="382" customWidth="1"/>
    <col min="2849" max="2853" width="15.7109375" style="382" customWidth="1"/>
    <col min="2854" max="2856" width="9.140625" style="382" customWidth="1"/>
    <col min="2857" max="2857" width="25.7109375" style="382" customWidth="1"/>
    <col min="2858" max="2862" width="15.7109375" style="382" customWidth="1"/>
    <col min="2863" max="2865" width="9.140625" style="382" customWidth="1"/>
    <col min="2866" max="2866" width="18.7109375" style="382" customWidth="1"/>
    <col min="2867" max="2881" width="8.7109375" style="382"/>
    <col min="2882" max="2882" width="66" style="382" customWidth="1"/>
    <col min="2883" max="2885" width="14.7109375" style="382" customWidth="1"/>
    <col min="2886" max="2888" width="8.7109375" style="382"/>
    <col min="2889" max="2889" width="58.85546875" style="382" customWidth="1"/>
    <col min="2890" max="2890" width="15.140625" style="382" customWidth="1"/>
    <col min="2891" max="2891" width="20.7109375" style="382" customWidth="1"/>
    <col min="2892" max="2893" width="15.28515625" style="382" customWidth="1"/>
    <col min="2894" max="2894" width="17.28515625" style="382" customWidth="1"/>
    <col min="2895" max="2895" width="8.7109375" style="382"/>
    <col min="2896" max="2896" width="62" style="382" customWidth="1"/>
    <col min="2897" max="2900" width="13.7109375" style="382" customWidth="1"/>
    <col min="2901" max="3072" width="8.7109375" style="382"/>
    <col min="3073" max="3074" width="15.7109375" style="382" customWidth="1"/>
    <col min="3075" max="3078" width="14.7109375" style="382" customWidth="1"/>
    <col min="3079" max="3081" width="8.7109375" style="382"/>
    <col min="3082" max="3082" width="26" style="382" customWidth="1"/>
    <col min="3083" max="3087" width="17.7109375" style="382" customWidth="1"/>
    <col min="3088" max="3090" width="9.28515625" style="382" customWidth="1"/>
    <col min="3091" max="3093" width="24.7109375" style="382" customWidth="1"/>
    <col min="3094" max="3096" width="9.28515625" style="382" customWidth="1"/>
    <col min="3097" max="3100" width="24.7109375" style="382" customWidth="1"/>
    <col min="3101" max="3102" width="8.7109375" style="382"/>
    <col min="3103" max="3103" width="10.140625" style="382" customWidth="1"/>
    <col min="3104" max="3104" width="25.7109375" style="382" customWidth="1"/>
    <col min="3105" max="3109" width="15.7109375" style="382" customWidth="1"/>
    <col min="3110" max="3112" width="9.140625" style="382" customWidth="1"/>
    <col min="3113" max="3113" width="25.7109375" style="382" customWidth="1"/>
    <col min="3114" max="3118" width="15.7109375" style="382" customWidth="1"/>
    <col min="3119" max="3121" width="9.140625" style="382" customWidth="1"/>
    <col min="3122" max="3122" width="18.7109375" style="382" customWidth="1"/>
    <col min="3123" max="3137" width="8.7109375" style="382"/>
    <col min="3138" max="3138" width="66" style="382" customWidth="1"/>
    <col min="3139" max="3141" width="14.7109375" style="382" customWidth="1"/>
    <col min="3142" max="3144" width="8.7109375" style="382"/>
    <col min="3145" max="3145" width="58.85546875" style="382" customWidth="1"/>
    <col min="3146" max="3146" width="15.140625" style="382" customWidth="1"/>
    <col min="3147" max="3147" width="20.7109375" style="382" customWidth="1"/>
    <col min="3148" max="3149" width="15.28515625" style="382" customWidth="1"/>
    <col min="3150" max="3150" width="17.28515625" style="382" customWidth="1"/>
    <col min="3151" max="3151" width="8.7109375" style="382"/>
    <col min="3152" max="3152" width="62" style="382" customWidth="1"/>
    <col min="3153" max="3156" width="13.7109375" style="382" customWidth="1"/>
    <col min="3157" max="3328" width="8.7109375" style="382"/>
    <col min="3329" max="3330" width="15.7109375" style="382" customWidth="1"/>
    <col min="3331" max="3334" width="14.7109375" style="382" customWidth="1"/>
    <col min="3335" max="3337" width="8.7109375" style="382"/>
    <col min="3338" max="3338" width="26" style="382" customWidth="1"/>
    <col min="3339" max="3343" width="17.7109375" style="382" customWidth="1"/>
    <col min="3344" max="3346" width="9.28515625" style="382" customWidth="1"/>
    <col min="3347" max="3349" width="24.7109375" style="382" customWidth="1"/>
    <col min="3350" max="3352" width="9.28515625" style="382" customWidth="1"/>
    <col min="3353" max="3356" width="24.7109375" style="382" customWidth="1"/>
    <col min="3357" max="3358" width="8.7109375" style="382"/>
    <col min="3359" max="3359" width="10.140625" style="382" customWidth="1"/>
    <col min="3360" max="3360" width="25.7109375" style="382" customWidth="1"/>
    <col min="3361" max="3365" width="15.7109375" style="382" customWidth="1"/>
    <col min="3366" max="3368" width="9.140625" style="382" customWidth="1"/>
    <col min="3369" max="3369" width="25.7109375" style="382" customWidth="1"/>
    <col min="3370" max="3374" width="15.7109375" style="382" customWidth="1"/>
    <col min="3375" max="3377" width="9.140625" style="382" customWidth="1"/>
    <col min="3378" max="3378" width="18.7109375" style="382" customWidth="1"/>
    <col min="3379" max="3393" width="8.7109375" style="382"/>
    <col min="3394" max="3394" width="66" style="382" customWidth="1"/>
    <col min="3395" max="3397" width="14.7109375" style="382" customWidth="1"/>
    <col min="3398" max="3400" width="8.7109375" style="382"/>
    <col min="3401" max="3401" width="58.85546875" style="382" customWidth="1"/>
    <col min="3402" max="3402" width="15.140625" style="382" customWidth="1"/>
    <col min="3403" max="3403" width="20.7109375" style="382" customWidth="1"/>
    <col min="3404" max="3405" width="15.28515625" style="382" customWidth="1"/>
    <col min="3406" max="3406" width="17.28515625" style="382" customWidth="1"/>
    <col min="3407" max="3407" width="8.7109375" style="382"/>
    <col min="3408" max="3408" width="62" style="382" customWidth="1"/>
    <col min="3409" max="3412" width="13.7109375" style="382" customWidth="1"/>
    <col min="3413" max="3584" width="8.7109375" style="382"/>
    <col min="3585" max="3586" width="15.7109375" style="382" customWidth="1"/>
    <col min="3587" max="3590" width="14.7109375" style="382" customWidth="1"/>
    <col min="3591" max="3593" width="8.7109375" style="382"/>
    <col min="3594" max="3594" width="26" style="382" customWidth="1"/>
    <col min="3595" max="3599" width="17.7109375" style="382" customWidth="1"/>
    <col min="3600" max="3602" width="9.28515625" style="382" customWidth="1"/>
    <col min="3603" max="3605" width="24.7109375" style="382" customWidth="1"/>
    <col min="3606" max="3608" width="9.28515625" style="382" customWidth="1"/>
    <col min="3609" max="3612" width="24.7109375" style="382" customWidth="1"/>
    <col min="3613" max="3614" width="8.7109375" style="382"/>
    <col min="3615" max="3615" width="10.140625" style="382" customWidth="1"/>
    <col min="3616" max="3616" width="25.7109375" style="382" customWidth="1"/>
    <col min="3617" max="3621" width="15.7109375" style="382" customWidth="1"/>
    <col min="3622" max="3624" width="9.140625" style="382" customWidth="1"/>
    <col min="3625" max="3625" width="25.7109375" style="382" customWidth="1"/>
    <col min="3626" max="3630" width="15.7109375" style="382" customWidth="1"/>
    <col min="3631" max="3633" width="9.140625" style="382" customWidth="1"/>
    <col min="3634" max="3634" width="18.7109375" style="382" customWidth="1"/>
    <col min="3635" max="3649" width="8.7109375" style="382"/>
    <col min="3650" max="3650" width="66" style="382" customWidth="1"/>
    <col min="3651" max="3653" width="14.7109375" style="382" customWidth="1"/>
    <col min="3654" max="3656" width="8.7109375" style="382"/>
    <col min="3657" max="3657" width="58.85546875" style="382" customWidth="1"/>
    <col min="3658" max="3658" width="15.140625" style="382" customWidth="1"/>
    <col min="3659" max="3659" width="20.7109375" style="382" customWidth="1"/>
    <col min="3660" max="3661" width="15.28515625" style="382" customWidth="1"/>
    <col min="3662" max="3662" width="17.28515625" style="382" customWidth="1"/>
    <col min="3663" max="3663" width="8.7109375" style="382"/>
    <col min="3664" max="3664" width="62" style="382" customWidth="1"/>
    <col min="3665" max="3668" width="13.7109375" style="382" customWidth="1"/>
    <col min="3669" max="3840" width="8.7109375" style="382"/>
    <col min="3841" max="3842" width="15.7109375" style="382" customWidth="1"/>
    <col min="3843" max="3846" width="14.7109375" style="382" customWidth="1"/>
    <col min="3847" max="3849" width="8.7109375" style="382"/>
    <col min="3850" max="3850" width="26" style="382" customWidth="1"/>
    <col min="3851" max="3855" width="17.7109375" style="382" customWidth="1"/>
    <col min="3856" max="3858" width="9.28515625" style="382" customWidth="1"/>
    <col min="3859" max="3861" width="24.7109375" style="382" customWidth="1"/>
    <col min="3862" max="3864" width="9.28515625" style="382" customWidth="1"/>
    <col min="3865" max="3868" width="24.7109375" style="382" customWidth="1"/>
    <col min="3869" max="3870" width="8.7109375" style="382"/>
    <col min="3871" max="3871" width="10.140625" style="382" customWidth="1"/>
    <col min="3872" max="3872" width="25.7109375" style="382" customWidth="1"/>
    <col min="3873" max="3877" width="15.7109375" style="382" customWidth="1"/>
    <col min="3878" max="3880" width="9.140625" style="382" customWidth="1"/>
    <col min="3881" max="3881" width="25.7109375" style="382" customWidth="1"/>
    <col min="3882" max="3886" width="15.7109375" style="382" customWidth="1"/>
    <col min="3887" max="3889" width="9.140625" style="382" customWidth="1"/>
    <col min="3890" max="3890" width="18.7109375" style="382" customWidth="1"/>
    <col min="3891" max="3905" width="8.7109375" style="382"/>
    <col min="3906" max="3906" width="66" style="382" customWidth="1"/>
    <col min="3907" max="3909" width="14.7109375" style="382" customWidth="1"/>
    <col min="3910" max="3912" width="8.7109375" style="382"/>
    <col min="3913" max="3913" width="58.85546875" style="382" customWidth="1"/>
    <col min="3914" max="3914" width="15.140625" style="382" customWidth="1"/>
    <col min="3915" max="3915" width="20.7109375" style="382" customWidth="1"/>
    <col min="3916" max="3917" width="15.28515625" style="382" customWidth="1"/>
    <col min="3918" max="3918" width="17.28515625" style="382" customWidth="1"/>
    <col min="3919" max="3919" width="8.7109375" style="382"/>
    <col min="3920" max="3920" width="62" style="382" customWidth="1"/>
    <col min="3921" max="3924" width="13.7109375" style="382" customWidth="1"/>
    <col min="3925" max="4096" width="8.7109375" style="382"/>
    <col min="4097" max="4098" width="15.7109375" style="382" customWidth="1"/>
    <col min="4099" max="4102" width="14.7109375" style="382" customWidth="1"/>
    <col min="4103" max="4105" width="8.7109375" style="382"/>
    <col min="4106" max="4106" width="26" style="382" customWidth="1"/>
    <col min="4107" max="4111" width="17.7109375" style="382" customWidth="1"/>
    <col min="4112" max="4114" width="9.28515625" style="382" customWidth="1"/>
    <col min="4115" max="4117" width="24.7109375" style="382" customWidth="1"/>
    <col min="4118" max="4120" width="9.28515625" style="382" customWidth="1"/>
    <col min="4121" max="4124" width="24.7109375" style="382" customWidth="1"/>
    <col min="4125" max="4126" width="8.7109375" style="382"/>
    <col min="4127" max="4127" width="10.140625" style="382" customWidth="1"/>
    <col min="4128" max="4128" width="25.7109375" style="382" customWidth="1"/>
    <col min="4129" max="4133" width="15.7109375" style="382" customWidth="1"/>
    <col min="4134" max="4136" width="9.140625" style="382" customWidth="1"/>
    <col min="4137" max="4137" width="25.7109375" style="382" customWidth="1"/>
    <col min="4138" max="4142" width="15.7109375" style="382" customWidth="1"/>
    <col min="4143" max="4145" width="9.140625" style="382" customWidth="1"/>
    <col min="4146" max="4146" width="18.7109375" style="382" customWidth="1"/>
    <col min="4147" max="4161" width="8.7109375" style="382"/>
    <col min="4162" max="4162" width="66" style="382" customWidth="1"/>
    <col min="4163" max="4165" width="14.7109375" style="382" customWidth="1"/>
    <col min="4166" max="4168" width="8.7109375" style="382"/>
    <col min="4169" max="4169" width="58.85546875" style="382" customWidth="1"/>
    <col min="4170" max="4170" width="15.140625" style="382" customWidth="1"/>
    <col min="4171" max="4171" width="20.7109375" style="382" customWidth="1"/>
    <col min="4172" max="4173" width="15.28515625" style="382" customWidth="1"/>
    <col min="4174" max="4174" width="17.28515625" style="382" customWidth="1"/>
    <col min="4175" max="4175" width="8.7109375" style="382"/>
    <col min="4176" max="4176" width="62" style="382" customWidth="1"/>
    <col min="4177" max="4180" width="13.7109375" style="382" customWidth="1"/>
    <col min="4181" max="4352" width="8.7109375" style="382"/>
    <col min="4353" max="4354" width="15.7109375" style="382" customWidth="1"/>
    <col min="4355" max="4358" width="14.7109375" style="382" customWidth="1"/>
    <col min="4359" max="4361" width="8.7109375" style="382"/>
    <col min="4362" max="4362" width="26" style="382" customWidth="1"/>
    <col min="4363" max="4367" width="17.7109375" style="382" customWidth="1"/>
    <col min="4368" max="4370" width="9.28515625" style="382" customWidth="1"/>
    <col min="4371" max="4373" width="24.7109375" style="382" customWidth="1"/>
    <col min="4374" max="4376" width="9.28515625" style="382" customWidth="1"/>
    <col min="4377" max="4380" width="24.7109375" style="382" customWidth="1"/>
    <col min="4381" max="4382" width="8.7109375" style="382"/>
    <col min="4383" max="4383" width="10.140625" style="382" customWidth="1"/>
    <col min="4384" max="4384" width="25.7109375" style="382" customWidth="1"/>
    <col min="4385" max="4389" width="15.7109375" style="382" customWidth="1"/>
    <col min="4390" max="4392" width="9.140625" style="382" customWidth="1"/>
    <col min="4393" max="4393" width="25.7109375" style="382" customWidth="1"/>
    <col min="4394" max="4398" width="15.7109375" style="382" customWidth="1"/>
    <col min="4399" max="4401" width="9.140625" style="382" customWidth="1"/>
    <col min="4402" max="4402" width="18.7109375" style="382" customWidth="1"/>
    <col min="4403" max="4417" width="8.7109375" style="382"/>
    <col min="4418" max="4418" width="66" style="382" customWidth="1"/>
    <col min="4419" max="4421" width="14.7109375" style="382" customWidth="1"/>
    <col min="4422" max="4424" width="8.7109375" style="382"/>
    <col min="4425" max="4425" width="58.85546875" style="382" customWidth="1"/>
    <col min="4426" max="4426" width="15.140625" style="382" customWidth="1"/>
    <col min="4427" max="4427" width="20.7109375" style="382" customWidth="1"/>
    <col min="4428" max="4429" width="15.28515625" style="382" customWidth="1"/>
    <col min="4430" max="4430" width="17.28515625" style="382" customWidth="1"/>
    <col min="4431" max="4431" width="8.7109375" style="382"/>
    <col min="4432" max="4432" width="62" style="382" customWidth="1"/>
    <col min="4433" max="4436" width="13.7109375" style="382" customWidth="1"/>
    <col min="4437" max="4608" width="8.7109375" style="382"/>
    <col min="4609" max="4610" width="15.7109375" style="382" customWidth="1"/>
    <col min="4611" max="4614" width="14.7109375" style="382" customWidth="1"/>
    <col min="4615" max="4617" width="8.7109375" style="382"/>
    <col min="4618" max="4618" width="26" style="382" customWidth="1"/>
    <col min="4619" max="4623" width="17.7109375" style="382" customWidth="1"/>
    <col min="4624" max="4626" width="9.28515625" style="382" customWidth="1"/>
    <col min="4627" max="4629" width="24.7109375" style="382" customWidth="1"/>
    <col min="4630" max="4632" width="9.28515625" style="382" customWidth="1"/>
    <col min="4633" max="4636" width="24.7109375" style="382" customWidth="1"/>
    <col min="4637" max="4638" width="8.7109375" style="382"/>
    <col min="4639" max="4639" width="10.140625" style="382" customWidth="1"/>
    <col min="4640" max="4640" width="25.7109375" style="382" customWidth="1"/>
    <col min="4641" max="4645" width="15.7109375" style="382" customWidth="1"/>
    <col min="4646" max="4648" width="9.140625" style="382" customWidth="1"/>
    <col min="4649" max="4649" width="25.7109375" style="382" customWidth="1"/>
    <col min="4650" max="4654" width="15.7109375" style="382" customWidth="1"/>
    <col min="4655" max="4657" width="9.140625" style="382" customWidth="1"/>
    <col min="4658" max="4658" width="18.7109375" style="382" customWidth="1"/>
    <col min="4659" max="4673" width="8.7109375" style="382"/>
    <col min="4674" max="4674" width="66" style="382" customWidth="1"/>
    <col min="4675" max="4677" width="14.7109375" style="382" customWidth="1"/>
    <col min="4678" max="4680" width="8.7109375" style="382"/>
    <col min="4681" max="4681" width="58.85546875" style="382" customWidth="1"/>
    <col min="4682" max="4682" width="15.140625" style="382" customWidth="1"/>
    <col min="4683" max="4683" width="20.7109375" style="382" customWidth="1"/>
    <col min="4684" max="4685" width="15.28515625" style="382" customWidth="1"/>
    <col min="4686" max="4686" width="17.28515625" style="382" customWidth="1"/>
    <col min="4687" max="4687" width="8.7109375" style="382"/>
    <col min="4688" max="4688" width="62" style="382" customWidth="1"/>
    <col min="4689" max="4692" width="13.7109375" style="382" customWidth="1"/>
    <col min="4693" max="4864" width="8.7109375" style="382"/>
    <col min="4865" max="4866" width="15.7109375" style="382" customWidth="1"/>
    <col min="4867" max="4870" width="14.7109375" style="382" customWidth="1"/>
    <col min="4871" max="4873" width="8.7109375" style="382"/>
    <col min="4874" max="4874" width="26" style="382" customWidth="1"/>
    <col min="4875" max="4879" width="17.7109375" style="382" customWidth="1"/>
    <col min="4880" max="4882" width="9.28515625" style="382" customWidth="1"/>
    <col min="4883" max="4885" width="24.7109375" style="382" customWidth="1"/>
    <col min="4886" max="4888" width="9.28515625" style="382" customWidth="1"/>
    <col min="4889" max="4892" width="24.7109375" style="382" customWidth="1"/>
    <col min="4893" max="4894" width="8.7109375" style="382"/>
    <col min="4895" max="4895" width="10.140625" style="382" customWidth="1"/>
    <col min="4896" max="4896" width="25.7109375" style="382" customWidth="1"/>
    <col min="4897" max="4901" width="15.7109375" style="382" customWidth="1"/>
    <col min="4902" max="4904" width="9.140625" style="382" customWidth="1"/>
    <col min="4905" max="4905" width="25.7109375" style="382" customWidth="1"/>
    <col min="4906" max="4910" width="15.7109375" style="382" customWidth="1"/>
    <col min="4911" max="4913" width="9.140625" style="382" customWidth="1"/>
    <col min="4914" max="4914" width="18.7109375" style="382" customWidth="1"/>
    <col min="4915" max="4929" width="8.7109375" style="382"/>
    <col min="4930" max="4930" width="66" style="382" customWidth="1"/>
    <col min="4931" max="4933" width="14.7109375" style="382" customWidth="1"/>
    <col min="4934" max="4936" width="8.7109375" style="382"/>
    <col min="4937" max="4937" width="58.85546875" style="382" customWidth="1"/>
    <col min="4938" max="4938" width="15.140625" style="382" customWidth="1"/>
    <col min="4939" max="4939" width="20.7109375" style="382" customWidth="1"/>
    <col min="4940" max="4941" width="15.28515625" style="382" customWidth="1"/>
    <col min="4942" max="4942" width="17.28515625" style="382" customWidth="1"/>
    <col min="4943" max="4943" width="8.7109375" style="382"/>
    <col min="4944" max="4944" width="62" style="382" customWidth="1"/>
    <col min="4945" max="4948" width="13.7109375" style="382" customWidth="1"/>
    <col min="4949" max="5120" width="8.7109375" style="382"/>
    <col min="5121" max="5122" width="15.7109375" style="382" customWidth="1"/>
    <col min="5123" max="5126" width="14.7109375" style="382" customWidth="1"/>
    <col min="5127" max="5129" width="8.7109375" style="382"/>
    <col min="5130" max="5130" width="26" style="382" customWidth="1"/>
    <col min="5131" max="5135" width="17.7109375" style="382" customWidth="1"/>
    <col min="5136" max="5138" width="9.28515625" style="382" customWidth="1"/>
    <col min="5139" max="5141" width="24.7109375" style="382" customWidth="1"/>
    <col min="5142" max="5144" width="9.28515625" style="382" customWidth="1"/>
    <col min="5145" max="5148" width="24.7109375" style="382" customWidth="1"/>
    <col min="5149" max="5150" width="8.7109375" style="382"/>
    <col min="5151" max="5151" width="10.140625" style="382" customWidth="1"/>
    <col min="5152" max="5152" width="25.7109375" style="382" customWidth="1"/>
    <col min="5153" max="5157" width="15.7109375" style="382" customWidth="1"/>
    <col min="5158" max="5160" width="9.140625" style="382" customWidth="1"/>
    <col min="5161" max="5161" width="25.7109375" style="382" customWidth="1"/>
    <col min="5162" max="5166" width="15.7109375" style="382" customWidth="1"/>
    <col min="5167" max="5169" width="9.140625" style="382" customWidth="1"/>
    <col min="5170" max="5170" width="18.7109375" style="382" customWidth="1"/>
    <col min="5171" max="5185" width="8.7109375" style="382"/>
    <col min="5186" max="5186" width="66" style="382" customWidth="1"/>
    <col min="5187" max="5189" width="14.7109375" style="382" customWidth="1"/>
    <col min="5190" max="5192" width="8.7109375" style="382"/>
    <col min="5193" max="5193" width="58.85546875" style="382" customWidth="1"/>
    <col min="5194" max="5194" width="15.140625" style="382" customWidth="1"/>
    <col min="5195" max="5195" width="20.7109375" style="382" customWidth="1"/>
    <col min="5196" max="5197" width="15.28515625" style="382" customWidth="1"/>
    <col min="5198" max="5198" width="17.28515625" style="382" customWidth="1"/>
    <col min="5199" max="5199" width="8.7109375" style="382"/>
    <col min="5200" max="5200" width="62" style="382" customWidth="1"/>
    <col min="5201" max="5204" width="13.7109375" style="382" customWidth="1"/>
    <col min="5205" max="5376" width="8.7109375" style="382"/>
    <col min="5377" max="5378" width="15.7109375" style="382" customWidth="1"/>
    <col min="5379" max="5382" width="14.7109375" style="382" customWidth="1"/>
    <col min="5383" max="5385" width="8.7109375" style="382"/>
    <col min="5386" max="5386" width="26" style="382" customWidth="1"/>
    <col min="5387" max="5391" width="17.7109375" style="382" customWidth="1"/>
    <col min="5392" max="5394" width="9.28515625" style="382" customWidth="1"/>
    <col min="5395" max="5397" width="24.7109375" style="382" customWidth="1"/>
    <col min="5398" max="5400" width="9.28515625" style="382" customWidth="1"/>
    <col min="5401" max="5404" width="24.7109375" style="382" customWidth="1"/>
    <col min="5405" max="5406" width="8.7109375" style="382"/>
    <col min="5407" max="5407" width="10.140625" style="382" customWidth="1"/>
    <col min="5408" max="5408" width="25.7109375" style="382" customWidth="1"/>
    <col min="5409" max="5413" width="15.7109375" style="382" customWidth="1"/>
    <col min="5414" max="5416" width="9.140625" style="382" customWidth="1"/>
    <col min="5417" max="5417" width="25.7109375" style="382" customWidth="1"/>
    <col min="5418" max="5422" width="15.7109375" style="382" customWidth="1"/>
    <col min="5423" max="5425" width="9.140625" style="382" customWidth="1"/>
    <col min="5426" max="5426" width="18.7109375" style="382" customWidth="1"/>
    <col min="5427" max="5441" width="8.7109375" style="382"/>
    <col min="5442" max="5442" width="66" style="382" customWidth="1"/>
    <col min="5443" max="5445" width="14.7109375" style="382" customWidth="1"/>
    <col min="5446" max="5448" width="8.7109375" style="382"/>
    <col min="5449" max="5449" width="58.85546875" style="382" customWidth="1"/>
    <col min="5450" max="5450" width="15.140625" style="382" customWidth="1"/>
    <col min="5451" max="5451" width="20.7109375" style="382" customWidth="1"/>
    <col min="5452" max="5453" width="15.28515625" style="382" customWidth="1"/>
    <col min="5454" max="5454" width="17.28515625" style="382" customWidth="1"/>
    <col min="5455" max="5455" width="8.7109375" style="382"/>
    <col min="5456" max="5456" width="62" style="382" customWidth="1"/>
    <col min="5457" max="5460" width="13.7109375" style="382" customWidth="1"/>
    <col min="5461" max="5632" width="8.7109375" style="382"/>
    <col min="5633" max="5634" width="15.7109375" style="382" customWidth="1"/>
    <col min="5635" max="5638" width="14.7109375" style="382" customWidth="1"/>
    <col min="5639" max="5641" width="8.7109375" style="382"/>
    <col min="5642" max="5642" width="26" style="382" customWidth="1"/>
    <col min="5643" max="5647" width="17.7109375" style="382" customWidth="1"/>
    <col min="5648" max="5650" width="9.28515625" style="382" customWidth="1"/>
    <col min="5651" max="5653" width="24.7109375" style="382" customWidth="1"/>
    <col min="5654" max="5656" width="9.28515625" style="382" customWidth="1"/>
    <col min="5657" max="5660" width="24.7109375" style="382" customWidth="1"/>
    <col min="5661" max="5662" width="8.7109375" style="382"/>
    <col min="5663" max="5663" width="10.140625" style="382" customWidth="1"/>
    <col min="5664" max="5664" width="25.7109375" style="382" customWidth="1"/>
    <col min="5665" max="5669" width="15.7109375" style="382" customWidth="1"/>
    <col min="5670" max="5672" width="9.140625" style="382" customWidth="1"/>
    <col min="5673" max="5673" width="25.7109375" style="382" customWidth="1"/>
    <col min="5674" max="5678" width="15.7109375" style="382" customWidth="1"/>
    <col min="5679" max="5681" width="9.140625" style="382" customWidth="1"/>
    <col min="5682" max="5682" width="18.7109375" style="382" customWidth="1"/>
    <col min="5683" max="5697" width="8.7109375" style="382"/>
    <col min="5698" max="5698" width="66" style="382" customWidth="1"/>
    <col min="5699" max="5701" width="14.7109375" style="382" customWidth="1"/>
    <col min="5702" max="5704" width="8.7109375" style="382"/>
    <col min="5705" max="5705" width="58.85546875" style="382" customWidth="1"/>
    <col min="5706" max="5706" width="15.140625" style="382" customWidth="1"/>
    <col min="5707" max="5707" width="20.7109375" style="382" customWidth="1"/>
    <col min="5708" max="5709" width="15.28515625" style="382" customWidth="1"/>
    <col min="5710" max="5710" width="17.28515625" style="382" customWidth="1"/>
    <col min="5711" max="5711" width="8.7109375" style="382"/>
    <col min="5712" max="5712" width="62" style="382" customWidth="1"/>
    <col min="5713" max="5716" width="13.7109375" style="382" customWidth="1"/>
    <col min="5717" max="5888" width="8.7109375" style="382"/>
    <col min="5889" max="5890" width="15.7109375" style="382" customWidth="1"/>
    <col min="5891" max="5894" width="14.7109375" style="382" customWidth="1"/>
    <col min="5895" max="5897" width="8.7109375" style="382"/>
    <col min="5898" max="5898" width="26" style="382" customWidth="1"/>
    <col min="5899" max="5903" width="17.7109375" style="382" customWidth="1"/>
    <col min="5904" max="5906" width="9.28515625" style="382" customWidth="1"/>
    <col min="5907" max="5909" width="24.7109375" style="382" customWidth="1"/>
    <col min="5910" max="5912" width="9.28515625" style="382" customWidth="1"/>
    <col min="5913" max="5916" width="24.7109375" style="382" customWidth="1"/>
    <col min="5917" max="5918" width="8.7109375" style="382"/>
    <col min="5919" max="5919" width="10.140625" style="382" customWidth="1"/>
    <col min="5920" max="5920" width="25.7109375" style="382" customWidth="1"/>
    <col min="5921" max="5925" width="15.7109375" style="382" customWidth="1"/>
    <col min="5926" max="5928" width="9.140625" style="382" customWidth="1"/>
    <col min="5929" max="5929" width="25.7109375" style="382" customWidth="1"/>
    <col min="5930" max="5934" width="15.7109375" style="382" customWidth="1"/>
    <col min="5935" max="5937" width="9.140625" style="382" customWidth="1"/>
    <col min="5938" max="5938" width="18.7109375" style="382" customWidth="1"/>
    <col min="5939" max="5953" width="8.7109375" style="382"/>
    <col min="5954" max="5954" width="66" style="382" customWidth="1"/>
    <col min="5955" max="5957" width="14.7109375" style="382" customWidth="1"/>
    <col min="5958" max="5960" width="8.7109375" style="382"/>
    <col min="5961" max="5961" width="58.85546875" style="382" customWidth="1"/>
    <col min="5962" max="5962" width="15.140625" style="382" customWidth="1"/>
    <col min="5963" max="5963" width="20.7109375" style="382" customWidth="1"/>
    <col min="5964" max="5965" width="15.28515625" style="382" customWidth="1"/>
    <col min="5966" max="5966" width="17.28515625" style="382" customWidth="1"/>
    <col min="5967" max="5967" width="8.7109375" style="382"/>
    <col min="5968" max="5968" width="62" style="382" customWidth="1"/>
    <col min="5969" max="5972" width="13.7109375" style="382" customWidth="1"/>
    <col min="5973" max="6144" width="8.7109375" style="382"/>
    <col min="6145" max="6146" width="15.7109375" style="382" customWidth="1"/>
    <col min="6147" max="6150" width="14.7109375" style="382" customWidth="1"/>
    <col min="6151" max="6153" width="8.7109375" style="382"/>
    <col min="6154" max="6154" width="26" style="382" customWidth="1"/>
    <col min="6155" max="6159" width="17.7109375" style="382" customWidth="1"/>
    <col min="6160" max="6162" width="9.28515625" style="382" customWidth="1"/>
    <col min="6163" max="6165" width="24.7109375" style="382" customWidth="1"/>
    <col min="6166" max="6168" width="9.28515625" style="382" customWidth="1"/>
    <col min="6169" max="6172" width="24.7109375" style="382" customWidth="1"/>
    <col min="6173" max="6174" width="8.7109375" style="382"/>
    <col min="6175" max="6175" width="10.140625" style="382" customWidth="1"/>
    <col min="6176" max="6176" width="25.7109375" style="382" customWidth="1"/>
    <col min="6177" max="6181" width="15.7109375" style="382" customWidth="1"/>
    <col min="6182" max="6184" width="9.140625" style="382" customWidth="1"/>
    <col min="6185" max="6185" width="25.7109375" style="382" customWidth="1"/>
    <col min="6186" max="6190" width="15.7109375" style="382" customWidth="1"/>
    <col min="6191" max="6193" width="9.140625" style="382" customWidth="1"/>
    <col min="6194" max="6194" width="18.7109375" style="382" customWidth="1"/>
    <col min="6195" max="6209" width="8.7109375" style="382"/>
    <col min="6210" max="6210" width="66" style="382" customWidth="1"/>
    <col min="6211" max="6213" width="14.7109375" style="382" customWidth="1"/>
    <col min="6214" max="6216" width="8.7109375" style="382"/>
    <col min="6217" max="6217" width="58.85546875" style="382" customWidth="1"/>
    <col min="6218" max="6218" width="15.140625" style="382" customWidth="1"/>
    <col min="6219" max="6219" width="20.7109375" style="382" customWidth="1"/>
    <col min="6220" max="6221" width="15.28515625" style="382" customWidth="1"/>
    <col min="6222" max="6222" width="17.28515625" style="382" customWidth="1"/>
    <col min="6223" max="6223" width="8.7109375" style="382"/>
    <col min="6224" max="6224" width="62" style="382" customWidth="1"/>
    <col min="6225" max="6228" width="13.7109375" style="382" customWidth="1"/>
    <col min="6229" max="6400" width="8.7109375" style="382"/>
    <col min="6401" max="6402" width="15.7109375" style="382" customWidth="1"/>
    <col min="6403" max="6406" width="14.7109375" style="382" customWidth="1"/>
    <col min="6407" max="6409" width="8.7109375" style="382"/>
    <col min="6410" max="6410" width="26" style="382" customWidth="1"/>
    <col min="6411" max="6415" width="17.7109375" style="382" customWidth="1"/>
    <col min="6416" max="6418" width="9.28515625" style="382" customWidth="1"/>
    <col min="6419" max="6421" width="24.7109375" style="382" customWidth="1"/>
    <col min="6422" max="6424" width="9.28515625" style="382" customWidth="1"/>
    <col min="6425" max="6428" width="24.7109375" style="382" customWidth="1"/>
    <col min="6429" max="6430" width="8.7109375" style="382"/>
    <col min="6431" max="6431" width="10.140625" style="382" customWidth="1"/>
    <col min="6432" max="6432" width="25.7109375" style="382" customWidth="1"/>
    <col min="6433" max="6437" width="15.7109375" style="382" customWidth="1"/>
    <col min="6438" max="6440" width="9.140625" style="382" customWidth="1"/>
    <col min="6441" max="6441" width="25.7109375" style="382" customWidth="1"/>
    <col min="6442" max="6446" width="15.7109375" style="382" customWidth="1"/>
    <col min="6447" max="6449" width="9.140625" style="382" customWidth="1"/>
    <col min="6450" max="6450" width="18.7109375" style="382" customWidth="1"/>
    <col min="6451" max="6465" width="8.7109375" style="382"/>
    <col min="6466" max="6466" width="66" style="382" customWidth="1"/>
    <col min="6467" max="6469" width="14.7109375" style="382" customWidth="1"/>
    <col min="6470" max="6472" width="8.7109375" style="382"/>
    <col min="6473" max="6473" width="58.85546875" style="382" customWidth="1"/>
    <col min="6474" max="6474" width="15.140625" style="382" customWidth="1"/>
    <col min="6475" max="6475" width="20.7109375" style="382" customWidth="1"/>
    <col min="6476" max="6477" width="15.28515625" style="382" customWidth="1"/>
    <col min="6478" max="6478" width="17.28515625" style="382" customWidth="1"/>
    <col min="6479" max="6479" width="8.7109375" style="382"/>
    <col min="6480" max="6480" width="62" style="382" customWidth="1"/>
    <col min="6481" max="6484" width="13.7109375" style="382" customWidth="1"/>
    <col min="6485" max="6656" width="8.7109375" style="382"/>
    <col min="6657" max="6658" width="15.7109375" style="382" customWidth="1"/>
    <col min="6659" max="6662" width="14.7109375" style="382" customWidth="1"/>
    <col min="6663" max="6665" width="8.7109375" style="382"/>
    <col min="6666" max="6666" width="26" style="382" customWidth="1"/>
    <col min="6667" max="6671" width="17.7109375" style="382" customWidth="1"/>
    <col min="6672" max="6674" width="9.28515625" style="382" customWidth="1"/>
    <col min="6675" max="6677" width="24.7109375" style="382" customWidth="1"/>
    <col min="6678" max="6680" width="9.28515625" style="382" customWidth="1"/>
    <col min="6681" max="6684" width="24.7109375" style="382" customWidth="1"/>
    <col min="6685" max="6686" width="8.7109375" style="382"/>
    <col min="6687" max="6687" width="10.140625" style="382" customWidth="1"/>
    <col min="6688" max="6688" width="25.7109375" style="382" customWidth="1"/>
    <col min="6689" max="6693" width="15.7109375" style="382" customWidth="1"/>
    <col min="6694" max="6696" width="9.140625" style="382" customWidth="1"/>
    <col min="6697" max="6697" width="25.7109375" style="382" customWidth="1"/>
    <col min="6698" max="6702" width="15.7109375" style="382" customWidth="1"/>
    <col min="6703" max="6705" width="9.140625" style="382" customWidth="1"/>
    <col min="6706" max="6706" width="18.7109375" style="382" customWidth="1"/>
    <col min="6707" max="6721" width="8.7109375" style="382"/>
    <col min="6722" max="6722" width="66" style="382" customWidth="1"/>
    <col min="6723" max="6725" width="14.7109375" style="382" customWidth="1"/>
    <col min="6726" max="6728" width="8.7109375" style="382"/>
    <col min="6729" max="6729" width="58.85546875" style="382" customWidth="1"/>
    <col min="6730" max="6730" width="15.140625" style="382" customWidth="1"/>
    <col min="6731" max="6731" width="20.7109375" style="382" customWidth="1"/>
    <col min="6732" max="6733" width="15.28515625" style="382" customWidth="1"/>
    <col min="6734" max="6734" width="17.28515625" style="382" customWidth="1"/>
    <col min="6735" max="6735" width="8.7109375" style="382"/>
    <col min="6736" max="6736" width="62" style="382" customWidth="1"/>
    <col min="6737" max="6740" width="13.7109375" style="382" customWidth="1"/>
    <col min="6741" max="6912" width="8.7109375" style="382"/>
    <col min="6913" max="6914" width="15.7109375" style="382" customWidth="1"/>
    <col min="6915" max="6918" width="14.7109375" style="382" customWidth="1"/>
    <col min="6919" max="6921" width="8.7109375" style="382"/>
    <col min="6922" max="6922" width="26" style="382" customWidth="1"/>
    <col min="6923" max="6927" width="17.7109375" style="382" customWidth="1"/>
    <col min="6928" max="6930" width="9.28515625" style="382" customWidth="1"/>
    <col min="6931" max="6933" width="24.7109375" style="382" customWidth="1"/>
    <col min="6934" max="6936" width="9.28515625" style="382" customWidth="1"/>
    <col min="6937" max="6940" width="24.7109375" style="382" customWidth="1"/>
    <col min="6941" max="6942" width="8.7109375" style="382"/>
    <col min="6943" max="6943" width="10.140625" style="382" customWidth="1"/>
    <col min="6944" max="6944" width="25.7109375" style="382" customWidth="1"/>
    <col min="6945" max="6949" width="15.7109375" style="382" customWidth="1"/>
    <col min="6950" max="6952" width="9.140625" style="382" customWidth="1"/>
    <col min="6953" max="6953" width="25.7109375" style="382" customWidth="1"/>
    <col min="6954" max="6958" width="15.7109375" style="382" customWidth="1"/>
    <col min="6959" max="6961" width="9.140625" style="382" customWidth="1"/>
    <col min="6962" max="6962" width="18.7109375" style="382" customWidth="1"/>
    <col min="6963" max="6977" width="8.7109375" style="382"/>
    <col min="6978" max="6978" width="66" style="382" customWidth="1"/>
    <col min="6979" max="6981" width="14.7109375" style="382" customWidth="1"/>
    <col min="6982" max="6984" width="8.7109375" style="382"/>
    <col min="6985" max="6985" width="58.85546875" style="382" customWidth="1"/>
    <col min="6986" max="6986" width="15.140625" style="382" customWidth="1"/>
    <col min="6987" max="6987" width="20.7109375" style="382" customWidth="1"/>
    <col min="6988" max="6989" width="15.28515625" style="382" customWidth="1"/>
    <col min="6990" max="6990" width="17.28515625" style="382" customWidth="1"/>
    <col min="6991" max="6991" width="8.7109375" style="382"/>
    <col min="6992" max="6992" width="62" style="382" customWidth="1"/>
    <col min="6993" max="6996" width="13.7109375" style="382" customWidth="1"/>
    <col min="6997" max="7168" width="8.7109375" style="382"/>
    <col min="7169" max="7170" width="15.7109375" style="382" customWidth="1"/>
    <col min="7171" max="7174" width="14.7109375" style="382" customWidth="1"/>
    <col min="7175" max="7177" width="8.7109375" style="382"/>
    <col min="7178" max="7178" width="26" style="382" customWidth="1"/>
    <col min="7179" max="7183" width="17.7109375" style="382" customWidth="1"/>
    <col min="7184" max="7186" width="9.28515625" style="382" customWidth="1"/>
    <col min="7187" max="7189" width="24.7109375" style="382" customWidth="1"/>
    <col min="7190" max="7192" width="9.28515625" style="382" customWidth="1"/>
    <col min="7193" max="7196" width="24.7109375" style="382" customWidth="1"/>
    <col min="7197" max="7198" width="8.7109375" style="382"/>
    <col min="7199" max="7199" width="10.140625" style="382" customWidth="1"/>
    <col min="7200" max="7200" width="25.7109375" style="382" customWidth="1"/>
    <col min="7201" max="7205" width="15.7109375" style="382" customWidth="1"/>
    <col min="7206" max="7208" width="9.140625" style="382" customWidth="1"/>
    <col min="7209" max="7209" width="25.7109375" style="382" customWidth="1"/>
    <col min="7210" max="7214" width="15.7109375" style="382" customWidth="1"/>
    <col min="7215" max="7217" width="9.140625" style="382" customWidth="1"/>
    <col min="7218" max="7218" width="18.7109375" style="382" customWidth="1"/>
    <col min="7219" max="7233" width="8.7109375" style="382"/>
    <col min="7234" max="7234" width="66" style="382" customWidth="1"/>
    <col min="7235" max="7237" width="14.7109375" style="382" customWidth="1"/>
    <col min="7238" max="7240" width="8.7109375" style="382"/>
    <col min="7241" max="7241" width="58.85546875" style="382" customWidth="1"/>
    <col min="7242" max="7242" width="15.140625" style="382" customWidth="1"/>
    <col min="7243" max="7243" width="20.7109375" style="382" customWidth="1"/>
    <col min="7244" max="7245" width="15.28515625" style="382" customWidth="1"/>
    <col min="7246" max="7246" width="17.28515625" style="382" customWidth="1"/>
    <col min="7247" max="7247" width="8.7109375" style="382"/>
    <col min="7248" max="7248" width="62" style="382" customWidth="1"/>
    <col min="7249" max="7252" width="13.7109375" style="382" customWidth="1"/>
    <col min="7253" max="7424" width="8.7109375" style="382"/>
    <col min="7425" max="7426" width="15.7109375" style="382" customWidth="1"/>
    <col min="7427" max="7430" width="14.7109375" style="382" customWidth="1"/>
    <col min="7431" max="7433" width="8.7109375" style="382"/>
    <col min="7434" max="7434" width="26" style="382" customWidth="1"/>
    <col min="7435" max="7439" width="17.7109375" style="382" customWidth="1"/>
    <col min="7440" max="7442" width="9.28515625" style="382" customWidth="1"/>
    <col min="7443" max="7445" width="24.7109375" style="382" customWidth="1"/>
    <col min="7446" max="7448" width="9.28515625" style="382" customWidth="1"/>
    <col min="7449" max="7452" width="24.7109375" style="382" customWidth="1"/>
    <col min="7453" max="7454" width="8.7109375" style="382"/>
    <col min="7455" max="7455" width="10.140625" style="382" customWidth="1"/>
    <col min="7456" max="7456" width="25.7109375" style="382" customWidth="1"/>
    <col min="7457" max="7461" width="15.7109375" style="382" customWidth="1"/>
    <col min="7462" max="7464" width="9.140625" style="382" customWidth="1"/>
    <col min="7465" max="7465" width="25.7109375" style="382" customWidth="1"/>
    <col min="7466" max="7470" width="15.7109375" style="382" customWidth="1"/>
    <col min="7471" max="7473" width="9.140625" style="382" customWidth="1"/>
    <col min="7474" max="7474" width="18.7109375" style="382" customWidth="1"/>
    <col min="7475" max="7489" width="8.7109375" style="382"/>
    <col min="7490" max="7490" width="66" style="382" customWidth="1"/>
    <col min="7491" max="7493" width="14.7109375" style="382" customWidth="1"/>
    <col min="7494" max="7496" width="8.7109375" style="382"/>
    <col min="7497" max="7497" width="58.85546875" style="382" customWidth="1"/>
    <col min="7498" max="7498" width="15.140625" style="382" customWidth="1"/>
    <col min="7499" max="7499" width="20.7109375" style="382" customWidth="1"/>
    <col min="7500" max="7501" width="15.28515625" style="382" customWidth="1"/>
    <col min="7502" max="7502" width="17.28515625" style="382" customWidth="1"/>
    <col min="7503" max="7503" width="8.7109375" style="382"/>
    <col min="7504" max="7504" width="62" style="382" customWidth="1"/>
    <col min="7505" max="7508" width="13.7109375" style="382" customWidth="1"/>
    <col min="7509" max="7680" width="8.7109375" style="382"/>
    <col min="7681" max="7682" width="15.7109375" style="382" customWidth="1"/>
    <col min="7683" max="7686" width="14.7109375" style="382" customWidth="1"/>
    <col min="7687" max="7689" width="8.7109375" style="382"/>
    <col min="7690" max="7690" width="26" style="382" customWidth="1"/>
    <col min="7691" max="7695" width="17.7109375" style="382" customWidth="1"/>
    <col min="7696" max="7698" width="9.28515625" style="382" customWidth="1"/>
    <col min="7699" max="7701" width="24.7109375" style="382" customWidth="1"/>
    <col min="7702" max="7704" width="9.28515625" style="382" customWidth="1"/>
    <col min="7705" max="7708" width="24.7109375" style="382" customWidth="1"/>
    <col min="7709" max="7710" width="8.7109375" style="382"/>
    <col min="7711" max="7711" width="10.140625" style="382" customWidth="1"/>
    <col min="7712" max="7712" width="25.7109375" style="382" customWidth="1"/>
    <col min="7713" max="7717" width="15.7109375" style="382" customWidth="1"/>
    <col min="7718" max="7720" width="9.140625" style="382" customWidth="1"/>
    <col min="7721" max="7721" width="25.7109375" style="382" customWidth="1"/>
    <col min="7722" max="7726" width="15.7109375" style="382" customWidth="1"/>
    <col min="7727" max="7729" width="9.140625" style="382" customWidth="1"/>
    <col min="7730" max="7730" width="18.7109375" style="382" customWidth="1"/>
    <col min="7731" max="7745" width="8.7109375" style="382"/>
    <col min="7746" max="7746" width="66" style="382" customWidth="1"/>
    <col min="7747" max="7749" width="14.7109375" style="382" customWidth="1"/>
    <col min="7750" max="7752" width="8.7109375" style="382"/>
    <col min="7753" max="7753" width="58.85546875" style="382" customWidth="1"/>
    <col min="7754" max="7754" width="15.140625" style="382" customWidth="1"/>
    <col min="7755" max="7755" width="20.7109375" style="382" customWidth="1"/>
    <col min="7756" max="7757" width="15.28515625" style="382" customWidth="1"/>
    <col min="7758" max="7758" width="17.28515625" style="382" customWidth="1"/>
    <col min="7759" max="7759" width="8.7109375" style="382"/>
    <col min="7760" max="7760" width="62" style="382" customWidth="1"/>
    <col min="7761" max="7764" width="13.7109375" style="382" customWidth="1"/>
    <col min="7765" max="7936" width="8.7109375" style="382"/>
    <col min="7937" max="7938" width="15.7109375" style="382" customWidth="1"/>
    <col min="7939" max="7942" width="14.7109375" style="382" customWidth="1"/>
    <col min="7943" max="7945" width="8.7109375" style="382"/>
    <col min="7946" max="7946" width="26" style="382" customWidth="1"/>
    <col min="7947" max="7951" width="17.7109375" style="382" customWidth="1"/>
    <col min="7952" max="7954" width="9.28515625" style="382" customWidth="1"/>
    <col min="7955" max="7957" width="24.7109375" style="382" customWidth="1"/>
    <col min="7958" max="7960" width="9.28515625" style="382" customWidth="1"/>
    <col min="7961" max="7964" width="24.7109375" style="382" customWidth="1"/>
    <col min="7965" max="7966" width="8.7109375" style="382"/>
    <col min="7967" max="7967" width="10.140625" style="382" customWidth="1"/>
    <col min="7968" max="7968" width="25.7109375" style="382" customWidth="1"/>
    <col min="7969" max="7973" width="15.7109375" style="382" customWidth="1"/>
    <col min="7974" max="7976" width="9.140625" style="382" customWidth="1"/>
    <col min="7977" max="7977" width="25.7109375" style="382" customWidth="1"/>
    <col min="7978" max="7982" width="15.7109375" style="382" customWidth="1"/>
    <col min="7983" max="7985" width="9.140625" style="382" customWidth="1"/>
    <col min="7986" max="7986" width="18.7109375" style="382" customWidth="1"/>
    <col min="7987" max="8001" width="8.7109375" style="382"/>
    <col min="8002" max="8002" width="66" style="382" customWidth="1"/>
    <col min="8003" max="8005" width="14.7109375" style="382" customWidth="1"/>
    <col min="8006" max="8008" width="8.7109375" style="382"/>
    <col min="8009" max="8009" width="58.85546875" style="382" customWidth="1"/>
    <col min="8010" max="8010" width="15.140625" style="382" customWidth="1"/>
    <col min="8011" max="8011" width="20.7109375" style="382" customWidth="1"/>
    <col min="8012" max="8013" width="15.28515625" style="382" customWidth="1"/>
    <col min="8014" max="8014" width="17.28515625" style="382" customWidth="1"/>
    <col min="8015" max="8015" width="8.7109375" style="382"/>
    <col min="8016" max="8016" width="62" style="382" customWidth="1"/>
    <col min="8017" max="8020" width="13.7109375" style="382" customWidth="1"/>
    <col min="8021" max="8192" width="8.7109375" style="382"/>
    <col min="8193" max="8194" width="15.7109375" style="382" customWidth="1"/>
    <col min="8195" max="8198" width="14.7109375" style="382" customWidth="1"/>
    <col min="8199" max="8201" width="8.7109375" style="382"/>
    <col min="8202" max="8202" width="26" style="382" customWidth="1"/>
    <col min="8203" max="8207" width="17.7109375" style="382" customWidth="1"/>
    <col min="8208" max="8210" width="9.28515625" style="382" customWidth="1"/>
    <col min="8211" max="8213" width="24.7109375" style="382" customWidth="1"/>
    <col min="8214" max="8216" width="9.28515625" style="382" customWidth="1"/>
    <col min="8217" max="8220" width="24.7109375" style="382" customWidth="1"/>
    <col min="8221" max="8222" width="8.7109375" style="382"/>
    <col min="8223" max="8223" width="10.140625" style="382" customWidth="1"/>
    <col min="8224" max="8224" width="25.7109375" style="382" customWidth="1"/>
    <col min="8225" max="8229" width="15.7109375" style="382" customWidth="1"/>
    <col min="8230" max="8232" width="9.140625" style="382" customWidth="1"/>
    <col min="8233" max="8233" width="25.7109375" style="382" customWidth="1"/>
    <col min="8234" max="8238" width="15.7109375" style="382" customWidth="1"/>
    <col min="8239" max="8241" width="9.140625" style="382" customWidth="1"/>
    <col min="8242" max="8242" width="18.7109375" style="382" customWidth="1"/>
    <col min="8243" max="8257" width="8.7109375" style="382"/>
    <col min="8258" max="8258" width="66" style="382" customWidth="1"/>
    <col min="8259" max="8261" width="14.7109375" style="382" customWidth="1"/>
    <col min="8262" max="8264" width="8.7109375" style="382"/>
    <col min="8265" max="8265" width="58.85546875" style="382" customWidth="1"/>
    <col min="8266" max="8266" width="15.140625" style="382" customWidth="1"/>
    <col min="8267" max="8267" width="20.7109375" style="382" customWidth="1"/>
    <col min="8268" max="8269" width="15.28515625" style="382" customWidth="1"/>
    <col min="8270" max="8270" width="17.28515625" style="382" customWidth="1"/>
    <col min="8271" max="8271" width="8.7109375" style="382"/>
    <col min="8272" max="8272" width="62" style="382" customWidth="1"/>
    <col min="8273" max="8276" width="13.7109375" style="382" customWidth="1"/>
    <col min="8277" max="8448" width="8.7109375" style="382"/>
    <col min="8449" max="8450" width="15.7109375" style="382" customWidth="1"/>
    <col min="8451" max="8454" width="14.7109375" style="382" customWidth="1"/>
    <col min="8455" max="8457" width="8.7109375" style="382"/>
    <col min="8458" max="8458" width="26" style="382" customWidth="1"/>
    <col min="8459" max="8463" width="17.7109375" style="382" customWidth="1"/>
    <col min="8464" max="8466" width="9.28515625" style="382" customWidth="1"/>
    <col min="8467" max="8469" width="24.7109375" style="382" customWidth="1"/>
    <col min="8470" max="8472" width="9.28515625" style="382" customWidth="1"/>
    <col min="8473" max="8476" width="24.7109375" style="382" customWidth="1"/>
    <col min="8477" max="8478" width="8.7109375" style="382"/>
    <col min="8479" max="8479" width="10.140625" style="382" customWidth="1"/>
    <col min="8480" max="8480" width="25.7109375" style="382" customWidth="1"/>
    <col min="8481" max="8485" width="15.7109375" style="382" customWidth="1"/>
    <col min="8486" max="8488" width="9.140625" style="382" customWidth="1"/>
    <col min="8489" max="8489" width="25.7109375" style="382" customWidth="1"/>
    <col min="8490" max="8494" width="15.7109375" style="382" customWidth="1"/>
    <col min="8495" max="8497" width="9.140625" style="382" customWidth="1"/>
    <col min="8498" max="8498" width="18.7109375" style="382" customWidth="1"/>
    <col min="8499" max="8513" width="8.7109375" style="382"/>
    <col min="8514" max="8514" width="66" style="382" customWidth="1"/>
    <col min="8515" max="8517" width="14.7109375" style="382" customWidth="1"/>
    <col min="8518" max="8520" width="8.7109375" style="382"/>
    <col min="8521" max="8521" width="58.85546875" style="382" customWidth="1"/>
    <col min="8522" max="8522" width="15.140625" style="382" customWidth="1"/>
    <col min="8523" max="8523" width="20.7109375" style="382" customWidth="1"/>
    <col min="8524" max="8525" width="15.28515625" style="382" customWidth="1"/>
    <col min="8526" max="8526" width="17.28515625" style="382" customWidth="1"/>
    <col min="8527" max="8527" width="8.7109375" style="382"/>
    <col min="8528" max="8528" width="62" style="382" customWidth="1"/>
    <col min="8529" max="8532" width="13.7109375" style="382" customWidth="1"/>
    <col min="8533" max="8704" width="8.7109375" style="382"/>
    <col min="8705" max="8706" width="15.7109375" style="382" customWidth="1"/>
    <col min="8707" max="8710" width="14.7109375" style="382" customWidth="1"/>
    <col min="8711" max="8713" width="8.7109375" style="382"/>
    <col min="8714" max="8714" width="26" style="382" customWidth="1"/>
    <col min="8715" max="8719" width="17.7109375" style="382" customWidth="1"/>
    <col min="8720" max="8722" width="9.28515625" style="382" customWidth="1"/>
    <col min="8723" max="8725" width="24.7109375" style="382" customWidth="1"/>
    <col min="8726" max="8728" width="9.28515625" style="382" customWidth="1"/>
    <col min="8729" max="8732" width="24.7109375" style="382" customWidth="1"/>
    <col min="8733" max="8734" width="8.7109375" style="382"/>
    <col min="8735" max="8735" width="10.140625" style="382" customWidth="1"/>
    <col min="8736" max="8736" width="25.7109375" style="382" customWidth="1"/>
    <col min="8737" max="8741" width="15.7109375" style="382" customWidth="1"/>
    <col min="8742" max="8744" width="9.140625" style="382" customWidth="1"/>
    <col min="8745" max="8745" width="25.7109375" style="382" customWidth="1"/>
    <col min="8746" max="8750" width="15.7109375" style="382" customWidth="1"/>
    <col min="8751" max="8753" width="9.140625" style="382" customWidth="1"/>
    <col min="8754" max="8754" width="18.7109375" style="382" customWidth="1"/>
    <col min="8755" max="8769" width="8.7109375" style="382"/>
    <col min="8770" max="8770" width="66" style="382" customWidth="1"/>
    <col min="8771" max="8773" width="14.7109375" style="382" customWidth="1"/>
    <col min="8774" max="8776" width="8.7109375" style="382"/>
    <col min="8777" max="8777" width="58.85546875" style="382" customWidth="1"/>
    <col min="8778" max="8778" width="15.140625" style="382" customWidth="1"/>
    <col min="8779" max="8779" width="20.7109375" style="382" customWidth="1"/>
    <col min="8780" max="8781" width="15.28515625" style="382" customWidth="1"/>
    <col min="8782" max="8782" width="17.28515625" style="382" customWidth="1"/>
    <col min="8783" max="8783" width="8.7109375" style="382"/>
    <col min="8784" max="8784" width="62" style="382" customWidth="1"/>
    <col min="8785" max="8788" width="13.7109375" style="382" customWidth="1"/>
    <col min="8789" max="8960" width="8.7109375" style="382"/>
    <col min="8961" max="8962" width="15.7109375" style="382" customWidth="1"/>
    <col min="8963" max="8966" width="14.7109375" style="382" customWidth="1"/>
    <col min="8967" max="8969" width="8.7109375" style="382"/>
    <col min="8970" max="8970" width="26" style="382" customWidth="1"/>
    <col min="8971" max="8975" width="17.7109375" style="382" customWidth="1"/>
    <col min="8976" max="8978" width="9.28515625" style="382" customWidth="1"/>
    <col min="8979" max="8981" width="24.7109375" style="382" customWidth="1"/>
    <col min="8982" max="8984" width="9.28515625" style="382" customWidth="1"/>
    <col min="8985" max="8988" width="24.7109375" style="382" customWidth="1"/>
    <col min="8989" max="8990" width="8.7109375" style="382"/>
    <col min="8991" max="8991" width="10.140625" style="382" customWidth="1"/>
    <col min="8992" max="8992" width="25.7109375" style="382" customWidth="1"/>
    <col min="8993" max="8997" width="15.7109375" style="382" customWidth="1"/>
    <col min="8998" max="9000" width="9.140625" style="382" customWidth="1"/>
    <col min="9001" max="9001" width="25.7109375" style="382" customWidth="1"/>
    <col min="9002" max="9006" width="15.7109375" style="382" customWidth="1"/>
    <col min="9007" max="9009" width="9.140625" style="382" customWidth="1"/>
    <col min="9010" max="9010" width="18.7109375" style="382" customWidth="1"/>
    <col min="9011" max="9025" width="8.7109375" style="382"/>
    <col min="9026" max="9026" width="66" style="382" customWidth="1"/>
    <col min="9027" max="9029" width="14.7109375" style="382" customWidth="1"/>
    <col min="9030" max="9032" width="8.7109375" style="382"/>
    <col min="9033" max="9033" width="58.85546875" style="382" customWidth="1"/>
    <col min="9034" max="9034" width="15.140625" style="382" customWidth="1"/>
    <col min="9035" max="9035" width="20.7109375" style="382" customWidth="1"/>
    <col min="9036" max="9037" width="15.28515625" style="382" customWidth="1"/>
    <col min="9038" max="9038" width="17.28515625" style="382" customWidth="1"/>
    <col min="9039" max="9039" width="8.7109375" style="382"/>
    <col min="9040" max="9040" width="62" style="382" customWidth="1"/>
    <col min="9041" max="9044" width="13.7109375" style="382" customWidth="1"/>
    <col min="9045" max="9216" width="8.7109375" style="382"/>
    <col min="9217" max="9218" width="15.7109375" style="382" customWidth="1"/>
    <col min="9219" max="9222" width="14.7109375" style="382" customWidth="1"/>
    <col min="9223" max="9225" width="8.7109375" style="382"/>
    <col min="9226" max="9226" width="26" style="382" customWidth="1"/>
    <col min="9227" max="9231" width="17.7109375" style="382" customWidth="1"/>
    <col min="9232" max="9234" width="9.28515625" style="382" customWidth="1"/>
    <col min="9235" max="9237" width="24.7109375" style="382" customWidth="1"/>
    <col min="9238" max="9240" width="9.28515625" style="382" customWidth="1"/>
    <col min="9241" max="9244" width="24.7109375" style="382" customWidth="1"/>
    <col min="9245" max="9246" width="8.7109375" style="382"/>
    <col min="9247" max="9247" width="10.140625" style="382" customWidth="1"/>
    <col min="9248" max="9248" width="25.7109375" style="382" customWidth="1"/>
    <col min="9249" max="9253" width="15.7109375" style="382" customWidth="1"/>
    <col min="9254" max="9256" width="9.140625" style="382" customWidth="1"/>
    <col min="9257" max="9257" width="25.7109375" style="382" customWidth="1"/>
    <col min="9258" max="9262" width="15.7109375" style="382" customWidth="1"/>
    <col min="9263" max="9265" width="9.140625" style="382" customWidth="1"/>
    <col min="9266" max="9266" width="18.7109375" style="382" customWidth="1"/>
    <col min="9267" max="9281" width="8.7109375" style="382"/>
    <col min="9282" max="9282" width="66" style="382" customWidth="1"/>
    <col min="9283" max="9285" width="14.7109375" style="382" customWidth="1"/>
    <col min="9286" max="9288" width="8.7109375" style="382"/>
    <col min="9289" max="9289" width="58.85546875" style="382" customWidth="1"/>
    <col min="9290" max="9290" width="15.140625" style="382" customWidth="1"/>
    <col min="9291" max="9291" width="20.7109375" style="382" customWidth="1"/>
    <col min="9292" max="9293" width="15.28515625" style="382" customWidth="1"/>
    <col min="9294" max="9294" width="17.28515625" style="382" customWidth="1"/>
    <col min="9295" max="9295" width="8.7109375" style="382"/>
    <col min="9296" max="9296" width="62" style="382" customWidth="1"/>
    <col min="9297" max="9300" width="13.7109375" style="382" customWidth="1"/>
    <col min="9301" max="9472" width="8.7109375" style="382"/>
    <col min="9473" max="9474" width="15.7109375" style="382" customWidth="1"/>
    <col min="9475" max="9478" width="14.7109375" style="382" customWidth="1"/>
    <col min="9479" max="9481" width="8.7109375" style="382"/>
    <col min="9482" max="9482" width="26" style="382" customWidth="1"/>
    <col min="9483" max="9487" width="17.7109375" style="382" customWidth="1"/>
    <col min="9488" max="9490" width="9.28515625" style="382" customWidth="1"/>
    <col min="9491" max="9493" width="24.7109375" style="382" customWidth="1"/>
    <col min="9494" max="9496" width="9.28515625" style="382" customWidth="1"/>
    <col min="9497" max="9500" width="24.7109375" style="382" customWidth="1"/>
    <col min="9501" max="9502" width="8.7109375" style="382"/>
    <col min="9503" max="9503" width="10.140625" style="382" customWidth="1"/>
    <col min="9504" max="9504" width="25.7109375" style="382" customWidth="1"/>
    <col min="9505" max="9509" width="15.7109375" style="382" customWidth="1"/>
    <col min="9510" max="9512" width="9.140625" style="382" customWidth="1"/>
    <col min="9513" max="9513" width="25.7109375" style="382" customWidth="1"/>
    <col min="9514" max="9518" width="15.7109375" style="382" customWidth="1"/>
    <col min="9519" max="9521" width="9.140625" style="382" customWidth="1"/>
    <col min="9522" max="9522" width="18.7109375" style="382" customWidth="1"/>
    <col min="9523" max="9537" width="8.7109375" style="382"/>
    <col min="9538" max="9538" width="66" style="382" customWidth="1"/>
    <col min="9539" max="9541" width="14.7109375" style="382" customWidth="1"/>
    <col min="9542" max="9544" width="8.7109375" style="382"/>
    <col min="9545" max="9545" width="58.85546875" style="382" customWidth="1"/>
    <col min="9546" max="9546" width="15.140625" style="382" customWidth="1"/>
    <col min="9547" max="9547" width="20.7109375" style="382" customWidth="1"/>
    <col min="9548" max="9549" width="15.28515625" style="382" customWidth="1"/>
    <col min="9550" max="9550" width="17.28515625" style="382" customWidth="1"/>
    <col min="9551" max="9551" width="8.7109375" style="382"/>
    <col min="9552" max="9552" width="62" style="382" customWidth="1"/>
    <col min="9553" max="9556" width="13.7109375" style="382" customWidth="1"/>
    <col min="9557" max="9728" width="8.7109375" style="382"/>
    <col min="9729" max="9730" width="15.7109375" style="382" customWidth="1"/>
    <col min="9731" max="9734" width="14.7109375" style="382" customWidth="1"/>
    <col min="9735" max="9737" width="8.7109375" style="382"/>
    <col min="9738" max="9738" width="26" style="382" customWidth="1"/>
    <col min="9739" max="9743" width="17.7109375" style="382" customWidth="1"/>
    <col min="9744" max="9746" width="9.28515625" style="382" customWidth="1"/>
    <col min="9747" max="9749" width="24.7109375" style="382" customWidth="1"/>
    <col min="9750" max="9752" width="9.28515625" style="382" customWidth="1"/>
    <col min="9753" max="9756" width="24.7109375" style="382" customWidth="1"/>
    <col min="9757" max="9758" width="8.7109375" style="382"/>
    <col min="9759" max="9759" width="10.140625" style="382" customWidth="1"/>
    <col min="9760" max="9760" width="25.7109375" style="382" customWidth="1"/>
    <col min="9761" max="9765" width="15.7109375" style="382" customWidth="1"/>
    <col min="9766" max="9768" width="9.140625" style="382" customWidth="1"/>
    <col min="9769" max="9769" width="25.7109375" style="382" customWidth="1"/>
    <col min="9770" max="9774" width="15.7109375" style="382" customWidth="1"/>
    <col min="9775" max="9777" width="9.140625" style="382" customWidth="1"/>
    <col min="9778" max="9778" width="18.7109375" style="382" customWidth="1"/>
    <col min="9779" max="9793" width="8.7109375" style="382"/>
    <col min="9794" max="9794" width="66" style="382" customWidth="1"/>
    <col min="9795" max="9797" width="14.7109375" style="382" customWidth="1"/>
    <col min="9798" max="9800" width="8.7109375" style="382"/>
    <col min="9801" max="9801" width="58.85546875" style="382" customWidth="1"/>
    <col min="9802" max="9802" width="15.140625" style="382" customWidth="1"/>
    <col min="9803" max="9803" width="20.7109375" style="382" customWidth="1"/>
    <col min="9804" max="9805" width="15.28515625" style="382" customWidth="1"/>
    <col min="9806" max="9806" width="17.28515625" style="382" customWidth="1"/>
    <col min="9807" max="9807" width="8.7109375" style="382"/>
    <col min="9808" max="9808" width="62" style="382" customWidth="1"/>
    <col min="9809" max="9812" width="13.7109375" style="382" customWidth="1"/>
    <col min="9813" max="9984" width="8.7109375" style="382"/>
    <col min="9985" max="9986" width="15.7109375" style="382" customWidth="1"/>
    <col min="9987" max="9990" width="14.7109375" style="382" customWidth="1"/>
    <col min="9991" max="9993" width="8.7109375" style="382"/>
    <col min="9994" max="9994" width="26" style="382" customWidth="1"/>
    <col min="9995" max="9999" width="17.7109375" style="382" customWidth="1"/>
    <col min="10000" max="10002" width="9.28515625" style="382" customWidth="1"/>
    <col min="10003" max="10005" width="24.7109375" style="382" customWidth="1"/>
    <col min="10006" max="10008" width="9.28515625" style="382" customWidth="1"/>
    <col min="10009" max="10012" width="24.7109375" style="382" customWidth="1"/>
    <col min="10013" max="10014" width="8.7109375" style="382"/>
    <col min="10015" max="10015" width="10.140625" style="382" customWidth="1"/>
    <col min="10016" max="10016" width="25.7109375" style="382" customWidth="1"/>
    <col min="10017" max="10021" width="15.7109375" style="382" customWidth="1"/>
    <col min="10022" max="10024" width="9.140625" style="382" customWidth="1"/>
    <col min="10025" max="10025" width="25.7109375" style="382" customWidth="1"/>
    <col min="10026" max="10030" width="15.7109375" style="382" customWidth="1"/>
    <col min="10031" max="10033" width="9.140625" style="382" customWidth="1"/>
    <col min="10034" max="10034" width="18.7109375" style="382" customWidth="1"/>
    <col min="10035" max="10049" width="8.7109375" style="382"/>
    <col min="10050" max="10050" width="66" style="382" customWidth="1"/>
    <col min="10051" max="10053" width="14.7109375" style="382" customWidth="1"/>
    <col min="10054" max="10056" width="8.7109375" style="382"/>
    <col min="10057" max="10057" width="58.85546875" style="382" customWidth="1"/>
    <col min="10058" max="10058" width="15.140625" style="382" customWidth="1"/>
    <col min="10059" max="10059" width="20.7109375" style="382" customWidth="1"/>
    <col min="10060" max="10061" width="15.28515625" style="382" customWidth="1"/>
    <col min="10062" max="10062" width="17.28515625" style="382" customWidth="1"/>
    <col min="10063" max="10063" width="8.7109375" style="382"/>
    <col min="10064" max="10064" width="62" style="382" customWidth="1"/>
    <col min="10065" max="10068" width="13.7109375" style="382" customWidth="1"/>
    <col min="10069" max="10240" width="8.7109375" style="382"/>
    <col min="10241" max="10242" width="15.7109375" style="382" customWidth="1"/>
    <col min="10243" max="10246" width="14.7109375" style="382" customWidth="1"/>
    <col min="10247" max="10249" width="8.7109375" style="382"/>
    <col min="10250" max="10250" width="26" style="382" customWidth="1"/>
    <col min="10251" max="10255" width="17.7109375" style="382" customWidth="1"/>
    <col min="10256" max="10258" width="9.28515625" style="382" customWidth="1"/>
    <col min="10259" max="10261" width="24.7109375" style="382" customWidth="1"/>
    <col min="10262" max="10264" width="9.28515625" style="382" customWidth="1"/>
    <col min="10265" max="10268" width="24.7109375" style="382" customWidth="1"/>
    <col min="10269" max="10270" width="8.7109375" style="382"/>
    <col min="10271" max="10271" width="10.140625" style="382" customWidth="1"/>
    <col min="10272" max="10272" width="25.7109375" style="382" customWidth="1"/>
    <col min="10273" max="10277" width="15.7109375" style="382" customWidth="1"/>
    <col min="10278" max="10280" width="9.140625" style="382" customWidth="1"/>
    <col min="10281" max="10281" width="25.7109375" style="382" customWidth="1"/>
    <col min="10282" max="10286" width="15.7109375" style="382" customWidth="1"/>
    <col min="10287" max="10289" width="9.140625" style="382" customWidth="1"/>
    <col min="10290" max="10290" width="18.7109375" style="382" customWidth="1"/>
    <col min="10291" max="10305" width="8.7109375" style="382"/>
    <col min="10306" max="10306" width="66" style="382" customWidth="1"/>
    <col min="10307" max="10309" width="14.7109375" style="382" customWidth="1"/>
    <col min="10310" max="10312" width="8.7109375" style="382"/>
    <col min="10313" max="10313" width="58.85546875" style="382" customWidth="1"/>
    <col min="10314" max="10314" width="15.140625" style="382" customWidth="1"/>
    <col min="10315" max="10315" width="20.7109375" style="382" customWidth="1"/>
    <col min="10316" max="10317" width="15.28515625" style="382" customWidth="1"/>
    <col min="10318" max="10318" width="17.28515625" style="382" customWidth="1"/>
    <col min="10319" max="10319" width="8.7109375" style="382"/>
    <col min="10320" max="10320" width="62" style="382" customWidth="1"/>
    <col min="10321" max="10324" width="13.7109375" style="382" customWidth="1"/>
    <col min="10325" max="10496" width="8.7109375" style="382"/>
    <col min="10497" max="10498" width="15.7109375" style="382" customWidth="1"/>
    <col min="10499" max="10502" width="14.7109375" style="382" customWidth="1"/>
    <col min="10503" max="10505" width="8.7109375" style="382"/>
    <col min="10506" max="10506" width="26" style="382" customWidth="1"/>
    <col min="10507" max="10511" width="17.7109375" style="382" customWidth="1"/>
    <col min="10512" max="10514" width="9.28515625" style="382" customWidth="1"/>
    <col min="10515" max="10517" width="24.7109375" style="382" customWidth="1"/>
    <col min="10518" max="10520" width="9.28515625" style="382" customWidth="1"/>
    <col min="10521" max="10524" width="24.7109375" style="382" customWidth="1"/>
    <col min="10525" max="10526" width="8.7109375" style="382"/>
    <col min="10527" max="10527" width="10.140625" style="382" customWidth="1"/>
    <col min="10528" max="10528" width="25.7109375" style="382" customWidth="1"/>
    <col min="10529" max="10533" width="15.7109375" style="382" customWidth="1"/>
    <col min="10534" max="10536" width="9.140625" style="382" customWidth="1"/>
    <col min="10537" max="10537" width="25.7109375" style="382" customWidth="1"/>
    <col min="10538" max="10542" width="15.7109375" style="382" customWidth="1"/>
    <col min="10543" max="10545" width="9.140625" style="382" customWidth="1"/>
    <col min="10546" max="10546" width="18.7109375" style="382" customWidth="1"/>
    <col min="10547" max="10561" width="8.7109375" style="382"/>
    <col min="10562" max="10562" width="66" style="382" customWidth="1"/>
    <col min="10563" max="10565" width="14.7109375" style="382" customWidth="1"/>
    <col min="10566" max="10568" width="8.7109375" style="382"/>
    <col min="10569" max="10569" width="58.85546875" style="382" customWidth="1"/>
    <col min="10570" max="10570" width="15.140625" style="382" customWidth="1"/>
    <col min="10571" max="10571" width="20.7109375" style="382" customWidth="1"/>
    <col min="10572" max="10573" width="15.28515625" style="382" customWidth="1"/>
    <col min="10574" max="10574" width="17.28515625" style="382" customWidth="1"/>
    <col min="10575" max="10575" width="8.7109375" style="382"/>
    <col min="10576" max="10576" width="62" style="382" customWidth="1"/>
    <col min="10577" max="10580" width="13.7109375" style="382" customWidth="1"/>
    <col min="10581" max="10752" width="8.7109375" style="382"/>
    <col min="10753" max="10754" width="15.7109375" style="382" customWidth="1"/>
    <col min="10755" max="10758" width="14.7109375" style="382" customWidth="1"/>
    <col min="10759" max="10761" width="8.7109375" style="382"/>
    <col min="10762" max="10762" width="26" style="382" customWidth="1"/>
    <col min="10763" max="10767" width="17.7109375" style="382" customWidth="1"/>
    <col min="10768" max="10770" width="9.28515625" style="382" customWidth="1"/>
    <col min="10771" max="10773" width="24.7109375" style="382" customWidth="1"/>
    <col min="10774" max="10776" width="9.28515625" style="382" customWidth="1"/>
    <col min="10777" max="10780" width="24.7109375" style="382" customWidth="1"/>
    <col min="10781" max="10782" width="8.7109375" style="382"/>
    <col min="10783" max="10783" width="10.140625" style="382" customWidth="1"/>
    <col min="10784" max="10784" width="25.7109375" style="382" customWidth="1"/>
    <col min="10785" max="10789" width="15.7109375" style="382" customWidth="1"/>
    <col min="10790" max="10792" width="9.140625" style="382" customWidth="1"/>
    <col min="10793" max="10793" width="25.7109375" style="382" customWidth="1"/>
    <col min="10794" max="10798" width="15.7109375" style="382" customWidth="1"/>
    <col min="10799" max="10801" width="9.140625" style="382" customWidth="1"/>
    <col min="10802" max="10802" width="18.7109375" style="382" customWidth="1"/>
    <col min="10803" max="10817" width="8.7109375" style="382"/>
    <col min="10818" max="10818" width="66" style="382" customWidth="1"/>
    <col min="10819" max="10821" width="14.7109375" style="382" customWidth="1"/>
    <col min="10822" max="10824" width="8.7109375" style="382"/>
    <col min="10825" max="10825" width="58.85546875" style="382" customWidth="1"/>
    <col min="10826" max="10826" width="15.140625" style="382" customWidth="1"/>
    <col min="10827" max="10827" width="20.7109375" style="382" customWidth="1"/>
    <col min="10828" max="10829" width="15.28515625" style="382" customWidth="1"/>
    <col min="10830" max="10830" width="17.28515625" style="382" customWidth="1"/>
    <col min="10831" max="10831" width="8.7109375" style="382"/>
    <col min="10832" max="10832" width="62" style="382" customWidth="1"/>
    <col min="10833" max="10836" width="13.7109375" style="382" customWidth="1"/>
    <col min="10837" max="11008" width="8.7109375" style="382"/>
    <col min="11009" max="11010" width="15.7109375" style="382" customWidth="1"/>
    <col min="11011" max="11014" width="14.7109375" style="382" customWidth="1"/>
    <col min="11015" max="11017" width="8.7109375" style="382"/>
    <col min="11018" max="11018" width="26" style="382" customWidth="1"/>
    <col min="11019" max="11023" width="17.7109375" style="382" customWidth="1"/>
    <col min="11024" max="11026" width="9.28515625" style="382" customWidth="1"/>
    <col min="11027" max="11029" width="24.7109375" style="382" customWidth="1"/>
    <col min="11030" max="11032" width="9.28515625" style="382" customWidth="1"/>
    <col min="11033" max="11036" width="24.7109375" style="382" customWidth="1"/>
    <col min="11037" max="11038" width="8.7109375" style="382"/>
    <col min="11039" max="11039" width="10.140625" style="382" customWidth="1"/>
    <col min="11040" max="11040" width="25.7109375" style="382" customWidth="1"/>
    <col min="11041" max="11045" width="15.7109375" style="382" customWidth="1"/>
    <col min="11046" max="11048" width="9.140625" style="382" customWidth="1"/>
    <col min="11049" max="11049" width="25.7109375" style="382" customWidth="1"/>
    <col min="11050" max="11054" width="15.7109375" style="382" customWidth="1"/>
    <col min="11055" max="11057" width="9.140625" style="382" customWidth="1"/>
    <col min="11058" max="11058" width="18.7109375" style="382" customWidth="1"/>
    <col min="11059" max="11073" width="8.7109375" style="382"/>
    <col min="11074" max="11074" width="66" style="382" customWidth="1"/>
    <col min="11075" max="11077" width="14.7109375" style="382" customWidth="1"/>
    <col min="11078" max="11080" width="8.7109375" style="382"/>
    <col min="11081" max="11081" width="58.85546875" style="382" customWidth="1"/>
    <col min="11082" max="11082" width="15.140625" style="382" customWidth="1"/>
    <col min="11083" max="11083" width="20.7109375" style="382" customWidth="1"/>
    <col min="11084" max="11085" width="15.28515625" style="382" customWidth="1"/>
    <col min="11086" max="11086" width="17.28515625" style="382" customWidth="1"/>
    <col min="11087" max="11087" width="8.7109375" style="382"/>
    <col min="11088" max="11088" width="62" style="382" customWidth="1"/>
    <col min="11089" max="11092" width="13.7109375" style="382" customWidth="1"/>
    <col min="11093" max="11264" width="8.7109375" style="382"/>
    <col min="11265" max="11266" width="15.7109375" style="382" customWidth="1"/>
    <col min="11267" max="11270" width="14.7109375" style="382" customWidth="1"/>
    <col min="11271" max="11273" width="8.7109375" style="382"/>
    <col min="11274" max="11274" width="26" style="382" customWidth="1"/>
    <col min="11275" max="11279" width="17.7109375" style="382" customWidth="1"/>
    <col min="11280" max="11282" width="9.28515625" style="382" customWidth="1"/>
    <col min="11283" max="11285" width="24.7109375" style="382" customWidth="1"/>
    <col min="11286" max="11288" width="9.28515625" style="382" customWidth="1"/>
    <col min="11289" max="11292" width="24.7109375" style="382" customWidth="1"/>
    <col min="11293" max="11294" width="8.7109375" style="382"/>
    <col min="11295" max="11295" width="10.140625" style="382" customWidth="1"/>
    <col min="11296" max="11296" width="25.7109375" style="382" customWidth="1"/>
    <col min="11297" max="11301" width="15.7109375" style="382" customWidth="1"/>
    <col min="11302" max="11304" width="9.140625" style="382" customWidth="1"/>
    <col min="11305" max="11305" width="25.7109375" style="382" customWidth="1"/>
    <col min="11306" max="11310" width="15.7109375" style="382" customWidth="1"/>
    <col min="11311" max="11313" width="9.140625" style="382" customWidth="1"/>
    <col min="11314" max="11314" width="18.7109375" style="382" customWidth="1"/>
    <col min="11315" max="11329" width="8.7109375" style="382"/>
    <col min="11330" max="11330" width="66" style="382" customWidth="1"/>
    <col min="11331" max="11333" width="14.7109375" style="382" customWidth="1"/>
    <col min="11334" max="11336" width="8.7109375" style="382"/>
    <col min="11337" max="11337" width="58.85546875" style="382" customWidth="1"/>
    <col min="11338" max="11338" width="15.140625" style="382" customWidth="1"/>
    <col min="11339" max="11339" width="20.7109375" style="382" customWidth="1"/>
    <col min="11340" max="11341" width="15.28515625" style="382" customWidth="1"/>
    <col min="11342" max="11342" width="17.28515625" style="382" customWidth="1"/>
    <col min="11343" max="11343" width="8.7109375" style="382"/>
    <col min="11344" max="11344" width="62" style="382" customWidth="1"/>
    <col min="11345" max="11348" width="13.7109375" style="382" customWidth="1"/>
    <col min="11349" max="11520" width="8.7109375" style="382"/>
    <col min="11521" max="11522" width="15.7109375" style="382" customWidth="1"/>
    <col min="11523" max="11526" width="14.7109375" style="382" customWidth="1"/>
    <col min="11527" max="11529" width="8.7109375" style="382"/>
    <col min="11530" max="11530" width="26" style="382" customWidth="1"/>
    <col min="11531" max="11535" width="17.7109375" style="382" customWidth="1"/>
    <col min="11536" max="11538" width="9.28515625" style="382" customWidth="1"/>
    <col min="11539" max="11541" width="24.7109375" style="382" customWidth="1"/>
    <col min="11542" max="11544" width="9.28515625" style="382" customWidth="1"/>
    <col min="11545" max="11548" width="24.7109375" style="382" customWidth="1"/>
    <col min="11549" max="11550" width="8.7109375" style="382"/>
    <col min="11551" max="11551" width="10.140625" style="382" customWidth="1"/>
    <col min="11552" max="11552" width="25.7109375" style="382" customWidth="1"/>
    <col min="11553" max="11557" width="15.7109375" style="382" customWidth="1"/>
    <col min="11558" max="11560" width="9.140625" style="382" customWidth="1"/>
    <col min="11561" max="11561" width="25.7109375" style="382" customWidth="1"/>
    <col min="11562" max="11566" width="15.7109375" style="382" customWidth="1"/>
    <col min="11567" max="11569" width="9.140625" style="382" customWidth="1"/>
    <col min="11570" max="11570" width="18.7109375" style="382" customWidth="1"/>
    <col min="11571" max="11585" width="8.7109375" style="382"/>
    <col min="11586" max="11586" width="66" style="382" customWidth="1"/>
    <col min="11587" max="11589" width="14.7109375" style="382" customWidth="1"/>
    <col min="11590" max="11592" width="8.7109375" style="382"/>
    <col min="11593" max="11593" width="58.85546875" style="382" customWidth="1"/>
    <col min="11594" max="11594" width="15.140625" style="382" customWidth="1"/>
    <col min="11595" max="11595" width="20.7109375" style="382" customWidth="1"/>
    <col min="11596" max="11597" width="15.28515625" style="382" customWidth="1"/>
    <col min="11598" max="11598" width="17.28515625" style="382" customWidth="1"/>
    <col min="11599" max="11599" width="8.7109375" style="382"/>
    <col min="11600" max="11600" width="62" style="382" customWidth="1"/>
    <col min="11601" max="11604" width="13.7109375" style="382" customWidth="1"/>
    <col min="11605" max="11776" width="8.7109375" style="382"/>
    <col min="11777" max="11778" width="15.7109375" style="382" customWidth="1"/>
    <col min="11779" max="11782" width="14.7109375" style="382" customWidth="1"/>
    <col min="11783" max="11785" width="8.7109375" style="382"/>
    <col min="11786" max="11786" width="26" style="382" customWidth="1"/>
    <col min="11787" max="11791" width="17.7109375" style="382" customWidth="1"/>
    <col min="11792" max="11794" width="9.28515625" style="382" customWidth="1"/>
    <col min="11795" max="11797" width="24.7109375" style="382" customWidth="1"/>
    <col min="11798" max="11800" width="9.28515625" style="382" customWidth="1"/>
    <col min="11801" max="11804" width="24.7109375" style="382" customWidth="1"/>
    <col min="11805" max="11806" width="8.7109375" style="382"/>
    <col min="11807" max="11807" width="10.140625" style="382" customWidth="1"/>
    <col min="11808" max="11808" width="25.7109375" style="382" customWidth="1"/>
    <col min="11809" max="11813" width="15.7109375" style="382" customWidth="1"/>
    <col min="11814" max="11816" width="9.140625" style="382" customWidth="1"/>
    <col min="11817" max="11817" width="25.7109375" style="382" customWidth="1"/>
    <col min="11818" max="11822" width="15.7109375" style="382" customWidth="1"/>
    <col min="11823" max="11825" width="9.140625" style="382" customWidth="1"/>
    <col min="11826" max="11826" width="18.7109375" style="382" customWidth="1"/>
    <col min="11827" max="11841" width="8.7109375" style="382"/>
    <col min="11842" max="11842" width="66" style="382" customWidth="1"/>
    <col min="11843" max="11845" width="14.7109375" style="382" customWidth="1"/>
    <col min="11846" max="11848" width="8.7109375" style="382"/>
    <col min="11849" max="11849" width="58.85546875" style="382" customWidth="1"/>
    <col min="11850" max="11850" width="15.140625" style="382" customWidth="1"/>
    <col min="11851" max="11851" width="20.7109375" style="382" customWidth="1"/>
    <col min="11852" max="11853" width="15.28515625" style="382" customWidth="1"/>
    <col min="11854" max="11854" width="17.28515625" style="382" customWidth="1"/>
    <col min="11855" max="11855" width="8.7109375" style="382"/>
    <col min="11856" max="11856" width="62" style="382" customWidth="1"/>
    <col min="11857" max="11860" width="13.7109375" style="382" customWidth="1"/>
    <col min="11861" max="12032" width="8.7109375" style="382"/>
    <col min="12033" max="12034" width="15.7109375" style="382" customWidth="1"/>
    <col min="12035" max="12038" width="14.7109375" style="382" customWidth="1"/>
    <col min="12039" max="12041" width="8.7109375" style="382"/>
    <col min="12042" max="12042" width="26" style="382" customWidth="1"/>
    <col min="12043" max="12047" width="17.7109375" style="382" customWidth="1"/>
    <col min="12048" max="12050" width="9.28515625" style="382" customWidth="1"/>
    <col min="12051" max="12053" width="24.7109375" style="382" customWidth="1"/>
    <col min="12054" max="12056" width="9.28515625" style="382" customWidth="1"/>
    <col min="12057" max="12060" width="24.7109375" style="382" customWidth="1"/>
    <col min="12061" max="12062" width="8.7109375" style="382"/>
    <col min="12063" max="12063" width="10.140625" style="382" customWidth="1"/>
    <col min="12064" max="12064" width="25.7109375" style="382" customWidth="1"/>
    <col min="12065" max="12069" width="15.7109375" style="382" customWidth="1"/>
    <col min="12070" max="12072" width="9.140625" style="382" customWidth="1"/>
    <col min="12073" max="12073" width="25.7109375" style="382" customWidth="1"/>
    <col min="12074" max="12078" width="15.7109375" style="382" customWidth="1"/>
    <col min="12079" max="12081" width="9.140625" style="382" customWidth="1"/>
    <col min="12082" max="12082" width="18.7109375" style="382" customWidth="1"/>
    <col min="12083" max="12097" width="8.7109375" style="382"/>
    <col min="12098" max="12098" width="66" style="382" customWidth="1"/>
    <col min="12099" max="12101" width="14.7109375" style="382" customWidth="1"/>
    <col min="12102" max="12104" width="8.7109375" style="382"/>
    <col min="12105" max="12105" width="58.85546875" style="382" customWidth="1"/>
    <col min="12106" max="12106" width="15.140625" style="382" customWidth="1"/>
    <col min="12107" max="12107" width="20.7109375" style="382" customWidth="1"/>
    <col min="12108" max="12109" width="15.28515625" style="382" customWidth="1"/>
    <col min="12110" max="12110" width="17.28515625" style="382" customWidth="1"/>
    <col min="12111" max="12111" width="8.7109375" style="382"/>
    <col min="12112" max="12112" width="62" style="382" customWidth="1"/>
    <col min="12113" max="12116" width="13.7109375" style="382" customWidth="1"/>
    <col min="12117" max="12288" width="8.7109375" style="382"/>
    <col min="12289" max="12290" width="15.7109375" style="382" customWidth="1"/>
    <col min="12291" max="12294" width="14.7109375" style="382" customWidth="1"/>
    <col min="12295" max="12297" width="8.7109375" style="382"/>
    <col min="12298" max="12298" width="26" style="382" customWidth="1"/>
    <col min="12299" max="12303" width="17.7109375" style="382" customWidth="1"/>
    <col min="12304" max="12306" width="9.28515625" style="382" customWidth="1"/>
    <col min="12307" max="12309" width="24.7109375" style="382" customWidth="1"/>
    <col min="12310" max="12312" width="9.28515625" style="382" customWidth="1"/>
    <col min="12313" max="12316" width="24.7109375" style="382" customWidth="1"/>
    <col min="12317" max="12318" width="8.7109375" style="382"/>
    <col min="12319" max="12319" width="10.140625" style="382" customWidth="1"/>
    <col min="12320" max="12320" width="25.7109375" style="382" customWidth="1"/>
    <col min="12321" max="12325" width="15.7109375" style="382" customWidth="1"/>
    <col min="12326" max="12328" width="9.140625" style="382" customWidth="1"/>
    <col min="12329" max="12329" width="25.7109375" style="382" customWidth="1"/>
    <col min="12330" max="12334" width="15.7109375" style="382" customWidth="1"/>
    <col min="12335" max="12337" width="9.140625" style="382" customWidth="1"/>
    <col min="12338" max="12338" width="18.7109375" style="382" customWidth="1"/>
    <col min="12339" max="12353" width="8.7109375" style="382"/>
    <col min="12354" max="12354" width="66" style="382" customWidth="1"/>
    <col min="12355" max="12357" width="14.7109375" style="382" customWidth="1"/>
    <col min="12358" max="12360" width="8.7109375" style="382"/>
    <col min="12361" max="12361" width="58.85546875" style="382" customWidth="1"/>
    <col min="12362" max="12362" width="15.140625" style="382" customWidth="1"/>
    <col min="12363" max="12363" width="20.7109375" style="382" customWidth="1"/>
    <col min="12364" max="12365" width="15.28515625" style="382" customWidth="1"/>
    <col min="12366" max="12366" width="17.28515625" style="382" customWidth="1"/>
    <col min="12367" max="12367" width="8.7109375" style="382"/>
    <col min="12368" max="12368" width="62" style="382" customWidth="1"/>
    <col min="12369" max="12372" width="13.7109375" style="382" customWidth="1"/>
    <col min="12373" max="12544" width="8.7109375" style="382"/>
    <col min="12545" max="12546" width="15.7109375" style="382" customWidth="1"/>
    <col min="12547" max="12550" width="14.7109375" style="382" customWidth="1"/>
    <col min="12551" max="12553" width="8.7109375" style="382"/>
    <col min="12554" max="12554" width="26" style="382" customWidth="1"/>
    <col min="12555" max="12559" width="17.7109375" style="382" customWidth="1"/>
    <col min="12560" max="12562" width="9.28515625" style="382" customWidth="1"/>
    <col min="12563" max="12565" width="24.7109375" style="382" customWidth="1"/>
    <col min="12566" max="12568" width="9.28515625" style="382" customWidth="1"/>
    <col min="12569" max="12572" width="24.7109375" style="382" customWidth="1"/>
    <col min="12573" max="12574" width="8.7109375" style="382"/>
    <col min="12575" max="12575" width="10.140625" style="382" customWidth="1"/>
    <col min="12576" max="12576" width="25.7109375" style="382" customWidth="1"/>
    <col min="12577" max="12581" width="15.7109375" style="382" customWidth="1"/>
    <col min="12582" max="12584" width="9.140625" style="382" customWidth="1"/>
    <col min="12585" max="12585" width="25.7109375" style="382" customWidth="1"/>
    <col min="12586" max="12590" width="15.7109375" style="382" customWidth="1"/>
    <col min="12591" max="12593" width="9.140625" style="382" customWidth="1"/>
    <col min="12594" max="12594" width="18.7109375" style="382" customWidth="1"/>
    <col min="12595" max="12609" width="8.7109375" style="382"/>
    <col min="12610" max="12610" width="66" style="382" customWidth="1"/>
    <col min="12611" max="12613" width="14.7109375" style="382" customWidth="1"/>
    <col min="12614" max="12616" width="8.7109375" style="382"/>
    <col min="12617" max="12617" width="58.85546875" style="382" customWidth="1"/>
    <col min="12618" max="12618" width="15.140625" style="382" customWidth="1"/>
    <col min="12619" max="12619" width="20.7109375" style="382" customWidth="1"/>
    <col min="12620" max="12621" width="15.28515625" style="382" customWidth="1"/>
    <col min="12622" max="12622" width="17.28515625" style="382" customWidth="1"/>
    <col min="12623" max="12623" width="8.7109375" style="382"/>
    <col min="12624" max="12624" width="62" style="382" customWidth="1"/>
    <col min="12625" max="12628" width="13.7109375" style="382" customWidth="1"/>
    <col min="12629" max="12800" width="8.7109375" style="382"/>
    <col min="12801" max="12802" width="15.7109375" style="382" customWidth="1"/>
    <col min="12803" max="12806" width="14.7109375" style="382" customWidth="1"/>
    <col min="12807" max="12809" width="8.7109375" style="382"/>
    <col min="12810" max="12810" width="26" style="382" customWidth="1"/>
    <col min="12811" max="12815" width="17.7109375" style="382" customWidth="1"/>
    <col min="12816" max="12818" width="9.28515625" style="382" customWidth="1"/>
    <col min="12819" max="12821" width="24.7109375" style="382" customWidth="1"/>
    <col min="12822" max="12824" width="9.28515625" style="382" customWidth="1"/>
    <col min="12825" max="12828" width="24.7109375" style="382" customWidth="1"/>
    <col min="12829" max="12830" width="8.7109375" style="382"/>
    <col min="12831" max="12831" width="10.140625" style="382" customWidth="1"/>
    <col min="12832" max="12832" width="25.7109375" style="382" customWidth="1"/>
    <col min="12833" max="12837" width="15.7109375" style="382" customWidth="1"/>
    <col min="12838" max="12840" width="9.140625" style="382" customWidth="1"/>
    <col min="12841" max="12841" width="25.7109375" style="382" customWidth="1"/>
    <col min="12842" max="12846" width="15.7109375" style="382" customWidth="1"/>
    <col min="12847" max="12849" width="9.140625" style="382" customWidth="1"/>
    <col min="12850" max="12850" width="18.7109375" style="382" customWidth="1"/>
    <col min="12851" max="12865" width="8.7109375" style="382"/>
    <col min="12866" max="12866" width="66" style="382" customWidth="1"/>
    <col min="12867" max="12869" width="14.7109375" style="382" customWidth="1"/>
    <col min="12870" max="12872" width="8.7109375" style="382"/>
    <col min="12873" max="12873" width="58.85546875" style="382" customWidth="1"/>
    <col min="12874" max="12874" width="15.140625" style="382" customWidth="1"/>
    <col min="12875" max="12875" width="20.7109375" style="382" customWidth="1"/>
    <col min="12876" max="12877" width="15.28515625" style="382" customWidth="1"/>
    <col min="12878" max="12878" width="17.28515625" style="382" customWidth="1"/>
    <col min="12879" max="12879" width="8.7109375" style="382"/>
    <col min="12880" max="12880" width="62" style="382" customWidth="1"/>
    <col min="12881" max="12884" width="13.7109375" style="382" customWidth="1"/>
    <col min="12885" max="13056" width="8.7109375" style="382"/>
    <col min="13057" max="13058" width="15.7109375" style="382" customWidth="1"/>
    <col min="13059" max="13062" width="14.7109375" style="382" customWidth="1"/>
    <col min="13063" max="13065" width="8.7109375" style="382"/>
    <col min="13066" max="13066" width="26" style="382" customWidth="1"/>
    <col min="13067" max="13071" width="17.7109375" style="382" customWidth="1"/>
    <col min="13072" max="13074" width="9.28515625" style="382" customWidth="1"/>
    <col min="13075" max="13077" width="24.7109375" style="382" customWidth="1"/>
    <col min="13078" max="13080" width="9.28515625" style="382" customWidth="1"/>
    <col min="13081" max="13084" width="24.7109375" style="382" customWidth="1"/>
    <col min="13085" max="13086" width="8.7109375" style="382"/>
    <col min="13087" max="13087" width="10.140625" style="382" customWidth="1"/>
    <col min="13088" max="13088" width="25.7109375" style="382" customWidth="1"/>
    <col min="13089" max="13093" width="15.7109375" style="382" customWidth="1"/>
    <col min="13094" max="13096" width="9.140625" style="382" customWidth="1"/>
    <col min="13097" max="13097" width="25.7109375" style="382" customWidth="1"/>
    <col min="13098" max="13102" width="15.7109375" style="382" customWidth="1"/>
    <col min="13103" max="13105" width="9.140625" style="382" customWidth="1"/>
    <col min="13106" max="13106" width="18.7109375" style="382" customWidth="1"/>
    <col min="13107" max="13121" width="8.7109375" style="382"/>
    <col min="13122" max="13122" width="66" style="382" customWidth="1"/>
    <col min="13123" max="13125" width="14.7109375" style="382" customWidth="1"/>
    <col min="13126" max="13128" width="8.7109375" style="382"/>
    <col min="13129" max="13129" width="58.85546875" style="382" customWidth="1"/>
    <col min="13130" max="13130" width="15.140625" style="382" customWidth="1"/>
    <col min="13131" max="13131" width="20.7109375" style="382" customWidth="1"/>
    <col min="13132" max="13133" width="15.28515625" style="382" customWidth="1"/>
    <col min="13134" max="13134" width="17.28515625" style="382" customWidth="1"/>
    <col min="13135" max="13135" width="8.7109375" style="382"/>
    <col min="13136" max="13136" width="62" style="382" customWidth="1"/>
    <col min="13137" max="13140" width="13.7109375" style="382" customWidth="1"/>
    <col min="13141" max="13312" width="8.7109375" style="382"/>
    <col min="13313" max="13314" width="15.7109375" style="382" customWidth="1"/>
    <col min="13315" max="13318" width="14.7109375" style="382" customWidth="1"/>
    <col min="13319" max="13321" width="8.7109375" style="382"/>
    <col min="13322" max="13322" width="26" style="382" customWidth="1"/>
    <col min="13323" max="13327" width="17.7109375" style="382" customWidth="1"/>
    <col min="13328" max="13330" width="9.28515625" style="382" customWidth="1"/>
    <col min="13331" max="13333" width="24.7109375" style="382" customWidth="1"/>
    <col min="13334" max="13336" width="9.28515625" style="382" customWidth="1"/>
    <col min="13337" max="13340" width="24.7109375" style="382" customWidth="1"/>
    <col min="13341" max="13342" width="8.7109375" style="382"/>
    <col min="13343" max="13343" width="10.140625" style="382" customWidth="1"/>
    <col min="13344" max="13344" width="25.7109375" style="382" customWidth="1"/>
    <col min="13345" max="13349" width="15.7109375" style="382" customWidth="1"/>
    <col min="13350" max="13352" width="9.140625" style="382" customWidth="1"/>
    <col min="13353" max="13353" width="25.7109375" style="382" customWidth="1"/>
    <col min="13354" max="13358" width="15.7109375" style="382" customWidth="1"/>
    <col min="13359" max="13361" width="9.140625" style="382" customWidth="1"/>
    <col min="13362" max="13362" width="18.7109375" style="382" customWidth="1"/>
    <col min="13363" max="13377" width="8.7109375" style="382"/>
    <col min="13378" max="13378" width="66" style="382" customWidth="1"/>
    <col min="13379" max="13381" width="14.7109375" style="382" customWidth="1"/>
    <col min="13382" max="13384" width="8.7109375" style="382"/>
    <col min="13385" max="13385" width="58.85546875" style="382" customWidth="1"/>
    <col min="13386" max="13386" width="15.140625" style="382" customWidth="1"/>
    <col min="13387" max="13387" width="20.7109375" style="382" customWidth="1"/>
    <col min="13388" max="13389" width="15.28515625" style="382" customWidth="1"/>
    <col min="13390" max="13390" width="17.28515625" style="382" customWidth="1"/>
    <col min="13391" max="13391" width="8.7109375" style="382"/>
    <col min="13392" max="13392" width="62" style="382" customWidth="1"/>
    <col min="13393" max="13396" width="13.7109375" style="382" customWidth="1"/>
    <col min="13397" max="13568" width="8.7109375" style="382"/>
    <col min="13569" max="13570" width="15.7109375" style="382" customWidth="1"/>
    <col min="13571" max="13574" width="14.7109375" style="382" customWidth="1"/>
    <col min="13575" max="13577" width="8.7109375" style="382"/>
    <col min="13578" max="13578" width="26" style="382" customWidth="1"/>
    <col min="13579" max="13583" width="17.7109375" style="382" customWidth="1"/>
    <col min="13584" max="13586" width="9.28515625" style="382" customWidth="1"/>
    <col min="13587" max="13589" width="24.7109375" style="382" customWidth="1"/>
    <col min="13590" max="13592" width="9.28515625" style="382" customWidth="1"/>
    <col min="13593" max="13596" width="24.7109375" style="382" customWidth="1"/>
    <col min="13597" max="13598" width="8.7109375" style="382"/>
    <col min="13599" max="13599" width="10.140625" style="382" customWidth="1"/>
    <col min="13600" max="13600" width="25.7109375" style="382" customWidth="1"/>
    <col min="13601" max="13605" width="15.7109375" style="382" customWidth="1"/>
    <col min="13606" max="13608" width="9.140625" style="382" customWidth="1"/>
    <col min="13609" max="13609" width="25.7109375" style="382" customWidth="1"/>
    <col min="13610" max="13614" width="15.7109375" style="382" customWidth="1"/>
    <col min="13615" max="13617" width="9.140625" style="382" customWidth="1"/>
    <col min="13618" max="13618" width="18.7109375" style="382" customWidth="1"/>
    <col min="13619" max="13633" width="8.7109375" style="382"/>
    <col min="13634" max="13634" width="66" style="382" customWidth="1"/>
    <col min="13635" max="13637" width="14.7109375" style="382" customWidth="1"/>
    <col min="13638" max="13640" width="8.7109375" style="382"/>
    <col min="13641" max="13641" width="58.85546875" style="382" customWidth="1"/>
    <col min="13642" max="13642" width="15.140625" style="382" customWidth="1"/>
    <col min="13643" max="13643" width="20.7109375" style="382" customWidth="1"/>
    <col min="13644" max="13645" width="15.28515625" style="382" customWidth="1"/>
    <col min="13646" max="13646" width="17.28515625" style="382" customWidth="1"/>
    <col min="13647" max="13647" width="8.7109375" style="382"/>
    <col min="13648" max="13648" width="62" style="382" customWidth="1"/>
    <col min="13649" max="13652" width="13.7109375" style="382" customWidth="1"/>
    <col min="13653" max="13824" width="8.7109375" style="382"/>
    <col min="13825" max="13826" width="15.7109375" style="382" customWidth="1"/>
    <col min="13827" max="13830" width="14.7109375" style="382" customWidth="1"/>
    <col min="13831" max="13833" width="8.7109375" style="382"/>
    <col min="13834" max="13834" width="26" style="382" customWidth="1"/>
    <col min="13835" max="13839" width="17.7109375" style="382" customWidth="1"/>
    <col min="13840" max="13842" width="9.28515625" style="382" customWidth="1"/>
    <col min="13843" max="13845" width="24.7109375" style="382" customWidth="1"/>
    <col min="13846" max="13848" width="9.28515625" style="382" customWidth="1"/>
    <col min="13849" max="13852" width="24.7109375" style="382" customWidth="1"/>
    <col min="13853" max="13854" width="8.7109375" style="382"/>
    <col min="13855" max="13855" width="10.140625" style="382" customWidth="1"/>
    <col min="13856" max="13856" width="25.7109375" style="382" customWidth="1"/>
    <col min="13857" max="13861" width="15.7109375" style="382" customWidth="1"/>
    <col min="13862" max="13864" width="9.140625" style="382" customWidth="1"/>
    <col min="13865" max="13865" width="25.7109375" style="382" customWidth="1"/>
    <col min="13866" max="13870" width="15.7109375" style="382" customWidth="1"/>
    <col min="13871" max="13873" width="9.140625" style="382" customWidth="1"/>
    <col min="13874" max="13874" width="18.7109375" style="382" customWidth="1"/>
    <col min="13875" max="13889" width="8.7109375" style="382"/>
    <col min="13890" max="13890" width="66" style="382" customWidth="1"/>
    <col min="13891" max="13893" width="14.7109375" style="382" customWidth="1"/>
    <col min="13894" max="13896" width="8.7109375" style="382"/>
    <col min="13897" max="13897" width="58.85546875" style="382" customWidth="1"/>
    <col min="13898" max="13898" width="15.140625" style="382" customWidth="1"/>
    <col min="13899" max="13899" width="20.7109375" style="382" customWidth="1"/>
    <col min="13900" max="13901" width="15.28515625" style="382" customWidth="1"/>
    <col min="13902" max="13902" width="17.28515625" style="382" customWidth="1"/>
    <col min="13903" max="13903" width="8.7109375" style="382"/>
    <col min="13904" max="13904" width="62" style="382" customWidth="1"/>
    <col min="13905" max="13908" width="13.7109375" style="382" customWidth="1"/>
    <col min="13909" max="14080" width="8.7109375" style="382"/>
    <col min="14081" max="14082" width="15.7109375" style="382" customWidth="1"/>
    <col min="14083" max="14086" width="14.7109375" style="382" customWidth="1"/>
    <col min="14087" max="14089" width="8.7109375" style="382"/>
    <col min="14090" max="14090" width="26" style="382" customWidth="1"/>
    <col min="14091" max="14095" width="17.7109375" style="382" customWidth="1"/>
    <col min="14096" max="14098" width="9.28515625" style="382" customWidth="1"/>
    <col min="14099" max="14101" width="24.7109375" style="382" customWidth="1"/>
    <col min="14102" max="14104" width="9.28515625" style="382" customWidth="1"/>
    <col min="14105" max="14108" width="24.7109375" style="382" customWidth="1"/>
    <col min="14109" max="14110" width="8.7109375" style="382"/>
    <col min="14111" max="14111" width="10.140625" style="382" customWidth="1"/>
    <col min="14112" max="14112" width="25.7109375" style="382" customWidth="1"/>
    <col min="14113" max="14117" width="15.7109375" style="382" customWidth="1"/>
    <col min="14118" max="14120" width="9.140625" style="382" customWidth="1"/>
    <col min="14121" max="14121" width="25.7109375" style="382" customWidth="1"/>
    <col min="14122" max="14126" width="15.7109375" style="382" customWidth="1"/>
    <col min="14127" max="14129" width="9.140625" style="382" customWidth="1"/>
    <col min="14130" max="14130" width="18.7109375" style="382" customWidth="1"/>
    <col min="14131" max="14145" width="8.7109375" style="382"/>
    <col min="14146" max="14146" width="66" style="382" customWidth="1"/>
    <col min="14147" max="14149" width="14.7109375" style="382" customWidth="1"/>
    <col min="14150" max="14152" width="8.7109375" style="382"/>
    <col min="14153" max="14153" width="58.85546875" style="382" customWidth="1"/>
    <col min="14154" max="14154" width="15.140625" style="382" customWidth="1"/>
    <col min="14155" max="14155" width="20.7109375" style="382" customWidth="1"/>
    <col min="14156" max="14157" width="15.28515625" style="382" customWidth="1"/>
    <col min="14158" max="14158" width="17.28515625" style="382" customWidth="1"/>
    <col min="14159" max="14159" width="8.7109375" style="382"/>
    <col min="14160" max="14160" width="62" style="382" customWidth="1"/>
    <col min="14161" max="14164" width="13.7109375" style="382" customWidth="1"/>
    <col min="14165" max="14336" width="8.7109375" style="382"/>
    <col min="14337" max="14338" width="15.7109375" style="382" customWidth="1"/>
    <col min="14339" max="14342" width="14.7109375" style="382" customWidth="1"/>
    <col min="14343" max="14345" width="8.7109375" style="382"/>
    <col min="14346" max="14346" width="26" style="382" customWidth="1"/>
    <col min="14347" max="14351" width="17.7109375" style="382" customWidth="1"/>
    <col min="14352" max="14354" width="9.28515625" style="382" customWidth="1"/>
    <col min="14355" max="14357" width="24.7109375" style="382" customWidth="1"/>
    <col min="14358" max="14360" width="9.28515625" style="382" customWidth="1"/>
    <col min="14361" max="14364" width="24.7109375" style="382" customWidth="1"/>
    <col min="14365" max="14366" width="8.7109375" style="382"/>
    <col min="14367" max="14367" width="10.140625" style="382" customWidth="1"/>
    <col min="14368" max="14368" width="25.7109375" style="382" customWidth="1"/>
    <col min="14369" max="14373" width="15.7109375" style="382" customWidth="1"/>
    <col min="14374" max="14376" width="9.140625" style="382" customWidth="1"/>
    <col min="14377" max="14377" width="25.7109375" style="382" customWidth="1"/>
    <col min="14378" max="14382" width="15.7109375" style="382" customWidth="1"/>
    <col min="14383" max="14385" width="9.140625" style="382" customWidth="1"/>
    <col min="14386" max="14386" width="18.7109375" style="382" customWidth="1"/>
    <col min="14387" max="14401" width="8.7109375" style="382"/>
    <col min="14402" max="14402" width="66" style="382" customWidth="1"/>
    <col min="14403" max="14405" width="14.7109375" style="382" customWidth="1"/>
    <col min="14406" max="14408" width="8.7109375" style="382"/>
    <col min="14409" max="14409" width="58.85546875" style="382" customWidth="1"/>
    <col min="14410" max="14410" width="15.140625" style="382" customWidth="1"/>
    <col min="14411" max="14411" width="20.7109375" style="382" customWidth="1"/>
    <col min="14412" max="14413" width="15.28515625" style="382" customWidth="1"/>
    <col min="14414" max="14414" width="17.28515625" style="382" customWidth="1"/>
    <col min="14415" max="14415" width="8.7109375" style="382"/>
    <col min="14416" max="14416" width="62" style="382" customWidth="1"/>
    <col min="14417" max="14420" width="13.7109375" style="382" customWidth="1"/>
    <col min="14421" max="14592" width="8.7109375" style="382"/>
    <col min="14593" max="14594" width="15.7109375" style="382" customWidth="1"/>
    <col min="14595" max="14598" width="14.7109375" style="382" customWidth="1"/>
    <col min="14599" max="14601" width="8.7109375" style="382"/>
    <col min="14602" max="14602" width="26" style="382" customWidth="1"/>
    <col min="14603" max="14607" width="17.7109375" style="382" customWidth="1"/>
    <col min="14608" max="14610" width="9.28515625" style="382" customWidth="1"/>
    <col min="14611" max="14613" width="24.7109375" style="382" customWidth="1"/>
    <col min="14614" max="14616" width="9.28515625" style="382" customWidth="1"/>
    <col min="14617" max="14620" width="24.7109375" style="382" customWidth="1"/>
    <col min="14621" max="14622" width="8.7109375" style="382"/>
    <col min="14623" max="14623" width="10.140625" style="382" customWidth="1"/>
    <col min="14624" max="14624" width="25.7109375" style="382" customWidth="1"/>
    <col min="14625" max="14629" width="15.7109375" style="382" customWidth="1"/>
    <col min="14630" max="14632" width="9.140625" style="382" customWidth="1"/>
    <col min="14633" max="14633" width="25.7109375" style="382" customWidth="1"/>
    <col min="14634" max="14638" width="15.7109375" style="382" customWidth="1"/>
    <col min="14639" max="14641" width="9.140625" style="382" customWidth="1"/>
    <col min="14642" max="14642" width="18.7109375" style="382" customWidth="1"/>
    <col min="14643" max="14657" width="8.7109375" style="382"/>
    <col min="14658" max="14658" width="66" style="382" customWidth="1"/>
    <col min="14659" max="14661" width="14.7109375" style="382" customWidth="1"/>
    <col min="14662" max="14664" width="8.7109375" style="382"/>
    <col min="14665" max="14665" width="58.85546875" style="382" customWidth="1"/>
    <col min="14666" max="14666" width="15.140625" style="382" customWidth="1"/>
    <col min="14667" max="14667" width="20.7109375" style="382" customWidth="1"/>
    <col min="14668" max="14669" width="15.28515625" style="382" customWidth="1"/>
    <col min="14670" max="14670" width="17.28515625" style="382" customWidth="1"/>
    <col min="14671" max="14671" width="8.7109375" style="382"/>
    <col min="14672" max="14672" width="62" style="382" customWidth="1"/>
    <col min="14673" max="14676" width="13.7109375" style="382" customWidth="1"/>
    <col min="14677" max="14848" width="8.7109375" style="382"/>
    <col min="14849" max="14850" width="15.7109375" style="382" customWidth="1"/>
    <col min="14851" max="14854" width="14.7109375" style="382" customWidth="1"/>
    <col min="14855" max="14857" width="8.7109375" style="382"/>
    <col min="14858" max="14858" width="26" style="382" customWidth="1"/>
    <col min="14859" max="14863" width="17.7109375" style="382" customWidth="1"/>
    <col min="14864" max="14866" width="9.28515625" style="382" customWidth="1"/>
    <col min="14867" max="14869" width="24.7109375" style="382" customWidth="1"/>
    <col min="14870" max="14872" width="9.28515625" style="382" customWidth="1"/>
    <col min="14873" max="14876" width="24.7109375" style="382" customWidth="1"/>
    <col min="14877" max="14878" width="8.7109375" style="382"/>
    <col min="14879" max="14879" width="10.140625" style="382" customWidth="1"/>
    <col min="14880" max="14880" width="25.7109375" style="382" customWidth="1"/>
    <col min="14881" max="14885" width="15.7109375" style="382" customWidth="1"/>
    <col min="14886" max="14888" width="9.140625" style="382" customWidth="1"/>
    <col min="14889" max="14889" width="25.7109375" style="382" customWidth="1"/>
    <col min="14890" max="14894" width="15.7109375" style="382" customWidth="1"/>
    <col min="14895" max="14897" width="9.140625" style="382" customWidth="1"/>
    <col min="14898" max="14898" width="18.7109375" style="382" customWidth="1"/>
    <col min="14899" max="14913" width="8.7109375" style="382"/>
    <col min="14914" max="14914" width="66" style="382" customWidth="1"/>
    <col min="14915" max="14917" width="14.7109375" style="382" customWidth="1"/>
    <col min="14918" max="14920" width="8.7109375" style="382"/>
    <col min="14921" max="14921" width="58.85546875" style="382" customWidth="1"/>
    <col min="14922" max="14922" width="15.140625" style="382" customWidth="1"/>
    <col min="14923" max="14923" width="20.7109375" style="382" customWidth="1"/>
    <col min="14924" max="14925" width="15.28515625" style="382" customWidth="1"/>
    <col min="14926" max="14926" width="17.28515625" style="382" customWidth="1"/>
    <col min="14927" max="14927" width="8.7109375" style="382"/>
    <col min="14928" max="14928" width="62" style="382" customWidth="1"/>
    <col min="14929" max="14932" width="13.7109375" style="382" customWidth="1"/>
    <col min="14933" max="15104" width="8.7109375" style="382"/>
    <col min="15105" max="15106" width="15.7109375" style="382" customWidth="1"/>
    <col min="15107" max="15110" width="14.7109375" style="382" customWidth="1"/>
    <col min="15111" max="15113" width="8.7109375" style="382"/>
    <col min="15114" max="15114" width="26" style="382" customWidth="1"/>
    <col min="15115" max="15119" width="17.7109375" style="382" customWidth="1"/>
    <col min="15120" max="15122" width="9.28515625" style="382" customWidth="1"/>
    <col min="15123" max="15125" width="24.7109375" style="382" customWidth="1"/>
    <col min="15126" max="15128" width="9.28515625" style="382" customWidth="1"/>
    <col min="15129" max="15132" width="24.7109375" style="382" customWidth="1"/>
    <col min="15133" max="15134" width="8.7109375" style="382"/>
    <col min="15135" max="15135" width="10.140625" style="382" customWidth="1"/>
    <col min="15136" max="15136" width="25.7109375" style="382" customWidth="1"/>
    <col min="15137" max="15141" width="15.7109375" style="382" customWidth="1"/>
    <col min="15142" max="15144" width="9.140625" style="382" customWidth="1"/>
    <col min="15145" max="15145" width="25.7109375" style="382" customWidth="1"/>
    <col min="15146" max="15150" width="15.7109375" style="382" customWidth="1"/>
    <col min="15151" max="15153" width="9.140625" style="382" customWidth="1"/>
    <col min="15154" max="15154" width="18.7109375" style="382" customWidth="1"/>
    <col min="15155" max="15169" width="8.7109375" style="382"/>
    <col min="15170" max="15170" width="66" style="382" customWidth="1"/>
    <col min="15171" max="15173" width="14.7109375" style="382" customWidth="1"/>
    <col min="15174" max="15176" width="8.7109375" style="382"/>
    <col min="15177" max="15177" width="58.85546875" style="382" customWidth="1"/>
    <col min="15178" max="15178" width="15.140625" style="382" customWidth="1"/>
    <col min="15179" max="15179" width="20.7109375" style="382" customWidth="1"/>
    <col min="15180" max="15181" width="15.28515625" style="382" customWidth="1"/>
    <col min="15182" max="15182" width="17.28515625" style="382" customWidth="1"/>
    <col min="15183" max="15183" width="8.7109375" style="382"/>
    <col min="15184" max="15184" width="62" style="382" customWidth="1"/>
    <col min="15185" max="15188" width="13.7109375" style="382" customWidth="1"/>
    <col min="15189" max="15360" width="8.7109375" style="382"/>
    <col min="15361" max="15362" width="15.7109375" style="382" customWidth="1"/>
    <col min="15363" max="15366" width="14.7109375" style="382" customWidth="1"/>
    <col min="15367" max="15369" width="8.7109375" style="382"/>
    <col min="15370" max="15370" width="26" style="382" customWidth="1"/>
    <col min="15371" max="15375" width="17.7109375" style="382" customWidth="1"/>
    <col min="15376" max="15378" width="9.28515625" style="382" customWidth="1"/>
    <col min="15379" max="15381" width="24.7109375" style="382" customWidth="1"/>
    <col min="15382" max="15384" width="9.28515625" style="382" customWidth="1"/>
    <col min="15385" max="15388" width="24.7109375" style="382" customWidth="1"/>
    <col min="15389" max="15390" width="8.7109375" style="382"/>
    <col min="15391" max="15391" width="10.140625" style="382" customWidth="1"/>
    <col min="15392" max="15392" width="25.7109375" style="382" customWidth="1"/>
    <col min="15393" max="15397" width="15.7109375" style="382" customWidth="1"/>
    <col min="15398" max="15400" width="9.140625" style="382" customWidth="1"/>
    <col min="15401" max="15401" width="25.7109375" style="382" customWidth="1"/>
    <col min="15402" max="15406" width="15.7109375" style="382" customWidth="1"/>
    <col min="15407" max="15409" width="9.140625" style="382" customWidth="1"/>
    <col min="15410" max="15410" width="18.7109375" style="382" customWidth="1"/>
    <col min="15411" max="15425" width="8.7109375" style="382"/>
    <col min="15426" max="15426" width="66" style="382" customWidth="1"/>
    <col min="15427" max="15429" width="14.7109375" style="382" customWidth="1"/>
    <col min="15430" max="15432" width="8.7109375" style="382"/>
    <col min="15433" max="15433" width="58.85546875" style="382" customWidth="1"/>
    <col min="15434" max="15434" width="15.140625" style="382" customWidth="1"/>
    <col min="15435" max="15435" width="20.7109375" style="382" customWidth="1"/>
    <col min="15436" max="15437" width="15.28515625" style="382" customWidth="1"/>
    <col min="15438" max="15438" width="17.28515625" style="382" customWidth="1"/>
    <col min="15439" max="15439" width="8.7109375" style="382"/>
    <col min="15440" max="15440" width="62" style="382" customWidth="1"/>
    <col min="15441" max="15444" width="13.7109375" style="382" customWidth="1"/>
    <col min="15445" max="15616" width="8.7109375" style="382"/>
    <col min="15617" max="15618" width="15.7109375" style="382" customWidth="1"/>
    <col min="15619" max="15622" width="14.7109375" style="382" customWidth="1"/>
    <col min="15623" max="15625" width="8.7109375" style="382"/>
    <col min="15626" max="15626" width="26" style="382" customWidth="1"/>
    <col min="15627" max="15631" width="17.7109375" style="382" customWidth="1"/>
    <col min="15632" max="15634" width="9.28515625" style="382" customWidth="1"/>
    <col min="15635" max="15637" width="24.7109375" style="382" customWidth="1"/>
    <col min="15638" max="15640" width="9.28515625" style="382" customWidth="1"/>
    <col min="15641" max="15644" width="24.7109375" style="382" customWidth="1"/>
    <col min="15645" max="15646" width="8.7109375" style="382"/>
    <col min="15647" max="15647" width="10.140625" style="382" customWidth="1"/>
    <col min="15648" max="15648" width="25.7109375" style="382" customWidth="1"/>
    <col min="15649" max="15653" width="15.7109375" style="382" customWidth="1"/>
    <col min="15654" max="15656" width="9.140625" style="382" customWidth="1"/>
    <col min="15657" max="15657" width="25.7109375" style="382" customWidth="1"/>
    <col min="15658" max="15662" width="15.7109375" style="382" customWidth="1"/>
    <col min="15663" max="15665" width="9.140625" style="382" customWidth="1"/>
    <col min="15666" max="15666" width="18.7109375" style="382" customWidth="1"/>
    <col min="15667" max="15681" width="8.7109375" style="382"/>
    <col min="15682" max="15682" width="66" style="382" customWidth="1"/>
    <col min="15683" max="15685" width="14.7109375" style="382" customWidth="1"/>
    <col min="15686" max="15688" width="8.7109375" style="382"/>
    <col min="15689" max="15689" width="58.85546875" style="382" customWidth="1"/>
    <col min="15690" max="15690" width="15.140625" style="382" customWidth="1"/>
    <col min="15691" max="15691" width="20.7109375" style="382" customWidth="1"/>
    <col min="15692" max="15693" width="15.28515625" style="382" customWidth="1"/>
    <col min="15694" max="15694" width="17.28515625" style="382" customWidth="1"/>
    <col min="15695" max="15695" width="8.7109375" style="382"/>
    <col min="15696" max="15696" width="62" style="382" customWidth="1"/>
    <col min="15697" max="15700" width="13.7109375" style="382" customWidth="1"/>
    <col min="15701" max="15872" width="8.7109375" style="382"/>
    <col min="15873" max="15874" width="15.7109375" style="382" customWidth="1"/>
    <col min="15875" max="15878" width="14.7109375" style="382" customWidth="1"/>
    <col min="15879" max="15881" width="8.7109375" style="382"/>
    <col min="15882" max="15882" width="26" style="382" customWidth="1"/>
    <col min="15883" max="15887" width="17.7109375" style="382" customWidth="1"/>
    <col min="15888" max="15890" width="9.28515625" style="382" customWidth="1"/>
    <col min="15891" max="15893" width="24.7109375" style="382" customWidth="1"/>
    <col min="15894" max="15896" width="9.28515625" style="382" customWidth="1"/>
    <col min="15897" max="15900" width="24.7109375" style="382" customWidth="1"/>
    <col min="15901" max="15902" width="8.7109375" style="382"/>
    <col min="15903" max="15903" width="10.140625" style="382" customWidth="1"/>
    <col min="15904" max="15904" width="25.7109375" style="382" customWidth="1"/>
    <col min="15905" max="15909" width="15.7109375" style="382" customWidth="1"/>
    <col min="15910" max="15912" width="9.140625" style="382" customWidth="1"/>
    <col min="15913" max="15913" width="25.7109375" style="382" customWidth="1"/>
    <col min="15914" max="15918" width="15.7109375" style="382" customWidth="1"/>
    <col min="15919" max="15921" width="9.140625" style="382" customWidth="1"/>
    <col min="15922" max="15922" width="18.7109375" style="382" customWidth="1"/>
    <col min="15923" max="15937" width="8.7109375" style="382"/>
    <col min="15938" max="15938" width="66" style="382" customWidth="1"/>
    <col min="15939" max="15941" width="14.7109375" style="382" customWidth="1"/>
    <col min="15942" max="15944" width="8.7109375" style="382"/>
    <col min="15945" max="15945" width="58.85546875" style="382" customWidth="1"/>
    <col min="15946" max="15946" width="15.140625" style="382" customWidth="1"/>
    <col min="15947" max="15947" width="20.7109375" style="382" customWidth="1"/>
    <col min="15948" max="15949" width="15.28515625" style="382" customWidth="1"/>
    <col min="15950" max="15950" width="17.28515625" style="382" customWidth="1"/>
    <col min="15951" max="15951" width="8.7109375" style="382"/>
    <col min="15952" max="15952" width="62" style="382" customWidth="1"/>
    <col min="15953" max="15956" width="13.7109375" style="382" customWidth="1"/>
    <col min="15957" max="16128" width="8.7109375" style="382"/>
    <col min="16129" max="16130" width="15.7109375" style="382" customWidth="1"/>
    <col min="16131" max="16134" width="14.7109375" style="382" customWidth="1"/>
    <col min="16135" max="16137" width="8.7109375" style="382"/>
    <col min="16138" max="16138" width="26" style="382" customWidth="1"/>
    <col min="16139" max="16143" width="17.7109375" style="382" customWidth="1"/>
    <col min="16144" max="16146" width="9.28515625" style="382" customWidth="1"/>
    <col min="16147" max="16149" width="24.7109375" style="382" customWidth="1"/>
    <col min="16150" max="16152" width="9.28515625" style="382" customWidth="1"/>
    <col min="16153" max="16156" width="24.7109375" style="382" customWidth="1"/>
    <col min="16157" max="16158" width="8.7109375" style="382"/>
    <col min="16159" max="16159" width="10.140625" style="382" customWidth="1"/>
    <col min="16160" max="16160" width="25.7109375" style="382" customWidth="1"/>
    <col min="16161" max="16165" width="15.7109375" style="382" customWidth="1"/>
    <col min="16166" max="16168" width="9.140625" style="382" customWidth="1"/>
    <col min="16169" max="16169" width="25.7109375" style="382" customWidth="1"/>
    <col min="16170" max="16174" width="15.7109375" style="382" customWidth="1"/>
    <col min="16175" max="16177" width="9.140625" style="382" customWidth="1"/>
    <col min="16178" max="16178" width="18.7109375" style="382" customWidth="1"/>
    <col min="16179" max="16193" width="8.7109375" style="382"/>
    <col min="16194" max="16194" width="66" style="382" customWidth="1"/>
    <col min="16195" max="16197" width="14.7109375" style="382" customWidth="1"/>
    <col min="16198" max="16200" width="8.7109375" style="382"/>
    <col min="16201" max="16201" width="58.85546875" style="382" customWidth="1"/>
    <col min="16202" max="16202" width="15.140625" style="382" customWidth="1"/>
    <col min="16203" max="16203" width="20.7109375" style="382" customWidth="1"/>
    <col min="16204" max="16205" width="15.28515625" style="382" customWidth="1"/>
    <col min="16206" max="16206" width="17.28515625" style="382" customWidth="1"/>
    <col min="16207" max="16207" width="8.7109375" style="382"/>
    <col min="16208" max="16208" width="62" style="382" customWidth="1"/>
    <col min="16209" max="16212" width="13.7109375" style="382" customWidth="1"/>
    <col min="16213" max="16384" width="8.7109375" style="382"/>
  </cols>
  <sheetData>
    <row r="1" spans="1:84" ht="12" customHeight="1">
      <c r="A1" s="381" t="s">
        <v>2770</v>
      </c>
      <c r="B1" s="381"/>
      <c r="C1" s="381"/>
      <c r="D1" s="381"/>
      <c r="E1" s="381"/>
      <c r="F1" s="381"/>
      <c r="J1" s="381" t="s">
        <v>2771</v>
      </c>
      <c r="S1" s="381" t="s">
        <v>2772</v>
      </c>
      <c r="T1" s="383"/>
      <c r="U1" s="383"/>
      <c r="Y1" s="381" t="s">
        <v>2773</v>
      </c>
      <c r="Z1" s="383"/>
      <c r="AA1" s="383"/>
      <c r="AB1" s="383"/>
      <c r="AF1" s="384" t="s">
        <v>2774</v>
      </c>
      <c r="AG1" s="384"/>
      <c r="AH1" s="384"/>
      <c r="AI1" s="384"/>
      <c r="AJ1" s="384"/>
      <c r="AK1" s="384"/>
      <c r="AL1" s="385"/>
      <c r="AM1" s="385"/>
      <c r="AN1" s="385"/>
      <c r="AO1" s="384" t="s">
        <v>2775</v>
      </c>
      <c r="AP1" s="384"/>
      <c r="AQ1" s="384"/>
      <c r="AR1" s="384"/>
      <c r="AS1" s="384"/>
      <c r="AT1" s="384"/>
      <c r="AU1" s="385"/>
      <c r="AV1" s="385"/>
      <c r="AW1" s="385"/>
      <c r="AX1" s="384" t="s">
        <v>2776</v>
      </c>
      <c r="AY1" s="386"/>
      <c r="AZ1" s="386"/>
      <c r="BA1" s="386"/>
      <c r="BB1" s="386"/>
      <c r="BC1" s="386"/>
      <c r="BD1" s="386"/>
      <c r="BE1" s="386"/>
      <c r="BF1" s="386"/>
      <c r="BG1" s="386"/>
      <c r="BH1" s="386"/>
      <c r="BI1" s="386"/>
      <c r="BJ1" s="386"/>
      <c r="BK1" s="385"/>
      <c r="BL1" s="385"/>
      <c r="BN1" s="387" t="s">
        <v>2777</v>
      </c>
      <c r="BO1" s="381"/>
      <c r="BP1" s="381"/>
      <c r="BQ1" s="381"/>
      <c r="BU1" s="387" t="s">
        <v>2778</v>
      </c>
      <c r="BV1" s="381"/>
      <c r="BW1" s="381"/>
      <c r="BX1" s="381"/>
      <c r="BY1" s="381"/>
    </row>
    <row r="2" spans="1:84" ht="12" customHeight="1">
      <c r="A2" s="2085" t="s">
        <v>2779</v>
      </c>
      <c r="B2" s="2085"/>
      <c r="C2" s="2087" t="s">
        <v>2780</v>
      </c>
      <c r="D2" s="2088"/>
      <c r="E2" s="2087" t="s">
        <v>2781</v>
      </c>
      <c r="F2" s="2088"/>
      <c r="J2" s="388"/>
      <c r="K2" s="389"/>
      <c r="L2" s="389"/>
      <c r="M2" s="390"/>
      <c r="N2" s="390"/>
      <c r="O2" s="388"/>
      <c r="S2" s="391"/>
      <c r="T2" s="392" t="s">
        <v>2782</v>
      </c>
      <c r="U2" s="392"/>
      <c r="Y2" s="391"/>
      <c r="Z2" s="392" t="s">
        <v>2782</v>
      </c>
      <c r="AA2" s="392" t="s">
        <v>2783</v>
      </c>
      <c r="AB2" s="392"/>
      <c r="AE2" s="385"/>
      <c r="AF2" s="2091" t="s">
        <v>2784</v>
      </c>
      <c r="AG2" s="2070" t="s">
        <v>2785</v>
      </c>
      <c r="AH2" s="2071"/>
      <c r="AI2" s="2071"/>
      <c r="AJ2" s="2071"/>
      <c r="AK2" s="2071"/>
      <c r="AL2" s="393"/>
      <c r="AM2" s="394"/>
      <c r="AN2" s="394"/>
      <c r="AO2" s="2072" t="s">
        <v>2784</v>
      </c>
      <c r="AP2" s="2070" t="s">
        <v>2786</v>
      </c>
      <c r="AQ2" s="2071"/>
      <c r="AR2" s="2071"/>
      <c r="AS2" s="2071"/>
      <c r="AT2" s="2071"/>
      <c r="AU2" s="393"/>
      <c r="AV2" s="393"/>
      <c r="AW2" s="394"/>
      <c r="AX2" s="2076" t="s">
        <v>2787</v>
      </c>
      <c r="AY2" s="2078" t="s">
        <v>2788</v>
      </c>
      <c r="AZ2" s="2079"/>
      <c r="BA2" s="2079"/>
      <c r="BB2" s="2079"/>
      <c r="BC2" s="2079"/>
      <c r="BD2" s="2079"/>
      <c r="BE2" s="2079"/>
      <c r="BF2" s="2079"/>
      <c r="BG2" s="2079"/>
      <c r="BH2" s="2079"/>
      <c r="BI2" s="2079"/>
      <c r="BJ2" s="2079"/>
      <c r="BN2" s="398"/>
      <c r="BO2" s="2078" t="s">
        <v>2789</v>
      </c>
      <c r="BP2" s="2080"/>
      <c r="BQ2" s="400"/>
      <c r="BU2" s="398"/>
      <c r="BV2" s="401"/>
      <c r="BW2" s="2078" t="s">
        <v>388</v>
      </c>
      <c r="BX2" s="2080"/>
      <c r="BY2" s="400"/>
      <c r="CC2" s="2094"/>
      <c r="CD2" s="2094"/>
      <c r="CE2" s="2094"/>
      <c r="CF2" s="385"/>
    </row>
    <row r="3" spans="1:84" ht="12" customHeight="1">
      <c r="A3" s="2086"/>
      <c r="B3" s="2086"/>
      <c r="C3" s="2089"/>
      <c r="D3" s="2090"/>
      <c r="E3" s="2089"/>
      <c r="F3" s="2090"/>
      <c r="J3" s="391"/>
      <c r="K3" s="403">
        <v>2024</v>
      </c>
      <c r="L3" s="404">
        <v>2023</v>
      </c>
      <c r="M3" s="404">
        <v>2022</v>
      </c>
      <c r="N3" s="404">
        <v>2021</v>
      </c>
      <c r="O3" s="405">
        <v>2019</v>
      </c>
      <c r="P3" s="406"/>
      <c r="S3" s="382" t="s">
        <v>2790</v>
      </c>
      <c r="T3" s="392" t="s">
        <v>1705</v>
      </c>
      <c r="U3" s="392" t="s">
        <v>2791</v>
      </c>
      <c r="Y3" s="382" t="s">
        <v>2790</v>
      </c>
      <c r="Z3" s="392" t="s">
        <v>1705</v>
      </c>
      <c r="AA3" s="392" t="s">
        <v>2792</v>
      </c>
      <c r="AB3" s="392" t="s">
        <v>2791</v>
      </c>
      <c r="AE3" s="385"/>
      <c r="AF3" s="2091"/>
      <c r="AG3" s="407" t="s">
        <v>2793</v>
      </c>
      <c r="AH3" s="407" t="s">
        <v>2794</v>
      </c>
      <c r="AI3" s="407" t="s">
        <v>2795</v>
      </c>
      <c r="AJ3" s="407" t="s">
        <v>2796</v>
      </c>
      <c r="AK3" s="408" t="s">
        <v>2797</v>
      </c>
      <c r="AL3" s="409"/>
      <c r="AM3" s="394"/>
      <c r="AN3" s="394"/>
      <c r="AO3" s="2072"/>
      <c r="AP3" s="410" t="s">
        <v>2793</v>
      </c>
      <c r="AQ3" s="410" t="s">
        <v>2794</v>
      </c>
      <c r="AR3" s="410" t="s">
        <v>2795</v>
      </c>
      <c r="AS3" s="410" t="s">
        <v>2796</v>
      </c>
      <c r="AT3" s="411" t="s">
        <v>2797</v>
      </c>
      <c r="AU3" s="409"/>
      <c r="AV3" s="409"/>
      <c r="AW3" s="409"/>
      <c r="AX3" s="2077"/>
      <c r="AY3" s="2081" t="s">
        <v>2798</v>
      </c>
      <c r="AZ3" s="2082"/>
      <c r="BA3" s="2081" t="s">
        <v>2799</v>
      </c>
      <c r="BB3" s="2082"/>
      <c r="BC3" s="2081" t="s">
        <v>2800</v>
      </c>
      <c r="BD3" s="2082"/>
      <c r="BE3" s="2081" t="s">
        <v>2801</v>
      </c>
      <c r="BF3" s="2082"/>
      <c r="BG3" s="2081" t="s">
        <v>2802</v>
      </c>
      <c r="BH3" s="2082"/>
      <c r="BI3" s="2081" t="s">
        <v>2803</v>
      </c>
      <c r="BJ3" s="2077"/>
      <c r="BK3" s="2073"/>
      <c r="BL3" s="2073"/>
      <c r="BN3" s="415"/>
      <c r="BO3" s="416"/>
      <c r="BP3" s="417"/>
      <c r="BQ3" s="418"/>
      <c r="BU3" s="415"/>
      <c r="BV3" s="416" t="s">
        <v>2804</v>
      </c>
      <c r="BW3" s="419" t="s">
        <v>2805</v>
      </c>
      <c r="BX3" s="401"/>
      <c r="BY3" s="418"/>
      <c r="CC3" s="385"/>
      <c r="CD3" s="2094"/>
      <c r="CE3" s="2094"/>
      <c r="CF3" s="385"/>
    </row>
    <row r="4" spans="1:84" ht="15" customHeight="1">
      <c r="A4" s="2092" t="s">
        <v>2806</v>
      </c>
      <c r="B4" s="2087" t="s">
        <v>1936</v>
      </c>
      <c r="C4" s="2087" t="s">
        <v>2807</v>
      </c>
      <c r="D4" s="2087" t="s">
        <v>2808</v>
      </c>
      <c r="E4" s="2087" t="s">
        <v>2807</v>
      </c>
      <c r="F4" s="2083" t="s">
        <v>2808</v>
      </c>
      <c r="J4" s="382" t="s">
        <v>2790</v>
      </c>
      <c r="K4" s="420" t="s">
        <v>2809</v>
      </c>
      <c r="L4" s="421" t="s">
        <v>2809</v>
      </c>
      <c r="M4" s="421" t="s">
        <v>2809</v>
      </c>
      <c r="N4" s="421" t="s">
        <v>2809</v>
      </c>
      <c r="O4" s="422" t="s">
        <v>2809</v>
      </c>
      <c r="P4" s="406"/>
      <c r="S4" s="423" t="s">
        <v>2810</v>
      </c>
      <c r="T4" s="424" t="s">
        <v>2811</v>
      </c>
      <c r="U4" s="424" t="s">
        <v>2812</v>
      </c>
      <c r="Y4" s="423" t="s">
        <v>2810</v>
      </c>
      <c r="Z4" s="424" t="s">
        <v>2811</v>
      </c>
      <c r="AA4" s="424" t="s">
        <v>2813</v>
      </c>
      <c r="AB4" s="424" t="s">
        <v>2814</v>
      </c>
      <c r="AE4" s="385"/>
      <c r="AF4" s="425" t="s">
        <v>388</v>
      </c>
      <c r="AG4" s="426">
        <f>SUM(AG5:AG55)</f>
        <v>78825</v>
      </c>
      <c r="AH4" s="427">
        <f>SUM(AH5:AH55)</f>
        <v>82994</v>
      </c>
      <c r="AI4" s="428">
        <f>SUM(AI5:AI55)</f>
        <v>78348</v>
      </c>
      <c r="AJ4" s="428">
        <f>SUM(AJ5:AJ55)</f>
        <v>81898</v>
      </c>
      <c r="AK4" s="428">
        <f>SUM(AK5:AK55)</f>
        <v>86069</v>
      </c>
      <c r="AL4" s="429"/>
      <c r="AM4" s="430"/>
      <c r="AN4" s="430"/>
      <c r="AO4" s="425" t="s">
        <v>388</v>
      </c>
      <c r="AP4" s="428">
        <f>SUM(AP5:AP55)</f>
        <v>181154</v>
      </c>
      <c r="AQ4" s="428">
        <v>179561</v>
      </c>
      <c r="AR4" s="428">
        <f>SUM(AR5:AR55)</f>
        <v>172508</v>
      </c>
      <c r="AS4" s="428">
        <f>SUM(AS5:AS55)</f>
        <v>172185</v>
      </c>
      <c r="AT4" s="428">
        <f>SUM(AT5:AT55)</f>
        <v>166812</v>
      </c>
      <c r="AU4" s="431"/>
      <c r="AV4" s="430"/>
      <c r="AW4" s="394"/>
      <c r="AX4" s="391" t="s">
        <v>2815</v>
      </c>
      <c r="AY4" s="432">
        <v>83961</v>
      </c>
      <c r="AZ4" s="433"/>
      <c r="BA4" s="432">
        <v>95442</v>
      </c>
      <c r="BB4" s="391"/>
      <c r="BC4" s="434">
        <v>84847</v>
      </c>
      <c r="BD4" s="391"/>
      <c r="BE4" s="434">
        <v>79418</v>
      </c>
      <c r="BF4" s="435"/>
      <c r="BG4" s="436">
        <v>78323</v>
      </c>
      <c r="BH4" s="391"/>
      <c r="BI4" s="434">
        <v>104219</v>
      </c>
      <c r="BJ4" s="391"/>
      <c r="BK4" s="393"/>
      <c r="BL4" s="437"/>
      <c r="BN4" s="398"/>
      <c r="BO4" s="416"/>
      <c r="BP4" s="416" t="s">
        <v>2782</v>
      </c>
      <c r="BQ4" s="438"/>
      <c r="BU4" s="398"/>
      <c r="BV4" s="416" t="s">
        <v>2816</v>
      </c>
      <c r="BW4" s="438" t="s">
        <v>2791</v>
      </c>
      <c r="BX4" s="416" t="s">
        <v>2782</v>
      </c>
      <c r="BY4" s="438"/>
      <c r="CD4" s="439"/>
    </row>
    <row r="5" spans="1:84" ht="14.1" customHeight="1" thickBot="1">
      <c r="A5" s="2093"/>
      <c r="B5" s="2089"/>
      <c r="C5" s="2089"/>
      <c r="D5" s="2089"/>
      <c r="E5" s="2089"/>
      <c r="F5" s="2084"/>
      <c r="J5" s="423" t="s">
        <v>2810</v>
      </c>
      <c r="K5" s="440" t="s">
        <v>2807</v>
      </c>
      <c r="L5" s="441" t="s">
        <v>2807</v>
      </c>
      <c r="M5" s="441" t="s">
        <v>2807</v>
      </c>
      <c r="N5" s="441" t="s">
        <v>2807</v>
      </c>
      <c r="O5" s="442" t="s">
        <v>2807</v>
      </c>
      <c r="P5" s="406"/>
      <c r="S5" s="443" t="s">
        <v>388</v>
      </c>
      <c r="T5" s="444">
        <v>81287</v>
      </c>
      <c r="U5" s="444">
        <v>168226</v>
      </c>
      <c r="V5" s="393"/>
      <c r="Y5" s="443" t="s">
        <v>388</v>
      </c>
      <c r="Z5" s="444">
        <f>SUM(Z6:Z56)</f>
        <v>88310</v>
      </c>
      <c r="AA5" s="444">
        <f>SUM(AA6:AA56)</f>
        <v>91007</v>
      </c>
      <c r="AB5" s="444">
        <f>SUM(AB6:AB56)</f>
        <v>147798</v>
      </c>
      <c r="AE5" s="385"/>
      <c r="AF5" s="445" t="s">
        <v>2817</v>
      </c>
      <c r="AG5" s="446">
        <v>21734</v>
      </c>
      <c r="AH5" s="446">
        <v>23569</v>
      </c>
      <c r="AI5" s="446">
        <v>21545</v>
      </c>
      <c r="AJ5" s="446">
        <v>23131</v>
      </c>
      <c r="AK5" s="447">
        <v>25853</v>
      </c>
      <c r="AL5" s="430"/>
      <c r="AM5" s="448"/>
      <c r="AN5" s="448"/>
      <c r="AO5" s="430" t="s">
        <v>2818</v>
      </c>
      <c r="AP5" s="449">
        <v>30934</v>
      </c>
      <c r="AQ5" s="450">
        <v>30475</v>
      </c>
      <c r="AR5" s="450">
        <v>29087</v>
      </c>
      <c r="AS5" s="450">
        <v>30324</v>
      </c>
      <c r="AT5" s="450">
        <v>28075</v>
      </c>
      <c r="AU5" s="430"/>
      <c r="AV5" s="430"/>
      <c r="AW5" s="394"/>
      <c r="AX5" s="451" t="s">
        <v>1711</v>
      </c>
      <c r="AY5" s="432">
        <v>42736</v>
      </c>
      <c r="AZ5" s="452">
        <v>0.50900000000000001</v>
      </c>
      <c r="BA5" s="432">
        <v>49344</v>
      </c>
      <c r="BB5" s="453">
        <v>0.51700000000000002</v>
      </c>
      <c r="BC5" s="454">
        <v>42678</v>
      </c>
      <c r="BD5" s="455">
        <v>0.503</v>
      </c>
      <c r="BE5" s="454">
        <f>BE4*BF5</f>
        <v>39153.074000000001</v>
      </c>
      <c r="BF5" s="453">
        <v>0.49299999999999999</v>
      </c>
      <c r="BG5" s="454">
        <f>BG4*BH5</f>
        <v>37595.040000000001</v>
      </c>
      <c r="BH5" s="455">
        <v>0.48</v>
      </c>
      <c r="BI5" s="454">
        <f>BI4*BJ5</f>
        <v>54923.413</v>
      </c>
      <c r="BJ5" s="455">
        <v>0.52700000000000002</v>
      </c>
      <c r="BK5" s="456"/>
      <c r="BL5" s="453"/>
      <c r="BN5" s="381" t="s">
        <v>2819</v>
      </c>
      <c r="BO5" s="441" t="s">
        <v>129</v>
      </c>
      <c r="BP5" s="457" t="s">
        <v>2820</v>
      </c>
      <c r="BQ5" s="458" t="s">
        <v>2821</v>
      </c>
      <c r="BU5" s="381" t="s">
        <v>2819</v>
      </c>
      <c r="BV5" s="441" t="s">
        <v>129</v>
      </c>
      <c r="BW5" s="457" t="s">
        <v>2822</v>
      </c>
      <c r="BX5" s="457" t="s">
        <v>2820</v>
      </c>
      <c r="BY5" s="458" t="s">
        <v>1967</v>
      </c>
      <c r="CC5" s="385"/>
      <c r="CD5" s="385"/>
      <c r="CE5" s="385"/>
      <c r="CF5" s="385"/>
    </row>
    <row r="6" spans="1:84" ht="14.1" customHeight="1" thickTop="1">
      <c r="A6" s="414">
        <v>1980</v>
      </c>
      <c r="B6" s="459" t="s">
        <v>2823</v>
      </c>
      <c r="C6" s="434">
        <v>30695</v>
      </c>
      <c r="D6" s="439" t="s">
        <v>2824</v>
      </c>
      <c r="E6" s="405" t="s">
        <v>2825</v>
      </c>
      <c r="F6" s="439" t="s">
        <v>2824</v>
      </c>
      <c r="J6" s="460" t="s">
        <v>388</v>
      </c>
      <c r="K6" s="461">
        <f>SUM(K7:K45)</f>
        <v>83961</v>
      </c>
      <c r="L6" s="461">
        <f>SUM(L7:L45)</f>
        <v>95442</v>
      </c>
      <c r="M6" s="461">
        <f>SUM(M7:M45)</f>
        <v>84847</v>
      </c>
      <c r="N6" s="461">
        <f>SUM(N7:N45)</f>
        <v>79418</v>
      </c>
      <c r="O6" s="461">
        <f>SUM(O7:O45)</f>
        <v>78323</v>
      </c>
      <c r="P6" s="462"/>
      <c r="S6" s="382" t="s">
        <v>2817</v>
      </c>
      <c r="T6" s="393">
        <v>21809</v>
      </c>
      <c r="U6" s="393">
        <v>47690</v>
      </c>
      <c r="Y6" s="382" t="s">
        <v>2817</v>
      </c>
      <c r="Z6" s="393">
        <v>24299</v>
      </c>
      <c r="AA6" s="393">
        <v>24987</v>
      </c>
      <c r="AB6" s="393">
        <v>44425</v>
      </c>
      <c r="AE6" s="385"/>
      <c r="AF6" s="445" t="s">
        <v>2826</v>
      </c>
      <c r="AG6" s="446">
        <v>11099</v>
      </c>
      <c r="AH6" s="446">
        <v>11525</v>
      </c>
      <c r="AI6" s="446">
        <v>10639</v>
      </c>
      <c r="AJ6" s="446">
        <v>11620</v>
      </c>
      <c r="AK6" s="447">
        <v>11569</v>
      </c>
      <c r="AL6" s="430"/>
      <c r="AM6" s="448"/>
      <c r="AN6" s="448"/>
      <c r="AO6" s="430" t="s">
        <v>2817</v>
      </c>
      <c r="AP6" s="449">
        <v>26879</v>
      </c>
      <c r="AQ6" s="450">
        <v>28399</v>
      </c>
      <c r="AR6" s="450">
        <v>27690</v>
      </c>
      <c r="AS6" s="450">
        <v>27909</v>
      </c>
      <c r="AT6" s="450">
        <v>29990</v>
      </c>
      <c r="AU6" s="430"/>
      <c r="AV6" s="430"/>
      <c r="AW6" s="394"/>
      <c r="AX6" s="451" t="s">
        <v>1712</v>
      </c>
      <c r="AY6" s="432">
        <v>41225</v>
      </c>
      <c r="AZ6" s="452">
        <v>0.49099999999999999</v>
      </c>
      <c r="BA6" s="432">
        <v>46098</v>
      </c>
      <c r="BB6" s="453">
        <v>0.48299999999999998</v>
      </c>
      <c r="BC6" s="454">
        <v>42169</v>
      </c>
      <c r="BD6" s="455">
        <v>0.497</v>
      </c>
      <c r="BE6" s="454">
        <f>BE4*BF6</f>
        <v>40264.925999999999</v>
      </c>
      <c r="BF6" s="453">
        <v>0.50700000000000001</v>
      </c>
      <c r="BG6" s="454">
        <f>BG4*BH6</f>
        <v>40727.96</v>
      </c>
      <c r="BH6" s="455">
        <v>0.52</v>
      </c>
      <c r="BI6" s="454">
        <f>BI4*BJ6</f>
        <v>49295.587</v>
      </c>
      <c r="BJ6" s="455">
        <v>0.47299999999999998</v>
      </c>
      <c r="BK6" s="456"/>
      <c r="BL6" s="453"/>
      <c r="BN6" s="382" t="s">
        <v>2827</v>
      </c>
      <c r="BO6" s="463">
        <v>22652496</v>
      </c>
      <c r="BP6" s="463">
        <v>8197</v>
      </c>
      <c r="BQ6" s="463">
        <v>8041</v>
      </c>
      <c r="BU6" s="382" t="s">
        <v>2827</v>
      </c>
      <c r="BV6" s="463">
        <v>26403703</v>
      </c>
      <c r="BW6" s="463">
        <v>7973</v>
      </c>
      <c r="BX6" s="463">
        <v>5836</v>
      </c>
      <c r="BY6" s="463">
        <v>13345</v>
      </c>
      <c r="CC6" s="463"/>
      <c r="CD6" s="463"/>
      <c r="CE6" s="463"/>
      <c r="CF6" s="463"/>
    </row>
    <row r="7" spans="1:84" ht="14.1" customHeight="1">
      <c r="A7" s="414">
        <v>1990</v>
      </c>
      <c r="B7" s="464" t="s">
        <v>2823</v>
      </c>
      <c r="C7" s="432">
        <v>49345</v>
      </c>
      <c r="D7" s="439" t="s">
        <v>2824</v>
      </c>
      <c r="E7" s="465" t="s">
        <v>2825</v>
      </c>
      <c r="F7" s="439" t="s">
        <v>2824</v>
      </c>
      <c r="J7" s="451" t="s">
        <v>2817</v>
      </c>
      <c r="K7" s="466">
        <v>20882</v>
      </c>
      <c r="L7" s="463">
        <v>17337</v>
      </c>
      <c r="M7" s="463">
        <v>24116</v>
      </c>
      <c r="N7" s="463">
        <v>16850</v>
      </c>
      <c r="O7" s="463">
        <v>24757</v>
      </c>
      <c r="P7" s="463"/>
      <c r="S7" s="382" t="s">
        <v>2826</v>
      </c>
      <c r="T7" s="393">
        <v>12493</v>
      </c>
      <c r="U7" s="393">
        <v>21342</v>
      </c>
      <c r="Y7" s="382" t="s">
        <v>2826</v>
      </c>
      <c r="Z7" s="393">
        <v>9746</v>
      </c>
      <c r="AA7" s="393">
        <v>10149</v>
      </c>
      <c r="AB7" s="393">
        <v>14829</v>
      </c>
      <c r="AE7" s="385"/>
      <c r="AF7" s="445" t="s">
        <v>2828</v>
      </c>
      <c r="AG7" s="446">
        <v>8169</v>
      </c>
      <c r="AH7" s="446">
        <v>8153</v>
      </c>
      <c r="AI7" s="446">
        <v>7085</v>
      </c>
      <c r="AJ7" s="446">
        <v>6968</v>
      </c>
      <c r="AK7" s="447">
        <v>6670</v>
      </c>
      <c r="AL7" s="430"/>
      <c r="AM7" s="448"/>
      <c r="AN7" s="448"/>
      <c r="AO7" s="430" t="s">
        <v>2826</v>
      </c>
      <c r="AP7" s="449">
        <v>24321</v>
      </c>
      <c r="AQ7" s="450">
        <v>22762</v>
      </c>
      <c r="AR7" s="450">
        <v>20542</v>
      </c>
      <c r="AS7" s="450">
        <v>22075</v>
      </c>
      <c r="AT7" s="450">
        <v>19831</v>
      </c>
      <c r="AU7" s="430"/>
      <c r="AV7" s="430"/>
      <c r="AW7" s="394"/>
      <c r="AX7" s="467"/>
      <c r="AY7" s="468"/>
      <c r="AZ7" s="469"/>
      <c r="BA7" s="468"/>
      <c r="BB7" s="467"/>
      <c r="BC7" s="468"/>
      <c r="BD7" s="467"/>
      <c r="BE7" s="468"/>
      <c r="BF7" s="467"/>
      <c r="BG7" s="468"/>
      <c r="BH7" s="467"/>
      <c r="BI7" s="470"/>
      <c r="BJ7" s="467"/>
      <c r="BK7" s="471"/>
      <c r="BL7" s="472"/>
      <c r="BN7" s="382" t="s">
        <v>2829</v>
      </c>
      <c r="BO7" s="463">
        <v>1097201</v>
      </c>
      <c r="BP7" s="463">
        <v>1171</v>
      </c>
      <c r="BQ7" s="463">
        <v>1553</v>
      </c>
      <c r="BU7" s="382" t="s">
        <v>2830</v>
      </c>
      <c r="BV7" s="463">
        <v>3024503</v>
      </c>
      <c r="BW7" s="463">
        <v>2297</v>
      </c>
      <c r="BX7" s="463">
        <v>1517</v>
      </c>
      <c r="BY7" s="463">
        <v>7080</v>
      </c>
      <c r="CC7" s="463"/>
      <c r="CD7" s="463"/>
      <c r="CE7" s="463"/>
      <c r="CF7" s="463"/>
    </row>
    <row r="8" spans="1:84" ht="14.1" customHeight="1">
      <c r="A8" s="414">
        <v>2000</v>
      </c>
      <c r="B8" s="464" t="s">
        <v>2823</v>
      </c>
      <c r="C8" s="432">
        <v>58240</v>
      </c>
      <c r="D8" s="439" t="s">
        <v>2824</v>
      </c>
      <c r="E8" s="432">
        <v>92611</v>
      </c>
      <c r="F8" s="439" t="s">
        <v>2824</v>
      </c>
      <c r="J8" s="451" t="s">
        <v>2826</v>
      </c>
      <c r="K8" s="466">
        <v>13490</v>
      </c>
      <c r="L8" s="463">
        <v>10076</v>
      </c>
      <c r="M8" s="463">
        <v>10998</v>
      </c>
      <c r="N8" s="463">
        <v>10886</v>
      </c>
      <c r="O8" s="463">
        <v>13686</v>
      </c>
      <c r="P8" s="463"/>
      <c r="S8" s="382" t="s">
        <v>2828</v>
      </c>
      <c r="T8" s="393">
        <v>8643</v>
      </c>
      <c r="U8" s="393">
        <v>15388</v>
      </c>
      <c r="Y8" s="382" t="s">
        <v>2828</v>
      </c>
      <c r="Z8" s="393">
        <v>6591</v>
      </c>
      <c r="AA8" s="393">
        <v>6758</v>
      </c>
      <c r="AB8" s="393">
        <v>10167</v>
      </c>
      <c r="AE8" s="385"/>
      <c r="AF8" s="445" t="s">
        <v>2831</v>
      </c>
      <c r="AG8" s="446">
        <v>4358</v>
      </c>
      <c r="AH8" s="446">
        <v>4282</v>
      </c>
      <c r="AI8" s="446">
        <v>3621</v>
      </c>
      <c r="AJ8" s="446">
        <v>3736</v>
      </c>
      <c r="AK8" s="447">
        <v>4482</v>
      </c>
      <c r="AL8" s="430"/>
      <c r="AM8" s="448"/>
      <c r="AN8" s="448"/>
      <c r="AO8" s="430" t="s">
        <v>2828</v>
      </c>
      <c r="AP8" s="449">
        <v>12028</v>
      </c>
      <c r="AQ8" s="450">
        <v>11909</v>
      </c>
      <c r="AR8" s="450">
        <v>10569</v>
      </c>
      <c r="AS8" s="450">
        <v>10184</v>
      </c>
      <c r="AT8" s="450">
        <v>10378</v>
      </c>
      <c r="AU8" s="430"/>
      <c r="AV8" s="430"/>
      <c r="AW8" s="394"/>
      <c r="AX8" s="451" t="s">
        <v>2832</v>
      </c>
      <c r="AY8" s="432">
        <v>3442</v>
      </c>
      <c r="AZ8" s="452">
        <v>4.1000000000000002E-2</v>
      </c>
      <c r="BA8" s="432">
        <v>5154</v>
      </c>
      <c r="BB8" s="453">
        <v>5.3999999999999999E-2</v>
      </c>
      <c r="BC8" s="454">
        <v>3054</v>
      </c>
      <c r="BD8" s="473">
        <v>3.5999999999999997E-2</v>
      </c>
      <c r="BE8" s="454">
        <f>$BE$4*BF8</f>
        <v>3891.482</v>
      </c>
      <c r="BF8" s="473">
        <v>4.9000000000000002E-2</v>
      </c>
      <c r="BG8" s="454">
        <f>$BG$4*BH8</f>
        <v>4621.0569999999998</v>
      </c>
      <c r="BH8" s="473">
        <v>5.8999999999999997E-2</v>
      </c>
      <c r="BI8" s="454">
        <v>4530</v>
      </c>
      <c r="BJ8" s="473">
        <v>4.2999999999999997E-2</v>
      </c>
      <c r="BK8" s="456"/>
      <c r="BL8" s="453"/>
      <c r="BN8" s="382" t="s">
        <v>2833</v>
      </c>
      <c r="BO8" s="463">
        <v>752325</v>
      </c>
      <c r="BP8" s="382">
        <v>938</v>
      </c>
      <c r="BQ8" s="474">
        <v>666</v>
      </c>
      <c r="BU8" s="382" t="s">
        <v>2834</v>
      </c>
      <c r="BV8" s="463">
        <v>328430</v>
      </c>
      <c r="BW8" s="382">
        <v>310</v>
      </c>
      <c r="BX8" s="382">
        <v>237</v>
      </c>
      <c r="BY8" s="475" t="s">
        <v>2835</v>
      </c>
      <c r="CC8" s="463"/>
      <c r="CD8" s="463"/>
      <c r="CE8" s="463"/>
      <c r="CF8" s="463"/>
    </row>
    <row r="9" spans="1:84" ht="14.1" customHeight="1">
      <c r="A9" s="414">
        <v>2010</v>
      </c>
      <c r="B9" s="400" t="s">
        <v>2823</v>
      </c>
      <c r="C9" s="432">
        <v>88310</v>
      </c>
      <c r="D9" s="439" t="s">
        <v>2824</v>
      </c>
      <c r="E9" s="432">
        <v>147798</v>
      </c>
      <c r="F9" s="439" t="s">
        <v>2824</v>
      </c>
      <c r="J9" s="451" t="s">
        <v>2828</v>
      </c>
      <c r="K9" s="466">
        <v>10019</v>
      </c>
      <c r="L9" s="463">
        <v>7284</v>
      </c>
      <c r="M9" s="463">
        <v>7768</v>
      </c>
      <c r="N9" s="463">
        <v>6158</v>
      </c>
      <c r="O9" s="463">
        <v>6416</v>
      </c>
      <c r="P9" s="463"/>
      <c r="S9" s="382" t="s">
        <v>2831</v>
      </c>
      <c r="T9" s="394">
        <v>4272</v>
      </c>
      <c r="U9" s="393">
        <v>7595</v>
      </c>
      <c r="Y9" s="382" t="s">
        <v>2836</v>
      </c>
      <c r="Z9" s="393">
        <v>3747</v>
      </c>
      <c r="AA9" s="393">
        <v>3785</v>
      </c>
      <c r="AB9" s="393">
        <v>5904</v>
      </c>
      <c r="AE9" s="385"/>
      <c r="AF9" s="445" t="s">
        <v>2836</v>
      </c>
      <c r="AG9" s="446">
        <v>2885</v>
      </c>
      <c r="AH9" s="446">
        <v>3045</v>
      </c>
      <c r="AI9" s="446">
        <v>2834</v>
      </c>
      <c r="AJ9" s="446">
        <v>3002</v>
      </c>
      <c r="AK9" s="447">
        <v>3609</v>
      </c>
      <c r="AL9" s="430"/>
      <c r="AM9" s="448"/>
      <c r="AN9" s="448"/>
      <c r="AO9" s="430" t="s">
        <v>2837</v>
      </c>
      <c r="AP9" s="449">
        <v>10535</v>
      </c>
      <c r="AQ9" s="450">
        <v>9550</v>
      </c>
      <c r="AR9" s="450">
        <v>9047</v>
      </c>
      <c r="AS9" s="450">
        <v>8625</v>
      </c>
      <c r="AT9" s="450">
        <v>7241</v>
      </c>
      <c r="AU9" s="430"/>
      <c r="AV9" s="430"/>
      <c r="AW9" s="394"/>
      <c r="AX9" s="451" t="s">
        <v>2838</v>
      </c>
      <c r="AY9" s="432">
        <v>12585</v>
      </c>
      <c r="AZ9" s="452">
        <v>0.15</v>
      </c>
      <c r="BA9" s="432">
        <v>16893</v>
      </c>
      <c r="BB9" s="453">
        <v>0.17699999999999999</v>
      </c>
      <c r="BC9" s="454">
        <v>13450</v>
      </c>
      <c r="BD9" s="473">
        <v>0.159</v>
      </c>
      <c r="BE9" s="454">
        <f>$BE$4*BF9</f>
        <v>13103.970000000001</v>
      </c>
      <c r="BF9" s="473">
        <v>0.16500000000000001</v>
      </c>
      <c r="BG9" s="454">
        <f t="shared" ref="BG9:BG16" si="0">$BG$4*BH9</f>
        <v>10965.220000000001</v>
      </c>
      <c r="BH9" s="473">
        <v>0.14000000000000001</v>
      </c>
      <c r="BI9" s="454">
        <v>15155</v>
      </c>
      <c r="BJ9" s="473">
        <v>0.14499999999999999</v>
      </c>
      <c r="BK9" s="456"/>
      <c r="BL9" s="453"/>
      <c r="BN9" s="382" t="s">
        <v>2839</v>
      </c>
      <c r="BO9" s="463">
        <v>50437</v>
      </c>
      <c r="BP9" s="463">
        <v>8</v>
      </c>
      <c r="BQ9" s="474">
        <v>46</v>
      </c>
      <c r="BU9" s="382" t="s">
        <v>2840</v>
      </c>
      <c r="BV9" s="463">
        <v>2696073</v>
      </c>
      <c r="BW9" s="463">
        <v>1987</v>
      </c>
      <c r="BX9" s="463">
        <v>1280</v>
      </c>
      <c r="BY9" s="474" t="s">
        <v>2835</v>
      </c>
      <c r="CC9" s="463"/>
      <c r="CD9" s="463"/>
      <c r="CE9" s="463"/>
      <c r="CF9" s="463"/>
    </row>
    <row r="10" spans="1:84" ht="14.1" customHeight="1">
      <c r="A10" s="412">
        <v>2020</v>
      </c>
      <c r="B10" s="413" t="s">
        <v>2823</v>
      </c>
      <c r="C10" s="476">
        <v>81287</v>
      </c>
      <c r="D10" s="477" t="s">
        <v>2824</v>
      </c>
      <c r="E10" s="476">
        <v>168226</v>
      </c>
      <c r="F10" s="477" t="s">
        <v>2824</v>
      </c>
      <c r="J10" s="451" t="s">
        <v>2841</v>
      </c>
      <c r="K10" s="466">
        <v>3088</v>
      </c>
      <c r="L10" s="463">
        <v>1121</v>
      </c>
      <c r="M10" s="463">
        <v>3173</v>
      </c>
      <c r="N10" s="463">
        <v>1876</v>
      </c>
      <c r="O10" s="463">
        <v>1195</v>
      </c>
      <c r="P10" s="463"/>
      <c r="S10" s="382" t="s">
        <v>2842</v>
      </c>
      <c r="T10" s="393">
        <v>3211</v>
      </c>
      <c r="U10" s="393">
        <v>5971</v>
      </c>
      <c r="Y10" s="382" t="s">
        <v>2831</v>
      </c>
      <c r="Z10" s="394">
        <v>3513</v>
      </c>
      <c r="AA10" s="393">
        <v>3601</v>
      </c>
      <c r="AB10" s="393">
        <v>5512</v>
      </c>
      <c r="AE10" s="385"/>
      <c r="AF10" s="445" t="s">
        <v>2818</v>
      </c>
      <c r="AG10" s="446">
        <v>2960</v>
      </c>
      <c r="AH10" s="446">
        <v>2899</v>
      </c>
      <c r="AI10" s="446">
        <v>2828</v>
      </c>
      <c r="AJ10" s="446">
        <v>2614</v>
      </c>
      <c r="AK10" s="447">
        <v>2514</v>
      </c>
      <c r="AL10" s="430"/>
      <c r="AM10" s="448"/>
      <c r="AN10" s="448"/>
      <c r="AO10" s="430" t="s">
        <v>2843</v>
      </c>
      <c r="AP10" s="449">
        <v>8227</v>
      </c>
      <c r="AQ10" s="450">
        <v>8220</v>
      </c>
      <c r="AR10" s="450">
        <v>8650</v>
      </c>
      <c r="AS10" s="450">
        <v>7515</v>
      </c>
      <c r="AT10" s="450">
        <v>7826</v>
      </c>
      <c r="AU10" s="430"/>
      <c r="AV10" s="430"/>
      <c r="AW10" s="394"/>
      <c r="AX10" s="451" t="s">
        <v>2844</v>
      </c>
      <c r="AY10" s="432">
        <v>8815</v>
      </c>
      <c r="AZ10" s="452">
        <v>0.105</v>
      </c>
      <c r="BA10" s="432">
        <v>9067</v>
      </c>
      <c r="BB10" s="453">
        <v>9.5000000000000001E-2</v>
      </c>
      <c r="BC10" s="454">
        <v>7042</v>
      </c>
      <c r="BD10" s="473">
        <v>8.3000000000000004E-2</v>
      </c>
      <c r="BE10" s="454">
        <f t="shared" ref="BE10:BE16" si="1">$BE$4*BF10</f>
        <v>9688.9959999999992</v>
      </c>
      <c r="BF10" s="473">
        <v>0.122</v>
      </c>
      <c r="BG10" s="454">
        <f t="shared" si="0"/>
        <v>9555.405999999999</v>
      </c>
      <c r="BH10" s="473">
        <v>0.122</v>
      </c>
      <c r="BI10" s="454">
        <v>13240</v>
      </c>
      <c r="BJ10" s="473">
        <v>0.127</v>
      </c>
      <c r="BK10" s="456"/>
      <c r="BL10" s="453"/>
      <c r="BN10" s="382" t="s">
        <v>2845</v>
      </c>
      <c r="BO10" s="463">
        <v>2293258</v>
      </c>
      <c r="BP10" s="463">
        <v>1266</v>
      </c>
      <c r="BQ10" s="474">
        <v>1088</v>
      </c>
      <c r="BU10" s="382" t="s">
        <v>2846</v>
      </c>
      <c r="BV10" s="463">
        <v>2479553</v>
      </c>
      <c r="BW10" s="463">
        <v>1608</v>
      </c>
      <c r="BX10" s="382">
        <v>942</v>
      </c>
      <c r="BY10" s="475" t="s">
        <v>2835</v>
      </c>
      <c r="CC10" s="463"/>
    </row>
    <row r="11" spans="1:84" ht="14.1" customHeight="1">
      <c r="A11" s="414">
        <v>2006</v>
      </c>
      <c r="B11" s="464" t="s">
        <v>2847</v>
      </c>
      <c r="C11" s="478">
        <v>85628</v>
      </c>
      <c r="D11" s="479">
        <v>7742</v>
      </c>
      <c r="E11" s="478">
        <v>117825</v>
      </c>
      <c r="F11" s="480">
        <v>9180</v>
      </c>
      <c r="J11" s="451" t="s">
        <v>2831</v>
      </c>
      <c r="K11" s="466">
        <v>3698</v>
      </c>
      <c r="L11" s="463">
        <v>5470</v>
      </c>
      <c r="M11" s="463">
        <v>2997</v>
      </c>
      <c r="N11" s="463">
        <v>2929</v>
      </c>
      <c r="O11" s="463">
        <v>5606</v>
      </c>
      <c r="P11" s="463"/>
      <c r="S11" s="382" t="s">
        <v>2836</v>
      </c>
      <c r="T11" s="393">
        <v>2960</v>
      </c>
      <c r="U11" s="393">
        <v>6285</v>
      </c>
      <c r="Y11" s="382" t="s">
        <v>2848</v>
      </c>
      <c r="Z11" s="393">
        <v>2746</v>
      </c>
      <c r="AA11" s="393">
        <v>2795</v>
      </c>
      <c r="AB11" s="393">
        <v>3856</v>
      </c>
      <c r="AE11" s="385"/>
      <c r="AF11" s="445" t="s">
        <v>2842</v>
      </c>
      <c r="AG11" s="446">
        <v>3388</v>
      </c>
      <c r="AH11" s="446">
        <v>3185</v>
      </c>
      <c r="AI11" s="446">
        <v>2767</v>
      </c>
      <c r="AJ11" s="446">
        <v>2603</v>
      </c>
      <c r="AK11" s="447">
        <v>2674</v>
      </c>
      <c r="AL11" s="430"/>
      <c r="AM11" s="448"/>
      <c r="AN11" s="448"/>
      <c r="AO11" s="430" t="s">
        <v>2842</v>
      </c>
      <c r="AP11" s="449">
        <v>5464</v>
      </c>
      <c r="AQ11" s="450">
        <v>5127</v>
      </c>
      <c r="AR11" s="450">
        <v>5228</v>
      </c>
      <c r="AS11" s="450">
        <v>5336</v>
      </c>
      <c r="AT11" s="450">
        <v>5061</v>
      </c>
      <c r="AU11" s="430"/>
      <c r="AV11" s="430"/>
      <c r="AW11" s="394"/>
      <c r="AX11" s="451" t="s">
        <v>2849</v>
      </c>
      <c r="AY11" s="432">
        <v>14345</v>
      </c>
      <c r="AZ11" s="452">
        <v>0.17100000000000001</v>
      </c>
      <c r="BA11" s="432">
        <v>18082</v>
      </c>
      <c r="BB11" s="453">
        <v>0.19700000000000001</v>
      </c>
      <c r="BC11" s="454">
        <v>16002</v>
      </c>
      <c r="BD11" s="473">
        <v>0.189</v>
      </c>
      <c r="BE11" s="454">
        <f t="shared" si="1"/>
        <v>13501.060000000001</v>
      </c>
      <c r="BF11" s="473">
        <v>0.17</v>
      </c>
      <c r="BG11" s="454">
        <f t="shared" si="0"/>
        <v>13314.910000000002</v>
      </c>
      <c r="BH11" s="473">
        <v>0.17</v>
      </c>
      <c r="BI11" s="454">
        <v>19085</v>
      </c>
      <c r="BJ11" s="473">
        <v>0.183</v>
      </c>
      <c r="BK11" s="456"/>
      <c r="BL11" s="453"/>
      <c r="BN11" s="382" t="s">
        <v>2850</v>
      </c>
      <c r="BO11" s="463">
        <v>309843</v>
      </c>
      <c r="BP11" s="463">
        <v>400</v>
      </c>
      <c r="BQ11" s="474">
        <v>231</v>
      </c>
      <c r="BU11" s="382" t="s">
        <v>2851</v>
      </c>
      <c r="BV11" s="463">
        <v>486585</v>
      </c>
      <c r="BW11" s="382">
        <v>293</v>
      </c>
      <c r="BX11" s="382">
        <v>131</v>
      </c>
      <c r="BY11" s="475" t="s">
        <v>2835</v>
      </c>
      <c r="CC11" s="463"/>
    </row>
    <row r="12" spans="1:84" ht="14.1" customHeight="1">
      <c r="A12" s="414">
        <v>2007</v>
      </c>
      <c r="B12" s="464" t="s">
        <v>2847</v>
      </c>
      <c r="C12" s="478">
        <v>74947</v>
      </c>
      <c r="D12" s="479">
        <v>7356</v>
      </c>
      <c r="E12" s="478">
        <v>110723</v>
      </c>
      <c r="F12" s="480">
        <v>10179</v>
      </c>
      <c r="J12" s="451" t="s">
        <v>2836</v>
      </c>
      <c r="K12" s="466">
        <v>5747</v>
      </c>
      <c r="L12" s="463">
        <v>2233</v>
      </c>
      <c r="M12" s="463">
        <v>2517</v>
      </c>
      <c r="N12" s="463">
        <v>3040</v>
      </c>
      <c r="O12" s="463">
        <v>2529</v>
      </c>
      <c r="P12" s="463"/>
      <c r="S12" s="382" t="s">
        <v>2818</v>
      </c>
      <c r="T12" s="393">
        <v>2780</v>
      </c>
      <c r="U12" s="393">
        <v>7554</v>
      </c>
      <c r="Y12" s="382" t="s">
        <v>2818</v>
      </c>
      <c r="Z12" s="393">
        <v>2700</v>
      </c>
      <c r="AA12" s="393">
        <v>3149</v>
      </c>
      <c r="AB12" s="393">
        <v>6647</v>
      </c>
      <c r="AE12" s="385"/>
      <c r="AF12" s="445" t="s">
        <v>2848</v>
      </c>
      <c r="AG12" s="446">
        <v>1702</v>
      </c>
      <c r="AH12" s="446">
        <v>2155</v>
      </c>
      <c r="AI12" s="446">
        <v>2240</v>
      </c>
      <c r="AJ12" s="446">
        <v>2189</v>
      </c>
      <c r="AK12" s="447">
        <v>1707</v>
      </c>
      <c r="AL12" s="430"/>
      <c r="AM12" s="448"/>
      <c r="AN12" s="448"/>
      <c r="AO12" s="430" t="s">
        <v>2852</v>
      </c>
      <c r="AP12" s="449">
        <v>5141</v>
      </c>
      <c r="AQ12" s="450">
        <v>5003</v>
      </c>
      <c r="AR12" s="450">
        <v>4802</v>
      </c>
      <c r="AS12" s="450">
        <v>4452</v>
      </c>
      <c r="AT12" s="450">
        <v>4302</v>
      </c>
      <c r="AU12" s="430"/>
      <c r="AV12" s="430"/>
      <c r="AW12" s="394"/>
      <c r="AX12" s="451" t="s">
        <v>1678</v>
      </c>
      <c r="AY12" s="432">
        <v>11655</v>
      </c>
      <c r="AZ12" s="452">
        <v>0.13900000000000001</v>
      </c>
      <c r="BA12" s="432">
        <v>15843</v>
      </c>
      <c r="BB12" s="453">
        <v>0.16600000000000001</v>
      </c>
      <c r="BC12" s="454">
        <v>12048</v>
      </c>
      <c r="BD12" s="473">
        <v>0.14199999999999999</v>
      </c>
      <c r="BE12" s="454">
        <f t="shared" si="1"/>
        <v>13024.552</v>
      </c>
      <c r="BF12" s="473">
        <v>0.16400000000000001</v>
      </c>
      <c r="BG12" s="454">
        <f t="shared" si="0"/>
        <v>9947.0210000000006</v>
      </c>
      <c r="BH12" s="473">
        <v>0.127</v>
      </c>
      <c r="BI12" s="454">
        <v>15102</v>
      </c>
      <c r="BJ12" s="473">
        <v>0.14499999999999999</v>
      </c>
      <c r="BK12" s="456"/>
      <c r="BL12" s="453"/>
      <c r="BN12" s="382" t="s">
        <v>2853</v>
      </c>
      <c r="BO12" s="463">
        <v>7124082</v>
      </c>
      <c r="BP12" s="463">
        <v>2165</v>
      </c>
      <c r="BQ12" s="474">
        <v>2032</v>
      </c>
      <c r="BU12" s="382" t="s">
        <v>2854</v>
      </c>
      <c r="BV12" s="463">
        <v>1992968</v>
      </c>
      <c r="BW12" s="463">
        <v>1315</v>
      </c>
      <c r="BX12" s="382">
        <v>811</v>
      </c>
      <c r="BY12" s="475" t="s">
        <v>2835</v>
      </c>
      <c r="CC12" s="463"/>
    </row>
    <row r="13" spans="1:84" ht="14.1" customHeight="1">
      <c r="A13" s="414">
        <v>2008</v>
      </c>
      <c r="B13" s="464" t="s">
        <v>2847</v>
      </c>
      <c r="C13" s="478">
        <v>61121</v>
      </c>
      <c r="D13" s="479">
        <v>5479</v>
      </c>
      <c r="E13" s="478">
        <v>99176</v>
      </c>
      <c r="F13" s="480">
        <v>7657</v>
      </c>
      <c r="J13" s="451" t="s">
        <v>2842</v>
      </c>
      <c r="K13" s="466">
        <v>1047</v>
      </c>
      <c r="L13" s="463">
        <v>3628</v>
      </c>
      <c r="M13" s="463">
        <v>2481</v>
      </c>
      <c r="N13" s="463">
        <v>2684</v>
      </c>
      <c r="O13" s="463">
        <v>2713</v>
      </c>
      <c r="P13" s="463"/>
      <c r="S13" s="382" t="s">
        <v>2855</v>
      </c>
      <c r="T13" s="393">
        <v>2133</v>
      </c>
      <c r="U13" s="393">
        <v>4260</v>
      </c>
      <c r="Y13" s="382" t="s">
        <v>2842</v>
      </c>
      <c r="Z13" s="393">
        <v>2646</v>
      </c>
      <c r="AA13" s="393">
        <v>2752</v>
      </c>
      <c r="AB13" s="393">
        <v>4276</v>
      </c>
      <c r="AE13" s="385"/>
      <c r="AF13" s="445" t="s">
        <v>2855</v>
      </c>
      <c r="AG13" s="446">
        <v>2548</v>
      </c>
      <c r="AH13" s="446">
        <v>2231</v>
      </c>
      <c r="AI13" s="446">
        <v>2032</v>
      </c>
      <c r="AJ13" s="446">
        <v>1903</v>
      </c>
      <c r="AK13" s="447">
        <v>2130</v>
      </c>
      <c r="AL13" s="430"/>
      <c r="AM13" s="448"/>
      <c r="AN13" s="448"/>
      <c r="AO13" s="430" t="s">
        <v>2831</v>
      </c>
      <c r="AP13" s="449">
        <v>5015</v>
      </c>
      <c r="AQ13" s="450">
        <v>4929</v>
      </c>
      <c r="AR13" s="450">
        <v>4593</v>
      </c>
      <c r="AS13" s="450">
        <v>4641</v>
      </c>
      <c r="AT13" s="450">
        <v>5342</v>
      </c>
      <c r="AU13" s="430"/>
      <c r="AV13" s="430"/>
      <c r="AW13" s="394"/>
      <c r="AX13" s="451" t="s">
        <v>1679</v>
      </c>
      <c r="AY13" s="432">
        <v>12750</v>
      </c>
      <c r="AZ13" s="452">
        <v>0.152</v>
      </c>
      <c r="BA13" s="432">
        <v>12312</v>
      </c>
      <c r="BB13" s="453">
        <v>0.129</v>
      </c>
      <c r="BC13" s="454">
        <v>13406</v>
      </c>
      <c r="BD13" s="473">
        <v>0.158</v>
      </c>
      <c r="BE13" s="454">
        <f t="shared" si="1"/>
        <v>8894.8160000000007</v>
      </c>
      <c r="BF13" s="473">
        <v>0.112</v>
      </c>
      <c r="BG13" s="454">
        <f t="shared" si="0"/>
        <v>11826.772999999999</v>
      </c>
      <c r="BH13" s="473">
        <v>0.151</v>
      </c>
      <c r="BI13" s="454">
        <v>14165</v>
      </c>
      <c r="BJ13" s="473">
        <v>0.13600000000000001</v>
      </c>
      <c r="BK13" s="456"/>
      <c r="BL13" s="453"/>
      <c r="BN13" s="382" t="s">
        <v>2856</v>
      </c>
      <c r="BO13" s="463">
        <v>243940</v>
      </c>
      <c r="BP13" s="463">
        <v>197</v>
      </c>
      <c r="BQ13" s="474">
        <v>98</v>
      </c>
      <c r="BU13" s="382" t="s">
        <v>2857</v>
      </c>
      <c r="BV13" s="463">
        <v>216520</v>
      </c>
      <c r="BW13" s="382">
        <v>379</v>
      </c>
      <c r="BX13" s="382">
        <v>338</v>
      </c>
      <c r="BY13" s="475" t="s">
        <v>2835</v>
      </c>
      <c r="CC13" s="463"/>
    </row>
    <row r="14" spans="1:84" ht="14.1" customHeight="1">
      <c r="A14" s="414">
        <v>2009</v>
      </c>
      <c r="B14" s="464" t="s">
        <v>2847</v>
      </c>
      <c r="C14" s="478">
        <v>58431</v>
      </c>
      <c r="D14" s="479">
        <v>6686</v>
      </c>
      <c r="E14" s="478">
        <v>95289</v>
      </c>
      <c r="F14" s="480">
        <v>7938</v>
      </c>
      <c r="J14" s="451" t="s">
        <v>2855</v>
      </c>
      <c r="K14" s="466">
        <v>2289</v>
      </c>
      <c r="L14" s="463">
        <v>2446</v>
      </c>
      <c r="M14" s="463">
        <v>2200</v>
      </c>
      <c r="N14" s="463">
        <v>1818</v>
      </c>
      <c r="O14" s="463">
        <v>910</v>
      </c>
      <c r="P14" s="463"/>
      <c r="S14" s="382" t="s">
        <v>2858</v>
      </c>
      <c r="T14" s="393">
        <v>2057</v>
      </c>
      <c r="U14" s="393">
        <v>4498</v>
      </c>
      <c r="Y14" s="382" t="s">
        <v>2841</v>
      </c>
      <c r="Z14" s="393">
        <v>2505</v>
      </c>
      <c r="AA14" s="393">
        <v>2537</v>
      </c>
      <c r="AB14" s="393">
        <v>3682</v>
      </c>
      <c r="AE14" s="385"/>
      <c r="AF14" s="445" t="s">
        <v>2841</v>
      </c>
      <c r="AG14" s="446">
        <v>1518</v>
      </c>
      <c r="AH14" s="446">
        <v>2009</v>
      </c>
      <c r="AI14" s="446">
        <v>1981</v>
      </c>
      <c r="AJ14" s="446">
        <v>2031</v>
      </c>
      <c r="AK14" s="447">
        <v>1965</v>
      </c>
      <c r="AL14" s="430"/>
      <c r="AM14" s="448"/>
      <c r="AN14" s="448"/>
      <c r="AO14" s="430" t="s">
        <v>2836</v>
      </c>
      <c r="AP14" s="449">
        <v>4611</v>
      </c>
      <c r="AQ14" s="450">
        <v>4803</v>
      </c>
      <c r="AR14" s="450">
        <v>5078</v>
      </c>
      <c r="AS14" s="450">
        <v>5172</v>
      </c>
      <c r="AT14" s="450">
        <v>4790</v>
      </c>
      <c r="AU14" s="430"/>
      <c r="AV14" s="430"/>
      <c r="AW14" s="394"/>
      <c r="AX14" s="451" t="s">
        <v>1680</v>
      </c>
      <c r="AY14" s="432">
        <v>9037</v>
      </c>
      <c r="AZ14" s="452">
        <v>0.108</v>
      </c>
      <c r="BA14" s="432">
        <v>8685</v>
      </c>
      <c r="BB14" s="453">
        <v>9.0999999999999998E-2</v>
      </c>
      <c r="BC14" s="454">
        <v>9997</v>
      </c>
      <c r="BD14" s="473">
        <v>0.11799999999999999</v>
      </c>
      <c r="BE14" s="454">
        <f t="shared" si="1"/>
        <v>9688.9959999999992</v>
      </c>
      <c r="BF14" s="473">
        <v>0.122</v>
      </c>
      <c r="BG14" s="454">
        <f t="shared" si="0"/>
        <v>8850.4989999999998</v>
      </c>
      <c r="BH14" s="473">
        <v>0.113</v>
      </c>
      <c r="BI14" s="454">
        <f>BI4*BJ14</f>
        <v>12089.404</v>
      </c>
      <c r="BJ14" s="473">
        <v>0.11600000000000001</v>
      </c>
      <c r="BK14" s="456"/>
      <c r="BL14" s="453"/>
      <c r="BN14" s="382" t="s">
        <v>2859</v>
      </c>
      <c r="BO14" s="463">
        <v>73633</v>
      </c>
      <c r="BP14" s="463">
        <v>0</v>
      </c>
      <c r="BQ14" s="463">
        <v>16</v>
      </c>
      <c r="BU14" s="382" t="s">
        <v>2860</v>
      </c>
      <c r="BV14" s="463">
        <v>3448136</v>
      </c>
      <c r="BW14" s="463">
        <v>1804</v>
      </c>
      <c r="BX14" s="463">
        <v>1378</v>
      </c>
      <c r="BY14" s="463">
        <v>2285</v>
      </c>
      <c r="CC14" s="463"/>
    </row>
    <row r="15" spans="1:84" ht="14.1" customHeight="1">
      <c r="A15" s="414">
        <v>2010</v>
      </c>
      <c r="B15" s="464" t="s">
        <v>2847</v>
      </c>
      <c r="C15" s="478">
        <v>72807</v>
      </c>
      <c r="D15" s="479">
        <v>6150</v>
      </c>
      <c r="E15" s="478">
        <v>114464</v>
      </c>
      <c r="F15" s="480">
        <v>8369</v>
      </c>
      <c r="J15" s="451" t="s">
        <v>2843</v>
      </c>
      <c r="K15" s="466">
        <v>971</v>
      </c>
      <c r="L15" s="463">
        <v>2508</v>
      </c>
      <c r="M15" s="463">
        <v>2051</v>
      </c>
      <c r="N15" s="463">
        <v>1756</v>
      </c>
      <c r="O15" s="463">
        <v>1884</v>
      </c>
      <c r="P15" s="463"/>
      <c r="S15" s="382" t="s">
        <v>2843</v>
      </c>
      <c r="T15" s="393">
        <v>2033</v>
      </c>
      <c r="U15" s="393">
        <v>4070</v>
      </c>
      <c r="Y15" s="382" t="s">
        <v>2861</v>
      </c>
      <c r="Z15" s="393">
        <v>2235</v>
      </c>
      <c r="AA15" s="393">
        <v>2253</v>
      </c>
      <c r="AB15" s="393">
        <v>3407</v>
      </c>
      <c r="AE15" s="385"/>
      <c r="AF15" s="445" t="s">
        <v>2858</v>
      </c>
      <c r="AG15" s="446">
        <v>1690</v>
      </c>
      <c r="AH15" s="446">
        <v>1972</v>
      </c>
      <c r="AI15" s="446">
        <v>1803</v>
      </c>
      <c r="AJ15" s="446">
        <v>2281</v>
      </c>
      <c r="AK15" s="447">
        <v>2468</v>
      </c>
      <c r="AL15" s="430"/>
      <c r="AM15" s="448"/>
      <c r="AN15" s="448"/>
      <c r="AO15" s="430" t="s">
        <v>2862</v>
      </c>
      <c r="AP15" s="449">
        <v>4791</v>
      </c>
      <c r="AQ15" s="450">
        <v>3735</v>
      </c>
      <c r="AR15" s="450">
        <v>3484</v>
      </c>
      <c r="AS15" s="450">
        <v>3680</v>
      </c>
      <c r="AT15" s="450">
        <v>3359</v>
      </c>
      <c r="AU15" s="430"/>
      <c r="AV15" s="430"/>
      <c r="AW15" s="394"/>
      <c r="AX15" s="451" t="s">
        <v>2863</v>
      </c>
      <c r="AY15" s="432">
        <v>7050</v>
      </c>
      <c r="AZ15" s="452">
        <v>8.4000000000000005E-2</v>
      </c>
      <c r="BA15" s="432">
        <v>6299</v>
      </c>
      <c r="BB15" s="453">
        <v>6.6000000000000003E-2</v>
      </c>
      <c r="BC15" s="454">
        <v>6703</v>
      </c>
      <c r="BD15" s="473">
        <v>7.9000000000000001E-2</v>
      </c>
      <c r="BE15" s="454">
        <f t="shared" si="1"/>
        <v>5162.17</v>
      </c>
      <c r="BF15" s="473">
        <v>6.5000000000000002E-2</v>
      </c>
      <c r="BG15" s="454">
        <f t="shared" si="0"/>
        <v>6814.1009999999997</v>
      </c>
      <c r="BH15" s="473">
        <v>8.6999999999999994E-2</v>
      </c>
      <c r="BI15" s="454">
        <v>6779</v>
      </c>
      <c r="BJ15" s="473">
        <v>6.5000000000000002E-2</v>
      </c>
      <c r="BK15" s="456"/>
      <c r="BL15" s="453"/>
      <c r="BN15" s="382" t="s">
        <v>2864</v>
      </c>
      <c r="BO15" s="463">
        <v>2396173</v>
      </c>
      <c r="BP15" s="463">
        <v>196</v>
      </c>
      <c r="BQ15" s="474">
        <v>207</v>
      </c>
      <c r="BU15" s="382" t="s">
        <v>2865</v>
      </c>
      <c r="BV15" s="463">
        <v>1963382</v>
      </c>
      <c r="BW15" s="463">
        <v>1067</v>
      </c>
      <c r="BX15" s="382">
        <v>815</v>
      </c>
      <c r="BY15" s="475" t="s">
        <v>2835</v>
      </c>
      <c r="CC15" s="463"/>
    </row>
    <row r="16" spans="1:84" ht="14.1" customHeight="1">
      <c r="A16" s="414">
        <v>2011</v>
      </c>
      <c r="B16" s="464" t="s">
        <v>2847</v>
      </c>
      <c r="C16" s="478">
        <v>64192</v>
      </c>
      <c r="D16" s="479">
        <v>7900</v>
      </c>
      <c r="E16" s="478">
        <v>107573</v>
      </c>
      <c r="F16" s="480">
        <v>10047</v>
      </c>
      <c r="J16" s="451" t="s">
        <v>2858</v>
      </c>
      <c r="K16" s="466">
        <v>1820</v>
      </c>
      <c r="L16" s="463">
        <v>3683</v>
      </c>
      <c r="M16" s="463">
        <v>1944</v>
      </c>
      <c r="N16" s="463">
        <v>3324</v>
      </c>
      <c r="O16" s="463">
        <v>1576</v>
      </c>
      <c r="P16" s="463"/>
      <c r="S16" s="382" t="s">
        <v>2841</v>
      </c>
      <c r="T16" s="393">
        <v>1739</v>
      </c>
      <c r="U16" s="393">
        <v>3645</v>
      </c>
      <c r="Y16" s="382" t="s">
        <v>2858</v>
      </c>
      <c r="Z16" s="393">
        <v>2222</v>
      </c>
      <c r="AA16" s="393">
        <v>2276</v>
      </c>
      <c r="AB16" s="393">
        <v>3592</v>
      </c>
      <c r="AE16" s="385"/>
      <c r="AF16" s="445" t="s">
        <v>2843</v>
      </c>
      <c r="AG16" s="446">
        <v>1753</v>
      </c>
      <c r="AH16" s="446">
        <v>1722</v>
      </c>
      <c r="AI16" s="446">
        <v>1801</v>
      </c>
      <c r="AJ16" s="446">
        <v>1552</v>
      </c>
      <c r="AK16" s="447">
        <v>1768</v>
      </c>
      <c r="AL16" s="430"/>
      <c r="AM16" s="448"/>
      <c r="AN16" s="448"/>
      <c r="AO16" s="430" t="s">
        <v>2866</v>
      </c>
      <c r="AP16" s="449">
        <v>3492</v>
      </c>
      <c r="AQ16" s="450">
        <v>3552</v>
      </c>
      <c r="AR16" s="450">
        <v>3228</v>
      </c>
      <c r="AS16" s="450">
        <v>2438</v>
      </c>
      <c r="AT16" s="450">
        <v>2256</v>
      </c>
      <c r="AU16" s="430"/>
      <c r="AV16" s="430"/>
      <c r="AW16" s="394"/>
      <c r="AX16" s="451" t="s">
        <v>2867</v>
      </c>
      <c r="AY16" s="432">
        <v>4282</v>
      </c>
      <c r="AZ16" s="452">
        <v>5.0999999999999997E-2</v>
      </c>
      <c r="BA16" s="432">
        <v>2386</v>
      </c>
      <c r="BB16" s="453">
        <v>2.5000000000000001E-2</v>
      </c>
      <c r="BC16" s="454">
        <v>3145</v>
      </c>
      <c r="BD16" s="473">
        <v>3.6999999999999998E-2</v>
      </c>
      <c r="BE16" s="454">
        <f t="shared" si="1"/>
        <v>2461.9580000000001</v>
      </c>
      <c r="BF16" s="473">
        <v>3.1E-2</v>
      </c>
      <c r="BG16" s="454">
        <f t="shared" si="0"/>
        <v>2428.0129999999999</v>
      </c>
      <c r="BH16" s="473">
        <v>3.1E-2</v>
      </c>
      <c r="BI16" s="454">
        <v>4074</v>
      </c>
      <c r="BJ16" s="473">
        <v>3.9E-2</v>
      </c>
      <c r="BK16" s="456"/>
      <c r="BL16" s="453"/>
      <c r="BN16" s="382" t="s">
        <v>2868</v>
      </c>
      <c r="BO16" s="463">
        <v>178748</v>
      </c>
      <c r="BP16" s="463">
        <v>9</v>
      </c>
      <c r="BQ16" s="474">
        <v>15</v>
      </c>
      <c r="BU16" s="382" t="s">
        <v>2851</v>
      </c>
      <c r="BV16" s="463">
        <v>367207</v>
      </c>
      <c r="BW16" s="382">
        <v>165</v>
      </c>
      <c r="BX16" s="382">
        <v>114</v>
      </c>
      <c r="BY16" s="475" t="s">
        <v>2835</v>
      </c>
      <c r="CC16" s="463"/>
    </row>
    <row r="17" spans="1:77" ht="14.1" customHeight="1">
      <c r="A17" s="414">
        <v>2012</v>
      </c>
      <c r="B17" s="464" t="s">
        <v>2847</v>
      </c>
      <c r="C17" s="478">
        <v>72738</v>
      </c>
      <c r="D17" s="479">
        <v>6964</v>
      </c>
      <c r="E17" s="478">
        <v>130223</v>
      </c>
      <c r="F17" s="480">
        <v>9924</v>
      </c>
      <c r="J17" s="451" t="s">
        <v>2852</v>
      </c>
      <c r="K17" s="466">
        <v>1494</v>
      </c>
      <c r="L17" s="463">
        <v>557</v>
      </c>
      <c r="M17" s="466">
        <v>1612</v>
      </c>
      <c r="N17" s="466">
        <v>242</v>
      </c>
      <c r="O17" s="463">
        <v>972</v>
      </c>
      <c r="P17" s="463"/>
      <c r="S17" s="382" t="s">
        <v>2848</v>
      </c>
      <c r="T17" s="393">
        <v>1476</v>
      </c>
      <c r="U17" s="393">
        <v>3144</v>
      </c>
      <c r="Y17" s="382" t="s">
        <v>2855</v>
      </c>
      <c r="Z17" s="393">
        <v>1784</v>
      </c>
      <c r="AA17" s="393">
        <v>1817</v>
      </c>
      <c r="AB17" s="393">
        <v>3056</v>
      </c>
      <c r="AE17" s="385"/>
      <c r="AF17" s="445" t="s">
        <v>2861</v>
      </c>
      <c r="AG17" s="446">
        <v>1123</v>
      </c>
      <c r="AH17" s="446">
        <v>1065</v>
      </c>
      <c r="AI17" s="446">
        <v>1180</v>
      </c>
      <c r="AJ17" s="446">
        <v>1238</v>
      </c>
      <c r="AK17" s="447">
        <v>1089</v>
      </c>
      <c r="AL17" s="430"/>
      <c r="AM17" s="448"/>
      <c r="AN17" s="448"/>
      <c r="AO17" s="430" t="s">
        <v>2855</v>
      </c>
      <c r="AP17" s="449">
        <v>4293</v>
      </c>
      <c r="AQ17" s="450">
        <v>3551</v>
      </c>
      <c r="AR17" s="450">
        <v>3246</v>
      </c>
      <c r="AS17" s="450">
        <v>3651</v>
      </c>
      <c r="AT17" s="450">
        <v>3563</v>
      </c>
      <c r="AU17" s="430"/>
      <c r="AV17" s="430"/>
      <c r="AW17" s="394"/>
      <c r="AX17" s="451"/>
      <c r="AY17" s="481"/>
      <c r="AZ17" s="482"/>
      <c r="BA17" s="481"/>
      <c r="BB17" s="451"/>
      <c r="BC17" s="483"/>
      <c r="BD17" s="451"/>
      <c r="BE17" s="481"/>
      <c r="BF17" s="451"/>
      <c r="BG17" s="481"/>
      <c r="BH17" s="455"/>
      <c r="BI17" s="484"/>
      <c r="BJ17" s="451"/>
      <c r="BK17" s="456"/>
      <c r="BL17" s="456"/>
      <c r="BN17" s="382" t="s">
        <v>2869</v>
      </c>
      <c r="BO17" s="463">
        <v>2394097</v>
      </c>
      <c r="BP17" s="463">
        <v>61</v>
      </c>
      <c r="BQ17" s="474">
        <v>74</v>
      </c>
      <c r="BU17" s="382" t="s">
        <v>2854</v>
      </c>
      <c r="BV17" s="463">
        <v>1596175</v>
      </c>
      <c r="BW17" s="382">
        <v>902</v>
      </c>
      <c r="BX17" s="382">
        <v>701</v>
      </c>
      <c r="BY17" s="475" t="s">
        <v>2835</v>
      </c>
    </row>
    <row r="18" spans="1:77" ht="14.1" customHeight="1">
      <c r="A18" s="414">
        <v>2013</v>
      </c>
      <c r="B18" s="464" t="s">
        <v>2847</v>
      </c>
      <c r="C18" s="478">
        <v>63655</v>
      </c>
      <c r="D18" s="479">
        <v>6140</v>
      </c>
      <c r="E18" s="478">
        <v>120706</v>
      </c>
      <c r="F18" s="480">
        <v>8365</v>
      </c>
      <c r="J18" s="451" t="s">
        <v>2848</v>
      </c>
      <c r="K18" s="466">
        <v>1972</v>
      </c>
      <c r="L18" s="463">
        <v>936</v>
      </c>
      <c r="M18" s="466">
        <v>1549</v>
      </c>
      <c r="N18" s="466">
        <v>1403</v>
      </c>
      <c r="O18" s="463">
        <v>1668</v>
      </c>
      <c r="P18" s="463"/>
      <c r="S18" s="382" t="s">
        <v>2861</v>
      </c>
      <c r="T18" s="393">
        <v>968</v>
      </c>
      <c r="U18" s="393">
        <v>2694</v>
      </c>
      <c r="Y18" s="382" t="s">
        <v>2870</v>
      </c>
      <c r="Z18" s="393">
        <v>1774</v>
      </c>
      <c r="AA18" s="393">
        <v>1791</v>
      </c>
      <c r="AB18" s="393">
        <v>2325</v>
      </c>
      <c r="AE18" s="385"/>
      <c r="AF18" s="445" t="s">
        <v>2871</v>
      </c>
      <c r="AG18" s="446">
        <v>646</v>
      </c>
      <c r="AH18" s="446">
        <v>819</v>
      </c>
      <c r="AI18" s="446">
        <v>1146</v>
      </c>
      <c r="AJ18" s="446">
        <v>690</v>
      </c>
      <c r="AK18" s="447">
        <v>766</v>
      </c>
      <c r="AL18" s="430"/>
      <c r="AM18" s="448"/>
      <c r="AN18" s="448"/>
      <c r="AO18" s="430" t="s">
        <v>2848</v>
      </c>
      <c r="AP18" s="449">
        <v>3131</v>
      </c>
      <c r="AQ18" s="450">
        <v>3452</v>
      </c>
      <c r="AR18" s="450">
        <v>3159</v>
      </c>
      <c r="AS18" s="450">
        <v>2995</v>
      </c>
      <c r="AT18" s="450">
        <v>2364</v>
      </c>
      <c r="AU18" s="430"/>
      <c r="AV18" s="430"/>
      <c r="AW18" s="394"/>
      <c r="AX18" s="485" t="s">
        <v>2872</v>
      </c>
      <c r="AY18" s="486">
        <v>36.9</v>
      </c>
      <c r="AZ18" s="487"/>
      <c r="BA18" s="488">
        <v>34</v>
      </c>
      <c r="BB18" s="485"/>
      <c r="BC18" s="486">
        <v>37.4</v>
      </c>
      <c r="BD18" s="485"/>
      <c r="BE18" s="486">
        <v>34.200000000000003</v>
      </c>
      <c r="BF18" s="485"/>
      <c r="BG18" s="486">
        <v>35.799999999999997</v>
      </c>
      <c r="BH18" s="485"/>
      <c r="BI18" s="489">
        <v>35.1</v>
      </c>
      <c r="BJ18" s="490"/>
      <c r="BK18" s="491"/>
      <c r="BL18" s="492"/>
      <c r="BN18" s="382" t="s">
        <v>2873</v>
      </c>
      <c r="BO18" s="463">
        <v>3059344</v>
      </c>
      <c r="BP18" s="463">
        <v>1542</v>
      </c>
      <c r="BQ18" s="474">
        <v>1708</v>
      </c>
      <c r="BU18" s="382" t="s">
        <v>2874</v>
      </c>
      <c r="BV18" s="463">
        <v>1484754</v>
      </c>
      <c r="BW18" s="382">
        <v>737</v>
      </c>
      <c r="BX18" s="382">
        <v>563</v>
      </c>
      <c r="BY18" s="475" t="s">
        <v>2835</v>
      </c>
    </row>
    <row r="19" spans="1:77" ht="14.1" customHeight="1">
      <c r="A19" s="414">
        <v>2014</v>
      </c>
      <c r="B19" s="400" t="s">
        <v>2847</v>
      </c>
      <c r="C19" s="478">
        <v>73811</v>
      </c>
      <c r="D19" s="480">
        <v>5979</v>
      </c>
      <c r="E19" s="478">
        <v>133569</v>
      </c>
      <c r="F19" s="480">
        <v>8687</v>
      </c>
      <c r="J19" s="451" t="s">
        <v>2818</v>
      </c>
      <c r="K19" s="466">
        <v>1843</v>
      </c>
      <c r="L19" s="463">
        <v>5826</v>
      </c>
      <c r="M19" s="463">
        <v>1354</v>
      </c>
      <c r="N19" s="463">
        <v>2269</v>
      </c>
      <c r="O19" s="463">
        <v>1847</v>
      </c>
      <c r="P19" s="463"/>
      <c r="S19" s="382" t="s">
        <v>2875</v>
      </c>
      <c r="T19" s="393">
        <v>811</v>
      </c>
      <c r="U19" s="393">
        <v>1946</v>
      </c>
      <c r="Y19" s="382" t="s">
        <v>2843</v>
      </c>
      <c r="Z19" s="393">
        <v>1755</v>
      </c>
      <c r="AA19" s="393">
        <v>1855</v>
      </c>
      <c r="AB19" s="393">
        <v>3014</v>
      </c>
      <c r="AE19" s="385"/>
      <c r="AF19" s="445" t="s">
        <v>2876</v>
      </c>
      <c r="AG19" s="446">
        <v>776</v>
      </c>
      <c r="AH19" s="446">
        <v>740</v>
      </c>
      <c r="AI19" s="446">
        <v>892</v>
      </c>
      <c r="AJ19" s="446">
        <v>904</v>
      </c>
      <c r="AK19" s="447">
        <v>969</v>
      </c>
      <c r="AL19" s="430"/>
      <c r="AM19" s="448"/>
      <c r="AN19" s="448"/>
      <c r="AO19" s="430" t="s">
        <v>2877</v>
      </c>
      <c r="AP19" s="449">
        <v>3366</v>
      </c>
      <c r="AQ19" s="450">
        <v>3340</v>
      </c>
      <c r="AR19" s="450">
        <v>2890</v>
      </c>
      <c r="AS19" s="450">
        <v>3033</v>
      </c>
      <c r="AT19" s="450">
        <v>1977</v>
      </c>
      <c r="AU19" s="430"/>
      <c r="AV19" s="430"/>
      <c r="AW19" s="394"/>
      <c r="AY19" s="418"/>
      <c r="AZ19" s="493"/>
      <c r="BA19" s="418"/>
      <c r="BC19" s="418"/>
      <c r="BE19" s="418"/>
      <c r="BG19" s="418"/>
      <c r="BI19" s="432"/>
      <c r="BK19" s="456"/>
      <c r="BL19" s="456"/>
      <c r="BN19" s="382" t="s">
        <v>2878</v>
      </c>
      <c r="BO19" s="463">
        <v>2476012</v>
      </c>
      <c r="BP19" s="463">
        <v>244</v>
      </c>
      <c r="BQ19" s="463">
        <v>287</v>
      </c>
      <c r="BU19" s="382" t="s">
        <v>2879</v>
      </c>
      <c r="BV19" s="463">
        <v>7616627</v>
      </c>
      <c r="BW19" s="463">
        <v>2380</v>
      </c>
      <c r="BX19" s="463">
        <v>1865</v>
      </c>
      <c r="BY19" s="463">
        <v>2495</v>
      </c>
    </row>
    <row r="20" spans="1:77" ht="14.1" customHeight="1">
      <c r="A20" s="494">
        <v>2015</v>
      </c>
      <c r="B20" s="414" t="s">
        <v>2847</v>
      </c>
      <c r="C20" s="478">
        <v>78522</v>
      </c>
      <c r="D20" s="479">
        <v>7646</v>
      </c>
      <c r="E20" s="478">
        <v>145956</v>
      </c>
      <c r="F20" s="480">
        <v>10792</v>
      </c>
      <c r="J20" s="451" t="s">
        <v>2861</v>
      </c>
      <c r="K20" s="466">
        <v>1783</v>
      </c>
      <c r="L20" s="463">
        <v>1021</v>
      </c>
      <c r="M20" s="463">
        <v>1201</v>
      </c>
      <c r="N20" s="463">
        <v>1457</v>
      </c>
      <c r="O20" s="463">
        <v>797</v>
      </c>
      <c r="P20" s="463"/>
      <c r="S20" s="382" t="s">
        <v>2852</v>
      </c>
      <c r="T20" s="393">
        <v>805</v>
      </c>
      <c r="U20" s="393">
        <v>1713</v>
      </c>
      <c r="Y20" s="382" t="s">
        <v>2880</v>
      </c>
      <c r="Z20" s="393">
        <v>1507</v>
      </c>
      <c r="AA20" s="393">
        <v>1521</v>
      </c>
      <c r="AB20" s="393">
        <v>2124</v>
      </c>
      <c r="AE20" s="385"/>
      <c r="AF20" s="445" t="s">
        <v>2862</v>
      </c>
      <c r="AG20" s="446">
        <v>893</v>
      </c>
      <c r="AH20" s="446">
        <v>831</v>
      </c>
      <c r="AI20" s="446">
        <v>884</v>
      </c>
      <c r="AJ20" s="446">
        <v>1330</v>
      </c>
      <c r="AK20" s="447">
        <v>1054</v>
      </c>
      <c r="AL20" s="430"/>
      <c r="AM20" s="448"/>
      <c r="AN20" s="448"/>
      <c r="AO20" s="430" t="s">
        <v>2841</v>
      </c>
      <c r="AP20" s="449">
        <v>2567</v>
      </c>
      <c r="AQ20" s="450">
        <v>3171</v>
      </c>
      <c r="AR20" s="450">
        <v>3107</v>
      </c>
      <c r="AS20" s="450">
        <v>3110</v>
      </c>
      <c r="AT20" s="450">
        <v>2923</v>
      </c>
      <c r="AU20" s="430"/>
      <c r="AV20" s="430"/>
      <c r="AW20" s="394"/>
      <c r="AX20" s="393" t="s">
        <v>1681</v>
      </c>
      <c r="AY20" s="432">
        <v>11272</v>
      </c>
      <c r="AZ20" s="452"/>
      <c r="BA20" s="454">
        <v>8685</v>
      </c>
      <c r="BB20" s="393"/>
      <c r="BC20" s="454">
        <v>9848</v>
      </c>
      <c r="BD20" s="393"/>
      <c r="BE20" s="454">
        <v>7624</v>
      </c>
      <c r="BF20" s="393"/>
      <c r="BG20" s="495">
        <f>SUM(BG15:BG16)</f>
        <v>9242.1139999999996</v>
      </c>
      <c r="BH20" s="393"/>
      <c r="BI20" s="432">
        <v>10853</v>
      </c>
      <c r="BJ20" s="393"/>
      <c r="BK20" s="456"/>
      <c r="BL20" s="456"/>
      <c r="BN20" s="382" t="s">
        <v>2881</v>
      </c>
      <c r="BO20" s="463">
        <v>163629</v>
      </c>
      <c r="BP20" s="463">
        <v>0</v>
      </c>
      <c r="BQ20" s="463">
        <v>13</v>
      </c>
      <c r="BU20" s="382" t="s">
        <v>2882</v>
      </c>
      <c r="BV20" s="463">
        <v>274445</v>
      </c>
      <c r="BW20" s="382">
        <v>271</v>
      </c>
      <c r="BX20" s="382">
        <v>211</v>
      </c>
      <c r="BY20" s="382">
        <v>155</v>
      </c>
    </row>
    <row r="21" spans="1:77" ht="14.1" customHeight="1">
      <c r="A21" s="494">
        <v>2016</v>
      </c>
      <c r="B21" s="414" t="s">
        <v>2847</v>
      </c>
      <c r="C21" s="478">
        <v>82398</v>
      </c>
      <c r="D21" s="496">
        <v>6839</v>
      </c>
      <c r="E21" s="478">
        <v>150521</v>
      </c>
      <c r="F21" s="480">
        <v>10345</v>
      </c>
      <c r="J21" s="451" t="s">
        <v>2877</v>
      </c>
      <c r="K21" s="466">
        <v>239</v>
      </c>
      <c r="L21" s="463">
        <v>560</v>
      </c>
      <c r="M21" s="466">
        <v>1030</v>
      </c>
      <c r="N21" s="466">
        <v>1279</v>
      </c>
      <c r="O21" s="463">
        <v>823</v>
      </c>
      <c r="P21" s="463"/>
      <c r="S21" s="382" t="s">
        <v>2880</v>
      </c>
      <c r="T21" s="393">
        <v>793</v>
      </c>
      <c r="U21" s="393">
        <v>1698</v>
      </c>
      <c r="Y21" s="382" t="s">
        <v>2875</v>
      </c>
      <c r="Z21" s="393">
        <v>1319</v>
      </c>
      <c r="AA21" s="393">
        <v>1334</v>
      </c>
      <c r="AB21" s="393">
        <v>2100</v>
      </c>
      <c r="AE21" s="385"/>
      <c r="AF21" s="445" t="s">
        <v>2877</v>
      </c>
      <c r="AG21" s="446">
        <v>1003</v>
      </c>
      <c r="AH21" s="446">
        <v>862</v>
      </c>
      <c r="AI21" s="446">
        <v>873</v>
      </c>
      <c r="AJ21" s="446">
        <v>980</v>
      </c>
      <c r="AK21" s="447">
        <v>830</v>
      </c>
      <c r="AL21" s="430"/>
      <c r="AM21" s="448"/>
      <c r="AN21" s="448"/>
      <c r="AO21" s="430" t="s">
        <v>2858</v>
      </c>
      <c r="AP21" s="449">
        <v>2432</v>
      </c>
      <c r="AQ21" s="450">
        <v>2600</v>
      </c>
      <c r="AR21" s="450">
        <v>2200</v>
      </c>
      <c r="AS21" s="450">
        <v>2662</v>
      </c>
      <c r="AT21" s="450">
        <v>2806</v>
      </c>
      <c r="AU21" s="430"/>
      <c r="AV21" s="430"/>
      <c r="AW21" s="394"/>
      <c r="AX21" s="451" t="s">
        <v>1711</v>
      </c>
      <c r="AY21" s="432">
        <v>4475</v>
      </c>
      <c r="AZ21" s="452">
        <v>0.39700000000000002</v>
      </c>
      <c r="BA21" s="432">
        <v>4898</v>
      </c>
      <c r="BB21" s="453">
        <v>0.56399999999999995</v>
      </c>
      <c r="BC21" s="454">
        <v>4441</v>
      </c>
      <c r="BD21" s="453">
        <v>0.45100000000000001</v>
      </c>
      <c r="BE21" s="454">
        <f>BE20*BF21</f>
        <v>2942.864</v>
      </c>
      <c r="BF21" s="473">
        <v>0.38600000000000001</v>
      </c>
      <c r="BG21" s="454">
        <v>3456</v>
      </c>
      <c r="BH21" s="473">
        <v>0.374</v>
      </c>
      <c r="BI21" s="454">
        <f>BI20*BJ21</f>
        <v>4493.1419999999998</v>
      </c>
      <c r="BJ21" s="473">
        <v>0.41399999999999998</v>
      </c>
      <c r="BK21" s="456"/>
      <c r="BL21" s="453"/>
      <c r="BN21" s="381" t="s">
        <v>2883</v>
      </c>
      <c r="BO21" s="497">
        <v>39774</v>
      </c>
      <c r="BP21" s="381">
        <v>0</v>
      </c>
      <c r="BQ21" s="497">
        <v>7</v>
      </c>
      <c r="BU21" s="382" t="s">
        <v>2884</v>
      </c>
      <c r="BV21" s="463">
        <v>160854</v>
      </c>
      <c r="BW21" s="382">
        <v>38</v>
      </c>
      <c r="BX21" s="382">
        <v>32</v>
      </c>
      <c r="BY21" s="382">
        <v>35</v>
      </c>
    </row>
    <row r="22" spans="1:77" ht="14.1" customHeight="1">
      <c r="A22" s="414">
        <v>2017</v>
      </c>
      <c r="B22" s="400" t="s">
        <v>2847</v>
      </c>
      <c r="C22" s="478">
        <v>85771</v>
      </c>
      <c r="D22" s="463">
        <v>6279</v>
      </c>
      <c r="E22" s="478">
        <v>156482</v>
      </c>
      <c r="F22" s="480">
        <v>10314</v>
      </c>
      <c r="J22" s="451" t="s">
        <v>2862</v>
      </c>
      <c r="K22" s="466">
        <v>784</v>
      </c>
      <c r="L22" s="463">
        <v>427</v>
      </c>
      <c r="M22" s="463">
        <v>954</v>
      </c>
      <c r="N22" s="463">
        <v>316</v>
      </c>
      <c r="O22" s="463">
        <v>1047</v>
      </c>
      <c r="P22" s="463"/>
      <c r="S22" s="382" t="s">
        <v>2885</v>
      </c>
      <c r="T22" s="393">
        <v>769</v>
      </c>
      <c r="U22" s="393">
        <v>1937</v>
      </c>
      <c r="Y22" s="382" t="s">
        <v>2886</v>
      </c>
      <c r="Z22" s="393">
        <v>1145</v>
      </c>
      <c r="AA22" s="393">
        <v>1163</v>
      </c>
      <c r="AB22" s="393">
        <v>1977</v>
      </c>
      <c r="AE22" s="385"/>
      <c r="AF22" s="445" t="s">
        <v>2887</v>
      </c>
      <c r="AG22" s="446">
        <v>471</v>
      </c>
      <c r="AH22" s="446">
        <v>582</v>
      </c>
      <c r="AI22" s="446">
        <v>813</v>
      </c>
      <c r="AJ22" s="446">
        <v>650</v>
      </c>
      <c r="AK22" s="447">
        <v>893</v>
      </c>
      <c r="AL22" s="430"/>
      <c r="AM22" s="448"/>
      <c r="AN22" s="448"/>
      <c r="AO22" s="430" t="s">
        <v>2871</v>
      </c>
      <c r="AP22" s="449">
        <v>2085</v>
      </c>
      <c r="AQ22" s="450">
        <v>2263</v>
      </c>
      <c r="AR22" s="450">
        <v>2331</v>
      </c>
      <c r="AS22" s="450">
        <v>1604</v>
      </c>
      <c r="AT22" s="450">
        <v>1579</v>
      </c>
      <c r="AU22" s="430"/>
      <c r="AV22" s="430"/>
      <c r="AW22" s="394"/>
      <c r="AX22" s="498" t="s">
        <v>1712</v>
      </c>
      <c r="AY22" s="476">
        <v>6797</v>
      </c>
      <c r="AZ22" s="499">
        <v>0.60299999999999998</v>
      </c>
      <c r="BA22" s="476">
        <v>3787</v>
      </c>
      <c r="BB22" s="500">
        <v>0.436</v>
      </c>
      <c r="BC22" s="501">
        <v>5407</v>
      </c>
      <c r="BD22" s="500">
        <v>0.54900000000000004</v>
      </c>
      <c r="BE22" s="501">
        <f>BE20*BF22</f>
        <v>4681.1359999999995</v>
      </c>
      <c r="BF22" s="502">
        <v>0.61399999999999999</v>
      </c>
      <c r="BG22" s="501">
        <f>BG20*BH22</f>
        <v>5785.5633639999996</v>
      </c>
      <c r="BH22" s="502">
        <v>0.626</v>
      </c>
      <c r="BI22" s="501">
        <f>BI20*BJ22</f>
        <v>6359.8579999999993</v>
      </c>
      <c r="BJ22" s="502">
        <v>0.58599999999999997</v>
      </c>
      <c r="BK22" s="456"/>
      <c r="BL22" s="453"/>
      <c r="BN22" s="382" t="s">
        <v>2888</v>
      </c>
      <c r="BO22" s="463"/>
      <c r="BU22" s="382" t="s">
        <v>2889</v>
      </c>
      <c r="BV22" s="463">
        <v>2866219</v>
      </c>
      <c r="BW22" s="382">
        <v>314</v>
      </c>
      <c r="BX22" s="382">
        <v>260</v>
      </c>
      <c r="BY22" s="382">
        <v>450</v>
      </c>
    </row>
    <row r="23" spans="1:77" ht="14.1" customHeight="1">
      <c r="A23" s="414">
        <v>2018</v>
      </c>
      <c r="B23" s="400" t="s">
        <v>2847</v>
      </c>
      <c r="C23" s="478">
        <v>104219</v>
      </c>
      <c r="D23" s="463">
        <v>9338</v>
      </c>
      <c r="E23" s="478">
        <v>182584</v>
      </c>
      <c r="F23" s="480">
        <v>11908</v>
      </c>
      <c r="J23" s="503" t="s">
        <v>2890</v>
      </c>
      <c r="K23" s="504">
        <v>164</v>
      </c>
      <c r="L23" s="462">
        <v>1061</v>
      </c>
      <c r="M23" s="504">
        <v>605</v>
      </c>
      <c r="N23" s="505">
        <v>420</v>
      </c>
      <c r="O23" s="462">
        <v>505</v>
      </c>
      <c r="P23" s="463"/>
      <c r="S23" s="382" t="s">
        <v>2876</v>
      </c>
      <c r="T23" s="393">
        <v>740</v>
      </c>
      <c r="U23" s="393">
        <v>1509</v>
      </c>
      <c r="Y23" s="382" t="s">
        <v>2885</v>
      </c>
      <c r="Z23" s="393">
        <v>1100</v>
      </c>
      <c r="AA23" s="393">
        <v>1130</v>
      </c>
      <c r="AB23" s="393">
        <v>1928</v>
      </c>
      <c r="AE23" s="385"/>
      <c r="AF23" s="445" t="s">
        <v>2880</v>
      </c>
      <c r="AG23" s="446">
        <v>564</v>
      </c>
      <c r="AH23" s="446">
        <v>671</v>
      </c>
      <c r="AI23" s="446">
        <v>795</v>
      </c>
      <c r="AJ23" s="446">
        <v>598</v>
      </c>
      <c r="AK23" s="447">
        <v>674</v>
      </c>
      <c r="AL23" s="430"/>
      <c r="AM23" s="448"/>
      <c r="AN23" s="448"/>
      <c r="AO23" s="430" t="s">
        <v>2891</v>
      </c>
      <c r="AP23" s="449">
        <v>1301</v>
      </c>
      <c r="AQ23" s="450">
        <v>1677</v>
      </c>
      <c r="AR23" s="450">
        <v>1254</v>
      </c>
      <c r="AS23" s="450">
        <v>1279</v>
      </c>
      <c r="AT23" s="450">
        <v>1311</v>
      </c>
      <c r="AU23" s="430"/>
      <c r="AV23" s="430"/>
      <c r="AW23" s="394"/>
      <c r="AX23" s="415" t="s">
        <v>2892</v>
      </c>
      <c r="BN23" s="506" t="s">
        <v>2893</v>
      </c>
      <c r="BU23" s="382" t="s">
        <v>2894</v>
      </c>
      <c r="BV23" s="463">
        <v>3215739</v>
      </c>
      <c r="BW23" s="382">
        <v>395</v>
      </c>
      <c r="BX23" s="382">
        <v>308</v>
      </c>
      <c r="BY23" s="382">
        <v>450</v>
      </c>
    </row>
    <row r="24" spans="1:77" ht="14.1" customHeight="1">
      <c r="A24" s="414">
        <v>2019</v>
      </c>
      <c r="B24" s="400" t="s">
        <v>2847</v>
      </c>
      <c r="C24" s="478">
        <v>78323</v>
      </c>
      <c r="D24" s="463">
        <v>7337</v>
      </c>
      <c r="E24" s="478">
        <v>160773</v>
      </c>
      <c r="F24" s="480">
        <v>10495</v>
      </c>
      <c r="J24" s="451" t="s">
        <v>2895</v>
      </c>
      <c r="K24" s="466">
        <v>343</v>
      </c>
      <c r="L24" s="463">
        <v>450</v>
      </c>
      <c r="M24" s="466">
        <v>494</v>
      </c>
      <c r="N24" s="507" t="s">
        <v>546</v>
      </c>
      <c r="O24" s="463">
        <v>89</v>
      </c>
      <c r="P24" s="463"/>
      <c r="S24" s="382" t="s">
        <v>2862</v>
      </c>
      <c r="T24" s="393">
        <v>684</v>
      </c>
      <c r="U24" s="393">
        <v>1625</v>
      </c>
      <c r="Y24" s="382" t="s">
        <v>2876</v>
      </c>
      <c r="Z24" s="393">
        <v>1046</v>
      </c>
      <c r="AA24" s="393">
        <v>1064</v>
      </c>
      <c r="AB24" s="393">
        <v>1568</v>
      </c>
      <c r="AE24" s="385"/>
      <c r="AF24" s="445" t="s">
        <v>2875</v>
      </c>
      <c r="AG24" s="446">
        <v>548</v>
      </c>
      <c r="AH24" s="446">
        <v>615</v>
      </c>
      <c r="AI24" s="446">
        <v>762</v>
      </c>
      <c r="AJ24" s="446">
        <v>714</v>
      </c>
      <c r="AK24" s="447">
        <v>712</v>
      </c>
      <c r="AL24" s="430"/>
      <c r="AM24" s="448"/>
      <c r="AN24" s="448"/>
      <c r="AO24" s="430" t="s">
        <v>2861</v>
      </c>
      <c r="AP24" s="449">
        <v>1725</v>
      </c>
      <c r="AQ24" s="450">
        <v>1548</v>
      </c>
      <c r="AR24" s="450">
        <v>1507</v>
      </c>
      <c r="AS24" s="450">
        <v>1562</v>
      </c>
      <c r="AT24" s="450">
        <v>1345</v>
      </c>
      <c r="AU24" s="430"/>
      <c r="AV24" s="430"/>
      <c r="AW24" s="394"/>
      <c r="AX24" s="382" t="s">
        <v>2896</v>
      </c>
      <c r="BN24" s="382" t="s">
        <v>2897</v>
      </c>
      <c r="BO24" s="463"/>
      <c r="BU24" s="382" t="s">
        <v>2898</v>
      </c>
      <c r="BV24" s="463">
        <v>384139</v>
      </c>
      <c r="BW24" s="382">
        <v>81</v>
      </c>
      <c r="BX24" s="382">
        <v>48</v>
      </c>
      <c r="BY24" s="382">
        <v>55</v>
      </c>
    </row>
    <row r="25" spans="1:77" ht="14.1" customHeight="1">
      <c r="A25" s="414">
        <v>2021</v>
      </c>
      <c r="B25" s="400" t="s">
        <v>2847</v>
      </c>
      <c r="C25" s="478">
        <v>79418</v>
      </c>
      <c r="D25" s="463">
        <v>6383</v>
      </c>
      <c r="E25" s="478">
        <v>164206</v>
      </c>
      <c r="F25" s="480">
        <v>10943</v>
      </c>
      <c r="J25" s="451" t="s">
        <v>2875</v>
      </c>
      <c r="K25" s="466">
        <v>803</v>
      </c>
      <c r="L25" s="507" t="s">
        <v>546</v>
      </c>
      <c r="M25" s="466">
        <v>480</v>
      </c>
      <c r="N25" s="466">
        <v>1160</v>
      </c>
      <c r="O25" s="463">
        <v>602</v>
      </c>
      <c r="P25" s="463"/>
      <c r="S25" s="382" t="s">
        <v>2887</v>
      </c>
      <c r="T25" s="393">
        <v>684</v>
      </c>
      <c r="U25" s="393">
        <v>1338</v>
      </c>
      <c r="Y25" s="382" t="s">
        <v>2862</v>
      </c>
      <c r="Z25" s="393">
        <v>969</v>
      </c>
      <c r="AA25" s="393">
        <v>1007</v>
      </c>
      <c r="AB25" s="393">
        <v>1551</v>
      </c>
      <c r="AE25" s="385"/>
      <c r="AF25" s="445" t="s">
        <v>2899</v>
      </c>
      <c r="AG25" s="446">
        <v>667</v>
      </c>
      <c r="AH25" s="446">
        <v>728</v>
      </c>
      <c r="AI25" s="446">
        <v>720</v>
      </c>
      <c r="AJ25" s="446">
        <v>623</v>
      </c>
      <c r="AK25" s="447">
        <v>532</v>
      </c>
      <c r="AL25" s="430"/>
      <c r="AM25" s="448"/>
      <c r="AN25" s="448"/>
      <c r="AO25" s="430" t="s">
        <v>2880</v>
      </c>
      <c r="AP25" s="449">
        <v>1564</v>
      </c>
      <c r="AQ25" s="450">
        <v>1476</v>
      </c>
      <c r="AR25" s="450">
        <v>1125</v>
      </c>
      <c r="AS25" s="450">
        <v>1169</v>
      </c>
      <c r="AT25" s="450">
        <v>1204</v>
      </c>
      <c r="AU25" s="430"/>
      <c r="AV25" s="430"/>
      <c r="AW25" s="394"/>
      <c r="AX25" s="382" t="s">
        <v>2900</v>
      </c>
      <c r="BN25" s="508" t="s">
        <v>2901</v>
      </c>
      <c r="BO25" s="463"/>
      <c r="BU25" s="382" t="s">
        <v>2902</v>
      </c>
      <c r="BV25" s="463">
        <v>5171644</v>
      </c>
      <c r="BW25" s="382">
        <v>329</v>
      </c>
      <c r="BX25" s="382">
        <v>182</v>
      </c>
      <c r="BY25" s="382">
        <v>295</v>
      </c>
    </row>
    <row r="26" spans="1:77" ht="14.1" customHeight="1">
      <c r="A26" s="414">
        <v>2022</v>
      </c>
      <c r="B26" s="400" t="s">
        <v>2847</v>
      </c>
      <c r="C26" s="478">
        <v>84847</v>
      </c>
      <c r="D26" s="463">
        <v>8314</v>
      </c>
      <c r="E26" s="478">
        <v>176098</v>
      </c>
      <c r="F26" s="480">
        <v>12483</v>
      </c>
      <c r="J26" s="451" t="s">
        <v>2891</v>
      </c>
      <c r="K26" s="466">
        <v>1425</v>
      </c>
      <c r="L26" s="463">
        <v>337</v>
      </c>
      <c r="M26" s="466">
        <v>286</v>
      </c>
      <c r="N26" s="507" t="s">
        <v>546</v>
      </c>
      <c r="O26" s="463">
        <v>411</v>
      </c>
      <c r="P26" s="463"/>
      <c r="S26" s="382" t="s">
        <v>2886</v>
      </c>
      <c r="T26" s="393">
        <v>634</v>
      </c>
      <c r="U26" s="393">
        <v>1832</v>
      </c>
      <c r="Y26" s="382" t="s">
        <v>2899</v>
      </c>
      <c r="Z26" s="393">
        <v>968</v>
      </c>
      <c r="AA26" s="393">
        <v>984</v>
      </c>
      <c r="AB26" s="393">
        <v>1605</v>
      </c>
      <c r="AE26" s="385"/>
      <c r="AF26" s="445" t="s">
        <v>2903</v>
      </c>
      <c r="AG26" s="446">
        <v>671</v>
      </c>
      <c r="AH26" s="446">
        <v>598</v>
      </c>
      <c r="AI26" s="446">
        <v>603</v>
      </c>
      <c r="AJ26" s="446">
        <v>730</v>
      </c>
      <c r="AK26" s="447">
        <v>488</v>
      </c>
      <c r="AL26" s="430"/>
      <c r="AM26" s="448"/>
      <c r="AN26" s="448"/>
      <c r="AO26" s="430" t="s">
        <v>2876</v>
      </c>
      <c r="AP26" s="449">
        <v>2118</v>
      </c>
      <c r="AQ26" s="450">
        <v>1364</v>
      </c>
      <c r="AR26" s="450">
        <v>2559</v>
      </c>
      <c r="AS26" s="450">
        <v>1875</v>
      </c>
      <c r="AT26" s="450">
        <v>1945</v>
      </c>
      <c r="AU26" s="509"/>
      <c r="AV26" s="430"/>
      <c r="AW26" s="394"/>
      <c r="AX26" s="382" t="s">
        <v>2904</v>
      </c>
      <c r="BO26" s="463"/>
      <c r="BU26" s="381" t="s">
        <v>2905</v>
      </c>
      <c r="BV26" s="497">
        <v>241397</v>
      </c>
      <c r="BW26" s="381">
        <v>64</v>
      </c>
      <c r="BX26" s="381">
        <v>35</v>
      </c>
      <c r="BY26" s="381">
        <v>40</v>
      </c>
    </row>
    <row r="27" spans="1:77" ht="14.1" customHeight="1">
      <c r="A27" s="414">
        <v>2023</v>
      </c>
      <c r="B27" s="400" t="s">
        <v>2847</v>
      </c>
      <c r="C27" s="510">
        <v>95442</v>
      </c>
      <c r="D27" s="463">
        <v>10340</v>
      </c>
      <c r="E27" s="510">
        <v>181982</v>
      </c>
      <c r="F27" s="511">
        <v>13514</v>
      </c>
      <c r="J27" s="451" t="s">
        <v>2906</v>
      </c>
      <c r="K27" s="466">
        <v>404</v>
      </c>
      <c r="L27" s="463">
        <v>698</v>
      </c>
      <c r="M27" s="466">
        <v>249</v>
      </c>
      <c r="N27" s="507" t="s">
        <v>546</v>
      </c>
      <c r="O27" s="474" t="s">
        <v>546</v>
      </c>
      <c r="P27" s="463"/>
      <c r="S27" s="382" t="s">
        <v>2871</v>
      </c>
      <c r="T27" s="393">
        <v>612</v>
      </c>
      <c r="U27" s="393">
        <v>1193</v>
      </c>
      <c r="Y27" s="382" t="s">
        <v>2852</v>
      </c>
      <c r="Z27" s="393">
        <v>924</v>
      </c>
      <c r="AA27" s="393">
        <v>961</v>
      </c>
      <c r="AB27" s="393">
        <v>1470</v>
      </c>
      <c r="AE27" s="385"/>
      <c r="AF27" s="445" t="s">
        <v>2885</v>
      </c>
      <c r="AG27" s="446">
        <v>551</v>
      </c>
      <c r="AH27" s="446">
        <v>524</v>
      </c>
      <c r="AI27" s="446">
        <v>587</v>
      </c>
      <c r="AJ27" s="446">
        <v>685</v>
      </c>
      <c r="AK27" s="447">
        <v>1075</v>
      </c>
      <c r="AL27" s="430"/>
      <c r="AM27" s="448"/>
      <c r="AN27" s="448"/>
      <c r="AO27" s="430" t="s">
        <v>2886</v>
      </c>
      <c r="AP27" s="449">
        <v>1180</v>
      </c>
      <c r="AQ27" s="450">
        <v>1326</v>
      </c>
      <c r="AR27" s="450">
        <v>1452</v>
      </c>
      <c r="AS27" s="450">
        <v>1329</v>
      </c>
      <c r="AT27" s="450">
        <v>1418</v>
      </c>
      <c r="AU27" s="430"/>
      <c r="AV27" s="430"/>
      <c r="AW27" s="394"/>
      <c r="AX27" s="382" t="s">
        <v>2907</v>
      </c>
      <c r="BG27" s="394"/>
      <c r="BH27" s="394"/>
      <c r="BI27" s="394"/>
      <c r="BJ27" s="394"/>
      <c r="BK27" s="394"/>
      <c r="BL27" s="394"/>
      <c r="BU27" s="382" t="s">
        <v>2908</v>
      </c>
    </row>
    <row r="28" spans="1:77" ht="14.1" customHeight="1">
      <c r="A28" s="414">
        <v>2024</v>
      </c>
      <c r="B28" s="464" t="s">
        <v>2847</v>
      </c>
      <c r="C28" s="510">
        <v>83961</v>
      </c>
      <c r="D28" s="496">
        <v>8213</v>
      </c>
      <c r="E28" s="512" t="s">
        <v>2825</v>
      </c>
      <c r="F28" s="512" t="s">
        <v>2825</v>
      </c>
      <c r="J28" s="451" t="s">
        <v>2876</v>
      </c>
      <c r="K28" s="466">
        <v>467</v>
      </c>
      <c r="L28" s="463">
        <v>3205</v>
      </c>
      <c r="M28" s="466">
        <v>218</v>
      </c>
      <c r="N28" s="466">
        <v>394</v>
      </c>
      <c r="O28" s="463">
        <v>913</v>
      </c>
      <c r="P28" s="463"/>
      <c r="S28" s="382" t="s">
        <v>2909</v>
      </c>
      <c r="T28" s="393">
        <v>612</v>
      </c>
      <c r="U28" s="393">
        <v>1139</v>
      </c>
      <c r="Y28" s="382" t="s">
        <v>2887</v>
      </c>
      <c r="Z28" s="393">
        <v>915</v>
      </c>
      <c r="AA28" s="393">
        <v>930</v>
      </c>
      <c r="AB28" s="393">
        <v>1447</v>
      </c>
      <c r="AE28" s="385"/>
      <c r="AF28" s="445" t="s">
        <v>2909</v>
      </c>
      <c r="AG28" s="446">
        <v>377</v>
      </c>
      <c r="AH28" s="446">
        <v>446</v>
      </c>
      <c r="AI28" s="446">
        <v>570</v>
      </c>
      <c r="AJ28" s="446">
        <v>509</v>
      </c>
      <c r="AK28" s="447">
        <v>433</v>
      </c>
      <c r="AL28" s="430"/>
      <c r="AM28" s="448"/>
      <c r="AN28" s="448"/>
      <c r="AO28" s="430" t="s">
        <v>2910</v>
      </c>
      <c r="AP28" s="449">
        <v>1058</v>
      </c>
      <c r="AQ28" s="450">
        <v>1059</v>
      </c>
      <c r="AR28" s="450">
        <v>1055</v>
      </c>
      <c r="AS28" s="450">
        <v>1144</v>
      </c>
      <c r="AT28" s="450">
        <v>1153</v>
      </c>
      <c r="AU28" s="430"/>
      <c r="AV28" s="430"/>
      <c r="AW28" s="394"/>
      <c r="AX28" s="394"/>
      <c r="AY28" s="394"/>
      <c r="AZ28" s="394"/>
      <c r="BA28" s="394"/>
      <c r="BB28" s="394"/>
      <c r="BC28" s="394"/>
      <c r="BD28" s="394"/>
      <c r="BE28" s="394"/>
      <c r="BF28" s="394"/>
      <c r="BG28" s="394"/>
      <c r="BH28" s="394"/>
      <c r="BI28" s="394"/>
      <c r="BJ28" s="394"/>
      <c r="BK28" s="394"/>
      <c r="BL28" s="394"/>
      <c r="BQ28" s="463"/>
      <c r="BU28" s="506" t="s">
        <v>2893</v>
      </c>
      <c r="BY28" s="463"/>
    </row>
    <row r="29" spans="1:77" ht="14.1" customHeight="1">
      <c r="A29" s="513" t="s">
        <v>2911</v>
      </c>
      <c r="B29" s="514" t="s">
        <v>2912</v>
      </c>
      <c r="C29" s="478">
        <v>76515</v>
      </c>
      <c r="D29" s="479">
        <v>4806</v>
      </c>
      <c r="E29" s="478">
        <v>111826</v>
      </c>
      <c r="F29" s="480">
        <v>5324</v>
      </c>
      <c r="J29" s="451" t="s">
        <v>2885</v>
      </c>
      <c r="K29" s="466">
        <v>651</v>
      </c>
      <c r="L29" s="463">
        <v>1038</v>
      </c>
      <c r="M29" s="463">
        <v>212</v>
      </c>
      <c r="N29" s="463">
        <v>132</v>
      </c>
      <c r="O29" s="463">
        <v>459</v>
      </c>
      <c r="P29" s="462"/>
      <c r="S29" s="382" t="s">
        <v>2877</v>
      </c>
      <c r="T29" s="393">
        <v>588</v>
      </c>
      <c r="U29" s="393">
        <v>1304</v>
      </c>
      <c r="Y29" s="382" t="s">
        <v>2871</v>
      </c>
      <c r="Z29" s="393">
        <v>866</v>
      </c>
      <c r="AA29" s="393">
        <v>900</v>
      </c>
      <c r="AB29" s="393">
        <v>1287</v>
      </c>
      <c r="AE29" s="385"/>
      <c r="AF29" s="445" t="s">
        <v>2890</v>
      </c>
      <c r="AG29" s="446">
        <v>618</v>
      </c>
      <c r="AH29" s="446">
        <v>722</v>
      </c>
      <c r="AI29" s="446">
        <v>550</v>
      </c>
      <c r="AJ29" s="446">
        <v>674</v>
      </c>
      <c r="AK29" s="447">
        <v>719</v>
      </c>
      <c r="AL29" s="430"/>
      <c r="AM29" s="448"/>
      <c r="AN29" s="448"/>
      <c r="AO29" s="430" t="s">
        <v>2895</v>
      </c>
      <c r="AP29" s="449">
        <v>1183</v>
      </c>
      <c r="AQ29" s="450">
        <v>1034</v>
      </c>
      <c r="AR29" s="450">
        <v>1028</v>
      </c>
      <c r="AS29" s="450">
        <v>871</v>
      </c>
      <c r="AT29" s="450">
        <v>1062</v>
      </c>
      <c r="AU29" s="430"/>
      <c r="AV29" s="430"/>
      <c r="AW29" s="394"/>
      <c r="AX29" s="394"/>
      <c r="AY29" s="394"/>
      <c r="AZ29" s="394"/>
      <c r="BA29" s="394"/>
      <c r="BB29" s="394"/>
      <c r="BC29" s="394"/>
      <c r="BD29" s="394"/>
      <c r="BE29" s="394"/>
      <c r="BF29" s="394"/>
      <c r="BG29" s="515"/>
      <c r="BH29" s="394"/>
      <c r="BI29" s="394"/>
      <c r="BJ29" s="394"/>
      <c r="BK29" s="394"/>
      <c r="BL29" s="394"/>
    </row>
    <row r="30" spans="1:77" ht="14.1" customHeight="1">
      <c r="A30" s="516" t="s">
        <v>2913</v>
      </c>
      <c r="B30" s="517" t="s">
        <v>2912</v>
      </c>
      <c r="C30" s="478">
        <v>67274</v>
      </c>
      <c r="D30" s="479">
        <v>3642</v>
      </c>
      <c r="E30" s="478">
        <v>105187</v>
      </c>
      <c r="F30" s="518">
        <v>4519</v>
      </c>
      <c r="J30" s="451" t="s">
        <v>2899</v>
      </c>
      <c r="K30" s="507" t="s">
        <v>546</v>
      </c>
      <c r="L30" s="463">
        <v>313</v>
      </c>
      <c r="M30" s="466">
        <v>195</v>
      </c>
      <c r="N30" s="466">
        <v>890</v>
      </c>
      <c r="O30" s="463">
        <v>833</v>
      </c>
      <c r="P30" s="463"/>
      <c r="S30" s="382" t="s">
        <v>2870</v>
      </c>
      <c r="T30" s="393">
        <v>550</v>
      </c>
      <c r="U30" s="393">
        <v>1234</v>
      </c>
      <c r="Y30" s="382" t="s">
        <v>2903</v>
      </c>
      <c r="Z30" s="393">
        <v>738</v>
      </c>
      <c r="AA30" s="393">
        <v>741</v>
      </c>
      <c r="AB30" s="393">
        <v>1189</v>
      </c>
      <c r="AE30" s="519"/>
      <c r="AF30" s="445" t="s">
        <v>2914</v>
      </c>
      <c r="AG30" s="446">
        <v>289</v>
      </c>
      <c r="AH30" s="446">
        <v>606</v>
      </c>
      <c r="AI30" s="446">
        <v>472</v>
      </c>
      <c r="AJ30" s="446">
        <v>489</v>
      </c>
      <c r="AK30" s="447">
        <v>437</v>
      </c>
      <c r="AL30" s="430"/>
      <c r="AM30" s="448"/>
      <c r="AN30" s="448"/>
      <c r="AO30" s="430" t="s">
        <v>2915</v>
      </c>
      <c r="AP30" s="449">
        <v>684</v>
      </c>
      <c r="AQ30" s="450">
        <v>955</v>
      </c>
      <c r="AR30" s="450">
        <v>899</v>
      </c>
      <c r="AS30" s="450">
        <v>955</v>
      </c>
      <c r="AT30" s="450">
        <v>961</v>
      </c>
      <c r="AU30" s="430"/>
      <c r="AV30" s="430"/>
      <c r="AW30" s="394"/>
      <c r="AX30" s="394"/>
      <c r="AY30" s="394"/>
      <c r="AZ30" s="394"/>
      <c r="BA30" s="394"/>
      <c r="BB30" s="394"/>
      <c r="BC30" s="394"/>
      <c r="BD30" s="394"/>
      <c r="BE30" s="394"/>
      <c r="BF30" s="394"/>
      <c r="BG30" s="394"/>
      <c r="BH30" s="394"/>
      <c r="BI30" s="394"/>
      <c r="BJ30" s="394"/>
      <c r="BK30" s="394"/>
      <c r="BL30" s="394"/>
    </row>
    <row r="31" spans="1:77" ht="14.1" customHeight="1">
      <c r="A31" s="516" t="s">
        <v>2916</v>
      </c>
      <c r="B31" s="514" t="s">
        <v>2912</v>
      </c>
      <c r="C31" s="480">
        <v>66759</v>
      </c>
      <c r="D31" s="479">
        <v>3654</v>
      </c>
      <c r="E31" s="520">
        <v>107225</v>
      </c>
      <c r="F31" s="518">
        <v>4278</v>
      </c>
      <c r="J31" s="451" t="s">
        <v>2909</v>
      </c>
      <c r="K31" s="466">
        <v>576</v>
      </c>
      <c r="L31" s="463">
        <v>164</v>
      </c>
      <c r="M31" s="466">
        <v>194</v>
      </c>
      <c r="N31" s="466">
        <v>372</v>
      </c>
      <c r="O31" s="463">
        <v>278</v>
      </c>
      <c r="P31" s="463"/>
      <c r="S31" s="382" t="s">
        <v>2906</v>
      </c>
      <c r="T31" s="393">
        <v>526</v>
      </c>
      <c r="U31" s="393">
        <v>1049</v>
      </c>
      <c r="Y31" s="382" t="s">
        <v>2890</v>
      </c>
      <c r="Z31" s="393">
        <v>671</v>
      </c>
      <c r="AA31" s="393">
        <v>677</v>
      </c>
      <c r="AB31" s="393">
        <v>1179</v>
      </c>
      <c r="AE31" s="398"/>
      <c r="AF31" s="445" t="s">
        <v>2917</v>
      </c>
      <c r="AG31" s="446">
        <v>351</v>
      </c>
      <c r="AH31" s="446">
        <v>396</v>
      </c>
      <c r="AI31" s="446">
        <v>471</v>
      </c>
      <c r="AJ31" s="446">
        <v>311</v>
      </c>
      <c r="AK31" s="447">
        <v>403</v>
      </c>
      <c r="AL31" s="430"/>
      <c r="AM31" s="448"/>
      <c r="AN31" s="448"/>
      <c r="AO31" s="430" t="s">
        <v>2918</v>
      </c>
      <c r="AP31" s="449">
        <v>898</v>
      </c>
      <c r="AQ31" s="450">
        <v>953</v>
      </c>
      <c r="AR31" s="450">
        <v>739</v>
      </c>
      <c r="AS31" s="450">
        <v>764</v>
      </c>
      <c r="AT31" s="450">
        <v>814</v>
      </c>
      <c r="AU31" s="430"/>
      <c r="AV31" s="430"/>
      <c r="AW31" s="394"/>
      <c r="AX31" s="394"/>
      <c r="AY31" s="394"/>
      <c r="AZ31" s="394"/>
      <c r="BA31" s="394"/>
      <c r="BB31" s="394"/>
      <c r="BC31" s="394"/>
      <c r="BD31" s="394"/>
      <c r="BE31" s="394"/>
      <c r="BF31" s="394"/>
      <c r="BG31" s="394"/>
      <c r="BH31" s="394"/>
      <c r="BI31" s="394"/>
      <c r="BJ31" s="394"/>
      <c r="BK31" s="394"/>
      <c r="BL31" s="394"/>
    </row>
    <row r="32" spans="1:77" ht="14.1" customHeight="1">
      <c r="A32" s="516" t="s">
        <v>2919</v>
      </c>
      <c r="B32" s="514" t="s">
        <v>2912</v>
      </c>
      <c r="C32" s="480">
        <v>67894</v>
      </c>
      <c r="D32" s="479">
        <v>3872</v>
      </c>
      <c r="E32" s="478">
        <v>110370</v>
      </c>
      <c r="F32" s="480">
        <v>5421</v>
      </c>
      <c r="J32" s="451" t="s">
        <v>2880</v>
      </c>
      <c r="K32" s="466">
        <v>1682</v>
      </c>
      <c r="L32" s="474" t="s">
        <v>546</v>
      </c>
      <c r="M32" s="466">
        <v>186</v>
      </c>
      <c r="N32" s="466">
        <v>1316</v>
      </c>
      <c r="O32" s="463">
        <v>347</v>
      </c>
      <c r="P32" s="521"/>
      <c r="S32" s="382" t="s">
        <v>2915</v>
      </c>
      <c r="T32" s="393">
        <v>495</v>
      </c>
      <c r="U32" s="393">
        <v>1038</v>
      </c>
      <c r="Y32" s="382" t="s">
        <v>2918</v>
      </c>
      <c r="Z32" s="393">
        <v>636</v>
      </c>
      <c r="AA32" s="393">
        <v>654</v>
      </c>
      <c r="AB32" s="393">
        <v>1113</v>
      </c>
      <c r="AE32" s="398"/>
      <c r="AF32" s="445" t="s">
        <v>2852</v>
      </c>
      <c r="AG32" s="446">
        <v>646</v>
      </c>
      <c r="AH32" s="446">
        <v>647</v>
      </c>
      <c r="AI32" s="446">
        <v>466</v>
      </c>
      <c r="AJ32" s="446">
        <v>583</v>
      </c>
      <c r="AK32" s="447">
        <v>716</v>
      </c>
      <c r="AL32" s="430"/>
      <c r="AM32" s="448"/>
      <c r="AN32" s="448"/>
      <c r="AO32" s="430" t="s">
        <v>2899</v>
      </c>
      <c r="AP32" s="449">
        <v>818</v>
      </c>
      <c r="AQ32" s="450">
        <v>947</v>
      </c>
      <c r="AR32" s="450">
        <v>975</v>
      </c>
      <c r="AS32" s="450">
        <v>811</v>
      </c>
      <c r="AT32" s="450">
        <v>782</v>
      </c>
      <c r="AU32" s="430"/>
      <c r="AV32" s="430"/>
      <c r="AW32" s="394"/>
      <c r="AX32" s="394"/>
      <c r="AY32" s="394"/>
      <c r="AZ32" s="394"/>
      <c r="BA32" s="394"/>
      <c r="BB32" s="394"/>
      <c r="BC32" s="394"/>
      <c r="BD32" s="394"/>
      <c r="BE32" s="394"/>
      <c r="BF32" s="394"/>
      <c r="BG32" s="394"/>
      <c r="BH32" s="394"/>
      <c r="BI32" s="394"/>
      <c r="BJ32" s="394"/>
      <c r="BK32" s="394"/>
      <c r="BL32" s="394"/>
    </row>
    <row r="33" spans="1:64" ht="14.1" customHeight="1">
      <c r="A33" s="516" t="s">
        <v>2920</v>
      </c>
      <c r="B33" s="514" t="s">
        <v>2912</v>
      </c>
      <c r="C33" s="480">
        <v>70351</v>
      </c>
      <c r="D33" s="479">
        <v>3733</v>
      </c>
      <c r="E33" s="480">
        <v>118483</v>
      </c>
      <c r="F33" s="480">
        <v>5191</v>
      </c>
      <c r="J33" s="451" t="s">
        <v>2910</v>
      </c>
      <c r="K33" s="466">
        <v>58</v>
      </c>
      <c r="L33" s="463">
        <v>140</v>
      </c>
      <c r="M33" s="466">
        <v>133</v>
      </c>
      <c r="N33" s="466">
        <v>446</v>
      </c>
      <c r="O33" s="463">
        <v>159</v>
      </c>
      <c r="P33" s="463"/>
      <c r="S33" s="382" t="s">
        <v>2891</v>
      </c>
      <c r="T33" s="393">
        <v>488</v>
      </c>
      <c r="U33" s="393">
        <v>1056</v>
      </c>
      <c r="Y33" s="382" t="s">
        <v>2891</v>
      </c>
      <c r="Z33" s="393">
        <v>571</v>
      </c>
      <c r="AA33" s="393">
        <v>594</v>
      </c>
      <c r="AB33" s="393">
        <v>1002</v>
      </c>
      <c r="AE33" s="398"/>
      <c r="AF33" s="445" t="s">
        <v>2910</v>
      </c>
      <c r="AG33" s="446">
        <v>292</v>
      </c>
      <c r="AH33" s="446">
        <v>490</v>
      </c>
      <c r="AI33" s="446">
        <v>464</v>
      </c>
      <c r="AJ33" s="446">
        <v>505</v>
      </c>
      <c r="AK33" s="447">
        <v>561</v>
      </c>
      <c r="AL33" s="430"/>
      <c r="AM33" s="448"/>
      <c r="AN33" s="448"/>
      <c r="AO33" s="430" t="s">
        <v>2885</v>
      </c>
      <c r="AP33" s="449">
        <v>884</v>
      </c>
      <c r="AQ33" s="450">
        <v>943</v>
      </c>
      <c r="AR33" s="450">
        <v>910</v>
      </c>
      <c r="AS33" s="450">
        <v>979</v>
      </c>
      <c r="AT33" s="450">
        <v>1322</v>
      </c>
      <c r="AU33" s="430"/>
      <c r="AV33" s="430"/>
      <c r="AW33" s="394"/>
      <c r="AX33" s="394"/>
      <c r="AY33" s="394"/>
      <c r="AZ33" s="394"/>
      <c r="BA33" s="394"/>
      <c r="BB33" s="394"/>
      <c r="BC33" s="394"/>
      <c r="BD33" s="394"/>
      <c r="BE33" s="394"/>
      <c r="BF33" s="394"/>
      <c r="BG33" s="394"/>
      <c r="BH33" s="394"/>
      <c r="BI33" s="394"/>
      <c r="BJ33" s="394"/>
      <c r="BK33" s="394"/>
      <c r="BL33" s="394"/>
    </row>
    <row r="34" spans="1:64" ht="14.1" customHeight="1">
      <c r="A34" s="522" t="s">
        <v>2921</v>
      </c>
      <c r="B34" s="514" t="s">
        <v>2912</v>
      </c>
      <c r="C34" s="480">
        <v>66695</v>
      </c>
      <c r="D34" s="479">
        <v>3836</v>
      </c>
      <c r="E34" s="518">
        <v>119040</v>
      </c>
      <c r="F34" s="518">
        <v>5030</v>
      </c>
      <c r="J34" s="451" t="s">
        <v>2915</v>
      </c>
      <c r="K34" s="466">
        <v>1700</v>
      </c>
      <c r="L34" s="463">
        <v>190</v>
      </c>
      <c r="M34" s="466">
        <v>113</v>
      </c>
      <c r="N34" s="466">
        <v>151</v>
      </c>
      <c r="O34" s="474" t="s">
        <v>546</v>
      </c>
      <c r="P34" s="463"/>
      <c r="S34" s="382" t="s">
        <v>2899</v>
      </c>
      <c r="T34" s="393">
        <v>461</v>
      </c>
      <c r="U34" s="393">
        <v>1456</v>
      </c>
      <c r="Y34" s="382" t="s">
        <v>2922</v>
      </c>
      <c r="Z34" s="393">
        <v>560</v>
      </c>
      <c r="AA34" s="393">
        <v>565</v>
      </c>
      <c r="AB34" s="393">
        <v>817</v>
      </c>
      <c r="AE34" s="398"/>
      <c r="AF34" s="445" t="s">
        <v>2915</v>
      </c>
      <c r="AG34" s="446">
        <v>304</v>
      </c>
      <c r="AH34" s="446">
        <v>494</v>
      </c>
      <c r="AI34" s="446">
        <v>454</v>
      </c>
      <c r="AJ34" s="446">
        <v>604</v>
      </c>
      <c r="AK34" s="447">
        <v>475</v>
      </c>
      <c r="AL34" s="430"/>
      <c r="AM34" s="448"/>
      <c r="AN34" s="448"/>
      <c r="AO34" s="430" t="s">
        <v>2917</v>
      </c>
      <c r="AP34" s="449">
        <v>720</v>
      </c>
      <c r="AQ34" s="450">
        <v>939</v>
      </c>
      <c r="AR34" s="450">
        <v>1455</v>
      </c>
      <c r="AS34" s="450">
        <v>997</v>
      </c>
      <c r="AT34" s="450">
        <v>1090</v>
      </c>
      <c r="AU34" s="430"/>
      <c r="AV34" s="430"/>
      <c r="AW34" s="394"/>
      <c r="AX34" s="394"/>
      <c r="AY34" s="394"/>
      <c r="AZ34" s="394"/>
      <c r="BA34" s="394"/>
      <c r="BB34" s="394"/>
      <c r="BC34" s="394"/>
      <c r="BD34" s="394"/>
      <c r="BE34" s="394"/>
      <c r="BF34" s="394"/>
      <c r="BG34" s="394"/>
      <c r="BH34" s="394"/>
      <c r="BI34" s="394"/>
      <c r="BJ34" s="394"/>
      <c r="BK34" s="394"/>
      <c r="BL34" s="394"/>
    </row>
    <row r="35" spans="1:64" ht="14.1" customHeight="1">
      <c r="A35" s="522" t="s">
        <v>2923</v>
      </c>
      <c r="B35" s="514" t="s">
        <v>2912</v>
      </c>
      <c r="C35" s="439" t="s">
        <v>2924</v>
      </c>
      <c r="D35" s="523" t="s">
        <v>2924</v>
      </c>
      <c r="E35" s="439" t="s">
        <v>2924</v>
      </c>
      <c r="F35" s="439" t="s">
        <v>2924</v>
      </c>
      <c r="J35" s="524" t="s">
        <v>2870</v>
      </c>
      <c r="K35" s="507" t="s">
        <v>546</v>
      </c>
      <c r="L35" s="525">
        <v>299</v>
      </c>
      <c r="M35" s="526">
        <v>112</v>
      </c>
      <c r="N35" s="526">
        <v>268</v>
      </c>
      <c r="O35" s="525">
        <v>226</v>
      </c>
      <c r="P35" s="527"/>
      <c r="S35" s="382" t="s">
        <v>2918</v>
      </c>
      <c r="T35" s="393">
        <v>424</v>
      </c>
      <c r="U35" s="393">
        <v>1012</v>
      </c>
      <c r="Y35" s="382" t="s">
        <v>2909</v>
      </c>
      <c r="Z35" s="393">
        <v>543</v>
      </c>
      <c r="AA35" s="393">
        <v>579</v>
      </c>
      <c r="AB35" s="393">
        <v>860</v>
      </c>
      <c r="AE35" s="398"/>
      <c r="AF35" s="445" t="s">
        <v>2886</v>
      </c>
      <c r="AG35" s="446">
        <v>487</v>
      </c>
      <c r="AH35" s="446">
        <v>358</v>
      </c>
      <c r="AI35" s="446">
        <v>450</v>
      </c>
      <c r="AJ35" s="446">
        <v>432</v>
      </c>
      <c r="AK35" s="447">
        <v>599</v>
      </c>
      <c r="AL35" s="430"/>
      <c r="AM35" s="448"/>
      <c r="AN35" s="448"/>
      <c r="AO35" s="430" t="s">
        <v>2925</v>
      </c>
      <c r="AP35" s="449">
        <v>374</v>
      </c>
      <c r="AQ35" s="450">
        <v>787</v>
      </c>
      <c r="AR35" s="450">
        <v>436</v>
      </c>
      <c r="AS35" s="450">
        <v>259</v>
      </c>
      <c r="AT35" s="450">
        <v>206</v>
      </c>
      <c r="AU35" s="430"/>
      <c r="AV35" s="430"/>
      <c r="AW35" s="394"/>
      <c r="AX35" s="394"/>
      <c r="AY35" s="394"/>
      <c r="AZ35" s="394"/>
      <c r="BA35" s="394"/>
      <c r="BB35" s="394"/>
      <c r="BC35" s="394"/>
      <c r="BD35" s="394"/>
      <c r="BE35" s="394"/>
      <c r="BF35" s="394"/>
      <c r="BG35" s="394"/>
      <c r="BH35" s="394"/>
      <c r="BI35" s="394"/>
      <c r="BJ35" s="394"/>
      <c r="BK35" s="394"/>
      <c r="BL35" s="394"/>
    </row>
    <row r="36" spans="1:64" ht="14.1" customHeight="1">
      <c r="A36" s="516" t="s">
        <v>2926</v>
      </c>
      <c r="B36" s="514" t="s">
        <v>2927</v>
      </c>
      <c r="C36" s="480">
        <v>75576</v>
      </c>
      <c r="D36" s="479">
        <v>3694</v>
      </c>
      <c r="E36" s="439" t="s">
        <v>2825</v>
      </c>
      <c r="F36" s="439" t="s">
        <v>2825</v>
      </c>
      <c r="J36" s="451" t="s">
        <v>2886</v>
      </c>
      <c r="K36" s="466">
        <v>411</v>
      </c>
      <c r="L36" s="463">
        <v>2247</v>
      </c>
      <c r="M36" s="463">
        <v>112</v>
      </c>
      <c r="N36" s="463">
        <v>1439</v>
      </c>
      <c r="O36" s="463">
        <v>416</v>
      </c>
      <c r="P36" s="528"/>
      <c r="S36" s="382" t="s">
        <v>2903</v>
      </c>
      <c r="T36" s="393">
        <v>390</v>
      </c>
      <c r="U36" s="393">
        <v>952</v>
      </c>
      <c r="Y36" s="382" t="s">
        <v>2910</v>
      </c>
      <c r="Z36" s="393">
        <v>521</v>
      </c>
      <c r="AA36" s="393">
        <v>527</v>
      </c>
      <c r="AB36" s="393">
        <v>1072</v>
      </c>
      <c r="AF36" s="445" t="s">
        <v>2866</v>
      </c>
      <c r="AG36" s="446">
        <v>148</v>
      </c>
      <c r="AH36" s="446">
        <v>301</v>
      </c>
      <c r="AI36" s="446">
        <v>400</v>
      </c>
      <c r="AJ36" s="446">
        <v>489</v>
      </c>
      <c r="AK36" s="447">
        <v>489</v>
      </c>
      <c r="AL36" s="430"/>
      <c r="AM36" s="448"/>
      <c r="AN36" s="448"/>
      <c r="AO36" s="430" t="s">
        <v>2909</v>
      </c>
      <c r="AP36" s="449">
        <v>940</v>
      </c>
      <c r="AQ36" s="450">
        <v>767</v>
      </c>
      <c r="AR36" s="450">
        <v>1091</v>
      </c>
      <c r="AS36" s="450">
        <v>1091</v>
      </c>
      <c r="AT36" s="450">
        <v>957</v>
      </c>
      <c r="AU36" s="430"/>
      <c r="AV36" s="430"/>
      <c r="AW36" s="394"/>
      <c r="AX36" s="394"/>
      <c r="AY36" s="394"/>
      <c r="AZ36" s="394"/>
      <c r="BA36" s="394"/>
      <c r="BB36" s="394"/>
      <c r="BC36" s="394"/>
      <c r="BD36" s="394"/>
      <c r="BE36" s="394"/>
      <c r="BF36" s="394"/>
      <c r="BG36" s="394"/>
      <c r="BH36" s="394"/>
      <c r="BI36" s="394"/>
      <c r="BJ36" s="394"/>
      <c r="BK36" s="394"/>
      <c r="BL36" s="394"/>
    </row>
    <row r="37" spans="1:64" ht="14.1" customHeight="1">
      <c r="A37" s="516" t="s">
        <v>2928</v>
      </c>
      <c r="B37" s="514" t="s">
        <v>2927</v>
      </c>
      <c r="C37" s="480">
        <v>77038</v>
      </c>
      <c r="D37" s="479">
        <v>3584</v>
      </c>
      <c r="E37" s="463">
        <v>117901</v>
      </c>
      <c r="F37" s="463">
        <v>4096</v>
      </c>
      <c r="J37" s="451" t="s">
        <v>2871</v>
      </c>
      <c r="K37" s="507" t="s">
        <v>546</v>
      </c>
      <c r="L37" s="463">
        <v>746</v>
      </c>
      <c r="M37" s="466">
        <v>92</v>
      </c>
      <c r="N37" s="466">
        <v>498</v>
      </c>
      <c r="O37" s="463">
        <v>1007</v>
      </c>
      <c r="P37" s="529"/>
      <c r="S37" s="382" t="s">
        <v>2910</v>
      </c>
      <c r="T37" s="393">
        <v>360</v>
      </c>
      <c r="U37" s="393">
        <v>1087</v>
      </c>
      <c r="Y37" s="382" t="s">
        <v>2914</v>
      </c>
      <c r="Z37" s="393">
        <v>501</v>
      </c>
      <c r="AA37" s="393">
        <v>503</v>
      </c>
      <c r="AB37" s="393">
        <v>729</v>
      </c>
      <c r="AF37" s="445" t="s">
        <v>2929</v>
      </c>
      <c r="AG37" s="446">
        <v>52</v>
      </c>
      <c r="AH37" s="446">
        <v>27</v>
      </c>
      <c r="AI37" s="446">
        <v>387</v>
      </c>
      <c r="AJ37" s="446">
        <v>318</v>
      </c>
      <c r="AK37" s="447">
        <v>253</v>
      </c>
      <c r="AL37" s="430"/>
      <c r="AM37" s="448"/>
      <c r="AN37" s="448"/>
      <c r="AO37" s="430" t="s">
        <v>2870</v>
      </c>
      <c r="AP37" s="449">
        <v>704</v>
      </c>
      <c r="AQ37" s="450">
        <v>743</v>
      </c>
      <c r="AR37" s="450">
        <v>585</v>
      </c>
      <c r="AS37" s="450">
        <v>964</v>
      </c>
      <c r="AT37" s="450">
        <v>1106</v>
      </c>
      <c r="AU37" s="430"/>
      <c r="AV37" s="430"/>
      <c r="AW37" s="394"/>
      <c r="AX37" s="394"/>
      <c r="AY37" s="394"/>
      <c r="AZ37" s="394"/>
      <c r="BA37" s="394"/>
      <c r="BB37" s="394"/>
      <c r="BC37" s="394"/>
      <c r="BD37" s="394"/>
      <c r="BE37" s="394"/>
      <c r="BF37" s="394"/>
      <c r="BG37" s="394"/>
      <c r="BH37" s="394"/>
      <c r="BI37" s="394"/>
      <c r="BJ37" s="394"/>
      <c r="BK37" s="394"/>
      <c r="BL37" s="394"/>
    </row>
    <row r="38" spans="1:64" ht="14.1" customHeight="1">
      <c r="A38" s="516" t="s">
        <v>2930</v>
      </c>
      <c r="B38" s="514" t="s">
        <v>2927</v>
      </c>
      <c r="C38" s="480">
        <v>72517</v>
      </c>
      <c r="D38" s="479">
        <v>3302</v>
      </c>
      <c r="E38" s="439" t="s">
        <v>2825</v>
      </c>
      <c r="F38" s="439" t="s">
        <v>2825</v>
      </c>
      <c r="J38" s="451" t="s">
        <v>2918</v>
      </c>
      <c r="K38" s="466">
        <v>297</v>
      </c>
      <c r="L38" s="463">
        <v>897</v>
      </c>
      <c r="M38" s="466">
        <v>2</v>
      </c>
      <c r="N38" s="507" t="s">
        <v>546</v>
      </c>
      <c r="O38" s="463">
        <v>409</v>
      </c>
      <c r="P38" s="463"/>
      <c r="S38" s="382" t="s">
        <v>2890</v>
      </c>
      <c r="T38" s="393">
        <v>338</v>
      </c>
      <c r="U38" s="393">
        <v>950</v>
      </c>
      <c r="Y38" s="382" t="s">
        <v>2877</v>
      </c>
      <c r="Z38" s="393">
        <v>493</v>
      </c>
      <c r="AA38" s="393">
        <v>512</v>
      </c>
      <c r="AB38" s="393">
        <v>880</v>
      </c>
      <c r="AF38" s="445" t="s">
        <v>2870</v>
      </c>
      <c r="AG38" s="446">
        <v>475</v>
      </c>
      <c r="AH38" s="446">
        <v>539</v>
      </c>
      <c r="AI38" s="446">
        <v>374</v>
      </c>
      <c r="AJ38" s="446">
        <v>664</v>
      </c>
      <c r="AK38" s="447">
        <v>861</v>
      </c>
      <c r="AL38" s="430"/>
      <c r="AM38" s="448"/>
      <c r="AN38" s="448"/>
      <c r="AO38" s="430" t="s">
        <v>2906</v>
      </c>
      <c r="AP38" s="449">
        <v>569</v>
      </c>
      <c r="AQ38" s="450">
        <v>729</v>
      </c>
      <c r="AR38" s="450">
        <v>415</v>
      </c>
      <c r="AS38" s="450">
        <v>407</v>
      </c>
      <c r="AT38" s="450">
        <v>406</v>
      </c>
      <c r="AU38" s="430"/>
      <c r="AV38" s="430"/>
      <c r="AW38" s="394"/>
      <c r="AX38" s="394"/>
      <c r="AY38" s="394"/>
      <c r="AZ38" s="394"/>
      <c r="BA38" s="394"/>
      <c r="BB38" s="394"/>
      <c r="BC38" s="394"/>
      <c r="BD38" s="394"/>
      <c r="BE38" s="394"/>
      <c r="BF38" s="394"/>
      <c r="BG38" s="394"/>
      <c r="BH38" s="394"/>
      <c r="BI38" s="394"/>
      <c r="BJ38" s="394"/>
      <c r="BK38" s="394"/>
      <c r="BL38" s="394"/>
    </row>
    <row r="39" spans="1:64" ht="14.1" customHeight="1">
      <c r="A39" s="516" t="s">
        <v>2931</v>
      </c>
      <c r="B39" s="514" t="s">
        <v>2927</v>
      </c>
      <c r="C39" s="480">
        <v>69860</v>
      </c>
      <c r="D39" s="530">
        <v>2728</v>
      </c>
      <c r="E39" s="439" t="s">
        <v>2825</v>
      </c>
      <c r="F39" s="439" t="s">
        <v>2825</v>
      </c>
      <c r="J39" s="451" t="s">
        <v>2887</v>
      </c>
      <c r="K39" s="466">
        <v>286</v>
      </c>
      <c r="L39" s="463">
        <v>191</v>
      </c>
      <c r="M39" s="474" t="s">
        <v>546</v>
      </c>
      <c r="N39" s="463">
        <v>729</v>
      </c>
      <c r="O39" s="463">
        <v>548</v>
      </c>
      <c r="P39" s="463"/>
      <c r="S39" s="382" t="s">
        <v>2917</v>
      </c>
      <c r="T39" s="393">
        <v>320</v>
      </c>
      <c r="U39" s="393">
        <v>899</v>
      </c>
      <c r="Y39" s="382" t="s">
        <v>2932</v>
      </c>
      <c r="Z39" s="393">
        <v>455</v>
      </c>
      <c r="AA39" s="393">
        <v>458</v>
      </c>
      <c r="AB39" s="393">
        <v>770</v>
      </c>
      <c r="AF39" s="445" t="s">
        <v>2906</v>
      </c>
      <c r="AG39" s="446">
        <v>380</v>
      </c>
      <c r="AH39" s="446">
        <v>540</v>
      </c>
      <c r="AI39" s="446">
        <v>338</v>
      </c>
      <c r="AJ39" s="446">
        <v>325</v>
      </c>
      <c r="AK39" s="447">
        <v>384</v>
      </c>
      <c r="AL39" s="430"/>
      <c r="AM39" s="448"/>
      <c r="AN39" s="448"/>
      <c r="AO39" s="430" t="s">
        <v>2890</v>
      </c>
      <c r="AP39" s="449">
        <v>688</v>
      </c>
      <c r="AQ39" s="450">
        <v>722</v>
      </c>
      <c r="AR39" s="450">
        <v>550</v>
      </c>
      <c r="AS39" s="450">
        <v>674</v>
      </c>
      <c r="AT39" s="450">
        <v>719</v>
      </c>
      <c r="AU39" s="430"/>
      <c r="AV39" s="430"/>
      <c r="AW39" s="394"/>
      <c r="AX39" s="394"/>
      <c r="AY39" s="394"/>
      <c r="AZ39" s="394"/>
      <c r="BA39" s="394"/>
      <c r="BB39" s="394"/>
      <c r="BC39" s="394"/>
      <c r="BD39" s="394"/>
      <c r="BE39" s="394"/>
      <c r="BF39" s="394"/>
      <c r="BG39" s="394"/>
      <c r="BH39" s="394"/>
      <c r="BI39" s="394"/>
      <c r="BJ39" s="394"/>
      <c r="BK39" s="394"/>
      <c r="BL39" s="394"/>
    </row>
    <row r="40" spans="1:64" ht="14.1" customHeight="1">
      <c r="A40" s="516" t="s">
        <v>2933</v>
      </c>
      <c r="B40" s="514" t="s">
        <v>2927</v>
      </c>
      <c r="C40" s="480">
        <v>70483</v>
      </c>
      <c r="D40" s="530">
        <v>3113</v>
      </c>
      <c r="E40" s="439" t="s">
        <v>2825</v>
      </c>
      <c r="F40" s="439" t="s">
        <v>2825</v>
      </c>
      <c r="J40" s="531" t="s">
        <v>2917</v>
      </c>
      <c r="K40" s="466">
        <v>467</v>
      </c>
      <c r="L40" s="507" t="s">
        <v>546</v>
      </c>
      <c r="M40" s="507" t="s">
        <v>546</v>
      </c>
      <c r="N40" s="507" t="s">
        <v>546</v>
      </c>
      <c r="O40" s="463">
        <v>533</v>
      </c>
      <c r="P40" s="463"/>
      <c r="S40" s="382" t="s">
        <v>2895</v>
      </c>
      <c r="T40" s="393">
        <v>280</v>
      </c>
      <c r="U40" s="393">
        <v>793</v>
      </c>
      <c r="Y40" s="382" t="s">
        <v>2837</v>
      </c>
      <c r="Z40" s="393">
        <v>442</v>
      </c>
      <c r="AA40" s="393">
        <v>451</v>
      </c>
      <c r="AB40" s="393">
        <v>719</v>
      </c>
      <c r="AE40" s="385"/>
      <c r="AF40" s="445" t="s">
        <v>2891</v>
      </c>
      <c r="AG40" s="446">
        <v>323</v>
      </c>
      <c r="AH40" s="446">
        <v>514</v>
      </c>
      <c r="AI40" s="446">
        <v>336</v>
      </c>
      <c r="AJ40" s="446">
        <v>456</v>
      </c>
      <c r="AK40" s="447">
        <v>503</v>
      </c>
      <c r="AL40" s="430"/>
      <c r="AM40" s="448"/>
      <c r="AN40" s="448"/>
      <c r="AO40" s="430" t="s">
        <v>2903</v>
      </c>
      <c r="AP40" s="449">
        <v>728</v>
      </c>
      <c r="AQ40" s="450">
        <v>711</v>
      </c>
      <c r="AR40" s="450">
        <v>811</v>
      </c>
      <c r="AS40" s="450">
        <v>900</v>
      </c>
      <c r="AT40" s="450">
        <v>635</v>
      </c>
      <c r="AU40" s="430"/>
      <c r="AV40" s="430"/>
      <c r="AW40" s="394"/>
      <c r="AX40" s="394"/>
      <c r="AY40" s="394"/>
      <c r="AZ40" s="394"/>
      <c r="BA40" s="394"/>
      <c r="BB40" s="394"/>
      <c r="BC40" s="394"/>
      <c r="BD40" s="394"/>
      <c r="BE40" s="394"/>
      <c r="BF40" s="394"/>
      <c r="BG40" s="394"/>
      <c r="BH40" s="394"/>
      <c r="BI40" s="394"/>
      <c r="BJ40" s="394"/>
      <c r="BK40" s="394"/>
      <c r="BL40" s="394"/>
    </row>
    <row r="41" spans="1:64" ht="14.1" customHeight="1">
      <c r="A41" s="516" t="s">
        <v>2934</v>
      </c>
      <c r="B41" s="514" t="s">
        <v>2927</v>
      </c>
      <c r="C41" s="480">
        <v>73050</v>
      </c>
      <c r="D41" s="530">
        <v>3157</v>
      </c>
      <c r="E41" s="439" t="s">
        <v>2825</v>
      </c>
      <c r="F41" s="439" t="s">
        <v>2825</v>
      </c>
      <c r="J41" s="531" t="s">
        <v>2914</v>
      </c>
      <c r="K41" s="507" t="s">
        <v>546</v>
      </c>
      <c r="L41" s="507" t="s">
        <v>546</v>
      </c>
      <c r="M41" s="507" t="s">
        <v>546</v>
      </c>
      <c r="N41" s="507" t="s">
        <v>546</v>
      </c>
      <c r="O41" s="463">
        <v>191</v>
      </c>
      <c r="P41" s="463"/>
      <c r="S41" s="382" t="s">
        <v>2837</v>
      </c>
      <c r="T41" s="393">
        <v>271</v>
      </c>
      <c r="U41" s="393">
        <v>683</v>
      </c>
      <c r="Y41" s="382" t="s">
        <v>2906</v>
      </c>
      <c r="Z41" s="393">
        <v>420</v>
      </c>
      <c r="AA41" s="393">
        <v>435</v>
      </c>
      <c r="AB41" s="393">
        <v>805</v>
      </c>
      <c r="AE41" s="385"/>
      <c r="AF41" s="445" t="s">
        <v>2918</v>
      </c>
      <c r="AG41" s="446">
        <v>380</v>
      </c>
      <c r="AH41" s="446">
        <v>306</v>
      </c>
      <c r="AI41" s="446">
        <v>335</v>
      </c>
      <c r="AJ41" s="446">
        <v>459</v>
      </c>
      <c r="AK41" s="447">
        <v>579</v>
      </c>
      <c r="AL41" s="430"/>
      <c r="AM41" s="448"/>
      <c r="AN41" s="448"/>
      <c r="AO41" s="430" t="s">
        <v>2875</v>
      </c>
      <c r="AP41" s="449">
        <v>642</v>
      </c>
      <c r="AQ41" s="450">
        <v>685</v>
      </c>
      <c r="AR41" s="450">
        <v>910</v>
      </c>
      <c r="AS41" s="450">
        <v>795</v>
      </c>
      <c r="AT41" s="450">
        <v>828</v>
      </c>
      <c r="AU41" s="430"/>
      <c r="AV41" s="430"/>
      <c r="AW41" s="394"/>
      <c r="AX41" s="394"/>
      <c r="AY41" s="394"/>
      <c r="AZ41" s="394"/>
      <c r="BA41" s="394"/>
      <c r="BB41" s="394"/>
      <c r="BC41" s="394"/>
      <c r="BD41" s="394"/>
      <c r="BE41" s="394"/>
      <c r="BF41" s="394"/>
      <c r="BG41" s="394"/>
      <c r="BH41" s="394"/>
      <c r="BI41" s="394"/>
      <c r="BJ41" s="394"/>
      <c r="BK41" s="394"/>
      <c r="BL41" s="394"/>
    </row>
    <row r="42" spans="1:64" ht="14.1" customHeight="1">
      <c r="A42" s="516" t="s">
        <v>2935</v>
      </c>
      <c r="B42" s="514" t="s">
        <v>2927</v>
      </c>
      <c r="C42" s="532">
        <v>73088</v>
      </c>
      <c r="D42" s="530">
        <v>2797</v>
      </c>
      <c r="E42" s="528">
        <v>130476</v>
      </c>
      <c r="F42" s="435">
        <v>3970</v>
      </c>
      <c r="J42" s="531" t="s">
        <v>2866</v>
      </c>
      <c r="K42" s="507" t="s">
        <v>546</v>
      </c>
      <c r="L42" s="466">
        <v>308</v>
      </c>
      <c r="M42" s="507" t="s">
        <v>546</v>
      </c>
      <c r="N42" s="507" t="s">
        <v>546</v>
      </c>
      <c r="O42" s="474" t="s">
        <v>546</v>
      </c>
      <c r="P42" s="528"/>
      <c r="S42" s="382" t="s">
        <v>2914</v>
      </c>
      <c r="T42" s="393">
        <v>254</v>
      </c>
      <c r="U42" s="393">
        <v>590</v>
      </c>
      <c r="Y42" s="382" t="s">
        <v>2917</v>
      </c>
      <c r="Z42" s="393">
        <v>387</v>
      </c>
      <c r="AA42" s="393">
        <v>395</v>
      </c>
      <c r="AB42" s="393">
        <v>716</v>
      </c>
      <c r="AE42" s="439"/>
      <c r="AF42" s="445" t="s">
        <v>2895</v>
      </c>
      <c r="AG42" s="446">
        <v>294</v>
      </c>
      <c r="AH42" s="446">
        <v>271</v>
      </c>
      <c r="AI42" s="446">
        <v>314</v>
      </c>
      <c r="AJ42" s="446">
        <v>330</v>
      </c>
      <c r="AK42" s="447">
        <v>374</v>
      </c>
      <c r="AL42" s="430"/>
      <c r="AM42" s="448"/>
      <c r="AN42" s="448"/>
      <c r="AO42" s="430" t="s">
        <v>2887</v>
      </c>
      <c r="AP42" s="449">
        <v>548</v>
      </c>
      <c r="AQ42" s="450">
        <v>659</v>
      </c>
      <c r="AR42" s="450">
        <v>868</v>
      </c>
      <c r="AS42" s="450">
        <v>697</v>
      </c>
      <c r="AT42" s="450">
        <v>1188</v>
      </c>
      <c r="AU42" s="430"/>
      <c r="AV42" s="430"/>
      <c r="AW42" s="394"/>
      <c r="AX42" s="394"/>
      <c r="AY42" s="394"/>
      <c r="AZ42" s="394"/>
      <c r="BA42" s="394"/>
      <c r="BB42" s="394"/>
      <c r="BC42" s="394"/>
      <c r="BD42" s="394"/>
      <c r="BE42" s="394"/>
      <c r="BF42" s="394"/>
      <c r="BG42" s="394"/>
      <c r="BH42" s="394"/>
      <c r="BI42" s="394"/>
      <c r="BJ42" s="394"/>
      <c r="BK42" s="394"/>
      <c r="BL42" s="394"/>
    </row>
    <row r="43" spans="1:64" ht="14.1" customHeight="1">
      <c r="A43" s="533" t="s">
        <v>2936</v>
      </c>
      <c r="B43" s="534" t="s">
        <v>2927</v>
      </c>
      <c r="C43" s="535">
        <v>76082</v>
      </c>
      <c r="D43" s="536">
        <v>3164</v>
      </c>
      <c r="E43" s="528">
        <v>137314</v>
      </c>
      <c r="F43" s="528">
        <v>4803</v>
      </c>
      <c r="J43" s="537" t="s">
        <v>2922</v>
      </c>
      <c r="K43" s="507" t="s">
        <v>546</v>
      </c>
      <c r="L43" s="507" t="s">
        <v>546</v>
      </c>
      <c r="M43" s="507" t="s">
        <v>546</v>
      </c>
      <c r="N43" s="507" t="s">
        <v>546</v>
      </c>
      <c r="O43" s="538" t="s">
        <v>546</v>
      </c>
      <c r="P43" s="463"/>
      <c r="S43" s="382" t="s">
        <v>2922</v>
      </c>
      <c r="T43" s="393">
        <v>243</v>
      </c>
      <c r="U43" s="393">
        <v>581</v>
      </c>
      <c r="Y43" s="382" t="s">
        <v>2915</v>
      </c>
      <c r="Z43" s="393">
        <v>380</v>
      </c>
      <c r="AA43" s="393">
        <v>393</v>
      </c>
      <c r="AB43" s="393">
        <v>667</v>
      </c>
      <c r="AE43" s="439"/>
      <c r="AF43" s="445" t="s">
        <v>2922</v>
      </c>
      <c r="AG43" s="446">
        <v>229</v>
      </c>
      <c r="AH43" s="446">
        <v>215</v>
      </c>
      <c r="AI43" s="446">
        <v>302</v>
      </c>
      <c r="AJ43" s="446">
        <v>320</v>
      </c>
      <c r="AK43" s="447">
        <v>187</v>
      </c>
      <c r="AL43" s="430"/>
      <c r="AM43" s="448"/>
      <c r="AN43" s="448"/>
      <c r="AO43" s="430" t="s">
        <v>2914</v>
      </c>
      <c r="AP43" s="449">
        <v>318</v>
      </c>
      <c r="AQ43" s="450">
        <v>651</v>
      </c>
      <c r="AR43" s="450">
        <v>525</v>
      </c>
      <c r="AS43" s="450">
        <v>578</v>
      </c>
      <c r="AT43" s="450">
        <v>520</v>
      </c>
      <c r="AU43" s="430"/>
      <c r="AV43" s="430"/>
      <c r="AW43" s="394"/>
      <c r="AX43" s="394"/>
      <c r="AY43" s="394"/>
      <c r="AZ43" s="394"/>
      <c r="BA43" s="394"/>
      <c r="BB43" s="394"/>
      <c r="BC43" s="394"/>
      <c r="BD43" s="394"/>
      <c r="BE43" s="394"/>
      <c r="BF43" s="394"/>
      <c r="BG43" s="394"/>
      <c r="BH43" s="394"/>
      <c r="BI43" s="394"/>
      <c r="BJ43" s="394"/>
      <c r="BK43" s="394"/>
      <c r="BL43" s="394"/>
    </row>
    <row r="44" spans="1:64" ht="14.1" customHeight="1">
      <c r="A44" s="539" t="s">
        <v>2937</v>
      </c>
      <c r="B44" s="540" t="s">
        <v>2927</v>
      </c>
      <c r="C44" s="541">
        <v>80012</v>
      </c>
      <c r="D44" s="535">
        <v>2335</v>
      </c>
      <c r="E44" s="542">
        <v>144959</v>
      </c>
      <c r="F44" s="528">
        <v>3840</v>
      </c>
      <c r="J44" s="531" t="s">
        <v>2903</v>
      </c>
      <c r="K44" s="507" t="s">
        <v>546</v>
      </c>
      <c r="L44" s="466">
        <v>2179</v>
      </c>
      <c r="M44" s="507" t="s">
        <v>546</v>
      </c>
      <c r="N44" s="507" t="s">
        <v>546</v>
      </c>
      <c r="O44" s="474" t="s">
        <v>546</v>
      </c>
      <c r="P44" s="462"/>
      <c r="S44" s="382" t="s">
        <v>2866</v>
      </c>
      <c r="T44" s="393">
        <v>222</v>
      </c>
      <c r="U44" s="393">
        <v>512</v>
      </c>
      <c r="Y44" s="382" t="s">
        <v>2895</v>
      </c>
      <c r="Z44" s="393">
        <v>378</v>
      </c>
      <c r="AA44" s="393">
        <v>387</v>
      </c>
      <c r="AB44" s="393">
        <v>727</v>
      </c>
      <c r="AE44" s="439"/>
      <c r="AF44" s="445" t="s">
        <v>2938</v>
      </c>
      <c r="AG44" s="446">
        <v>48</v>
      </c>
      <c r="AH44" s="446">
        <v>166</v>
      </c>
      <c r="AI44" s="446">
        <v>222</v>
      </c>
      <c r="AJ44" s="446">
        <v>145</v>
      </c>
      <c r="AK44" s="447">
        <v>145</v>
      </c>
      <c r="AL44" s="430"/>
      <c r="AM44" s="448"/>
      <c r="AN44" s="448"/>
      <c r="AO44" s="430" t="s">
        <v>2922</v>
      </c>
      <c r="AP44" s="449">
        <v>648</v>
      </c>
      <c r="AQ44" s="450">
        <v>422</v>
      </c>
      <c r="AR44" s="450">
        <v>472</v>
      </c>
      <c r="AS44" s="450">
        <v>454</v>
      </c>
      <c r="AT44" s="450">
        <v>210</v>
      </c>
      <c r="AU44" s="430"/>
      <c r="AV44" s="430"/>
      <c r="AW44" s="394"/>
      <c r="AX44" s="394"/>
      <c r="AY44" s="394"/>
      <c r="AZ44" s="394"/>
      <c r="BA44" s="394"/>
      <c r="BB44" s="394"/>
      <c r="BC44" s="394"/>
      <c r="BD44" s="394"/>
      <c r="BE44" s="394"/>
      <c r="BF44" s="394"/>
      <c r="BG44" s="394"/>
      <c r="BH44" s="394"/>
      <c r="BI44" s="394"/>
      <c r="BJ44" s="394"/>
      <c r="BK44" s="394"/>
      <c r="BL44" s="394"/>
    </row>
    <row r="45" spans="1:64" ht="14.1" customHeight="1">
      <c r="A45" s="539" t="s">
        <v>2939</v>
      </c>
      <c r="B45" s="540" t="s">
        <v>2927</v>
      </c>
      <c r="C45" s="541">
        <v>86327</v>
      </c>
      <c r="D45" s="535">
        <v>3318</v>
      </c>
      <c r="E45" s="542">
        <v>155205</v>
      </c>
      <c r="F45" s="528">
        <v>4823</v>
      </c>
      <c r="J45" s="543" t="s">
        <v>2940</v>
      </c>
      <c r="K45" s="544">
        <v>3061</v>
      </c>
      <c r="L45" s="545">
        <v>15866</v>
      </c>
      <c r="M45" s="546">
        <v>13219</v>
      </c>
      <c r="N45" s="545">
        <v>12916</v>
      </c>
      <c r="O45" s="545">
        <v>1971</v>
      </c>
      <c r="P45" s="547"/>
      <c r="Q45" s="548"/>
      <c r="R45" s="548"/>
      <c r="S45" s="382" t="s">
        <v>2925</v>
      </c>
      <c r="T45" s="393">
        <v>207</v>
      </c>
      <c r="U45" s="393">
        <v>341</v>
      </c>
      <c r="V45" s="548"/>
      <c r="W45" s="548"/>
      <c r="Y45" s="382" t="s">
        <v>2866</v>
      </c>
      <c r="Z45" s="393">
        <v>313</v>
      </c>
      <c r="AA45" s="393">
        <v>324</v>
      </c>
      <c r="AB45" s="393">
        <v>572</v>
      </c>
      <c r="AE45" s="439"/>
      <c r="AF45" s="445" t="s">
        <v>2941</v>
      </c>
      <c r="AG45" s="446">
        <v>88</v>
      </c>
      <c r="AH45" s="446">
        <v>107</v>
      </c>
      <c r="AI45" s="446">
        <v>200</v>
      </c>
      <c r="AJ45" s="446">
        <v>140</v>
      </c>
      <c r="AK45" s="447">
        <v>144</v>
      </c>
      <c r="AL45" s="430"/>
      <c r="AM45" s="448"/>
      <c r="AN45" s="448"/>
      <c r="AO45" s="430" t="s">
        <v>2941</v>
      </c>
      <c r="AP45" s="449">
        <v>363</v>
      </c>
      <c r="AQ45" s="450">
        <v>335</v>
      </c>
      <c r="AR45" s="450">
        <v>482</v>
      </c>
      <c r="AS45" s="450">
        <v>331</v>
      </c>
      <c r="AT45" s="450">
        <v>198</v>
      </c>
      <c r="AU45" s="430"/>
      <c r="AV45" s="430"/>
      <c r="AW45" s="394"/>
      <c r="AX45" s="394"/>
      <c r="AY45" s="394"/>
      <c r="AZ45" s="394"/>
      <c r="BA45" s="394"/>
      <c r="BB45" s="394"/>
      <c r="BC45" s="394"/>
      <c r="BD45" s="394"/>
      <c r="BE45" s="394"/>
      <c r="BF45" s="394"/>
      <c r="BG45" s="394"/>
      <c r="BH45" s="394"/>
      <c r="BI45" s="394"/>
      <c r="BJ45" s="394"/>
      <c r="BK45" s="394"/>
      <c r="BL45" s="394"/>
    </row>
    <row r="46" spans="1:64" ht="14.1" customHeight="1">
      <c r="A46" s="539" t="s">
        <v>2942</v>
      </c>
      <c r="B46" s="540" t="s">
        <v>2927</v>
      </c>
      <c r="C46" s="541">
        <v>86069</v>
      </c>
      <c r="D46" s="535">
        <v>3546</v>
      </c>
      <c r="E46" s="432">
        <v>158740</v>
      </c>
      <c r="F46" s="435">
        <v>5207</v>
      </c>
      <c r="J46" s="549" t="s">
        <v>2943</v>
      </c>
      <c r="K46" s="549"/>
      <c r="L46" s="549"/>
      <c r="M46" s="549"/>
      <c r="N46" s="549"/>
      <c r="O46" s="549"/>
      <c r="P46" s="547"/>
      <c r="Q46" s="393"/>
      <c r="R46" s="393"/>
      <c r="S46" s="382" t="s">
        <v>2932</v>
      </c>
      <c r="T46" s="393">
        <v>200</v>
      </c>
      <c r="U46" s="393">
        <v>539</v>
      </c>
      <c r="V46" s="393"/>
      <c r="W46" s="393"/>
      <c r="Y46" s="382" t="s">
        <v>2929</v>
      </c>
      <c r="Z46" s="393">
        <v>232</v>
      </c>
      <c r="AA46" s="393">
        <v>233</v>
      </c>
      <c r="AB46" s="393">
        <v>360</v>
      </c>
      <c r="AE46" s="439"/>
      <c r="AF46" s="445" t="s">
        <v>2932</v>
      </c>
      <c r="AG46" s="446">
        <v>366</v>
      </c>
      <c r="AH46" s="446">
        <v>173</v>
      </c>
      <c r="AI46" s="446">
        <v>190</v>
      </c>
      <c r="AJ46" s="446">
        <v>263</v>
      </c>
      <c r="AK46" s="447">
        <v>210</v>
      </c>
      <c r="AL46" s="430"/>
      <c r="AM46" s="448"/>
      <c r="AN46" s="448"/>
      <c r="AO46" s="430" t="s">
        <v>2932</v>
      </c>
      <c r="AP46" s="449">
        <v>406</v>
      </c>
      <c r="AQ46" s="450">
        <v>261</v>
      </c>
      <c r="AR46" s="450">
        <v>268</v>
      </c>
      <c r="AS46" s="450">
        <v>352</v>
      </c>
      <c r="AT46" s="450">
        <v>348</v>
      </c>
      <c r="AU46" s="430"/>
      <c r="AV46" s="430"/>
      <c r="AW46" s="394"/>
      <c r="AX46" s="394"/>
      <c r="AY46" s="394"/>
      <c r="AZ46" s="394"/>
      <c r="BA46" s="394"/>
      <c r="BB46" s="394"/>
      <c r="BC46" s="394"/>
      <c r="BD46" s="394"/>
      <c r="BE46" s="394"/>
      <c r="BF46" s="394"/>
      <c r="BG46" s="394"/>
      <c r="BH46" s="394"/>
      <c r="BI46" s="394"/>
      <c r="BJ46" s="394"/>
      <c r="BK46" s="394"/>
      <c r="BL46" s="394"/>
    </row>
    <row r="47" spans="1:64" ht="14.1" customHeight="1">
      <c r="A47" s="539" t="s">
        <v>2944</v>
      </c>
      <c r="B47" s="540" t="s">
        <v>2927</v>
      </c>
      <c r="C47" s="550">
        <v>81898</v>
      </c>
      <c r="D47" s="532">
        <v>3023</v>
      </c>
      <c r="E47" s="432">
        <v>156083</v>
      </c>
      <c r="F47" s="435">
        <v>5041</v>
      </c>
      <c r="J47" s="549" t="s">
        <v>2945</v>
      </c>
      <c r="K47" s="549"/>
      <c r="L47" s="549"/>
      <c r="M47" s="549"/>
      <c r="N47" s="549"/>
      <c r="O47" s="549"/>
      <c r="P47" s="548"/>
      <c r="S47" s="382" t="s">
        <v>2938</v>
      </c>
      <c r="T47" s="393">
        <v>126</v>
      </c>
      <c r="U47" s="393">
        <v>284</v>
      </c>
      <c r="Y47" s="382" t="s">
        <v>2946</v>
      </c>
      <c r="Z47" s="393">
        <v>215</v>
      </c>
      <c r="AA47" s="393">
        <v>219</v>
      </c>
      <c r="AB47" s="393">
        <v>319</v>
      </c>
      <c r="AE47" s="439"/>
      <c r="AF47" s="445" t="s">
        <v>2925</v>
      </c>
      <c r="AG47" s="446">
        <v>135</v>
      </c>
      <c r="AH47" s="446">
        <v>217</v>
      </c>
      <c r="AI47" s="446">
        <v>148</v>
      </c>
      <c r="AJ47" s="446">
        <v>152</v>
      </c>
      <c r="AK47" s="447">
        <v>132</v>
      </c>
      <c r="AL47" s="430"/>
      <c r="AM47" s="448"/>
      <c r="AN47" s="448"/>
      <c r="AO47" s="430" t="s">
        <v>2947</v>
      </c>
      <c r="AP47" s="449">
        <v>104</v>
      </c>
      <c r="AQ47" s="450">
        <v>255</v>
      </c>
      <c r="AR47" s="450">
        <v>79</v>
      </c>
      <c r="AS47" s="450">
        <v>129</v>
      </c>
      <c r="AT47" s="450">
        <v>106</v>
      </c>
      <c r="AU47" s="430"/>
      <c r="AV47" s="430"/>
      <c r="AW47" s="394"/>
      <c r="AX47" s="394"/>
      <c r="AY47" s="394"/>
      <c r="AZ47" s="394"/>
      <c r="BA47" s="394"/>
      <c r="BB47" s="394"/>
      <c r="BC47" s="394"/>
      <c r="BD47" s="394"/>
      <c r="BE47" s="394"/>
      <c r="BF47" s="394"/>
      <c r="BG47" s="394"/>
      <c r="BH47" s="394"/>
      <c r="BI47" s="394"/>
      <c r="BJ47" s="394"/>
      <c r="BK47" s="394"/>
      <c r="BL47" s="394"/>
    </row>
    <row r="48" spans="1:64" ht="14.1" customHeight="1">
      <c r="A48" s="539" t="s">
        <v>2948</v>
      </c>
      <c r="B48" s="540" t="s">
        <v>2927</v>
      </c>
      <c r="C48" s="550">
        <v>78348</v>
      </c>
      <c r="D48" s="532">
        <v>3466</v>
      </c>
      <c r="E48" s="432">
        <v>154137</v>
      </c>
      <c r="F48" s="435">
        <v>4957</v>
      </c>
      <c r="J48" s="551" t="s">
        <v>2949</v>
      </c>
      <c r="K48" s="551"/>
      <c r="L48" s="551"/>
      <c r="M48" s="551"/>
      <c r="N48" s="551"/>
      <c r="O48" s="551"/>
      <c r="P48" s="547"/>
      <c r="S48" s="382" t="s">
        <v>2947</v>
      </c>
      <c r="T48" s="393">
        <v>114</v>
      </c>
      <c r="U48" s="393">
        <v>293</v>
      </c>
      <c r="Y48" s="382" t="s">
        <v>2941</v>
      </c>
      <c r="Z48" s="393">
        <v>148</v>
      </c>
      <c r="AA48" s="393">
        <v>151</v>
      </c>
      <c r="AB48" s="393">
        <v>216</v>
      </c>
      <c r="AE48" s="439"/>
      <c r="AF48" s="445" t="s">
        <v>2837</v>
      </c>
      <c r="AG48" s="446">
        <v>292</v>
      </c>
      <c r="AH48" s="446">
        <v>141</v>
      </c>
      <c r="AI48" s="446">
        <v>113</v>
      </c>
      <c r="AJ48" s="446">
        <v>110</v>
      </c>
      <c r="AK48" s="447">
        <v>171</v>
      </c>
      <c r="AL48" s="430"/>
      <c r="AM48" s="448"/>
      <c r="AN48" s="448"/>
      <c r="AO48" s="430" t="s">
        <v>2938</v>
      </c>
      <c r="AP48" s="449">
        <v>61</v>
      </c>
      <c r="AQ48" s="450">
        <v>179</v>
      </c>
      <c r="AR48" s="450">
        <v>223</v>
      </c>
      <c r="AS48" s="450">
        <v>147</v>
      </c>
      <c r="AT48" s="450">
        <v>148</v>
      </c>
      <c r="AU48" s="430"/>
      <c r="AV48" s="430"/>
      <c r="AW48" s="394"/>
      <c r="AX48" s="394"/>
      <c r="AY48" s="394"/>
      <c r="AZ48" s="394"/>
      <c r="BA48" s="394"/>
      <c r="BB48" s="394"/>
      <c r="BC48" s="394"/>
      <c r="BD48" s="394"/>
      <c r="BE48" s="394"/>
      <c r="BF48" s="394"/>
      <c r="BG48" s="394"/>
      <c r="BH48" s="394"/>
      <c r="BI48" s="394"/>
      <c r="BJ48" s="394"/>
      <c r="BK48" s="394"/>
      <c r="BL48" s="394"/>
    </row>
    <row r="49" spans="1:72" ht="14.1" customHeight="1">
      <c r="A49" s="539" t="s">
        <v>2950</v>
      </c>
      <c r="B49" s="540" t="s">
        <v>2927</v>
      </c>
      <c r="C49" s="550">
        <v>82994</v>
      </c>
      <c r="D49" s="532">
        <v>4802</v>
      </c>
      <c r="E49" s="432">
        <v>170457</v>
      </c>
      <c r="F49" s="435">
        <v>7412</v>
      </c>
      <c r="J49" s="549" t="s">
        <v>2951</v>
      </c>
      <c r="K49" s="549"/>
      <c r="L49" s="549"/>
      <c r="M49" s="549"/>
      <c r="N49" s="549"/>
      <c r="O49" s="549"/>
      <c r="P49" s="547"/>
      <c r="S49" s="382" t="s">
        <v>2952</v>
      </c>
      <c r="T49" s="393">
        <v>104</v>
      </c>
      <c r="U49" s="393">
        <v>218</v>
      </c>
      <c r="Y49" s="382" t="s">
        <v>2953</v>
      </c>
      <c r="Z49" s="393">
        <v>111</v>
      </c>
      <c r="AA49" s="393">
        <v>114</v>
      </c>
      <c r="AB49" s="393">
        <v>187</v>
      </c>
      <c r="AE49" s="439"/>
      <c r="AF49" s="445" t="s">
        <v>2952</v>
      </c>
      <c r="AG49" s="446">
        <v>118</v>
      </c>
      <c r="AH49" s="446">
        <v>123</v>
      </c>
      <c r="AI49" s="446">
        <v>104</v>
      </c>
      <c r="AJ49" s="446">
        <v>216</v>
      </c>
      <c r="AK49" s="447">
        <v>233</v>
      </c>
      <c r="AL49" s="430"/>
      <c r="AM49" s="448"/>
      <c r="AN49" s="448"/>
      <c r="AO49" s="430" t="s">
        <v>2946</v>
      </c>
      <c r="AP49" s="449">
        <v>166</v>
      </c>
      <c r="AQ49" s="450">
        <v>156</v>
      </c>
      <c r="AR49" s="450">
        <v>173</v>
      </c>
      <c r="AS49" s="450">
        <v>474</v>
      </c>
      <c r="AT49" s="450">
        <v>301</v>
      </c>
      <c r="AU49" s="430"/>
      <c r="AV49" s="430"/>
      <c r="AW49" s="394"/>
      <c r="AX49" s="394"/>
      <c r="AY49" s="394"/>
      <c r="AZ49" s="394"/>
      <c r="BA49" s="394"/>
      <c r="BB49" s="394"/>
      <c r="BC49" s="394"/>
      <c r="BD49" s="394"/>
      <c r="BE49" s="394"/>
      <c r="BF49" s="394"/>
      <c r="BG49" s="394"/>
      <c r="BH49" s="394"/>
      <c r="BI49" s="394"/>
      <c r="BJ49" s="394"/>
      <c r="BK49" s="394"/>
      <c r="BL49" s="394"/>
    </row>
    <row r="50" spans="1:72" ht="14.1" customHeight="1">
      <c r="A50" s="552" t="s">
        <v>2954</v>
      </c>
      <c r="B50" s="553" t="s">
        <v>2927</v>
      </c>
      <c r="C50" s="554">
        <v>78825</v>
      </c>
      <c r="D50" s="555">
        <v>4259</v>
      </c>
      <c r="E50" s="476">
        <v>167854</v>
      </c>
      <c r="F50" s="556">
        <v>6607</v>
      </c>
      <c r="J50" s="549"/>
      <c r="K50" s="549"/>
      <c r="L50" s="549"/>
      <c r="M50" s="549"/>
      <c r="N50" s="549"/>
      <c r="O50" s="549"/>
      <c r="S50" s="382" t="s">
        <v>2953</v>
      </c>
      <c r="T50" s="393">
        <v>99</v>
      </c>
      <c r="U50" s="393">
        <v>222</v>
      </c>
      <c r="Y50" s="382" t="s">
        <v>2938</v>
      </c>
      <c r="Z50" s="393">
        <v>110</v>
      </c>
      <c r="AA50" s="393">
        <v>112</v>
      </c>
      <c r="AB50" s="393">
        <v>195</v>
      </c>
      <c r="AE50" s="439"/>
      <c r="AF50" s="445" t="s">
        <v>2955</v>
      </c>
      <c r="AG50" s="446">
        <v>88</v>
      </c>
      <c r="AH50" s="446">
        <v>116</v>
      </c>
      <c r="AI50" s="446">
        <v>85</v>
      </c>
      <c r="AJ50" s="446">
        <v>67</v>
      </c>
      <c r="AK50" s="447">
        <v>147</v>
      </c>
      <c r="AL50" s="430"/>
      <c r="AM50" s="448"/>
      <c r="AN50" s="448"/>
      <c r="AO50" s="430" t="s">
        <v>2952</v>
      </c>
      <c r="AP50" s="449">
        <v>118</v>
      </c>
      <c r="AQ50" s="450">
        <v>123</v>
      </c>
      <c r="AR50" s="450">
        <v>104</v>
      </c>
      <c r="AS50" s="450">
        <v>216</v>
      </c>
      <c r="AT50" s="450">
        <v>233</v>
      </c>
      <c r="AU50" s="430"/>
      <c r="AV50" s="430"/>
      <c r="AW50" s="394"/>
      <c r="AX50" s="394"/>
      <c r="AY50" s="394"/>
      <c r="AZ50" s="394"/>
      <c r="BA50" s="394"/>
      <c r="BB50" s="394"/>
      <c r="BC50" s="394"/>
      <c r="BD50" s="394"/>
      <c r="BE50" s="394"/>
      <c r="BF50" s="394"/>
      <c r="BG50" s="394"/>
      <c r="BH50" s="394"/>
      <c r="BI50" s="394"/>
      <c r="BJ50" s="394"/>
      <c r="BK50" s="394"/>
      <c r="BL50" s="394"/>
    </row>
    <row r="51" spans="1:72" ht="14.1" customHeight="1">
      <c r="A51" s="557" t="s">
        <v>2956</v>
      </c>
      <c r="B51" s="557"/>
      <c r="C51" s="557"/>
      <c r="D51" s="557"/>
      <c r="E51" s="557"/>
      <c r="J51" s="549"/>
      <c r="K51" s="549"/>
      <c r="L51" s="549"/>
      <c r="M51" s="549"/>
      <c r="N51" s="549"/>
      <c r="O51" s="549"/>
      <c r="P51" s="463"/>
      <c r="S51" s="382" t="s">
        <v>2941</v>
      </c>
      <c r="T51" s="393">
        <v>99</v>
      </c>
      <c r="U51" s="393">
        <v>251</v>
      </c>
      <c r="Y51" s="382" t="s">
        <v>2947</v>
      </c>
      <c r="Z51" s="393">
        <v>107</v>
      </c>
      <c r="AA51" s="393">
        <v>109</v>
      </c>
      <c r="AB51" s="393">
        <v>228</v>
      </c>
      <c r="AE51" s="439"/>
      <c r="AF51" s="445" t="s">
        <v>2946</v>
      </c>
      <c r="AG51" s="446">
        <v>145</v>
      </c>
      <c r="AH51" s="446">
        <v>138</v>
      </c>
      <c r="AI51" s="446">
        <v>71</v>
      </c>
      <c r="AJ51" s="446">
        <v>402</v>
      </c>
      <c r="AK51" s="447">
        <v>216</v>
      </c>
      <c r="AL51" s="430"/>
      <c r="AM51" s="448"/>
      <c r="AN51" s="448"/>
      <c r="AO51" s="430" t="s">
        <v>2955</v>
      </c>
      <c r="AP51" s="449">
        <v>89</v>
      </c>
      <c r="AQ51" s="450">
        <v>117</v>
      </c>
      <c r="AR51" s="450">
        <v>85</v>
      </c>
      <c r="AS51" s="450">
        <v>67</v>
      </c>
      <c r="AT51" s="450">
        <v>161</v>
      </c>
      <c r="AU51" s="430"/>
      <c r="AV51" s="430"/>
      <c r="AW51" s="394"/>
      <c r="AX51" s="394"/>
      <c r="AY51" s="394"/>
      <c r="AZ51" s="394"/>
      <c r="BA51" s="394"/>
      <c r="BB51" s="394"/>
      <c r="BC51" s="394"/>
      <c r="BD51" s="394"/>
      <c r="BE51" s="394"/>
      <c r="BF51" s="394"/>
      <c r="BG51" s="394"/>
      <c r="BH51" s="394"/>
      <c r="BI51" s="394"/>
      <c r="BJ51" s="394"/>
      <c r="BK51" s="394"/>
      <c r="BL51" s="394"/>
    </row>
    <row r="52" spans="1:72" ht="14.1" customHeight="1">
      <c r="A52" s="557" t="s">
        <v>2957</v>
      </c>
      <c r="B52" s="549"/>
      <c r="C52" s="549"/>
      <c r="D52" s="549"/>
      <c r="E52" s="549"/>
      <c r="J52" s="549"/>
      <c r="K52" s="558"/>
      <c r="L52" s="549"/>
      <c r="M52" s="549"/>
      <c r="N52" s="549"/>
      <c r="O52" s="549"/>
      <c r="P52" s="463"/>
      <c r="S52" s="382" t="s">
        <v>2929</v>
      </c>
      <c r="T52" s="393">
        <v>80</v>
      </c>
      <c r="U52" s="393">
        <v>194</v>
      </c>
      <c r="Y52" s="382" t="s">
        <v>2952</v>
      </c>
      <c r="Z52" s="393">
        <v>101</v>
      </c>
      <c r="AA52" s="393">
        <v>109</v>
      </c>
      <c r="AB52" s="393">
        <v>174</v>
      </c>
      <c r="AE52" s="439"/>
      <c r="AF52" s="445" t="s">
        <v>2953</v>
      </c>
      <c r="AG52" s="446">
        <v>143</v>
      </c>
      <c r="AH52" s="446">
        <v>101</v>
      </c>
      <c r="AI52" s="446">
        <v>54</v>
      </c>
      <c r="AJ52" s="446">
        <v>66</v>
      </c>
      <c r="AK52" s="447">
        <v>94</v>
      </c>
      <c r="AL52" s="430"/>
      <c r="AM52" s="448"/>
      <c r="AN52" s="448"/>
      <c r="AO52" s="430" t="s">
        <v>2953</v>
      </c>
      <c r="AP52" s="449">
        <v>159</v>
      </c>
      <c r="AQ52" s="450">
        <v>117</v>
      </c>
      <c r="AR52" s="450">
        <v>73</v>
      </c>
      <c r="AS52" s="450">
        <v>81</v>
      </c>
      <c r="AT52" s="450">
        <v>94</v>
      </c>
      <c r="AU52" s="430"/>
      <c r="AV52" s="430"/>
      <c r="AW52" s="394"/>
      <c r="AX52" s="394"/>
      <c r="AY52" s="394"/>
      <c r="AZ52" s="394"/>
      <c r="BA52" s="394"/>
      <c r="BB52" s="394"/>
      <c r="BC52" s="394"/>
      <c r="BD52" s="394"/>
      <c r="BE52" s="394"/>
      <c r="BF52" s="394"/>
      <c r="BG52" s="394"/>
      <c r="BH52" s="394"/>
      <c r="BI52" s="394"/>
      <c r="BJ52" s="394"/>
      <c r="BK52" s="394"/>
      <c r="BL52" s="394"/>
    </row>
    <row r="53" spans="1:72" ht="14.1" customHeight="1">
      <c r="A53" s="557" t="s">
        <v>2958</v>
      </c>
      <c r="B53" s="557"/>
      <c r="C53" s="557"/>
      <c r="D53" s="557"/>
      <c r="E53" s="549"/>
      <c r="J53" s="549"/>
      <c r="K53" s="558"/>
      <c r="L53" s="549"/>
      <c r="M53" s="549"/>
      <c r="N53" s="549"/>
      <c r="O53" s="549"/>
      <c r="P53" s="463"/>
      <c r="S53" s="382" t="s">
        <v>2959</v>
      </c>
      <c r="T53" s="393">
        <v>78</v>
      </c>
      <c r="U53" s="393">
        <v>186</v>
      </c>
      <c r="Y53" s="382" t="s">
        <v>2959</v>
      </c>
      <c r="Z53" s="393">
        <v>80</v>
      </c>
      <c r="AA53" s="393">
        <v>83</v>
      </c>
      <c r="AB53" s="393">
        <v>194</v>
      </c>
      <c r="AE53" s="439"/>
      <c r="AF53" s="445" t="s">
        <v>2959</v>
      </c>
      <c r="AG53" s="446">
        <v>19</v>
      </c>
      <c r="AH53" s="446">
        <v>22</v>
      </c>
      <c r="AI53" s="446">
        <v>24</v>
      </c>
      <c r="AJ53" s="446">
        <v>33</v>
      </c>
      <c r="AK53" s="447">
        <v>32</v>
      </c>
      <c r="AL53" s="430"/>
      <c r="AM53" s="448"/>
      <c r="AN53" s="448"/>
      <c r="AO53" s="430" t="s">
        <v>2959</v>
      </c>
      <c r="AP53" s="449">
        <v>19</v>
      </c>
      <c r="AQ53" s="450">
        <v>53</v>
      </c>
      <c r="AR53" s="450">
        <v>68</v>
      </c>
      <c r="AS53" s="450">
        <v>80</v>
      </c>
      <c r="AT53" s="450">
        <v>95</v>
      </c>
      <c r="AU53" s="430"/>
      <c r="AV53" s="430"/>
      <c r="AW53" s="394"/>
      <c r="AX53" s="394"/>
      <c r="AY53" s="394"/>
      <c r="AZ53" s="394"/>
      <c r="BA53" s="394"/>
      <c r="BB53" s="394"/>
      <c r="BC53" s="394"/>
      <c r="BD53" s="394"/>
      <c r="BE53" s="394"/>
      <c r="BF53" s="394"/>
      <c r="BG53" s="394"/>
      <c r="BH53" s="394"/>
      <c r="BI53" s="394"/>
      <c r="BJ53" s="394"/>
      <c r="BK53" s="394"/>
      <c r="BL53" s="394"/>
    </row>
    <row r="54" spans="1:72" ht="14.1" customHeight="1">
      <c r="A54" s="557" t="s">
        <v>2960</v>
      </c>
      <c r="B54" s="557"/>
      <c r="C54" s="557"/>
      <c r="D54" s="557"/>
      <c r="E54" s="549"/>
      <c r="K54" s="559"/>
      <c r="S54" s="382" t="s">
        <v>2946</v>
      </c>
      <c r="T54" s="393">
        <v>70</v>
      </c>
      <c r="U54" s="393">
        <v>160</v>
      </c>
      <c r="Y54" s="382" t="s">
        <v>2955</v>
      </c>
      <c r="Z54" s="393">
        <v>67</v>
      </c>
      <c r="AA54" s="393">
        <v>74</v>
      </c>
      <c r="AB54" s="393">
        <v>152</v>
      </c>
      <c r="AE54" s="439"/>
      <c r="AF54" s="445" t="s">
        <v>2947</v>
      </c>
      <c r="AG54" s="446">
        <v>12</v>
      </c>
      <c r="AH54" s="446">
        <v>36</v>
      </c>
      <c r="AI54" s="446">
        <v>23</v>
      </c>
      <c r="AJ54" s="446">
        <v>62</v>
      </c>
      <c r="AK54" s="447">
        <v>79</v>
      </c>
      <c r="AL54" s="430"/>
      <c r="AM54" s="448"/>
      <c r="AN54" s="448"/>
      <c r="AO54" s="430" t="s">
        <v>2929</v>
      </c>
      <c r="AP54" s="449">
        <v>52</v>
      </c>
      <c r="AQ54" s="450">
        <v>27</v>
      </c>
      <c r="AR54" s="450">
        <v>395</v>
      </c>
      <c r="AS54" s="450">
        <v>324</v>
      </c>
      <c r="AT54" s="450">
        <v>253</v>
      </c>
      <c r="AU54" s="430"/>
      <c r="AV54" s="430"/>
      <c r="AW54" s="394"/>
      <c r="AX54" s="394"/>
      <c r="AY54" s="394"/>
      <c r="AZ54" s="394"/>
      <c r="BA54" s="394"/>
      <c r="BB54" s="394"/>
      <c r="BC54" s="394"/>
      <c r="BD54" s="394"/>
      <c r="BE54" s="394"/>
      <c r="BF54" s="394"/>
      <c r="BG54" s="394"/>
      <c r="BH54" s="394"/>
      <c r="BI54" s="394"/>
      <c r="BJ54" s="394"/>
      <c r="BK54" s="394"/>
      <c r="BL54" s="394"/>
    </row>
    <row r="55" spans="1:72" ht="14.1" customHeight="1">
      <c r="A55" s="560" t="s">
        <v>2961</v>
      </c>
      <c r="B55" s="560"/>
      <c r="C55" s="560"/>
      <c r="D55" s="560"/>
      <c r="E55" s="560"/>
      <c r="J55" s="549"/>
      <c r="K55" s="549"/>
      <c r="L55" s="549"/>
      <c r="M55" s="549"/>
      <c r="N55" s="549"/>
      <c r="O55" s="549"/>
      <c r="S55" s="382" t="s">
        <v>2955</v>
      </c>
      <c r="T55" s="393">
        <v>62</v>
      </c>
      <c r="U55" s="393">
        <v>185</v>
      </c>
      <c r="Y55" s="382" t="s">
        <v>2925</v>
      </c>
      <c r="Z55" s="393">
        <v>65</v>
      </c>
      <c r="AA55" s="393">
        <v>66</v>
      </c>
      <c r="AB55" s="393">
        <v>126</v>
      </c>
      <c r="AE55" s="439"/>
      <c r="AF55" s="445" t="s">
        <v>2962</v>
      </c>
      <c r="AG55" s="446">
        <v>9</v>
      </c>
      <c r="AH55" s="446">
        <v>0</v>
      </c>
      <c r="AI55" s="446">
        <v>0</v>
      </c>
      <c r="AJ55" s="446">
        <v>2</v>
      </c>
      <c r="AK55" s="447">
        <v>2</v>
      </c>
      <c r="AL55" s="430"/>
      <c r="AM55" s="448"/>
      <c r="AN55" s="448"/>
      <c r="AO55" s="430" t="s">
        <v>2962</v>
      </c>
      <c r="AP55" s="449">
        <v>13</v>
      </c>
      <c r="AQ55" s="561">
        <v>0</v>
      </c>
      <c r="AR55" s="450">
        <v>6</v>
      </c>
      <c r="AS55" s="450">
        <v>24</v>
      </c>
      <c r="AT55" s="450">
        <v>30</v>
      </c>
      <c r="AU55" s="430"/>
      <c r="AV55" s="430"/>
      <c r="AW55" s="394"/>
      <c r="AX55" s="394"/>
      <c r="AY55" s="394"/>
      <c r="AZ55" s="394"/>
      <c r="BA55" s="394"/>
      <c r="BB55" s="394"/>
      <c r="BC55" s="394"/>
      <c r="BD55" s="394"/>
      <c r="BE55" s="394"/>
      <c r="BF55" s="394"/>
      <c r="BG55" s="394"/>
      <c r="BH55" s="394"/>
      <c r="BI55" s="394"/>
      <c r="BJ55" s="394"/>
      <c r="BK55" s="394"/>
      <c r="BL55" s="394"/>
    </row>
    <row r="56" spans="1:72" ht="14.1" customHeight="1" thickBot="1">
      <c r="J56" s="549"/>
      <c r="K56" s="549"/>
      <c r="L56" s="549"/>
      <c r="M56" s="549"/>
      <c r="N56" s="549"/>
      <c r="O56" s="549"/>
      <c r="P56" s="562"/>
      <c r="S56" s="563" t="s">
        <v>2962</v>
      </c>
      <c r="T56" s="564">
        <v>29</v>
      </c>
      <c r="U56" s="564">
        <v>91</v>
      </c>
      <c r="Y56" s="563" t="s">
        <v>2962</v>
      </c>
      <c r="Z56" s="564">
        <v>43</v>
      </c>
      <c r="AA56" s="564">
        <v>43</v>
      </c>
      <c r="AB56" s="564">
        <v>81</v>
      </c>
      <c r="AE56" s="439"/>
      <c r="AF56" s="565" t="s">
        <v>2963</v>
      </c>
      <c r="AG56" s="566">
        <v>0</v>
      </c>
      <c r="AH56" s="566">
        <v>0</v>
      </c>
      <c r="AI56" s="566">
        <v>0</v>
      </c>
      <c r="AJ56" s="566">
        <v>0</v>
      </c>
      <c r="AK56" s="567">
        <v>0</v>
      </c>
      <c r="AL56" s="430"/>
      <c r="AM56" s="448"/>
      <c r="AN56" s="448"/>
      <c r="AO56" s="568" t="s">
        <v>2963</v>
      </c>
      <c r="AP56" s="567">
        <v>0</v>
      </c>
      <c r="AQ56" s="567">
        <v>0</v>
      </c>
      <c r="AR56" s="567">
        <v>0</v>
      </c>
      <c r="AS56" s="567">
        <v>0</v>
      </c>
      <c r="AT56" s="567">
        <v>0</v>
      </c>
      <c r="AU56" s="430"/>
      <c r="AV56" s="430"/>
      <c r="AW56" s="394"/>
      <c r="AX56" s="394"/>
      <c r="AY56" s="394"/>
      <c r="AZ56" s="394"/>
      <c r="BA56" s="394"/>
      <c r="BB56" s="394"/>
      <c r="BC56" s="394"/>
      <c r="BD56" s="394"/>
      <c r="BE56" s="394"/>
      <c r="BF56" s="394"/>
      <c r="BG56" s="394"/>
      <c r="BH56" s="394"/>
      <c r="BI56" s="394"/>
      <c r="BJ56" s="394"/>
      <c r="BK56" s="394"/>
      <c r="BL56" s="394"/>
    </row>
    <row r="57" spans="1:72" ht="14.1" customHeight="1" thickTop="1">
      <c r="J57" s="549"/>
      <c r="K57" s="549"/>
      <c r="L57" s="549"/>
      <c r="M57" s="549"/>
      <c r="N57" s="549"/>
      <c r="O57" s="549"/>
      <c r="S57" s="381" t="s">
        <v>2963</v>
      </c>
      <c r="T57" s="569">
        <v>51</v>
      </c>
      <c r="U57" s="569">
        <v>138</v>
      </c>
      <c r="Y57" s="381" t="s">
        <v>2963</v>
      </c>
      <c r="Z57" s="569">
        <v>30</v>
      </c>
      <c r="AA57" s="569">
        <v>32</v>
      </c>
      <c r="AB57" s="569">
        <v>94</v>
      </c>
      <c r="AE57" s="439"/>
      <c r="AF57" s="570" t="s">
        <v>2964</v>
      </c>
      <c r="AG57" s="570"/>
      <c r="AH57" s="570"/>
      <c r="AI57" s="570"/>
      <c r="AJ57" s="570"/>
      <c r="AK57" s="570"/>
      <c r="AL57" s="409"/>
      <c r="AM57" s="431"/>
      <c r="AN57" s="431"/>
      <c r="AO57" s="570" t="s">
        <v>2964</v>
      </c>
      <c r="AP57" s="570"/>
      <c r="AQ57" s="570"/>
      <c r="AR57" s="570"/>
      <c r="AS57" s="570"/>
      <c r="AT57" s="570"/>
      <c r="AU57" s="409"/>
      <c r="AV57" s="409"/>
      <c r="AW57" s="394"/>
      <c r="AX57" s="394"/>
      <c r="AY57" s="394"/>
      <c r="AZ57" s="394"/>
      <c r="BA57" s="394"/>
      <c r="BB57" s="394"/>
      <c r="BC57" s="394"/>
      <c r="BD57" s="394"/>
      <c r="BE57" s="394"/>
      <c r="BF57" s="394"/>
      <c r="BG57" s="394"/>
      <c r="BH57" s="394"/>
      <c r="BI57" s="394"/>
      <c r="BJ57" s="394"/>
      <c r="BK57" s="394"/>
      <c r="BL57" s="394"/>
      <c r="BM57" s="2074"/>
      <c r="BN57" s="2074"/>
      <c r="BO57" s="2074"/>
      <c r="BP57" s="2074"/>
      <c r="BQ57" s="2074"/>
      <c r="BR57" s="2074"/>
      <c r="BS57" s="2074"/>
      <c r="BT57" s="2074"/>
    </row>
    <row r="58" spans="1:72" ht="14.1" customHeight="1">
      <c r="S58" s="571" t="s">
        <v>2965</v>
      </c>
      <c r="T58" s="571"/>
      <c r="U58" s="571"/>
      <c r="Y58" s="571" t="s">
        <v>2966</v>
      </c>
      <c r="Z58" s="571"/>
      <c r="AA58" s="571"/>
      <c r="AB58" s="571"/>
      <c r="AE58" s="439"/>
      <c r="AF58" s="572" t="s">
        <v>2967</v>
      </c>
      <c r="AG58" s="572"/>
      <c r="AH58" s="572"/>
      <c r="AI58" s="572"/>
      <c r="AJ58" s="572"/>
      <c r="AK58" s="572"/>
      <c r="AL58" s="409"/>
      <c r="AM58" s="409"/>
      <c r="AN58" s="409"/>
      <c r="AO58" s="572" t="s">
        <v>2967</v>
      </c>
      <c r="AP58" s="572"/>
      <c r="AQ58" s="572"/>
      <c r="AR58" s="572"/>
      <c r="AS58" s="572"/>
      <c r="AT58" s="572"/>
      <c r="AU58" s="409"/>
      <c r="AV58" s="409"/>
      <c r="AW58" s="409"/>
      <c r="AX58" s="394"/>
      <c r="AY58" s="394"/>
      <c r="AZ58" s="394"/>
      <c r="BA58" s="394"/>
      <c r="BB58" s="394"/>
      <c r="BC58" s="394"/>
      <c r="BD58" s="394"/>
      <c r="BE58" s="394"/>
      <c r="BF58" s="394"/>
      <c r="BG58" s="409"/>
      <c r="BH58" s="409"/>
      <c r="BI58" s="409"/>
      <c r="BJ58" s="409"/>
      <c r="BK58" s="409"/>
      <c r="BL58" s="409"/>
      <c r="BM58" s="456"/>
      <c r="BN58" s="456"/>
      <c r="BO58" s="456"/>
      <c r="BP58" s="456"/>
      <c r="BQ58" s="456"/>
      <c r="BR58" s="456"/>
      <c r="BS58" s="456"/>
      <c r="BT58" s="456"/>
    </row>
    <row r="59" spans="1:72" ht="14.1" customHeight="1">
      <c r="S59" s="571" t="s">
        <v>2968</v>
      </c>
      <c r="T59" s="571"/>
      <c r="U59" s="573"/>
      <c r="Y59" s="571" t="s">
        <v>2968</v>
      </c>
      <c r="Z59" s="571"/>
      <c r="AA59" s="571"/>
      <c r="AB59" s="571"/>
      <c r="AE59" s="439"/>
      <c r="AF59" s="570" t="s">
        <v>2969</v>
      </c>
      <c r="AG59" s="570"/>
      <c r="AH59" s="570"/>
      <c r="AI59" s="570"/>
      <c r="AJ59" s="570"/>
      <c r="AK59" s="570"/>
      <c r="AM59" s="409"/>
      <c r="AN59" s="409"/>
      <c r="AO59" s="570" t="s">
        <v>2969</v>
      </c>
      <c r="AP59" s="570"/>
      <c r="AQ59" s="570"/>
      <c r="AR59" s="570"/>
      <c r="AS59" s="570"/>
      <c r="AT59" s="570"/>
      <c r="AW59" s="409"/>
      <c r="AX59" s="409"/>
      <c r="AY59" s="409"/>
      <c r="AZ59" s="409"/>
      <c r="BA59" s="409"/>
      <c r="BB59" s="409"/>
      <c r="BC59" s="409"/>
      <c r="BD59" s="409"/>
      <c r="BE59" s="409"/>
      <c r="BF59" s="409"/>
      <c r="BG59" s="409"/>
      <c r="BH59" s="409"/>
      <c r="BI59" s="409"/>
      <c r="BJ59" s="409"/>
      <c r="BK59" s="409"/>
      <c r="BL59" s="409"/>
      <c r="BM59" s="2075"/>
      <c r="BN59" s="2075"/>
      <c r="BO59" s="2075"/>
      <c r="BP59" s="2075"/>
      <c r="BQ59" s="2075"/>
      <c r="BR59" s="2075"/>
      <c r="BS59" s="2075"/>
      <c r="BT59" s="2075"/>
    </row>
    <row r="60" spans="1:72" ht="14.1" customHeight="1">
      <c r="S60" s="2069" t="s">
        <v>2970</v>
      </c>
      <c r="T60" s="2069"/>
      <c r="U60" s="2069"/>
      <c r="V60" s="574"/>
      <c r="Y60" s="571" t="s">
        <v>2971</v>
      </c>
      <c r="Z60" s="571"/>
      <c r="AA60" s="571"/>
      <c r="AB60" s="571"/>
      <c r="AE60" s="439"/>
      <c r="AF60" s="549" t="s">
        <v>2972</v>
      </c>
      <c r="AG60" s="549"/>
      <c r="AH60" s="549"/>
      <c r="AI60" s="549"/>
      <c r="AJ60" s="549"/>
      <c r="AK60" s="549"/>
      <c r="AO60" s="549" t="s">
        <v>2973</v>
      </c>
      <c r="AP60" s="549"/>
      <c r="AQ60" s="549"/>
      <c r="AR60" s="549"/>
      <c r="AS60" s="549"/>
      <c r="AT60" s="549"/>
      <c r="AU60" s="575"/>
      <c r="AV60" s="575"/>
      <c r="AW60" s="409"/>
      <c r="AX60" s="409"/>
      <c r="AY60" s="409"/>
      <c r="AZ60" s="409"/>
      <c r="BA60" s="409"/>
      <c r="BB60" s="409"/>
      <c r="BC60" s="409"/>
      <c r="BD60" s="409"/>
      <c r="BE60" s="409"/>
      <c r="BF60" s="409"/>
      <c r="BG60" s="409"/>
      <c r="BH60" s="409"/>
      <c r="BI60" s="409"/>
      <c r="BJ60" s="409"/>
      <c r="BK60" s="409"/>
      <c r="BL60" s="409"/>
      <c r="BM60" s="394"/>
      <c r="BN60" s="394"/>
      <c r="BO60" s="394"/>
      <c r="BP60" s="394"/>
      <c r="BQ60" s="394"/>
      <c r="BR60" s="394"/>
      <c r="BS60" s="394"/>
      <c r="BT60" s="394"/>
    </row>
    <row r="61" spans="1:72" ht="14.1" customHeight="1">
      <c r="S61" s="2069" t="s">
        <v>2974</v>
      </c>
      <c r="T61" s="2069"/>
      <c r="U61" s="2069"/>
      <c r="Y61" s="2069" t="s">
        <v>2975</v>
      </c>
      <c r="Z61" s="2069"/>
      <c r="AA61" s="2069"/>
      <c r="AB61" s="2069"/>
      <c r="AC61" s="576"/>
      <c r="AD61" s="576"/>
      <c r="AE61" s="439"/>
      <c r="AF61" s="549" t="s">
        <v>2976</v>
      </c>
      <c r="AG61" s="549"/>
      <c r="AH61" s="549"/>
      <c r="AI61" s="549"/>
      <c r="AJ61" s="549"/>
      <c r="AK61" s="549"/>
      <c r="AL61" s="435"/>
      <c r="AO61" s="549" t="s">
        <v>2977</v>
      </c>
      <c r="AP61" s="549"/>
      <c r="AQ61" s="549"/>
      <c r="AR61" s="549"/>
      <c r="AS61" s="549"/>
      <c r="AT61" s="549"/>
      <c r="AU61" s="435"/>
      <c r="AV61" s="435"/>
      <c r="AW61" s="409"/>
      <c r="AX61" s="409"/>
      <c r="AY61" s="409"/>
      <c r="AZ61" s="409"/>
      <c r="BA61" s="409"/>
      <c r="BB61" s="409"/>
      <c r="BC61" s="409"/>
      <c r="BD61" s="409"/>
      <c r="BE61" s="409"/>
      <c r="BF61" s="409"/>
      <c r="BG61" s="409"/>
      <c r="BH61" s="409"/>
      <c r="BI61" s="409"/>
      <c r="BJ61" s="409"/>
      <c r="BK61" s="409"/>
      <c r="BL61" s="409"/>
      <c r="BM61" s="394"/>
      <c r="BN61" s="394"/>
      <c r="BO61" s="394"/>
      <c r="BP61" s="394"/>
      <c r="BQ61" s="394"/>
      <c r="BR61" s="394"/>
      <c r="BS61" s="394"/>
      <c r="BT61" s="394"/>
    </row>
    <row r="62" spans="1:72" ht="14.25" customHeight="1">
      <c r="S62" s="2069"/>
      <c r="T62" s="2069"/>
      <c r="U62" s="2069"/>
      <c r="Y62" s="2069" t="s">
        <v>2978</v>
      </c>
      <c r="Z62" s="2069"/>
      <c r="AA62" s="2069"/>
      <c r="AB62" s="2069"/>
      <c r="AC62" s="576"/>
      <c r="AD62" s="576"/>
      <c r="AE62" s="439"/>
      <c r="AF62" s="386"/>
      <c r="AG62" s="386"/>
      <c r="AH62" s="386"/>
      <c r="AI62" s="386"/>
      <c r="AJ62" s="386"/>
      <c r="AK62" s="386"/>
      <c r="AL62" s="385"/>
      <c r="AM62" s="439"/>
      <c r="AN62" s="439"/>
      <c r="AO62" s="385"/>
      <c r="AP62" s="385"/>
      <c r="AQ62" s="385"/>
      <c r="AR62" s="385"/>
      <c r="AS62" s="385"/>
      <c r="AT62" s="385"/>
      <c r="AU62" s="385"/>
      <c r="AV62" s="385"/>
      <c r="AW62" s="398"/>
      <c r="AX62" s="409"/>
      <c r="AY62" s="409"/>
      <c r="AZ62" s="409"/>
      <c r="BA62" s="409"/>
      <c r="BB62" s="409"/>
      <c r="BC62" s="409"/>
      <c r="BD62" s="409"/>
      <c r="BE62" s="409"/>
      <c r="BF62" s="409"/>
      <c r="BG62" s="398"/>
      <c r="BH62" s="398"/>
      <c r="BI62" s="398"/>
      <c r="BJ62" s="398"/>
      <c r="BK62" s="398"/>
      <c r="BL62" s="398"/>
      <c r="BM62" s="394"/>
      <c r="BN62" s="394"/>
      <c r="BO62" s="394"/>
      <c r="BP62" s="394"/>
      <c r="BQ62" s="394"/>
      <c r="BR62" s="394"/>
      <c r="BS62" s="394"/>
      <c r="BT62" s="394"/>
    </row>
    <row r="63" spans="1:72" ht="14.1" customHeight="1">
      <c r="S63" s="571"/>
      <c r="T63" s="573"/>
      <c r="U63" s="571"/>
      <c r="Y63" s="571" t="s">
        <v>2979</v>
      </c>
      <c r="Z63" s="571"/>
      <c r="AA63" s="571"/>
      <c r="AB63" s="571"/>
      <c r="AE63" s="439"/>
      <c r="AF63" s="398"/>
      <c r="AG63" s="398"/>
      <c r="AH63" s="515"/>
      <c r="AI63" s="398"/>
      <c r="AJ63" s="515"/>
      <c r="AK63" s="398"/>
      <c r="AL63" s="515"/>
      <c r="AM63" s="385"/>
      <c r="AN63" s="385"/>
      <c r="AO63" s="577"/>
      <c r="AP63" s="577"/>
      <c r="AQ63" s="577"/>
      <c r="AR63" s="577"/>
      <c r="AS63" s="577"/>
      <c r="AT63" s="577"/>
      <c r="AU63" s="578"/>
      <c r="AV63" s="578"/>
      <c r="AX63" s="398"/>
      <c r="AY63" s="398"/>
      <c r="AZ63" s="398"/>
      <c r="BA63" s="398"/>
      <c r="BB63" s="398"/>
      <c r="BC63" s="398"/>
      <c r="BD63" s="398"/>
      <c r="BE63" s="398"/>
      <c r="BF63" s="398"/>
      <c r="BM63" s="394"/>
      <c r="BN63" s="394"/>
      <c r="BO63" s="394"/>
      <c r="BP63" s="394"/>
      <c r="BQ63" s="394"/>
      <c r="BR63" s="394"/>
      <c r="BS63" s="394"/>
      <c r="BT63" s="394"/>
    </row>
    <row r="64" spans="1:72" ht="14.1" customHeight="1">
      <c r="S64" s="571"/>
      <c r="T64" s="571"/>
      <c r="U64" s="571"/>
      <c r="Y64" s="571" t="s">
        <v>2980</v>
      </c>
      <c r="Z64" s="571"/>
      <c r="AA64" s="571"/>
      <c r="AB64" s="571"/>
      <c r="AE64" s="439"/>
      <c r="AF64" s="398"/>
      <c r="AG64" s="463"/>
      <c r="AH64" s="398"/>
      <c r="AI64" s="515"/>
      <c r="AJ64" s="398"/>
      <c r="AK64" s="398"/>
      <c r="AL64" s="409"/>
      <c r="AM64" s="578"/>
      <c r="AN64" s="578"/>
      <c r="AO64" s="577"/>
      <c r="AP64" s="577"/>
      <c r="AQ64" s="577"/>
      <c r="AR64" s="409"/>
      <c r="AS64" s="577"/>
      <c r="AT64" s="577"/>
      <c r="AU64" s="409"/>
      <c r="AV64" s="409"/>
      <c r="BM64" s="394"/>
      <c r="BN64" s="394"/>
      <c r="BO64" s="394"/>
      <c r="BP64" s="394"/>
      <c r="BQ64" s="394"/>
      <c r="BR64" s="394"/>
      <c r="BS64" s="394"/>
      <c r="BT64" s="394"/>
    </row>
    <row r="65" spans="20:72" ht="14.1" customHeight="1">
      <c r="AE65" s="439"/>
      <c r="AF65" s="579"/>
      <c r="AG65" s="579"/>
      <c r="AH65" s="579"/>
      <c r="AI65" s="579"/>
      <c r="AJ65" s="579"/>
      <c r="AK65" s="579"/>
      <c r="AL65" s="580"/>
      <c r="AM65" s="409"/>
      <c r="AN65" s="409"/>
      <c r="AO65" s="581"/>
      <c r="AP65" s="580"/>
      <c r="AQ65" s="581"/>
      <c r="AR65" s="581"/>
      <c r="AS65" s="581"/>
      <c r="AT65" s="581"/>
      <c r="AU65" s="580"/>
      <c r="AV65" s="580"/>
      <c r="AW65" s="439"/>
      <c r="BG65" s="439"/>
      <c r="BH65" s="439"/>
      <c r="BI65" s="439"/>
      <c r="BJ65" s="439"/>
      <c r="BK65" s="439"/>
      <c r="BL65" s="439"/>
      <c r="BM65" s="394"/>
      <c r="BN65" s="394"/>
      <c r="BO65" s="394"/>
      <c r="BP65" s="394"/>
      <c r="BQ65" s="394"/>
      <c r="BR65" s="394"/>
      <c r="BS65" s="394"/>
      <c r="BT65" s="394"/>
    </row>
    <row r="66" spans="20:72" ht="14.1" customHeight="1">
      <c r="AE66" s="439"/>
      <c r="AF66" s="582"/>
      <c r="AG66" s="582"/>
      <c r="AH66" s="582"/>
      <c r="AI66" s="582"/>
      <c r="AJ66" s="582"/>
      <c r="AK66" s="582"/>
      <c r="AL66" s="580"/>
      <c r="AM66" s="580"/>
      <c r="AN66" s="580"/>
      <c r="AO66" s="580"/>
      <c r="AP66" s="580"/>
      <c r="AQ66" s="580"/>
      <c r="AR66" s="580"/>
      <c r="AS66" s="580"/>
      <c r="AT66" s="580"/>
      <c r="AU66" s="580"/>
      <c r="AV66" s="580"/>
      <c r="AW66" s="385"/>
      <c r="AX66" s="439"/>
      <c r="AY66" s="439"/>
      <c r="AZ66" s="439"/>
      <c r="BA66" s="439"/>
      <c r="BB66" s="439"/>
      <c r="BC66" s="439"/>
      <c r="BD66" s="439"/>
      <c r="BE66" s="439"/>
      <c r="BF66" s="439"/>
      <c r="BG66" s="385"/>
      <c r="BH66" s="385"/>
      <c r="BI66" s="385"/>
      <c r="BJ66" s="385"/>
      <c r="BK66" s="385"/>
      <c r="BL66" s="385"/>
      <c r="BM66" s="394"/>
      <c r="BN66" s="394"/>
      <c r="BO66" s="394"/>
      <c r="BP66" s="394"/>
      <c r="BQ66" s="394"/>
      <c r="BR66" s="394"/>
      <c r="BS66" s="394"/>
      <c r="BT66" s="394"/>
    </row>
    <row r="67" spans="20:72" ht="14.1" customHeight="1">
      <c r="AE67" s="439"/>
      <c r="AF67" s="582"/>
      <c r="AG67" s="582"/>
      <c r="AH67" s="582"/>
      <c r="AI67" s="582"/>
      <c r="AJ67" s="582"/>
      <c r="AK67" s="582"/>
      <c r="AL67" s="580"/>
      <c r="AM67" s="580"/>
      <c r="AN67" s="580"/>
      <c r="AO67" s="580"/>
      <c r="AP67" s="580"/>
      <c r="AQ67" s="580"/>
      <c r="AR67" s="580"/>
      <c r="AS67" s="580"/>
      <c r="AT67" s="580"/>
      <c r="AU67" s="580"/>
      <c r="AV67" s="580"/>
      <c r="AW67" s="578"/>
      <c r="AX67" s="385"/>
      <c r="AY67" s="385"/>
      <c r="AZ67" s="385"/>
      <c r="BA67" s="385"/>
      <c r="BB67" s="385"/>
      <c r="BC67" s="385"/>
      <c r="BD67" s="385"/>
      <c r="BE67" s="385"/>
      <c r="BF67" s="385"/>
      <c r="BG67" s="578"/>
      <c r="BH67" s="578"/>
      <c r="BI67" s="578"/>
      <c r="BJ67" s="578"/>
      <c r="BK67" s="578"/>
      <c r="BL67" s="578"/>
      <c r="BM67" s="394"/>
      <c r="BN67" s="394"/>
      <c r="BO67" s="394"/>
      <c r="BP67" s="394"/>
      <c r="BQ67" s="394"/>
      <c r="BR67" s="394"/>
      <c r="BS67" s="394"/>
      <c r="BT67" s="394"/>
    </row>
    <row r="68" spans="20:72" ht="14.1" customHeight="1">
      <c r="T68" s="463"/>
      <c r="AE68" s="475"/>
      <c r="AF68" s="582"/>
      <c r="AG68" s="582"/>
      <c r="AH68" s="582"/>
      <c r="AI68" s="582"/>
      <c r="AJ68" s="582"/>
      <c r="AK68" s="582"/>
      <c r="AL68" s="580"/>
      <c r="AM68" s="580"/>
      <c r="AN68" s="580"/>
      <c r="AO68" s="580"/>
      <c r="AP68" s="580"/>
      <c r="AQ68" s="580"/>
      <c r="AR68" s="580"/>
      <c r="AS68" s="580"/>
      <c r="AT68" s="580"/>
      <c r="AU68" s="580"/>
      <c r="AV68" s="580"/>
      <c r="AW68" s="409"/>
      <c r="AX68" s="578"/>
      <c r="AY68" s="578"/>
      <c r="AZ68" s="578"/>
      <c r="BA68" s="578"/>
      <c r="BB68" s="578"/>
      <c r="BC68" s="578"/>
      <c r="BD68" s="578"/>
      <c r="BE68" s="578"/>
      <c r="BF68" s="578"/>
      <c r="BG68" s="409"/>
      <c r="BH68" s="409"/>
      <c r="BI68" s="409"/>
      <c r="BJ68" s="409"/>
      <c r="BK68" s="409"/>
      <c r="BL68" s="409"/>
      <c r="BM68" s="394"/>
      <c r="BN68" s="394"/>
      <c r="BO68" s="394"/>
      <c r="BP68" s="394"/>
      <c r="BQ68" s="394"/>
      <c r="BR68" s="394"/>
      <c r="BS68" s="394"/>
      <c r="BT68" s="394"/>
    </row>
    <row r="69" spans="20:72" ht="14.1" customHeight="1">
      <c r="T69" s="463"/>
      <c r="Z69" s="439"/>
      <c r="AA69" s="2073"/>
      <c r="AB69" s="2073"/>
      <c r="AF69" s="582"/>
      <c r="AG69" s="582"/>
      <c r="AH69" s="582"/>
      <c r="AI69" s="582"/>
      <c r="AJ69" s="582"/>
      <c r="AK69" s="582"/>
      <c r="AL69" s="580"/>
      <c r="AM69" s="580"/>
      <c r="AN69" s="580"/>
      <c r="AO69" s="580"/>
      <c r="AP69" s="580"/>
      <c r="AQ69" s="580"/>
      <c r="AR69" s="580"/>
      <c r="AS69" s="580"/>
      <c r="AT69" s="580"/>
      <c r="AU69" s="580"/>
      <c r="AV69" s="580"/>
      <c r="AW69" s="393"/>
      <c r="AX69" s="409"/>
      <c r="AY69" s="409"/>
      <c r="AZ69" s="409"/>
      <c r="BA69" s="409"/>
      <c r="BB69" s="409"/>
      <c r="BC69" s="409"/>
      <c r="BD69" s="409"/>
      <c r="BE69" s="409"/>
      <c r="BF69" s="409"/>
      <c r="BG69" s="393"/>
      <c r="BH69" s="393"/>
      <c r="BI69" s="393"/>
      <c r="BJ69" s="393"/>
      <c r="BK69" s="393"/>
      <c r="BL69" s="393"/>
      <c r="BM69" s="394"/>
      <c r="BN69" s="394"/>
      <c r="BO69" s="394"/>
      <c r="BP69" s="394"/>
      <c r="BQ69" s="394"/>
      <c r="BR69" s="394"/>
      <c r="BS69" s="394"/>
      <c r="BT69" s="394"/>
    </row>
    <row r="70" spans="20:72" ht="14.1" customHeight="1">
      <c r="T70" s="463"/>
      <c r="Z70" s="439"/>
      <c r="AA70" s="439"/>
      <c r="AB70" s="439"/>
      <c r="AF70" s="582"/>
      <c r="AG70" s="582"/>
      <c r="AH70" s="582"/>
      <c r="AI70" s="582"/>
      <c r="AJ70" s="582"/>
      <c r="AK70" s="582"/>
      <c r="AL70" s="580"/>
      <c r="AM70" s="580"/>
      <c r="AN70" s="580"/>
      <c r="AO70" s="580"/>
      <c r="AP70" s="580"/>
      <c r="AQ70" s="580"/>
      <c r="AR70" s="580"/>
      <c r="AS70" s="580"/>
      <c r="AT70" s="580"/>
      <c r="AU70" s="580"/>
      <c r="AV70" s="580"/>
      <c r="AW70" s="393"/>
      <c r="AX70" s="393"/>
      <c r="AY70" s="393"/>
      <c r="AZ70" s="393"/>
      <c r="BA70" s="393"/>
      <c r="BB70" s="393"/>
      <c r="BC70" s="393"/>
      <c r="BD70" s="393"/>
      <c r="BE70" s="393"/>
      <c r="BF70" s="393"/>
      <c r="BG70" s="393"/>
      <c r="BH70" s="393"/>
      <c r="BI70" s="393"/>
      <c r="BJ70" s="393"/>
      <c r="BK70" s="393"/>
      <c r="BL70" s="393"/>
      <c r="BM70" s="394"/>
      <c r="BN70" s="394"/>
      <c r="BO70" s="394"/>
      <c r="BP70" s="394"/>
      <c r="BQ70" s="394"/>
      <c r="BR70" s="394"/>
      <c r="BS70" s="394"/>
      <c r="BT70" s="394"/>
    </row>
    <row r="71" spans="20:72" ht="14.1" customHeight="1">
      <c r="Z71" s="463"/>
      <c r="AA71" s="463"/>
      <c r="AB71" s="463"/>
      <c r="AF71" s="582"/>
      <c r="AG71" s="582"/>
      <c r="AH71" s="582"/>
      <c r="AI71" s="582"/>
      <c r="AJ71" s="582"/>
      <c r="AK71" s="582"/>
      <c r="AL71" s="580"/>
      <c r="AM71" s="580"/>
      <c r="AN71" s="580"/>
      <c r="AO71" s="580"/>
      <c r="AP71" s="580"/>
      <c r="AQ71" s="580"/>
      <c r="AR71" s="580"/>
      <c r="AS71" s="580"/>
      <c r="AT71" s="580"/>
      <c r="AU71" s="580"/>
      <c r="AV71" s="580"/>
      <c r="AW71" s="393"/>
      <c r="AX71" s="393"/>
      <c r="AY71" s="393"/>
      <c r="AZ71" s="393"/>
      <c r="BA71" s="393"/>
      <c r="BB71" s="393"/>
      <c r="BC71" s="393"/>
      <c r="BD71" s="393"/>
      <c r="BE71" s="393"/>
      <c r="BF71" s="393"/>
      <c r="BG71" s="393"/>
      <c r="BH71" s="393"/>
      <c r="BI71" s="393"/>
      <c r="BJ71" s="393"/>
      <c r="BK71" s="393"/>
      <c r="BL71" s="393"/>
      <c r="BM71" s="394"/>
      <c r="BN71" s="394"/>
      <c r="BO71" s="394"/>
      <c r="BP71" s="394"/>
      <c r="BQ71" s="394"/>
      <c r="BR71" s="394"/>
      <c r="BS71" s="394"/>
      <c r="BT71" s="394"/>
    </row>
    <row r="72" spans="20:72" ht="14.1" customHeight="1">
      <c r="Z72" s="463"/>
      <c r="AA72" s="463"/>
      <c r="AB72" s="463"/>
      <c r="AF72" s="582"/>
      <c r="AG72" s="582"/>
      <c r="AH72" s="582"/>
      <c r="AI72" s="582"/>
      <c r="AJ72" s="582"/>
      <c r="AK72" s="582"/>
      <c r="AL72" s="580"/>
      <c r="AM72" s="580"/>
      <c r="AN72" s="580"/>
      <c r="AO72" s="580"/>
      <c r="AP72" s="580"/>
      <c r="AQ72" s="580"/>
      <c r="AR72" s="580"/>
      <c r="AS72" s="580"/>
      <c r="AT72" s="580"/>
      <c r="AU72" s="580"/>
      <c r="AV72" s="580"/>
      <c r="AW72" s="393"/>
      <c r="AX72" s="393"/>
      <c r="AY72" s="393"/>
      <c r="AZ72" s="393"/>
      <c r="BA72" s="393"/>
      <c r="BB72" s="393"/>
      <c r="BC72" s="393"/>
      <c r="BD72" s="393"/>
      <c r="BE72" s="393"/>
      <c r="BF72" s="393"/>
      <c r="BG72" s="393"/>
      <c r="BH72" s="393"/>
      <c r="BI72" s="393"/>
      <c r="BJ72" s="393"/>
      <c r="BK72" s="393"/>
      <c r="BL72" s="393"/>
      <c r="BM72" s="394"/>
      <c r="BN72" s="394"/>
      <c r="BO72" s="394"/>
      <c r="BP72" s="394"/>
      <c r="BQ72" s="394"/>
      <c r="BR72" s="394"/>
      <c r="BS72" s="394"/>
      <c r="BT72" s="394"/>
    </row>
    <row r="73" spans="20:72" ht="14.1" customHeight="1">
      <c r="T73" s="463"/>
      <c r="Z73" s="463"/>
      <c r="AA73" s="463"/>
      <c r="AB73" s="463"/>
      <c r="AF73" s="582"/>
      <c r="AG73" s="582"/>
      <c r="AH73" s="582"/>
      <c r="AI73" s="582"/>
      <c r="AJ73" s="582"/>
      <c r="AK73" s="582"/>
      <c r="AL73" s="580"/>
      <c r="AM73" s="580"/>
      <c r="AN73" s="580"/>
      <c r="AO73" s="580"/>
      <c r="AP73" s="580"/>
      <c r="AQ73" s="580"/>
      <c r="AR73" s="580"/>
      <c r="AS73" s="580"/>
      <c r="AT73" s="580"/>
      <c r="AU73" s="580"/>
      <c r="AV73" s="580"/>
      <c r="AW73" s="393"/>
      <c r="AX73" s="393"/>
      <c r="AY73" s="393"/>
      <c r="AZ73" s="393"/>
      <c r="BA73" s="393"/>
      <c r="BB73" s="393"/>
      <c r="BC73" s="393"/>
      <c r="BD73" s="393"/>
      <c r="BE73" s="393"/>
      <c r="BF73" s="393"/>
      <c r="BG73" s="393"/>
      <c r="BH73" s="393"/>
      <c r="BI73" s="393"/>
      <c r="BJ73" s="393"/>
      <c r="BK73" s="393"/>
      <c r="BL73" s="393"/>
      <c r="BM73" s="394"/>
      <c r="BN73" s="394"/>
      <c r="BO73" s="394"/>
      <c r="BP73" s="394"/>
      <c r="BQ73" s="394"/>
      <c r="BR73" s="394"/>
      <c r="BS73" s="394"/>
      <c r="BT73" s="394"/>
    </row>
    <row r="74" spans="20:72" ht="14.1" customHeight="1">
      <c r="T74" s="463"/>
      <c r="Z74" s="463"/>
      <c r="AA74" s="463"/>
      <c r="AB74" s="463"/>
      <c r="AF74" s="582"/>
      <c r="AG74" s="582"/>
      <c r="AH74" s="582"/>
      <c r="AI74" s="582"/>
      <c r="AJ74" s="582"/>
      <c r="AK74" s="582"/>
      <c r="AL74" s="580"/>
      <c r="AM74" s="580"/>
      <c r="AN74" s="580"/>
      <c r="AO74" s="580"/>
      <c r="AP74" s="580"/>
      <c r="AQ74" s="580"/>
      <c r="AR74" s="580"/>
      <c r="AS74" s="580"/>
      <c r="AT74" s="580"/>
      <c r="AU74" s="580"/>
      <c r="AV74" s="580"/>
      <c r="AW74" s="393"/>
      <c r="AX74" s="393"/>
      <c r="AY74" s="393"/>
      <c r="AZ74" s="393"/>
      <c r="BA74" s="393"/>
      <c r="BB74" s="393"/>
      <c r="BC74" s="393"/>
      <c r="BD74" s="393"/>
      <c r="BE74" s="393"/>
      <c r="BF74" s="393"/>
      <c r="BG74" s="393"/>
      <c r="BH74" s="393"/>
      <c r="BI74" s="393"/>
      <c r="BJ74" s="393"/>
      <c r="BK74" s="393"/>
      <c r="BL74" s="393"/>
      <c r="BM74" s="394"/>
      <c r="BN74" s="394"/>
      <c r="BO74" s="394"/>
      <c r="BP74" s="394"/>
      <c r="BQ74" s="394"/>
      <c r="BR74" s="394"/>
      <c r="BS74" s="394"/>
      <c r="BT74" s="394"/>
    </row>
    <row r="75" spans="20:72" ht="14.1" customHeight="1">
      <c r="T75" s="463"/>
      <c r="Z75" s="463"/>
      <c r="AA75" s="463"/>
      <c r="AB75" s="463"/>
      <c r="AF75" s="582"/>
      <c r="AG75" s="582"/>
      <c r="AH75" s="582"/>
      <c r="AI75" s="582"/>
      <c r="AJ75" s="582"/>
      <c r="AK75" s="582"/>
      <c r="AL75" s="580"/>
      <c r="AM75" s="580"/>
      <c r="AN75" s="580"/>
      <c r="AO75" s="580"/>
      <c r="AP75" s="580"/>
      <c r="AQ75" s="580"/>
      <c r="AR75" s="580"/>
      <c r="AS75" s="580"/>
      <c r="AT75" s="580"/>
      <c r="AU75" s="580"/>
      <c r="AV75" s="580"/>
      <c r="AW75" s="393"/>
      <c r="AX75" s="393"/>
      <c r="AY75" s="393"/>
      <c r="AZ75" s="393"/>
      <c r="BA75" s="393"/>
      <c r="BB75" s="393"/>
      <c r="BC75" s="393"/>
      <c r="BD75" s="393"/>
      <c r="BE75" s="393"/>
      <c r="BF75" s="393"/>
      <c r="BG75" s="393"/>
      <c r="BH75" s="393"/>
      <c r="BI75" s="393"/>
      <c r="BJ75" s="393"/>
      <c r="BK75" s="393"/>
      <c r="BL75" s="393"/>
      <c r="BM75" s="394"/>
      <c r="BN75" s="394"/>
      <c r="BO75" s="394"/>
      <c r="BP75" s="394"/>
      <c r="BQ75" s="394"/>
      <c r="BR75" s="394"/>
      <c r="BS75" s="394"/>
      <c r="BT75" s="394"/>
    </row>
    <row r="76" spans="20:72" ht="14.1" customHeight="1">
      <c r="T76" s="463"/>
      <c r="Z76" s="463"/>
      <c r="AA76" s="463"/>
      <c r="AF76" s="582"/>
      <c r="AG76" s="582"/>
      <c r="AH76" s="582"/>
      <c r="AI76" s="582"/>
      <c r="AJ76" s="582"/>
      <c r="AK76" s="582"/>
      <c r="AL76" s="580"/>
      <c r="AM76" s="580"/>
      <c r="AN76" s="580"/>
      <c r="AO76" s="580"/>
      <c r="AP76" s="580"/>
      <c r="AQ76" s="580"/>
      <c r="AR76" s="580"/>
      <c r="AS76" s="580"/>
      <c r="AT76" s="580"/>
      <c r="AU76" s="580"/>
      <c r="AV76" s="580"/>
      <c r="AW76" s="393"/>
      <c r="AX76" s="393"/>
      <c r="AY76" s="393"/>
      <c r="AZ76" s="393"/>
      <c r="BA76" s="393"/>
      <c r="BB76" s="393"/>
      <c r="BC76" s="393"/>
      <c r="BD76" s="393"/>
      <c r="BE76" s="393"/>
      <c r="BF76" s="393"/>
      <c r="BG76" s="393"/>
      <c r="BH76" s="393"/>
      <c r="BI76" s="393"/>
      <c r="BJ76" s="393"/>
      <c r="BK76" s="393"/>
      <c r="BL76" s="393"/>
      <c r="BM76" s="394"/>
      <c r="BN76" s="394"/>
      <c r="BO76" s="394"/>
      <c r="BP76" s="394"/>
      <c r="BQ76" s="394"/>
      <c r="BR76" s="394"/>
      <c r="BS76" s="394"/>
      <c r="BT76" s="394"/>
    </row>
    <row r="77" spans="20:72" ht="14.1" customHeight="1">
      <c r="Z77" s="463"/>
      <c r="AA77" s="463"/>
      <c r="AB77" s="463"/>
      <c r="AF77" s="582"/>
      <c r="AG77" s="582"/>
      <c r="AH77" s="582"/>
      <c r="AI77" s="582"/>
      <c r="AJ77" s="582"/>
      <c r="AK77" s="582"/>
      <c r="AL77" s="580"/>
      <c r="AM77" s="580"/>
      <c r="AN77" s="580"/>
      <c r="AO77" s="580"/>
      <c r="AP77" s="580"/>
      <c r="AQ77" s="580"/>
      <c r="AR77" s="580"/>
      <c r="AS77" s="580"/>
      <c r="AT77" s="580"/>
      <c r="AU77" s="580"/>
      <c r="AV77" s="580"/>
      <c r="AW77" s="393"/>
      <c r="AX77" s="393"/>
      <c r="AY77" s="393"/>
      <c r="AZ77" s="393"/>
      <c r="BA77" s="393"/>
      <c r="BB77" s="393"/>
      <c r="BC77" s="393"/>
      <c r="BD77" s="393"/>
      <c r="BE77" s="393"/>
      <c r="BF77" s="393"/>
      <c r="BG77" s="393"/>
      <c r="BH77" s="393"/>
      <c r="BI77" s="393"/>
      <c r="BJ77" s="393"/>
      <c r="BK77" s="393"/>
      <c r="BL77" s="393"/>
      <c r="BM77" s="394"/>
      <c r="BN77" s="394"/>
      <c r="BO77" s="394"/>
      <c r="BP77" s="394"/>
      <c r="BQ77" s="394"/>
      <c r="BR77" s="394"/>
      <c r="BS77" s="394"/>
      <c r="BT77" s="394"/>
    </row>
    <row r="78" spans="20:72" ht="14.1" customHeight="1">
      <c r="Z78" s="463"/>
      <c r="AA78" s="463"/>
      <c r="AE78" s="385"/>
      <c r="AF78" s="582"/>
      <c r="AG78" s="582"/>
      <c r="AH78" s="582"/>
      <c r="AI78" s="582"/>
      <c r="AJ78" s="582"/>
      <c r="AK78" s="582"/>
      <c r="AL78" s="580"/>
      <c r="AM78" s="580"/>
      <c r="AN78" s="580"/>
      <c r="AO78" s="580"/>
      <c r="AP78" s="580"/>
      <c r="AQ78" s="580"/>
      <c r="AR78" s="580"/>
      <c r="AS78" s="580"/>
      <c r="AT78" s="580"/>
      <c r="AU78" s="580"/>
      <c r="AV78" s="580"/>
      <c r="AW78" s="393"/>
      <c r="AX78" s="393"/>
      <c r="AY78" s="393"/>
      <c r="AZ78" s="393"/>
      <c r="BA78" s="393"/>
      <c r="BB78" s="393"/>
      <c r="BC78" s="393"/>
      <c r="BD78" s="393"/>
      <c r="BE78" s="393"/>
      <c r="BF78" s="393"/>
      <c r="BG78" s="393"/>
      <c r="BH78" s="393"/>
      <c r="BI78" s="393"/>
      <c r="BJ78" s="393"/>
      <c r="BK78" s="393"/>
      <c r="BL78" s="393"/>
      <c r="BM78" s="394"/>
      <c r="BN78" s="394"/>
      <c r="BO78" s="394"/>
      <c r="BP78" s="394"/>
      <c r="BQ78" s="394"/>
      <c r="BR78" s="394"/>
      <c r="BS78" s="394"/>
      <c r="BT78" s="394"/>
    </row>
    <row r="79" spans="20:72" ht="14.1" customHeight="1">
      <c r="Z79" s="463"/>
      <c r="AA79" s="463"/>
      <c r="AE79" s="385"/>
      <c r="AF79" s="582"/>
      <c r="AG79" s="582"/>
      <c r="AH79" s="582"/>
      <c r="AI79" s="582"/>
      <c r="AJ79" s="582"/>
      <c r="AK79" s="582"/>
      <c r="AL79" s="580"/>
      <c r="AM79" s="580"/>
      <c r="AN79" s="580"/>
      <c r="AO79" s="580"/>
      <c r="AP79" s="580"/>
      <c r="AQ79" s="580"/>
      <c r="AR79" s="580"/>
      <c r="AS79" s="580"/>
      <c r="AT79" s="580"/>
      <c r="AU79" s="580"/>
      <c r="AV79" s="580"/>
      <c r="AW79" s="393"/>
      <c r="AX79" s="393"/>
      <c r="AY79" s="393"/>
      <c r="AZ79" s="393"/>
      <c r="BA79" s="393"/>
      <c r="BB79" s="393"/>
      <c r="BC79" s="393"/>
      <c r="BD79" s="393"/>
      <c r="BE79" s="393"/>
      <c r="BF79" s="393"/>
      <c r="BG79" s="393"/>
      <c r="BH79" s="393"/>
      <c r="BI79" s="393"/>
      <c r="BJ79" s="393"/>
      <c r="BK79" s="393"/>
      <c r="BL79" s="393"/>
      <c r="BM79" s="394"/>
      <c r="BN79" s="394"/>
      <c r="BO79" s="394"/>
      <c r="BP79" s="394"/>
      <c r="BQ79" s="394"/>
      <c r="BR79" s="394"/>
      <c r="BS79" s="394"/>
      <c r="BT79" s="394"/>
    </row>
    <row r="80" spans="20:72" ht="14.1" customHeight="1">
      <c r="Z80" s="463"/>
      <c r="AA80" s="463"/>
      <c r="AE80" s="439"/>
      <c r="AF80" s="582"/>
      <c r="AG80" s="582"/>
      <c r="AH80" s="582"/>
      <c r="AI80" s="582"/>
      <c r="AJ80" s="582"/>
      <c r="AK80" s="582"/>
      <c r="AL80" s="580"/>
      <c r="AM80" s="580"/>
      <c r="AN80" s="580"/>
      <c r="AO80" s="580"/>
      <c r="AP80" s="580"/>
      <c r="AQ80" s="580"/>
      <c r="AR80" s="580"/>
      <c r="AS80" s="580"/>
      <c r="AT80" s="580"/>
      <c r="AU80" s="580"/>
      <c r="AV80" s="580"/>
      <c r="AW80" s="393"/>
      <c r="AX80" s="393"/>
      <c r="AY80" s="393"/>
      <c r="AZ80" s="393"/>
      <c r="BA80" s="393"/>
      <c r="BB80" s="393"/>
      <c r="BC80" s="393"/>
      <c r="BD80" s="393"/>
      <c r="BE80" s="393"/>
      <c r="BF80" s="393"/>
      <c r="BG80" s="393"/>
      <c r="BH80" s="393"/>
      <c r="BI80" s="393"/>
      <c r="BJ80" s="393"/>
      <c r="BK80" s="393"/>
      <c r="BL80" s="393"/>
      <c r="BM80" s="394"/>
      <c r="BN80" s="394"/>
      <c r="BO80" s="394"/>
      <c r="BP80" s="394"/>
      <c r="BQ80" s="394"/>
      <c r="BR80" s="394"/>
      <c r="BS80" s="394"/>
      <c r="BT80" s="394"/>
    </row>
    <row r="81" spans="26:72" ht="14.1" customHeight="1">
      <c r="Z81" s="463"/>
      <c r="AA81" s="463"/>
      <c r="AE81" s="439"/>
      <c r="AF81" s="582"/>
      <c r="AG81" s="582"/>
      <c r="AH81" s="582"/>
      <c r="AI81" s="582"/>
      <c r="AJ81" s="582"/>
      <c r="AK81" s="582"/>
      <c r="AL81" s="580"/>
      <c r="AM81" s="580"/>
      <c r="AN81" s="580"/>
      <c r="AO81" s="580"/>
      <c r="AP81" s="580"/>
      <c r="AQ81" s="580"/>
      <c r="AR81" s="580"/>
      <c r="AS81" s="580"/>
      <c r="AT81" s="580"/>
      <c r="AU81" s="580"/>
      <c r="AV81" s="580"/>
      <c r="AW81" s="393"/>
      <c r="AX81" s="393"/>
      <c r="AY81" s="393"/>
      <c r="AZ81" s="393"/>
      <c r="BA81" s="393"/>
      <c r="BB81" s="393"/>
      <c r="BC81" s="393"/>
      <c r="BD81" s="393"/>
      <c r="BE81" s="393"/>
      <c r="BF81" s="393"/>
      <c r="BG81" s="393"/>
      <c r="BH81" s="393"/>
      <c r="BI81" s="393"/>
      <c r="BJ81" s="393"/>
      <c r="BK81" s="393"/>
      <c r="BL81" s="393"/>
      <c r="BM81" s="394"/>
      <c r="BN81" s="394"/>
      <c r="BO81" s="394"/>
      <c r="BP81" s="394"/>
      <c r="BQ81" s="394"/>
      <c r="BR81" s="394"/>
      <c r="BS81" s="394"/>
      <c r="BT81" s="394"/>
    </row>
    <row r="82" spans="26:72" ht="14.1" customHeight="1">
      <c r="Z82" s="463"/>
      <c r="AA82" s="463"/>
      <c r="AE82" s="439"/>
      <c r="AF82" s="582"/>
      <c r="AG82" s="582"/>
      <c r="AH82" s="582"/>
      <c r="AI82" s="582"/>
      <c r="AJ82" s="582"/>
      <c r="AK82" s="582"/>
      <c r="AL82" s="580"/>
      <c r="AM82" s="580"/>
      <c r="AN82" s="580"/>
      <c r="AO82" s="580"/>
      <c r="AP82" s="580"/>
      <c r="AQ82" s="580"/>
      <c r="AR82" s="580"/>
      <c r="AS82" s="580"/>
      <c r="AT82" s="580"/>
      <c r="AU82" s="580"/>
      <c r="AV82" s="580"/>
      <c r="AW82" s="393"/>
      <c r="AX82" s="393"/>
      <c r="AY82" s="393"/>
      <c r="AZ82" s="393"/>
      <c r="BA82" s="393"/>
      <c r="BB82" s="393"/>
      <c r="BC82" s="393"/>
      <c r="BD82" s="393"/>
      <c r="BE82" s="393"/>
      <c r="BF82" s="393"/>
      <c r="BG82" s="393"/>
      <c r="BH82" s="393"/>
      <c r="BI82" s="393"/>
      <c r="BJ82" s="393"/>
      <c r="BK82" s="393"/>
      <c r="BL82" s="393"/>
      <c r="BM82" s="394"/>
      <c r="BN82" s="394"/>
      <c r="BO82" s="394"/>
      <c r="BP82" s="394"/>
      <c r="BQ82" s="394"/>
      <c r="BR82" s="394"/>
      <c r="BS82" s="394"/>
      <c r="BT82" s="394"/>
    </row>
    <row r="83" spans="26:72" ht="14.1" customHeight="1">
      <c r="Z83" s="463"/>
      <c r="AA83" s="463"/>
      <c r="AE83" s="439"/>
      <c r="AF83" s="582"/>
      <c r="AG83" s="582"/>
      <c r="AH83" s="582"/>
      <c r="AI83" s="582"/>
      <c r="AJ83" s="582"/>
      <c r="AK83" s="582"/>
      <c r="AL83" s="580"/>
      <c r="AM83" s="580"/>
      <c r="AN83" s="580"/>
      <c r="AO83" s="580"/>
      <c r="AP83" s="580"/>
      <c r="AQ83" s="580"/>
      <c r="AR83" s="580"/>
      <c r="AS83" s="580"/>
      <c r="AT83" s="580"/>
      <c r="AU83" s="580"/>
      <c r="AV83" s="580"/>
      <c r="AW83" s="393"/>
      <c r="AX83" s="393"/>
      <c r="AY83" s="393"/>
      <c r="AZ83" s="393"/>
      <c r="BA83" s="393"/>
      <c r="BB83" s="393"/>
      <c r="BC83" s="393"/>
      <c r="BD83" s="393"/>
      <c r="BE83" s="393"/>
      <c r="BF83" s="393"/>
      <c r="BG83" s="393"/>
      <c r="BH83" s="393"/>
      <c r="BI83" s="393"/>
      <c r="BJ83" s="393"/>
      <c r="BK83" s="393"/>
      <c r="BL83" s="393"/>
      <c r="BM83" s="394"/>
      <c r="BN83" s="394"/>
      <c r="BO83" s="394"/>
      <c r="BP83" s="394"/>
      <c r="BQ83" s="394"/>
      <c r="BR83" s="394"/>
      <c r="BS83" s="394"/>
      <c r="BT83" s="394"/>
    </row>
    <row r="84" spans="26:72" ht="14.1" customHeight="1">
      <c r="Z84" s="463"/>
      <c r="AA84" s="463"/>
      <c r="AE84" s="439"/>
      <c r="AF84" s="582"/>
      <c r="AG84" s="582"/>
      <c r="AH84" s="582"/>
      <c r="AI84" s="582"/>
      <c r="AJ84" s="582"/>
      <c r="AK84" s="582"/>
      <c r="AL84" s="580"/>
      <c r="AM84" s="580"/>
      <c r="AN84" s="580"/>
      <c r="AO84" s="580"/>
      <c r="AP84" s="580"/>
      <c r="AQ84" s="580"/>
      <c r="AR84" s="580"/>
      <c r="AS84" s="580"/>
      <c r="AT84" s="580"/>
      <c r="AU84" s="580"/>
      <c r="AV84" s="580"/>
      <c r="AW84" s="393"/>
      <c r="AX84" s="393"/>
      <c r="AY84" s="393"/>
      <c r="AZ84" s="393"/>
      <c r="BA84" s="393"/>
      <c r="BB84" s="393"/>
      <c r="BC84" s="393"/>
      <c r="BD84" s="393"/>
      <c r="BE84" s="393"/>
      <c r="BF84" s="393"/>
      <c r="BG84" s="393"/>
      <c r="BH84" s="393"/>
      <c r="BI84" s="393"/>
      <c r="BJ84" s="393"/>
      <c r="BK84" s="393"/>
      <c r="BL84" s="393"/>
      <c r="BM84" s="394"/>
      <c r="BN84" s="394"/>
      <c r="BO84" s="394"/>
      <c r="BP84" s="394"/>
      <c r="BQ84" s="394"/>
      <c r="BR84" s="394"/>
      <c r="BS84" s="394"/>
      <c r="BT84" s="394"/>
    </row>
    <row r="85" spans="26:72" ht="14.1" customHeight="1">
      <c r="Z85" s="463"/>
      <c r="AE85" s="439"/>
      <c r="AF85" s="582"/>
      <c r="AG85" s="582"/>
      <c r="AH85" s="582"/>
      <c r="AI85" s="582"/>
      <c r="AJ85" s="582"/>
      <c r="AK85" s="582"/>
      <c r="AL85" s="580"/>
      <c r="AM85" s="580"/>
      <c r="AN85" s="580"/>
      <c r="AO85" s="580"/>
      <c r="AP85" s="580"/>
      <c r="AQ85" s="580"/>
      <c r="AR85" s="580"/>
      <c r="AS85" s="580"/>
      <c r="AT85" s="580"/>
      <c r="AU85" s="580"/>
      <c r="AV85" s="580"/>
      <c r="AW85" s="393"/>
      <c r="AX85" s="393"/>
      <c r="AY85" s="393"/>
      <c r="AZ85" s="393"/>
      <c r="BA85" s="393"/>
      <c r="BB85" s="393"/>
      <c r="BC85" s="393"/>
      <c r="BD85" s="393"/>
      <c r="BE85" s="393"/>
      <c r="BF85" s="393"/>
      <c r="BG85" s="393"/>
      <c r="BH85" s="393"/>
      <c r="BI85" s="393"/>
      <c r="BJ85" s="393"/>
      <c r="BK85" s="393"/>
      <c r="BL85" s="393"/>
      <c r="BM85" s="394"/>
      <c r="BN85" s="394"/>
      <c r="BO85" s="394"/>
      <c r="BP85" s="394"/>
      <c r="BQ85" s="394"/>
      <c r="BR85" s="394"/>
      <c r="BS85" s="394"/>
      <c r="BT85" s="394"/>
    </row>
    <row r="86" spans="26:72" ht="14.1" customHeight="1">
      <c r="Z86" s="463"/>
      <c r="AE86" s="439"/>
      <c r="AF86" s="582"/>
      <c r="AG86" s="582"/>
      <c r="AH86" s="582"/>
      <c r="AI86" s="582"/>
      <c r="AJ86" s="582"/>
      <c r="AK86" s="582"/>
      <c r="AL86" s="580"/>
      <c r="AM86" s="580"/>
      <c r="AN86" s="580"/>
      <c r="AO86" s="580"/>
      <c r="AP86" s="580"/>
      <c r="AQ86" s="580"/>
      <c r="AR86" s="580"/>
      <c r="AS86" s="580"/>
      <c r="AT86" s="580"/>
      <c r="AU86" s="580"/>
      <c r="AV86" s="580"/>
      <c r="AW86" s="393"/>
      <c r="AX86" s="393"/>
      <c r="AY86" s="393"/>
      <c r="AZ86" s="393"/>
      <c r="BA86" s="393"/>
      <c r="BB86" s="393"/>
      <c r="BC86" s="393"/>
      <c r="BD86" s="393"/>
      <c r="BE86" s="393"/>
      <c r="BF86" s="393"/>
      <c r="BG86" s="393"/>
      <c r="BH86" s="393"/>
      <c r="BI86" s="393"/>
      <c r="BJ86" s="393"/>
      <c r="BK86" s="393"/>
      <c r="BL86" s="393"/>
      <c r="BM86" s="394"/>
      <c r="BN86" s="394"/>
      <c r="BO86" s="394"/>
      <c r="BP86" s="394"/>
      <c r="BQ86" s="394"/>
      <c r="BR86" s="394"/>
      <c r="BS86" s="394"/>
      <c r="BT86" s="394"/>
    </row>
    <row r="87" spans="26:72" ht="14.1" customHeight="1">
      <c r="Z87" s="463"/>
      <c r="AE87" s="439"/>
      <c r="AF87" s="582"/>
      <c r="AG87" s="582"/>
      <c r="AH87" s="582"/>
      <c r="AI87" s="582"/>
      <c r="AJ87" s="582"/>
      <c r="AK87" s="582"/>
      <c r="AL87" s="580"/>
      <c r="AM87" s="580"/>
      <c r="AN87" s="580"/>
      <c r="AO87" s="580"/>
      <c r="AP87" s="580"/>
      <c r="AQ87" s="580"/>
      <c r="AR87" s="580"/>
      <c r="AS87" s="580"/>
      <c r="AT87" s="580"/>
      <c r="AU87" s="580"/>
      <c r="AV87" s="580"/>
      <c r="AW87" s="393"/>
      <c r="AX87" s="393"/>
      <c r="AY87" s="393"/>
      <c r="AZ87" s="393"/>
      <c r="BA87" s="393"/>
      <c r="BB87" s="393"/>
      <c r="BC87" s="393"/>
      <c r="BD87" s="393"/>
      <c r="BE87" s="393"/>
      <c r="BF87" s="393"/>
      <c r="BG87" s="393"/>
      <c r="BH87" s="393"/>
      <c r="BI87" s="393"/>
      <c r="BJ87" s="393"/>
      <c r="BK87" s="393"/>
      <c r="BL87" s="393"/>
      <c r="BM87" s="394"/>
      <c r="BN87" s="394"/>
      <c r="BO87" s="394"/>
      <c r="BP87" s="394"/>
      <c r="BQ87" s="394"/>
      <c r="BR87" s="394"/>
      <c r="BS87" s="394"/>
      <c r="BT87" s="394"/>
    </row>
    <row r="88" spans="26:72" ht="14.1" customHeight="1">
      <c r="Z88" s="463"/>
      <c r="AE88" s="439"/>
      <c r="AF88" s="582"/>
      <c r="AG88" s="582"/>
      <c r="AH88" s="582"/>
      <c r="AI88" s="582"/>
      <c r="AJ88" s="582"/>
      <c r="AK88" s="582"/>
      <c r="AL88" s="580"/>
      <c r="AM88" s="580"/>
      <c r="AN88" s="580"/>
      <c r="AO88" s="580"/>
      <c r="AP88" s="580"/>
      <c r="AQ88" s="580"/>
      <c r="AR88" s="580"/>
      <c r="AS88" s="580"/>
      <c r="AT88" s="580"/>
      <c r="AU88" s="580"/>
      <c r="AV88" s="580"/>
      <c r="AW88" s="393"/>
      <c r="AX88" s="393"/>
      <c r="AY88" s="393"/>
      <c r="AZ88" s="393"/>
      <c r="BA88" s="393"/>
      <c r="BB88" s="393"/>
      <c r="BC88" s="393"/>
      <c r="BD88" s="393"/>
      <c r="BE88" s="393"/>
      <c r="BF88" s="393"/>
      <c r="BG88" s="393"/>
      <c r="BH88" s="393"/>
      <c r="BI88" s="393"/>
      <c r="BJ88" s="393"/>
      <c r="BK88" s="393"/>
      <c r="BL88" s="393"/>
      <c r="BM88" s="394"/>
      <c r="BN88" s="394"/>
      <c r="BO88" s="394"/>
      <c r="BP88" s="394"/>
      <c r="BQ88" s="394"/>
      <c r="BR88" s="394"/>
      <c r="BS88" s="394"/>
      <c r="BT88" s="394"/>
    </row>
    <row r="89" spans="26:72" ht="14.1" customHeight="1">
      <c r="Z89" s="463"/>
      <c r="AE89" s="439"/>
      <c r="AF89" s="582"/>
      <c r="AG89" s="582"/>
      <c r="AH89" s="582"/>
      <c r="AI89" s="582"/>
      <c r="AJ89" s="582"/>
      <c r="AK89" s="582"/>
      <c r="AL89" s="580"/>
      <c r="AM89" s="580"/>
      <c r="AN89" s="580"/>
      <c r="AO89" s="580"/>
      <c r="AP89" s="580"/>
      <c r="AQ89" s="580"/>
      <c r="AR89" s="580"/>
      <c r="AS89" s="580"/>
      <c r="AT89" s="580"/>
      <c r="AU89" s="580"/>
      <c r="AV89" s="580"/>
      <c r="AW89" s="393"/>
      <c r="AX89" s="393"/>
      <c r="AY89" s="393"/>
      <c r="AZ89" s="393"/>
      <c r="BA89" s="393"/>
      <c r="BB89" s="393"/>
      <c r="BC89" s="393"/>
      <c r="BD89" s="393"/>
      <c r="BE89" s="393"/>
      <c r="BF89" s="393"/>
      <c r="BG89" s="393"/>
      <c r="BH89" s="393"/>
      <c r="BI89" s="393"/>
      <c r="BJ89" s="393"/>
      <c r="BK89" s="393"/>
      <c r="BL89" s="393"/>
      <c r="BM89" s="394"/>
      <c r="BN89" s="394"/>
      <c r="BO89" s="394"/>
      <c r="BP89" s="394"/>
      <c r="BQ89" s="394"/>
      <c r="BR89" s="394"/>
      <c r="BS89" s="394"/>
      <c r="BT89" s="394"/>
    </row>
    <row r="90" spans="26:72" ht="14.1" customHeight="1">
      <c r="Z90" s="463"/>
      <c r="AE90" s="439"/>
      <c r="AF90" s="582"/>
      <c r="AG90" s="582"/>
      <c r="AH90" s="582"/>
      <c r="AI90" s="582"/>
      <c r="AJ90" s="582"/>
      <c r="AK90" s="582"/>
      <c r="AL90" s="580"/>
      <c r="AM90" s="580"/>
      <c r="AN90" s="580"/>
      <c r="AO90" s="580"/>
      <c r="AP90" s="580"/>
      <c r="AQ90" s="580"/>
      <c r="AR90" s="580"/>
      <c r="AS90" s="580"/>
      <c r="AT90" s="580"/>
      <c r="AU90" s="580"/>
      <c r="AV90" s="580"/>
      <c r="AW90" s="393"/>
      <c r="AX90" s="393"/>
      <c r="AY90" s="393"/>
      <c r="AZ90" s="393"/>
      <c r="BA90" s="393"/>
      <c r="BB90" s="393"/>
      <c r="BC90" s="393"/>
      <c r="BD90" s="393"/>
      <c r="BE90" s="393"/>
      <c r="BF90" s="393"/>
      <c r="BG90" s="393"/>
      <c r="BH90" s="393"/>
      <c r="BI90" s="393"/>
      <c r="BJ90" s="393"/>
      <c r="BK90" s="393"/>
      <c r="BL90" s="393"/>
      <c r="BM90" s="394"/>
      <c r="BN90" s="394"/>
      <c r="BO90" s="394"/>
      <c r="BP90" s="394"/>
      <c r="BQ90" s="394"/>
      <c r="BR90" s="394"/>
      <c r="BS90" s="394"/>
      <c r="BT90" s="394"/>
    </row>
    <row r="91" spans="26:72" ht="14.1" customHeight="1">
      <c r="Z91" s="463"/>
      <c r="AE91" s="439"/>
      <c r="AF91" s="582"/>
      <c r="AG91" s="582"/>
      <c r="AH91" s="582"/>
      <c r="AI91" s="582"/>
      <c r="AJ91" s="582"/>
      <c r="AK91" s="582"/>
      <c r="AL91" s="580"/>
      <c r="AM91" s="580"/>
      <c r="AN91" s="580"/>
      <c r="AO91" s="580"/>
      <c r="AP91" s="580"/>
      <c r="AQ91" s="580"/>
      <c r="AR91" s="580"/>
      <c r="AS91" s="580"/>
      <c r="AT91" s="580"/>
      <c r="AU91" s="580"/>
      <c r="AV91" s="580"/>
      <c r="AW91" s="393"/>
      <c r="AX91" s="393"/>
      <c r="AY91" s="393"/>
      <c r="AZ91" s="393"/>
      <c r="BA91" s="393"/>
      <c r="BB91" s="393"/>
      <c r="BC91" s="393"/>
      <c r="BD91" s="393"/>
      <c r="BE91" s="393"/>
      <c r="BF91" s="393"/>
      <c r="BG91" s="393"/>
      <c r="BH91" s="393"/>
      <c r="BI91" s="393"/>
      <c r="BJ91" s="393"/>
      <c r="BK91" s="393"/>
      <c r="BL91" s="393"/>
      <c r="BM91" s="394"/>
      <c r="BN91" s="394"/>
      <c r="BO91" s="394"/>
      <c r="BP91" s="394"/>
      <c r="BQ91" s="394"/>
      <c r="BR91" s="394"/>
      <c r="BS91" s="394"/>
      <c r="BT91" s="394"/>
    </row>
    <row r="92" spans="26:72" ht="14.1" customHeight="1">
      <c r="Z92" s="463"/>
      <c r="AE92" s="439"/>
      <c r="AF92" s="582"/>
      <c r="AG92" s="582"/>
      <c r="AH92" s="582"/>
      <c r="AI92" s="582"/>
      <c r="AJ92" s="582"/>
      <c r="AK92" s="582"/>
      <c r="AL92" s="580"/>
      <c r="AM92" s="580"/>
      <c r="AN92" s="580"/>
      <c r="AO92" s="580"/>
      <c r="AP92" s="580"/>
      <c r="AQ92" s="580"/>
      <c r="AR92" s="580"/>
      <c r="AS92" s="580"/>
      <c r="AT92" s="580"/>
      <c r="AU92" s="580"/>
      <c r="AV92" s="580"/>
      <c r="AW92" s="393"/>
      <c r="AX92" s="393"/>
      <c r="AY92" s="393"/>
      <c r="AZ92" s="393"/>
      <c r="BA92" s="393"/>
      <c r="BB92" s="393"/>
      <c r="BC92" s="393"/>
      <c r="BD92" s="393"/>
      <c r="BE92" s="393"/>
      <c r="BF92" s="393"/>
      <c r="BG92" s="393"/>
      <c r="BH92" s="393"/>
      <c r="BI92" s="393"/>
      <c r="BJ92" s="393"/>
      <c r="BK92" s="393"/>
      <c r="BL92" s="393"/>
      <c r="BM92" s="394"/>
      <c r="BN92" s="394"/>
      <c r="BO92" s="394"/>
      <c r="BP92" s="394"/>
      <c r="BQ92" s="394"/>
      <c r="BR92" s="394"/>
      <c r="BS92" s="394"/>
      <c r="BT92" s="394"/>
    </row>
    <row r="93" spans="26:72" ht="14.1" customHeight="1">
      <c r="Z93" s="463"/>
      <c r="AE93" s="439"/>
      <c r="AF93" s="582"/>
      <c r="AG93" s="582"/>
      <c r="AH93" s="582"/>
      <c r="AI93" s="582"/>
      <c r="AJ93" s="582"/>
      <c r="AK93" s="582"/>
      <c r="AL93" s="580"/>
      <c r="AM93" s="580"/>
      <c r="AN93" s="580"/>
      <c r="AO93" s="580"/>
      <c r="AP93" s="580"/>
      <c r="AQ93" s="580"/>
      <c r="AR93" s="580"/>
      <c r="AS93" s="580"/>
      <c r="AT93" s="580"/>
      <c r="AU93" s="580"/>
      <c r="AV93" s="580"/>
      <c r="AW93" s="393"/>
      <c r="AX93" s="393"/>
      <c r="AY93" s="393"/>
      <c r="AZ93" s="393"/>
      <c r="BA93" s="393"/>
      <c r="BB93" s="393"/>
      <c r="BC93" s="393"/>
      <c r="BD93" s="393"/>
      <c r="BE93" s="393"/>
      <c r="BF93" s="393"/>
      <c r="BG93" s="393"/>
      <c r="BH93" s="393"/>
      <c r="BI93" s="393"/>
      <c r="BJ93" s="393"/>
      <c r="BK93" s="393"/>
      <c r="BL93" s="393"/>
      <c r="BM93" s="394"/>
      <c r="BN93" s="394"/>
      <c r="BO93" s="394"/>
      <c r="BP93" s="394"/>
      <c r="BQ93" s="394"/>
      <c r="BR93" s="394"/>
      <c r="BS93" s="394"/>
      <c r="BT93" s="394"/>
    </row>
    <row r="94" spans="26:72" ht="14.1" customHeight="1">
      <c r="Z94" s="463"/>
      <c r="AE94" s="439"/>
      <c r="AF94" s="582"/>
      <c r="AG94" s="582"/>
      <c r="AH94" s="582"/>
      <c r="AI94" s="582"/>
      <c r="AJ94" s="582"/>
      <c r="AK94" s="582"/>
      <c r="AL94" s="580"/>
      <c r="AM94" s="580"/>
      <c r="AN94" s="580"/>
      <c r="AO94" s="580"/>
      <c r="AP94" s="580"/>
      <c r="AQ94" s="580"/>
      <c r="AR94" s="580"/>
      <c r="AS94" s="580"/>
      <c r="AT94" s="580"/>
      <c r="AU94" s="580"/>
      <c r="AV94" s="580"/>
      <c r="AW94" s="393"/>
      <c r="AX94" s="393"/>
      <c r="AY94" s="393"/>
      <c r="AZ94" s="393"/>
      <c r="BA94" s="393"/>
      <c r="BB94" s="393"/>
      <c r="BC94" s="393"/>
      <c r="BD94" s="393"/>
      <c r="BE94" s="393"/>
      <c r="BF94" s="393"/>
      <c r="BG94" s="393"/>
      <c r="BH94" s="393"/>
      <c r="BI94" s="393"/>
      <c r="BJ94" s="393"/>
      <c r="BK94" s="393"/>
      <c r="BL94" s="393"/>
      <c r="BM94" s="394"/>
      <c r="BN94" s="394"/>
      <c r="BO94" s="394"/>
      <c r="BP94" s="394"/>
      <c r="BQ94" s="394"/>
      <c r="BR94" s="394"/>
      <c r="BS94" s="394"/>
      <c r="BT94" s="394"/>
    </row>
    <row r="95" spans="26:72" ht="14.1" customHeight="1">
      <c r="Z95" s="463"/>
      <c r="AE95" s="439"/>
      <c r="AF95" s="582"/>
      <c r="AG95" s="582"/>
      <c r="AH95" s="582"/>
      <c r="AI95" s="582"/>
      <c r="AJ95" s="582"/>
      <c r="AK95" s="582"/>
      <c r="AL95" s="580"/>
      <c r="AM95" s="580"/>
      <c r="AN95" s="580"/>
      <c r="AO95" s="580"/>
      <c r="AP95" s="580"/>
      <c r="AQ95" s="580"/>
      <c r="AR95" s="580"/>
      <c r="AS95" s="580"/>
      <c r="AT95" s="580"/>
      <c r="AU95" s="580"/>
      <c r="AV95" s="580"/>
      <c r="AW95" s="393"/>
      <c r="AX95" s="393"/>
      <c r="AY95" s="393"/>
      <c r="AZ95" s="393"/>
      <c r="BA95" s="393"/>
      <c r="BB95" s="393"/>
      <c r="BC95" s="393"/>
      <c r="BD95" s="393"/>
      <c r="BE95" s="393"/>
      <c r="BF95" s="393"/>
      <c r="BG95" s="393"/>
      <c r="BH95" s="393"/>
      <c r="BI95" s="393"/>
      <c r="BJ95" s="393"/>
      <c r="BK95" s="393"/>
      <c r="BL95" s="393"/>
      <c r="BM95" s="394"/>
      <c r="BN95" s="394"/>
      <c r="BO95" s="394"/>
      <c r="BP95" s="394"/>
      <c r="BQ95" s="394"/>
      <c r="BR95" s="394"/>
      <c r="BS95" s="394"/>
      <c r="BT95" s="394"/>
    </row>
    <row r="96" spans="26:72" ht="14.1" customHeight="1">
      <c r="Z96" s="463"/>
      <c r="AE96" s="439"/>
      <c r="AF96" s="582"/>
      <c r="AG96" s="582"/>
      <c r="AH96" s="582"/>
      <c r="AI96" s="582"/>
      <c r="AJ96" s="582"/>
      <c r="AK96" s="582"/>
      <c r="AL96" s="580"/>
      <c r="AM96" s="580"/>
      <c r="AN96" s="580"/>
      <c r="AO96" s="580"/>
      <c r="AP96" s="580"/>
      <c r="AQ96" s="580"/>
      <c r="AR96" s="580"/>
      <c r="AS96" s="580"/>
      <c r="AT96" s="580"/>
      <c r="AU96" s="580"/>
      <c r="AV96" s="580"/>
      <c r="AW96" s="393"/>
      <c r="AX96" s="393"/>
      <c r="AY96" s="393"/>
      <c r="AZ96" s="393"/>
      <c r="BA96" s="393"/>
      <c r="BB96" s="393"/>
      <c r="BC96" s="393"/>
      <c r="BD96" s="393"/>
      <c r="BE96" s="393"/>
      <c r="BF96" s="393"/>
      <c r="BG96" s="393"/>
      <c r="BH96" s="393"/>
      <c r="BI96" s="393"/>
      <c r="BJ96" s="393"/>
      <c r="BK96" s="393"/>
      <c r="BL96" s="393"/>
      <c r="BM96" s="394"/>
      <c r="BN96" s="394"/>
      <c r="BO96" s="394"/>
      <c r="BP96" s="394"/>
      <c r="BQ96" s="394"/>
      <c r="BR96" s="394"/>
      <c r="BS96" s="394"/>
      <c r="BT96" s="394"/>
    </row>
    <row r="97" spans="26:72" ht="14.1" customHeight="1">
      <c r="Z97" s="463"/>
      <c r="AE97" s="439"/>
      <c r="AF97" s="582"/>
      <c r="AG97" s="582"/>
      <c r="AH97" s="582"/>
      <c r="AI97" s="582"/>
      <c r="AJ97" s="582"/>
      <c r="AK97" s="582"/>
      <c r="AL97" s="580"/>
      <c r="AM97" s="580"/>
      <c r="AN97" s="580"/>
      <c r="AO97" s="580"/>
      <c r="AP97" s="580"/>
      <c r="AQ97" s="580"/>
      <c r="AR97" s="580"/>
      <c r="AS97" s="580"/>
      <c r="AT97" s="580"/>
      <c r="AU97" s="580"/>
      <c r="AV97" s="580"/>
      <c r="AW97" s="393"/>
      <c r="AX97" s="393"/>
      <c r="AY97" s="393"/>
      <c r="AZ97" s="393"/>
      <c r="BA97" s="393"/>
      <c r="BB97" s="393"/>
      <c r="BC97" s="393"/>
      <c r="BD97" s="393"/>
      <c r="BE97" s="393"/>
      <c r="BF97" s="393"/>
      <c r="BG97" s="393"/>
      <c r="BH97" s="393"/>
      <c r="BI97" s="393"/>
      <c r="BJ97" s="393"/>
      <c r="BK97" s="393"/>
      <c r="BL97" s="393"/>
      <c r="BM97" s="394"/>
      <c r="BN97" s="394"/>
      <c r="BO97" s="394"/>
      <c r="BP97" s="394"/>
      <c r="BQ97" s="394"/>
      <c r="BR97" s="394"/>
      <c r="BS97" s="394"/>
      <c r="BT97" s="394"/>
    </row>
    <row r="98" spans="26:72" ht="14.1" customHeight="1">
      <c r="Z98" s="463"/>
      <c r="AE98" s="439"/>
      <c r="AF98" s="582"/>
      <c r="AG98" s="582"/>
      <c r="AH98" s="582"/>
      <c r="AI98" s="582"/>
      <c r="AJ98" s="582"/>
      <c r="AK98" s="582"/>
      <c r="AL98" s="580"/>
      <c r="AM98" s="580"/>
      <c r="AN98" s="580"/>
      <c r="AO98" s="580"/>
      <c r="AP98" s="580"/>
      <c r="AQ98" s="580"/>
      <c r="AR98" s="580"/>
      <c r="AS98" s="580"/>
      <c r="AT98" s="580"/>
      <c r="AU98" s="580"/>
      <c r="AV98" s="580"/>
      <c r="AW98" s="393"/>
      <c r="AX98" s="393"/>
      <c r="AY98" s="393"/>
      <c r="AZ98" s="393"/>
      <c r="BA98" s="393"/>
      <c r="BB98" s="393"/>
      <c r="BC98" s="393"/>
      <c r="BD98" s="393"/>
      <c r="BE98" s="393"/>
      <c r="BF98" s="393"/>
      <c r="BG98" s="393"/>
      <c r="BH98" s="393"/>
      <c r="BI98" s="393"/>
      <c r="BJ98" s="393"/>
      <c r="BK98" s="393"/>
      <c r="BL98" s="393"/>
      <c r="BM98" s="394"/>
      <c r="BN98" s="394"/>
      <c r="BO98" s="394"/>
      <c r="BP98" s="394"/>
      <c r="BQ98" s="394"/>
      <c r="BR98" s="394"/>
      <c r="BS98" s="394"/>
      <c r="BT98" s="394"/>
    </row>
    <row r="99" spans="26:72" ht="14.1" customHeight="1">
      <c r="Z99" s="463"/>
      <c r="AE99" s="439"/>
      <c r="AF99" s="582"/>
      <c r="AG99" s="582"/>
      <c r="AH99" s="582"/>
      <c r="AI99" s="582"/>
      <c r="AJ99" s="582"/>
      <c r="AK99" s="582"/>
      <c r="AL99" s="580"/>
      <c r="AM99" s="580"/>
      <c r="AN99" s="580"/>
      <c r="AO99" s="580"/>
      <c r="AP99" s="580"/>
      <c r="AQ99" s="580"/>
      <c r="AR99" s="580"/>
      <c r="AS99" s="580"/>
      <c r="AT99" s="580"/>
      <c r="AU99" s="580"/>
      <c r="AV99" s="580"/>
      <c r="AW99" s="393"/>
      <c r="AX99" s="393"/>
      <c r="AY99" s="393"/>
      <c r="AZ99" s="393"/>
      <c r="BA99" s="393"/>
      <c r="BB99" s="393"/>
      <c r="BC99" s="393"/>
      <c r="BD99" s="393"/>
      <c r="BE99" s="393"/>
      <c r="BF99" s="393"/>
      <c r="BG99" s="393"/>
      <c r="BH99" s="393"/>
      <c r="BI99" s="393"/>
      <c r="BJ99" s="393"/>
      <c r="BK99" s="393"/>
      <c r="BL99" s="393"/>
      <c r="BM99" s="394"/>
      <c r="BN99" s="394"/>
      <c r="BO99" s="394"/>
      <c r="BP99" s="394"/>
      <c r="BQ99" s="394"/>
      <c r="BR99" s="394"/>
      <c r="BS99" s="394"/>
      <c r="BT99" s="394"/>
    </row>
    <row r="100" spans="26:72" ht="14.1" customHeight="1">
      <c r="Z100" s="463"/>
      <c r="AE100" s="439"/>
      <c r="AF100" s="582"/>
      <c r="AG100" s="582"/>
      <c r="AH100" s="582"/>
      <c r="AI100" s="582"/>
      <c r="AJ100" s="582"/>
      <c r="AK100" s="582"/>
      <c r="AL100" s="580"/>
      <c r="AM100" s="580"/>
      <c r="AN100" s="580"/>
      <c r="AO100" s="580"/>
      <c r="AP100" s="580"/>
      <c r="AQ100" s="580"/>
      <c r="AR100" s="580"/>
      <c r="AS100" s="580"/>
      <c r="AT100" s="580"/>
      <c r="AU100" s="580"/>
      <c r="AV100" s="580"/>
      <c r="AW100" s="393"/>
      <c r="AX100" s="393"/>
      <c r="AY100" s="393"/>
      <c r="AZ100" s="393"/>
      <c r="BA100" s="393"/>
      <c r="BB100" s="393"/>
      <c r="BC100" s="393"/>
      <c r="BD100" s="393"/>
      <c r="BE100" s="393"/>
      <c r="BF100" s="393"/>
      <c r="BG100" s="393"/>
      <c r="BH100" s="393"/>
      <c r="BI100" s="393"/>
      <c r="BJ100" s="393"/>
      <c r="BK100" s="393"/>
      <c r="BL100" s="393"/>
      <c r="BM100" s="394"/>
      <c r="BN100" s="394"/>
      <c r="BO100" s="394"/>
      <c r="BP100" s="394"/>
      <c r="BQ100" s="394"/>
      <c r="BR100" s="394"/>
      <c r="BS100" s="394"/>
      <c r="BT100" s="394"/>
    </row>
    <row r="101" spans="26:72" ht="14.1" customHeight="1">
      <c r="Z101" s="463"/>
      <c r="AE101" s="439"/>
      <c r="AF101" s="582"/>
      <c r="AG101" s="582"/>
      <c r="AH101" s="582"/>
      <c r="AI101" s="582"/>
      <c r="AJ101" s="582"/>
      <c r="AK101" s="582"/>
      <c r="AL101" s="580"/>
      <c r="AM101" s="580"/>
      <c r="AN101" s="580"/>
      <c r="AO101" s="580"/>
      <c r="AP101" s="580"/>
      <c r="AQ101" s="580"/>
      <c r="AR101" s="580"/>
      <c r="AS101" s="580"/>
      <c r="AT101" s="580"/>
      <c r="AU101" s="580"/>
      <c r="AV101" s="580"/>
      <c r="AW101" s="393"/>
      <c r="AX101" s="393"/>
      <c r="AY101" s="393"/>
      <c r="AZ101" s="393"/>
      <c r="BA101" s="393"/>
      <c r="BB101" s="393"/>
      <c r="BC101" s="393"/>
      <c r="BD101" s="393"/>
      <c r="BE101" s="393"/>
      <c r="BF101" s="393"/>
      <c r="BG101" s="393"/>
      <c r="BH101" s="393"/>
      <c r="BI101" s="393"/>
      <c r="BJ101" s="393"/>
      <c r="BK101" s="393"/>
      <c r="BL101" s="393"/>
      <c r="BM101" s="394"/>
      <c r="BN101" s="394"/>
      <c r="BO101" s="394"/>
      <c r="BP101" s="394"/>
      <c r="BQ101" s="394"/>
      <c r="BR101" s="394"/>
      <c r="BS101" s="394"/>
      <c r="BT101" s="394"/>
    </row>
    <row r="102" spans="26:72" ht="14.1" customHeight="1">
      <c r="Z102" s="463"/>
      <c r="AE102" s="439"/>
      <c r="AF102" s="582"/>
      <c r="AG102" s="582"/>
      <c r="AH102" s="582"/>
      <c r="AI102" s="582"/>
      <c r="AJ102" s="582"/>
      <c r="AK102" s="582"/>
      <c r="AL102" s="580"/>
      <c r="AM102" s="580"/>
      <c r="AN102" s="580"/>
      <c r="AO102" s="580"/>
      <c r="AP102" s="580"/>
      <c r="AQ102" s="580"/>
      <c r="AR102" s="580"/>
      <c r="AS102" s="580"/>
      <c r="AT102" s="580"/>
      <c r="AU102" s="580"/>
      <c r="AV102" s="580"/>
      <c r="AW102" s="393"/>
      <c r="AX102" s="393"/>
      <c r="AY102" s="393"/>
      <c r="AZ102" s="393"/>
      <c r="BA102" s="393"/>
      <c r="BB102" s="393"/>
      <c r="BC102" s="393"/>
      <c r="BD102" s="393"/>
      <c r="BE102" s="393"/>
      <c r="BF102" s="393"/>
      <c r="BG102" s="393"/>
      <c r="BH102" s="393"/>
      <c r="BI102" s="393"/>
      <c r="BJ102" s="393"/>
      <c r="BK102" s="393"/>
      <c r="BL102" s="393"/>
      <c r="BM102" s="394"/>
      <c r="BN102" s="394"/>
      <c r="BO102" s="394"/>
      <c r="BP102" s="394"/>
      <c r="BQ102" s="394"/>
      <c r="BR102" s="394"/>
      <c r="BS102" s="394"/>
      <c r="BT102" s="394"/>
    </row>
    <row r="103" spans="26:72" ht="14.1" customHeight="1">
      <c r="Z103" s="463"/>
      <c r="AE103" s="439"/>
      <c r="AF103" s="582"/>
      <c r="AG103" s="582"/>
      <c r="AH103" s="582"/>
      <c r="AI103" s="582"/>
      <c r="AJ103" s="582"/>
      <c r="AK103" s="582"/>
      <c r="AL103" s="580"/>
      <c r="AM103" s="580"/>
      <c r="AN103" s="580"/>
      <c r="AO103" s="580"/>
      <c r="AP103" s="580"/>
      <c r="AQ103" s="580"/>
      <c r="AR103" s="580"/>
      <c r="AS103" s="580"/>
      <c r="AT103" s="580"/>
      <c r="AU103" s="580"/>
      <c r="AV103" s="580"/>
      <c r="AW103" s="393"/>
      <c r="AX103" s="393"/>
      <c r="AY103" s="393"/>
      <c r="AZ103" s="393"/>
      <c r="BA103" s="393"/>
      <c r="BB103" s="393"/>
      <c r="BC103" s="393"/>
      <c r="BD103" s="393"/>
      <c r="BE103" s="393"/>
      <c r="BF103" s="393"/>
      <c r="BG103" s="393"/>
      <c r="BH103" s="393"/>
      <c r="BI103" s="393"/>
      <c r="BJ103" s="393"/>
      <c r="BK103" s="393"/>
      <c r="BL103" s="393"/>
      <c r="BM103" s="394"/>
      <c r="BN103" s="394"/>
      <c r="BO103" s="394"/>
      <c r="BP103" s="394"/>
      <c r="BQ103" s="394"/>
      <c r="BR103" s="394"/>
      <c r="BS103" s="394"/>
      <c r="BT103" s="394"/>
    </row>
    <row r="104" spans="26:72" ht="14.1" customHeight="1">
      <c r="Z104" s="463"/>
      <c r="AE104" s="439"/>
      <c r="AF104" s="582"/>
      <c r="AG104" s="582"/>
      <c r="AH104" s="582"/>
      <c r="AI104" s="582"/>
      <c r="AJ104" s="582"/>
      <c r="AK104" s="582"/>
      <c r="AL104" s="580"/>
      <c r="AM104" s="580"/>
      <c r="AN104" s="580"/>
      <c r="AO104" s="580"/>
      <c r="AP104" s="580"/>
      <c r="AQ104" s="580"/>
      <c r="AR104" s="580"/>
      <c r="AS104" s="580"/>
      <c r="AT104" s="580"/>
      <c r="AU104" s="580"/>
      <c r="AV104" s="580"/>
      <c r="AW104" s="393"/>
      <c r="AX104" s="393"/>
      <c r="AY104" s="393"/>
      <c r="AZ104" s="393"/>
      <c r="BA104" s="393"/>
      <c r="BB104" s="393"/>
      <c r="BC104" s="393"/>
      <c r="BD104" s="393"/>
      <c r="BE104" s="393"/>
      <c r="BF104" s="393"/>
      <c r="BG104" s="393"/>
      <c r="BH104" s="393"/>
      <c r="BI104" s="393"/>
      <c r="BJ104" s="393"/>
      <c r="BK104" s="393"/>
      <c r="BL104" s="393"/>
      <c r="BM104" s="394"/>
      <c r="BN104" s="394"/>
      <c r="BO104" s="394"/>
      <c r="BP104" s="394"/>
      <c r="BQ104" s="394"/>
      <c r="BR104" s="394"/>
      <c r="BS104" s="394"/>
      <c r="BT104" s="394"/>
    </row>
    <row r="105" spans="26:72" ht="14.1" customHeight="1">
      <c r="Z105" s="463"/>
      <c r="AE105" s="439"/>
      <c r="AF105" s="582"/>
      <c r="AG105" s="582"/>
      <c r="AH105" s="582"/>
      <c r="AI105" s="582"/>
      <c r="AJ105" s="582"/>
      <c r="AK105" s="582"/>
      <c r="AL105" s="580"/>
      <c r="AM105" s="580"/>
      <c r="AN105" s="580"/>
      <c r="AO105" s="580"/>
      <c r="AP105" s="580"/>
      <c r="AQ105" s="580"/>
      <c r="AR105" s="580"/>
      <c r="AS105" s="580"/>
      <c r="AT105" s="580"/>
      <c r="AU105" s="580"/>
      <c r="AV105" s="580"/>
      <c r="AW105" s="393"/>
      <c r="AX105" s="393"/>
      <c r="AY105" s="393"/>
      <c r="AZ105" s="393"/>
      <c r="BA105" s="393"/>
      <c r="BB105" s="393"/>
      <c r="BC105" s="393"/>
      <c r="BD105" s="393"/>
      <c r="BE105" s="393"/>
      <c r="BF105" s="393"/>
      <c r="BG105" s="393"/>
      <c r="BH105" s="393"/>
      <c r="BI105" s="393"/>
      <c r="BJ105" s="393"/>
      <c r="BK105" s="393"/>
      <c r="BL105" s="393"/>
      <c r="BM105" s="394"/>
      <c r="BN105" s="394"/>
      <c r="BO105" s="394"/>
      <c r="BP105" s="394"/>
      <c r="BQ105" s="394"/>
      <c r="BR105" s="394"/>
      <c r="BS105" s="394"/>
      <c r="BT105" s="394"/>
    </row>
    <row r="106" spans="26:72" ht="14.1" customHeight="1">
      <c r="Z106" s="463"/>
      <c r="AE106" s="439"/>
      <c r="AF106" s="582"/>
      <c r="AG106" s="582"/>
      <c r="AH106" s="582"/>
      <c r="AI106" s="582"/>
      <c r="AJ106" s="582"/>
      <c r="AK106" s="582"/>
      <c r="AL106" s="580"/>
      <c r="AM106" s="580"/>
      <c r="AN106" s="580"/>
      <c r="AO106" s="580"/>
      <c r="AP106" s="580"/>
      <c r="AQ106" s="580"/>
      <c r="AR106" s="580"/>
      <c r="AS106" s="580"/>
      <c r="AT106" s="580"/>
      <c r="AU106" s="580"/>
      <c r="AV106" s="580"/>
      <c r="AW106" s="393"/>
      <c r="AX106" s="393"/>
      <c r="AY106" s="393"/>
      <c r="AZ106" s="393"/>
      <c r="BA106" s="393"/>
      <c r="BB106" s="393"/>
      <c r="BC106" s="393"/>
      <c r="BD106" s="393"/>
      <c r="BE106" s="393"/>
      <c r="BF106" s="393"/>
      <c r="BG106" s="393"/>
      <c r="BH106" s="393"/>
      <c r="BI106" s="393"/>
      <c r="BJ106" s="393"/>
      <c r="BK106" s="393"/>
      <c r="BL106" s="393"/>
      <c r="BM106" s="394"/>
      <c r="BN106" s="394"/>
      <c r="BO106" s="394"/>
      <c r="BP106" s="394"/>
      <c r="BQ106" s="394"/>
      <c r="BR106" s="394"/>
      <c r="BS106" s="394"/>
      <c r="BT106" s="394"/>
    </row>
    <row r="107" spans="26:72" ht="14.1" customHeight="1">
      <c r="Z107" s="463"/>
      <c r="AE107" s="439"/>
      <c r="AF107" s="582"/>
      <c r="AG107" s="582"/>
      <c r="AH107" s="582"/>
      <c r="AI107" s="582"/>
      <c r="AJ107" s="582"/>
      <c r="AK107" s="582"/>
      <c r="AL107" s="580"/>
      <c r="AM107" s="580"/>
      <c r="AN107" s="580"/>
      <c r="AO107" s="580"/>
      <c r="AP107" s="580"/>
      <c r="AQ107" s="580"/>
      <c r="AR107" s="580"/>
      <c r="AS107" s="580"/>
      <c r="AT107" s="580"/>
      <c r="AU107" s="580"/>
      <c r="AV107" s="580"/>
      <c r="AW107" s="393"/>
      <c r="AX107" s="393"/>
      <c r="AY107" s="393"/>
      <c r="AZ107" s="393"/>
      <c r="BA107" s="393"/>
      <c r="BB107" s="393"/>
      <c r="BC107" s="393"/>
      <c r="BD107" s="393"/>
      <c r="BE107" s="393"/>
      <c r="BF107" s="393"/>
      <c r="BG107" s="393"/>
      <c r="BH107" s="393"/>
      <c r="BI107" s="393"/>
      <c r="BJ107" s="393"/>
      <c r="BK107" s="393"/>
      <c r="BL107" s="393"/>
      <c r="BM107" s="394"/>
      <c r="BN107" s="394"/>
      <c r="BO107" s="394"/>
      <c r="BP107" s="394"/>
      <c r="BQ107" s="394"/>
      <c r="BR107" s="394"/>
      <c r="BS107" s="394"/>
      <c r="BT107" s="394"/>
    </row>
    <row r="108" spans="26:72" ht="14.1" customHeight="1">
      <c r="Z108" s="463"/>
      <c r="AE108" s="439"/>
      <c r="AF108" s="582"/>
      <c r="AG108" s="582"/>
      <c r="AH108" s="582"/>
      <c r="AI108" s="582"/>
      <c r="AJ108" s="582"/>
      <c r="AK108" s="582"/>
      <c r="AL108" s="580"/>
      <c r="AM108" s="580"/>
      <c r="AN108" s="580"/>
      <c r="AO108" s="580"/>
      <c r="AP108" s="580"/>
      <c r="AQ108" s="580"/>
      <c r="AR108" s="580"/>
      <c r="AS108" s="580"/>
      <c r="AT108" s="580"/>
      <c r="AU108" s="580"/>
      <c r="AV108" s="580"/>
      <c r="AW108" s="393"/>
      <c r="AX108" s="393"/>
      <c r="AY108" s="393"/>
      <c r="AZ108" s="393"/>
      <c r="BA108" s="393"/>
      <c r="BB108" s="393"/>
      <c r="BC108" s="393"/>
      <c r="BD108" s="393"/>
      <c r="BE108" s="393"/>
      <c r="BF108" s="393"/>
      <c r="BG108" s="393"/>
      <c r="BH108" s="393"/>
      <c r="BI108" s="393"/>
      <c r="BJ108" s="393"/>
      <c r="BK108" s="393"/>
      <c r="BL108" s="393"/>
      <c r="BM108" s="394"/>
      <c r="BN108" s="394"/>
      <c r="BO108" s="394"/>
      <c r="BP108" s="394"/>
      <c r="BQ108" s="394"/>
      <c r="BR108" s="394"/>
      <c r="BS108" s="394"/>
      <c r="BT108" s="394"/>
    </row>
    <row r="109" spans="26:72" ht="14.1" customHeight="1">
      <c r="Z109" s="463"/>
      <c r="AE109" s="475"/>
      <c r="AF109" s="582"/>
      <c r="AG109" s="582"/>
      <c r="AH109" s="582"/>
      <c r="AI109" s="582"/>
      <c r="AJ109" s="582"/>
      <c r="AK109" s="582"/>
      <c r="AL109" s="580"/>
      <c r="AM109" s="580"/>
      <c r="AN109" s="580"/>
      <c r="AO109" s="580"/>
      <c r="AP109" s="580"/>
      <c r="AQ109" s="580"/>
      <c r="AR109" s="580"/>
      <c r="AS109" s="580"/>
      <c r="AT109" s="580"/>
      <c r="AU109" s="580"/>
      <c r="AV109" s="580"/>
      <c r="AW109" s="393"/>
      <c r="AX109" s="393"/>
      <c r="AY109" s="393"/>
      <c r="AZ109" s="393"/>
      <c r="BA109" s="393"/>
      <c r="BB109" s="393"/>
      <c r="BC109" s="393"/>
      <c r="BD109" s="393"/>
      <c r="BE109" s="393"/>
      <c r="BF109" s="393"/>
      <c r="BG109" s="393"/>
      <c r="BH109" s="393"/>
      <c r="BI109" s="393"/>
      <c r="BJ109" s="393"/>
      <c r="BK109" s="393"/>
      <c r="BL109" s="393"/>
      <c r="BM109" s="456"/>
      <c r="BN109" s="456"/>
      <c r="BO109" s="456"/>
      <c r="BP109" s="456"/>
      <c r="BQ109" s="456"/>
      <c r="BR109" s="456"/>
      <c r="BS109" s="456"/>
      <c r="BT109" s="456"/>
    </row>
    <row r="110" spans="26:72" ht="14.1" customHeight="1">
      <c r="Z110" s="463"/>
      <c r="AF110" s="582"/>
      <c r="AG110" s="582"/>
      <c r="AH110" s="582"/>
      <c r="AI110" s="582"/>
      <c r="AJ110" s="582"/>
      <c r="AK110" s="582"/>
      <c r="AL110" s="580"/>
      <c r="AM110" s="580"/>
      <c r="AN110" s="580"/>
      <c r="AO110" s="580"/>
      <c r="AP110" s="580"/>
      <c r="AQ110" s="580"/>
      <c r="AR110" s="580"/>
      <c r="AS110" s="580"/>
      <c r="AT110" s="580"/>
      <c r="AU110" s="580"/>
      <c r="AV110" s="580"/>
      <c r="AW110" s="393"/>
      <c r="AX110" s="393"/>
      <c r="AY110" s="393"/>
      <c r="AZ110" s="393"/>
      <c r="BA110" s="393"/>
      <c r="BB110" s="393"/>
      <c r="BC110" s="393"/>
      <c r="BD110" s="393"/>
      <c r="BE110" s="393"/>
      <c r="BF110" s="393"/>
      <c r="BG110" s="393"/>
      <c r="BH110" s="393"/>
      <c r="BI110" s="393"/>
      <c r="BJ110" s="393"/>
      <c r="BK110" s="393"/>
      <c r="BL110" s="393"/>
      <c r="BM110" s="456"/>
      <c r="BN110" s="456"/>
      <c r="BO110" s="456"/>
      <c r="BP110" s="456"/>
      <c r="BQ110" s="456"/>
      <c r="BR110" s="456"/>
      <c r="BS110" s="456"/>
      <c r="BT110" s="456"/>
    </row>
    <row r="111" spans="26:72" ht="14.1" customHeight="1">
      <c r="Z111" s="463"/>
      <c r="AF111" s="582"/>
      <c r="AG111" s="582"/>
      <c r="AH111" s="582"/>
      <c r="AI111" s="582"/>
      <c r="AJ111" s="582"/>
      <c r="AK111" s="582"/>
      <c r="AL111" s="580"/>
      <c r="AM111" s="580"/>
      <c r="AN111" s="580"/>
      <c r="AO111" s="580"/>
      <c r="AP111" s="580"/>
      <c r="AQ111" s="580"/>
      <c r="AR111" s="580"/>
      <c r="AS111" s="580"/>
      <c r="AT111" s="580"/>
      <c r="AU111" s="580"/>
      <c r="AV111" s="580"/>
      <c r="AW111" s="393"/>
      <c r="AX111" s="393"/>
      <c r="AY111" s="393"/>
      <c r="AZ111" s="393"/>
      <c r="BA111" s="393"/>
      <c r="BB111" s="393"/>
      <c r="BC111" s="393"/>
      <c r="BD111" s="393"/>
      <c r="BE111" s="393"/>
      <c r="BF111" s="393"/>
      <c r="BG111" s="393"/>
      <c r="BH111" s="393"/>
      <c r="BI111" s="393"/>
      <c r="BJ111" s="393"/>
      <c r="BK111" s="393"/>
      <c r="BL111" s="393"/>
      <c r="BM111" s="456"/>
      <c r="BN111" s="456"/>
      <c r="BO111" s="456"/>
      <c r="BP111" s="456"/>
      <c r="BQ111" s="456"/>
      <c r="BR111" s="456"/>
      <c r="BS111" s="456"/>
      <c r="BT111" s="456"/>
    </row>
    <row r="112" spans="26:72" ht="14.1" customHeight="1">
      <c r="Z112" s="463"/>
      <c r="AF112" s="582"/>
      <c r="AG112" s="582"/>
      <c r="AH112" s="582"/>
      <c r="AI112" s="582"/>
      <c r="AJ112" s="582"/>
      <c r="AK112" s="582"/>
      <c r="AL112" s="580"/>
      <c r="AM112" s="580"/>
      <c r="AN112" s="580"/>
      <c r="AO112" s="580"/>
      <c r="AP112" s="580"/>
      <c r="AQ112" s="580"/>
      <c r="AR112" s="580"/>
      <c r="AS112" s="580"/>
      <c r="AT112" s="580"/>
      <c r="AU112" s="580"/>
      <c r="AV112" s="580"/>
      <c r="AW112" s="393"/>
      <c r="AX112" s="393"/>
      <c r="AY112" s="393"/>
      <c r="AZ112" s="393"/>
      <c r="BA112" s="393"/>
      <c r="BB112" s="393"/>
      <c r="BC112" s="393"/>
      <c r="BD112" s="393"/>
      <c r="BE112" s="393"/>
      <c r="BF112" s="393"/>
      <c r="BG112" s="393"/>
      <c r="BH112" s="393"/>
      <c r="BI112" s="393"/>
      <c r="BJ112" s="393"/>
      <c r="BK112" s="393"/>
      <c r="BL112" s="393"/>
    </row>
    <row r="113" spans="25:64" ht="14.1" customHeight="1">
      <c r="Z113" s="463"/>
      <c r="AF113" s="582"/>
      <c r="AG113" s="582"/>
      <c r="AH113" s="582"/>
      <c r="AI113" s="582"/>
      <c r="AJ113" s="582"/>
      <c r="AK113" s="582"/>
      <c r="AL113" s="580"/>
      <c r="AM113" s="580"/>
      <c r="AN113" s="580"/>
      <c r="AO113" s="580"/>
      <c r="AP113" s="580"/>
      <c r="AQ113" s="580"/>
      <c r="AR113" s="580"/>
      <c r="AS113" s="580"/>
      <c r="AT113" s="580"/>
      <c r="AU113" s="580"/>
      <c r="AV113" s="580"/>
      <c r="AW113" s="393"/>
      <c r="AX113" s="393"/>
      <c r="AY113" s="393"/>
      <c r="AZ113" s="393"/>
      <c r="BA113" s="393"/>
      <c r="BB113" s="393"/>
      <c r="BC113" s="393"/>
      <c r="BD113" s="393"/>
      <c r="BE113" s="393"/>
      <c r="BF113" s="393"/>
      <c r="BG113" s="393"/>
      <c r="BH113" s="393"/>
      <c r="BI113" s="393"/>
      <c r="BJ113" s="393"/>
      <c r="BK113" s="393"/>
      <c r="BL113" s="393"/>
    </row>
    <row r="114" spans="25:64" ht="14.1" customHeight="1">
      <c r="Z114" s="463"/>
      <c r="AF114" s="582"/>
      <c r="AG114" s="582"/>
      <c r="AH114" s="582"/>
      <c r="AI114" s="582"/>
      <c r="AJ114" s="582"/>
      <c r="AK114" s="582"/>
      <c r="AL114" s="580"/>
      <c r="AM114" s="580"/>
      <c r="AN114" s="580"/>
      <c r="AO114" s="580"/>
      <c r="AP114" s="580"/>
      <c r="AQ114" s="580"/>
      <c r="AR114" s="580"/>
      <c r="AS114" s="580"/>
      <c r="AT114" s="580"/>
      <c r="AU114" s="580"/>
      <c r="AV114" s="580"/>
      <c r="AW114" s="393"/>
      <c r="AX114" s="393"/>
      <c r="AY114" s="393"/>
      <c r="AZ114" s="393"/>
      <c r="BA114" s="393"/>
      <c r="BB114" s="393"/>
      <c r="BC114" s="393"/>
      <c r="BD114" s="393"/>
      <c r="BE114" s="393"/>
      <c r="BF114" s="393"/>
      <c r="BG114" s="393"/>
      <c r="BH114" s="393"/>
      <c r="BI114" s="393"/>
      <c r="BJ114" s="393"/>
      <c r="BK114" s="393"/>
      <c r="BL114" s="393"/>
    </row>
    <row r="115" spans="25:64" ht="14.1" customHeight="1">
      <c r="Z115" s="463"/>
      <c r="AF115" s="582"/>
      <c r="AG115" s="582"/>
      <c r="AH115" s="582"/>
      <c r="AI115" s="582"/>
      <c r="AJ115" s="582"/>
      <c r="AK115" s="582"/>
      <c r="AL115" s="580"/>
      <c r="AM115" s="580"/>
      <c r="AN115" s="580"/>
      <c r="AO115" s="580"/>
      <c r="AP115" s="580"/>
      <c r="AQ115" s="580"/>
      <c r="AR115" s="580"/>
      <c r="AS115" s="580"/>
      <c r="AT115" s="580"/>
      <c r="AU115" s="580"/>
      <c r="AV115" s="580"/>
      <c r="AW115" s="393"/>
      <c r="AX115" s="393"/>
      <c r="AY115" s="393"/>
      <c r="AZ115" s="393"/>
      <c r="BA115" s="393"/>
      <c r="BB115" s="393"/>
      <c r="BC115" s="393"/>
      <c r="BD115" s="393"/>
      <c r="BE115" s="393"/>
      <c r="BF115" s="393"/>
      <c r="BG115" s="393"/>
      <c r="BH115" s="393"/>
      <c r="BI115" s="393"/>
      <c r="BJ115" s="393"/>
      <c r="BK115" s="393"/>
      <c r="BL115" s="393"/>
    </row>
    <row r="116" spans="25:64" ht="14.1" customHeight="1">
      <c r="Z116" s="463"/>
      <c r="AF116" s="582"/>
      <c r="AG116" s="582"/>
      <c r="AH116" s="582"/>
      <c r="AI116" s="582"/>
      <c r="AJ116" s="582"/>
      <c r="AK116" s="582"/>
      <c r="AL116" s="580"/>
      <c r="AM116" s="580"/>
      <c r="AN116" s="580"/>
      <c r="AO116" s="580"/>
      <c r="AP116" s="580"/>
      <c r="AQ116" s="580"/>
      <c r="AR116" s="580"/>
      <c r="AS116" s="580"/>
      <c r="AT116" s="580"/>
      <c r="AU116" s="580"/>
      <c r="AV116" s="580"/>
      <c r="AW116" s="393"/>
      <c r="AX116" s="393"/>
      <c r="AY116" s="393"/>
      <c r="AZ116" s="393"/>
      <c r="BA116" s="393"/>
      <c r="BB116" s="393"/>
      <c r="BC116" s="393"/>
      <c r="BD116" s="393"/>
      <c r="BE116" s="393"/>
      <c r="BF116" s="393"/>
      <c r="BG116" s="393"/>
      <c r="BH116" s="393"/>
      <c r="BI116" s="393"/>
      <c r="BJ116" s="393"/>
      <c r="BK116" s="393"/>
      <c r="BL116" s="393"/>
    </row>
    <row r="117" spans="25:64" ht="14.1" customHeight="1">
      <c r="Z117" s="463"/>
      <c r="AF117" s="582"/>
      <c r="AG117" s="582"/>
      <c r="AH117" s="582"/>
      <c r="AI117" s="582"/>
      <c r="AJ117" s="582"/>
      <c r="AK117" s="582"/>
      <c r="AL117" s="580"/>
      <c r="AM117" s="580"/>
      <c r="AN117" s="580"/>
      <c r="AO117" s="580"/>
      <c r="AP117" s="580"/>
      <c r="AQ117" s="580"/>
      <c r="AR117" s="580"/>
      <c r="AS117" s="580"/>
      <c r="AT117" s="580"/>
      <c r="AU117" s="580"/>
      <c r="AV117" s="580"/>
      <c r="AW117" s="393"/>
      <c r="AX117" s="393"/>
      <c r="AY117" s="393"/>
      <c r="AZ117" s="393"/>
      <c r="BA117" s="393"/>
      <c r="BB117" s="393"/>
      <c r="BC117" s="393"/>
      <c r="BD117" s="393"/>
      <c r="BE117" s="393"/>
      <c r="BF117" s="393"/>
      <c r="BG117" s="393"/>
      <c r="BH117" s="393"/>
      <c r="BI117" s="393"/>
      <c r="BJ117" s="393"/>
      <c r="BK117" s="393"/>
      <c r="BL117" s="393"/>
    </row>
    <row r="118" spans="25:64" ht="14.1" customHeight="1">
      <c r="Z118" s="463"/>
      <c r="AF118" s="391"/>
      <c r="AG118" s="391"/>
      <c r="AH118" s="391"/>
      <c r="AI118" s="391"/>
      <c r="AJ118" s="391"/>
      <c r="AK118" s="391"/>
      <c r="AM118" s="580"/>
      <c r="AN118" s="580"/>
      <c r="AW118" s="393"/>
      <c r="AX118" s="393"/>
      <c r="AY118" s="393"/>
      <c r="AZ118" s="393"/>
      <c r="BA118" s="393"/>
      <c r="BB118" s="393"/>
      <c r="BC118" s="393"/>
      <c r="BD118" s="393"/>
      <c r="BE118" s="393"/>
      <c r="BF118" s="393"/>
      <c r="BG118" s="393"/>
      <c r="BH118" s="393"/>
      <c r="BI118" s="393"/>
      <c r="BJ118" s="393"/>
      <c r="BK118" s="393"/>
      <c r="BL118" s="393"/>
    </row>
    <row r="119" spans="25:64" ht="14.1" customHeight="1">
      <c r="Z119" s="463"/>
      <c r="AF119" s="577"/>
      <c r="AG119" s="577"/>
      <c r="AH119" s="577"/>
      <c r="AI119" s="577"/>
      <c r="AJ119" s="577"/>
      <c r="AK119" s="577"/>
      <c r="AW119" s="393"/>
      <c r="AX119" s="393"/>
      <c r="AY119" s="393"/>
      <c r="AZ119" s="393"/>
      <c r="BA119" s="393"/>
      <c r="BB119" s="393"/>
      <c r="BC119" s="393"/>
      <c r="BD119" s="393"/>
      <c r="BE119" s="393"/>
      <c r="BF119" s="393"/>
      <c r="BG119" s="393"/>
      <c r="BH119" s="393"/>
      <c r="BI119" s="393"/>
      <c r="BJ119" s="393"/>
      <c r="BK119" s="393"/>
      <c r="BL119" s="393"/>
    </row>
    <row r="120" spans="25:64" ht="14.1" customHeight="1">
      <c r="Z120" s="463"/>
      <c r="AF120" s="391"/>
      <c r="AG120" s="391"/>
      <c r="AH120" s="391"/>
      <c r="AI120" s="391"/>
      <c r="AJ120" s="391"/>
      <c r="AK120" s="391"/>
      <c r="AW120" s="393"/>
      <c r="AX120" s="393"/>
      <c r="AY120" s="393"/>
      <c r="AZ120" s="393"/>
      <c r="BA120" s="393"/>
      <c r="BB120" s="393"/>
      <c r="BC120" s="393"/>
      <c r="BD120" s="393"/>
      <c r="BE120" s="393"/>
      <c r="BF120" s="393"/>
      <c r="BG120" s="393"/>
      <c r="BH120" s="393"/>
      <c r="BI120" s="393"/>
      <c r="BJ120" s="393"/>
      <c r="BK120" s="393"/>
      <c r="BL120" s="393"/>
    </row>
    <row r="121" spans="25:64" ht="14.1" customHeight="1">
      <c r="Z121" s="463"/>
      <c r="AW121" s="393"/>
      <c r="AX121" s="393"/>
      <c r="AY121" s="393"/>
      <c r="AZ121" s="393"/>
      <c r="BA121" s="393"/>
      <c r="BB121" s="393"/>
      <c r="BC121" s="393"/>
      <c r="BD121" s="393"/>
      <c r="BE121" s="393"/>
      <c r="BF121" s="393"/>
      <c r="BG121" s="393"/>
      <c r="BH121" s="393"/>
      <c r="BI121" s="393"/>
      <c r="BJ121" s="393"/>
      <c r="BK121" s="393"/>
      <c r="BL121" s="393"/>
    </row>
    <row r="122" spans="25:64" ht="14.1" customHeight="1">
      <c r="Z122" s="463"/>
      <c r="AX122" s="393"/>
      <c r="AY122" s="393"/>
      <c r="AZ122" s="393"/>
      <c r="BA122" s="393"/>
      <c r="BB122" s="393"/>
      <c r="BC122" s="393"/>
      <c r="BD122" s="393"/>
      <c r="BE122" s="393"/>
      <c r="BF122" s="393"/>
    </row>
    <row r="123" spans="25:64" ht="14.1" customHeight="1">
      <c r="Z123" s="463"/>
    </row>
    <row r="124" spans="25:64" ht="14.1" customHeight="1">
      <c r="Z124" s="439"/>
      <c r="AA124" s="2073"/>
      <c r="AB124" s="2073"/>
    </row>
    <row r="125" spans="25:64" ht="14.1" customHeight="1">
      <c r="Z125" s="439"/>
      <c r="AA125" s="385"/>
      <c r="AB125" s="385"/>
    </row>
    <row r="126" spans="25:64" ht="14.1" customHeight="1">
      <c r="Z126" s="463"/>
      <c r="AA126" s="463"/>
      <c r="AB126" s="463"/>
    </row>
    <row r="127" spans="25:64" ht="14.1" customHeight="1">
      <c r="Z127" s="463"/>
      <c r="AA127" s="463"/>
      <c r="AB127" s="463"/>
    </row>
    <row r="128" spans="25:64" ht="14.1" customHeight="1">
      <c r="Y128" s="583"/>
    </row>
    <row r="129" spans="25:25" ht="14.1" customHeight="1">
      <c r="Y129" s="549"/>
    </row>
    <row r="130" spans="25:25" ht="14.1" customHeight="1">
      <c r="Y130" s="583"/>
    </row>
    <row r="131" spans="25:25" ht="14.1" customHeight="1">
      <c r="Y131" s="583"/>
    </row>
    <row r="132" spans="25:25" ht="14.1" customHeight="1">
      <c r="Y132" s="583"/>
    </row>
    <row r="133" spans="25:25" ht="14.1" customHeight="1"/>
  </sheetData>
  <mergeCells count="35">
    <mergeCell ref="BW2:BX2"/>
    <mergeCell ref="BG3:BH3"/>
    <mergeCell ref="BI3:BJ3"/>
    <mergeCell ref="BK3:BL3"/>
    <mergeCell ref="CC2:CE2"/>
    <mergeCell ref="CD3:CE3"/>
    <mergeCell ref="F4:F5"/>
    <mergeCell ref="A2:B3"/>
    <mergeCell ref="C2:D3"/>
    <mergeCell ref="E2:F3"/>
    <mergeCell ref="AF2:AF3"/>
    <mergeCell ref="A4:A5"/>
    <mergeCell ref="B4:B5"/>
    <mergeCell ref="C4:C5"/>
    <mergeCell ref="D4:D5"/>
    <mergeCell ref="E4:E5"/>
    <mergeCell ref="AG2:AK2"/>
    <mergeCell ref="AO2:AO3"/>
    <mergeCell ref="AA69:AB69"/>
    <mergeCell ref="AA124:AB124"/>
    <mergeCell ref="BM57:BT57"/>
    <mergeCell ref="BM59:BT59"/>
    <mergeCell ref="AP2:AT2"/>
    <mergeCell ref="AX2:AX3"/>
    <mergeCell ref="AY2:BJ2"/>
    <mergeCell ref="BO2:BP2"/>
    <mergeCell ref="AY3:AZ3"/>
    <mergeCell ref="BA3:BB3"/>
    <mergeCell ref="BC3:BD3"/>
    <mergeCell ref="BE3:BF3"/>
    <mergeCell ref="S60:U60"/>
    <mergeCell ref="S61:U61"/>
    <mergeCell ref="Y61:AB61"/>
    <mergeCell ref="S62:U62"/>
    <mergeCell ref="Y62:AB62"/>
  </mergeCells>
  <printOptions horizontalCentered="1"/>
  <pageMargins left="0.75" right="0.75" top="0.75" bottom="1.25" header="0.5" footer="0.5"/>
  <pageSetup scale="10" orientation="portrait" r:id="rId1"/>
  <headerFooter alignWithMargins="0">
    <oddFooter>&amp;LPrepared by:
Guam State Data Center
Bureau of Statistics and Plans&amp;RJanuary 2012</oddFooter>
  </headerFooter>
  <ignoredErrors>
    <ignoredError sqref="Z5:AB5 AG4:AK4 AP4 AR4:AT4"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7D127-8AFE-4566-985B-83C3C49D85C2}">
  <sheetPr>
    <tabColor theme="7" tint="0.59999389629810485"/>
  </sheetPr>
  <dimension ref="A1:CB391"/>
  <sheetViews>
    <sheetView showGridLines="0" topLeftCell="BG112" zoomScale="90" zoomScaleNormal="90" workbookViewId="0">
      <selection activeCell="BQ63" sqref="BQ63"/>
    </sheetView>
  </sheetViews>
  <sheetFormatPr defaultRowHeight="15"/>
  <cols>
    <col min="1" max="1" width="23.5703125" customWidth="1"/>
    <col min="2" max="7" width="9.7109375" customWidth="1"/>
    <col min="8" max="8" width="11.85546875" customWidth="1"/>
    <col min="9" max="9" width="11.5703125" customWidth="1"/>
    <col min="11" max="11" width="44.7109375" customWidth="1"/>
    <col min="12" max="12" width="11.140625" customWidth="1"/>
    <col min="13" max="16" width="11.7109375" customWidth="1"/>
    <col min="17" max="17" width="11.85546875" customWidth="1"/>
    <col min="18" max="18" width="13.5703125" customWidth="1"/>
    <col min="20" max="20" width="52.7109375" customWidth="1"/>
    <col min="22" max="25" width="10.7109375" customWidth="1"/>
    <col min="26" max="27" width="11.42578125" customWidth="1"/>
    <col min="29" max="29" width="48.5703125" bestFit="1" customWidth="1"/>
    <col min="31" max="34" width="10.7109375" customWidth="1"/>
    <col min="35" max="36" width="11.7109375" customWidth="1"/>
    <col min="37" max="37" width="9.140625" customWidth="1"/>
    <col min="38" max="38" width="42.85546875" bestFit="1" customWidth="1"/>
    <col min="39" max="39" width="10.7109375" customWidth="1"/>
    <col min="40" max="42" width="11.7109375" customWidth="1"/>
    <col min="43" max="43" width="5.5703125" customWidth="1"/>
    <col min="44" max="44" width="11.28515625" customWidth="1"/>
    <col min="45" max="45" width="9.7109375" customWidth="1"/>
    <col min="47" max="47" width="52.7109375" customWidth="1"/>
    <col min="48" max="48" width="10.7109375" customWidth="1"/>
    <col min="49" max="49" width="11.5703125" customWidth="1"/>
    <col min="50" max="55" width="10.7109375" customWidth="1"/>
    <col min="56" max="56" width="12.5703125" customWidth="1"/>
    <col min="57" max="57" width="12.7109375" customWidth="1"/>
    <col min="59" max="59" width="44.7109375" bestFit="1" customWidth="1"/>
    <col min="61" max="61" width="9.42578125" bestFit="1" customWidth="1"/>
    <col min="62" max="67" width="10.7109375" customWidth="1"/>
    <col min="71" max="71" width="44.140625" customWidth="1"/>
    <col min="72" max="72" width="7.85546875" bestFit="1" customWidth="1"/>
    <col min="74" max="79" width="10.7109375" customWidth="1"/>
  </cols>
  <sheetData>
    <row r="1" spans="1:80" ht="12" customHeight="1">
      <c r="A1" s="274" t="s">
        <v>500</v>
      </c>
      <c r="B1" s="245"/>
      <c r="C1" s="245"/>
      <c r="D1" s="3"/>
      <c r="E1" s="3"/>
      <c r="F1" s="3"/>
      <c r="G1" s="2"/>
      <c r="J1" s="121" t="s">
        <v>539</v>
      </c>
      <c r="K1" s="121"/>
      <c r="L1" s="121"/>
      <c r="M1" s="2"/>
      <c r="N1" s="2"/>
      <c r="O1" s="2"/>
      <c r="P1" s="2"/>
      <c r="Q1" s="2"/>
      <c r="S1" s="2036" t="s">
        <v>639</v>
      </c>
      <c r="T1" s="2036"/>
      <c r="U1" s="2"/>
      <c r="V1" s="2"/>
      <c r="W1" s="2"/>
      <c r="X1" s="2"/>
      <c r="Y1" s="2"/>
      <c r="Z1" s="2"/>
      <c r="AB1" s="1" t="s">
        <v>704</v>
      </c>
      <c r="AC1" s="2"/>
      <c r="AD1" s="2"/>
      <c r="AE1" s="2"/>
      <c r="AF1" s="2"/>
      <c r="AG1" s="2"/>
      <c r="AH1" s="2"/>
      <c r="AK1" s="71" t="s">
        <v>777</v>
      </c>
      <c r="AL1" s="72"/>
      <c r="AM1" s="72"/>
      <c r="AN1" s="72"/>
      <c r="AO1" s="72"/>
      <c r="AP1" s="72"/>
      <c r="AQ1" s="141"/>
      <c r="AR1" s="134"/>
      <c r="AT1" s="121" t="s">
        <v>839</v>
      </c>
      <c r="AU1" s="121"/>
      <c r="AV1" s="121"/>
      <c r="AW1" s="121"/>
      <c r="AX1" s="121"/>
      <c r="AY1" s="113"/>
      <c r="AZ1" s="113"/>
      <c r="BA1" s="113"/>
      <c r="BB1" s="113"/>
      <c r="BC1" s="113"/>
      <c r="BF1" s="2036" t="s">
        <v>927</v>
      </c>
      <c r="BG1" s="2036"/>
      <c r="BH1" s="2036"/>
      <c r="BI1" s="2036"/>
      <c r="BJ1" s="2036"/>
      <c r="BK1" s="2036"/>
      <c r="BL1" s="2036"/>
      <c r="BM1" s="2036"/>
      <c r="BN1" s="2036"/>
      <c r="BO1" s="2036"/>
      <c r="BR1" s="2036" t="s">
        <v>984</v>
      </c>
      <c r="BS1" s="2036"/>
      <c r="BT1" s="2036"/>
      <c r="BU1" s="2036"/>
      <c r="BV1" s="2036"/>
      <c r="BW1" s="2036"/>
      <c r="BX1" s="2036"/>
      <c r="BY1" s="2036"/>
      <c r="BZ1" s="2036"/>
      <c r="CA1" s="2"/>
    </row>
    <row r="2" spans="1:80" ht="12" customHeight="1">
      <c r="A2" s="2321" t="s">
        <v>127</v>
      </c>
      <c r="B2" s="2321"/>
      <c r="C2" s="2321"/>
      <c r="D2" s="3"/>
      <c r="E2" s="3"/>
      <c r="F2" s="3"/>
      <c r="G2" s="2"/>
      <c r="J2" s="115" t="s">
        <v>127</v>
      </c>
      <c r="K2" s="115"/>
      <c r="L2" s="115"/>
      <c r="M2" s="2"/>
      <c r="N2" s="2"/>
      <c r="O2" s="2"/>
      <c r="P2" s="2"/>
      <c r="Q2" s="2"/>
      <c r="S2" s="2036" t="s">
        <v>127</v>
      </c>
      <c r="T2" s="2036"/>
      <c r="U2" s="2"/>
      <c r="V2" s="2"/>
      <c r="W2" s="2"/>
      <c r="X2" s="2"/>
      <c r="Y2" s="2"/>
      <c r="Z2" s="2"/>
      <c r="AB2" s="1" t="s">
        <v>127</v>
      </c>
      <c r="AC2" s="2"/>
      <c r="AD2" s="2"/>
      <c r="AE2" s="2"/>
      <c r="AF2" s="2"/>
      <c r="AG2" s="2"/>
      <c r="AH2" s="2"/>
      <c r="AK2" s="71" t="s">
        <v>127</v>
      </c>
      <c r="AL2" s="72"/>
      <c r="AM2" s="72"/>
      <c r="AN2" s="72"/>
      <c r="AO2" s="72"/>
      <c r="AP2" s="72"/>
      <c r="AQ2" s="141"/>
      <c r="AR2" s="134"/>
      <c r="AT2" s="2318" t="s">
        <v>127</v>
      </c>
      <c r="AU2" s="2318"/>
      <c r="AV2" s="113"/>
      <c r="AW2" s="113"/>
      <c r="AX2" s="113"/>
      <c r="AY2" s="113"/>
      <c r="AZ2" s="113"/>
      <c r="BA2" s="113"/>
      <c r="BB2" s="113"/>
      <c r="BC2" s="113"/>
      <c r="BF2" s="2317" t="s">
        <v>127</v>
      </c>
      <c r="BG2" s="2317"/>
      <c r="BH2" s="2317"/>
      <c r="BI2" s="2317"/>
      <c r="BJ2" s="2"/>
      <c r="BK2" s="2"/>
      <c r="BL2" s="2"/>
      <c r="BM2" s="2"/>
      <c r="BN2" s="2"/>
      <c r="BO2" s="2"/>
      <c r="BR2" s="2036" t="s">
        <v>127</v>
      </c>
      <c r="BS2" s="2036"/>
      <c r="BT2" s="2036"/>
      <c r="BU2" s="2"/>
      <c r="BV2" s="2"/>
      <c r="BW2" s="2"/>
      <c r="BX2" s="2"/>
      <c r="BY2" s="2"/>
      <c r="BZ2" s="2"/>
      <c r="CA2" s="2"/>
    </row>
    <row r="3" spans="1:80" ht="12" customHeight="1">
      <c r="A3" s="32" t="s">
        <v>501</v>
      </c>
      <c r="B3" s="15" t="s">
        <v>502</v>
      </c>
      <c r="C3" s="15" t="s">
        <v>503</v>
      </c>
      <c r="D3" s="15" t="s">
        <v>504</v>
      </c>
      <c r="E3" s="17" t="s">
        <v>505</v>
      </c>
      <c r="F3" s="17" t="s">
        <v>506</v>
      </c>
      <c r="G3" s="28" t="s">
        <v>507</v>
      </c>
      <c r="J3" s="130"/>
      <c r="K3" s="8"/>
      <c r="L3" s="118" t="s">
        <v>119</v>
      </c>
      <c r="M3" s="247" t="s">
        <v>540</v>
      </c>
      <c r="N3" s="248" t="s">
        <v>541</v>
      </c>
      <c r="O3" s="247" t="s">
        <v>542</v>
      </c>
      <c r="P3" s="248" t="s">
        <v>543</v>
      </c>
      <c r="Q3" s="290"/>
      <c r="S3" s="8"/>
      <c r="T3" s="117"/>
      <c r="U3" s="107" t="s">
        <v>119</v>
      </c>
      <c r="V3" s="96" t="s">
        <v>540</v>
      </c>
      <c r="W3" s="107" t="s">
        <v>541</v>
      </c>
      <c r="X3" s="96" t="s">
        <v>542</v>
      </c>
      <c r="Y3" s="107" t="s">
        <v>543</v>
      </c>
      <c r="Z3" s="5"/>
      <c r="AB3" s="8"/>
      <c r="AC3" s="117"/>
      <c r="AD3" s="107" t="s">
        <v>119</v>
      </c>
      <c r="AE3" s="96" t="s">
        <v>540</v>
      </c>
      <c r="AF3" s="107" t="s">
        <v>541</v>
      </c>
      <c r="AG3" s="96" t="s">
        <v>542</v>
      </c>
      <c r="AH3" s="107" t="s">
        <v>543</v>
      </c>
      <c r="AK3" s="142"/>
      <c r="AL3" s="142"/>
      <c r="AM3" s="144" t="s">
        <v>119</v>
      </c>
      <c r="AN3" s="145" t="s">
        <v>540</v>
      </c>
      <c r="AO3" s="144" t="s">
        <v>541</v>
      </c>
      <c r="AP3" s="145" t="s">
        <v>542</v>
      </c>
      <c r="AQ3" s="141"/>
      <c r="AR3" s="134"/>
      <c r="AT3" s="181"/>
      <c r="AU3" s="173"/>
      <c r="AV3" s="179" t="s">
        <v>840</v>
      </c>
      <c r="AW3" s="177" t="s">
        <v>841</v>
      </c>
      <c r="AX3" s="2319" t="s">
        <v>842</v>
      </c>
      <c r="AY3" s="2319"/>
      <c r="AZ3" s="2319"/>
      <c r="BA3" s="2319"/>
      <c r="BB3" s="2319"/>
      <c r="BC3" s="2319"/>
      <c r="BF3" s="108"/>
      <c r="BG3" s="191"/>
      <c r="BH3" s="189" t="s">
        <v>928</v>
      </c>
      <c r="BI3" s="69" t="s">
        <v>841</v>
      </c>
      <c r="BJ3" s="2042" t="s">
        <v>842</v>
      </c>
      <c r="BK3" s="2043"/>
      <c r="BL3" s="2043"/>
      <c r="BM3" s="2043"/>
      <c r="BN3" s="2043"/>
      <c r="BO3" s="2043"/>
      <c r="BR3" s="8"/>
      <c r="BS3" s="188"/>
      <c r="BT3" s="189" t="s">
        <v>985</v>
      </c>
      <c r="BU3" s="69" t="s">
        <v>841</v>
      </c>
      <c r="BV3" s="2057" t="s">
        <v>842</v>
      </c>
      <c r="BW3" s="2057"/>
      <c r="BX3" s="2057"/>
      <c r="BY3" s="2057"/>
      <c r="BZ3" s="2057"/>
      <c r="CA3" s="2057"/>
    </row>
    <row r="4" spans="1:80" ht="12.95" customHeight="1">
      <c r="A4" s="108" t="s">
        <v>129</v>
      </c>
      <c r="B4" s="132">
        <v>41540</v>
      </c>
      <c r="C4" s="132">
        <v>48218</v>
      </c>
      <c r="D4" s="132">
        <v>38500</v>
      </c>
      <c r="E4" s="132">
        <v>44427</v>
      </c>
      <c r="F4" s="132">
        <v>35884</v>
      </c>
      <c r="G4" s="132">
        <v>32206</v>
      </c>
      <c r="J4" s="131" t="s">
        <v>135</v>
      </c>
      <c r="K4" s="10" t="s">
        <v>136</v>
      </c>
      <c r="L4" s="120" t="s">
        <v>544</v>
      </c>
      <c r="M4" s="124" t="s">
        <v>45</v>
      </c>
      <c r="N4" s="120" t="s">
        <v>44</v>
      </c>
      <c r="O4" s="124" t="s">
        <v>43</v>
      </c>
      <c r="P4" s="120" t="s">
        <v>42</v>
      </c>
      <c r="Q4" s="4"/>
      <c r="S4" s="10" t="s">
        <v>135</v>
      </c>
      <c r="T4" s="119" t="s">
        <v>136</v>
      </c>
      <c r="U4" s="11" t="s">
        <v>544</v>
      </c>
      <c r="V4" s="36" t="s">
        <v>45</v>
      </c>
      <c r="W4" s="11" t="s">
        <v>44</v>
      </c>
      <c r="X4" s="36" t="s">
        <v>43</v>
      </c>
      <c r="Y4" s="11" t="s">
        <v>42</v>
      </c>
      <c r="Z4" s="5"/>
      <c r="AB4" s="23" t="s">
        <v>135</v>
      </c>
      <c r="AC4" s="119" t="s">
        <v>136</v>
      </c>
      <c r="AD4" s="11" t="s">
        <v>544</v>
      </c>
      <c r="AE4" s="97" t="s">
        <v>45</v>
      </c>
      <c r="AF4" s="29" t="s">
        <v>44</v>
      </c>
      <c r="AG4" s="97" t="s">
        <v>43</v>
      </c>
      <c r="AH4" s="29" t="s">
        <v>42</v>
      </c>
      <c r="AK4" s="146" t="s">
        <v>135</v>
      </c>
      <c r="AL4" s="146" t="s">
        <v>136</v>
      </c>
      <c r="AM4" s="80" t="s">
        <v>544</v>
      </c>
      <c r="AN4" s="148" t="s">
        <v>45</v>
      </c>
      <c r="AO4" s="80" t="s">
        <v>44</v>
      </c>
      <c r="AP4" s="148" t="s">
        <v>43</v>
      </c>
      <c r="AQ4" s="141"/>
      <c r="AR4" s="134"/>
      <c r="AT4" s="182" t="s">
        <v>135</v>
      </c>
      <c r="AU4" s="175" t="s">
        <v>843</v>
      </c>
      <c r="AV4" s="180" t="s">
        <v>844</v>
      </c>
      <c r="AW4" s="178" t="s">
        <v>129</v>
      </c>
      <c r="AX4" s="66" t="s">
        <v>845</v>
      </c>
      <c r="AY4" s="66" t="s">
        <v>846</v>
      </c>
      <c r="AZ4" s="66" t="s">
        <v>528</v>
      </c>
      <c r="BA4" s="66" t="s">
        <v>847</v>
      </c>
      <c r="BB4" s="66" t="s">
        <v>399</v>
      </c>
      <c r="BC4" s="67" t="s">
        <v>394</v>
      </c>
      <c r="BF4" s="40" t="s">
        <v>135</v>
      </c>
      <c r="BG4" s="192" t="s">
        <v>843</v>
      </c>
      <c r="BH4" s="40" t="s">
        <v>844</v>
      </c>
      <c r="BI4" s="70" t="s">
        <v>129</v>
      </c>
      <c r="BJ4" s="26" t="s">
        <v>845</v>
      </c>
      <c r="BK4" s="26" t="s">
        <v>847</v>
      </c>
      <c r="BL4" s="26" t="s">
        <v>528</v>
      </c>
      <c r="BM4" s="26" t="s">
        <v>390</v>
      </c>
      <c r="BN4" s="26" t="s">
        <v>399</v>
      </c>
      <c r="BO4" s="27" t="s">
        <v>394</v>
      </c>
      <c r="BR4" s="10" t="s">
        <v>135</v>
      </c>
      <c r="BS4" s="183" t="s">
        <v>843</v>
      </c>
      <c r="BT4" s="40" t="s">
        <v>844</v>
      </c>
      <c r="BU4" s="70" t="s">
        <v>129</v>
      </c>
      <c r="BV4" s="26" t="s">
        <v>845</v>
      </c>
      <c r="BW4" s="26" t="s">
        <v>392</v>
      </c>
      <c r="BX4" s="26" t="s">
        <v>941</v>
      </c>
      <c r="BY4" s="26" t="s">
        <v>528</v>
      </c>
      <c r="BZ4" s="26" t="s">
        <v>393</v>
      </c>
      <c r="CA4" s="27" t="s">
        <v>394</v>
      </c>
    </row>
    <row r="5" spans="1:80" ht="12.95" customHeight="1">
      <c r="A5" s="2" t="s">
        <v>468</v>
      </c>
      <c r="B5" s="2"/>
      <c r="C5" s="2"/>
      <c r="D5" s="2"/>
      <c r="E5" s="5">
        <v>146</v>
      </c>
      <c r="F5" s="2"/>
      <c r="G5" s="5">
        <v>544</v>
      </c>
      <c r="J5" s="8"/>
      <c r="K5" s="8" t="s">
        <v>545</v>
      </c>
      <c r="L5" s="57">
        <v>41628</v>
      </c>
      <c r="M5" s="57">
        <v>10991</v>
      </c>
      <c r="N5" s="57">
        <v>11396</v>
      </c>
      <c r="O5" s="57">
        <v>11821</v>
      </c>
      <c r="P5" s="57">
        <v>7420</v>
      </c>
      <c r="Q5" s="47"/>
      <c r="S5" s="2"/>
      <c r="T5" s="2" t="s">
        <v>545</v>
      </c>
      <c r="U5" s="47">
        <v>43706</v>
      </c>
      <c r="V5" s="47">
        <v>8640</v>
      </c>
      <c r="W5" s="47">
        <v>11875</v>
      </c>
      <c r="X5" s="47">
        <v>13610</v>
      </c>
      <c r="Y5" s="47">
        <v>9581</v>
      </c>
      <c r="Z5" s="47"/>
      <c r="AB5" s="3"/>
      <c r="AC5" s="2" t="s">
        <v>545</v>
      </c>
      <c r="AD5" s="47">
        <v>36265</v>
      </c>
      <c r="AE5" s="47">
        <v>11872</v>
      </c>
      <c r="AF5" s="47">
        <v>5932</v>
      </c>
      <c r="AG5" s="47">
        <v>8345</v>
      </c>
      <c r="AH5" s="47">
        <v>10116</v>
      </c>
      <c r="AK5" s="149"/>
      <c r="AL5" s="143" t="s">
        <v>545</v>
      </c>
      <c r="AM5" s="150">
        <v>27758</v>
      </c>
      <c r="AN5" s="150">
        <v>8444</v>
      </c>
      <c r="AO5" s="150">
        <v>8427</v>
      </c>
      <c r="AP5" s="150">
        <v>10887</v>
      </c>
      <c r="AQ5" s="141"/>
      <c r="AR5" s="134"/>
      <c r="AT5" s="2"/>
      <c r="AU5" s="2" t="s">
        <v>129</v>
      </c>
      <c r="AV5" s="47">
        <v>9804</v>
      </c>
      <c r="AW5" s="88">
        <v>100</v>
      </c>
      <c r="AX5" s="47">
        <v>3806</v>
      </c>
      <c r="AY5" s="5">
        <v>104</v>
      </c>
      <c r="AZ5" s="47">
        <v>1063</v>
      </c>
      <c r="BA5" s="47">
        <v>2413</v>
      </c>
      <c r="BB5" s="5">
        <v>656</v>
      </c>
      <c r="BC5" s="47">
        <v>1762</v>
      </c>
      <c r="BF5" s="3"/>
      <c r="BG5" s="3" t="s">
        <v>129</v>
      </c>
      <c r="BH5" s="53">
        <v>11120</v>
      </c>
      <c r="BI5" s="87">
        <v>100</v>
      </c>
      <c r="BJ5" s="53">
        <v>5826</v>
      </c>
      <c r="BK5" s="53">
        <v>1853</v>
      </c>
      <c r="BL5" s="22">
        <v>618</v>
      </c>
      <c r="BM5" s="22">
        <v>718</v>
      </c>
      <c r="BN5" s="22">
        <v>812</v>
      </c>
      <c r="BO5" s="53">
        <v>1293</v>
      </c>
      <c r="BR5" s="3"/>
      <c r="BS5" s="3" t="s">
        <v>129</v>
      </c>
      <c r="BT5" s="53">
        <v>7833</v>
      </c>
      <c r="BU5" s="87">
        <v>100</v>
      </c>
      <c r="BV5" s="53">
        <v>2860</v>
      </c>
      <c r="BW5" s="53">
        <v>1401</v>
      </c>
      <c r="BX5" s="22">
        <v>712</v>
      </c>
      <c r="BY5" s="22">
        <v>936</v>
      </c>
      <c r="BZ5" s="53">
        <v>1246</v>
      </c>
      <c r="CA5" s="22">
        <v>678</v>
      </c>
      <c r="CB5" s="91"/>
    </row>
    <row r="6" spans="1:80" ht="12.95" customHeight="1">
      <c r="A6" s="2" t="s">
        <v>508</v>
      </c>
      <c r="B6" s="2"/>
      <c r="C6" s="2"/>
      <c r="D6" s="2"/>
      <c r="E6" s="2"/>
      <c r="F6" s="2"/>
      <c r="G6" s="2"/>
      <c r="J6" s="2"/>
      <c r="K6" s="6" t="s">
        <v>352</v>
      </c>
      <c r="L6" s="47">
        <v>3594</v>
      </c>
      <c r="M6" s="47">
        <v>1048</v>
      </c>
      <c r="N6" s="47">
        <v>1049</v>
      </c>
      <c r="O6" s="5">
        <v>796</v>
      </c>
      <c r="P6" s="5">
        <v>704</v>
      </c>
      <c r="Q6" s="5"/>
      <c r="S6" s="2"/>
      <c r="T6" s="6" t="s">
        <v>352</v>
      </c>
      <c r="U6" s="47">
        <v>2570</v>
      </c>
      <c r="V6" s="5">
        <v>888</v>
      </c>
      <c r="W6" s="5">
        <v>631</v>
      </c>
      <c r="X6" s="5">
        <v>705</v>
      </c>
      <c r="Y6" s="5">
        <v>346</v>
      </c>
      <c r="Z6" s="5"/>
      <c r="AB6" s="2"/>
      <c r="AC6" s="6" t="s">
        <v>352</v>
      </c>
      <c r="AD6" s="47">
        <v>1887</v>
      </c>
      <c r="AE6" s="5">
        <v>686</v>
      </c>
      <c r="AF6" s="5">
        <v>464</v>
      </c>
      <c r="AG6" s="5">
        <v>360</v>
      </c>
      <c r="AH6" s="5">
        <v>377</v>
      </c>
      <c r="AK6" s="72"/>
      <c r="AL6" s="151" t="s">
        <v>352</v>
      </c>
      <c r="AM6" s="77">
        <v>2327</v>
      </c>
      <c r="AN6" s="76">
        <v>903</v>
      </c>
      <c r="AO6" s="76">
        <v>836</v>
      </c>
      <c r="AP6" s="76">
        <v>588</v>
      </c>
      <c r="AQ6" s="141"/>
      <c r="AR6" s="134"/>
      <c r="AT6" s="35">
        <v>2203</v>
      </c>
      <c r="AU6" s="2" t="s">
        <v>280</v>
      </c>
      <c r="AV6" s="47">
        <v>2289</v>
      </c>
      <c r="AW6" s="5">
        <v>23.3</v>
      </c>
      <c r="AX6" s="47">
        <v>1245</v>
      </c>
      <c r="AY6" s="2"/>
      <c r="AZ6" s="5">
        <v>314</v>
      </c>
      <c r="BA6" s="5">
        <v>730</v>
      </c>
      <c r="BB6" s="2"/>
      <c r="BC6" s="2"/>
      <c r="BF6" s="35">
        <v>2402</v>
      </c>
      <c r="BG6" s="2" t="s">
        <v>616</v>
      </c>
      <c r="BH6" s="47">
        <v>2460</v>
      </c>
      <c r="BI6" s="5">
        <v>22.1</v>
      </c>
      <c r="BJ6" s="47">
        <v>1912</v>
      </c>
      <c r="BK6" s="5">
        <v>360</v>
      </c>
      <c r="BL6" s="5">
        <v>120</v>
      </c>
      <c r="BM6" s="5">
        <v>67</v>
      </c>
      <c r="BN6" s="2"/>
      <c r="BO6" s="5">
        <v>2</v>
      </c>
      <c r="BR6" s="21">
        <v>2402</v>
      </c>
      <c r="BS6" s="3" t="s">
        <v>986</v>
      </c>
      <c r="BT6" s="53">
        <v>1416</v>
      </c>
      <c r="BU6" s="22">
        <v>18.100000000000001</v>
      </c>
      <c r="BV6" s="22">
        <v>920</v>
      </c>
      <c r="BW6" s="3"/>
      <c r="BX6" s="22">
        <v>323</v>
      </c>
      <c r="BY6" s="22">
        <v>173</v>
      </c>
      <c r="BZ6" s="3"/>
      <c r="CA6" s="3"/>
      <c r="CB6" s="91"/>
    </row>
    <row r="7" spans="1:80" ht="12.95" customHeight="1">
      <c r="A7" s="2" t="s">
        <v>509</v>
      </c>
      <c r="B7" s="2"/>
      <c r="C7" s="2"/>
      <c r="D7" s="2"/>
      <c r="E7" s="2"/>
      <c r="F7" s="2"/>
      <c r="G7" s="2"/>
      <c r="J7" s="65" t="s">
        <v>337</v>
      </c>
      <c r="K7" s="2" t="s">
        <v>138</v>
      </c>
      <c r="L7" s="5">
        <v>3</v>
      </c>
      <c r="M7" s="5" t="s">
        <v>546</v>
      </c>
      <c r="N7" s="5" t="s">
        <v>546</v>
      </c>
      <c r="O7" s="5">
        <v>3</v>
      </c>
      <c r="P7" s="5" t="s">
        <v>546</v>
      </c>
      <c r="Q7" s="5"/>
      <c r="S7" s="65" t="s">
        <v>337</v>
      </c>
      <c r="T7" s="2" t="s">
        <v>245</v>
      </c>
      <c r="U7" s="5">
        <v>5</v>
      </c>
      <c r="V7" s="5" t="s">
        <v>546</v>
      </c>
      <c r="W7" s="5" t="s">
        <v>546</v>
      </c>
      <c r="X7" s="5" t="s">
        <v>546</v>
      </c>
      <c r="Y7" s="5">
        <v>5</v>
      </c>
      <c r="Z7" s="5"/>
      <c r="AB7" s="65" t="s">
        <v>337</v>
      </c>
      <c r="AC7" s="2" t="s">
        <v>245</v>
      </c>
      <c r="AD7" s="5">
        <v>140</v>
      </c>
      <c r="AE7" s="5">
        <v>140</v>
      </c>
      <c r="AF7" s="5" t="s">
        <v>546</v>
      </c>
      <c r="AG7" s="5" t="s">
        <v>546</v>
      </c>
      <c r="AH7" s="5" t="s">
        <v>546</v>
      </c>
      <c r="AK7" s="152" t="s">
        <v>337</v>
      </c>
      <c r="AL7" s="72" t="s">
        <v>353</v>
      </c>
      <c r="AM7" s="76">
        <v>18</v>
      </c>
      <c r="AN7" s="76" t="s">
        <v>546</v>
      </c>
      <c r="AO7" s="76">
        <v>18</v>
      </c>
      <c r="AP7" s="76" t="s">
        <v>546</v>
      </c>
      <c r="AQ7" s="141"/>
      <c r="AR7" s="134"/>
      <c r="AT7" s="35">
        <v>2402</v>
      </c>
      <c r="AU7" s="2" t="s">
        <v>848</v>
      </c>
      <c r="AV7" s="47">
        <v>2155</v>
      </c>
      <c r="AW7" s="88">
        <v>22</v>
      </c>
      <c r="AX7" s="47">
        <v>1295</v>
      </c>
      <c r="AY7" s="2"/>
      <c r="AZ7" s="5">
        <v>100</v>
      </c>
      <c r="BA7" s="5">
        <v>760</v>
      </c>
      <c r="BB7" s="2"/>
      <c r="BC7" s="2"/>
      <c r="BF7" s="35">
        <v>2203</v>
      </c>
      <c r="BG7" s="2" t="s">
        <v>430</v>
      </c>
      <c r="BH7" s="47">
        <v>2434</v>
      </c>
      <c r="BI7" s="5">
        <v>0.2</v>
      </c>
      <c r="BJ7" s="47">
        <v>1281</v>
      </c>
      <c r="BK7" s="5">
        <v>898</v>
      </c>
      <c r="BL7" s="2"/>
      <c r="BM7" s="2"/>
      <c r="BN7" s="2"/>
      <c r="BO7" s="5">
        <v>255</v>
      </c>
      <c r="BR7" s="21">
        <v>3304</v>
      </c>
      <c r="BS7" s="3" t="s">
        <v>432</v>
      </c>
      <c r="BT7" s="53">
        <v>1364</v>
      </c>
      <c r="BU7" s="22">
        <v>17.399999999999999</v>
      </c>
      <c r="BV7" s="3"/>
      <c r="BW7" s="22">
        <v>118</v>
      </c>
      <c r="BX7" s="3"/>
      <c r="BY7" s="3"/>
      <c r="BZ7" s="53">
        <v>1246</v>
      </c>
      <c r="CA7" s="3"/>
      <c r="CB7" s="91"/>
    </row>
    <row r="8" spans="1:80" ht="12.95" customHeight="1">
      <c r="A8" s="2" t="s">
        <v>510</v>
      </c>
      <c r="B8" s="2"/>
      <c r="C8" s="2"/>
      <c r="D8" s="2"/>
      <c r="E8" s="2"/>
      <c r="F8" s="2"/>
      <c r="G8" s="2"/>
      <c r="J8" s="65" t="s">
        <v>338</v>
      </c>
      <c r="K8" s="2" t="s">
        <v>547</v>
      </c>
      <c r="L8" s="5">
        <v>86</v>
      </c>
      <c r="M8" s="5">
        <v>23</v>
      </c>
      <c r="N8" s="22">
        <v>24</v>
      </c>
      <c r="O8" s="5">
        <v>39</v>
      </c>
      <c r="P8" s="5" t="s">
        <v>546</v>
      </c>
      <c r="Q8" s="5"/>
      <c r="S8" s="65" t="s">
        <v>338</v>
      </c>
      <c r="T8" s="2" t="s">
        <v>640</v>
      </c>
      <c r="U8" s="5">
        <v>115</v>
      </c>
      <c r="V8" s="5">
        <v>56</v>
      </c>
      <c r="W8" s="5">
        <v>47</v>
      </c>
      <c r="X8" s="5">
        <v>12</v>
      </c>
      <c r="Y8" s="5" t="s">
        <v>546</v>
      </c>
      <c r="Z8" s="5"/>
      <c r="AB8" s="65" t="s">
        <v>338</v>
      </c>
      <c r="AC8" s="2" t="s">
        <v>640</v>
      </c>
      <c r="AD8" s="5">
        <v>202</v>
      </c>
      <c r="AE8" s="5">
        <v>8</v>
      </c>
      <c r="AF8" s="5">
        <v>165</v>
      </c>
      <c r="AG8" s="5">
        <v>25</v>
      </c>
      <c r="AH8" s="5">
        <v>4</v>
      </c>
      <c r="AK8" s="152" t="s">
        <v>338</v>
      </c>
      <c r="AL8" s="72" t="s">
        <v>246</v>
      </c>
      <c r="AM8" s="76">
        <v>40</v>
      </c>
      <c r="AN8" s="76">
        <v>15</v>
      </c>
      <c r="AO8" s="76">
        <v>9</v>
      </c>
      <c r="AP8" s="76">
        <v>16</v>
      </c>
      <c r="AQ8" s="141"/>
      <c r="AR8" s="134"/>
      <c r="AT8" s="35">
        <v>7200</v>
      </c>
      <c r="AU8" s="2" t="s">
        <v>209</v>
      </c>
      <c r="AV8" s="5">
        <v>738</v>
      </c>
      <c r="AW8" s="5">
        <v>7.5</v>
      </c>
      <c r="AX8" s="2"/>
      <c r="AY8" s="2"/>
      <c r="AZ8" s="2"/>
      <c r="BA8" s="2"/>
      <c r="BB8" s="5">
        <v>516</v>
      </c>
      <c r="BC8" s="5">
        <v>222</v>
      </c>
      <c r="BF8" s="35">
        <v>8703</v>
      </c>
      <c r="BG8" s="2" t="s">
        <v>293</v>
      </c>
      <c r="BH8" s="47">
        <v>1393</v>
      </c>
      <c r="BI8" s="5">
        <v>12.5</v>
      </c>
      <c r="BJ8" s="47">
        <v>1261</v>
      </c>
      <c r="BK8" s="5">
        <v>132</v>
      </c>
      <c r="BL8" s="2"/>
      <c r="BM8" s="2"/>
      <c r="BN8" s="2"/>
      <c r="BO8" s="5">
        <v>0</v>
      </c>
      <c r="BR8" s="21">
        <v>2203</v>
      </c>
      <c r="BS8" s="3" t="s">
        <v>430</v>
      </c>
      <c r="BT8" s="53">
        <v>1302</v>
      </c>
      <c r="BU8" s="22">
        <v>16.600000000000001</v>
      </c>
      <c r="BV8" s="22">
        <v>704</v>
      </c>
      <c r="BW8" s="3"/>
      <c r="BX8" s="22">
        <v>352</v>
      </c>
      <c r="BY8" s="22">
        <v>213</v>
      </c>
      <c r="BZ8" s="3"/>
      <c r="CA8" s="22">
        <v>33</v>
      </c>
      <c r="CB8" s="91"/>
    </row>
    <row r="9" spans="1:80" ht="12.95" customHeight="1">
      <c r="A9" s="2" t="s">
        <v>511</v>
      </c>
      <c r="B9" s="2"/>
      <c r="C9" s="2"/>
      <c r="D9" s="2"/>
      <c r="E9" s="2"/>
      <c r="F9" s="2"/>
      <c r="G9" s="2"/>
      <c r="J9" s="65" t="s">
        <v>339</v>
      </c>
      <c r="K9" s="2" t="s">
        <v>247</v>
      </c>
      <c r="L9" s="5">
        <v>55</v>
      </c>
      <c r="M9" s="5">
        <v>20</v>
      </c>
      <c r="N9" s="5">
        <v>12</v>
      </c>
      <c r="O9" s="5">
        <v>11</v>
      </c>
      <c r="P9" s="5">
        <v>12</v>
      </c>
      <c r="Q9" s="5"/>
      <c r="S9" s="65" t="s">
        <v>339</v>
      </c>
      <c r="T9" s="2" t="s">
        <v>247</v>
      </c>
      <c r="U9" s="5">
        <v>53</v>
      </c>
      <c r="V9" s="5">
        <v>16</v>
      </c>
      <c r="W9" s="5" t="s">
        <v>546</v>
      </c>
      <c r="X9" s="5">
        <v>37</v>
      </c>
      <c r="Y9" s="5" t="s">
        <v>546</v>
      </c>
      <c r="Z9" s="5"/>
      <c r="AB9" s="56" t="s">
        <v>339</v>
      </c>
      <c r="AC9" s="2" t="s">
        <v>247</v>
      </c>
      <c r="AD9" s="5">
        <v>126</v>
      </c>
      <c r="AE9" s="5">
        <v>43</v>
      </c>
      <c r="AF9" s="5">
        <v>28</v>
      </c>
      <c r="AG9" s="5">
        <v>42</v>
      </c>
      <c r="AH9" s="5">
        <v>13</v>
      </c>
      <c r="AK9" s="79" t="s">
        <v>339</v>
      </c>
      <c r="AL9" s="72" t="s">
        <v>247</v>
      </c>
      <c r="AM9" s="76">
        <v>56</v>
      </c>
      <c r="AN9" s="76">
        <v>9</v>
      </c>
      <c r="AO9" s="76">
        <v>44</v>
      </c>
      <c r="AP9" s="76">
        <v>3</v>
      </c>
      <c r="AQ9" s="141"/>
      <c r="AR9" s="134"/>
      <c r="AT9" s="35">
        <v>2202</v>
      </c>
      <c r="AU9" s="2" t="s">
        <v>849</v>
      </c>
      <c r="AV9" s="5">
        <v>673</v>
      </c>
      <c r="AW9" s="5">
        <v>6.9</v>
      </c>
      <c r="AX9" s="5">
        <v>163</v>
      </c>
      <c r="AY9" s="2"/>
      <c r="AZ9" s="5">
        <v>168</v>
      </c>
      <c r="BA9" s="5">
        <v>342</v>
      </c>
      <c r="BB9" s="2"/>
      <c r="BC9" s="2"/>
      <c r="BF9" s="35">
        <v>7200</v>
      </c>
      <c r="BG9" s="2" t="s">
        <v>309</v>
      </c>
      <c r="BH9" s="47">
        <v>1097</v>
      </c>
      <c r="BI9" s="5">
        <v>9.9</v>
      </c>
      <c r="BJ9" s="5">
        <v>36</v>
      </c>
      <c r="BK9" s="5">
        <v>52</v>
      </c>
      <c r="BL9" s="2"/>
      <c r="BM9" s="5">
        <v>158</v>
      </c>
      <c r="BN9" s="5">
        <v>812</v>
      </c>
      <c r="BO9" s="5">
        <v>40</v>
      </c>
      <c r="BR9" s="21">
        <v>8703</v>
      </c>
      <c r="BS9" s="3" t="s">
        <v>654</v>
      </c>
      <c r="BT9" s="22">
        <v>945</v>
      </c>
      <c r="BU9" s="22">
        <v>12.1</v>
      </c>
      <c r="BV9" s="22">
        <v>637</v>
      </c>
      <c r="BW9" s="3"/>
      <c r="BX9" s="3"/>
      <c r="BY9" s="22">
        <v>302</v>
      </c>
      <c r="BZ9" s="3"/>
      <c r="CA9" s="22">
        <v>6</v>
      </c>
      <c r="CB9" s="91"/>
    </row>
    <row r="10" spans="1:80" ht="12.95" customHeight="1">
      <c r="A10" s="2" t="s">
        <v>485</v>
      </c>
      <c r="B10" s="2"/>
      <c r="C10" s="2"/>
      <c r="D10" s="2"/>
      <c r="E10" s="5">
        <v>8</v>
      </c>
      <c r="F10" s="2"/>
      <c r="G10" s="2"/>
      <c r="J10" s="65" t="s">
        <v>698</v>
      </c>
      <c r="K10" s="2" t="s">
        <v>548</v>
      </c>
      <c r="L10" s="5">
        <v>73</v>
      </c>
      <c r="M10" s="5" t="s">
        <v>546</v>
      </c>
      <c r="N10" s="5">
        <v>73</v>
      </c>
      <c r="O10" s="5" t="s">
        <v>546</v>
      </c>
      <c r="P10" s="5" t="s">
        <v>546</v>
      </c>
      <c r="Q10" s="5"/>
      <c r="S10" s="65" t="s">
        <v>342</v>
      </c>
      <c r="T10" s="2" t="s">
        <v>641</v>
      </c>
      <c r="U10" s="5">
        <v>16</v>
      </c>
      <c r="V10" s="5" t="s">
        <v>546</v>
      </c>
      <c r="W10" s="5">
        <v>8</v>
      </c>
      <c r="X10" s="5">
        <v>8</v>
      </c>
      <c r="Y10" s="5" t="s">
        <v>546</v>
      </c>
      <c r="Z10" s="5"/>
      <c r="AB10" s="56" t="s">
        <v>698</v>
      </c>
      <c r="AC10" s="2" t="s">
        <v>705</v>
      </c>
      <c r="AD10" s="5">
        <v>25</v>
      </c>
      <c r="AE10" s="5" t="s">
        <v>546</v>
      </c>
      <c r="AF10" s="5" t="s">
        <v>546</v>
      </c>
      <c r="AG10" s="5" t="s">
        <v>546</v>
      </c>
      <c r="AH10" s="5">
        <v>25</v>
      </c>
      <c r="AK10" s="79" t="s">
        <v>340</v>
      </c>
      <c r="AL10" s="72" t="s">
        <v>838</v>
      </c>
      <c r="AM10" s="77">
        <v>1294</v>
      </c>
      <c r="AN10" s="76">
        <v>608</v>
      </c>
      <c r="AO10" s="76">
        <v>402</v>
      </c>
      <c r="AP10" s="76">
        <v>284</v>
      </c>
      <c r="AQ10" s="141"/>
      <c r="AR10" s="134"/>
      <c r="AT10" s="35">
        <v>8703</v>
      </c>
      <c r="AU10" s="2" t="s">
        <v>850</v>
      </c>
      <c r="AV10" s="5">
        <v>662</v>
      </c>
      <c r="AW10" s="5">
        <v>6.8</v>
      </c>
      <c r="AX10" s="5">
        <v>608</v>
      </c>
      <c r="AY10" s="2"/>
      <c r="AZ10" s="5">
        <v>8</v>
      </c>
      <c r="BA10" s="5">
        <v>46</v>
      </c>
      <c r="BB10" s="2"/>
      <c r="BC10" s="2"/>
      <c r="BF10" s="35">
        <v>8548</v>
      </c>
      <c r="BG10" s="2" t="s">
        <v>926</v>
      </c>
      <c r="BH10" s="5">
        <v>645</v>
      </c>
      <c r="BI10" s="5">
        <v>5.8</v>
      </c>
      <c r="BJ10" s="5">
        <v>45</v>
      </c>
      <c r="BK10" s="5">
        <v>176</v>
      </c>
      <c r="BL10" s="5">
        <v>26</v>
      </c>
      <c r="BM10" s="2"/>
      <c r="BN10" s="2"/>
      <c r="BO10" s="5">
        <v>398</v>
      </c>
      <c r="BR10" s="21">
        <v>302</v>
      </c>
      <c r="BS10" s="3" t="s">
        <v>435</v>
      </c>
      <c r="BT10" s="22">
        <v>607</v>
      </c>
      <c r="BU10" s="22">
        <v>7.7</v>
      </c>
      <c r="BV10" s="22">
        <v>30</v>
      </c>
      <c r="BW10" s="22">
        <v>577</v>
      </c>
      <c r="BX10" s="3"/>
      <c r="BY10" s="3"/>
      <c r="BZ10" s="3"/>
      <c r="CA10" s="3"/>
      <c r="CB10" s="91"/>
    </row>
    <row r="11" spans="1:80" ht="12.95" customHeight="1">
      <c r="A11" s="2" t="s">
        <v>398</v>
      </c>
      <c r="B11" s="5">
        <v>167</v>
      </c>
      <c r="C11" s="5">
        <v>307</v>
      </c>
      <c r="D11" s="5">
        <v>80</v>
      </c>
      <c r="E11" s="5">
        <v>186</v>
      </c>
      <c r="F11" s="2"/>
      <c r="G11" s="5">
        <v>96</v>
      </c>
      <c r="J11" s="65" t="s">
        <v>340</v>
      </c>
      <c r="K11" s="2" t="s">
        <v>549</v>
      </c>
      <c r="L11" s="5">
        <v>33</v>
      </c>
      <c r="M11" s="5">
        <v>11</v>
      </c>
      <c r="N11" s="5">
        <v>15</v>
      </c>
      <c r="O11" s="5">
        <v>7</v>
      </c>
      <c r="P11" s="5" t="s">
        <v>546</v>
      </c>
      <c r="Q11" s="5"/>
      <c r="S11" s="65" t="s">
        <v>343</v>
      </c>
      <c r="T11" s="2" t="s">
        <v>642</v>
      </c>
      <c r="U11" s="5">
        <v>49</v>
      </c>
      <c r="V11" s="5">
        <v>43</v>
      </c>
      <c r="W11" s="5">
        <v>6</v>
      </c>
      <c r="X11" s="5" t="s">
        <v>546</v>
      </c>
      <c r="Y11" s="5" t="s">
        <v>546</v>
      </c>
      <c r="Z11" s="5"/>
      <c r="AB11" s="56" t="s">
        <v>340</v>
      </c>
      <c r="AC11" s="2" t="s">
        <v>435</v>
      </c>
      <c r="AD11" s="5">
        <v>109</v>
      </c>
      <c r="AE11" s="5">
        <v>66</v>
      </c>
      <c r="AF11" s="5" t="s">
        <v>546</v>
      </c>
      <c r="AG11" s="5">
        <v>43</v>
      </c>
      <c r="AH11" s="5" t="s">
        <v>546</v>
      </c>
      <c r="AK11" s="79" t="s">
        <v>342</v>
      </c>
      <c r="AL11" s="72" t="s">
        <v>250</v>
      </c>
      <c r="AM11" s="76">
        <v>54</v>
      </c>
      <c r="AN11" s="76" t="s">
        <v>546</v>
      </c>
      <c r="AO11" s="76">
        <v>24</v>
      </c>
      <c r="AP11" s="76">
        <v>30</v>
      </c>
      <c r="AQ11" s="141"/>
      <c r="AR11" s="134"/>
      <c r="AT11" s="35">
        <v>3304</v>
      </c>
      <c r="AU11" s="2" t="s">
        <v>220</v>
      </c>
      <c r="AV11" s="5">
        <v>446</v>
      </c>
      <c r="AW11" s="5">
        <v>4.5</v>
      </c>
      <c r="AX11" s="5">
        <v>9</v>
      </c>
      <c r="AY11" s="2"/>
      <c r="AZ11" s="2"/>
      <c r="BA11" s="2"/>
      <c r="BB11" s="2"/>
      <c r="BC11" s="5">
        <v>437</v>
      </c>
      <c r="BF11" s="35">
        <v>8708</v>
      </c>
      <c r="BG11" s="2" t="s">
        <v>295</v>
      </c>
      <c r="BH11" s="5">
        <v>584</v>
      </c>
      <c r="BI11" s="5">
        <v>5.3</v>
      </c>
      <c r="BJ11" s="5">
        <v>79</v>
      </c>
      <c r="BK11" s="5">
        <v>95</v>
      </c>
      <c r="BL11" s="5">
        <v>95</v>
      </c>
      <c r="BM11" s="5">
        <v>316</v>
      </c>
      <c r="BN11" s="2"/>
      <c r="BO11" s="5">
        <v>0</v>
      </c>
      <c r="BR11" s="21">
        <v>4202</v>
      </c>
      <c r="BS11" s="3" t="s">
        <v>748</v>
      </c>
      <c r="BT11" s="22">
        <v>502</v>
      </c>
      <c r="BU11" s="22">
        <v>6.4</v>
      </c>
      <c r="BV11" s="3"/>
      <c r="BW11" s="22">
        <v>502</v>
      </c>
      <c r="BX11" s="3"/>
      <c r="BY11" s="3"/>
      <c r="BZ11" s="3"/>
      <c r="CA11" s="3"/>
      <c r="CB11" s="91"/>
    </row>
    <row r="12" spans="1:80" ht="12.95" customHeight="1">
      <c r="A12" s="2" t="s">
        <v>512</v>
      </c>
      <c r="B12" s="2"/>
      <c r="C12" s="2"/>
      <c r="D12" s="2"/>
      <c r="E12" s="2"/>
      <c r="F12" s="2"/>
      <c r="G12" s="2"/>
      <c r="J12" s="65" t="s">
        <v>342</v>
      </c>
      <c r="K12" s="2" t="s">
        <v>143</v>
      </c>
      <c r="L12" s="5">
        <v>29</v>
      </c>
      <c r="M12" s="5">
        <v>7</v>
      </c>
      <c r="N12" s="5">
        <v>6</v>
      </c>
      <c r="O12" s="5">
        <v>16</v>
      </c>
      <c r="P12" s="5" t="s">
        <v>546</v>
      </c>
      <c r="Q12" s="5"/>
      <c r="S12" s="65" t="s">
        <v>344</v>
      </c>
      <c r="T12" s="2" t="s">
        <v>643</v>
      </c>
      <c r="U12" s="5">
        <v>35</v>
      </c>
      <c r="V12" s="5">
        <v>7</v>
      </c>
      <c r="W12" s="5" t="s">
        <v>546</v>
      </c>
      <c r="X12" s="5">
        <v>5</v>
      </c>
      <c r="Y12" s="5">
        <v>23</v>
      </c>
      <c r="Z12" s="5"/>
      <c r="AB12" s="56" t="s">
        <v>344</v>
      </c>
      <c r="AC12" s="2" t="s">
        <v>706</v>
      </c>
      <c r="AD12" s="5">
        <v>31</v>
      </c>
      <c r="AE12" s="5">
        <v>6</v>
      </c>
      <c r="AF12" s="5" t="s">
        <v>546</v>
      </c>
      <c r="AG12" s="5" t="s">
        <v>546</v>
      </c>
      <c r="AH12" s="5">
        <v>25</v>
      </c>
      <c r="AK12" s="79" t="s">
        <v>343</v>
      </c>
      <c r="AL12" s="72" t="s">
        <v>726</v>
      </c>
      <c r="AM12" s="76">
        <v>8</v>
      </c>
      <c r="AN12" s="76" t="s">
        <v>546</v>
      </c>
      <c r="AO12" s="76">
        <v>8</v>
      </c>
      <c r="AP12" s="76" t="s">
        <v>546</v>
      </c>
      <c r="AQ12" s="141"/>
      <c r="AR12" s="134"/>
      <c r="AT12" s="35">
        <v>8300</v>
      </c>
      <c r="AU12" s="2" t="s">
        <v>212</v>
      </c>
      <c r="AV12" s="5">
        <v>384</v>
      </c>
      <c r="AW12" s="5">
        <v>3.9</v>
      </c>
      <c r="AX12" s="5">
        <v>140</v>
      </c>
      <c r="AY12" s="2"/>
      <c r="AZ12" s="5">
        <v>149</v>
      </c>
      <c r="BA12" s="5">
        <v>31</v>
      </c>
      <c r="BB12" s="2"/>
      <c r="BC12" s="5">
        <v>64</v>
      </c>
      <c r="BF12" s="35">
        <v>8300</v>
      </c>
      <c r="BG12" s="2" t="s">
        <v>675</v>
      </c>
      <c r="BH12" s="5">
        <v>541</v>
      </c>
      <c r="BI12" s="5">
        <v>4.9000000000000004</v>
      </c>
      <c r="BJ12" s="5">
        <v>441</v>
      </c>
      <c r="BK12" s="2"/>
      <c r="BL12" s="5">
        <v>5</v>
      </c>
      <c r="BM12" s="5">
        <v>51</v>
      </c>
      <c r="BN12" s="2"/>
      <c r="BO12" s="5">
        <v>44</v>
      </c>
      <c r="BR12" s="21">
        <v>7200</v>
      </c>
      <c r="BS12" s="3" t="s">
        <v>309</v>
      </c>
      <c r="BT12" s="22">
        <v>353</v>
      </c>
      <c r="BU12" s="22">
        <v>4.5</v>
      </c>
      <c r="BV12" s="22">
        <v>22</v>
      </c>
      <c r="BW12" s="3"/>
      <c r="BX12" s="3"/>
      <c r="BY12" s="3"/>
      <c r="BZ12" s="3"/>
      <c r="CA12" s="22">
        <v>331</v>
      </c>
      <c r="CB12" s="91"/>
    </row>
    <row r="13" spans="1:80" ht="12.95" customHeight="1">
      <c r="A13" s="2" t="s">
        <v>513</v>
      </c>
      <c r="B13" s="2"/>
      <c r="C13" s="2"/>
      <c r="D13" s="2"/>
      <c r="E13" s="2"/>
      <c r="F13" s="2"/>
      <c r="G13" s="2"/>
      <c r="J13" s="65" t="s">
        <v>343</v>
      </c>
      <c r="K13" s="2" t="s">
        <v>550</v>
      </c>
      <c r="L13" s="5">
        <v>52</v>
      </c>
      <c r="M13" s="5" t="s">
        <v>546</v>
      </c>
      <c r="N13" s="5">
        <v>11</v>
      </c>
      <c r="O13" s="5">
        <v>6</v>
      </c>
      <c r="P13" s="5">
        <v>35</v>
      </c>
      <c r="Q13" s="5"/>
      <c r="S13" s="65" t="s">
        <v>699</v>
      </c>
      <c r="T13" s="2" t="s">
        <v>644</v>
      </c>
      <c r="U13" s="5">
        <v>6</v>
      </c>
      <c r="V13" s="5">
        <v>6</v>
      </c>
      <c r="W13" s="5" t="s">
        <v>546</v>
      </c>
      <c r="X13" s="5" t="s">
        <v>546</v>
      </c>
      <c r="Y13" s="5" t="s">
        <v>546</v>
      </c>
      <c r="Z13" s="5"/>
      <c r="AB13" s="56" t="s">
        <v>347</v>
      </c>
      <c r="AC13" s="2" t="s">
        <v>645</v>
      </c>
      <c r="AD13" s="5">
        <v>163</v>
      </c>
      <c r="AE13" s="5">
        <v>41</v>
      </c>
      <c r="AF13" s="5">
        <v>39</v>
      </c>
      <c r="AG13" s="5">
        <v>57</v>
      </c>
      <c r="AH13" s="5">
        <v>26</v>
      </c>
      <c r="AK13" s="79" t="s">
        <v>344</v>
      </c>
      <c r="AL13" s="72" t="s">
        <v>727</v>
      </c>
      <c r="AM13" s="76">
        <v>4</v>
      </c>
      <c r="AN13" s="76">
        <v>4</v>
      </c>
      <c r="AO13" s="76" t="s">
        <v>546</v>
      </c>
      <c r="AP13" s="76" t="s">
        <v>546</v>
      </c>
      <c r="AQ13" s="141"/>
      <c r="AR13" s="134"/>
      <c r="AT13" s="35">
        <v>4202</v>
      </c>
      <c r="AU13" s="2" t="s">
        <v>851</v>
      </c>
      <c r="AV13" s="5">
        <v>345</v>
      </c>
      <c r="AW13" s="5">
        <v>3.5</v>
      </c>
      <c r="AX13" s="2"/>
      <c r="AY13" s="2"/>
      <c r="AZ13" s="2"/>
      <c r="BA13" s="2"/>
      <c r="BB13" s="2"/>
      <c r="BC13" s="5">
        <v>345</v>
      </c>
      <c r="BF13" s="35">
        <v>4206</v>
      </c>
      <c r="BG13" s="2" t="s">
        <v>289</v>
      </c>
      <c r="BH13" s="5">
        <v>283</v>
      </c>
      <c r="BI13" s="5">
        <v>2.5</v>
      </c>
      <c r="BJ13" s="5">
        <v>37</v>
      </c>
      <c r="BK13" s="5">
        <v>9</v>
      </c>
      <c r="BL13" s="5">
        <v>10</v>
      </c>
      <c r="BM13" s="2"/>
      <c r="BN13" s="2"/>
      <c r="BO13" s="5">
        <v>226</v>
      </c>
      <c r="BR13" s="21">
        <v>7308</v>
      </c>
      <c r="BS13" s="3" t="s">
        <v>603</v>
      </c>
      <c r="BT13" s="22">
        <v>255</v>
      </c>
      <c r="BU13" s="22">
        <v>3.3</v>
      </c>
      <c r="BV13" s="3"/>
      <c r="BW13" s="3"/>
      <c r="BX13" s="3"/>
      <c r="BY13" s="22">
        <v>12</v>
      </c>
      <c r="BZ13" s="3"/>
      <c r="CA13" s="22">
        <v>243</v>
      </c>
      <c r="CB13" s="91"/>
    </row>
    <row r="14" spans="1:80" ht="12.95" customHeight="1">
      <c r="A14" s="3" t="s">
        <v>514</v>
      </c>
      <c r="B14" s="47">
        <v>18765</v>
      </c>
      <c r="C14" s="47">
        <v>20485</v>
      </c>
      <c r="D14" s="47">
        <v>21352</v>
      </c>
      <c r="E14" s="53">
        <v>21836</v>
      </c>
      <c r="F14" s="53">
        <v>14434</v>
      </c>
      <c r="G14" s="53">
        <v>14427</v>
      </c>
      <c r="J14" s="65" t="s">
        <v>344</v>
      </c>
      <c r="K14" s="2" t="s">
        <v>551</v>
      </c>
      <c r="L14" s="5">
        <v>19</v>
      </c>
      <c r="M14" s="5">
        <v>10</v>
      </c>
      <c r="N14" s="5">
        <v>9</v>
      </c>
      <c r="O14" s="5" t="s">
        <v>546</v>
      </c>
      <c r="P14" s="5" t="s">
        <v>546</v>
      </c>
      <c r="Q14" s="5"/>
      <c r="S14" s="65" t="s">
        <v>346</v>
      </c>
      <c r="T14" s="2" t="s">
        <v>254</v>
      </c>
      <c r="U14" s="5">
        <v>15</v>
      </c>
      <c r="V14" s="5" t="s">
        <v>546</v>
      </c>
      <c r="W14" s="5">
        <v>12</v>
      </c>
      <c r="X14" s="5" t="s">
        <v>546</v>
      </c>
      <c r="Y14" s="5">
        <v>3</v>
      </c>
      <c r="Z14" s="5"/>
      <c r="AB14" s="56" t="s">
        <v>348</v>
      </c>
      <c r="AC14" s="2" t="s">
        <v>256</v>
      </c>
      <c r="AD14" s="5">
        <v>33</v>
      </c>
      <c r="AE14" s="5">
        <v>3</v>
      </c>
      <c r="AF14" s="5">
        <v>18</v>
      </c>
      <c r="AG14" s="5">
        <v>9</v>
      </c>
      <c r="AH14" s="5">
        <v>3</v>
      </c>
      <c r="AK14" s="79" t="s">
        <v>699</v>
      </c>
      <c r="AL14" s="72" t="s">
        <v>778</v>
      </c>
      <c r="AM14" s="76">
        <v>5</v>
      </c>
      <c r="AN14" s="76" t="s">
        <v>546</v>
      </c>
      <c r="AO14" s="76">
        <v>5</v>
      </c>
      <c r="AP14" s="76" t="s">
        <v>546</v>
      </c>
      <c r="AQ14" s="141"/>
      <c r="AR14" s="134"/>
      <c r="AT14" s="35">
        <v>9101</v>
      </c>
      <c r="AU14" s="2" t="s">
        <v>234</v>
      </c>
      <c r="AV14" s="5">
        <v>341</v>
      </c>
      <c r="AW14" s="5">
        <v>3.5</v>
      </c>
      <c r="AX14" s="2"/>
      <c r="AY14" s="2"/>
      <c r="AZ14" s="2"/>
      <c r="BA14" s="2"/>
      <c r="BB14" s="2"/>
      <c r="BC14" s="5">
        <v>341</v>
      </c>
      <c r="BF14" s="35">
        <v>7616</v>
      </c>
      <c r="BG14" s="2" t="s">
        <v>311</v>
      </c>
      <c r="BH14" s="5">
        <v>251</v>
      </c>
      <c r="BI14" s="5">
        <v>2.2999999999999998</v>
      </c>
      <c r="BJ14" s="5">
        <v>14</v>
      </c>
      <c r="BK14" s="2"/>
      <c r="BL14" s="2"/>
      <c r="BM14" s="5">
        <v>30</v>
      </c>
      <c r="BN14" s="2"/>
      <c r="BO14" s="5">
        <v>207</v>
      </c>
      <c r="BR14" s="21">
        <v>8548</v>
      </c>
      <c r="BS14" s="3" t="s">
        <v>987</v>
      </c>
      <c r="BT14" s="22">
        <v>222</v>
      </c>
      <c r="BU14" s="22">
        <v>2.8</v>
      </c>
      <c r="BV14" s="22">
        <v>127</v>
      </c>
      <c r="BW14" s="3"/>
      <c r="BX14" s="22">
        <v>8</v>
      </c>
      <c r="BY14" s="22">
        <v>72</v>
      </c>
      <c r="BZ14" s="3"/>
      <c r="CA14" s="22">
        <v>15</v>
      </c>
      <c r="CB14" s="91"/>
    </row>
    <row r="15" spans="1:80" ht="12.95" customHeight="1">
      <c r="A15" s="2" t="s">
        <v>515</v>
      </c>
      <c r="B15" s="2"/>
      <c r="C15" s="2"/>
      <c r="D15" s="2"/>
      <c r="E15" s="2"/>
      <c r="F15" s="2"/>
      <c r="G15" s="2"/>
      <c r="J15" s="65" t="s">
        <v>699</v>
      </c>
      <c r="K15" s="2" t="s">
        <v>552</v>
      </c>
      <c r="L15" s="5">
        <v>74</v>
      </c>
      <c r="M15" s="5">
        <v>19</v>
      </c>
      <c r="N15" s="5">
        <v>18</v>
      </c>
      <c r="O15" s="5">
        <v>37</v>
      </c>
      <c r="P15" s="5" t="s">
        <v>546</v>
      </c>
      <c r="Q15" s="5"/>
      <c r="S15" s="65" t="s">
        <v>347</v>
      </c>
      <c r="T15" s="2" t="s">
        <v>645</v>
      </c>
      <c r="U15" s="5">
        <v>72</v>
      </c>
      <c r="V15" s="5">
        <v>7</v>
      </c>
      <c r="W15" s="5">
        <v>18</v>
      </c>
      <c r="X15" s="5">
        <v>17</v>
      </c>
      <c r="Y15" s="5">
        <v>30</v>
      </c>
      <c r="Z15" s="5"/>
      <c r="AB15" s="56" t="s">
        <v>700</v>
      </c>
      <c r="AC15" s="2" t="s">
        <v>646</v>
      </c>
      <c r="AD15" s="5">
        <v>7</v>
      </c>
      <c r="AE15" s="5" t="s">
        <v>546</v>
      </c>
      <c r="AF15" s="5" t="s">
        <v>546</v>
      </c>
      <c r="AG15" s="5" t="s">
        <v>546</v>
      </c>
      <c r="AH15" s="5">
        <v>7</v>
      </c>
      <c r="AK15" s="79" t="s">
        <v>346</v>
      </c>
      <c r="AL15" s="72" t="s">
        <v>779</v>
      </c>
      <c r="AM15" s="76">
        <v>5</v>
      </c>
      <c r="AN15" s="76" t="s">
        <v>546</v>
      </c>
      <c r="AO15" s="76">
        <v>5</v>
      </c>
      <c r="AP15" s="76" t="s">
        <v>546</v>
      </c>
      <c r="AQ15" s="141"/>
      <c r="AR15" s="134"/>
      <c r="AT15" s="35">
        <v>8704</v>
      </c>
      <c r="AU15" s="2" t="s">
        <v>193</v>
      </c>
      <c r="AV15" s="5">
        <v>234</v>
      </c>
      <c r="AW15" s="5">
        <v>2.4</v>
      </c>
      <c r="AX15" s="5">
        <v>24</v>
      </c>
      <c r="AY15" s="2"/>
      <c r="AZ15" s="2"/>
      <c r="BA15" s="5">
        <v>210</v>
      </c>
      <c r="BB15" s="2"/>
      <c r="BC15" s="2"/>
      <c r="BF15" s="35">
        <v>2710</v>
      </c>
      <c r="BG15" s="2" t="s">
        <v>618</v>
      </c>
      <c r="BH15" s="5">
        <v>248</v>
      </c>
      <c r="BI15" s="5">
        <v>2.2000000000000002</v>
      </c>
      <c r="BJ15" s="5">
        <v>91</v>
      </c>
      <c r="BK15" s="2"/>
      <c r="BL15" s="5">
        <v>157</v>
      </c>
      <c r="BM15" s="2"/>
      <c r="BN15" s="2"/>
      <c r="BO15" s="5">
        <v>0</v>
      </c>
      <c r="BR15" s="21">
        <v>4011</v>
      </c>
      <c r="BS15" s="3" t="s">
        <v>567</v>
      </c>
      <c r="BT15" s="22">
        <v>194</v>
      </c>
      <c r="BU15" s="22">
        <v>2.5</v>
      </c>
      <c r="BV15" s="3"/>
      <c r="BW15" s="22">
        <v>186</v>
      </c>
      <c r="BX15" s="22">
        <v>8</v>
      </c>
      <c r="BY15" s="3"/>
      <c r="BZ15" s="3"/>
      <c r="CA15" s="3"/>
      <c r="CB15" s="91"/>
    </row>
    <row r="16" spans="1:80" ht="12.95" customHeight="1">
      <c r="A16" s="2" t="s">
        <v>516</v>
      </c>
      <c r="B16" s="2"/>
      <c r="C16" s="2"/>
      <c r="D16" s="2"/>
      <c r="E16" s="2"/>
      <c r="F16" s="2"/>
      <c r="G16" s="2"/>
      <c r="J16" s="65" t="s">
        <v>346</v>
      </c>
      <c r="K16" s="2" t="s">
        <v>553</v>
      </c>
      <c r="L16" s="5">
        <v>3</v>
      </c>
      <c r="M16" s="5" t="s">
        <v>546</v>
      </c>
      <c r="N16" s="5" t="s">
        <v>546</v>
      </c>
      <c r="O16" s="5">
        <v>3</v>
      </c>
      <c r="P16" s="5" t="s">
        <v>546</v>
      </c>
      <c r="Q16" s="5"/>
      <c r="S16" s="65" t="s">
        <v>348</v>
      </c>
      <c r="T16" s="2" t="s">
        <v>256</v>
      </c>
      <c r="U16" s="5">
        <v>20</v>
      </c>
      <c r="V16" s="5" t="s">
        <v>546</v>
      </c>
      <c r="W16" s="5">
        <v>10</v>
      </c>
      <c r="X16" s="5" t="s">
        <v>546</v>
      </c>
      <c r="Y16" s="5">
        <v>10</v>
      </c>
      <c r="Z16" s="5"/>
      <c r="AB16" s="56" t="s">
        <v>701</v>
      </c>
      <c r="AC16" s="2" t="s">
        <v>556</v>
      </c>
      <c r="AD16" s="5">
        <v>38</v>
      </c>
      <c r="AE16" s="5" t="s">
        <v>546</v>
      </c>
      <c r="AF16" s="5" t="s">
        <v>546</v>
      </c>
      <c r="AG16" s="5">
        <v>8</v>
      </c>
      <c r="AH16" s="5">
        <v>30</v>
      </c>
      <c r="AK16" s="79" t="s">
        <v>347</v>
      </c>
      <c r="AL16" s="72" t="s">
        <v>780</v>
      </c>
      <c r="AM16" s="76">
        <v>27</v>
      </c>
      <c r="AN16" s="76">
        <v>9</v>
      </c>
      <c r="AO16" s="76">
        <v>18</v>
      </c>
      <c r="AP16" s="76" t="s">
        <v>546</v>
      </c>
      <c r="AQ16" s="141"/>
      <c r="AR16" s="134"/>
      <c r="AT16" s="35">
        <v>2208</v>
      </c>
      <c r="AU16" s="2" t="s">
        <v>180</v>
      </c>
      <c r="AV16" s="5">
        <v>210</v>
      </c>
      <c r="AW16" s="5">
        <v>2.1</v>
      </c>
      <c r="AX16" s="5">
        <v>79</v>
      </c>
      <c r="AY16" s="2"/>
      <c r="AZ16" s="5">
        <v>92</v>
      </c>
      <c r="BA16" s="5">
        <v>39</v>
      </c>
      <c r="BB16" s="2"/>
      <c r="BC16" s="2"/>
      <c r="BF16" s="35">
        <v>2208</v>
      </c>
      <c r="BG16" s="2" t="s">
        <v>918</v>
      </c>
      <c r="BH16" s="5">
        <v>217</v>
      </c>
      <c r="BI16" s="88">
        <v>2</v>
      </c>
      <c r="BJ16" s="5">
        <v>67</v>
      </c>
      <c r="BK16" s="5">
        <v>44</v>
      </c>
      <c r="BL16" s="5">
        <v>105</v>
      </c>
      <c r="BM16" s="2"/>
      <c r="BN16" s="2"/>
      <c r="BO16" s="5">
        <v>0</v>
      </c>
      <c r="BR16" s="21">
        <v>2208</v>
      </c>
      <c r="BS16" s="3" t="s">
        <v>282</v>
      </c>
      <c r="BT16" s="22">
        <v>182</v>
      </c>
      <c r="BU16" s="22">
        <v>2.2999999999999998</v>
      </c>
      <c r="BV16" s="22">
        <v>112</v>
      </c>
      <c r="BW16" s="3"/>
      <c r="BX16" s="3"/>
      <c r="BY16" s="22">
        <v>70</v>
      </c>
      <c r="BZ16" s="3"/>
      <c r="CA16" s="3"/>
      <c r="CB16" s="91"/>
    </row>
    <row r="17" spans="1:80" ht="12.95" customHeight="1">
      <c r="A17" s="2" t="s">
        <v>441</v>
      </c>
      <c r="B17" s="2"/>
      <c r="C17" s="2"/>
      <c r="D17" s="2"/>
      <c r="E17" s="2"/>
      <c r="F17" s="5">
        <v>11</v>
      </c>
      <c r="G17" s="2"/>
      <c r="J17" s="65" t="s">
        <v>347</v>
      </c>
      <c r="K17" s="2" t="s">
        <v>554</v>
      </c>
      <c r="L17" s="5">
        <v>158</v>
      </c>
      <c r="M17" s="5">
        <v>34</v>
      </c>
      <c r="N17" s="5">
        <v>37</v>
      </c>
      <c r="O17" s="5">
        <v>31</v>
      </c>
      <c r="P17" s="5">
        <v>56</v>
      </c>
      <c r="Q17" s="5"/>
      <c r="S17" s="65" t="s">
        <v>700</v>
      </c>
      <c r="T17" s="2" t="s">
        <v>646</v>
      </c>
      <c r="U17" s="5">
        <v>5</v>
      </c>
      <c r="V17" s="5">
        <v>5</v>
      </c>
      <c r="W17" s="5" t="s">
        <v>546</v>
      </c>
      <c r="X17" s="5" t="s">
        <v>546</v>
      </c>
      <c r="Y17" s="5" t="s">
        <v>546</v>
      </c>
      <c r="Z17" s="5"/>
      <c r="AB17" s="21">
        <v>1006</v>
      </c>
      <c r="AC17" s="2" t="s">
        <v>151</v>
      </c>
      <c r="AD17" s="5">
        <v>54</v>
      </c>
      <c r="AE17" s="5" t="s">
        <v>546</v>
      </c>
      <c r="AF17" s="5">
        <v>24</v>
      </c>
      <c r="AG17" s="5">
        <v>8</v>
      </c>
      <c r="AH17" s="5">
        <v>22</v>
      </c>
      <c r="AK17" s="79" t="s">
        <v>700</v>
      </c>
      <c r="AL17" s="72" t="s">
        <v>646</v>
      </c>
      <c r="AM17" s="76">
        <v>5</v>
      </c>
      <c r="AN17" s="76">
        <v>5</v>
      </c>
      <c r="AO17" s="76" t="s">
        <v>546</v>
      </c>
      <c r="AP17" s="72"/>
      <c r="AQ17" s="141"/>
      <c r="AR17" s="134"/>
      <c r="AT17" s="35">
        <v>9033</v>
      </c>
      <c r="AU17" s="2" t="s">
        <v>632</v>
      </c>
      <c r="AV17" s="5">
        <v>208</v>
      </c>
      <c r="AW17" s="5">
        <v>2.1</v>
      </c>
      <c r="AX17" s="5">
        <v>4</v>
      </c>
      <c r="AY17" s="2"/>
      <c r="AZ17" s="5">
        <v>103</v>
      </c>
      <c r="BA17" s="5">
        <v>101</v>
      </c>
      <c r="BB17" s="2"/>
      <c r="BC17" s="2"/>
      <c r="BF17" s="65" t="s">
        <v>337</v>
      </c>
      <c r="BG17" s="2" t="s">
        <v>245</v>
      </c>
      <c r="BH17" s="5">
        <v>140</v>
      </c>
      <c r="BI17" s="5">
        <v>1.3</v>
      </c>
      <c r="BJ17" s="5">
        <v>140</v>
      </c>
      <c r="BK17" s="2"/>
      <c r="BL17" s="2"/>
      <c r="BM17" s="2"/>
      <c r="BN17" s="2"/>
      <c r="BO17" s="5">
        <v>0</v>
      </c>
      <c r="BR17" s="21">
        <v>2202</v>
      </c>
      <c r="BS17" s="3" t="s">
        <v>889</v>
      </c>
      <c r="BT17" s="22">
        <v>83</v>
      </c>
      <c r="BU17" s="22">
        <v>1.1000000000000001</v>
      </c>
      <c r="BV17" s="22">
        <v>76</v>
      </c>
      <c r="BW17" s="3"/>
      <c r="BX17" s="22">
        <v>4</v>
      </c>
      <c r="BY17" s="3"/>
      <c r="BZ17" s="3"/>
      <c r="CA17" s="22">
        <v>3</v>
      </c>
      <c r="CB17" s="91"/>
    </row>
    <row r="18" spans="1:80" ht="12.95" customHeight="1">
      <c r="A18" s="3" t="s">
        <v>476</v>
      </c>
      <c r="B18" s="2"/>
      <c r="C18" s="2"/>
      <c r="D18" s="2"/>
      <c r="E18" s="3"/>
      <c r="F18" s="22">
        <v>11</v>
      </c>
      <c r="G18" s="3"/>
      <c r="J18" s="128" t="s">
        <v>700</v>
      </c>
      <c r="K18" s="2" t="s">
        <v>555</v>
      </c>
      <c r="L18" s="5">
        <v>115</v>
      </c>
      <c r="M18" s="5">
        <v>66</v>
      </c>
      <c r="N18" s="5">
        <v>44</v>
      </c>
      <c r="O18" s="5">
        <v>5</v>
      </c>
      <c r="P18" s="5" t="s">
        <v>546</v>
      </c>
      <c r="Q18" s="5"/>
      <c r="S18" s="65" t="s">
        <v>701</v>
      </c>
      <c r="T18" s="2" t="s">
        <v>556</v>
      </c>
      <c r="U18" s="5">
        <v>23</v>
      </c>
      <c r="V18" s="5" t="s">
        <v>546</v>
      </c>
      <c r="W18" s="5">
        <v>23</v>
      </c>
      <c r="X18" s="5" t="s">
        <v>546</v>
      </c>
      <c r="Y18" s="5" t="s">
        <v>546</v>
      </c>
      <c r="Z18" s="5"/>
      <c r="AB18" s="21">
        <v>1101</v>
      </c>
      <c r="AC18" s="2" t="s">
        <v>258</v>
      </c>
      <c r="AD18" s="5">
        <v>59</v>
      </c>
      <c r="AE18" s="5">
        <v>44</v>
      </c>
      <c r="AF18" s="5" t="s">
        <v>546</v>
      </c>
      <c r="AG18" s="5">
        <v>15</v>
      </c>
      <c r="AH18" s="5" t="s">
        <v>546</v>
      </c>
      <c r="AK18" s="79" t="s">
        <v>701</v>
      </c>
      <c r="AL18" s="72" t="s">
        <v>556</v>
      </c>
      <c r="AM18" s="76">
        <v>89</v>
      </c>
      <c r="AN18" s="76">
        <v>35</v>
      </c>
      <c r="AO18" s="76">
        <v>38</v>
      </c>
      <c r="AP18" s="76">
        <v>16</v>
      </c>
      <c r="AQ18" s="141"/>
      <c r="AR18" s="134"/>
      <c r="AT18" s="35">
        <v>2523</v>
      </c>
      <c r="AU18" s="2" t="s">
        <v>202</v>
      </c>
      <c r="AV18" s="5">
        <v>204</v>
      </c>
      <c r="AW18" s="5">
        <v>2.1</v>
      </c>
      <c r="AX18" s="2"/>
      <c r="AY18" s="5">
        <v>104</v>
      </c>
      <c r="AZ18" s="2"/>
      <c r="BA18" s="5">
        <v>100</v>
      </c>
      <c r="BB18" s="2"/>
      <c r="BC18" s="2"/>
      <c r="BF18" s="35">
        <v>6204</v>
      </c>
      <c r="BG18" s="2" t="s">
        <v>929</v>
      </c>
      <c r="BH18" s="5">
        <v>127</v>
      </c>
      <c r="BI18" s="5">
        <v>1.1000000000000001</v>
      </c>
      <c r="BJ18" s="2"/>
      <c r="BK18" s="2"/>
      <c r="BL18" s="5">
        <v>6</v>
      </c>
      <c r="BM18" s="2"/>
      <c r="BN18" s="2"/>
      <c r="BO18" s="5">
        <v>121</v>
      </c>
      <c r="BR18" s="21">
        <v>2710</v>
      </c>
      <c r="BS18" s="3" t="s">
        <v>618</v>
      </c>
      <c r="BT18" s="22">
        <v>80</v>
      </c>
      <c r="BU18" s="87">
        <v>1</v>
      </c>
      <c r="BV18" s="22">
        <v>55</v>
      </c>
      <c r="BW18" s="3"/>
      <c r="BX18" s="3"/>
      <c r="BY18" s="22">
        <v>25</v>
      </c>
      <c r="BZ18" s="3"/>
      <c r="CA18" s="3"/>
      <c r="CB18" s="91"/>
    </row>
    <row r="19" spans="1:80" ht="12.95" customHeight="1">
      <c r="A19" s="2" t="s">
        <v>478</v>
      </c>
      <c r="B19" s="2"/>
      <c r="C19" s="2"/>
      <c r="D19" s="2"/>
      <c r="E19" s="2"/>
      <c r="F19" s="2"/>
      <c r="G19" s="2"/>
      <c r="J19" s="128" t="s">
        <v>701</v>
      </c>
      <c r="K19" s="2" t="s">
        <v>556</v>
      </c>
      <c r="L19" s="5">
        <v>25</v>
      </c>
      <c r="M19" s="5" t="s">
        <v>546</v>
      </c>
      <c r="N19" s="5" t="s">
        <v>546</v>
      </c>
      <c r="O19" s="5">
        <v>16</v>
      </c>
      <c r="P19" s="5">
        <v>9</v>
      </c>
      <c r="Q19" s="5"/>
      <c r="S19" s="35">
        <v>1006</v>
      </c>
      <c r="T19" s="2" t="s">
        <v>151</v>
      </c>
      <c r="U19" s="5">
        <v>15</v>
      </c>
      <c r="V19" s="5" t="s">
        <v>546</v>
      </c>
      <c r="W19" s="5" t="s">
        <v>546</v>
      </c>
      <c r="X19" s="5">
        <v>15</v>
      </c>
      <c r="Y19" s="5" t="s">
        <v>546</v>
      </c>
      <c r="Z19" s="5"/>
      <c r="AB19" s="21">
        <v>1602</v>
      </c>
      <c r="AC19" s="2" t="s">
        <v>356</v>
      </c>
      <c r="AD19" s="5">
        <v>116</v>
      </c>
      <c r="AE19" s="5">
        <v>67</v>
      </c>
      <c r="AF19" s="5" t="s">
        <v>546</v>
      </c>
      <c r="AG19" s="5">
        <v>45</v>
      </c>
      <c r="AH19" s="5">
        <v>4</v>
      </c>
      <c r="AK19" s="78">
        <v>1006</v>
      </c>
      <c r="AL19" s="72" t="s">
        <v>151</v>
      </c>
      <c r="AM19" s="76">
        <v>4</v>
      </c>
      <c r="AN19" s="76" t="s">
        <v>546</v>
      </c>
      <c r="AO19" s="76" t="s">
        <v>546</v>
      </c>
      <c r="AP19" s="76">
        <v>4</v>
      </c>
      <c r="AQ19" s="141"/>
      <c r="AR19" s="134"/>
      <c r="AT19" s="35">
        <v>4819</v>
      </c>
      <c r="AU19" s="2" t="s">
        <v>852</v>
      </c>
      <c r="AV19" s="5">
        <v>170</v>
      </c>
      <c r="AW19" s="5">
        <v>1.7</v>
      </c>
      <c r="AX19" s="2"/>
      <c r="AY19" s="2"/>
      <c r="AZ19" s="5">
        <v>11</v>
      </c>
      <c r="BA19" s="2"/>
      <c r="BB19" s="5">
        <v>140</v>
      </c>
      <c r="BC19" s="5">
        <v>19</v>
      </c>
      <c r="BF19" s="35">
        <v>8471</v>
      </c>
      <c r="BG19" s="2" t="s">
        <v>329</v>
      </c>
      <c r="BH19" s="5">
        <v>126</v>
      </c>
      <c r="BI19" s="5">
        <v>1.1000000000000001</v>
      </c>
      <c r="BJ19" s="5">
        <v>126</v>
      </c>
      <c r="BK19" s="2"/>
      <c r="BL19" s="2"/>
      <c r="BM19" s="2"/>
      <c r="BN19" s="2"/>
      <c r="BO19" s="5">
        <v>0</v>
      </c>
      <c r="BR19" s="21">
        <v>8145</v>
      </c>
      <c r="BS19" s="3" t="s">
        <v>657</v>
      </c>
      <c r="BT19" s="22">
        <v>76</v>
      </c>
      <c r="BU19" s="87">
        <v>1</v>
      </c>
      <c r="BV19" s="22">
        <v>9</v>
      </c>
      <c r="BW19" s="22">
        <v>18</v>
      </c>
      <c r="BX19" s="3"/>
      <c r="BY19" s="22">
        <v>49</v>
      </c>
      <c r="BZ19" s="3"/>
      <c r="CA19" s="3"/>
      <c r="CB19" s="91"/>
    </row>
    <row r="20" spans="1:80" ht="12.95" customHeight="1">
      <c r="A20" s="2" t="s">
        <v>517</v>
      </c>
      <c r="B20" s="2"/>
      <c r="C20" s="2"/>
      <c r="D20" s="2"/>
      <c r="E20" s="2"/>
      <c r="F20" s="2"/>
      <c r="G20" s="2"/>
      <c r="J20" s="35">
        <v>1006</v>
      </c>
      <c r="K20" s="2" t="s">
        <v>151</v>
      </c>
      <c r="L20" s="5">
        <v>52</v>
      </c>
      <c r="M20" s="5">
        <v>10</v>
      </c>
      <c r="N20" s="5">
        <v>26</v>
      </c>
      <c r="O20" s="5" t="s">
        <v>546</v>
      </c>
      <c r="P20" s="5">
        <v>16</v>
      </c>
      <c r="Q20" s="5"/>
      <c r="S20" s="35">
        <v>1101</v>
      </c>
      <c r="T20" s="2" t="s">
        <v>258</v>
      </c>
      <c r="U20" s="5">
        <v>68</v>
      </c>
      <c r="V20" s="5">
        <v>3</v>
      </c>
      <c r="W20" s="5">
        <v>45</v>
      </c>
      <c r="X20" s="5">
        <v>6</v>
      </c>
      <c r="Y20" s="5">
        <v>14</v>
      </c>
      <c r="Z20" s="5"/>
      <c r="AB20" s="21">
        <v>1605</v>
      </c>
      <c r="AC20" s="2" t="s">
        <v>557</v>
      </c>
      <c r="AD20" s="5">
        <v>42</v>
      </c>
      <c r="AE20" s="5">
        <v>6</v>
      </c>
      <c r="AF20" s="5" t="s">
        <v>546</v>
      </c>
      <c r="AG20" s="5">
        <v>4</v>
      </c>
      <c r="AH20" s="5">
        <v>32</v>
      </c>
      <c r="AK20" s="78">
        <v>1101</v>
      </c>
      <c r="AL20" s="72" t="s">
        <v>258</v>
      </c>
      <c r="AM20" s="76">
        <v>28</v>
      </c>
      <c r="AN20" s="76" t="s">
        <v>546</v>
      </c>
      <c r="AO20" s="76" t="s">
        <v>546</v>
      </c>
      <c r="AP20" s="76">
        <v>28</v>
      </c>
      <c r="AQ20" s="141"/>
      <c r="AR20" s="134"/>
      <c r="AT20" s="35">
        <v>7308</v>
      </c>
      <c r="AU20" s="2" t="s">
        <v>853</v>
      </c>
      <c r="AV20" s="5">
        <v>142</v>
      </c>
      <c r="AW20" s="5">
        <v>1.4</v>
      </c>
      <c r="AX20" s="5">
        <v>4</v>
      </c>
      <c r="AY20" s="2"/>
      <c r="AZ20" s="2"/>
      <c r="BA20" s="2"/>
      <c r="BB20" s="2"/>
      <c r="BC20" s="5">
        <v>138</v>
      </c>
      <c r="BF20" s="35">
        <v>8516</v>
      </c>
      <c r="BG20" s="2" t="s">
        <v>407</v>
      </c>
      <c r="BH20" s="5">
        <v>121</v>
      </c>
      <c r="BI20" s="5">
        <v>1.1000000000000001</v>
      </c>
      <c r="BJ20" s="5">
        <v>106</v>
      </c>
      <c r="BK20" s="5">
        <v>12</v>
      </c>
      <c r="BL20" s="5">
        <v>3</v>
      </c>
      <c r="BM20" s="5">
        <v>86</v>
      </c>
      <c r="BN20" s="2"/>
      <c r="BO20" s="5">
        <v>0</v>
      </c>
      <c r="BR20" s="21">
        <v>8708</v>
      </c>
      <c r="BS20" s="3" t="s">
        <v>924</v>
      </c>
      <c r="BT20" s="22">
        <v>54</v>
      </c>
      <c r="BU20" s="22">
        <v>0.7</v>
      </c>
      <c r="BV20" s="22">
        <v>3</v>
      </c>
      <c r="BW20" s="3"/>
      <c r="BX20" s="22">
        <v>9</v>
      </c>
      <c r="BY20" s="22">
        <v>20</v>
      </c>
      <c r="BZ20" s="3"/>
      <c r="CA20" s="22">
        <v>22</v>
      </c>
      <c r="CB20" s="91"/>
    </row>
    <row r="21" spans="1:80" ht="12.95" customHeight="1">
      <c r="A21" s="3" t="s">
        <v>393</v>
      </c>
      <c r="B21" s="47">
        <v>1402</v>
      </c>
      <c r="C21" s="47">
        <v>3598</v>
      </c>
      <c r="D21" s="5">
        <v>924</v>
      </c>
      <c r="E21" s="53">
        <v>2149</v>
      </c>
      <c r="F21" s="53">
        <v>7387</v>
      </c>
      <c r="G21" s="53">
        <v>2621</v>
      </c>
      <c r="J21" s="35">
        <v>1101</v>
      </c>
      <c r="K21" s="2" t="s">
        <v>152</v>
      </c>
      <c r="L21" s="5">
        <v>27</v>
      </c>
      <c r="M21" s="5">
        <v>18</v>
      </c>
      <c r="N21" s="5">
        <v>4</v>
      </c>
      <c r="O21" s="5">
        <v>5</v>
      </c>
      <c r="P21" s="5" t="s">
        <v>546</v>
      </c>
      <c r="Q21" s="5"/>
      <c r="S21" s="35">
        <v>1515</v>
      </c>
      <c r="T21" s="2" t="s">
        <v>259</v>
      </c>
      <c r="U21" s="5">
        <v>4</v>
      </c>
      <c r="V21" s="5">
        <v>4</v>
      </c>
      <c r="W21" s="5" t="s">
        <v>546</v>
      </c>
      <c r="X21" s="5" t="s">
        <v>546</v>
      </c>
      <c r="Y21" s="5" t="s">
        <v>546</v>
      </c>
      <c r="Z21" s="5"/>
      <c r="AB21" s="21">
        <v>1704</v>
      </c>
      <c r="AC21" s="2" t="s">
        <v>707</v>
      </c>
      <c r="AD21" s="5">
        <v>3</v>
      </c>
      <c r="AE21" s="5" t="s">
        <v>546</v>
      </c>
      <c r="AF21" s="5" t="s">
        <v>546</v>
      </c>
      <c r="AG21" s="5">
        <v>3</v>
      </c>
      <c r="AH21" s="5" t="s">
        <v>546</v>
      </c>
      <c r="AK21" s="78">
        <v>1515</v>
      </c>
      <c r="AL21" s="72" t="s">
        <v>781</v>
      </c>
      <c r="AM21" s="76">
        <v>24</v>
      </c>
      <c r="AN21" s="76" t="s">
        <v>546</v>
      </c>
      <c r="AO21" s="76" t="s">
        <v>546</v>
      </c>
      <c r="AP21" s="76">
        <v>24</v>
      </c>
      <c r="AQ21" s="141"/>
      <c r="AR21" s="134"/>
      <c r="AT21" s="35">
        <v>8506</v>
      </c>
      <c r="AU21" s="2" t="s">
        <v>231</v>
      </c>
      <c r="AV21" s="5">
        <v>140</v>
      </c>
      <c r="AW21" s="5">
        <v>1.4</v>
      </c>
      <c r="AX21" s="5">
        <v>66</v>
      </c>
      <c r="AY21" s="2"/>
      <c r="AZ21" s="5">
        <v>12</v>
      </c>
      <c r="BA21" s="5">
        <v>4</v>
      </c>
      <c r="BB21" s="2"/>
      <c r="BC21" s="5">
        <v>58</v>
      </c>
      <c r="BF21" s="35">
        <v>3926</v>
      </c>
      <c r="BG21" s="2" t="s">
        <v>287</v>
      </c>
      <c r="BH21" s="5">
        <v>120</v>
      </c>
      <c r="BI21" s="5">
        <v>1.1000000000000001</v>
      </c>
      <c r="BJ21" s="5">
        <v>29</v>
      </c>
      <c r="BK21" s="5">
        <v>4</v>
      </c>
      <c r="BL21" s="2"/>
      <c r="BM21" s="5">
        <v>10</v>
      </c>
      <c r="BN21" s="2"/>
      <c r="BO21" s="5">
        <v>0</v>
      </c>
      <c r="BR21" s="21">
        <v>9403</v>
      </c>
      <c r="BS21" s="3" t="s">
        <v>299</v>
      </c>
      <c r="BT21" s="22">
        <v>51</v>
      </c>
      <c r="BU21" s="22">
        <v>0.7</v>
      </c>
      <c r="BV21" s="22">
        <v>26</v>
      </c>
      <c r="BW21" s="3"/>
      <c r="BX21" s="3"/>
      <c r="BY21" s="3"/>
      <c r="BZ21" s="3"/>
      <c r="CA21" s="22">
        <v>25</v>
      </c>
      <c r="CB21" s="91"/>
    </row>
    <row r="22" spans="1:80" ht="12.95" customHeight="1">
      <c r="A22" s="3" t="s">
        <v>518</v>
      </c>
      <c r="B22" s="2"/>
      <c r="C22" s="2"/>
      <c r="D22" s="2"/>
      <c r="E22" s="22">
        <v>39</v>
      </c>
      <c r="F22" s="3"/>
      <c r="G22" s="3"/>
      <c r="J22" s="35">
        <v>1601</v>
      </c>
      <c r="K22" s="2" t="s">
        <v>356</v>
      </c>
      <c r="L22" s="5">
        <v>51</v>
      </c>
      <c r="M22" s="5">
        <v>4</v>
      </c>
      <c r="N22" s="5">
        <v>11</v>
      </c>
      <c r="O22" s="5">
        <v>23</v>
      </c>
      <c r="P22" s="5">
        <v>13</v>
      </c>
      <c r="Q22" s="5"/>
      <c r="S22" s="35">
        <v>1601</v>
      </c>
      <c r="T22" s="2" t="s">
        <v>647</v>
      </c>
      <c r="U22" s="5">
        <v>48</v>
      </c>
      <c r="V22" s="5">
        <v>8</v>
      </c>
      <c r="W22" s="5">
        <v>10</v>
      </c>
      <c r="X22" s="5">
        <v>30</v>
      </c>
      <c r="Y22" s="5" t="s">
        <v>546</v>
      </c>
      <c r="Z22" s="5"/>
      <c r="AB22" s="21">
        <v>1901</v>
      </c>
      <c r="AC22" s="2" t="s">
        <v>650</v>
      </c>
      <c r="AD22" s="5">
        <v>6</v>
      </c>
      <c r="AE22" s="5">
        <v>3</v>
      </c>
      <c r="AF22" s="5" t="s">
        <v>546</v>
      </c>
      <c r="AG22" s="5" t="s">
        <v>546</v>
      </c>
      <c r="AH22" s="5">
        <v>3</v>
      </c>
      <c r="AK22" s="78">
        <v>1601</v>
      </c>
      <c r="AL22" s="72" t="s">
        <v>356</v>
      </c>
      <c r="AM22" s="76">
        <v>47</v>
      </c>
      <c r="AN22" s="76">
        <v>14</v>
      </c>
      <c r="AO22" s="76">
        <v>22</v>
      </c>
      <c r="AP22" s="76">
        <v>11</v>
      </c>
      <c r="AQ22" s="141"/>
      <c r="AR22" s="134"/>
      <c r="AT22" s="35">
        <v>7602</v>
      </c>
      <c r="AU22" s="2" t="s">
        <v>854</v>
      </c>
      <c r="AV22" s="5">
        <v>138</v>
      </c>
      <c r="AW22" s="5">
        <v>1.4</v>
      </c>
      <c r="AX22" s="2"/>
      <c r="AY22" s="2"/>
      <c r="AZ22" s="2"/>
      <c r="BA22" s="2"/>
      <c r="BB22" s="2"/>
      <c r="BC22" s="5">
        <v>138</v>
      </c>
      <c r="BF22" s="35">
        <v>2202</v>
      </c>
      <c r="BG22" s="2" t="s">
        <v>278</v>
      </c>
      <c r="BH22" s="5">
        <v>116</v>
      </c>
      <c r="BI22" s="88">
        <v>1</v>
      </c>
      <c r="BJ22" s="5">
        <v>75</v>
      </c>
      <c r="BK22" s="5">
        <v>10</v>
      </c>
      <c r="BL22" s="5">
        <v>21</v>
      </c>
      <c r="BM22" s="2"/>
      <c r="BN22" s="2"/>
      <c r="BO22" s="5">
        <v>0</v>
      </c>
      <c r="BR22" s="21">
        <v>6403</v>
      </c>
      <c r="BS22" s="3" t="s">
        <v>591</v>
      </c>
      <c r="BT22" s="22">
        <v>40</v>
      </c>
      <c r="BU22" s="22">
        <v>0.5</v>
      </c>
      <c r="BV22" s="22">
        <v>36</v>
      </c>
      <c r="BW22" s="3"/>
      <c r="BX22" s="22">
        <v>4</v>
      </c>
      <c r="BY22" s="3"/>
      <c r="BZ22" s="3"/>
      <c r="CA22" s="3"/>
      <c r="CB22" s="91"/>
    </row>
    <row r="23" spans="1:80" ht="12.95" customHeight="1">
      <c r="A23" s="2" t="s">
        <v>519</v>
      </c>
      <c r="B23" s="2"/>
      <c r="C23" s="2"/>
      <c r="D23" s="2"/>
      <c r="E23" s="2"/>
      <c r="F23" s="2"/>
      <c r="G23" s="2"/>
      <c r="J23" s="35">
        <v>1602</v>
      </c>
      <c r="K23" s="2" t="s">
        <v>557</v>
      </c>
      <c r="L23" s="5">
        <v>18</v>
      </c>
      <c r="M23" s="5">
        <v>3</v>
      </c>
      <c r="N23" s="5">
        <v>4</v>
      </c>
      <c r="O23" s="5">
        <v>8</v>
      </c>
      <c r="P23" s="5">
        <v>3</v>
      </c>
      <c r="Q23" s="5"/>
      <c r="S23" s="35">
        <v>1602</v>
      </c>
      <c r="T23" s="2" t="s">
        <v>648</v>
      </c>
      <c r="U23" s="5">
        <v>141</v>
      </c>
      <c r="V23" s="5">
        <v>2</v>
      </c>
      <c r="W23" s="5">
        <v>96</v>
      </c>
      <c r="X23" s="5" t="s">
        <v>546</v>
      </c>
      <c r="Y23" s="5">
        <v>43</v>
      </c>
      <c r="Z23" s="5"/>
      <c r="AB23" s="21">
        <v>1902</v>
      </c>
      <c r="AC23" s="2" t="s">
        <v>266</v>
      </c>
      <c r="AD23" s="5">
        <v>87</v>
      </c>
      <c r="AE23" s="5">
        <v>30</v>
      </c>
      <c r="AF23" s="5">
        <v>57</v>
      </c>
      <c r="AG23" s="5" t="s">
        <v>546</v>
      </c>
      <c r="AH23" s="5" t="s">
        <v>546</v>
      </c>
      <c r="AK23" s="78">
        <v>1602</v>
      </c>
      <c r="AL23" s="72" t="s">
        <v>557</v>
      </c>
      <c r="AM23" s="76">
        <v>75</v>
      </c>
      <c r="AN23" s="76">
        <v>35</v>
      </c>
      <c r="AO23" s="76">
        <v>22</v>
      </c>
      <c r="AP23" s="76">
        <v>18</v>
      </c>
      <c r="AQ23" s="141"/>
      <c r="AR23" s="134"/>
      <c r="AT23" s="35">
        <v>2710</v>
      </c>
      <c r="AU23" s="2" t="s">
        <v>855</v>
      </c>
      <c r="AV23" s="5">
        <v>126</v>
      </c>
      <c r="AW23" s="5">
        <v>1.3</v>
      </c>
      <c r="AX23" s="5">
        <v>44</v>
      </c>
      <c r="AY23" s="2"/>
      <c r="AZ23" s="5">
        <v>82</v>
      </c>
      <c r="BA23" s="2"/>
      <c r="BB23" s="2"/>
      <c r="BC23" s="2"/>
      <c r="BF23" s="35">
        <v>9403</v>
      </c>
      <c r="BG23" s="2" t="s">
        <v>299</v>
      </c>
      <c r="BH23" s="5">
        <v>84</v>
      </c>
      <c r="BI23" s="5">
        <v>0.8</v>
      </c>
      <c r="BJ23" s="5">
        <v>19</v>
      </c>
      <c r="BK23" s="5">
        <v>61</v>
      </c>
      <c r="BL23" s="5">
        <v>4</v>
      </c>
      <c r="BM23" s="2"/>
      <c r="BN23" s="2"/>
      <c r="BO23" s="5">
        <v>0</v>
      </c>
      <c r="BR23" s="56">
        <v>3926</v>
      </c>
      <c r="BS23" s="3" t="s">
        <v>988</v>
      </c>
      <c r="BT23" s="22">
        <v>37</v>
      </c>
      <c r="BU23" s="22">
        <v>0.5</v>
      </c>
      <c r="BV23" s="22">
        <v>33</v>
      </c>
      <c r="BW23" s="3"/>
      <c r="BX23" s="22">
        <v>4</v>
      </c>
      <c r="BY23" s="3"/>
      <c r="BZ23" s="3"/>
      <c r="CA23" s="3"/>
      <c r="CB23" s="91"/>
    </row>
    <row r="24" spans="1:80" ht="12.95" customHeight="1">
      <c r="A24" s="2" t="s">
        <v>427</v>
      </c>
      <c r="B24" s="2"/>
      <c r="C24" s="5">
        <v>216</v>
      </c>
      <c r="D24" s="2"/>
      <c r="E24" s="5">
        <v>170</v>
      </c>
      <c r="F24" s="2"/>
      <c r="G24" s="2"/>
      <c r="J24" s="35">
        <v>1701</v>
      </c>
      <c r="K24" s="2" t="s">
        <v>263</v>
      </c>
      <c r="L24" s="5">
        <v>23</v>
      </c>
      <c r="M24" s="5">
        <v>18</v>
      </c>
      <c r="N24" s="5">
        <v>5</v>
      </c>
      <c r="O24" s="5" t="s">
        <v>546</v>
      </c>
      <c r="P24" s="5" t="s">
        <v>546</v>
      </c>
      <c r="Q24" s="5"/>
      <c r="S24" s="35">
        <v>1604</v>
      </c>
      <c r="T24" s="2" t="s">
        <v>649</v>
      </c>
      <c r="U24" s="5">
        <v>4</v>
      </c>
      <c r="V24" s="5">
        <v>4</v>
      </c>
      <c r="W24" s="5" t="s">
        <v>546</v>
      </c>
      <c r="X24" s="5" t="s">
        <v>546</v>
      </c>
      <c r="Y24" s="5" t="s">
        <v>546</v>
      </c>
      <c r="Z24" s="5"/>
      <c r="AB24" s="21">
        <v>1905</v>
      </c>
      <c r="AC24" s="2" t="s">
        <v>268</v>
      </c>
      <c r="AD24" s="5">
        <v>63</v>
      </c>
      <c r="AE24" s="5">
        <v>51</v>
      </c>
      <c r="AF24" s="5">
        <v>6</v>
      </c>
      <c r="AG24" s="5" t="s">
        <v>546</v>
      </c>
      <c r="AH24" s="5">
        <v>6</v>
      </c>
      <c r="AK24" s="78">
        <v>1604</v>
      </c>
      <c r="AL24" s="72" t="s">
        <v>782</v>
      </c>
      <c r="AM24" s="76">
        <v>5</v>
      </c>
      <c r="AN24" s="76" t="s">
        <v>546</v>
      </c>
      <c r="AO24" s="76">
        <v>5</v>
      </c>
      <c r="AP24" s="76" t="s">
        <v>546</v>
      </c>
      <c r="AQ24" s="141"/>
      <c r="AR24" s="134"/>
      <c r="AT24" s="35">
        <v>2204</v>
      </c>
      <c r="AU24" s="2" t="s">
        <v>565</v>
      </c>
      <c r="AV24" s="5">
        <v>101</v>
      </c>
      <c r="AW24" s="88">
        <v>1</v>
      </c>
      <c r="AX24" s="5">
        <v>38</v>
      </c>
      <c r="AY24" s="2"/>
      <c r="AZ24" s="5">
        <v>13</v>
      </c>
      <c r="BA24" s="5">
        <v>50</v>
      </c>
      <c r="BB24" s="2"/>
      <c r="BC24" s="2"/>
      <c r="BF24" s="35">
        <v>1602</v>
      </c>
      <c r="BG24" s="2" t="s">
        <v>260</v>
      </c>
      <c r="BH24" s="5">
        <v>67</v>
      </c>
      <c r="BI24" s="5">
        <v>0.6</v>
      </c>
      <c r="BJ24" s="5">
        <v>67</v>
      </c>
      <c r="BK24" s="2"/>
      <c r="BL24" s="2"/>
      <c r="BM24" s="2"/>
      <c r="BN24" s="2"/>
      <c r="BO24" s="5">
        <v>0</v>
      </c>
      <c r="BR24" s="56" t="s">
        <v>701</v>
      </c>
      <c r="BS24" s="3" t="s">
        <v>556</v>
      </c>
      <c r="BT24" s="22">
        <v>35</v>
      </c>
      <c r="BU24" s="22">
        <v>0.4</v>
      </c>
      <c r="BV24" s="22">
        <v>35</v>
      </c>
      <c r="BW24" s="3"/>
      <c r="BX24" s="3"/>
      <c r="BY24" s="3"/>
      <c r="BZ24" s="3"/>
      <c r="CA24" s="3"/>
      <c r="CB24" s="91"/>
    </row>
    <row r="25" spans="1:80" ht="12.95" customHeight="1">
      <c r="A25" s="3" t="s">
        <v>392</v>
      </c>
      <c r="B25" s="47">
        <v>1261</v>
      </c>
      <c r="C25" s="47">
        <v>2868</v>
      </c>
      <c r="D25" s="47">
        <v>1643</v>
      </c>
      <c r="E25" s="53">
        <v>2250</v>
      </c>
      <c r="F25" s="53">
        <v>3572</v>
      </c>
      <c r="G25" s="53">
        <v>5700</v>
      </c>
      <c r="J25" s="35">
        <v>1704</v>
      </c>
      <c r="K25" s="2" t="s">
        <v>558</v>
      </c>
      <c r="L25" s="5">
        <v>3</v>
      </c>
      <c r="M25" s="5" t="s">
        <v>546</v>
      </c>
      <c r="N25" s="5">
        <v>3</v>
      </c>
      <c r="O25" s="5" t="s">
        <v>546</v>
      </c>
      <c r="P25" s="5" t="s">
        <v>546</v>
      </c>
      <c r="Q25" s="5"/>
      <c r="S25" s="35">
        <v>1701</v>
      </c>
      <c r="T25" s="2" t="s">
        <v>263</v>
      </c>
      <c r="U25" s="5">
        <v>9</v>
      </c>
      <c r="V25" s="5" t="s">
        <v>546</v>
      </c>
      <c r="W25" s="5">
        <v>9</v>
      </c>
      <c r="X25" s="5" t="s">
        <v>546</v>
      </c>
      <c r="Y25" s="5" t="s">
        <v>546</v>
      </c>
      <c r="Z25" s="5"/>
      <c r="AB25" s="21">
        <v>2005</v>
      </c>
      <c r="AC25" s="2" t="s">
        <v>651</v>
      </c>
      <c r="AD25" s="5">
        <v>21</v>
      </c>
      <c r="AE25" s="5">
        <v>21</v>
      </c>
      <c r="AF25" s="5" t="s">
        <v>546</v>
      </c>
      <c r="AG25" s="5" t="s">
        <v>546</v>
      </c>
      <c r="AH25" s="5" t="s">
        <v>546</v>
      </c>
      <c r="AK25" s="78">
        <v>1701</v>
      </c>
      <c r="AL25" s="72" t="s">
        <v>263</v>
      </c>
      <c r="AM25" s="76">
        <v>19</v>
      </c>
      <c r="AN25" s="76">
        <v>19</v>
      </c>
      <c r="AO25" s="76" t="s">
        <v>546</v>
      </c>
      <c r="AP25" s="72"/>
      <c r="AQ25" s="141"/>
      <c r="AR25" s="134"/>
      <c r="AT25" s="58">
        <v>3208</v>
      </c>
      <c r="AU25" s="10" t="s">
        <v>856</v>
      </c>
      <c r="AV25" s="11">
        <v>98</v>
      </c>
      <c r="AW25" s="89">
        <v>1</v>
      </c>
      <c r="AX25" s="11">
        <v>87</v>
      </c>
      <c r="AY25" s="10"/>
      <c r="AZ25" s="11">
        <v>11</v>
      </c>
      <c r="BA25" s="10"/>
      <c r="BB25" s="10"/>
      <c r="BC25" s="10"/>
      <c r="BF25" s="190" t="s">
        <v>340</v>
      </c>
      <c r="BG25" s="10" t="s">
        <v>930</v>
      </c>
      <c r="BH25" s="11">
        <v>66</v>
      </c>
      <c r="BI25" s="11">
        <v>0.6</v>
      </c>
      <c r="BJ25" s="10"/>
      <c r="BK25" s="10"/>
      <c r="BL25" s="11">
        <v>66</v>
      </c>
      <c r="BM25" s="10"/>
      <c r="BN25" s="10"/>
      <c r="BO25" s="11">
        <v>0</v>
      </c>
      <c r="BR25" s="40">
        <v>1602</v>
      </c>
      <c r="BS25" s="23" t="s">
        <v>557</v>
      </c>
      <c r="BT25" s="29">
        <v>35</v>
      </c>
      <c r="BU25" s="29">
        <v>0.4</v>
      </c>
      <c r="BV25" s="29">
        <v>35</v>
      </c>
      <c r="BW25" s="23"/>
      <c r="BX25" s="23"/>
      <c r="BY25" s="23"/>
      <c r="BZ25" s="23"/>
      <c r="CA25" s="23"/>
      <c r="CB25" s="91"/>
    </row>
    <row r="26" spans="1:80" ht="12.95" customHeight="1">
      <c r="A26" s="3" t="s">
        <v>520</v>
      </c>
      <c r="B26" s="2"/>
      <c r="C26" s="2"/>
      <c r="D26" s="2"/>
      <c r="E26" s="3"/>
      <c r="F26" s="3"/>
      <c r="G26" s="3"/>
      <c r="J26" s="35">
        <v>1806</v>
      </c>
      <c r="K26" s="2" t="s">
        <v>158</v>
      </c>
      <c r="L26" s="5">
        <v>10</v>
      </c>
      <c r="M26" s="5">
        <v>10</v>
      </c>
      <c r="N26" s="5" t="s">
        <v>546</v>
      </c>
      <c r="O26" s="5" t="s">
        <v>546</v>
      </c>
      <c r="P26" s="5" t="s">
        <v>546</v>
      </c>
      <c r="Q26" s="5"/>
      <c r="S26" s="35">
        <v>1901</v>
      </c>
      <c r="T26" s="2" t="s">
        <v>650</v>
      </c>
      <c r="U26" s="5">
        <v>12</v>
      </c>
      <c r="V26" s="5">
        <v>3</v>
      </c>
      <c r="W26" s="5">
        <v>3</v>
      </c>
      <c r="X26" s="5" t="s">
        <v>546</v>
      </c>
      <c r="Y26" s="5">
        <v>6</v>
      </c>
      <c r="Z26" s="5"/>
      <c r="AB26" s="21">
        <v>2008</v>
      </c>
      <c r="AC26" s="2" t="s">
        <v>708</v>
      </c>
      <c r="AD26" s="5">
        <v>17</v>
      </c>
      <c r="AE26" s="5" t="s">
        <v>546</v>
      </c>
      <c r="AF26" s="5" t="s">
        <v>546</v>
      </c>
      <c r="AG26" s="5" t="s">
        <v>546</v>
      </c>
      <c r="AH26" s="5">
        <v>17</v>
      </c>
      <c r="AK26" s="78">
        <v>1901</v>
      </c>
      <c r="AL26" s="72" t="s">
        <v>650</v>
      </c>
      <c r="AM26" s="76">
        <v>43</v>
      </c>
      <c r="AN26" s="76">
        <v>12</v>
      </c>
      <c r="AO26" s="76">
        <v>25</v>
      </c>
      <c r="AP26" s="76">
        <v>6</v>
      </c>
      <c r="AQ26" s="141"/>
      <c r="AR26" s="134"/>
      <c r="AT26" s="2045" t="s">
        <v>174</v>
      </c>
      <c r="AU26" s="2045"/>
      <c r="AV26" s="2045"/>
      <c r="AW26" s="2045"/>
      <c r="AX26" s="2045"/>
      <c r="AY26" s="2045"/>
      <c r="AZ26" s="2"/>
      <c r="BA26" s="2"/>
      <c r="BB26" s="2"/>
      <c r="BC26" s="2"/>
      <c r="BF26" s="2064" t="s">
        <v>174</v>
      </c>
      <c r="BG26" s="2064"/>
      <c r="BH26" s="2064"/>
      <c r="BI26" s="2064"/>
      <c r="BJ26" s="2064"/>
      <c r="BK26" s="2064"/>
      <c r="BL26" s="2064"/>
      <c r="BM26" s="2064"/>
      <c r="BN26" s="2"/>
      <c r="BO26" s="2"/>
      <c r="BR26" s="2045" t="s">
        <v>174</v>
      </c>
      <c r="BS26" s="2045"/>
      <c r="BT26" s="2045"/>
      <c r="BU26" s="2045"/>
      <c r="BV26" s="2045"/>
      <c r="BW26" s="2045"/>
      <c r="BX26" s="2045"/>
      <c r="BY26" s="2"/>
      <c r="BZ26" s="2"/>
      <c r="CA26" s="2"/>
    </row>
    <row r="27" spans="1:80" ht="12.95" customHeight="1">
      <c r="A27" s="2" t="s">
        <v>390</v>
      </c>
      <c r="B27" s="5">
        <v>821</v>
      </c>
      <c r="C27" s="47">
        <v>1720</v>
      </c>
      <c r="D27" s="47">
        <v>2376</v>
      </c>
      <c r="E27" s="47">
        <v>5944</v>
      </c>
      <c r="F27" s="5">
        <v>559</v>
      </c>
      <c r="G27" s="47">
        <v>1175</v>
      </c>
      <c r="J27" s="35">
        <v>1901</v>
      </c>
      <c r="K27" s="2" t="s">
        <v>559</v>
      </c>
      <c r="L27" s="5">
        <v>8</v>
      </c>
      <c r="M27" s="5">
        <v>3</v>
      </c>
      <c r="N27" s="5">
        <v>5</v>
      </c>
      <c r="O27" s="5" t="s">
        <v>546</v>
      </c>
      <c r="P27" s="5" t="s">
        <v>546</v>
      </c>
      <c r="Q27" s="5"/>
      <c r="S27" s="35">
        <v>1902</v>
      </c>
      <c r="T27" s="2" t="s">
        <v>266</v>
      </c>
      <c r="U27" s="5">
        <v>181</v>
      </c>
      <c r="V27" s="5">
        <v>41</v>
      </c>
      <c r="W27" s="5">
        <v>66</v>
      </c>
      <c r="X27" s="5">
        <v>39</v>
      </c>
      <c r="Y27" s="5">
        <v>35</v>
      </c>
      <c r="Z27" s="5"/>
      <c r="AB27" s="21">
        <v>2101</v>
      </c>
      <c r="AC27" s="2" t="s">
        <v>272</v>
      </c>
      <c r="AD27" s="5">
        <v>16</v>
      </c>
      <c r="AE27" s="5">
        <v>16</v>
      </c>
      <c r="AF27" s="5" t="s">
        <v>546</v>
      </c>
      <c r="AG27" s="5" t="s">
        <v>546</v>
      </c>
      <c r="AH27" s="5" t="s">
        <v>546</v>
      </c>
      <c r="AK27" s="78">
        <v>1902</v>
      </c>
      <c r="AL27" s="72" t="s">
        <v>730</v>
      </c>
      <c r="AM27" s="76">
        <v>38</v>
      </c>
      <c r="AN27" s="76">
        <v>21</v>
      </c>
      <c r="AO27" s="76">
        <v>17</v>
      </c>
      <c r="AP27" s="76" t="s">
        <v>546</v>
      </c>
      <c r="AQ27" s="141"/>
      <c r="AR27" s="134"/>
      <c r="AT27" s="2045" t="s">
        <v>857</v>
      </c>
      <c r="AU27" s="2045"/>
      <c r="AV27" s="14"/>
      <c r="AW27" s="14"/>
      <c r="AX27" s="14"/>
      <c r="AY27" s="14"/>
      <c r="AZ27" s="2"/>
      <c r="BA27" s="2"/>
      <c r="BB27" s="2"/>
      <c r="BC27" s="2"/>
      <c r="BF27" s="2045" t="s">
        <v>857</v>
      </c>
      <c r="BG27" s="2045"/>
      <c r="BH27" s="14"/>
      <c r="BI27" s="14"/>
      <c r="BJ27" s="14"/>
      <c r="BK27" s="14"/>
      <c r="BL27" s="14"/>
      <c r="BM27" s="14"/>
      <c r="BN27" s="2"/>
      <c r="BO27" s="2"/>
      <c r="BR27" s="2045" t="s">
        <v>857</v>
      </c>
      <c r="BS27" s="2045"/>
      <c r="BT27" s="14"/>
      <c r="BU27" s="14"/>
      <c r="BV27" s="14"/>
      <c r="BW27" s="14"/>
      <c r="BX27" s="14"/>
      <c r="BY27" s="2"/>
      <c r="BZ27" s="2"/>
      <c r="CA27" s="2"/>
    </row>
    <row r="28" spans="1:80" ht="12.95" customHeight="1">
      <c r="A28" s="2" t="s">
        <v>521</v>
      </c>
      <c r="B28" s="2"/>
      <c r="C28" s="5">
        <v>4</v>
      </c>
      <c r="D28" s="2"/>
      <c r="E28" s="2"/>
      <c r="F28" s="2"/>
      <c r="G28" s="2"/>
      <c r="J28" s="35">
        <v>1902</v>
      </c>
      <c r="K28" s="2" t="s">
        <v>560</v>
      </c>
      <c r="L28" s="5">
        <v>227</v>
      </c>
      <c r="M28" s="5">
        <v>12</v>
      </c>
      <c r="N28" s="5">
        <v>39</v>
      </c>
      <c r="O28" s="5">
        <v>128</v>
      </c>
      <c r="P28" s="5">
        <v>48</v>
      </c>
      <c r="Q28" s="5"/>
      <c r="S28" s="35">
        <v>1905</v>
      </c>
      <c r="T28" s="2" t="s">
        <v>268</v>
      </c>
      <c r="U28" s="5">
        <v>26</v>
      </c>
      <c r="V28" s="5">
        <v>15</v>
      </c>
      <c r="W28" s="5" t="s">
        <v>546</v>
      </c>
      <c r="X28" s="5">
        <v>11</v>
      </c>
      <c r="Y28" s="5" t="s">
        <v>546</v>
      </c>
      <c r="Z28" s="5"/>
      <c r="AB28" s="21">
        <v>2103</v>
      </c>
      <c r="AC28" s="2" t="s">
        <v>273</v>
      </c>
      <c r="AD28" s="5">
        <v>56</v>
      </c>
      <c r="AE28" s="5" t="s">
        <v>546</v>
      </c>
      <c r="AF28" s="5">
        <v>40</v>
      </c>
      <c r="AG28" s="5">
        <v>3</v>
      </c>
      <c r="AH28" s="5">
        <v>13</v>
      </c>
      <c r="AK28" s="78">
        <v>1905</v>
      </c>
      <c r="AL28" s="72" t="s">
        <v>268</v>
      </c>
      <c r="AM28" s="76">
        <v>14</v>
      </c>
      <c r="AN28" s="76">
        <v>14</v>
      </c>
      <c r="AO28" s="76" t="s">
        <v>546</v>
      </c>
      <c r="AP28" s="76" t="s">
        <v>546</v>
      </c>
      <c r="AQ28" s="141"/>
      <c r="AR28" s="134"/>
      <c r="AT28" s="2045" t="s">
        <v>858</v>
      </c>
      <c r="AU28" s="2045"/>
      <c r="AV28" s="14"/>
      <c r="AW28" s="14"/>
      <c r="AX28" s="14"/>
      <c r="AY28" s="14"/>
      <c r="AZ28" s="2"/>
      <c r="BA28" s="2"/>
      <c r="BB28" s="2"/>
      <c r="BC28" s="2"/>
      <c r="BF28" s="2045" t="s">
        <v>858</v>
      </c>
      <c r="BG28" s="2045"/>
      <c r="BH28" s="14"/>
      <c r="BI28" s="14"/>
      <c r="BJ28" s="14"/>
      <c r="BK28" s="14"/>
      <c r="BL28" s="14"/>
      <c r="BM28" s="14"/>
      <c r="BN28" s="2"/>
      <c r="BO28" s="2"/>
      <c r="BR28" s="2045" t="s">
        <v>858</v>
      </c>
      <c r="BS28" s="2045"/>
      <c r="BT28" s="14"/>
      <c r="BU28" s="14"/>
      <c r="BV28" s="14"/>
      <c r="BW28" s="14"/>
      <c r="BX28" s="14"/>
      <c r="BY28" s="2"/>
      <c r="BZ28" s="2"/>
      <c r="CA28" s="2"/>
    </row>
    <row r="29" spans="1:80" ht="12.95" customHeight="1">
      <c r="A29" s="2" t="s">
        <v>471</v>
      </c>
      <c r="B29" s="5">
        <v>357</v>
      </c>
      <c r="C29" s="5">
        <v>381</v>
      </c>
      <c r="D29" s="5">
        <v>154</v>
      </c>
      <c r="E29" s="5">
        <v>25</v>
      </c>
      <c r="F29" s="2"/>
      <c r="G29" s="2"/>
      <c r="J29" s="35">
        <v>1905</v>
      </c>
      <c r="K29" s="2" t="s">
        <v>561</v>
      </c>
      <c r="L29" s="5">
        <v>71</v>
      </c>
      <c r="M29" s="5">
        <v>37</v>
      </c>
      <c r="N29" s="5">
        <v>9</v>
      </c>
      <c r="O29" s="5">
        <v>20</v>
      </c>
      <c r="P29" s="5">
        <v>5</v>
      </c>
      <c r="Q29" s="5"/>
      <c r="S29" s="35">
        <v>2005</v>
      </c>
      <c r="T29" s="2" t="s">
        <v>651</v>
      </c>
      <c r="U29" s="5">
        <v>28</v>
      </c>
      <c r="V29" s="5">
        <v>19</v>
      </c>
      <c r="W29" s="5">
        <v>9</v>
      </c>
      <c r="X29" s="5" t="s">
        <v>546</v>
      </c>
      <c r="Y29" s="5" t="s">
        <v>546</v>
      </c>
      <c r="Z29" s="5"/>
      <c r="AB29" s="21">
        <v>2106</v>
      </c>
      <c r="AC29" s="2" t="s">
        <v>276</v>
      </c>
      <c r="AD29" s="5">
        <v>40</v>
      </c>
      <c r="AE29" s="5">
        <v>13</v>
      </c>
      <c r="AF29" s="5">
        <v>12</v>
      </c>
      <c r="AG29" s="5">
        <v>10</v>
      </c>
      <c r="AH29" s="5">
        <v>5</v>
      </c>
      <c r="AK29" s="78">
        <v>2005</v>
      </c>
      <c r="AL29" s="72" t="s">
        <v>269</v>
      </c>
      <c r="AM29" s="76">
        <v>81</v>
      </c>
      <c r="AN29" s="76">
        <v>3</v>
      </c>
      <c r="AO29" s="76">
        <v>51</v>
      </c>
      <c r="AP29" s="76">
        <v>27</v>
      </c>
      <c r="AQ29" s="141"/>
      <c r="AR29" s="134"/>
      <c r="AT29" s="2"/>
      <c r="AU29" s="2"/>
      <c r="AV29" s="2"/>
      <c r="AW29" s="2"/>
      <c r="AX29" s="2"/>
      <c r="AY29" s="2"/>
      <c r="AZ29" s="2"/>
      <c r="BA29" s="2"/>
      <c r="BB29" s="2"/>
      <c r="BC29" s="2"/>
      <c r="BF29" s="14"/>
      <c r="BG29" s="14"/>
      <c r="BH29" s="14"/>
      <c r="BI29" s="14"/>
      <c r="BJ29" s="14"/>
      <c r="BK29" s="14"/>
      <c r="BL29" s="14"/>
      <c r="BM29" s="14"/>
      <c r="BN29" s="2"/>
      <c r="BO29" s="2"/>
      <c r="BR29" s="14"/>
      <c r="BS29" s="14"/>
      <c r="BT29" s="14"/>
      <c r="BU29" s="14"/>
      <c r="BV29" s="14"/>
      <c r="BW29" s="14"/>
      <c r="BX29" s="14"/>
      <c r="BY29" s="2"/>
      <c r="BZ29" s="2"/>
      <c r="CA29" s="2"/>
    </row>
    <row r="30" spans="1:80" ht="12.95" customHeight="1">
      <c r="A30" s="2" t="s">
        <v>491</v>
      </c>
      <c r="B30" s="47">
        <v>8259</v>
      </c>
      <c r="C30" s="47">
        <v>6269</v>
      </c>
      <c r="D30" s="47">
        <v>4779</v>
      </c>
      <c r="E30" s="47">
        <v>4539</v>
      </c>
      <c r="F30" s="47">
        <v>3483</v>
      </c>
      <c r="G30" s="47">
        <v>2801</v>
      </c>
      <c r="J30" s="35">
        <v>2005</v>
      </c>
      <c r="K30" s="2" t="s">
        <v>269</v>
      </c>
      <c r="L30" s="5">
        <v>69</v>
      </c>
      <c r="M30" s="5">
        <v>11</v>
      </c>
      <c r="N30" s="5">
        <v>36</v>
      </c>
      <c r="O30" s="5">
        <v>11</v>
      </c>
      <c r="P30" s="5">
        <v>11</v>
      </c>
      <c r="Q30" s="5"/>
      <c r="S30" s="35">
        <v>2101</v>
      </c>
      <c r="T30" s="2" t="s">
        <v>272</v>
      </c>
      <c r="U30" s="5">
        <v>16</v>
      </c>
      <c r="V30" s="5" t="s">
        <v>546</v>
      </c>
      <c r="W30" s="5" t="s">
        <v>546</v>
      </c>
      <c r="X30" s="5">
        <v>9</v>
      </c>
      <c r="Y30" s="5">
        <v>7</v>
      </c>
      <c r="Z30" s="5"/>
      <c r="AB30" s="21">
        <v>2201</v>
      </c>
      <c r="AC30" s="2" t="s">
        <v>277</v>
      </c>
      <c r="AD30" s="5">
        <v>28</v>
      </c>
      <c r="AE30" s="5">
        <v>12</v>
      </c>
      <c r="AF30" s="5">
        <v>6</v>
      </c>
      <c r="AG30" s="5" t="s">
        <v>546</v>
      </c>
      <c r="AH30" s="5">
        <v>10</v>
      </c>
      <c r="AK30" s="78">
        <v>2009</v>
      </c>
      <c r="AL30" s="72" t="s">
        <v>731</v>
      </c>
      <c r="AM30" s="76">
        <v>8</v>
      </c>
      <c r="AN30" s="76" t="s">
        <v>546</v>
      </c>
      <c r="AO30" s="76">
        <v>8</v>
      </c>
      <c r="AP30" s="76" t="s">
        <v>546</v>
      </c>
      <c r="AQ30" s="141"/>
      <c r="AR30" s="134"/>
      <c r="AT30" s="2"/>
      <c r="AU30" s="2"/>
      <c r="AV30" s="2"/>
      <c r="AW30" s="2"/>
      <c r="AX30" s="2"/>
      <c r="AY30" s="2"/>
      <c r="AZ30" s="2"/>
      <c r="BA30" s="2"/>
      <c r="BB30" s="2"/>
      <c r="BC30" s="2"/>
      <c r="BF30" s="2"/>
      <c r="BG30" s="2"/>
      <c r="BH30" s="2"/>
      <c r="BI30" s="2"/>
      <c r="BJ30" s="2"/>
      <c r="BK30" s="2"/>
      <c r="BL30" s="2"/>
      <c r="BM30" s="2"/>
      <c r="BN30" s="2"/>
      <c r="BO30" s="2"/>
      <c r="BR30" s="14"/>
      <c r="BS30" s="14"/>
      <c r="BT30" s="14"/>
      <c r="BU30" s="14"/>
      <c r="BV30" s="14"/>
      <c r="BW30" s="14"/>
      <c r="BX30" s="14"/>
      <c r="BY30" s="2"/>
      <c r="BZ30" s="2"/>
      <c r="CA30" s="2"/>
    </row>
    <row r="31" spans="1:80" ht="12.95" customHeight="1">
      <c r="A31" s="2" t="s">
        <v>522</v>
      </c>
      <c r="B31" s="5">
        <v>11</v>
      </c>
      <c r="C31" s="5">
        <v>7</v>
      </c>
      <c r="D31" s="2"/>
      <c r="E31" s="2"/>
      <c r="F31" s="5">
        <v>59</v>
      </c>
      <c r="G31" s="2"/>
      <c r="J31" s="35">
        <v>2009</v>
      </c>
      <c r="K31" s="2" t="s">
        <v>162</v>
      </c>
      <c r="L31" s="5">
        <v>5</v>
      </c>
      <c r="M31" s="5" t="s">
        <v>546</v>
      </c>
      <c r="N31" s="5" t="s">
        <v>546</v>
      </c>
      <c r="O31" s="5">
        <v>5</v>
      </c>
      <c r="P31" s="5" t="s">
        <v>546</v>
      </c>
      <c r="Q31" s="5"/>
      <c r="S31" s="35">
        <v>2103</v>
      </c>
      <c r="T31" s="2" t="s">
        <v>273</v>
      </c>
      <c r="U31" s="5">
        <v>19</v>
      </c>
      <c r="V31" s="5" t="s">
        <v>546</v>
      </c>
      <c r="W31" s="5" t="s">
        <v>546</v>
      </c>
      <c r="X31" s="5">
        <v>15</v>
      </c>
      <c r="Y31" s="5">
        <v>4</v>
      </c>
      <c r="Z31" s="5"/>
      <c r="AB31" s="21">
        <v>2202</v>
      </c>
      <c r="AC31" s="2" t="s">
        <v>278</v>
      </c>
      <c r="AD31" s="5">
        <v>341</v>
      </c>
      <c r="AE31" s="5">
        <v>116</v>
      </c>
      <c r="AF31" s="5">
        <v>41</v>
      </c>
      <c r="AG31" s="5">
        <v>89</v>
      </c>
      <c r="AH31" s="5">
        <v>95</v>
      </c>
      <c r="AK31" s="78">
        <v>2106</v>
      </c>
      <c r="AL31" s="72" t="s">
        <v>735</v>
      </c>
      <c r="AM31" s="76">
        <v>10</v>
      </c>
      <c r="AN31" s="76">
        <v>6</v>
      </c>
      <c r="AO31" s="76">
        <v>4</v>
      </c>
      <c r="AP31" s="76" t="s">
        <v>546</v>
      </c>
      <c r="AQ31" s="141"/>
      <c r="AR31" s="134"/>
      <c r="AT31" s="2"/>
      <c r="AU31" s="2"/>
      <c r="AV31" s="2"/>
      <c r="AW31" s="2"/>
      <c r="AX31" s="2"/>
      <c r="AY31" s="2"/>
      <c r="AZ31" s="2"/>
      <c r="BA31" s="2"/>
      <c r="BB31" s="2"/>
      <c r="BC31" s="2"/>
      <c r="BF31" s="2"/>
      <c r="BG31" s="2"/>
      <c r="BH31" s="2"/>
      <c r="BI31" s="2"/>
      <c r="BJ31" s="2"/>
      <c r="BK31" s="2"/>
      <c r="BL31" s="2"/>
      <c r="BM31" s="2"/>
      <c r="BN31" s="2"/>
      <c r="BO31" s="2"/>
      <c r="BR31" s="2"/>
      <c r="BS31" s="2"/>
      <c r="BT31" s="2"/>
      <c r="BU31" s="2"/>
      <c r="BV31" s="2"/>
      <c r="BW31" s="2"/>
      <c r="BX31" s="2"/>
      <c r="BY31" s="2"/>
      <c r="BZ31" s="2"/>
      <c r="CA31" s="2"/>
    </row>
    <row r="32" spans="1:80" ht="12.95" customHeight="1">
      <c r="A32" s="2" t="s">
        <v>523</v>
      </c>
      <c r="B32" s="2"/>
      <c r="C32" s="2"/>
      <c r="D32" s="2"/>
      <c r="E32" s="2"/>
      <c r="F32" s="2"/>
      <c r="G32" s="2"/>
      <c r="J32" s="35">
        <v>2103</v>
      </c>
      <c r="K32" s="2" t="s">
        <v>562</v>
      </c>
      <c r="L32" s="5">
        <v>28</v>
      </c>
      <c r="M32" s="5">
        <v>10</v>
      </c>
      <c r="N32" s="5">
        <v>18</v>
      </c>
      <c r="O32" s="5" t="s">
        <v>546</v>
      </c>
      <c r="P32" s="5" t="s">
        <v>546</v>
      </c>
      <c r="Q32" s="5"/>
      <c r="S32" s="35">
        <v>2106</v>
      </c>
      <c r="T32" s="2" t="s">
        <v>276</v>
      </c>
      <c r="U32" s="5">
        <v>82</v>
      </c>
      <c r="V32" s="5">
        <v>12</v>
      </c>
      <c r="W32" s="5">
        <v>9</v>
      </c>
      <c r="X32" s="5" t="s">
        <v>546</v>
      </c>
      <c r="Y32" s="5">
        <v>61</v>
      </c>
      <c r="Z32" s="5"/>
      <c r="AB32" s="2"/>
      <c r="AC32" s="2"/>
      <c r="AD32" s="2"/>
      <c r="AE32" s="2"/>
      <c r="AF32" s="2"/>
      <c r="AG32" s="2"/>
      <c r="AH32" s="2"/>
      <c r="AK32" s="78">
        <v>2201</v>
      </c>
      <c r="AL32" s="72" t="s">
        <v>563</v>
      </c>
      <c r="AM32" s="76">
        <v>18</v>
      </c>
      <c r="AN32" s="76">
        <v>12</v>
      </c>
      <c r="AO32" s="76">
        <v>3</v>
      </c>
      <c r="AP32" s="76">
        <v>3</v>
      </c>
      <c r="AQ32" s="141"/>
      <c r="AR32" s="134"/>
      <c r="AT32" s="2255" t="s">
        <v>859</v>
      </c>
      <c r="AU32" s="2255"/>
      <c r="AV32" s="2255"/>
      <c r="AW32" s="2255"/>
      <c r="AX32" s="2255"/>
      <c r="AY32" s="2255"/>
      <c r="AZ32" s="113"/>
      <c r="BA32" s="113"/>
      <c r="BB32" s="113"/>
      <c r="BC32" s="113"/>
      <c r="BF32" s="2036" t="s">
        <v>931</v>
      </c>
      <c r="BG32" s="2036"/>
      <c r="BH32" s="2036"/>
      <c r="BI32" s="2036"/>
      <c r="BJ32" s="2036"/>
      <c r="BK32" s="2036"/>
      <c r="BL32" s="2036"/>
      <c r="BM32" s="2"/>
      <c r="BN32" s="2"/>
      <c r="BO32" s="2"/>
      <c r="BR32" s="2036" t="s">
        <v>989</v>
      </c>
      <c r="BS32" s="2036"/>
      <c r="BT32" s="2036"/>
      <c r="BU32" s="2036"/>
      <c r="BV32" s="2036"/>
      <c r="BW32" s="2036"/>
      <c r="BX32" s="2036"/>
      <c r="BY32" s="2"/>
      <c r="BZ32" s="2"/>
      <c r="CA32" s="2"/>
    </row>
    <row r="33" spans="1:79" ht="12.95" customHeight="1">
      <c r="A33" s="2" t="s">
        <v>524</v>
      </c>
      <c r="B33" s="2"/>
      <c r="C33" s="2"/>
      <c r="D33" s="2"/>
      <c r="E33" s="2"/>
      <c r="F33" s="2"/>
      <c r="G33" s="2"/>
      <c r="J33" s="35">
        <v>2106</v>
      </c>
      <c r="K33" s="2" t="s">
        <v>276</v>
      </c>
      <c r="L33" s="5">
        <v>59</v>
      </c>
      <c r="M33" s="5">
        <v>36</v>
      </c>
      <c r="N33" s="5" t="s">
        <v>546</v>
      </c>
      <c r="O33" s="5">
        <v>20</v>
      </c>
      <c r="P33" s="5">
        <v>3</v>
      </c>
      <c r="Q33" s="5"/>
      <c r="S33" s="35">
        <v>2201</v>
      </c>
      <c r="T33" s="2" t="s">
        <v>277</v>
      </c>
      <c r="U33" s="5">
        <v>35</v>
      </c>
      <c r="V33" s="5">
        <v>17</v>
      </c>
      <c r="W33" s="5">
        <v>7</v>
      </c>
      <c r="X33" s="5">
        <v>11</v>
      </c>
      <c r="Y33" s="5" t="s">
        <v>546</v>
      </c>
      <c r="Z33" s="5"/>
      <c r="AB33" s="3"/>
      <c r="AC33" s="20" t="s">
        <v>177</v>
      </c>
      <c r="AD33" s="47">
        <v>8669</v>
      </c>
      <c r="AE33" s="47">
        <v>2651</v>
      </c>
      <c r="AF33" s="47">
        <v>1755</v>
      </c>
      <c r="AG33" s="47">
        <v>2015</v>
      </c>
      <c r="AH33" s="47">
        <v>2248</v>
      </c>
      <c r="AK33" s="78">
        <v>2202</v>
      </c>
      <c r="AL33" s="72" t="s">
        <v>278</v>
      </c>
      <c r="AM33" s="76">
        <v>308</v>
      </c>
      <c r="AN33" s="76">
        <v>82</v>
      </c>
      <c r="AO33" s="76">
        <v>108</v>
      </c>
      <c r="AP33" s="76">
        <v>118</v>
      </c>
      <c r="AQ33" s="141"/>
      <c r="AR33" s="134"/>
      <c r="AT33" s="2318" t="s">
        <v>127</v>
      </c>
      <c r="AU33" s="2318"/>
      <c r="AV33" s="113"/>
      <c r="AW33" s="113"/>
      <c r="AX33" s="113"/>
      <c r="AY33" s="113"/>
      <c r="AZ33" s="113"/>
      <c r="BA33" s="113"/>
      <c r="BB33" s="113"/>
      <c r="BC33" s="113"/>
      <c r="BF33" s="2055" t="s">
        <v>127</v>
      </c>
      <c r="BG33" s="2055"/>
      <c r="BH33" s="2"/>
      <c r="BI33" s="2"/>
      <c r="BJ33" s="2"/>
      <c r="BK33" s="2"/>
      <c r="BL33" s="2"/>
      <c r="BM33" s="2"/>
      <c r="BN33" s="2"/>
      <c r="BO33" s="2"/>
      <c r="BR33" s="2036" t="s">
        <v>127</v>
      </c>
      <c r="BS33" s="2036"/>
      <c r="BT33" s="2"/>
      <c r="BU33" s="2"/>
      <c r="BV33" s="2"/>
      <c r="BW33" s="2"/>
      <c r="BX33" s="2"/>
      <c r="BY33" s="2"/>
      <c r="BZ33" s="2"/>
      <c r="CA33" s="2"/>
    </row>
    <row r="34" spans="1:79" ht="12.95" customHeight="1">
      <c r="A34" s="2" t="s">
        <v>465</v>
      </c>
      <c r="B34" s="2"/>
      <c r="C34" s="5">
        <v>13</v>
      </c>
      <c r="D34" s="5">
        <v>0</v>
      </c>
      <c r="E34" s="2"/>
      <c r="F34" s="5">
        <v>34</v>
      </c>
      <c r="G34" s="5">
        <v>18</v>
      </c>
      <c r="J34" s="35">
        <v>2201</v>
      </c>
      <c r="K34" s="2" t="s">
        <v>563</v>
      </c>
      <c r="L34" s="5">
        <v>138</v>
      </c>
      <c r="M34" s="5">
        <v>16</v>
      </c>
      <c r="N34" s="5">
        <v>20</v>
      </c>
      <c r="O34" s="5">
        <v>75</v>
      </c>
      <c r="P34" s="5">
        <v>27</v>
      </c>
      <c r="Q34" s="5"/>
      <c r="S34" s="35">
        <v>2202</v>
      </c>
      <c r="T34" s="2" t="s">
        <v>278</v>
      </c>
      <c r="U34" s="47">
        <v>1465</v>
      </c>
      <c r="V34" s="5">
        <v>620</v>
      </c>
      <c r="W34" s="5">
        <v>250</v>
      </c>
      <c r="X34" s="5">
        <v>490</v>
      </c>
      <c r="Y34" s="5">
        <v>105</v>
      </c>
      <c r="Z34" s="5"/>
      <c r="AB34" s="21">
        <v>2203</v>
      </c>
      <c r="AC34" s="2" t="s">
        <v>430</v>
      </c>
      <c r="AD34" s="47">
        <v>7755</v>
      </c>
      <c r="AE34" s="47">
        <v>2434</v>
      </c>
      <c r="AF34" s="47">
        <v>1504</v>
      </c>
      <c r="AG34" s="47">
        <v>1781</v>
      </c>
      <c r="AH34" s="47">
        <v>2036</v>
      </c>
      <c r="AK34" s="72"/>
      <c r="AL34" s="72"/>
      <c r="AM34" s="72"/>
      <c r="AN34" s="72"/>
      <c r="AO34" s="72"/>
      <c r="AP34" s="72"/>
      <c r="AQ34" s="141"/>
      <c r="AR34" s="134"/>
      <c r="AT34" s="173"/>
      <c r="AU34" s="176"/>
      <c r="AV34" s="184" t="s">
        <v>860</v>
      </c>
      <c r="AW34" s="177" t="s">
        <v>841</v>
      </c>
      <c r="AX34" s="2051" t="s">
        <v>842</v>
      </c>
      <c r="AY34" s="2051"/>
      <c r="AZ34" s="2051"/>
      <c r="BA34" s="2051"/>
      <c r="BB34" s="2051"/>
      <c r="BC34" s="2051"/>
      <c r="BF34" s="108"/>
      <c r="BG34" s="191"/>
      <c r="BH34" s="189" t="s">
        <v>932</v>
      </c>
      <c r="BI34" s="69" t="s">
        <v>841</v>
      </c>
      <c r="BJ34" s="2042" t="s">
        <v>842</v>
      </c>
      <c r="BK34" s="2043"/>
      <c r="BL34" s="2043"/>
      <c r="BM34" s="2043"/>
      <c r="BN34" s="2043"/>
      <c r="BO34" s="2043"/>
      <c r="BR34" s="8"/>
      <c r="BS34" s="188"/>
      <c r="BT34" s="189" t="s">
        <v>990</v>
      </c>
      <c r="BU34" s="69" t="s">
        <v>841</v>
      </c>
      <c r="BV34" s="2057" t="s">
        <v>842</v>
      </c>
      <c r="BW34" s="2057"/>
      <c r="BX34" s="2057"/>
      <c r="BY34" s="2057"/>
      <c r="BZ34" s="2057"/>
      <c r="CA34" s="2057"/>
    </row>
    <row r="35" spans="1:79" ht="12.95" customHeight="1">
      <c r="A35" s="2" t="s">
        <v>525</v>
      </c>
      <c r="B35" s="2"/>
      <c r="C35" s="2"/>
      <c r="D35" s="2"/>
      <c r="E35" s="2"/>
      <c r="F35" s="2"/>
      <c r="G35" s="2"/>
      <c r="J35" s="35">
        <v>2202</v>
      </c>
      <c r="K35" s="2" t="s">
        <v>564</v>
      </c>
      <c r="L35" s="47">
        <v>2080</v>
      </c>
      <c r="M35" s="5">
        <v>673</v>
      </c>
      <c r="N35" s="5">
        <v>620</v>
      </c>
      <c r="O35" s="5">
        <v>323</v>
      </c>
      <c r="P35" s="5">
        <v>464</v>
      </c>
      <c r="Q35" s="5"/>
      <c r="S35" s="35">
        <v>2209</v>
      </c>
      <c r="T35" s="2" t="s">
        <v>652</v>
      </c>
      <c r="U35" s="5">
        <v>3</v>
      </c>
      <c r="V35" s="5" t="s">
        <v>546</v>
      </c>
      <c r="W35" s="5">
        <v>3</v>
      </c>
      <c r="X35" s="5" t="s">
        <v>546</v>
      </c>
      <c r="Y35" s="5" t="s">
        <v>546</v>
      </c>
      <c r="Z35" s="5"/>
      <c r="AB35" s="21">
        <v>2204</v>
      </c>
      <c r="AC35" s="2" t="s">
        <v>281</v>
      </c>
      <c r="AD35" s="5">
        <v>191</v>
      </c>
      <c r="AE35" s="5" t="s">
        <v>546</v>
      </c>
      <c r="AF35" s="5" t="s">
        <v>546</v>
      </c>
      <c r="AG35" s="5">
        <v>112</v>
      </c>
      <c r="AH35" s="5">
        <v>79</v>
      </c>
      <c r="AK35" s="74"/>
      <c r="AL35" s="153" t="s">
        <v>177</v>
      </c>
      <c r="AM35" s="77">
        <v>5105</v>
      </c>
      <c r="AN35" s="77">
        <v>1510</v>
      </c>
      <c r="AO35" s="77">
        <v>1945</v>
      </c>
      <c r="AP35" s="77">
        <v>1650</v>
      </c>
      <c r="AQ35" s="141"/>
      <c r="AR35" s="134"/>
      <c r="AT35" s="10" t="s">
        <v>135</v>
      </c>
      <c r="AU35" s="183" t="s">
        <v>843</v>
      </c>
      <c r="AV35" s="40" t="s">
        <v>844</v>
      </c>
      <c r="AW35" s="70" t="s">
        <v>129</v>
      </c>
      <c r="AX35" s="26" t="s">
        <v>845</v>
      </c>
      <c r="AY35" s="26" t="s">
        <v>846</v>
      </c>
      <c r="AZ35" s="26" t="s">
        <v>528</v>
      </c>
      <c r="BA35" s="26" t="s">
        <v>847</v>
      </c>
      <c r="BB35" s="26" t="s">
        <v>399</v>
      </c>
      <c r="BC35" s="27" t="s">
        <v>394</v>
      </c>
      <c r="BF35" s="40" t="s">
        <v>135</v>
      </c>
      <c r="BG35" s="192" t="s">
        <v>843</v>
      </c>
      <c r="BH35" s="40" t="s">
        <v>844</v>
      </c>
      <c r="BI35" s="70" t="s">
        <v>129</v>
      </c>
      <c r="BJ35" s="26" t="s">
        <v>845</v>
      </c>
      <c r="BK35" s="26" t="s">
        <v>528</v>
      </c>
      <c r="BL35" s="26" t="s">
        <v>901</v>
      </c>
      <c r="BM35" s="26" t="s">
        <v>399</v>
      </c>
      <c r="BN35" s="26" t="s">
        <v>390</v>
      </c>
      <c r="BO35" s="27" t="s">
        <v>394</v>
      </c>
      <c r="BR35" s="10" t="s">
        <v>135</v>
      </c>
      <c r="BS35" s="183" t="s">
        <v>843</v>
      </c>
      <c r="BT35" s="40" t="s">
        <v>844</v>
      </c>
      <c r="BU35" s="70" t="s">
        <v>129</v>
      </c>
      <c r="BV35" s="26" t="s">
        <v>845</v>
      </c>
      <c r="BW35" s="26" t="s">
        <v>392</v>
      </c>
      <c r="BX35" s="26" t="s">
        <v>941</v>
      </c>
      <c r="BY35" s="26" t="s">
        <v>528</v>
      </c>
      <c r="BZ35" s="26" t="s">
        <v>399</v>
      </c>
      <c r="CA35" s="27" t="s">
        <v>394</v>
      </c>
    </row>
    <row r="36" spans="1:79" ht="12.95" customHeight="1">
      <c r="A36" s="2" t="s">
        <v>526</v>
      </c>
      <c r="B36" s="5">
        <v>30</v>
      </c>
      <c r="C36" s="5">
        <v>531</v>
      </c>
      <c r="D36" s="5">
        <v>21</v>
      </c>
      <c r="E36" s="5">
        <v>3</v>
      </c>
      <c r="F36" s="5">
        <v>272</v>
      </c>
      <c r="G36" s="5">
        <v>3</v>
      </c>
      <c r="J36" s="2"/>
      <c r="K36" s="2"/>
      <c r="L36" s="2"/>
      <c r="M36" s="2"/>
      <c r="N36" s="2"/>
      <c r="O36" s="2"/>
      <c r="P36" s="2"/>
      <c r="Q36" s="2"/>
      <c r="S36" s="2"/>
      <c r="T36" s="2"/>
      <c r="U36" s="2"/>
      <c r="V36" s="5"/>
      <c r="W36" s="5"/>
      <c r="X36" s="5"/>
      <c r="Y36" s="5"/>
      <c r="Z36" s="5"/>
      <c r="AB36" s="21">
        <v>2208</v>
      </c>
      <c r="AC36" s="2" t="s">
        <v>365</v>
      </c>
      <c r="AD36" s="5">
        <v>724</v>
      </c>
      <c r="AE36" s="5">
        <v>217</v>
      </c>
      <c r="AF36" s="5">
        <v>251</v>
      </c>
      <c r="AG36" s="5">
        <v>123</v>
      </c>
      <c r="AH36" s="5">
        <v>133</v>
      </c>
      <c r="AK36" s="78">
        <v>2203</v>
      </c>
      <c r="AL36" s="72" t="s">
        <v>430</v>
      </c>
      <c r="AM36" s="77">
        <v>4560</v>
      </c>
      <c r="AN36" s="77">
        <v>1301</v>
      </c>
      <c r="AO36" s="77">
        <v>1798</v>
      </c>
      <c r="AP36" s="77">
        <v>1461</v>
      </c>
      <c r="AQ36" s="141"/>
      <c r="AR36" s="134"/>
      <c r="AT36" s="3"/>
      <c r="AU36" s="3" t="s">
        <v>129</v>
      </c>
      <c r="AV36" s="53">
        <v>10113</v>
      </c>
      <c r="AW36" s="87">
        <v>100</v>
      </c>
      <c r="AX36" s="53">
        <v>4098</v>
      </c>
      <c r="AY36" s="53">
        <v>1553</v>
      </c>
      <c r="AZ36" s="22">
        <v>989</v>
      </c>
      <c r="BA36" s="53">
        <v>1801</v>
      </c>
      <c r="BB36" s="22">
        <v>921</v>
      </c>
      <c r="BC36" s="22">
        <v>751</v>
      </c>
      <c r="BF36" s="2"/>
      <c r="BG36" s="3" t="s">
        <v>129</v>
      </c>
      <c r="BH36" s="53">
        <v>7791</v>
      </c>
      <c r="BI36" s="87">
        <v>100</v>
      </c>
      <c r="BJ36" s="53">
        <v>4159</v>
      </c>
      <c r="BK36" s="53">
        <v>1046</v>
      </c>
      <c r="BL36" s="22">
        <v>904</v>
      </c>
      <c r="BM36" s="22">
        <v>589</v>
      </c>
      <c r="BN36" s="22">
        <v>523</v>
      </c>
      <c r="BO36" s="22">
        <v>570</v>
      </c>
      <c r="BR36" s="108"/>
      <c r="BS36" s="108" t="s">
        <v>129</v>
      </c>
      <c r="BT36" s="132">
        <v>7235</v>
      </c>
      <c r="BU36" s="198">
        <v>100</v>
      </c>
      <c r="BV36" s="132">
        <v>3903</v>
      </c>
      <c r="BW36" s="107">
        <v>555</v>
      </c>
      <c r="BX36" s="132">
        <v>1113</v>
      </c>
      <c r="BY36" s="107">
        <v>608</v>
      </c>
      <c r="BZ36" s="107">
        <v>374</v>
      </c>
      <c r="CA36" s="107">
        <v>682</v>
      </c>
    </row>
    <row r="37" spans="1:79" ht="12.95" customHeight="1">
      <c r="A37" s="2" t="s">
        <v>527</v>
      </c>
      <c r="B37" s="2"/>
      <c r="C37" s="2"/>
      <c r="D37" s="2"/>
      <c r="E37" s="5">
        <v>44</v>
      </c>
      <c r="F37" s="2"/>
      <c r="G37" s="2"/>
      <c r="J37" s="2"/>
      <c r="K37" s="6" t="s">
        <v>177</v>
      </c>
      <c r="L37" s="47">
        <v>9346</v>
      </c>
      <c r="M37" s="47">
        <v>2600</v>
      </c>
      <c r="N37" s="47">
        <v>2396</v>
      </c>
      <c r="O37" s="47">
        <v>2634</v>
      </c>
      <c r="P37" s="47">
        <v>1716</v>
      </c>
      <c r="Q37" s="47"/>
      <c r="S37" s="2"/>
      <c r="T37" s="6" t="s">
        <v>177</v>
      </c>
      <c r="U37" s="47">
        <v>8999</v>
      </c>
      <c r="V37" s="47">
        <v>2537</v>
      </c>
      <c r="W37" s="47">
        <v>1962</v>
      </c>
      <c r="X37" s="47">
        <v>2616</v>
      </c>
      <c r="Y37" s="47">
        <v>1884</v>
      </c>
      <c r="Z37" s="47"/>
      <c r="AB37" s="2"/>
      <c r="AC37" s="2"/>
      <c r="AD37" s="2"/>
      <c r="AE37" s="2"/>
      <c r="AF37" s="2"/>
      <c r="AG37" s="2"/>
      <c r="AH37" s="2"/>
      <c r="AK37" s="78">
        <v>2204</v>
      </c>
      <c r="AL37" s="72" t="s">
        <v>281</v>
      </c>
      <c r="AM37" s="76">
        <v>115</v>
      </c>
      <c r="AN37" s="76">
        <v>27</v>
      </c>
      <c r="AO37" s="76">
        <v>50</v>
      </c>
      <c r="AP37" s="76">
        <v>38</v>
      </c>
      <c r="AQ37" s="141"/>
      <c r="AR37" s="134"/>
      <c r="AT37" s="35">
        <v>2203</v>
      </c>
      <c r="AU37" s="2" t="s">
        <v>178</v>
      </c>
      <c r="AV37" s="47">
        <v>2174</v>
      </c>
      <c r="AW37" s="5">
        <v>21.5</v>
      </c>
      <c r="AX37" s="47">
        <v>1443</v>
      </c>
      <c r="AY37" s="2"/>
      <c r="AZ37" s="5">
        <v>166</v>
      </c>
      <c r="BA37" s="5">
        <v>565</v>
      </c>
      <c r="BB37" s="2"/>
      <c r="BC37" s="2"/>
      <c r="BF37" s="35">
        <v>2402</v>
      </c>
      <c r="BG37" s="2" t="s">
        <v>616</v>
      </c>
      <c r="BH37" s="47">
        <v>1656</v>
      </c>
      <c r="BI37" s="5">
        <v>21.3</v>
      </c>
      <c r="BJ37" s="47">
        <v>1259</v>
      </c>
      <c r="BK37" s="5">
        <v>167</v>
      </c>
      <c r="BL37" s="5">
        <v>225</v>
      </c>
      <c r="BM37" s="2"/>
      <c r="BN37" s="2"/>
      <c r="BO37" s="5">
        <v>5</v>
      </c>
      <c r="BR37" s="21">
        <v>2402</v>
      </c>
      <c r="BS37" s="3" t="s">
        <v>616</v>
      </c>
      <c r="BT37" s="53">
        <v>1946</v>
      </c>
      <c r="BU37" s="22">
        <v>26.9</v>
      </c>
      <c r="BV37" s="53">
        <v>1420</v>
      </c>
      <c r="BW37" s="3"/>
      <c r="BX37" s="22">
        <v>359</v>
      </c>
      <c r="BY37" s="22">
        <v>162</v>
      </c>
      <c r="BZ37" s="3"/>
      <c r="CA37" s="22">
        <v>5</v>
      </c>
    </row>
    <row r="38" spans="1:79" ht="12.95" customHeight="1">
      <c r="A38" s="3" t="s">
        <v>528</v>
      </c>
      <c r="B38" s="47">
        <v>3789</v>
      </c>
      <c r="C38" s="47">
        <v>4415</v>
      </c>
      <c r="D38" s="47">
        <v>4341</v>
      </c>
      <c r="E38" s="53">
        <v>3769</v>
      </c>
      <c r="F38" s="53">
        <v>3827</v>
      </c>
      <c r="G38" s="53">
        <v>2592</v>
      </c>
      <c r="J38" s="35">
        <v>2203</v>
      </c>
      <c r="K38" s="2" t="s">
        <v>364</v>
      </c>
      <c r="L38" s="47">
        <v>8368</v>
      </c>
      <c r="M38" s="47">
        <v>2289</v>
      </c>
      <c r="N38" s="47">
        <v>2174</v>
      </c>
      <c r="O38" s="47">
        <v>2387</v>
      </c>
      <c r="P38" s="47">
        <v>1518</v>
      </c>
      <c r="Q38" s="47"/>
      <c r="S38" s="35">
        <v>2203</v>
      </c>
      <c r="T38" s="2" t="s">
        <v>430</v>
      </c>
      <c r="U38" s="47">
        <v>8195</v>
      </c>
      <c r="V38" s="47">
        <v>2356</v>
      </c>
      <c r="W38" s="47">
        <v>1737</v>
      </c>
      <c r="X38" s="47">
        <v>2470</v>
      </c>
      <c r="Y38" s="47">
        <v>1632</v>
      </c>
      <c r="Z38" s="47"/>
      <c r="AB38" s="3"/>
      <c r="AC38" s="20" t="s">
        <v>366</v>
      </c>
      <c r="AD38" s="47">
        <v>7060</v>
      </c>
      <c r="AE38" s="47">
        <v>1983</v>
      </c>
      <c r="AF38" s="47">
        <v>1835</v>
      </c>
      <c r="AG38" s="47">
        <v>1691</v>
      </c>
      <c r="AH38" s="47">
        <v>1551</v>
      </c>
      <c r="AK38" s="78">
        <v>2208</v>
      </c>
      <c r="AL38" s="72" t="s">
        <v>365</v>
      </c>
      <c r="AM38" s="76">
        <v>430</v>
      </c>
      <c r="AN38" s="76">
        <v>182</v>
      </c>
      <c r="AO38" s="76">
        <v>97</v>
      </c>
      <c r="AP38" s="76">
        <v>151</v>
      </c>
      <c r="AQ38" s="141"/>
      <c r="AR38" s="134"/>
      <c r="AT38" s="35">
        <v>2523</v>
      </c>
      <c r="AU38" s="2" t="s">
        <v>202</v>
      </c>
      <c r="AV38" s="47">
        <v>1899</v>
      </c>
      <c r="AW38" s="5">
        <v>18.8</v>
      </c>
      <c r="AX38" s="2"/>
      <c r="AY38" s="47">
        <v>1553</v>
      </c>
      <c r="AZ38" s="2"/>
      <c r="BA38" s="5">
        <v>346</v>
      </c>
      <c r="BB38" s="2"/>
      <c r="BC38" s="2"/>
      <c r="BF38" s="35">
        <v>2203</v>
      </c>
      <c r="BG38" s="2" t="s">
        <v>280</v>
      </c>
      <c r="BH38" s="47">
        <v>1504</v>
      </c>
      <c r="BI38" s="5">
        <v>19.3</v>
      </c>
      <c r="BJ38" s="47">
        <v>1003</v>
      </c>
      <c r="BK38" s="5">
        <v>242</v>
      </c>
      <c r="BL38" s="5">
        <v>259</v>
      </c>
      <c r="BM38" s="2"/>
      <c r="BN38" s="2"/>
      <c r="BO38" s="2"/>
      <c r="BR38" s="21">
        <v>2203</v>
      </c>
      <c r="BS38" s="3" t="s">
        <v>991</v>
      </c>
      <c r="BT38" s="53">
        <v>1798</v>
      </c>
      <c r="BU38" s="22">
        <v>24.9</v>
      </c>
      <c r="BV38" s="53">
        <v>1196</v>
      </c>
      <c r="BW38" s="3"/>
      <c r="BX38" s="22">
        <v>375</v>
      </c>
      <c r="BY38" s="22">
        <v>216</v>
      </c>
      <c r="BZ38" s="3"/>
      <c r="CA38" s="22">
        <v>11</v>
      </c>
    </row>
    <row r="39" spans="1:79" ht="12.95" customHeight="1">
      <c r="A39" s="2" t="s">
        <v>529</v>
      </c>
      <c r="B39" s="2"/>
      <c r="C39" s="2"/>
      <c r="D39" s="2"/>
      <c r="E39" s="2"/>
      <c r="F39" s="2"/>
      <c r="G39" s="2"/>
      <c r="J39" s="35">
        <v>2204</v>
      </c>
      <c r="K39" s="2" t="s">
        <v>565</v>
      </c>
      <c r="L39" s="5">
        <v>307</v>
      </c>
      <c r="M39" s="5">
        <v>101</v>
      </c>
      <c r="N39" s="5">
        <v>96</v>
      </c>
      <c r="O39" s="5">
        <v>58</v>
      </c>
      <c r="P39" s="5">
        <v>52</v>
      </c>
      <c r="Q39" s="5"/>
      <c r="S39" s="35">
        <v>2204</v>
      </c>
      <c r="T39" s="2" t="s">
        <v>281</v>
      </c>
      <c r="U39" s="5">
        <v>113</v>
      </c>
      <c r="V39" s="5">
        <v>44</v>
      </c>
      <c r="W39" s="5">
        <v>69</v>
      </c>
      <c r="X39" s="5" t="s">
        <v>546</v>
      </c>
      <c r="Y39" s="5" t="s">
        <v>546</v>
      </c>
      <c r="Z39" s="5"/>
      <c r="AB39" s="21">
        <v>4011</v>
      </c>
      <c r="AC39" s="2" t="s">
        <v>567</v>
      </c>
      <c r="AD39" s="5">
        <v>79</v>
      </c>
      <c r="AE39" s="5">
        <v>6</v>
      </c>
      <c r="AF39" s="5">
        <v>48</v>
      </c>
      <c r="AG39" s="5">
        <v>25</v>
      </c>
      <c r="AH39" s="5" t="s">
        <v>546</v>
      </c>
      <c r="AK39" s="72"/>
      <c r="AL39" s="72"/>
      <c r="AM39" s="72"/>
      <c r="AN39" s="72"/>
      <c r="AO39" s="72"/>
      <c r="AP39" s="72"/>
      <c r="AQ39" s="141"/>
      <c r="AR39" s="134"/>
      <c r="AT39" s="35">
        <v>2402</v>
      </c>
      <c r="AU39" s="2" t="s">
        <v>848</v>
      </c>
      <c r="AV39" s="47">
        <v>1558</v>
      </c>
      <c r="AW39" s="5">
        <v>15.4</v>
      </c>
      <c r="AX39" s="47">
        <v>1021</v>
      </c>
      <c r="AY39" s="2"/>
      <c r="AZ39" s="5">
        <v>86</v>
      </c>
      <c r="BA39" s="5">
        <v>451</v>
      </c>
      <c r="BB39" s="2"/>
      <c r="BC39" s="2"/>
      <c r="BF39" s="35">
        <v>8703</v>
      </c>
      <c r="BG39" s="2" t="s">
        <v>933</v>
      </c>
      <c r="BH39" s="5">
        <v>991</v>
      </c>
      <c r="BI39" s="5">
        <v>12.7</v>
      </c>
      <c r="BJ39" s="5">
        <v>514</v>
      </c>
      <c r="BK39" s="5">
        <v>262</v>
      </c>
      <c r="BL39" s="5">
        <v>65</v>
      </c>
      <c r="BM39" s="2"/>
      <c r="BN39" s="5">
        <v>150</v>
      </c>
      <c r="BO39" s="2"/>
      <c r="BR39" s="21">
        <v>8703</v>
      </c>
      <c r="BS39" s="3" t="s">
        <v>654</v>
      </c>
      <c r="BT39" s="22">
        <v>757</v>
      </c>
      <c r="BU39" s="22">
        <v>10.5</v>
      </c>
      <c r="BV39" s="22">
        <v>591</v>
      </c>
      <c r="BW39" s="22">
        <v>9</v>
      </c>
      <c r="BX39" s="3"/>
      <c r="BY39" s="22">
        <v>96</v>
      </c>
      <c r="BZ39" s="3"/>
      <c r="CA39" s="22">
        <v>61</v>
      </c>
    </row>
    <row r="40" spans="1:79" ht="12.95" customHeight="1">
      <c r="A40" s="3" t="s">
        <v>397</v>
      </c>
      <c r="B40" s="5">
        <v>458</v>
      </c>
      <c r="C40" s="5">
        <v>256</v>
      </c>
      <c r="D40" s="5">
        <v>118</v>
      </c>
      <c r="E40" s="22">
        <v>734</v>
      </c>
      <c r="F40" s="22">
        <v>314</v>
      </c>
      <c r="G40" s="22">
        <v>157</v>
      </c>
      <c r="J40" s="35">
        <v>2208</v>
      </c>
      <c r="K40" s="2" t="s">
        <v>566</v>
      </c>
      <c r="L40" s="5">
        <v>671</v>
      </c>
      <c r="M40" s="5">
        <v>210</v>
      </c>
      <c r="N40" s="5">
        <v>126</v>
      </c>
      <c r="O40" s="5">
        <v>189</v>
      </c>
      <c r="P40" s="5">
        <v>146</v>
      </c>
      <c r="Q40" s="5"/>
      <c r="S40" s="35">
        <v>2208</v>
      </c>
      <c r="T40" s="2" t="s">
        <v>365</v>
      </c>
      <c r="U40" s="5">
        <v>691</v>
      </c>
      <c r="V40" s="5">
        <v>137</v>
      </c>
      <c r="W40" s="5">
        <v>156</v>
      </c>
      <c r="X40" s="5">
        <v>146</v>
      </c>
      <c r="Y40" s="5">
        <v>252</v>
      </c>
      <c r="Z40" s="5"/>
      <c r="AB40" s="21">
        <v>4017</v>
      </c>
      <c r="AC40" s="2" t="s">
        <v>653</v>
      </c>
      <c r="AD40" s="5">
        <v>6</v>
      </c>
      <c r="AE40" s="5" t="s">
        <v>546</v>
      </c>
      <c r="AF40" s="5" t="s">
        <v>546</v>
      </c>
      <c r="AG40" s="5" t="s">
        <v>546</v>
      </c>
      <c r="AH40" s="5">
        <v>6</v>
      </c>
      <c r="AK40" s="74"/>
      <c r="AL40" s="153" t="s">
        <v>366</v>
      </c>
      <c r="AM40" s="77">
        <v>2578</v>
      </c>
      <c r="AN40" s="77">
        <v>1220</v>
      </c>
      <c r="AO40" s="76">
        <v>906</v>
      </c>
      <c r="AP40" s="76">
        <v>452</v>
      </c>
      <c r="AQ40" s="141"/>
      <c r="AR40" s="134"/>
      <c r="AT40" s="35">
        <v>8703</v>
      </c>
      <c r="AU40" s="2" t="s">
        <v>861</v>
      </c>
      <c r="AV40" s="5">
        <v>995</v>
      </c>
      <c r="AW40" s="5">
        <v>9.8000000000000007</v>
      </c>
      <c r="AX40" s="5">
        <v>836</v>
      </c>
      <c r="AY40" s="2"/>
      <c r="AZ40" s="5">
        <v>20</v>
      </c>
      <c r="BA40" s="5">
        <v>66</v>
      </c>
      <c r="BB40" s="2"/>
      <c r="BC40" s="5">
        <v>73</v>
      </c>
      <c r="BF40" s="35">
        <v>7200</v>
      </c>
      <c r="BG40" s="2" t="s">
        <v>309</v>
      </c>
      <c r="BH40" s="5">
        <v>769</v>
      </c>
      <c r="BI40" s="5">
        <v>9.9</v>
      </c>
      <c r="BJ40" s="5">
        <v>9</v>
      </c>
      <c r="BK40" s="2"/>
      <c r="BL40" s="2"/>
      <c r="BM40" s="5">
        <v>589</v>
      </c>
      <c r="BN40" s="5">
        <v>119</v>
      </c>
      <c r="BO40" s="5">
        <v>52</v>
      </c>
      <c r="BR40" s="21">
        <v>3304</v>
      </c>
      <c r="BS40" s="3" t="s">
        <v>432</v>
      </c>
      <c r="BT40" s="22">
        <v>452</v>
      </c>
      <c r="BU40" s="22">
        <v>6.2</v>
      </c>
      <c r="BV40" s="3"/>
      <c r="BW40" s="22">
        <v>152</v>
      </c>
      <c r="BX40" s="3"/>
      <c r="BY40" s="22">
        <v>3</v>
      </c>
      <c r="BZ40" s="3"/>
      <c r="CA40" s="22">
        <v>297</v>
      </c>
    </row>
    <row r="41" spans="1:79" ht="12.95" customHeight="1">
      <c r="A41" s="2" t="s">
        <v>497</v>
      </c>
      <c r="B41" s="2"/>
      <c r="C41" s="2"/>
      <c r="D41" s="2"/>
      <c r="E41" s="2"/>
      <c r="F41" s="2"/>
      <c r="G41" s="2"/>
      <c r="J41" s="2"/>
      <c r="K41" s="2"/>
      <c r="L41" s="2"/>
      <c r="M41" s="2"/>
      <c r="N41" s="2"/>
      <c r="O41" s="2"/>
      <c r="P41" s="2"/>
      <c r="Q41" s="2"/>
      <c r="S41" s="2"/>
      <c r="T41" s="2"/>
      <c r="U41" s="2"/>
      <c r="V41" s="5"/>
      <c r="W41" s="5"/>
      <c r="X41" s="5"/>
      <c r="Y41" s="5"/>
      <c r="Z41" s="5"/>
      <c r="AB41" s="21">
        <v>8703</v>
      </c>
      <c r="AC41" s="2" t="s">
        <v>654</v>
      </c>
      <c r="AD41" s="47">
        <v>5368</v>
      </c>
      <c r="AE41" s="47">
        <v>1393</v>
      </c>
      <c r="AF41" s="5">
        <v>992</v>
      </c>
      <c r="AG41" s="47">
        <v>1613</v>
      </c>
      <c r="AH41" s="47">
        <v>1370</v>
      </c>
      <c r="AK41" s="78">
        <v>4011</v>
      </c>
      <c r="AL41" s="72" t="s">
        <v>567</v>
      </c>
      <c r="AM41" s="76">
        <v>255</v>
      </c>
      <c r="AN41" s="76">
        <v>194</v>
      </c>
      <c r="AO41" s="76">
        <v>58</v>
      </c>
      <c r="AP41" s="76">
        <v>3</v>
      </c>
      <c r="AQ41" s="141"/>
      <c r="AR41" s="134"/>
      <c r="AT41" s="35">
        <v>7200</v>
      </c>
      <c r="AU41" s="2" t="s">
        <v>209</v>
      </c>
      <c r="AV41" s="5">
        <v>823</v>
      </c>
      <c r="AW41" s="5">
        <v>8.1</v>
      </c>
      <c r="AX41" s="2"/>
      <c r="AY41" s="2"/>
      <c r="AZ41" s="2"/>
      <c r="BA41" s="2"/>
      <c r="BB41" s="5">
        <v>608</v>
      </c>
      <c r="BC41" s="5">
        <v>215</v>
      </c>
      <c r="BF41" s="35">
        <v>8708</v>
      </c>
      <c r="BG41" s="2" t="s">
        <v>295</v>
      </c>
      <c r="BH41" s="5">
        <v>556</v>
      </c>
      <c r="BI41" s="5">
        <v>7.1</v>
      </c>
      <c r="BJ41" s="5">
        <v>489</v>
      </c>
      <c r="BK41" s="2"/>
      <c r="BL41" s="2"/>
      <c r="BM41" s="2"/>
      <c r="BN41" s="5">
        <v>67</v>
      </c>
      <c r="BO41" s="2"/>
      <c r="BR41" s="56" t="s">
        <v>340</v>
      </c>
      <c r="BS41" s="3" t="s">
        <v>435</v>
      </c>
      <c r="BT41" s="22">
        <v>402</v>
      </c>
      <c r="BU41" s="22">
        <v>5.6</v>
      </c>
      <c r="BV41" s="22">
        <v>8</v>
      </c>
      <c r="BW41" s="22">
        <v>394</v>
      </c>
      <c r="BX41" s="3"/>
      <c r="BY41" s="3"/>
      <c r="BZ41" s="3"/>
      <c r="CA41" s="3"/>
    </row>
    <row r="42" spans="1:79" ht="12.95" customHeight="1">
      <c r="A42" s="2" t="s">
        <v>530</v>
      </c>
      <c r="B42" s="2"/>
      <c r="C42" s="2"/>
      <c r="D42" s="2"/>
      <c r="E42" s="2"/>
      <c r="F42" s="2"/>
      <c r="G42" s="2"/>
      <c r="J42" s="2"/>
      <c r="K42" s="6" t="s">
        <v>366</v>
      </c>
      <c r="L42" s="47">
        <v>6210</v>
      </c>
      <c r="M42" s="5">
        <v>937</v>
      </c>
      <c r="N42" s="47">
        <v>1560</v>
      </c>
      <c r="O42" s="47">
        <v>1788</v>
      </c>
      <c r="P42" s="47">
        <v>1925</v>
      </c>
      <c r="Q42" s="47"/>
      <c r="S42" s="2"/>
      <c r="T42" s="6" t="s">
        <v>366</v>
      </c>
      <c r="U42" s="47">
        <v>12122</v>
      </c>
      <c r="V42" s="47">
        <v>1697</v>
      </c>
      <c r="W42" s="47">
        <v>5875</v>
      </c>
      <c r="X42" s="47">
        <v>2802</v>
      </c>
      <c r="Y42" s="47">
        <v>1748</v>
      </c>
      <c r="Z42" s="47"/>
      <c r="AB42" s="21">
        <v>8704</v>
      </c>
      <c r="AC42" s="2" t="s">
        <v>655</v>
      </c>
      <c r="AD42" s="5">
        <v>309</v>
      </c>
      <c r="AE42" s="5" t="s">
        <v>546</v>
      </c>
      <c r="AF42" s="5">
        <v>239</v>
      </c>
      <c r="AG42" s="5">
        <v>35</v>
      </c>
      <c r="AH42" s="5">
        <v>35</v>
      </c>
      <c r="AK42" s="78">
        <v>8703</v>
      </c>
      <c r="AL42" s="72" t="s">
        <v>654</v>
      </c>
      <c r="AM42" s="77">
        <v>2091</v>
      </c>
      <c r="AN42" s="76">
        <v>945</v>
      </c>
      <c r="AO42" s="76">
        <v>757</v>
      </c>
      <c r="AP42" s="76">
        <v>389</v>
      </c>
      <c r="AQ42" s="141"/>
      <c r="AR42" s="134"/>
      <c r="AT42" s="35">
        <v>2202</v>
      </c>
      <c r="AU42" s="2" t="s">
        <v>849</v>
      </c>
      <c r="AV42" s="5">
        <v>620</v>
      </c>
      <c r="AW42" s="5">
        <v>6.1</v>
      </c>
      <c r="AX42" s="5">
        <v>228</v>
      </c>
      <c r="AY42" s="2"/>
      <c r="AZ42" s="5">
        <v>125</v>
      </c>
      <c r="BA42" s="5">
        <v>267</v>
      </c>
      <c r="BB42" s="2"/>
      <c r="BC42" s="2"/>
      <c r="BF42" s="35">
        <v>7113</v>
      </c>
      <c r="BG42" s="2" t="s">
        <v>328</v>
      </c>
      <c r="BH42" s="5">
        <v>353</v>
      </c>
      <c r="BI42" s="5">
        <v>4.5</v>
      </c>
      <c r="BJ42" s="2"/>
      <c r="BK42" s="2"/>
      <c r="BL42" s="2"/>
      <c r="BM42" s="2"/>
      <c r="BN42" s="2"/>
      <c r="BO42" s="5">
        <v>353</v>
      </c>
      <c r="BR42" s="21">
        <v>7200</v>
      </c>
      <c r="BS42" s="3" t="s">
        <v>309</v>
      </c>
      <c r="BT42" s="22">
        <v>350</v>
      </c>
      <c r="BU42" s="22">
        <v>4.8</v>
      </c>
      <c r="BV42" s="3"/>
      <c r="BW42" s="3"/>
      <c r="BX42" s="22">
        <v>5</v>
      </c>
      <c r="BY42" s="22">
        <v>3</v>
      </c>
      <c r="BZ42" s="22">
        <v>294</v>
      </c>
      <c r="CA42" s="22">
        <v>48</v>
      </c>
    </row>
    <row r="43" spans="1:79" ht="12.95" customHeight="1">
      <c r="A43" s="2" t="s">
        <v>389</v>
      </c>
      <c r="B43" s="5">
        <v>764</v>
      </c>
      <c r="C43" s="5">
        <v>9</v>
      </c>
      <c r="D43" s="2"/>
      <c r="E43" s="5">
        <v>634</v>
      </c>
      <c r="F43" s="5">
        <v>113</v>
      </c>
      <c r="G43" s="5">
        <v>524</v>
      </c>
      <c r="J43" s="35">
        <v>4011</v>
      </c>
      <c r="K43" s="2" t="s">
        <v>567</v>
      </c>
      <c r="L43" s="5">
        <v>82</v>
      </c>
      <c r="M43" s="5">
        <v>6</v>
      </c>
      <c r="N43" s="5">
        <v>55</v>
      </c>
      <c r="O43" s="5">
        <v>4</v>
      </c>
      <c r="P43" s="5">
        <v>17</v>
      </c>
      <c r="Q43" s="5"/>
      <c r="S43" s="35">
        <v>4011</v>
      </c>
      <c r="T43" s="2" t="s">
        <v>567</v>
      </c>
      <c r="U43" s="5">
        <v>53</v>
      </c>
      <c r="V43" s="5">
        <v>9</v>
      </c>
      <c r="W43" s="5">
        <v>25</v>
      </c>
      <c r="X43" s="5">
        <v>6</v>
      </c>
      <c r="Y43" s="5">
        <v>13</v>
      </c>
      <c r="Z43" s="5"/>
      <c r="AB43" s="21">
        <v>8708</v>
      </c>
      <c r="AC43" s="2" t="s">
        <v>295</v>
      </c>
      <c r="AD43" s="47">
        <v>1219</v>
      </c>
      <c r="AE43" s="5">
        <v>584</v>
      </c>
      <c r="AF43" s="5">
        <v>556</v>
      </c>
      <c r="AG43" s="5">
        <v>17</v>
      </c>
      <c r="AH43" s="5">
        <v>62</v>
      </c>
      <c r="AK43" s="78">
        <v>8704</v>
      </c>
      <c r="AL43" s="72" t="s">
        <v>655</v>
      </c>
      <c r="AM43" s="76">
        <v>60</v>
      </c>
      <c r="AN43" s="76" t="s">
        <v>546</v>
      </c>
      <c r="AO43" s="76" t="s">
        <v>546</v>
      </c>
      <c r="AP43" s="76">
        <v>60</v>
      </c>
      <c r="AQ43" s="141"/>
      <c r="AR43" s="134"/>
      <c r="AT43" s="35">
        <v>8704</v>
      </c>
      <c r="AU43" s="2" t="s">
        <v>862</v>
      </c>
      <c r="AV43" s="5">
        <v>338</v>
      </c>
      <c r="AW43" s="5">
        <v>3.3</v>
      </c>
      <c r="AX43" s="2"/>
      <c r="AY43" s="2"/>
      <c r="AZ43" s="5">
        <v>338</v>
      </c>
      <c r="BA43" s="2"/>
      <c r="BB43" s="2"/>
      <c r="BC43" s="2"/>
      <c r="BF43" s="35">
        <v>8516</v>
      </c>
      <c r="BG43" s="2" t="s">
        <v>934</v>
      </c>
      <c r="BH43" s="5">
        <v>339</v>
      </c>
      <c r="BI43" s="5">
        <v>4.4000000000000004</v>
      </c>
      <c r="BJ43" s="5">
        <v>168</v>
      </c>
      <c r="BK43" s="5">
        <v>117</v>
      </c>
      <c r="BL43" s="5">
        <v>54</v>
      </c>
      <c r="BM43" s="2"/>
      <c r="BN43" s="2"/>
      <c r="BO43" s="2"/>
      <c r="BR43" s="21">
        <v>4202</v>
      </c>
      <c r="BS43" s="3" t="s">
        <v>748</v>
      </c>
      <c r="BT43" s="22">
        <v>194</v>
      </c>
      <c r="BU43" s="22">
        <v>2.7</v>
      </c>
      <c r="BV43" s="22">
        <v>138</v>
      </c>
      <c r="BW43" s="3"/>
      <c r="BX43" s="3"/>
      <c r="BY43" s="3"/>
      <c r="BZ43" s="3"/>
      <c r="CA43" s="22">
        <v>56</v>
      </c>
    </row>
    <row r="44" spans="1:79" ht="12.95" customHeight="1">
      <c r="A44" s="2" t="s">
        <v>531</v>
      </c>
      <c r="B44" s="2"/>
      <c r="C44" s="2"/>
      <c r="D44" s="2"/>
      <c r="E44" s="2"/>
      <c r="F44" s="2"/>
      <c r="G44" s="2"/>
      <c r="J44" s="35">
        <v>8600</v>
      </c>
      <c r="K44" s="2" t="s">
        <v>568</v>
      </c>
      <c r="L44" s="5">
        <v>14</v>
      </c>
      <c r="M44" s="5">
        <v>14</v>
      </c>
      <c r="N44" s="5" t="s">
        <v>546</v>
      </c>
      <c r="O44" s="5" t="s">
        <v>546</v>
      </c>
      <c r="P44" s="5" t="s">
        <v>546</v>
      </c>
      <c r="Q44" s="5"/>
      <c r="S44" s="35">
        <v>4017</v>
      </c>
      <c r="T44" s="2" t="s">
        <v>653</v>
      </c>
      <c r="U44" s="5">
        <v>4</v>
      </c>
      <c r="V44" s="5" t="s">
        <v>546</v>
      </c>
      <c r="W44" s="5">
        <v>4</v>
      </c>
      <c r="X44" s="5" t="s">
        <v>546</v>
      </c>
      <c r="Y44" s="5" t="s">
        <v>546</v>
      </c>
      <c r="Z44" s="5"/>
      <c r="AB44" s="21">
        <v>8716</v>
      </c>
      <c r="AC44" s="2" t="s">
        <v>656</v>
      </c>
      <c r="AD44" s="5">
        <v>5</v>
      </c>
      <c r="AE44" s="5" t="s">
        <v>546</v>
      </c>
      <c r="AF44" s="5" t="s">
        <v>546</v>
      </c>
      <c r="AG44" s="5" t="s">
        <v>546</v>
      </c>
      <c r="AH44" s="5">
        <v>5</v>
      </c>
      <c r="AK44" s="78">
        <v>8708</v>
      </c>
      <c r="AL44" s="72" t="s">
        <v>295</v>
      </c>
      <c r="AM44" s="76">
        <v>77</v>
      </c>
      <c r="AN44" s="76">
        <v>54</v>
      </c>
      <c r="AO44" s="76">
        <v>23</v>
      </c>
      <c r="AP44" s="76" t="s">
        <v>546</v>
      </c>
      <c r="AQ44" s="141"/>
      <c r="AR44" s="134"/>
      <c r="AT44" s="35">
        <v>4202</v>
      </c>
      <c r="AU44" s="2" t="s">
        <v>587</v>
      </c>
      <c r="AV44" s="5">
        <v>213</v>
      </c>
      <c r="AW44" s="5">
        <v>2.1</v>
      </c>
      <c r="AX44" s="2"/>
      <c r="AY44" s="2"/>
      <c r="AZ44" s="2"/>
      <c r="BA44" s="2"/>
      <c r="BB44" s="2"/>
      <c r="BC44" s="5">
        <v>213</v>
      </c>
      <c r="BF44" s="35">
        <v>8548</v>
      </c>
      <c r="BG44" s="2" t="s">
        <v>935</v>
      </c>
      <c r="BH44" s="5">
        <v>255</v>
      </c>
      <c r="BI44" s="5">
        <v>3.3</v>
      </c>
      <c r="BJ44" s="5">
        <v>240</v>
      </c>
      <c r="BK44" s="2"/>
      <c r="BL44" s="2"/>
      <c r="BM44" s="2"/>
      <c r="BN44" s="5">
        <v>15</v>
      </c>
      <c r="BO44" s="2"/>
      <c r="BR44" s="21">
        <v>9004</v>
      </c>
      <c r="BS44" s="3" t="s">
        <v>978</v>
      </c>
      <c r="BT44" s="22">
        <v>150</v>
      </c>
      <c r="BU44" s="22">
        <v>2.1</v>
      </c>
      <c r="BV44" s="22">
        <v>27</v>
      </c>
      <c r="BW44" s="3"/>
      <c r="BX44" s="22">
        <v>123</v>
      </c>
      <c r="BY44" s="3"/>
      <c r="BZ44" s="3"/>
      <c r="CA44" s="3"/>
    </row>
    <row r="45" spans="1:79" ht="12.95" customHeight="1">
      <c r="A45" s="2" t="s">
        <v>532</v>
      </c>
      <c r="B45" s="2"/>
      <c r="C45" s="2"/>
      <c r="D45" s="2"/>
      <c r="E45" s="2"/>
      <c r="F45" s="2"/>
      <c r="G45" s="2"/>
      <c r="J45" s="35">
        <v>8703</v>
      </c>
      <c r="K45" s="2" t="s">
        <v>569</v>
      </c>
      <c r="L45" s="47">
        <v>4777</v>
      </c>
      <c r="M45" s="5">
        <v>662</v>
      </c>
      <c r="N45" s="5">
        <v>995</v>
      </c>
      <c r="O45" s="47">
        <v>1753</v>
      </c>
      <c r="P45" s="47">
        <v>1367</v>
      </c>
      <c r="Q45" s="47"/>
      <c r="S45" s="35">
        <v>8703</v>
      </c>
      <c r="T45" s="2" t="s">
        <v>654</v>
      </c>
      <c r="U45" s="47">
        <v>5628</v>
      </c>
      <c r="V45" s="47">
        <v>1469</v>
      </c>
      <c r="W45" s="47">
        <v>1177</v>
      </c>
      <c r="X45" s="47">
        <v>1632</v>
      </c>
      <c r="Y45" s="47">
        <v>1350</v>
      </c>
      <c r="Z45" s="47"/>
      <c r="AB45" s="21">
        <v>8900</v>
      </c>
      <c r="AC45" s="2" t="s">
        <v>709</v>
      </c>
      <c r="AD45" s="5">
        <v>16</v>
      </c>
      <c r="AE45" s="5" t="s">
        <v>546</v>
      </c>
      <c r="AF45" s="5" t="s">
        <v>546</v>
      </c>
      <c r="AG45" s="5" t="s">
        <v>546</v>
      </c>
      <c r="AH45" s="5">
        <v>16</v>
      </c>
      <c r="AK45" s="78">
        <v>8716</v>
      </c>
      <c r="AL45" s="72" t="s">
        <v>737</v>
      </c>
      <c r="AM45" s="76">
        <v>5</v>
      </c>
      <c r="AN45" s="76">
        <v>5</v>
      </c>
      <c r="AO45" s="72"/>
      <c r="AP45" s="72"/>
      <c r="AQ45" s="141"/>
      <c r="AR45" s="134"/>
      <c r="AT45" s="35">
        <v>4819</v>
      </c>
      <c r="AU45" s="2" t="s">
        <v>863</v>
      </c>
      <c r="AV45" s="5">
        <v>168</v>
      </c>
      <c r="AW45" s="5">
        <v>1.7</v>
      </c>
      <c r="AX45" s="5">
        <v>5</v>
      </c>
      <c r="AY45" s="2"/>
      <c r="AZ45" s="2"/>
      <c r="BA45" s="2"/>
      <c r="BB45" s="5">
        <v>163</v>
      </c>
      <c r="BC45" s="2"/>
      <c r="BF45" s="35">
        <v>2208</v>
      </c>
      <c r="BG45" s="2" t="s">
        <v>365</v>
      </c>
      <c r="BH45" s="5">
        <v>251</v>
      </c>
      <c r="BI45" s="5">
        <v>3.2</v>
      </c>
      <c r="BJ45" s="5">
        <v>73</v>
      </c>
      <c r="BK45" s="5">
        <v>127</v>
      </c>
      <c r="BL45" s="5">
        <v>32</v>
      </c>
      <c r="BM45" s="2"/>
      <c r="BN45" s="2"/>
      <c r="BO45" s="5">
        <v>19</v>
      </c>
      <c r="BR45" s="21">
        <v>9700</v>
      </c>
      <c r="BS45" s="3" t="s">
        <v>992</v>
      </c>
      <c r="BT45" s="22">
        <v>135</v>
      </c>
      <c r="BU45" s="22">
        <v>1.9</v>
      </c>
      <c r="BV45" s="3"/>
      <c r="BW45" s="3"/>
      <c r="BX45" s="22">
        <v>135</v>
      </c>
      <c r="BY45" s="3"/>
      <c r="BZ45" s="3"/>
      <c r="CA45" s="3"/>
    </row>
    <row r="46" spans="1:79" ht="12.95" customHeight="1">
      <c r="A46" s="2" t="s">
        <v>496</v>
      </c>
      <c r="B46" s="2"/>
      <c r="C46" s="2"/>
      <c r="D46" s="2"/>
      <c r="E46" s="2"/>
      <c r="F46" s="2"/>
      <c r="G46" s="2"/>
      <c r="J46" s="35">
        <v>8704</v>
      </c>
      <c r="K46" s="2" t="s">
        <v>570</v>
      </c>
      <c r="L46" s="5">
        <v>681</v>
      </c>
      <c r="M46" s="5">
        <v>234</v>
      </c>
      <c r="N46" s="5">
        <v>338</v>
      </c>
      <c r="O46" s="5">
        <v>17</v>
      </c>
      <c r="P46" s="5">
        <v>92</v>
      </c>
      <c r="Q46" s="5"/>
      <c r="S46" s="35">
        <v>8704</v>
      </c>
      <c r="T46" s="2" t="s">
        <v>655</v>
      </c>
      <c r="U46" s="5">
        <v>321</v>
      </c>
      <c r="V46" s="5">
        <v>203</v>
      </c>
      <c r="W46" s="5" t="s">
        <v>546</v>
      </c>
      <c r="X46" s="5">
        <v>118</v>
      </c>
      <c r="Y46" s="5" t="s">
        <v>546</v>
      </c>
      <c r="Z46" s="5"/>
      <c r="AB46" s="2"/>
      <c r="AC46" s="2"/>
      <c r="AD46" s="2"/>
      <c r="AE46" s="2"/>
      <c r="AF46" s="2"/>
      <c r="AG46" s="2"/>
      <c r="AH46" s="2"/>
      <c r="AK46" s="78">
        <v>8900</v>
      </c>
      <c r="AL46" s="72" t="s">
        <v>709</v>
      </c>
      <c r="AM46" s="76">
        <v>90</v>
      </c>
      <c r="AN46" s="76">
        <v>22</v>
      </c>
      <c r="AO46" s="76">
        <v>68</v>
      </c>
      <c r="AP46" s="76" t="s">
        <v>546</v>
      </c>
      <c r="AQ46" s="141"/>
      <c r="AR46" s="134"/>
      <c r="AT46" s="35">
        <v>8548</v>
      </c>
      <c r="AU46" s="2" t="s">
        <v>864</v>
      </c>
      <c r="AV46" s="5">
        <v>167</v>
      </c>
      <c r="AW46" s="5">
        <v>1.7</v>
      </c>
      <c r="AX46" s="5">
        <v>98</v>
      </c>
      <c r="AY46" s="2"/>
      <c r="AZ46" s="5">
        <v>53</v>
      </c>
      <c r="BA46" s="2"/>
      <c r="BB46" s="2"/>
      <c r="BC46" s="5">
        <v>16</v>
      </c>
      <c r="BF46" s="35">
        <v>8704</v>
      </c>
      <c r="BG46" s="2" t="s">
        <v>367</v>
      </c>
      <c r="BH46" s="5">
        <v>239</v>
      </c>
      <c r="BI46" s="5">
        <v>3.1</v>
      </c>
      <c r="BJ46" s="5">
        <v>35</v>
      </c>
      <c r="BK46" s="2"/>
      <c r="BL46" s="5">
        <v>204</v>
      </c>
      <c r="BM46" s="2"/>
      <c r="BN46" s="2"/>
      <c r="BO46" s="2"/>
      <c r="BR46" s="21">
        <v>8415</v>
      </c>
      <c r="BS46" s="3" t="s">
        <v>657</v>
      </c>
      <c r="BT46" s="22">
        <v>111</v>
      </c>
      <c r="BU46" s="22">
        <v>1.5</v>
      </c>
      <c r="BV46" s="22">
        <v>75</v>
      </c>
      <c r="BW46" s="3"/>
      <c r="BX46" s="22">
        <v>30</v>
      </c>
      <c r="BY46" s="22">
        <v>6</v>
      </c>
      <c r="BZ46" s="3"/>
      <c r="CA46" s="3"/>
    </row>
    <row r="47" spans="1:79" ht="12.95" customHeight="1">
      <c r="A47" s="2" t="s">
        <v>391</v>
      </c>
      <c r="B47" s="2"/>
      <c r="C47" s="5">
        <v>6</v>
      </c>
      <c r="D47" s="5">
        <v>36</v>
      </c>
      <c r="E47" s="5">
        <v>9</v>
      </c>
      <c r="F47" s="5">
        <v>30</v>
      </c>
      <c r="G47" s="5">
        <v>537</v>
      </c>
      <c r="J47" s="35">
        <v>8708</v>
      </c>
      <c r="K47" s="2" t="s">
        <v>571</v>
      </c>
      <c r="L47" s="5">
        <v>115</v>
      </c>
      <c r="M47" s="5" t="s">
        <v>546</v>
      </c>
      <c r="N47" s="5">
        <v>5</v>
      </c>
      <c r="O47" s="5">
        <v>11</v>
      </c>
      <c r="P47" s="5">
        <v>99</v>
      </c>
      <c r="Q47" s="5"/>
      <c r="S47" s="35">
        <v>8708</v>
      </c>
      <c r="T47" s="2" t="s">
        <v>295</v>
      </c>
      <c r="U47" s="47">
        <v>5411</v>
      </c>
      <c r="V47" s="5">
        <v>9</v>
      </c>
      <c r="W47" s="47">
        <v>3971</v>
      </c>
      <c r="X47" s="47">
        <v>1046</v>
      </c>
      <c r="Y47" s="5">
        <v>385</v>
      </c>
      <c r="Z47" s="5"/>
      <c r="AB47" s="2"/>
      <c r="AC47" s="20" t="s">
        <v>195</v>
      </c>
      <c r="AD47" s="47">
        <v>2366</v>
      </c>
      <c r="AE47" s="5">
        <v>766</v>
      </c>
      <c r="AF47" s="5">
        <v>642</v>
      </c>
      <c r="AG47" s="5">
        <v>217</v>
      </c>
      <c r="AH47" s="5">
        <v>741</v>
      </c>
      <c r="AK47" s="72"/>
      <c r="AL47" s="72"/>
      <c r="AM47" s="72"/>
      <c r="AN47" s="72"/>
      <c r="AO47" s="72"/>
      <c r="AP47" s="72"/>
      <c r="AQ47" s="141"/>
      <c r="AR47" s="134"/>
      <c r="AT47" s="35">
        <v>2710</v>
      </c>
      <c r="AU47" s="2" t="s">
        <v>855</v>
      </c>
      <c r="AV47" s="5">
        <v>160</v>
      </c>
      <c r="AW47" s="5">
        <v>1.6</v>
      </c>
      <c r="AX47" s="5">
        <v>107</v>
      </c>
      <c r="AY47" s="2"/>
      <c r="AZ47" s="5">
        <v>53</v>
      </c>
      <c r="BA47" s="2"/>
      <c r="BB47" s="2"/>
      <c r="BC47" s="2"/>
      <c r="BF47" s="65" t="s">
        <v>338</v>
      </c>
      <c r="BG47" s="2" t="s">
        <v>246</v>
      </c>
      <c r="BH47" s="5">
        <v>165</v>
      </c>
      <c r="BI47" s="5">
        <v>2.1</v>
      </c>
      <c r="BJ47" s="5">
        <v>165</v>
      </c>
      <c r="BK47" s="2"/>
      <c r="BL47" s="2"/>
      <c r="BM47" s="2"/>
      <c r="BN47" s="2"/>
      <c r="BO47" s="2"/>
      <c r="BR47" s="21">
        <v>2202</v>
      </c>
      <c r="BS47" s="3" t="s">
        <v>278</v>
      </c>
      <c r="BT47" s="22">
        <v>108</v>
      </c>
      <c r="BU47" s="22">
        <v>1.5</v>
      </c>
      <c r="BV47" s="22">
        <v>56</v>
      </c>
      <c r="BW47" s="3"/>
      <c r="BX47" s="22">
        <v>29</v>
      </c>
      <c r="BY47" s="22">
        <v>23</v>
      </c>
      <c r="BZ47" s="3"/>
      <c r="CA47" s="3"/>
    </row>
    <row r="48" spans="1:79" ht="12.95" customHeight="1">
      <c r="A48" s="2" t="s">
        <v>533</v>
      </c>
      <c r="B48" s="2"/>
      <c r="C48" s="2"/>
      <c r="D48" s="2"/>
      <c r="E48" s="2"/>
      <c r="F48" s="2"/>
      <c r="G48" s="2"/>
      <c r="J48" s="35">
        <v>8716</v>
      </c>
      <c r="K48" s="2" t="s">
        <v>572</v>
      </c>
      <c r="L48" s="5">
        <v>503</v>
      </c>
      <c r="M48" s="5" t="s">
        <v>546</v>
      </c>
      <c r="N48" s="5">
        <v>150</v>
      </c>
      <c r="O48" s="5">
        <v>3</v>
      </c>
      <c r="P48" s="5">
        <v>350</v>
      </c>
      <c r="Q48" s="5"/>
      <c r="S48" s="35">
        <v>8716</v>
      </c>
      <c r="T48" s="2" t="s">
        <v>656</v>
      </c>
      <c r="U48" s="5">
        <v>705</v>
      </c>
      <c r="V48" s="5">
        <v>7</v>
      </c>
      <c r="W48" s="5">
        <v>698</v>
      </c>
      <c r="X48" s="5" t="s">
        <v>546</v>
      </c>
      <c r="Y48" s="5" t="s">
        <v>546</v>
      </c>
      <c r="Z48" s="5"/>
      <c r="AB48" s="21">
        <v>8415</v>
      </c>
      <c r="AC48" s="2" t="s">
        <v>657</v>
      </c>
      <c r="AD48" s="5">
        <v>62</v>
      </c>
      <c r="AE48" s="5" t="s">
        <v>546</v>
      </c>
      <c r="AF48" s="5" t="s">
        <v>546</v>
      </c>
      <c r="AG48" s="5">
        <v>31</v>
      </c>
      <c r="AH48" s="5">
        <v>31</v>
      </c>
      <c r="AK48" s="72"/>
      <c r="AL48" s="151" t="s">
        <v>368</v>
      </c>
      <c r="AM48" s="76">
        <v>428</v>
      </c>
      <c r="AN48" s="76">
        <v>23</v>
      </c>
      <c r="AO48" s="76">
        <v>0</v>
      </c>
      <c r="AP48" s="76">
        <v>405</v>
      </c>
      <c r="AQ48" s="141"/>
      <c r="AR48" s="134"/>
      <c r="AT48" s="35">
        <v>7404</v>
      </c>
      <c r="AU48" s="2" t="s">
        <v>606</v>
      </c>
      <c r="AV48" s="5">
        <v>157</v>
      </c>
      <c r="AW48" s="5">
        <v>1.6</v>
      </c>
      <c r="AX48" s="2"/>
      <c r="AY48" s="2"/>
      <c r="AZ48" s="2"/>
      <c r="BA48" s="2"/>
      <c r="BB48" s="2"/>
      <c r="BC48" s="5">
        <v>157</v>
      </c>
      <c r="BF48" s="35">
        <v>8300</v>
      </c>
      <c r="BG48" s="2" t="s">
        <v>675</v>
      </c>
      <c r="BH48" s="5">
        <v>135</v>
      </c>
      <c r="BI48" s="5">
        <v>1.7</v>
      </c>
      <c r="BJ48" s="5">
        <v>32</v>
      </c>
      <c r="BK48" s="5">
        <v>31</v>
      </c>
      <c r="BL48" s="2"/>
      <c r="BM48" s="2"/>
      <c r="BN48" s="5">
        <v>72</v>
      </c>
      <c r="BO48" s="2"/>
      <c r="BR48" s="21">
        <v>3208</v>
      </c>
      <c r="BS48" s="3" t="s">
        <v>993</v>
      </c>
      <c r="BT48" s="22">
        <v>106</v>
      </c>
      <c r="BU48" s="22">
        <v>1.5</v>
      </c>
      <c r="BV48" s="22">
        <v>6</v>
      </c>
      <c r="BW48" s="3"/>
      <c r="BX48" s="3"/>
      <c r="BY48" s="22">
        <v>12</v>
      </c>
      <c r="BZ48" s="3"/>
      <c r="CA48" s="22">
        <v>88</v>
      </c>
    </row>
    <row r="49" spans="1:79" ht="12.95" customHeight="1">
      <c r="A49" s="2" t="s">
        <v>399</v>
      </c>
      <c r="B49" s="47">
        <v>2893</v>
      </c>
      <c r="C49" s="47">
        <v>6852</v>
      </c>
      <c r="D49" s="47">
        <v>2572</v>
      </c>
      <c r="E49" s="47">
        <v>1916</v>
      </c>
      <c r="F49" s="47">
        <v>1772</v>
      </c>
      <c r="G49" s="47">
        <v>1011</v>
      </c>
      <c r="J49" s="35">
        <v>8900</v>
      </c>
      <c r="K49" s="2" t="s">
        <v>573</v>
      </c>
      <c r="L49" s="5">
        <v>38</v>
      </c>
      <c r="M49" s="5">
        <v>21</v>
      </c>
      <c r="N49" s="5">
        <v>17</v>
      </c>
      <c r="O49" s="5" t="s">
        <v>546</v>
      </c>
      <c r="P49" s="5" t="s">
        <v>546</v>
      </c>
      <c r="Q49" s="5"/>
      <c r="S49" s="2"/>
      <c r="T49" s="2"/>
      <c r="U49" s="2"/>
      <c r="V49" s="5"/>
      <c r="W49" s="5"/>
      <c r="X49" s="5"/>
      <c r="Y49" s="5"/>
      <c r="Z49" s="5"/>
      <c r="AB49" s="21">
        <v>8418</v>
      </c>
      <c r="AC49" s="2" t="s">
        <v>659</v>
      </c>
      <c r="AD49" s="5">
        <v>25</v>
      </c>
      <c r="AE49" s="5" t="s">
        <v>546</v>
      </c>
      <c r="AF49" s="5" t="s">
        <v>546</v>
      </c>
      <c r="AG49" s="5">
        <v>6</v>
      </c>
      <c r="AH49" s="5">
        <v>19</v>
      </c>
      <c r="AK49" s="78">
        <v>6109</v>
      </c>
      <c r="AL49" s="72" t="s">
        <v>739</v>
      </c>
      <c r="AM49" s="76">
        <v>19</v>
      </c>
      <c r="AN49" s="76">
        <v>15</v>
      </c>
      <c r="AO49" s="76" t="s">
        <v>546</v>
      </c>
      <c r="AP49" s="76">
        <v>4</v>
      </c>
      <c r="AQ49" s="141"/>
      <c r="AR49" s="134"/>
      <c r="AT49" s="35">
        <v>8716</v>
      </c>
      <c r="AU49" s="2" t="s">
        <v>865</v>
      </c>
      <c r="AV49" s="5">
        <v>150</v>
      </c>
      <c r="AW49" s="5">
        <v>1.5</v>
      </c>
      <c r="AX49" s="2"/>
      <c r="AY49" s="2"/>
      <c r="AZ49" s="2"/>
      <c r="BA49" s="2"/>
      <c r="BB49" s="5">
        <v>150</v>
      </c>
      <c r="BC49" s="2"/>
      <c r="BF49" s="35">
        <v>7616</v>
      </c>
      <c r="BG49" s="2" t="s">
        <v>936</v>
      </c>
      <c r="BH49" s="5">
        <v>110</v>
      </c>
      <c r="BI49" s="5">
        <v>1.4</v>
      </c>
      <c r="BJ49" s="2"/>
      <c r="BK49" s="2"/>
      <c r="BL49" s="2"/>
      <c r="BM49" s="2"/>
      <c r="BN49" s="5">
        <v>100</v>
      </c>
      <c r="BO49" s="5">
        <v>10</v>
      </c>
      <c r="BR49" s="21">
        <v>8548</v>
      </c>
      <c r="BS49" s="3" t="s">
        <v>987</v>
      </c>
      <c r="BT49" s="22">
        <v>105</v>
      </c>
      <c r="BU49" s="22">
        <v>1.5</v>
      </c>
      <c r="BV49" s="22">
        <v>22</v>
      </c>
      <c r="BW49" s="3"/>
      <c r="BX49" s="22">
        <v>16</v>
      </c>
      <c r="BY49" s="22">
        <v>35</v>
      </c>
      <c r="BZ49" s="3"/>
      <c r="CA49" s="22">
        <v>32</v>
      </c>
    </row>
    <row r="50" spans="1:79" ht="12.95" customHeight="1">
      <c r="A50" s="2" t="s">
        <v>467</v>
      </c>
      <c r="B50" s="2"/>
      <c r="C50" s="2"/>
      <c r="D50" s="2"/>
      <c r="E50" s="2"/>
      <c r="F50" s="2"/>
      <c r="G50" s="2"/>
      <c r="J50" s="2"/>
      <c r="K50" s="2"/>
      <c r="L50" s="2"/>
      <c r="M50" s="2"/>
      <c r="N50" s="2"/>
      <c r="O50" s="2"/>
      <c r="P50" s="2"/>
      <c r="Q50" s="2"/>
      <c r="S50" s="2"/>
      <c r="T50" s="6" t="s">
        <v>195</v>
      </c>
      <c r="U50" s="47">
        <v>1222</v>
      </c>
      <c r="V50" s="5">
        <v>190</v>
      </c>
      <c r="W50" s="5">
        <v>439</v>
      </c>
      <c r="X50" s="5">
        <v>446</v>
      </c>
      <c r="Y50" s="5">
        <v>147</v>
      </c>
      <c r="Z50" s="5"/>
      <c r="AB50" s="21">
        <v>8471</v>
      </c>
      <c r="AC50" s="2" t="s">
        <v>329</v>
      </c>
      <c r="AD50" s="5">
        <v>28</v>
      </c>
      <c r="AE50" s="5" t="s">
        <v>546</v>
      </c>
      <c r="AF50" s="5">
        <v>18</v>
      </c>
      <c r="AG50" s="5">
        <v>10</v>
      </c>
      <c r="AH50" s="5" t="s">
        <v>546</v>
      </c>
      <c r="AK50" s="78">
        <v>6203</v>
      </c>
      <c r="AL50" s="72" t="s">
        <v>447</v>
      </c>
      <c r="AM50" s="76">
        <v>8</v>
      </c>
      <c r="AN50" s="76">
        <v>8</v>
      </c>
      <c r="AO50" s="76" t="s">
        <v>546</v>
      </c>
      <c r="AP50" s="76" t="s">
        <v>546</v>
      </c>
      <c r="AQ50" s="141"/>
      <c r="AR50" s="134"/>
      <c r="AT50" s="35">
        <v>2208</v>
      </c>
      <c r="AU50" s="2" t="s">
        <v>180</v>
      </c>
      <c r="AV50" s="5">
        <v>125</v>
      </c>
      <c r="AW50" s="5">
        <v>1.2</v>
      </c>
      <c r="AX50" s="5">
        <v>54</v>
      </c>
      <c r="AY50" s="2"/>
      <c r="AZ50" s="5">
        <v>40</v>
      </c>
      <c r="BA50" s="5">
        <v>31</v>
      </c>
      <c r="BB50" s="2"/>
      <c r="BC50" s="2"/>
      <c r="BF50" s="35">
        <v>2710</v>
      </c>
      <c r="BG50" s="2" t="s">
        <v>937</v>
      </c>
      <c r="BH50" s="5">
        <v>100</v>
      </c>
      <c r="BI50" s="5">
        <v>1.3</v>
      </c>
      <c r="BJ50" s="5">
        <v>44</v>
      </c>
      <c r="BK50" s="5">
        <v>56</v>
      </c>
      <c r="BL50" s="2"/>
      <c r="BM50" s="2"/>
      <c r="BN50" s="2"/>
      <c r="BO50" s="2"/>
      <c r="BR50" s="21">
        <v>2710</v>
      </c>
      <c r="BS50" s="3" t="s">
        <v>959</v>
      </c>
      <c r="BT50" s="22">
        <v>102</v>
      </c>
      <c r="BU50" s="22">
        <v>1.4</v>
      </c>
      <c r="BV50" s="22">
        <v>58</v>
      </c>
      <c r="BW50" s="3"/>
      <c r="BX50" s="22">
        <v>9</v>
      </c>
      <c r="BY50" s="22">
        <v>35</v>
      </c>
      <c r="BZ50" s="3"/>
      <c r="CA50" s="3"/>
    </row>
    <row r="51" spans="1:79" ht="12.95" customHeight="1">
      <c r="A51" s="2" t="s">
        <v>487</v>
      </c>
      <c r="B51" s="2"/>
      <c r="C51" s="2"/>
      <c r="D51" s="2"/>
      <c r="E51" s="2"/>
      <c r="F51" s="5">
        <v>6</v>
      </c>
      <c r="G51" s="2"/>
      <c r="J51" s="2"/>
      <c r="K51" s="6" t="s">
        <v>195</v>
      </c>
      <c r="L51" s="5">
        <v>921</v>
      </c>
      <c r="M51" s="5">
        <v>156</v>
      </c>
      <c r="N51" s="5">
        <v>456</v>
      </c>
      <c r="O51" s="5">
        <v>52</v>
      </c>
      <c r="P51" s="5">
        <v>256</v>
      </c>
      <c r="Q51" s="5"/>
      <c r="S51" s="35">
        <v>8415</v>
      </c>
      <c r="T51" s="2" t="s">
        <v>657</v>
      </c>
      <c r="U51" s="5">
        <v>59</v>
      </c>
      <c r="V51" s="5">
        <v>14</v>
      </c>
      <c r="W51" s="5">
        <v>45</v>
      </c>
      <c r="X51" s="5" t="s">
        <v>546</v>
      </c>
      <c r="Y51" s="5" t="s">
        <v>546</v>
      </c>
      <c r="Z51" s="5"/>
      <c r="AB51" s="21">
        <v>8473</v>
      </c>
      <c r="AC51" s="2" t="s">
        <v>330</v>
      </c>
      <c r="AD51" s="5">
        <v>40</v>
      </c>
      <c r="AE51" s="5" t="s">
        <v>546</v>
      </c>
      <c r="AF51" s="5">
        <v>30</v>
      </c>
      <c r="AG51" s="5">
        <v>10</v>
      </c>
      <c r="AH51" s="5" t="s">
        <v>546</v>
      </c>
      <c r="AK51" s="78">
        <v>6214</v>
      </c>
      <c r="AL51" s="72" t="s">
        <v>783</v>
      </c>
      <c r="AM51" s="76">
        <v>259</v>
      </c>
      <c r="AN51" s="76" t="s">
        <v>546</v>
      </c>
      <c r="AO51" s="76" t="s">
        <v>546</v>
      </c>
      <c r="AP51" s="76">
        <v>259</v>
      </c>
      <c r="AQ51" s="141"/>
      <c r="AR51" s="134"/>
      <c r="AT51" s="35">
        <v>8471</v>
      </c>
      <c r="AU51" s="2" t="s">
        <v>94</v>
      </c>
      <c r="AV51" s="5">
        <v>107</v>
      </c>
      <c r="AW51" s="5">
        <v>1.1000000000000001</v>
      </c>
      <c r="AX51" s="5">
        <v>31</v>
      </c>
      <c r="AY51" s="2"/>
      <c r="AZ51" s="5">
        <v>76</v>
      </c>
      <c r="BA51" s="2"/>
      <c r="BB51" s="2"/>
      <c r="BC51" s="2"/>
      <c r="BF51" s="35">
        <v>7411</v>
      </c>
      <c r="BG51" s="2" t="s">
        <v>670</v>
      </c>
      <c r="BH51" s="5">
        <v>80</v>
      </c>
      <c r="BI51" s="88">
        <v>1</v>
      </c>
      <c r="BJ51" s="2"/>
      <c r="BK51" s="2"/>
      <c r="BL51" s="2"/>
      <c r="BM51" s="2"/>
      <c r="BN51" s="2"/>
      <c r="BO51" s="5">
        <v>80</v>
      </c>
      <c r="BR51" s="21">
        <v>7404</v>
      </c>
      <c r="BS51" s="3" t="s">
        <v>956</v>
      </c>
      <c r="BT51" s="22">
        <v>99</v>
      </c>
      <c r="BU51" s="22">
        <v>1.4</v>
      </c>
      <c r="BV51" s="3"/>
      <c r="BW51" s="3"/>
      <c r="BX51" s="3"/>
      <c r="BY51" s="3"/>
      <c r="BZ51" s="22">
        <v>80</v>
      </c>
      <c r="CA51" s="22">
        <v>19</v>
      </c>
    </row>
    <row r="52" spans="1:79" ht="12.95" customHeight="1">
      <c r="A52" s="2" t="s">
        <v>534</v>
      </c>
      <c r="B52" s="5">
        <v>160</v>
      </c>
      <c r="C52" s="2"/>
      <c r="D52" s="2"/>
      <c r="E52" s="2"/>
      <c r="F52" s="2"/>
      <c r="G52" s="2"/>
      <c r="J52" s="35">
        <v>3924</v>
      </c>
      <c r="K52" s="2" t="s">
        <v>574</v>
      </c>
      <c r="L52" s="5">
        <v>14</v>
      </c>
      <c r="M52" s="5" t="s">
        <v>546</v>
      </c>
      <c r="N52" s="5" t="s">
        <v>546</v>
      </c>
      <c r="O52" s="5" t="s">
        <v>546</v>
      </c>
      <c r="P52" s="5">
        <v>14</v>
      </c>
      <c r="Q52" s="5"/>
      <c r="S52" s="35">
        <v>8416</v>
      </c>
      <c r="T52" s="2" t="s">
        <v>658</v>
      </c>
      <c r="U52" s="5">
        <v>47</v>
      </c>
      <c r="V52" s="5" t="s">
        <v>546</v>
      </c>
      <c r="W52" s="5" t="s">
        <v>546</v>
      </c>
      <c r="X52" s="5" t="s">
        <v>546</v>
      </c>
      <c r="Y52" s="5">
        <v>47</v>
      </c>
      <c r="Z52" s="5"/>
      <c r="AB52" s="21">
        <v>8450</v>
      </c>
      <c r="AC52" s="2" t="s">
        <v>660</v>
      </c>
      <c r="AD52" s="5">
        <v>19</v>
      </c>
      <c r="AE52" s="5" t="s">
        <v>546</v>
      </c>
      <c r="AF52" s="5" t="s">
        <v>546</v>
      </c>
      <c r="AG52" s="5" t="s">
        <v>546</v>
      </c>
      <c r="AH52" s="5">
        <v>19</v>
      </c>
      <c r="AK52" s="78">
        <v>6215</v>
      </c>
      <c r="AL52" s="72" t="s">
        <v>784</v>
      </c>
      <c r="AM52" s="76">
        <v>91</v>
      </c>
      <c r="AN52" s="76" t="s">
        <v>546</v>
      </c>
      <c r="AO52" s="76" t="s">
        <v>546</v>
      </c>
      <c r="AP52" s="76">
        <v>91</v>
      </c>
      <c r="AQ52" s="141"/>
      <c r="AR52" s="134"/>
      <c r="AT52" s="35">
        <v>3917</v>
      </c>
      <c r="AU52" s="2" t="s">
        <v>866</v>
      </c>
      <c r="AV52" s="5">
        <v>104</v>
      </c>
      <c r="AW52" s="186">
        <v>1</v>
      </c>
      <c r="AX52" s="5">
        <v>104</v>
      </c>
      <c r="AY52" s="2"/>
      <c r="AZ52" s="2"/>
      <c r="BA52" s="2"/>
      <c r="BB52" s="2"/>
      <c r="BC52" s="2"/>
      <c r="BF52" s="35">
        <v>3926</v>
      </c>
      <c r="BG52" s="2" t="s">
        <v>287</v>
      </c>
      <c r="BH52" s="5">
        <v>73</v>
      </c>
      <c r="BI52" s="5">
        <v>0.9</v>
      </c>
      <c r="BJ52" s="5">
        <v>12</v>
      </c>
      <c r="BK52" s="2"/>
      <c r="BL52" s="5">
        <v>61</v>
      </c>
      <c r="BM52" s="2"/>
      <c r="BN52" s="2"/>
      <c r="BO52" s="2"/>
      <c r="BR52" s="21">
        <v>2208</v>
      </c>
      <c r="BS52" s="3" t="s">
        <v>994</v>
      </c>
      <c r="BT52" s="22">
        <v>97</v>
      </c>
      <c r="BU52" s="22">
        <v>1.3</v>
      </c>
      <c r="BV52" s="22">
        <v>67</v>
      </c>
      <c r="BW52" s="3"/>
      <c r="BX52" s="22">
        <v>16</v>
      </c>
      <c r="BY52" s="22">
        <v>14</v>
      </c>
      <c r="BZ52" s="3"/>
      <c r="CA52" s="3"/>
    </row>
    <row r="53" spans="1:79" ht="12.95" customHeight="1">
      <c r="A53" s="2" t="s">
        <v>388</v>
      </c>
      <c r="B53" s="47">
        <v>2338</v>
      </c>
      <c r="C53" s="5">
        <v>281</v>
      </c>
      <c r="D53" s="5">
        <v>104</v>
      </c>
      <c r="E53" s="5">
        <v>18</v>
      </c>
      <c r="F53" s="2"/>
      <c r="G53" s="2"/>
      <c r="J53" s="35">
        <v>8415</v>
      </c>
      <c r="K53" s="2" t="s">
        <v>575</v>
      </c>
      <c r="L53" s="5">
        <v>279</v>
      </c>
      <c r="M53" s="5">
        <v>17</v>
      </c>
      <c r="N53" s="5">
        <v>88</v>
      </c>
      <c r="O53" s="5">
        <v>24</v>
      </c>
      <c r="P53" s="5">
        <v>150</v>
      </c>
      <c r="Q53" s="5"/>
      <c r="S53" s="35">
        <v>8418</v>
      </c>
      <c r="T53" s="2" t="s">
        <v>659</v>
      </c>
      <c r="U53" s="5">
        <v>79</v>
      </c>
      <c r="V53" s="5">
        <v>63</v>
      </c>
      <c r="W53" s="5">
        <v>16</v>
      </c>
      <c r="X53" s="5" t="s">
        <v>546</v>
      </c>
      <c r="Y53" s="5" t="s">
        <v>546</v>
      </c>
      <c r="Z53" s="5"/>
      <c r="AB53" s="21">
        <v>8471</v>
      </c>
      <c r="AC53" s="2" t="s">
        <v>94</v>
      </c>
      <c r="AD53" s="5">
        <v>7</v>
      </c>
      <c r="AE53" s="5" t="s">
        <v>546</v>
      </c>
      <c r="AF53" s="5" t="s">
        <v>546</v>
      </c>
      <c r="AG53" s="5" t="s">
        <v>546</v>
      </c>
      <c r="AH53" s="5">
        <v>7</v>
      </c>
      <c r="AK53" s="78">
        <v>6217</v>
      </c>
      <c r="AL53" s="72" t="s">
        <v>286</v>
      </c>
      <c r="AM53" s="76">
        <v>51</v>
      </c>
      <c r="AN53" s="76" t="s">
        <v>546</v>
      </c>
      <c r="AO53" s="76" t="s">
        <v>546</v>
      </c>
      <c r="AP53" s="76">
        <v>51</v>
      </c>
      <c r="AQ53" s="141"/>
      <c r="AR53" s="134"/>
      <c r="AT53" s="35">
        <v>2204</v>
      </c>
      <c r="AU53" s="2" t="s">
        <v>867</v>
      </c>
      <c r="AV53" s="5">
        <v>96</v>
      </c>
      <c r="AW53" s="5">
        <v>0.9</v>
      </c>
      <c r="AX53" s="5">
        <v>35</v>
      </c>
      <c r="AY53" s="2"/>
      <c r="AZ53" s="5">
        <v>8</v>
      </c>
      <c r="BA53" s="5">
        <v>53</v>
      </c>
      <c r="BB53" s="2"/>
      <c r="BC53" s="2"/>
      <c r="BF53" s="35">
        <v>9403</v>
      </c>
      <c r="BG53" s="2" t="s">
        <v>299</v>
      </c>
      <c r="BH53" s="5">
        <v>59</v>
      </c>
      <c r="BI53" s="5">
        <v>0.8</v>
      </c>
      <c r="BJ53" s="5">
        <v>59</v>
      </c>
      <c r="BK53" s="2"/>
      <c r="BL53" s="2"/>
      <c r="BM53" s="2"/>
      <c r="BN53" s="2"/>
      <c r="BO53" s="2"/>
      <c r="BR53" s="21">
        <v>4900</v>
      </c>
      <c r="BS53" s="3" t="s">
        <v>995</v>
      </c>
      <c r="BT53" s="22">
        <v>90</v>
      </c>
      <c r="BU53" s="22">
        <v>1.2</v>
      </c>
      <c r="BV53" s="22">
        <v>90</v>
      </c>
      <c r="BW53" s="3"/>
      <c r="BX53" s="3"/>
      <c r="BY53" s="3"/>
      <c r="BZ53" s="3"/>
      <c r="CA53" s="3"/>
    </row>
    <row r="54" spans="1:79" ht="12.95" customHeight="1">
      <c r="A54" s="2" t="s">
        <v>535</v>
      </c>
      <c r="B54" s="2"/>
      <c r="C54" s="2"/>
      <c r="D54" s="2"/>
      <c r="E54" s="2"/>
      <c r="F54" s="2"/>
      <c r="G54" s="2"/>
      <c r="J54" s="35">
        <v>8418</v>
      </c>
      <c r="K54" s="2" t="s">
        <v>576</v>
      </c>
      <c r="L54" s="5">
        <v>123</v>
      </c>
      <c r="M54" s="5">
        <v>28</v>
      </c>
      <c r="N54" s="5">
        <v>24</v>
      </c>
      <c r="O54" s="5">
        <v>16</v>
      </c>
      <c r="P54" s="5">
        <v>55</v>
      </c>
      <c r="Q54" s="5"/>
      <c r="S54" s="35">
        <v>8450</v>
      </c>
      <c r="T54" s="2" t="s">
        <v>660</v>
      </c>
      <c r="U54" s="5">
        <v>7</v>
      </c>
      <c r="V54" s="5">
        <v>7</v>
      </c>
      <c r="W54" s="5" t="s">
        <v>546</v>
      </c>
      <c r="X54" s="5" t="s">
        <v>546</v>
      </c>
      <c r="Y54" s="5" t="s">
        <v>546</v>
      </c>
      <c r="Z54" s="5"/>
      <c r="AB54" s="21">
        <v>8516</v>
      </c>
      <c r="AC54" s="2" t="s">
        <v>296</v>
      </c>
      <c r="AD54" s="5">
        <v>526</v>
      </c>
      <c r="AE54" s="5">
        <v>121</v>
      </c>
      <c r="AF54" s="5">
        <v>339</v>
      </c>
      <c r="AG54" s="5">
        <v>66</v>
      </c>
      <c r="AH54" s="5" t="s">
        <v>546</v>
      </c>
      <c r="AK54" s="72"/>
      <c r="AL54" s="72"/>
      <c r="AM54" s="72"/>
      <c r="AN54" s="72"/>
      <c r="AO54" s="72"/>
      <c r="AP54" s="72"/>
      <c r="AQ54" s="141"/>
      <c r="AR54" s="134"/>
      <c r="AT54" s="35">
        <v>3208</v>
      </c>
      <c r="AU54" s="2" t="s">
        <v>203</v>
      </c>
      <c r="AV54" s="5">
        <v>90</v>
      </c>
      <c r="AW54" s="5">
        <v>0.9</v>
      </c>
      <c r="AX54" s="5">
        <v>78</v>
      </c>
      <c r="AY54" s="2"/>
      <c r="AZ54" s="5">
        <v>12</v>
      </c>
      <c r="BA54" s="2"/>
      <c r="BB54" s="2"/>
      <c r="BC54" s="2"/>
      <c r="BF54" s="35">
        <v>1902</v>
      </c>
      <c r="BG54" s="2" t="s">
        <v>266</v>
      </c>
      <c r="BH54" s="5">
        <v>57</v>
      </c>
      <c r="BI54" s="5">
        <v>0.7</v>
      </c>
      <c r="BJ54" s="5">
        <v>57</v>
      </c>
      <c r="BK54" s="2"/>
      <c r="BL54" s="2"/>
      <c r="BM54" s="2"/>
      <c r="BN54" s="2"/>
      <c r="BO54" s="2"/>
      <c r="BR54" s="21">
        <v>3926</v>
      </c>
      <c r="BS54" s="3" t="s">
        <v>287</v>
      </c>
      <c r="BT54" s="22">
        <v>86</v>
      </c>
      <c r="BU54" s="22">
        <v>1.2</v>
      </c>
      <c r="BV54" s="22">
        <v>74</v>
      </c>
      <c r="BW54" s="3"/>
      <c r="BX54" s="22">
        <v>9</v>
      </c>
      <c r="BY54" s="22">
        <v>3</v>
      </c>
      <c r="BZ54" s="3"/>
      <c r="CA54" s="3"/>
    </row>
    <row r="55" spans="1:79" ht="12.95" customHeight="1">
      <c r="A55" s="2" t="s">
        <v>536</v>
      </c>
      <c r="B55" s="2"/>
      <c r="C55" s="2"/>
      <c r="D55" s="2"/>
      <c r="E55" s="2"/>
      <c r="F55" s="2"/>
      <c r="G55" s="2"/>
      <c r="J55" s="35">
        <v>8450</v>
      </c>
      <c r="K55" s="2" t="s">
        <v>577</v>
      </c>
      <c r="L55" s="5">
        <v>34</v>
      </c>
      <c r="M55" s="5">
        <v>22</v>
      </c>
      <c r="N55" s="5">
        <v>7</v>
      </c>
      <c r="O55" s="5">
        <v>5</v>
      </c>
      <c r="P55" s="5" t="s">
        <v>546</v>
      </c>
      <c r="Q55" s="5"/>
      <c r="S55" s="35">
        <v>8485</v>
      </c>
      <c r="T55" s="2" t="s">
        <v>661</v>
      </c>
      <c r="U55" s="5">
        <v>3</v>
      </c>
      <c r="V55" s="5" t="s">
        <v>546</v>
      </c>
      <c r="W55" s="5">
        <v>3</v>
      </c>
      <c r="X55" s="5" t="s">
        <v>546</v>
      </c>
      <c r="Y55" s="5" t="s">
        <v>546</v>
      </c>
      <c r="Z55" s="5"/>
      <c r="AB55" s="21">
        <v>8517</v>
      </c>
      <c r="AC55" s="2" t="s">
        <v>581</v>
      </c>
      <c r="AD55" s="5">
        <v>438</v>
      </c>
      <c r="AE55" s="5" t="s">
        <v>546</v>
      </c>
      <c r="AF55" s="5" t="s">
        <v>546</v>
      </c>
      <c r="AG55" s="5" t="s">
        <v>546</v>
      </c>
      <c r="AH55" s="5">
        <v>438</v>
      </c>
      <c r="AK55" s="72"/>
      <c r="AL55" s="153" t="s">
        <v>195</v>
      </c>
      <c r="AM55" s="77">
        <v>2710</v>
      </c>
      <c r="AN55" s="76">
        <v>337</v>
      </c>
      <c r="AO55" s="76">
        <v>342</v>
      </c>
      <c r="AP55" s="77">
        <v>2031</v>
      </c>
      <c r="AQ55" s="141"/>
      <c r="AR55" s="134"/>
      <c r="AT55" s="35">
        <v>8415</v>
      </c>
      <c r="AU55" s="2" t="s">
        <v>868</v>
      </c>
      <c r="AV55" s="5">
        <v>88</v>
      </c>
      <c r="AW55" s="5">
        <v>0.9</v>
      </c>
      <c r="AX55" s="5">
        <v>54</v>
      </c>
      <c r="AY55" s="2"/>
      <c r="AZ55" s="5">
        <v>12</v>
      </c>
      <c r="BA55" s="5">
        <v>22</v>
      </c>
      <c r="BB55" s="2"/>
      <c r="BC55" s="2"/>
      <c r="BF55" s="35">
        <v>6217</v>
      </c>
      <c r="BG55" s="2" t="s">
        <v>286</v>
      </c>
      <c r="BH55" s="5">
        <v>51</v>
      </c>
      <c r="BI55" s="5">
        <v>0.7</v>
      </c>
      <c r="BJ55" s="2"/>
      <c r="BK55" s="2"/>
      <c r="BL55" s="2"/>
      <c r="BM55" s="2"/>
      <c r="BN55" s="2"/>
      <c r="BO55" s="5">
        <v>51</v>
      </c>
      <c r="BR55" s="21">
        <v>7308</v>
      </c>
      <c r="BS55" s="3" t="s">
        <v>666</v>
      </c>
      <c r="BT55" s="22">
        <v>74</v>
      </c>
      <c r="BU55" s="87">
        <v>1</v>
      </c>
      <c r="BV55" s="22">
        <v>9</v>
      </c>
      <c r="BW55" s="3"/>
      <c r="BX55" s="3"/>
      <c r="BY55" s="3"/>
      <c r="BZ55" s="3"/>
      <c r="CA55" s="22">
        <v>65</v>
      </c>
    </row>
    <row r="56" spans="1:79" ht="12.95" customHeight="1">
      <c r="A56" s="10" t="s">
        <v>466</v>
      </c>
      <c r="B56" s="11">
        <v>65</v>
      </c>
      <c r="C56" s="10"/>
      <c r="D56" s="10"/>
      <c r="E56" s="11">
        <v>8</v>
      </c>
      <c r="F56" s="10"/>
      <c r="G56" s="10"/>
      <c r="J56" s="35">
        <v>8471</v>
      </c>
      <c r="K56" s="2" t="s">
        <v>94</v>
      </c>
      <c r="L56" s="5">
        <v>120</v>
      </c>
      <c r="M56" s="5">
        <v>9</v>
      </c>
      <c r="N56" s="5">
        <v>107</v>
      </c>
      <c r="O56" s="5">
        <v>4</v>
      </c>
      <c r="P56" s="5" t="s">
        <v>546</v>
      </c>
      <c r="Q56" s="5"/>
      <c r="S56" s="35">
        <v>8516</v>
      </c>
      <c r="T56" s="2" t="s">
        <v>296</v>
      </c>
      <c r="U56" s="5">
        <v>515</v>
      </c>
      <c r="V56" s="5">
        <v>79</v>
      </c>
      <c r="W56" s="5">
        <v>6</v>
      </c>
      <c r="X56" s="5">
        <v>430</v>
      </c>
      <c r="Y56" s="5" t="s">
        <v>546</v>
      </c>
      <c r="Z56" s="5"/>
      <c r="AB56" s="21">
        <v>8548</v>
      </c>
      <c r="AC56" s="2" t="s">
        <v>297</v>
      </c>
      <c r="AD56" s="47">
        <v>1222</v>
      </c>
      <c r="AE56" s="5">
        <v>645</v>
      </c>
      <c r="AF56" s="5">
        <v>255</v>
      </c>
      <c r="AG56" s="5">
        <v>95</v>
      </c>
      <c r="AH56" s="5">
        <v>227</v>
      </c>
      <c r="AK56" s="78">
        <v>8415</v>
      </c>
      <c r="AL56" s="72" t="s">
        <v>657</v>
      </c>
      <c r="AM56" s="76">
        <v>190</v>
      </c>
      <c r="AN56" s="76">
        <v>76</v>
      </c>
      <c r="AO56" s="76">
        <v>110</v>
      </c>
      <c r="AP56" s="76">
        <v>4</v>
      </c>
      <c r="AQ56" s="141"/>
      <c r="AR56" s="134"/>
      <c r="AT56" s="58">
        <v>7308</v>
      </c>
      <c r="AU56" s="10" t="s">
        <v>869</v>
      </c>
      <c r="AV56" s="11">
        <v>81</v>
      </c>
      <c r="AW56" s="11">
        <v>0.8</v>
      </c>
      <c r="AX56" s="11">
        <v>4</v>
      </c>
      <c r="AY56" s="10"/>
      <c r="AZ56" s="10"/>
      <c r="BA56" s="10"/>
      <c r="BB56" s="10"/>
      <c r="BC56" s="11">
        <v>77</v>
      </c>
      <c r="BF56" s="58">
        <v>4011</v>
      </c>
      <c r="BG56" s="10" t="s">
        <v>938</v>
      </c>
      <c r="BH56" s="11">
        <v>48</v>
      </c>
      <c r="BI56" s="11">
        <v>0.6</v>
      </c>
      <c r="BJ56" s="10"/>
      <c r="BK56" s="11">
        <v>44</v>
      </c>
      <c r="BL56" s="11">
        <v>4</v>
      </c>
      <c r="BM56" s="10"/>
      <c r="BN56" s="10"/>
      <c r="BO56" s="10"/>
      <c r="BR56" s="40">
        <v>2403</v>
      </c>
      <c r="BS56" s="23" t="s">
        <v>617</v>
      </c>
      <c r="BT56" s="29">
        <v>73</v>
      </c>
      <c r="BU56" s="200">
        <v>1</v>
      </c>
      <c r="BV56" s="29">
        <v>66</v>
      </c>
      <c r="BW56" s="23"/>
      <c r="BX56" s="29">
        <v>7</v>
      </c>
      <c r="BY56" s="23"/>
      <c r="BZ56" s="23"/>
      <c r="CA56" s="23"/>
    </row>
    <row r="57" spans="1:79" ht="12.95" customHeight="1">
      <c r="A57" s="1" t="s">
        <v>638</v>
      </c>
      <c r="B57" s="3"/>
      <c r="C57" s="3"/>
      <c r="D57" s="3"/>
      <c r="E57" s="3"/>
      <c r="F57" s="3"/>
      <c r="G57" s="13"/>
      <c r="H57" s="1"/>
      <c r="I57" s="1"/>
      <c r="J57" s="35">
        <v>8473</v>
      </c>
      <c r="K57" s="2" t="s">
        <v>230</v>
      </c>
      <c r="L57" s="5">
        <v>15</v>
      </c>
      <c r="M57" s="5">
        <v>15</v>
      </c>
      <c r="N57" s="5" t="s">
        <v>546</v>
      </c>
      <c r="O57" s="5" t="s">
        <v>546</v>
      </c>
      <c r="P57" s="5" t="s">
        <v>546</v>
      </c>
      <c r="Q57" s="5"/>
      <c r="S57" s="35">
        <v>8548</v>
      </c>
      <c r="T57" s="2" t="s">
        <v>297</v>
      </c>
      <c r="U57" s="5">
        <v>512</v>
      </c>
      <c r="V57" s="5">
        <v>27</v>
      </c>
      <c r="W57" s="5">
        <v>369</v>
      </c>
      <c r="X57" s="5">
        <v>16</v>
      </c>
      <c r="Y57" s="5">
        <v>100</v>
      </c>
      <c r="Z57" s="5"/>
      <c r="AB57" s="3"/>
      <c r="AC57" s="2"/>
      <c r="AD57" s="2"/>
      <c r="AE57" s="2"/>
      <c r="AF57" s="2"/>
      <c r="AG57" s="2"/>
      <c r="AH57" s="2"/>
      <c r="AK57" s="78">
        <v>8418</v>
      </c>
      <c r="AL57" s="72" t="s">
        <v>741</v>
      </c>
      <c r="AM57" s="76">
        <v>95</v>
      </c>
      <c r="AN57" s="76">
        <v>19</v>
      </c>
      <c r="AO57" s="76">
        <v>33</v>
      </c>
      <c r="AP57" s="76">
        <v>43</v>
      </c>
      <c r="AQ57" s="141"/>
      <c r="AR57" s="134"/>
      <c r="AT57" s="194" t="s">
        <v>174</v>
      </c>
      <c r="AU57" s="194"/>
      <c r="AV57" s="194"/>
      <c r="AW57" s="194"/>
      <c r="AX57" s="194"/>
      <c r="AY57" s="194"/>
      <c r="AZ57" s="2"/>
      <c r="BA57" s="2"/>
      <c r="BB57" s="2"/>
      <c r="BC57" s="2"/>
      <c r="BF57" s="2064" t="s">
        <v>174</v>
      </c>
      <c r="BG57" s="2064"/>
      <c r="BH57" s="2064"/>
      <c r="BI57" s="2064"/>
      <c r="BJ57" s="2064"/>
      <c r="BK57" s="2064"/>
      <c r="BL57" s="2064"/>
      <c r="BM57" s="2064"/>
      <c r="BN57" s="2"/>
      <c r="BO57" s="2"/>
      <c r="BR57" s="2045" t="s">
        <v>174</v>
      </c>
      <c r="BS57" s="2045"/>
      <c r="BT57" s="2045"/>
      <c r="BU57" s="2045"/>
      <c r="BV57" s="2045"/>
      <c r="BW57" s="2045"/>
      <c r="BX57" s="2045"/>
      <c r="BY57" s="2"/>
      <c r="BZ57" s="2"/>
      <c r="CA57" s="2"/>
    </row>
    <row r="58" spans="1:79" ht="12" customHeight="1">
      <c r="A58" s="91" t="s">
        <v>489</v>
      </c>
      <c r="B58" s="3"/>
      <c r="C58" s="3"/>
      <c r="D58" s="3"/>
      <c r="E58" s="3"/>
      <c r="F58" s="3"/>
      <c r="G58" s="13"/>
      <c r="J58" s="35">
        <v>8485</v>
      </c>
      <c r="K58" s="2" t="s">
        <v>578</v>
      </c>
      <c r="L58" s="5">
        <v>59</v>
      </c>
      <c r="M58" s="5" t="s">
        <v>546</v>
      </c>
      <c r="N58" s="5">
        <v>59</v>
      </c>
      <c r="O58" s="5" t="s">
        <v>546</v>
      </c>
      <c r="P58" s="5" t="s">
        <v>546</v>
      </c>
      <c r="Q58" s="5"/>
      <c r="S58" s="2"/>
      <c r="T58" s="2"/>
      <c r="U58" s="2"/>
      <c r="V58" s="5"/>
      <c r="W58" s="5"/>
      <c r="X58" s="5"/>
      <c r="Y58" s="5"/>
      <c r="Z58" s="5"/>
      <c r="AB58" s="3"/>
      <c r="AC58" s="20" t="s">
        <v>201</v>
      </c>
      <c r="AD58" s="47">
        <v>6031</v>
      </c>
      <c r="AE58" s="47">
        <v>2127</v>
      </c>
      <c r="AF58" s="47">
        <v>1115</v>
      </c>
      <c r="AG58" s="47">
        <v>1260</v>
      </c>
      <c r="AH58" s="47">
        <v>1529</v>
      </c>
      <c r="AK58" s="78">
        <v>8450</v>
      </c>
      <c r="AL58" s="72" t="s">
        <v>660</v>
      </c>
      <c r="AM58" s="76">
        <v>14</v>
      </c>
      <c r="AN58" s="76" t="s">
        <v>546</v>
      </c>
      <c r="AO58" s="76">
        <v>14</v>
      </c>
      <c r="AP58" s="76" t="s">
        <v>546</v>
      </c>
      <c r="AQ58" s="141"/>
      <c r="AR58" s="134"/>
      <c r="AT58" s="116" t="s">
        <v>857</v>
      </c>
      <c r="AU58" s="116"/>
      <c r="AV58" s="116"/>
      <c r="AW58" s="116"/>
      <c r="AX58" s="116"/>
      <c r="AY58" s="116"/>
      <c r="AZ58" s="2"/>
      <c r="BA58" s="2"/>
      <c r="BB58" s="2"/>
      <c r="BC58" s="2"/>
      <c r="BF58" s="2045" t="s">
        <v>857</v>
      </c>
      <c r="BG58" s="2045"/>
      <c r="BH58" s="14"/>
      <c r="BI58" s="14"/>
      <c r="BJ58" s="14"/>
      <c r="BK58" s="14"/>
      <c r="BL58" s="14"/>
      <c r="BM58" s="14"/>
      <c r="BN58" s="2"/>
      <c r="BO58" s="2"/>
      <c r="BR58" s="2045" t="s">
        <v>857</v>
      </c>
      <c r="BS58" s="2045"/>
      <c r="BT58" s="14"/>
      <c r="BU58" s="14"/>
      <c r="BV58" s="14"/>
      <c r="BW58" s="14"/>
      <c r="BX58" s="14"/>
      <c r="BY58" s="2"/>
      <c r="BZ58" s="2"/>
      <c r="CA58" s="2"/>
    </row>
    <row r="59" spans="1:79" ht="12" customHeight="1">
      <c r="A59" s="3" t="s">
        <v>537</v>
      </c>
      <c r="B59" s="3"/>
      <c r="C59" s="3"/>
      <c r="D59" s="3"/>
      <c r="E59" s="3"/>
      <c r="F59" s="3"/>
      <c r="G59" s="2"/>
      <c r="J59" s="35">
        <v>8516</v>
      </c>
      <c r="K59" s="3" t="s">
        <v>579</v>
      </c>
      <c r="L59" s="5">
        <v>7</v>
      </c>
      <c r="M59" s="5">
        <v>3</v>
      </c>
      <c r="N59" s="5">
        <v>4</v>
      </c>
      <c r="O59" s="5" t="s">
        <v>546</v>
      </c>
      <c r="P59" s="5" t="s">
        <v>546</v>
      </c>
      <c r="Q59" s="5"/>
      <c r="S59" s="2"/>
      <c r="T59" s="6" t="s">
        <v>201</v>
      </c>
      <c r="U59" s="47">
        <v>5373</v>
      </c>
      <c r="V59" s="47">
        <v>1270</v>
      </c>
      <c r="W59" s="47">
        <v>1291</v>
      </c>
      <c r="X59" s="47">
        <v>1441</v>
      </c>
      <c r="Y59" s="47">
        <v>1371</v>
      </c>
      <c r="Z59" s="47"/>
      <c r="AB59" s="21">
        <v>2523</v>
      </c>
      <c r="AC59" s="2" t="s">
        <v>302</v>
      </c>
      <c r="AD59" s="5">
        <v>3</v>
      </c>
      <c r="AE59" s="5" t="s">
        <v>546</v>
      </c>
      <c r="AF59" s="5" t="s">
        <v>546</v>
      </c>
      <c r="AG59" s="5" t="s">
        <v>546</v>
      </c>
      <c r="AH59" s="5">
        <v>3</v>
      </c>
      <c r="AK59" s="78">
        <v>8485</v>
      </c>
      <c r="AL59" s="72" t="s">
        <v>742</v>
      </c>
      <c r="AM59" s="76">
        <v>76</v>
      </c>
      <c r="AN59" s="76">
        <v>13</v>
      </c>
      <c r="AO59" s="76">
        <v>5</v>
      </c>
      <c r="AP59" s="76">
        <v>58</v>
      </c>
      <c r="AQ59" s="141"/>
      <c r="AR59" s="134"/>
      <c r="AT59" s="127" t="s">
        <v>858</v>
      </c>
      <c r="AU59" s="127"/>
      <c r="AV59" s="116"/>
      <c r="AW59" s="116"/>
      <c r="AX59" s="116"/>
      <c r="AY59" s="116"/>
      <c r="AZ59" s="2"/>
      <c r="BA59" s="2"/>
      <c r="BB59" s="2"/>
      <c r="BC59" s="2"/>
      <c r="BF59" s="2045" t="s">
        <v>858</v>
      </c>
      <c r="BG59" s="2045"/>
      <c r="BH59" s="14"/>
      <c r="BI59" s="14"/>
      <c r="BJ59" s="14"/>
      <c r="BK59" s="14"/>
      <c r="BL59" s="14"/>
      <c r="BM59" s="14"/>
      <c r="BN59" s="2"/>
      <c r="BO59" s="2"/>
      <c r="BR59" s="2045" t="s">
        <v>858</v>
      </c>
      <c r="BS59" s="2045"/>
      <c r="BT59" s="14"/>
      <c r="BU59" s="14"/>
      <c r="BV59" s="14"/>
      <c r="BW59" s="14"/>
      <c r="BX59" s="14"/>
      <c r="BY59" s="2"/>
      <c r="BZ59" s="2"/>
      <c r="CA59" s="2"/>
    </row>
    <row r="60" spans="1:79" ht="12" customHeight="1">
      <c r="A60" s="2316" t="s">
        <v>538</v>
      </c>
      <c r="B60" s="2316"/>
      <c r="C60" s="246"/>
      <c r="D60" s="246"/>
      <c r="E60" s="246"/>
      <c r="F60" s="246"/>
      <c r="J60" s="35">
        <v>8519</v>
      </c>
      <c r="K60" s="2" t="s">
        <v>580</v>
      </c>
      <c r="L60" s="5">
        <v>3</v>
      </c>
      <c r="M60" s="5" t="s">
        <v>546</v>
      </c>
      <c r="N60" s="5" t="s">
        <v>546</v>
      </c>
      <c r="O60" s="5">
        <v>3</v>
      </c>
      <c r="P60" s="5" t="s">
        <v>546</v>
      </c>
      <c r="Q60" s="5"/>
      <c r="S60" s="35">
        <v>2523</v>
      </c>
      <c r="T60" s="2" t="s">
        <v>302</v>
      </c>
      <c r="U60" s="5">
        <v>176</v>
      </c>
      <c r="V60" s="5">
        <v>35</v>
      </c>
      <c r="W60" s="5">
        <v>111</v>
      </c>
      <c r="X60" s="5">
        <v>30</v>
      </c>
      <c r="Y60" s="5" t="s">
        <v>546</v>
      </c>
      <c r="Z60" s="5"/>
      <c r="AB60" s="21">
        <v>2800</v>
      </c>
      <c r="AC60" s="2" t="s">
        <v>710</v>
      </c>
      <c r="AD60" s="5">
        <v>6</v>
      </c>
      <c r="AE60" s="5" t="s">
        <v>546</v>
      </c>
      <c r="AF60" s="5" t="s">
        <v>546</v>
      </c>
      <c r="AG60" s="5">
        <v>6</v>
      </c>
      <c r="AH60" s="5" t="s">
        <v>546</v>
      </c>
      <c r="AK60" s="78">
        <v>8516</v>
      </c>
      <c r="AL60" s="72" t="s">
        <v>296</v>
      </c>
      <c r="AM60" s="76">
        <v>55</v>
      </c>
      <c r="AN60" s="76" t="s">
        <v>546</v>
      </c>
      <c r="AO60" s="76">
        <v>55</v>
      </c>
      <c r="AP60" s="76" t="s">
        <v>546</v>
      </c>
      <c r="AQ60" s="141"/>
      <c r="AR60" s="134"/>
      <c r="AT60" s="127"/>
      <c r="AU60" s="127"/>
      <c r="AV60" s="116"/>
      <c r="AW60" s="116"/>
      <c r="AX60" s="116"/>
      <c r="AY60" s="116"/>
      <c r="AZ60" s="2"/>
      <c r="BA60" s="2"/>
      <c r="BB60" s="2"/>
      <c r="BC60" s="2"/>
      <c r="BF60" s="2"/>
      <c r="BG60" s="2"/>
      <c r="BH60" s="2"/>
      <c r="BI60" s="2"/>
      <c r="BJ60" s="2"/>
      <c r="BK60" s="2"/>
      <c r="BL60" s="2"/>
      <c r="BM60" s="2"/>
      <c r="BN60" s="2"/>
      <c r="BO60" s="2"/>
      <c r="BR60" s="2"/>
      <c r="BS60" s="2"/>
      <c r="BT60" s="2"/>
      <c r="BU60" s="2"/>
      <c r="BV60" s="2"/>
      <c r="BW60" s="2"/>
      <c r="BX60" s="2"/>
      <c r="BY60" s="2"/>
      <c r="BZ60" s="2"/>
      <c r="CA60" s="2"/>
    </row>
    <row r="61" spans="1:79" ht="12" customHeight="1">
      <c r="J61" s="35">
        <v>8517</v>
      </c>
      <c r="K61" s="2" t="s">
        <v>581</v>
      </c>
      <c r="L61" s="5">
        <v>15</v>
      </c>
      <c r="M61" s="5" t="s">
        <v>546</v>
      </c>
      <c r="N61" s="5" t="s">
        <v>546</v>
      </c>
      <c r="O61" s="5" t="s">
        <v>546</v>
      </c>
      <c r="P61" s="5">
        <v>15</v>
      </c>
      <c r="Q61" s="5"/>
      <c r="S61" s="35">
        <v>3208</v>
      </c>
      <c r="T61" s="2" t="s">
        <v>662</v>
      </c>
      <c r="U61" s="5">
        <v>123</v>
      </c>
      <c r="V61" s="5">
        <v>49</v>
      </c>
      <c r="W61" s="5">
        <v>20</v>
      </c>
      <c r="X61" s="5">
        <v>28</v>
      </c>
      <c r="Y61" s="5">
        <v>26</v>
      </c>
      <c r="Z61" s="5"/>
      <c r="AB61" s="21">
        <v>3208</v>
      </c>
      <c r="AC61" s="2" t="s">
        <v>662</v>
      </c>
      <c r="AD61" s="5">
        <v>84</v>
      </c>
      <c r="AE61" s="5">
        <v>66</v>
      </c>
      <c r="AF61" s="5" t="s">
        <v>546</v>
      </c>
      <c r="AG61" s="5">
        <v>7</v>
      </c>
      <c r="AH61" s="5">
        <v>11</v>
      </c>
      <c r="AK61" s="78">
        <v>8517</v>
      </c>
      <c r="AL61" s="72" t="s">
        <v>581</v>
      </c>
      <c r="AM61" s="76">
        <v>25</v>
      </c>
      <c r="AN61" s="76">
        <v>7</v>
      </c>
      <c r="AO61" s="76" t="s">
        <v>546</v>
      </c>
      <c r="AP61" s="76">
        <v>18</v>
      </c>
      <c r="AQ61" s="141"/>
      <c r="AR61" s="134"/>
      <c r="AT61" s="127"/>
      <c r="AU61" s="127"/>
      <c r="AV61" s="116"/>
      <c r="AW61" s="116"/>
      <c r="AX61" s="116"/>
      <c r="AY61" s="116"/>
      <c r="AZ61" s="2"/>
      <c r="BA61" s="2"/>
      <c r="BB61" s="2"/>
      <c r="BC61" s="2"/>
      <c r="BF61" s="2"/>
      <c r="BG61" s="2"/>
      <c r="BH61" s="2"/>
      <c r="BI61" s="2"/>
      <c r="BJ61" s="2"/>
      <c r="BK61" s="2"/>
      <c r="BL61" s="2"/>
      <c r="BM61" s="2"/>
      <c r="BN61" s="2"/>
      <c r="BO61" s="2"/>
      <c r="BR61" s="2"/>
      <c r="BS61" s="2"/>
      <c r="BT61" s="2"/>
      <c r="BU61" s="2"/>
      <c r="BV61" s="2"/>
      <c r="BW61" s="2"/>
      <c r="BX61" s="2"/>
      <c r="BY61" s="2"/>
      <c r="BZ61" s="2"/>
      <c r="CA61" s="2"/>
    </row>
    <row r="62" spans="1:79" ht="12" customHeight="1">
      <c r="J62" s="35">
        <v>8548</v>
      </c>
      <c r="K62" s="2" t="s">
        <v>582</v>
      </c>
      <c r="L62" s="5">
        <v>196</v>
      </c>
      <c r="M62" s="5">
        <v>26</v>
      </c>
      <c r="N62" s="5">
        <v>167</v>
      </c>
      <c r="O62" s="5" t="s">
        <v>546</v>
      </c>
      <c r="P62" s="5">
        <v>3</v>
      </c>
      <c r="Q62" s="5"/>
      <c r="S62" s="35">
        <v>3917</v>
      </c>
      <c r="T62" s="2" t="s">
        <v>304</v>
      </c>
      <c r="U62" s="5">
        <v>29</v>
      </c>
      <c r="V62" s="5">
        <v>13</v>
      </c>
      <c r="W62" s="5">
        <v>13</v>
      </c>
      <c r="X62" s="5">
        <v>3</v>
      </c>
      <c r="Y62" s="5" t="s">
        <v>546</v>
      </c>
      <c r="Z62" s="5"/>
      <c r="AB62" s="21">
        <v>3926</v>
      </c>
      <c r="AC62" s="2" t="s">
        <v>287</v>
      </c>
      <c r="AD62" s="5">
        <v>120</v>
      </c>
      <c r="AE62" s="5">
        <v>120</v>
      </c>
      <c r="AF62" s="5" t="s">
        <v>546</v>
      </c>
      <c r="AG62" s="5" t="s">
        <v>546</v>
      </c>
      <c r="AH62" s="5" t="s">
        <v>546</v>
      </c>
      <c r="AK62" s="78">
        <v>8528</v>
      </c>
      <c r="AL62" s="72" t="s">
        <v>785</v>
      </c>
      <c r="AM62" s="76">
        <v>38</v>
      </c>
      <c r="AN62" s="76" t="s">
        <v>546</v>
      </c>
      <c r="AO62" s="76">
        <v>6</v>
      </c>
      <c r="AP62" s="76">
        <v>32</v>
      </c>
      <c r="AQ62" s="141"/>
      <c r="AR62" s="134"/>
      <c r="AT62" s="127"/>
      <c r="AU62" s="127"/>
      <c r="AV62" s="116"/>
      <c r="AW62" s="116"/>
      <c r="AX62" s="116"/>
      <c r="AY62" s="116"/>
      <c r="AZ62" s="2"/>
      <c r="BA62" s="2"/>
      <c r="BB62" s="2"/>
      <c r="BC62" s="2"/>
      <c r="BF62" s="2"/>
      <c r="BG62" s="2"/>
      <c r="BH62" s="2"/>
      <c r="BI62" s="2"/>
      <c r="BJ62" s="2"/>
      <c r="BK62" s="2"/>
      <c r="BL62" s="2"/>
      <c r="BM62" s="2"/>
      <c r="BN62" s="2"/>
      <c r="BO62" s="2"/>
      <c r="BR62" s="2"/>
      <c r="BS62" s="2"/>
      <c r="BT62" s="2"/>
      <c r="BU62" s="2"/>
      <c r="BV62" s="2"/>
      <c r="BW62" s="2"/>
      <c r="BX62" s="2"/>
      <c r="BY62" s="2"/>
      <c r="BZ62" s="2"/>
      <c r="CA62" s="2"/>
    </row>
    <row r="63" spans="1:79" ht="13.5" customHeight="1">
      <c r="J63" s="35">
        <v>9403</v>
      </c>
      <c r="K63" s="2" t="s">
        <v>198</v>
      </c>
      <c r="L63" s="5">
        <v>29</v>
      </c>
      <c r="M63" s="5">
        <v>29</v>
      </c>
      <c r="N63" s="5" t="s">
        <v>546</v>
      </c>
      <c r="O63" s="5" t="s">
        <v>546</v>
      </c>
      <c r="P63" s="5" t="s">
        <v>546</v>
      </c>
      <c r="Q63" s="5"/>
      <c r="S63" s="35">
        <v>4421</v>
      </c>
      <c r="T63" s="2" t="s">
        <v>305</v>
      </c>
      <c r="U63" s="5">
        <v>241</v>
      </c>
      <c r="V63" s="5">
        <v>18</v>
      </c>
      <c r="W63" s="5" t="s">
        <v>546</v>
      </c>
      <c r="X63" s="5" t="s">
        <v>546</v>
      </c>
      <c r="Y63" s="5">
        <v>223</v>
      </c>
      <c r="Z63" s="5"/>
      <c r="AB63" s="21">
        <v>4412</v>
      </c>
      <c r="AC63" s="2" t="s">
        <v>711</v>
      </c>
      <c r="AD63" s="5">
        <v>162</v>
      </c>
      <c r="AE63" s="5" t="s">
        <v>546</v>
      </c>
      <c r="AF63" s="5" t="s">
        <v>546</v>
      </c>
      <c r="AG63" s="5">
        <v>162</v>
      </c>
      <c r="AH63" s="5" t="s">
        <v>546</v>
      </c>
      <c r="AK63" s="78">
        <v>8548</v>
      </c>
      <c r="AL63" s="72" t="s">
        <v>297</v>
      </c>
      <c r="AM63" s="76">
        <v>509</v>
      </c>
      <c r="AN63" s="76">
        <v>222</v>
      </c>
      <c r="AO63" s="76">
        <v>105</v>
      </c>
      <c r="AP63" s="76">
        <v>182</v>
      </c>
      <c r="AQ63" s="141"/>
      <c r="AR63" s="134"/>
      <c r="AT63" s="2318" t="s">
        <v>870</v>
      </c>
      <c r="AU63" s="2318"/>
      <c r="AV63" s="2318"/>
      <c r="AW63" s="2318"/>
      <c r="AX63" s="2318"/>
      <c r="AY63" s="2318"/>
      <c r="AZ63" s="113"/>
      <c r="BA63" s="113"/>
      <c r="BB63" s="113"/>
      <c r="BC63" s="113"/>
      <c r="BF63" s="2036" t="s">
        <v>939</v>
      </c>
      <c r="BG63" s="2036"/>
      <c r="BH63" s="2036"/>
      <c r="BI63" s="2036"/>
      <c r="BJ63" s="2036"/>
      <c r="BK63" s="2036"/>
      <c r="BL63" s="2036"/>
      <c r="BM63" s="2"/>
      <c r="BN63" s="2"/>
      <c r="BO63" s="2"/>
      <c r="BR63" s="2036" t="s">
        <v>996</v>
      </c>
      <c r="BS63" s="2036"/>
      <c r="BT63" s="2036"/>
      <c r="BU63" s="2036"/>
      <c r="BV63" s="2036"/>
      <c r="BW63" s="2036"/>
      <c r="BX63" s="2"/>
      <c r="BY63" s="2"/>
      <c r="BZ63" s="2"/>
      <c r="CA63" s="2"/>
    </row>
    <row r="64" spans="1:79" ht="12" customHeight="1">
      <c r="J64" s="35">
        <v>9405</v>
      </c>
      <c r="K64" s="2" t="s">
        <v>199</v>
      </c>
      <c r="L64" s="5">
        <v>7</v>
      </c>
      <c r="M64" s="5">
        <v>7</v>
      </c>
      <c r="N64" s="5" t="s">
        <v>546</v>
      </c>
      <c r="O64" s="5" t="s">
        <v>546</v>
      </c>
      <c r="P64" s="5" t="s">
        <v>546</v>
      </c>
      <c r="Q64" s="5"/>
      <c r="S64" s="35">
        <v>6800</v>
      </c>
      <c r="T64" s="2" t="s">
        <v>663</v>
      </c>
      <c r="U64" s="5">
        <v>115</v>
      </c>
      <c r="V64" s="5">
        <v>115</v>
      </c>
      <c r="W64" s="5" t="s">
        <v>546</v>
      </c>
      <c r="X64" s="5" t="s">
        <v>546</v>
      </c>
      <c r="Y64" s="5" t="s">
        <v>546</v>
      </c>
      <c r="Z64" s="5"/>
      <c r="AB64" s="21">
        <v>4421</v>
      </c>
      <c r="AC64" s="3" t="s">
        <v>305</v>
      </c>
      <c r="AD64" s="5">
        <v>13</v>
      </c>
      <c r="AE64" s="5">
        <v>4</v>
      </c>
      <c r="AF64" s="5">
        <v>9</v>
      </c>
      <c r="AG64" s="5" t="s">
        <v>546</v>
      </c>
      <c r="AH64" s="5" t="s">
        <v>546</v>
      </c>
      <c r="AK64" s="78">
        <v>9101</v>
      </c>
      <c r="AL64" s="72" t="s">
        <v>298</v>
      </c>
      <c r="AM64" s="77">
        <v>1708</v>
      </c>
      <c r="AN64" s="76" t="s">
        <v>546</v>
      </c>
      <c r="AO64" s="76">
        <v>14</v>
      </c>
      <c r="AP64" s="77">
        <v>1694</v>
      </c>
      <c r="AQ64" s="141"/>
      <c r="AR64" s="134"/>
      <c r="AT64" s="195" t="s">
        <v>127</v>
      </c>
      <c r="AU64" s="195"/>
      <c r="AV64" s="195"/>
      <c r="AW64" s="195"/>
      <c r="AX64" s="195"/>
      <c r="AY64" s="195"/>
      <c r="AZ64" s="195"/>
      <c r="BA64" s="195"/>
      <c r="BB64" s="195"/>
      <c r="BC64" s="195"/>
      <c r="BF64" s="2055" t="s">
        <v>127</v>
      </c>
      <c r="BG64" s="2055"/>
      <c r="BH64" s="2"/>
      <c r="BI64" s="2"/>
      <c r="BJ64" s="2"/>
      <c r="BK64" s="2"/>
      <c r="BL64" s="2"/>
      <c r="BM64" s="2"/>
      <c r="BN64" s="2"/>
      <c r="BO64" s="2"/>
      <c r="BR64" s="2036" t="s">
        <v>127</v>
      </c>
      <c r="BS64" s="2036"/>
      <c r="BT64" s="2"/>
      <c r="BU64" s="2"/>
      <c r="BV64" s="2"/>
      <c r="BW64" s="2"/>
      <c r="BX64" s="2"/>
      <c r="BY64" s="2"/>
      <c r="BZ64" s="2"/>
      <c r="CA64" s="2"/>
    </row>
    <row r="65" spans="10:79" ht="12.95" customHeight="1">
      <c r="J65" s="35">
        <v>9406</v>
      </c>
      <c r="K65" s="2" t="s">
        <v>334</v>
      </c>
      <c r="L65" s="5">
        <v>19</v>
      </c>
      <c r="M65" s="5" t="s">
        <v>546</v>
      </c>
      <c r="N65" s="5" t="s">
        <v>546</v>
      </c>
      <c r="O65" s="5" t="s">
        <v>546</v>
      </c>
      <c r="P65" s="5">
        <v>19</v>
      </c>
      <c r="Q65" s="5"/>
      <c r="S65" s="35">
        <v>6912</v>
      </c>
      <c r="T65" s="2" t="s">
        <v>371</v>
      </c>
      <c r="U65" s="5">
        <v>13</v>
      </c>
      <c r="V65" s="5">
        <v>6</v>
      </c>
      <c r="W65" s="5" t="s">
        <v>546</v>
      </c>
      <c r="X65" s="5">
        <v>4</v>
      </c>
      <c r="Y65" s="5">
        <v>3</v>
      </c>
      <c r="Z65" s="5"/>
      <c r="AB65" s="21">
        <v>6800</v>
      </c>
      <c r="AC65" s="2" t="s">
        <v>663</v>
      </c>
      <c r="AD65" s="5">
        <v>7</v>
      </c>
      <c r="AE65" s="5" t="s">
        <v>546</v>
      </c>
      <c r="AF65" s="5" t="s">
        <v>546</v>
      </c>
      <c r="AG65" s="5">
        <v>4</v>
      </c>
      <c r="AH65" s="5">
        <v>3</v>
      </c>
      <c r="AK65" s="72"/>
      <c r="AL65" s="72"/>
      <c r="AM65" s="72"/>
      <c r="AN65" s="72"/>
      <c r="AO65" s="72"/>
      <c r="AP65" s="72"/>
      <c r="AQ65" s="141"/>
      <c r="AR65" s="134"/>
      <c r="AT65" s="173"/>
      <c r="AU65" s="176"/>
      <c r="AV65" s="174" t="s">
        <v>871</v>
      </c>
      <c r="AW65" s="185" t="s">
        <v>841</v>
      </c>
      <c r="AX65" s="2319" t="s">
        <v>842</v>
      </c>
      <c r="AY65" s="2319"/>
      <c r="AZ65" s="2319"/>
      <c r="BA65" s="2319"/>
      <c r="BB65" s="2319"/>
      <c r="BC65" s="2319"/>
      <c r="BF65" s="108"/>
      <c r="BG65" s="191"/>
      <c r="BH65" s="189" t="s">
        <v>940</v>
      </c>
      <c r="BI65" s="69" t="s">
        <v>841</v>
      </c>
      <c r="BJ65" s="2042" t="s">
        <v>842</v>
      </c>
      <c r="BK65" s="2043"/>
      <c r="BL65" s="2043"/>
      <c r="BM65" s="2043"/>
      <c r="BN65" s="2043"/>
      <c r="BO65" s="2043"/>
      <c r="BR65" s="8"/>
      <c r="BS65" s="117"/>
      <c r="BT65" s="69" t="s">
        <v>542</v>
      </c>
      <c r="BU65" s="137" t="s">
        <v>841</v>
      </c>
      <c r="BV65" s="2261" t="s">
        <v>842</v>
      </c>
      <c r="BW65" s="2261"/>
      <c r="BX65" s="2261"/>
      <c r="BY65" s="2261"/>
      <c r="BZ65" s="2261"/>
      <c r="CA65" s="2261"/>
    </row>
    <row r="66" spans="10:79" ht="12.95" customHeight="1">
      <c r="J66" s="2"/>
      <c r="K66" s="2"/>
      <c r="L66" s="2"/>
      <c r="M66" s="2"/>
      <c r="N66" s="2"/>
      <c r="O66" s="2"/>
      <c r="P66" s="2"/>
      <c r="Q66" s="2"/>
      <c r="S66" s="35">
        <v>6914</v>
      </c>
      <c r="T66" s="2" t="s">
        <v>664</v>
      </c>
      <c r="U66" s="5">
        <v>4</v>
      </c>
      <c r="V66" s="5" t="s">
        <v>546</v>
      </c>
      <c r="W66" s="5">
        <v>4</v>
      </c>
      <c r="X66" s="5" t="s">
        <v>546</v>
      </c>
      <c r="Y66" s="5" t="s">
        <v>546</v>
      </c>
      <c r="Z66" s="5"/>
      <c r="AB66" s="21">
        <v>6912</v>
      </c>
      <c r="AC66" s="2" t="s">
        <v>371</v>
      </c>
      <c r="AD66" s="5">
        <v>10</v>
      </c>
      <c r="AE66" s="5">
        <v>7</v>
      </c>
      <c r="AF66" s="5" t="s">
        <v>546</v>
      </c>
      <c r="AG66" s="5">
        <v>3</v>
      </c>
      <c r="AH66" s="5" t="s">
        <v>546</v>
      </c>
      <c r="AK66" s="74"/>
      <c r="AL66" s="151" t="s">
        <v>583</v>
      </c>
      <c r="AM66" s="77">
        <v>1419</v>
      </c>
      <c r="AN66" s="76">
        <v>663</v>
      </c>
      <c r="AO66" s="76">
        <v>510</v>
      </c>
      <c r="AP66" s="76">
        <v>246</v>
      </c>
      <c r="AQ66" s="141"/>
      <c r="AR66" s="134"/>
      <c r="AT66" s="10" t="s">
        <v>135</v>
      </c>
      <c r="AU66" s="183" t="s">
        <v>843</v>
      </c>
      <c r="AV66" s="58" t="s">
        <v>844</v>
      </c>
      <c r="AW66" s="68" t="s">
        <v>129</v>
      </c>
      <c r="AX66" s="26" t="s">
        <v>845</v>
      </c>
      <c r="AY66" s="26" t="s">
        <v>847</v>
      </c>
      <c r="AZ66" s="26" t="s">
        <v>393</v>
      </c>
      <c r="BA66" s="26" t="s">
        <v>399</v>
      </c>
      <c r="BB66" s="26" t="s">
        <v>528</v>
      </c>
      <c r="BC66" s="27" t="s">
        <v>394</v>
      </c>
      <c r="BF66" s="40" t="s">
        <v>135</v>
      </c>
      <c r="BG66" s="192" t="s">
        <v>843</v>
      </c>
      <c r="BH66" s="40" t="s">
        <v>844</v>
      </c>
      <c r="BI66" s="70" t="s">
        <v>129</v>
      </c>
      <c r="BJ66" s="26" t="s">
        <v>845</v>
      </c>
      <c r="BK66" s="26" t="s">
        <v>528</v>
      </c>
      <c r="BL66" s="26" t="s">
        <v>941</v>
      </c>
      <c r="BM66" s="26" t="s">
        <v>399</v>
      </c>
      <c r="BN66" s="26" t="s">
        <v>390</v>
      </c>
      <c r="BO66" s="27" t="s">
        <v>394</v>
      </c>
      <c r="BR66" s="10" t="s">
        <v>135</v>
      </c>
      <c r="BS66" s="119" t="s">
        <v>843</v>
      </c>
      <c r="BT66" s="70" t="s">
        <v>844</v>
      </c>
      <c r="BU66" s="138" t="s">
        <v>129</v>
      </c>
      <c r="BV66" s="26" t="s">
        <v>845</v>
      </c>
      <c r="BW66" s="26" t="s">
        <v>392</v>
      </c>
      <c r="BX66" s="26" t="s">
        <v>941</v>
      </c>
      <c r="BY66" s="26" t="s">
        <v>528</v>
      </c>
      <c r="BZ66" s="26" t="s">
        <v>393</v>
      </c>
      <c r="CA66" s="27" t="s">
        <v>394</v>
      </c>
    </row>
    <row r="67" spans="10:79" ht="12.95" customHeight="1">
      <c r="J67" s="2"/>
      <c r="K67" s="6" t="s">
        <v>583</v>
      </c>
      <c r="L67" s="47">
        <v>1026</v>
      </c>
      <c r="M67" s="5">
        <v>581</v>
      </c>
      <c r="N67" s="5">
        <v>428</v>
      </c>
      <c r="O67" s="5">
        <v>167</v>
      </c>
      <c r="P67" s="5">
        <v>30</v>
      </c>
      <c r="Q67" s="5"/>
      <c r="S67" s="35">
        <v>7000</v>
      </c>
      <c r="T67" s="2" t="s">
        <v>665</v>
      </c>
      <c r="U67" s="5">
        <v>20</v>
      </c>
      <c r="V67" s="5" t="s">
        <v>546</v>
      </c>
      <c r="W67" s="5">
        <v>3</v>
      </c>
      <c r="X67" s="5">
        <v>14</v>
      </c>
      <c r="Y67" s="5">
        <v>3</v>
      </c>
      <c r="Z67" s="5"/>
      <c r="AB67" s="21">
        <v>7000</v>
      </c>
      <c r="AC67" s="2" t="s">
        <v>665</v>
      </c>
      <c r="AD67" s="5">
        <v>35</v>
      </c>
      <c r="AE67" s="5">
        <v>35</v>
      </c>
      <c r="AF67" s="5" t="s">
        <v>546</v>
      </c>
      <c r="AG67" s="5" t="s">
        <v>546</v>
      </c>
      <c r="AH67" s="5" t="s">
        <v>546</v>
      </c>
      <c r="AK67" s="78">
        <v>3923</v>
      </c>
      <c r="AL67" s="72" t="s">
        <v>745</v>
      </c>
      <c r="AM67" s="76">
        <v>33</v>
      </c>
      <c r="AN67" s="76">
        <v>14</v>
      </c>
      <c r="AO67" s="76">
        <v>19</v>
      </c>
      <c r="AP67" s="76" t="s">
        <v>546</v>
      </c>
      <c r="AQ67" s="141"/>
      <c r="AR67" s="134"/>
      <c r="AT67" s="3"/>
      <c r="AU67" s="3" t="s">
        <v>129</v>
      </c>
      <c r="AV67" s="53">
        <v>11133</v>
      </c>
      <c r="AW67" s="87">
        <v>100</v>
      </c>
      <c r="AX67" s="53">
        <v>5339</v>
      </c>
      <c r="AY67" s="53">
        <v>1725</v>
      </c>
      <c r="AZ67" s="53">
        <v>1059</v>
      </c>
      <c r="BA67" s="22">
        <v>826</v>
      </c>
      <c r="BB67" s="22">
        <v>670</v>
      </c>
      <c r="BC67" s="53">
        <v>1514</v>
      </c>
      <c r="BF67" s="3"/>
      <c r="BG67" s="3" t="s">
        <v>129</v>
      </c>
      <c r="BH67" s="53">
        <v>7753</v>
      </c>
      <c r="BI67" s="87">
        <v>100</v>
      </c>
      <c r="BJ67" s="53">
        <v>4476</v>
      </c>
      <c r="BK67" s="53">
        <v>1083</v>
      </c>
      <c r="BL67" s="53">
        <v>1015</v>
      </c>
      <c r="BM67" s="22">
        <v>615</v>
      </c>
      <c r="BN67" s="22">
        <v>203</v>
      </c>
      <c r="BO67" s="22">
        <v>360</v>
      </c>
      <c r="BR67" s="108"/>
      <c r="BS67" s="108" t="s">
        <v>129</v>
      </c>
      <c r="BT67" s="132">
        <v>10247</v>
      </c>
      <c r="BU67" s="198">
        <v>100</v>
      </c>
      <c r="BV67" s="132">
        <v>2380</v>
      </c>
      <c r="BW67" s="107">
        <v>282</v>
      </c>
      <c r="BX67" s="107">
        <v>765</v>
      </c>
      <c r="BY67" s="107">
        <v>716</v>
      </c>
      <c r="BZ67" s="132">
        <v>5368</v>
      </c>
      <c r="CA67" s="107">
        <v>736</v>
      </c>
    </row>
    <row r="68" spans="10:79" ht="12.95" customHeight="1">
      <c r="J68" s="35">
        <v>3923</v>
      </c>
      <c r="K68" s="2" t="s">
        <v>584</v>
      </c>
      <c r="L68" s="5">
        <v>31</v>
      </c>
      <c r="M68" s="5">
        <v>31</v>
      </c>
      <c r="N68" s="5" t="s">
        <v>546</v>
      </c>
      <c r="O68" s="5" t="s">
        <v>546</v>
      </c>
      <c r="P68" s="5" t="s">
        <v>546</v>
      </c>
      <c r="Q68" s="5"/>
      <c r="S68" s="35">
        <v>7200</v>
      </c>
      <c r="T68" s="2" t="s">
        <v>309</v>
      </c>
      <c r="U68" s="47">
        <v>2848</v>
      </c>
      <c r="V68" s="5">
        <v>787</v>
      </c>
      <c r="W68" s="5">
        <v>713</v>
      </c>
      <c r="X68" s="5">
        <v>601</v>
      </c>
      <c r="Y68" s="5">
        <v>747</v>
      </c>
      <c r="Z68" s="5"/>
      <c r="AB68" s="21">
        <v>7200</v>
      </c>
      <c r="AC68" s="2" t="s">
        <v>309</v>
      </c>
      <c r="AD68" s="47">
        <v>3575</v>
      </c>
      <c r="AE68" s="47">
        <v>1097</v>
      </c>
      <c r="AF68" s="5">
        <v>781</v>
      </c>
      <c r="AG68" s="5">
        <v>815</v>
      </c>
      <c r="AH68" s="5">
        <v>882</v>
      </c>
      <c r="AK68" s="78">
        <v>3926</v>
      </c>
      <c r="AL68" s="72" t="s">
        <v>287</v>
      </c>
      <c r="AM68" s="76">
        <v>127</v>
      </c>
      <c r="AN68" s="76">
        <v>36</v>
      </c>
      <c r="AO68" s="76">
        <v>86</v>
      </c>
      <c r="AP68" s="76">
        <v>5</v>
      </c>
      <c r="AQ68" s="141"/>
      <c r="AR68" s="134"/>
      <c r="AT68" s="35">
        <v>2402</v>
      </c>
      <c r="AU68" s="2" t="s">
        <v>872</v>
      </c>
      <c r="AV68" s="47">
        <v>2549</v>
      </c>
      <c r="AW68" s="5">
        <v>22.9</v>
      </c>
      <c r="AX68" s="47">
        <v>1983</v>
      </c>
      <c r="AY68" s="5">
        <v>479</v>
      </c>
      <c r="AZ68" s="2"/>
      <c r="BA68" s="2"/>
      <c r="BB68" s="5">
        <v>87</v>
      </c>
      <c r="BC68" s="2"/>
      <c r="BF68" s="35">
        <v>2402</v>
      </c>
      <c r="BG68" s="2" t="s">
        <v>616</v>
      </c>
      <c r="BH68" s="47">
        <v>2338</v>
      </c>
      <c r="BI68" s="5">
        <v>30.2</v>
      </c>
      <c r="BJ68" s="47">
        <v>1806</v>
      </c>
      <c r="BK68" s="5">
        <v>236</v>
      </c>
      <c r="BL68" s="5">
        <v>296</v>
      </c>
      <c r="BM68" s="2"/>
      <c r="BN68" s="2"/>
      <c r="BO68" s="2"/>
      <c r="BR68" s="21">
        <v>3304</v>
      </c>
      <c r="BS68" s="3" t="s">
        <v>432</v>
      </c>
      <c r="BT68" s="53">
        <v>2574</v>
      </c>
      <c r="BU68" s="22">
        <v>25.1</v>
      </c>
      <c r="BV68" s="3"/>
      <c r="BW68" s="3"/>
      <c r="BX68" s="3"/>
      <c r="BY68" s="3"/>
      <c r="BZ68" s="53">
        <v>2574</v>
      </c>
      <c r="CA68" s="3"/>
    </row>
    <row r="69" spans="10:79" ht="12.95" customHeight="1">
      <c r="J69" s="35">
        <v>3924</v>
      </c>
      <c r="K69" s="2" t="s">
        <v>585</v>
      </c>
      <c r="L69" s="5">
        <v>10</v>
      </c>
      <c r="M69" s="5" t="s">
        <v>546</v>
      </c>
      <c r="N69" s="5">
        <v>7</v>
      </c>
      <c r="O69" s="5">
        <v>3</v>
      </c>
      <c r="P69" s="5" t="s">
        <v>546</v>
      </c>
      <c r="Q69" s="5"/>
      <c r="S69" s="35">
        <v>7308</v>
      </c>
      <c r="T69" s="2" t="s">
        <v>666</v>
      </c>
      <c r="U69" s="5">
        <v>107</v>
      </c>
      <c r="V69" s="5">
        <v>79</v>
      </c>
      <c r="W69" s="5">
        <v>28</v>
      </c>
      <c r="X69" s="5" t="s">
        <v>546</v>
      </c>
      <c r="Y69" s="5" t="s">
        <v>546</v>
      </c>
      <c r="Z69" s="5"/>
      <c r="AB69" s="21">
        <v>7307</v>
      </c>
      <c r="AC69" s="2" t="s">
        <v>712</v>
      </c>
      <c r="AD69" s="5">
        <v>39</v>
      </c>
      <c r="AE69" s="5" t="s">
        <v>546</v>
      </c>
      <c r="AF69" s="5" t="s">
        <v>546</v>
      </c>
      <c r="AG69" s="5" t="s">
        <v>546</v>
      </c>
      <c r="AH69" s="5">
        <v>39</v>
      </c>
      <c r="AK69" s="78">
        <v>4017</v>
      </c>
      <c r="AL69" s="72" t="s">
        <v>747</v>
      </c>
      <c r="AM69" s="76">
        <v>23</v>
      </c>
      <c r="AN69" s="76" t="s">
        <v>546</v>
      </c>
      <c r="AO69" s="76">
        <v>23</v>
      </c>
      <c r="AP69" s="76" t="s">
        <v>546</v>
      </c>
      <c r="AQ69" s="141"/>
      <c r="AR69" s="134"/>
      <c r="AT69" s="35">
        <v>2203</v>
      </c>
      <c r="AU69" s="2" t="s">
        <v>178</v>
      </c>
      <c r="AV69" s="47">
        <v>2387</v>
      </c>
      <c r="AW69" s="5">
        <v>21.4</v>
      </c>
      <c r="AX69" s="47">
        <v>1678</v>
      </c>
      <c r="AY69" s="5">
        <v>506</v>
      </c>
      <c r="AZ69" s="2"/>
      <c r="BA69" s="2"/>
      <c r="BB69" s="5">
        <v>203</v>
      </c>
      <c r="BC69" s="2"/>
      <c r="BF69" s="35">
        <v>2203</v>
      </c>
      <c r="BG69" s="2" t="s">
        <v>280</v>
      </c>
      <c r="BH69" s="47">
        <v>1780</v>
      </c>
      <c r="BI69" s="88">
        <v>23</v>
      </c>
      <c r="BJ69" s="5">
        <v>968</v>
      </c>
      <c r="BK69" s="5">
        <v>285</v>
      </c>
      <c r="BL69" s="5">
        <v>527</v>
      </c>
      <c r="BM69" s="2"/>
      <c r="BN69" s="2"/>
      <c r="BO69" s="2"/>
      <c r="BR69" s="21">
        <v>9101</v>
      </c>
      <c r="BS69" s="3" t="s">
        <v>997</v>
      </c>
      <c r="BT69" s="53">
        <v>1694</v>
      </c>
      <c r="BU69" s="22">
        <v>16.5</v>
      </c>
      <c r="BV69" s="3"/>
      <c r="BW69" s="3"/>
      <c r="BX69" s="3"/>
      <c r="BY69" s="3"/>
      <c r="BZ69" s="53">
        <v>1694</v>
      </c>
      <c r="CA69" s="3"/>
    </row>
    <row r="70" spans="10:79" ht="12.95" customHeight="1">
      <c r="J70" s="35">
        <v>3926</v>
      </c>
      <c r="K70" s="2" t="s">
        <v>586</v>
      </c>
      <c r="L70" s="5">
        <v>62</v>
      </c>
      <c r="M70" s="5">
        <v>32</v>
      </c>
      <c r="N70" s="5">
        <v>7</v>
      </c>
      <c r="O70" s="5">
        <v>5</v>
      </c>
      <c r="P70" s="5">
        <v>18</v>
      </c>
      <c r="Q70" s="5"/>
      <c r="S70" s="35">
        <v>7314</v>
      </c>
      <c r="T70" s="2" t="s">
        <v>667</v>
      </c>
      <c r="U70" s="5">
        <v>13</v>
      </c>
      <c r="V70" s="5">
        <v>13</v>
      </c>
      <c r="W70" s="5" t="s">
        <v>546</v>
      </c>
      <c r="X70" s="5" t="s">
        <v>546</v>
      </c>
      <c r="Y70" s="5" t="s">
        <v>546</v>
      </c>
      <c r="Z70" s="5"/>
      <c r="AB70" s="21">
        <v>7308</v>
      </c>
      <c r="AC70" s="2" t="s">
        <v>666</v>
      </c>
      <c r="AD70" s="5">
        <v>62</v>
      </c>
      <c r="AE70" s="5" t="s">
        <v>546</v>
      </c>
      <c r="AF70" s="5" t="s">
        <v>546</v>
      </c>
      <c r="AG70" s="5" t="s">
        <v>546</v>
      </c>
      <c r="AH70" s="5">
        <v>62</v>
      </c>
      <c r="AK70" s="78">
        <v>4202</v>
      </c>
      <c r="AL70" s="72" t="s">
        <v>748</v>
      </c>
      <c r="AM70" s="76">
        <v>871</v>
      </c>
      <c r="AN70" s="76">
        <v>502</v>
      </c>
      <c r="AO70" s="76">
        <v>194</v>
      </c>
      <c r="AP70" s="76">
        <v>175</v>
      </c>
      <c r="AQ70" s="141"/>
      <c r="AR70" s="134"/>
      <c r="AT70" s="35">
        <v>8703</v>
      </c>
      <c r="AU70" s="2" t="s">
        <v>873</v>
      </c>
      <c r="AV70" s="47">
        <v>1753</v>
      </c>
      <c r="AW70" s="5">
        <v>15.7</v>
      </c>
      <c r="AX70" s="47">
        <v>1027</v>
      </c>
      <c r="AY70" s="5">
        <v>328</v>
      </c>
      <c r="AZ70" s="5">
        <v>311</v>
      </c>
      <c r="BA70" s="5">
        <v>40</v>
      </c>
      <c r="BB70" s="5">
        <v>47</v>
      </c>
      <c r="BC70" s="2"/>
      <c r="BF70" s="35">
        <v>8703</v>
      </c>
      <c r="BG70" s="2" t="s">
        <v>933</v>
      </c>
      <c r="BH70" s="47">
        <v>1613</v>
      </c>
      <c r="BI70" s="5">
        <v>20.8</v>
      </c>
      <c r="BJ70" s="47">
        <v>1165</v>
      </c>
      <c r="BK70" s="5">
        <v>231</v>
      </c>
      <c r="BL70" s="5">
        <v>100</v>
      </c>
      <c r="BM70" s="2"/>
      <c r="BN70" s="2"/>
      <c r="BO70" s="5">
        <v>117</v>
      </c>
      <c r="BR70" s="21">
        <v>2402</v>
      </c>
      <c r="BS70" s="3" t="s">
        <v>616</v>
      </c>
      <c r="BT70" s="53">
        <v>1475</v>
      </c>
      <c r="BU70" s="22">
        <v>14.4</v>
      </c>
      <c r="BV70" s="53">
        <v>1017</v>
      </c>
      <c r="BW70" s="3"/>
      <c r="BX70" s="22">
        <v>264</v>
      </c>
      <c r="BY70" s="22">
        <v>194</v>
      </c>
      <c r="BZ70" s="3"/>
      <c r="CA70" s="3"/>
    </row>
    <row r="71" spans="10:79" ht="12.95" customHeight="1">
      <c r="J71" s="35">
        <v>4202</v>
      </c>
      <c r="K71" s="2" t="s">
        <v>587</v>
      </c>
      <c r="L71" s="5">
        <v>558</v>
      </c>
      <c r="M71" s="5">
        <v>345</v>
      </c>
      <c r="N71" s="5">
        <v>213</v>
      </c>
      <c r="O71" s="5" t="s">
        <v>546</v>
      </c>
      <c r="P71" s="5" t="s">
        <v>546</v>
      </c>
      <c r="Q71" s="5"/>
      <c r="S71" s="35">
        <v>7326</v>
      </c>
      <c r="T71" s="2" t="s">
        <v>668</v>
      </c>
      <c r="U71" s="5">
        <v>34</v>
      </c>
      <c r="V71" s="5">
        <v>23</v>
      </c>
      <c r="W71" s="5">
        <v>11</v>
      </c>
      <c r="X71" s="5" t="s">
        <v>546</v>
      </c>
      <c r="Y71" s="5" t="s">
        <v>546</v>
      </c>
      <c r="Z71" s="5"/>
      <c r="AB71" s="21">
        <v>7326</v>
      </c>
      <c r="AC71" s="2" t="s">
        <v>668</v>
      </c>
      <c r="AD71" s="5">
        <v>10</v>
      </c>
      <c r="AE71" s="5" t="s">
        <v>546</v>
      </c>
      <c r="AF71" s="5" t="s">
        <v>546</v>
      </c>
      <c r="AG71" s="5" t="s">
        <v>546</v>
      </c>
      <c r="AH71" s="5">
        <v>10</v>
      </c>
      <c r="AK71" s="78">
        <v>4700</v>
      </c>
      <c r="AL71" s="72" t="s">
        <v>786</v>
      </c>
      <c r="AM71" s="76">
        <v>6</v>
      </c>
      <c r="AN71" s="76" t="s">
        <v>546</v>
      </c>
      <c r="AO71" s="76" t="s">
        <v>546</v>
      </c>
      <c r="AP71" s="76">
        <v>6</v>
      </c>
      <c r="AQ71" s="141"/>
      <c r="AR71" s="134"/>
      <c r="AT71" s="35">
        <v>2523</v>
      </c>
      <c r="AU71" s="2" t="s">
        <v>874</v>
      </c>
      <c r="AV71" s="5">
        <v>911</v>
      </c>
      <c r="AW71" s="5">
        <v>8.1999999999999993</v>
      </c>
      <c r="AX71" s="2"/>
      <c r="AY71" s="5">
        <v>230</v>
      </c>
      <c r="AZ71" s="2"/>
      <c r="BA71" s="2"/>
      <c r="BB71" s="2"/>
      <c r="BC71" s="5">
        <v>681</v>
      </c>
      <c r="BF71" s="35">
        <v>7200</v>
      </c>
      <c r="BG71" s="2" t="s">
        <v>309</v>
      </c>
      <c r="BH71" s="5">
        <v>808</v>
      </c>
      <c r="BI71" s="5">
        <v>10.4</v>
      </c>
      <c r="BJ71" s="5">
        <v>32</v>
      </c>
      <c r="BK71" s="2"/>
      <c r="BL71" s="5">
        <v>27</v>
      </c>
      <c r="BM71" s="5">
        <v>615</v>
      </c>
      <c r="BN71" s="5">
        <v>134</v>
      </c>
      <c r="BO71" s="2"/>
      <c r="BR71" s="21">
        <v>2203</v>
      </c>
      <c r="BS71" s="3" t="s">
        <v>430</v>
      </c>
      <c r="BT71" s="53">
        <v>1462</v>
      </c>
      <c r="BU71" s="22">
        <v>14.3</v>
      </c>
      <c r="BV71" s="53">
        <v>1042</v>
      </c>
      <c r="BW71" s="22">
        <v>10</v>
      </c>
      <c r="BX71" s="22">
        <v>309</v>
      </c>
      <c r="BY71" s="22">
        <v>90</v>
      </c>
      <c r="BZ71" s="3"/>
      <c r="CA71" s="22">
        <v>11</v>
      </c>
    </row>
    <row r="72" spans="10:79" ht="12.95" customHeight="1">
      <c r="J72" s="35">
        <v>4818</v>
      </c>
      <c r="K72" s="2" t="s">
        <v>588</v>
      </c>
      <c r="L72" s="5">
        <v>117</v>
      </c>
      <c r="M72" s="5">
        <v>3</v>
      </c>
      <c r="N72" s="5">
        <v>33</v>
      </c>
      <c r="O72" s="5">
        <v>78</v>
      </c>
      <c r="P72" s="5">
        <v>3</v>
      </c>
      <c r="Q72" s="5"/>
      <c r="S72" s="35">
        <v>7404</v>
      </c>
      <c r="T72" s="2" t="s">
        <v>669</v>
      </c>
      <c r="U72" s="5">
        <v>111</v>
      </c>
      <c r="V72" s="5" t="s">
        <v>546</v>
      </c>
      <c r="W72" s="5">
        <v>111</v>
      </c>
      <c r="X72" s="5" t="s">
        <v>546</v>
      </c>
      <c r="Y72" s="5" t="s">
        <v>546</v>
      </c>
      <c r="Z72" s="5"/>
      <c r="AB72" s="21">
        <v>7404</v>
      </c>
      <c r="AC72" s="2" t="s">
        <v>669</v>
      </c>
      <c r="AD72" s="5">
        <v>328</v>
      </c>
      <c r="AE72" s="5" t="s">
        <v>546</v>
      </c>
      <c r="AF72" s="5" t="s">
        <v>546</v>
      </c>
      <c r="AG72" s="5">
        <v>51</v>
      </c>
      <c r="AH72" s="5">
        <v>277</v>
      </c>
      <c r="AK72" s="78">
        <v>4818</v>
      </c>
      <c r="AL72" s="72" t="s">
        <v>290</v>
      </c>
      <c r="AM72" s="76">
        <v>92</v>
      </c>
      <c r="AN72" s="76">
        <v>16</v>
      </c>
      <c r="AO72" s="76">
        <v>28</v>
      </c>
      <c r="AP72" s="76">
        <v>48</v>
      </c>
      <c r="AQ72" s="141"/>
      <c r="AR72" s="134"/>
      <c r="AT72" s="35">
        <v>7200</v>
      </c>
      <c r="AU72" s="2" t="s">
        <v>309</v>
      </c>
      <c r="AV72" s="5">
        <v>884</v>
      </c>
      <c r="AW72" s="5">
        <v>7.9</v>
      </c>
      <c r="AX72" s="2"/>
      <c r="AY72" s="5">
        <v>3</v>
      </c>
      <c r="AZ72" s="2"/>
      <c r="BA72" s="5">
        <v>763</v>
      </c>
      <c r="BB72" s="2"/>
      <c r="BC72" s="5">
        <v>118</v>
      </c>
      <c r="BF72" s="35">
        <v>4421</v>
      </c>
      <c r="BG72" s="2" t="s">
        <v>305</v>
      </c>
      <c r="BH72" s="5">
        <v>162</v>
      </c>
      <c r="BI72" s="5">
        <v>2.1</v>
      </c>
      <c r="BJ72" s="5">
        <v>6</v>
      </c>
      <c r="BK72" s="2"/>
      <c r="BL72" s="2"/>
      <c r="BM72" s="2"/>
      <c r="BN72" s="2"/>
      <c r="BO72" s="5">
        <v>156</v>
      </c>
      <c r="BR72" s="21">
        <v>7200</v>
      </c>
      <c r="BS72" s="3" t="s">
        <v>309</v>
      </c>
      <c r="BT72" s="22">
        <v>600</v>
      </c>
      <c r="BU72" s="22">
        <v>5.9</v>
      </c>
      <c r="BV72" s="3"/>
      <c r="BW72" s="3"/>
      <c r="BX72" s="3"/>
      <c r="BY72" s="3"/>
      <c r="BZ72" s="3"/>
      <c r="CA72" s="22">
        <v>600</v>
      </c>
    </row>
    <row r="73" spans="10:79" ht="12.95" customHeight="1">
      <c r="J73" s="35">
        <v>4819</v>
      </c>
      <c r="K73" s="2" t="s">
        <v>589</v>
      </c>
      <c r="L73" s="5">
        <v>389</v>
      </c>
      <c r="M73" s="5">
        <v>170</v>
      </c>
      <c r="N73" s="5">
        <v>168</v>
      </c>
      <c r="O73" s="5">
        <v>51</v>
      </c>
      <c r="P73" s="5" t="s">
        <v>546</v>
      </c>
      <c r="Q73" s="5"/>
      <c r="S73" s="35">
        <v>7411</v>
      </c>
      <c r="T73" s="2" t="s">
        <v>670</v>
      </c>
      <c r="U73" s="5">
        <v>427</v>
      </c>
      <c r="V73" s="5">
        <v>8</v>
      </c>
      <c r="W73" s="5" t="s">
        <v>546</v>
      </c>
      <c r="X73" s="5">
        <v>286</v>
      </c>
      <c r="Y73" s="5">
        <v>133</v>
      </c>
      <c r="Z73" s="5"/>
      <c r="AB73" s="21">
        <v>7411</v>
      </c>
      <c r="AC73" s="2" t="s">
        <v>670</v>
      </c>
      <c r="AD73" s="5">
        <v>86</v>
      </c>
      <c r="AE73" s="5">
        <v>6</v>
      </c>
      <c r="AF73" s="5">
        <v>80</v>
      </c>
      <c r="AG73" s="5" t="s">
        <v>546</v>
      </c>
      <c r="AH73" s="5" t="s">
        <v>546</v>
      </c>
      <c r="AK73" s="78">
        <v>4823</v>
      </c>
      <c r="AL73" s="72" t="s">
        <v>787</v>
      </c>
      <c r="AM73" s="76">
        <v>14</v>
      </c>
      <c r="AN73" s="76">
        <v>14</v>
      </c>
      <c r="AO73" s="76" t="s">
        <v>546</v>
      </c>
      <c r="AP73" s="76" t="s">
        <v>546</v>
      </c>
      <c r="AQ73" s="141"/>
      <c r="AR73" s="134"/>
      <c r="AT73" s="35">
        <v>9101</v>
      </c>
      <c r="AU73" s="139" t="s">
        <v>963</v>
      </c>
      <c r="AV73" s="5">
        <v>550</v>
      </c>
      <c r="AW73" s="5">
        <v>4.9000000000000004</v>
      </c>
      <c r="AX73" s="2"/>
      <c r="AY73" s="2"/>
      <c r="AZ73" s="5">
        <v>550</v>
      </c>
      <c r="BA73" s="2"/>
      <c r="BB73" s="2"/>
      <c r="BC73" s="2"/>
      <c r="BF73" s="35">
        <v>7602</v>
      </c>
      <c r="BG73" s="2" t="s">
        <v>713</v>
      </c>
      <c r="BH73" s="5">
        <v>0</v>
      </c>
      <c r="BI73" s="5">
        <v>0</v>
      </c>
      <c r="BJ73" s="2"/>
      <c r="BK73" s="2"/>
      <c r="BL73" s="2"/>
      <c r="BM73" s="2"/>
      <c r="BN73" s="2"/>
      <c r="BO73" s="2"/>
      <c r="BR73" s="21">
        <v>8703</v>
      </c>
      <c r="BS73" s="3" t="s">
        <v>616</v>
      </c>
      <c r="BT73" s="22">
        <v>390</v>
      </c>
      <c r="BU73" s="22">
        <v>3.8</v>
      </c>
      <c r="BV73" s="3"/>
      <c r="BW73" s="3"/>
      <c r="BX73" s="22">
        <v>12</v>
      </c>
      <c r="BY73" s="22">
        <v>89</v>
      </c>
      <c r="BZ73" s="22">
        <v>206</v>
      </c>
      <c r="CA73" s="22">
        <v>83</v>
      </c>
    </row>
    <row r="74" spans="10:79" ht="12.95" customHeight="1">
      <c r="J74" s="35">
        <v>4823</v>
      </c>
      <c r="K74" s="2" t="s">
        <v>590</v>
      </c>
      <c r="L74" s="5">
        <v>30</v>
      </c>
      <c r="M74" s="5" t="s">
        <v>546</v>
      </c>
      <c r="N74" s="5" t="s">
        <v>546</v>
      </c>
      <c r="O74" s="5">
        <v>30</v>
      </c>
      <c r="P74" s="5" t="s">
        <v>546</v>
      </c>
      <c r="Q74" s="5"/>
      <c r="S74" s="35">
        <v>7610</v>
      </c>
      <c r="T74" s="2" t="s">
        <v>671</v>
      </c>
      <c r="U74" s="5">
        <v>43</v>
      </c>
      <c r="V74" s="5" t="s">
        <v>546</v>
      </c>
      <c r="W74" s="5">
        <v>43</v>
      </c>
      <c r="X74" s="5" t="s">
        <v>546</v>
      </c>
      <c r="Y74" s="5" t="s">
        <v>546</v>
      </c>
      <c r="Z74" s="5"/>
      <c r="AB74" s="21">
        <v>7602</v>
      </c>
      <c r="AC74" s="2" t="s">
        <v>713</v>
      </c>
      <c r="AD74" s="5">
        <v>147</v>
      </c>
      <c r="AE74" s="5" t="s">
        <v>546</v>
      </c>
      <c r="AF74" s="5" t="s">
        <v>546</v>
      </c>
      <c r="AG74" s="5">
        <v>123</v>
      </c>
      <c r="AH74" s="5">
        <v>24</v>
      </c>
      <c r="AK74" s="78">
        <v>4900</v>
      </c>
      <c r="AL74" s="72" t="s">
        <v>788</v>
      </c>
      <c r="AM74" s="76">
        <v>131</v>
      </c>
      <c r="AN74" s="76">
        <v>34</v>
      </c>
      <c r="AO74" s="76">
        <v>90</v>
      </c>
      <c r="AP74" s="76">
        <v>7</v>
      </c>
      <c r="AQ74" s="141"/>
      <c r="AR74" s="134"/>
      <c r="AT74" s="35">
        <v>3304</v>
      </c>
      <c r="AU74" s="2" t="s">
        <v>875</v>
      </c>
      <c r="AV74" s="5">
        <v>324</v>
      </c>
      <c r="AW74" s="5">
        <v>2.9</v>
      </c>
      <c r="AX74" s="2"/>
      <c r="AY74" s="2"/>
      <c r="AZ74" s="2"/>
      <c r="BA74" s="2"/>
      <c r="BB74" s="2"/>
      <c r="BC74" s="5">
        <v>324</v>
      </c>
      <c r="BF74" s="35">
        <v>2208</v>
      </c>
      <c r="BG74" s="2" t="s">
        <v>365</v>
      </c>
      <c r="BH74" s="5">
        <v>122</v>
      </c>
      <c r="BI74" s="5">
        <v>1.6</v>
      </c>
      <c r="BJ74" s="5">
        <v>46</v>
      </c>
      <c r="BK74" s="5">
        <v>58</v>
      </c>
      <c r="BL74" s="5">
        <v>18</v>
      </c>
      <c r="BM74" s="2"/>
      <c r="BN74" s="2"/>
      <c r="BO74" s="2"/>
      <c r="BR74" s="56" t="s">
        <v>340</v>
      </c>
      <c r="BS74" s="3" t="s">
        <v>998</v>
      </c>
      <c r="BT74" s="22">
        <v>284</v>
      </c>
      <c r="BU74" s="22">
        <v>2.8</v>
      </c>
      <c r="BV74" s="22">
        <v>5</v>
      </c>
      <c r="BW74" s="22">
        <v>272</v>
      </c>
      <c r="BX74" s="3"/>
      <c r="BY74" s="22">
        <v>7</v>
      </c>
      <c r="BZ74" s="3"/>
      <c r="CA74" s="3"/>
    </row>
    <row r="75" spans="10:79" ht="12.95" customHeight="1">
      <c r="J75" s="35">
        <v>6403</v>
      </c>
      <c r="K75" s="2" t="s">
        <v>591</v>
      </c>
      <c r="L75" s="5">
        <v>9</v>
      </c>
      <c r="M75" s="5" t="s">
        <v>546</v>
      </c>
      <c r="N75" s="5" t="s">
        <v>546</v>
      </c>
      <c r="O75" s="5" t="s">
        <v>546</v>
      </c>
      <c r="P75" s="5">
        <v>9</v>
      </c>
      <c r="Q75" s="5"/>
      <c r="S75" s="35">
        <v>7616</v>
      </c>
      <c r="T75" s="2" t="s">
        <v>311</v>
      </c>
      <c r="U75" s="5">
        <v>289</v>
      </c>
      <c r="V75" s="5">
        <v>20</v>
      </c>
      <c r="W75" s="5">
        <v>112</v>
      </c>
      <c r="X75" s="5">
        <v>43</v>
      </c>
      <c r="Y75" s="5">
        <v>114</v>
      </c>
      <c r="Z75" s="5"/>
      <c r="AB75" s="21">
        <v>7610</v>
      </c>
      <c r="AC75" s="2" t="s">
        <v>671</v>
      </c>
      <c r="AD75" s="5">
        <v>38</v>
      </c>
      <c r="AE75" s="5" t="s">
        <v>546</v>
      </c>
      <c r="AF75" s="5" t="s">
        <v>546</v>
      </c>
      <c r="AG75" s="5">
        <v>29</v>
      </c>
      <c r="AH75" s="5">
        <v>9</v>
      </c>
      <c r="AK75" s="78">
        <v>6402</v>
      </c>
      <c r="AL75" s="72" t="s">
        <v>291</v>
      </c>
      <c r="AM75" s="76">
        <v>3</v>
      </c>
      <c r="AN75" s="76" t="s">
        <v>546</v>
      </c>
      <c r="AO75" s="76">
        <v>3</v>
      </c>
      <c r="AP75" s="76" t="s">
        <v>546</v>
      </c>
      <c r="AQ75" s="141"/>
      <c r="AR75" s="134"/>
      <c r="AT75" s="35">
        <v>2202</v>
      </c>
      <c r="AU75" s="2" t="s">
        <v>876</v>
      </c>
      <c r="AV75" s="5">
        <v>323</v>
      </c>
      <c r="AW75" s="5">
        <v>2.9</v>
      </c>
      <c r="AX75" s="5">
        <v>101</v>
      </c>
      <c r="AY75" s="5">
        <v>130</v>
      </c>
      <c r="AZ75" s="2"/>
      <c r="BA75" s="2"/>
      <c r="BB75" s="5">
        <v>92</v>
      </c>
      <c r="BC75" s="2"/>
      <c r="BF75" s="35">
        <v>2204</v>
      </c>
      <c r="BG75" s="2" t="s">
        <v>281</v>
      </c>
      <c r="BH75" s="5">
        <v>111</v>
      </c>
      <c r="BI75" s="5">
        <v>1.4</v>
      </c>
      <c r="BJ75" s="5">
        <v>68</v>
      </c>
      <c r="BK75" s="5">
        <v>43</v>
      </c>
      <c r="BL75" s="2"/>
      <c r="BM75" s="2"/>
      <c r="BN75" s="2"/>
      <c r="BO75" s="2"/>
      <c r="BR75" s="21">
        <v>6214</v>
      </c>
      <c r="BS75" s="3" t="s">
        <v>999</v>
      </c>
      <c r="BT75" s="22">
        <v>259</v>
      </c>
      <c r="BU75" s="22">
        <v>2.5</v>
      </c>
      <c r="BV75" s="3"/>
      <c r="BW75" s="3"/>
      <c r="BX75" s="3"/>
      <c r="BY75" s="3"/>
      <c r="BZ75" s="22">
        <v>259</v>
      </c>
      <c r="CA75" s="3"/>
    </row>
    <row r="76" spans="10:79" ht="12.95" customHeight="1">
      <c r="J76" s="2320" t="s">
        <v>638</v>
      </c>
      <c r="K76" s="2320"/>
      <c r="L76" s="2320"/>
      <c r="M76" s="2320"/>
      <c r="N76" s="2320"/>
      <c r="O76" s="2320"/>
      <c r="P76" s="2320"/>
      <c r="Q76" s="126"/>
      <c r="S76" s="35">
        <v>7800</v>
      </c>
      <c r="T76" s="2" t="s">
        <v>672</v>
      </c>
      <c r="U76" s="5">
        <v>136</v>
      </c>
      <c r="V76" s="5">
        <v>61</v>
      </c>
      <c r="W76" s="5">
        <v>75</v>
      </c>
      <c r="X76" s="5" t="s">
        <v>546</v>
      </c>
      <c r="Y76" s="5" t="s">
        <v>546</v>
      </c>
      <c r="Z76" s="5"/>
      <c r="AB76" s="21">
        <v>7616</v>
      </c>
      <c r="AC76" s="2" t="s">
        <v>311</v>
      </c>
      <c r="AD76" s="5">
        <v>251</v>
      </c>
      <c r="AE76" s="5">
        <v>251</v>
      </c>
      <c r="AF76" s="5" t="s">
        <v>546</v>
      </c>
      <c r="AG76" s="5" t="s">
        <v>546</v>
      </c>
      <c r="AH76" s="5" t="s">
        <v>546</v>
      </c>
      <c r="AK76" s="78">
        <v>6403</v>
      </c>
      <c r="AL76" s="72" t="s">
        <v>591</v>
      </c>
      <c r="AM76" s="76">
        <v>112</v>
      </c>
      <c r="AN76" s="76">
        <v>40</v>
      </c>
      <c r="AO76" s="76">
        <v>67</v>
      </c>
      <c r="AP76" s="76">
        <v>5</v>
      </c>
      <c r="AQ76" s="141"/>
      <c r="AR76" s="134"/>
      <c r="AT76" s="35">
        <v>4202</v>
      </c>
      <c r="AU76" s="2" t="s">
        <v>877</v>
      </c>
      <c r="AV76" s="5">
        <v>198</v>
      </c>
      <c r="AW76" s="5">
        <v>1.8</v>
      </c>
      <c r="AX76" s="2"/>
      <c r="AY76" s="2"/>
      <c r="AZ76" s="5">
        <v>198</v>
      </c>
      <c r="BA76" s="2"/>
      <c r="BB76" s="2"/>
      <c r="BC76" s="2"/>
      <c r="BF76" s="35">
        <v>3006</v>
      </c>
      <c r="BG76" s="2" t="s">
        <v>942</v>
      </c>
      <c r="BH76" s="5">
        <v>89</v>
      </c>
      <c r="BI76" s="5">
        <v>1.1000000000000001</v>
      </c>
      <c r="BJ76" s="5">
        <v>89</v>
      </c>
      <c r="BK76" s="2"/>
      <c r="BL76" s="2"/>
      <c r="BM76" s="2"/>
      <c r="BN76" s="2"/>
      <c r="BO76" s="2"/>
      <c r="BR76" s="21">
        <v>7113</v>
      </c>
      <c r="BS76" s="3" t="s">
        <v>79</v>
      </c>
      <c r="BT76" s="22">
        <v>255</v>
      </c>
      <c r="BU76" s="22">
        <v>2.5</v>
      </c>
      <c r="BV76" s="22">
        <v>11</v>
      </c>
      <c r="BW76" s="3"/>
      <c r="BX76" s="3"/>
      <c r="BY76" s="3"/>
      <c r="BZ76" s="22">
        <v>244</v>
      </c>
      <c r="CA76" s="3"/>
    </row>
    <row r="77" spans="10:79" ht="12.95" customHeight="1">
      <c r="J77" s="126" t="s">
        <v>489</v>
      </c>
      <c r="K77" s="126"/>
      <c r="L77" s="127"/>
      <c r="M77" s="127"/>
      <c r="N77" s="127"/>
      <c r="O77" s="127"/>
      <c r="P77" s="127"/>
      <c r="Q77" s="127"/>
      <c r="S77" s="35">
        <v>8100</v>
      </c>
      <c r="T77" s="2" t="s">
        <v>673</v>
      </c>
      <c r="U77" s="5">
        <v>3</v>
      </c>
      <c r="V77" s="5">
        <v>3</v>
      </c>
      <c r="W77" s="5" t="s">
        <v>546</v>
      </c>
      <c r="X77" s="5" t="s">
        <v>546</v>
      </c>
      <c r="Y77" s="5" t="s">
        <v>546</v>
      </c>
      <c r="Z77" s="5"/>
      <c r="AB77" s="21">
        <v>7800</v>
      </c>
      <c r="AC77" s="2" t="s">
        <v>672</v>
      </c>
      <c r="AD77" s="5">
        <v>110</v>
      </c>
      <c r="AE77" s="5" t="s">
        <v>546</v>
      </c>
      <c r="AF77" s="5" t="s">
        <v>546</v>
      </c>
      <c r="AG77" s="5">
        <v>55</v>
      </c>
      <c r="AH77" s="5">
        <v>55</v>
      </c>
      <c r="AK77" s="154">
        <v>6406</v>
      </c>
      <c r="AL77" s="81" t="s">
        <v>789</v>
      </c>
      <c r="AM77" s="83">
        <v>7</v>
      </c>
      <c r="AN77" s="83">
        <v>7</v>
      </c>
      <c r="AO77" s="83" t="s">
        <v>546</v>
      </c>
      <c r="AP77" s="83" t="s">
        <v>546</v>
      </c>
      <c r="AQ77" s="141"/>
      <c r="AR77" s="134"/>
      <c r="AT77" s="35">
        <v>2208</v>
      </c>
      <c r="AU77" s="2" t="s">
        <v>282</v>
      </c>
      <c r="AV77" s="5">
        <v>189</v>
      </c>
      <c r="AW77" s="5">
        <v>1.7</v>
      </c>
      <c r="AX77" s="5">
        <v>98</v>
      </c>
      <c r="AY77" s="5">
        <v>3</v>
      </c>
      <c r="AZ77" s="2"/>
      <c r="BA77" s="2"/>
      <c r="BB77" s="5">
        <v>88</v>
      </c>
      <c r="BC77" s="2"/>
      <c r="BF77" s="35">
        <v>2202</v>
      </c>
      <c r="BG77" s="2" t="s">
        <v>943</v>
      </c>
      <c r="BH77" s="5">
        <v>89</v>
      </c>
      <c r="BI77" s="5">
        <v>1.1000000000000001</v>
      </c>
      <c r="BJ77" s="2"/>
      <c r="BK77" s="5">
        <v>89</v>
      </c>
      <c r="BL77" s="2"/>
      <c r="BM77" s="2"/>
      <c r="BN77" s="2"/>
      <c r="BO77" s="2"/>
      <c r="BR77" s="21">
        <v>9004</v>
      </c>
      <c r="BS77" s="3" t="s">
        <v>768</v>
      </c>
      <c r="BT77" s="22">
        <v>183</v>
      </c>
      <c r="BU77" s="22">
        <v>1.8</v>
      </c>
      <c r="BV77" s="22">
        <v>151</v>
      </c>
      <c r="BW77" s="3"/>
      <c r="BX77" s="3"/>
      <c r="BY77" s="22">
        <v>32</v>
      </c>
      <c r="BZ77" s="3"/>
      <c r="CA77" s="3"/>
    </row>
    <row r="78" spans="10:79" ht="12.95" customHeight="1">
      <c r="J78" s="127" t="s">
        <v>637</v>
      </c>
      <c r="K78" s="127"/>
      <c r="L78" s="127"/>
      <c r="M78" s="127"/>
      <c r="N78" s="127"/>
      <c r="O78" s="14"/>
      <c r="P78" s="14"/>
      <c r="Q78" s="14"/>
      <c r="S78" s="35">
        <v>8200</v>
      </c>
      <c r="T78" s="2" t="s">
        <v>674</v>
      </c>
      <c r="U78" s="5">
        <v>6</v>
      </c>
      <c r="V78" s="5">
        <v>6</v>
      </c>
      <c r="W78" s="5" t="s">
        <v>546</v>
      </c>
      <c r="X78" s="5" t="s">
        <v>546</v>
      </c>
      <c r="Y78" s="5" t="s">
        <v>546</v>
      </c>
      <c r="Z78" s="5"/>
      <c r="AB78" s="40">
        <v>8300</v>
      </c>
      <c r="AC78" s="10" t="s">
        <v>675</v>
      </c>
      <c r="AD78" s="11">
        <v>831</v>
      </c>
      <c r="AE78" s="11">
        <v>541</v>
      </c>
      <c r="AF78" s="11">
        <v>135</v>
      </c>
      <c r="AG78" s="11" t="s">
        <v>546</v>
      </c>
      <c r="AH78" s="11">
        <v>155</v>
      </c>
      <c r="AK78" s="84" t="s">
        <v>174</v>
      </c>
      <c r="AL78" s="85"/>
      <c r="AM78" s="85"/>
      <c r="AN78" s="85"/>
      <c r="AO78" s="85"/>
      <c r="AP78" s="85"/>
      <c r="AQ78" s="155"/>
      <c r="AR78" s="136"/>
      <c r="AT78" s="35">
        <v>7602</v>
      </c>
      <c r="AU78" s="2" t="s">
        <v>878</v>
      </c>
      <c r="AV78" s="5">
        <v>172</v>
      </c>
      <c r="AW78" s="5">
        <v>1.5</v>
      </c>
      <c r="AX78" s="2"/>
      <c r="AY78" s="5">
        <v>7</v>
      </c>
      <c r="AZ78" s="2"/>
      <c r="BA78" s="2"/>
      <c r="BB78" s="2"/>
      <c r="BC78" s="5">
        <v>165</v>
      </c>
      <c r="BF78" s="35">
        <v>2710</v>
      </c>
      <c r="BG78" s="2" t="s">
        <v>944</v>
      </c>
      <c r="BH78" s="5">
        <v>87</v>
      </c>
      <c r="BI78" s="5">
        <v>1.1000000000000001</v>
      </c>
      <c r="BJ78" s="2"/>
      <c r="BK78" s="5">
        <v>40</v>
      </c>
      <c r="BL78" s="5">
        <v>47</v>
      </c>
      <c r="BM78" s="2"/>
      <c r="BN78" s="2"/>
      <c r="BO78" s="2"/>
      <c r="BR78" s="21">
        <v>8548</v>
      </c>
      <c r="BS78" s="3" t="s">
        <v>987</v>
      </c>
      <c r="BT78" s="22">
        <v>182</v>
      </c>
      <c r="BU78" s="22">
        <v>1.8</v>
      </c>
      <c r="BV78" s="3"/>
      <c r="BW78" s="3"/>
      <c r="BX78" s="3"/>
      <c r="BY78" s="22">
        <v>178</v>
      </c>
      <c r="BZ78" s="3"/>
      <c r="CA78" s="22">
        <v>4</v>
      </c>
    </row>
    <row r="79" spans="10:79" ht="12.95" customHeight="1">
      <c r="J79" s="122"/>
      <c r="K79" s="122"/>
      <c r="L79" s="122"/>
      <c r="M79" s="122"/>
      <c r="N79" s="122"/>
      <c r="O79" s="2"/>
      <c r="P79" s="2"/>
      <c r="Q79" s="2"/>
      <c r="S79" s="58">
        <v>8300</v>
      </c>
      <c r="T79" s="10" t="s">
        <v>675</v>
      </c>
      <c r="U79" s="11">
        <v>635</v>
      </c>
      <c r="V79" s="11">
        <v>34</v>
      </c>
      <c r="W79" s="11">
        <v>47</v>
      </c>
      <c r="X79" s="11">
        <v>432</v>
      </c>
      <c r="Y79" s="11">
        <v>122</v>
      </c>
      <c r="Z79" s="5"/>
      <c r="AB79" s="13" t="s">
        <v>174</v>
      </c>
      <c r="AC79" s="14"/>
      <c r="AD79" s="14"/>
      <c r="AE79" s="14"/>
      <c r="AF79" s="14"/>
      <c r="AG79" s="14"/>
      <c r="AH79" s="14"/>
      <c r="AK79" s="84" t="s">
        <v>637</v>
      </c>
      <c r="AL79" s="156"/>
      <c r="AM79" s="85"/>
      <c r="AN79" s="85"/>
      <c r="AO79" s="85"/>
      <c r="AP79" s="85"/>
      <c r="AQ79" s="155"/>
      <c r="AR79" s="136"/>
      <c r="AT79" s="35">
        <v>7404</v>
      </c>
      <c r="AU79" s="2" t="s">
        <v>879</v>
      </c>
      <c r="AV79" s="5">
        <v>168</v>
      </c>
      <c r="AW79" s="5">
        <v>1.5</v>
      </c>
      <c r="AX79" s="5">
        <v>45</v>
      </c>
      <c r="AY79" s="2"/>
      <c r="AZ79" s="2"/>
      <c r="BA79" s="2"/>
      <c r="BB79" s="2"/>
      <c r="BC79" s="5">
        <v>123</v>
      </c>
      <c r="BF79" s="35">
        <v>7113</v>
      </c>
      <c r="BG79" s="2" t="s">
        <v>945</v>
      </c>
      <c r="BH79" s="5">
        <v>87</v>
      </c>
      <c r="BI79" s="5">
        <v>1.1000000000000001</v>
      </c>
      <c r="BJ79" s="2"/>
      <c r="BK79" s="2"/>
      <c r="BL79" s="2"/>
      <c r="BM79" s="2"/>
      <c r="BN79" s="2"/>
      <c r="BO79" s="5">
        <v>87</v>
      </c>
      <c r="BR79" s="21">
        <v>4202</v>
      </c>
      <c r="BS79" s="3" t="s">
        <v>1000</v>
      </c>
      <c r="BT79" s="22">
        <v>175</v>
      </c>
      <c r="BU79" s="22">
        <v>1.7</v>
      </c>
      <c r="BV79" s="3"/>
      <c r="BW79" s="3"/>
      <c r="BX79" s="3"/>
      <c r="BY79" s="3"/>
      <c r="BZ79" s="22">
        <v>175</v>
      </c>
      <c r="CA79" s="3"/>
    </row>
    <row r="80" spans="10:79" ht="12.95" customHeight="1">
      <c r="J80" s="122"/>
      <c r="K80" s="122"/>
      <c r="L80" s="122"/>
      <c r="M80" s="122"/>
      <c r="N80" s="122"/>
      <c r="O80" s="2"/>
      <c r="P80" s="2"/>
      <c r="Q80" s="5"/>
      <c r="S80" s="2320" t="s">
        <v>638</v>
      </c>
      <c r="T80" s="2320"/>
      <c r="U80" s="2320"/>
      <c r="V80" s="2320"/>
      <c r="W80" s="2320"/>
      <c r="X80" s="2320"/>
      <c r="Y80" s="2320"/>
      <c r="Z80" s="126"/>
      <c r="AB80" s="13" t="s">
        <v>637</v>
      </c>
      <c r="AC80" s="30"/>
      <c r="AD80" s="14"/>
      <c r="AE80" s="14"/>
      <c r="AF80" s="14"/>
      <c r="AG80" s="14"/>
      <c r="AH80" s="14"/>
      <c r="AK80" s="84" t="s">
        <v>714</v>
      </c>
      <c r="AL80" s="156"/>
      <c r="AM80" s="85"/>
      <c r="AN80" s="85"/>
      <c r="AO80" s="85"/>
      <c r="AP80" s="85"/>
      <c r="AQ80" s="155"/>
      <c r="AR80" s="136"/>
      <c r="AT80" s="35">
        <v>1902</v>
      </c>
      <c r="AU80" s="2" t="s">
        <v>560</v>
      </c>
      <c r="AV80" s="5">
        <v>128</v>
      </c>
      <c r="AW80" s="5">
        <v>1.1000000000000001</v>
      </c>
      <c r="AX80" s="5">
        <v>128</v>
      </c>
      <c r="AY80" s="2"/>
      <c r="AZ80" s="2"/>
      <c r="BA80" s="2"/>
      <c r="BB80" s="2"/>
      <c r="BC80" s="2"/>
      <c r="BF80" s="35">
        <v>2403</v>
      </c>
      <c r="BG80" s="2" t="s">
        <v>946</v>
      </c>
      <c r="BH80" s="5">
        <v>78</v>
      </c>
      <c r="BI80" s="88">
        <v>1</v>
      </c>
      <c r="BJ80" s="5">
        <v>78</v>
      </c>
      <c r="BK80" s="2"/>
      <c r="BL80" s="2"/>
      <c r="BM80" s="2"/>
      <c r="BN80" s="2"/>
      <c r="BO80" s="2"/>
      <c r="BR80" s="21">
        <v>2208</v>
      </c>
      <c r="BS80" s="3" t="s">
        <v>365</v>
      </c>
      <c r="BT80" s="22">
        <v>151</v>
      </c>
      <c r="BU80" s="22">
        <v>1.5</v>
      </c>
      <c r="BV80" s="22">
        <v>31</v>
      </c>
      <c r="BW80" s="3"/>
      <c r="BX80" s="22">
        <v>45</v>
      </c>
      <c r="BY80" s="22">
        <v>69</v>
      </c>
      <c r="BZ80" s="3"/>
      <c r="CA80" s="22">
        <v>6</v>
      </c>
    </row>
    <row r="81" spans="1:79" ht="12.95" customHeight="1">
      <c r="J81" s="35"/>
      <c r="K81" s="2"/>
      <c r="L81" s="5"/>
      <c r="M81" s="5"/>
      <c r="N81" s="5"/>
      <c r="O81" s="5"/>
      <c r="P81" s="5"/>
      <c r="Q81" s="2"/>
      <c r="S81" s="126" t="s">
        <v>489</v>
      </c>
      <c r="T81" s="126"/>
      <c r="U81" s="127"/>
      <c r="V81" s="127"/>
      <c r="W81" s="127"/>
      <c r="X81" s="127"/>
      <c r="Y81" s="127"/>
      <c r="Z81" s="127"/>
      <c r="AB81" s="13" t="s">
        <v>714</v>
      </c>
      <c r="AC81" s="30"/>
      <c r="AD81" s="14"/>
      <c r="AE81" s="14"/>
      <c r="AF81" s="14"/>
      <c r="AG81" s="14"/>
      <c r="AH81" s="14"/>
      <c r="AK81" s="135"/>
      <c r="AL81" s="135"/>
      <c r="AM81" s="133"/>
      <c r="AN81" s="133"/>
      <c r="AO81" s="133"/>
      <c r="AP81" s="133"/>
      <c r="AQ81" s="134"/>
      <c r="AR81" s="134"/>
      <c r="AT81" s="35">
        <v>2403</v>
      </c>
      <c r="AU81" s="2" t="s">
        <v>880</v>
      </c>
      <c r="AV81" s="5">
        <v>124</v>
      </c>
      <c r="AW81" s="5">
        <v>1.1000000000000001</v>
      </c>
      <c r="AX81" s="5">
        <v>124</v>
      </c>
      <c r="AY81" s="2"/>
      <c r="AZ81" s="2"/>
      <c r="BA81" s="2"/>
      <c r="BB81" s="2"/>
      <c r="BC81" s="2"/>
      <c r="BF81" s="35">
        <v>8548</v>
      </c>
      <c r="BG81" s="2" t="s">
        <v>582</v>
      </c>
      <c r="BH81" s="5">
        <v>72</v>
      </c>
      <c r="BI81" s="5">
        <v>0.9</v>
      </c>
      <c r="BJ81" s="5">
        <v>56</v>
      </c>
      <c r="BK81" s="5">
        <v>16</v>
      </c>
      <c r="BL81" s="2"/>
      <c r="BM81" s="2"/>
      <c r="BN81" s="2"/>
      <c r="BO81" s="2"/>
      <c r="BR81" s="21">
        <v>2202</v>
      </c>
      <c r="BS81" s="3" t="s">
        <v>889</v>
      </c>
      <c r="BT81" s="22">
        <v>118</v>
      </c>
      <c r="BU81" s="22">
        <v>1.2</v>
      </c>
      <c r="BV81" s="22">
        <v>55</v>
      </c>
      <c r="BW81" s="3"/>
      <c r="BX81" s="22">
        <v>63</v>
      </c>
      <c r="BY81" s="3"/>
      <c r="BZ81" s="3"/>
      <c r="CA81" s="3"/>
    </row>
    <row r="82" spans="1:79" ht="12.95" customHeight="1">
      <c r="J82" s="121" t="s">
        <v>702</v>
      </c>
      <c r="K82" s="121"/>
      <c r="L82" s="121"/>
      <c r="M82" s="2"/>
      <c r="N82" s="2"/>
      <c r="O82" s="2"/>
      <c r="P82" s="2"/>
      <c r="Q82" s="2"/>
      <c r="S82" s="127" t="s">
        <v>637</v>
      </c>
      <c r="T82" s="127"/>
      <c r="U82" s="127"/>
      <c r="V82" s="127"/>
      <c r="W82" s="127"/>
      <c r="X82" s="14"/>
      <c r="Y82" s="14"/>
      <c r="Z82" s="14"/>
      <c r="AB82" s="13" t="s">
        <v>715</v>
      </c>
      <c r="AC82" s="30"/>
      <c r="AD82" s="14"/>
      <c r="AE82" s="14"/>
      <c r="AF82" s="14"/>
      <c r="AG82" s="14"/>
      <c r="AH82" s="14"/>
      <c r="AK82" s="135"/>
      <c r="AL82" s="135"/>
      <c r="AM82" s="133"/>
      <c r="AN82" s="133"/>
      <c r="AO82" s="133"/>
      <c r="AP82" s="133"/>
      <c r="AQ82" s="134"/>
      <c r="AR82" s="134"/>
      <c r="AT82" s="35">
        <v>2710</v>
      </c>
      <c r="AU82" s="2" t="s">
        <v>881</v>
      </c>
      <c r="AV82" s="5">
        <v>110</v>
      </c>
      <c r="AW82" s="186">
        <v>1</v>
      </c>
      <c r="AX82" s="5">
        <v>75</v>
      </c>
      <c r="AY82" s="2"/>
      <c r="AZ82" s="2"/>
      <c r="BA82" s="2"/>
      <c r="BB82" s="5">
        <v>35</v>
      </c>
      <c r="BC82" s="2"/>
      <c r="BF82" s="35">
        <v>8516</v>
      </c>
      <c r="BG82" s="2" t="s">
        <v>947</v>
      </c>
      <c r="BH82" s="5">
        <v>66</v>
      </c>
      <c r="BI82" s="5">
        <v>0.9</v>
      </c>
      <c r="BJ82" s="5">
        <v>23</v>
      </c>
      <c r="BK82" s="5">
        <v>42</v>
      </c>
      <c r="BL82" s="2"/>
      <c r="BM82" s="2"/>
      <c r="BN82" s="2"/>
      <c r="BO82" s="2"/>
      <c r="BR82" s="21">
        <v>7602</v>
      </c>
      <c r="BS82" s="3" t="s">
        <v>1001</v>
      </c>
      <c r="BT82" s="22">
        <v>116</v>
      </c>
      <c r="BU82" s="22">
        <v>1.1000000000000001</v>
      </c>
      <c r="BV82" s="3"/>
      <c r="BW82" s="3"/>
      <c r="BX82" s="3"/>
      <c r="BY82" s="22">
        <v>10</v>
      </c>
      <c r="BZ82" s="22">
        <v>74</v>
      </c>
      <c r="CA82" s="22">
        <v>32</v>
      </c>
    </row>
    <row r="83" spans="1:79" ht="12.95" customHeight="1">
      <c r="J83" s="115" t="s">
        <v>127</v>
      </c>
      <c r="K83" s="115"/>
      <c r="L83" s="115"/>
      <c r="M83" s="2"/>
      <c r="N83" s="2"/>
      <c r="O83" s="2"/>
      <c r="P83" s="2"/>
      <c r="Q83" s="4"/>
      <c r="S83" s="2"/>
      <c r="T83" s="2"/>
      <c r="U83" s="2"/>
      <c r="V83" s="2"/>
      <c r="W83" s="2"/>
      <c r="X83" s="2"/>
      <c r="Y83" s="2"/>
      <c r="Z83" s="2"/>
      <c r="AB83" s="3"/>
      <c r="AC83" s="3"/>
      <c r="AD83" s="2"/>
      <c r="AE83" s="2"/>
      <c r="AF83" s="2"/>
      <c r="AG83" s="2"/>
      <c r="AH83" s="2"/>
      <c r="AK83" s="135"/>
      <c r="AL83" s="133"/>
      <c r="AM83" s="133"/>
      <c r="AN83" s="133"/>
      <c r="AO83" s="133"/>
      <c r="AP83" s="133"/>
      <c r="AQ83" s="141"/>
      <c r="AR83" s="141"/>
      <c r="AT83" s="35">
        <v>4818</v>
      </c>
      <c r="AU83" s="2" t="s">
        <v>882</v>
      </c>
      <c r="AV83" s="5">
        <v>78</v>
      </c>
      <c r="AW83" s="5">
        <v>0.7</v>
      </c>
      <c r="AX83" s="5">
        <v>23</v>
      </c>
      <c r="AY83" s="5">
        <v>3</v>
      </c>
      <c r="AZ83" s="2"/>
      <c r="BA83" s="5">
        <v>23</v>
      </c>
      <c r="BB83" s="5">
        <v>29</v>
      </c>
      <c r="BC83" s="2"/>
      <c r="BF83" s="65" t="s">
        <v>347</v>
      </c>
      <c r="BG83" s="2" t="s">
        <v>948</v>
      </c>
      <c r="BH83" s="5">
        <v>57</v>
      </c>
      <c r="BI83" s="5">
        <v>0.7</v>
      </c>
      <c r="BJ83" s="5">
        <v>57</v>
      </c>
      <c r="BK83" s="2"/>
      <c r="BL83" s="2"/>
      <c r="BM83" s="2"/>
      <c r="BN83" s="2"/>
      <c r="BO83" s="2"/>
      <c r="BR83" s="21">
        <v>6215</v>
      </c>
      <c r="BS83" s="3" t="s">
        <v>1002</v>
      </c>
      <c r="BT83" s="22">
        <v>91</v>
      </c>
      <c r="BU83" s="22">
        <v>0.9</v>
      </c>
      <c r="BV83" s="3"/>
      <c r="BW83" s="3"/>
      <c r="BX83" s="3"/>
      <c r="BY83" s="3"/>
      <c r="BZ83" s="22">
        <v>91</v>
      </c>
      <c r="CA83" s="3"/>
    </row>
    <row r="84" spans="1:79" ht="12.95" customHeight="1">
      <c r="J84" s="130"/>
      <c r="K84" s="8"/>
      <c r="L84" s="118" t="s">
        <v>119</v>
      </c>
      <c r="M84" s="123" t="s">
        <v>540</v>
      </c>
      <c r="N84" s="118" t="s">
        <v>541</v>
      </c>
      <c r="O84" s="123" t="s">
        <v>542</v>
      </c>
      <c r="P84" s="118" t="s">
        <v>543</v>
      </c>
      <c r="Q84" s="4"/>
      <c r="S84" s="2"/>
      <c r="T84" s="2"/>
      <c r="U84" s="2"/>
      <c r="V84" s="2"/>
      <c r="W84" s="2"/>
      <c r="X84" s="2"/>
      <c r="Y84" s="2"/>
      <c r="Z84" s="2"/>
      <c r="AB84" s="3"/>
      <c r="AC84" s="3"/>
      <c r="AD84" s="2"/>
      <c r="AE84" s="2"/>
      <c r="AF84" s="2"/>
      <c r="AG84" s="2"/>
      <c r="AH84" s="2"/>
      <c r="AK84" s="71" t="s">
        <v>790</v>
      </c>
      <c r="AL84" s="72"/>
      <c r="AM84" s="72"/>
      <c r="AN84" s="72"/>
      <c r="AO84" s="72"/>
      <c r="AP84" s="72"/>
      <c r="AQ84" s="141"/>
      <c r="AR84" s="141"/>
      <c r="AT84" s="35">
        <v>8506</v>
      </c>
      <c r="AU84" s="2" t="s">
        <v>883</v>
      </c>
      <c r="AV84" s="5">
        <v>76</v>
      </c>
      <c r="AW84" s="5">
        <v>0.7</v>
      </c>
      <c r="AX84" s="2"/>
      <c r="AY84" s="5">
        <v>36</v>
      </c>
      <c r="AZ84" s="2"/>
      <c r="BA84" s="2"/>
      <c r="BB84" s="2"/>
      <c r="BC84" s="5">
        <v>40</v>
      </c>
      <c r="BF84" s="35">
        <v>7800</v>
      </c>
      <c r="BG84" s="2" t="s">
        <v>672</v>
      </c>
      <c r="BH84" s="5">
        <v>55</v>
      </c>
      <c r="BI84" s="5">
        <v>0.7</v>
      </c>
      <c r="BJ84" s="5">
        <v>37</v>
      </c>
      <c r="BK84" s="2"/>
      <c r="BL84" s="2"/>
      <c r="BM84" s="2"/>
      <c r="BN84" s="5">
        <v>18</v>
      </c>
      <c r="BO84" s="2"/>
      <c r="BR84" s="21">
        <v>2710</v>
      </c>
      <c r="BS84" s="3" t="s">
        <v>618</v>
      </c>
      <c r="BT84" s="22">
        <v>69</v>
      </c>
      <c r="BU84" s="22">
        <v>0.7</v>
      </c>
      <c r="BV84" s="22">
        <v>43</v>
      </c>
      <c r="BW84" s="3"/>
      <c r="BX84" s="3"/>
      <c r="BY84" s="22">
        <v>26</v>
      </c>
      <c r="BZ84" s="3"/>
      <c r="CA84" s="3"/>
    </row>
    <row r="85" spans="1:79" ht="12.95" customHeight="1">
      <c r="A85" s="91"/>
      <c r="B85" s="91"/>
      <c r="C85" s="91"/>
      <c r="D85" s="91"/>
      <c r="E85" s="91"/>
      <c r="F85" s="91"/>
      <c r="G85" s="91"/>
      <c r="H85" s="91"/>
      <c r="I85" s="91"/>
      <c r="J85" s="131" t="s">
        <v>135</v>
      </c>
      <c r="K85" s="10" t="s">
        <v>136</v>
      </c>
      <c r="L85" s="120" t="s">
        <v>544</v>
      </c>
      <c r="M85" s="124" t="s">
        <v>45</v>
      </c>
      <c r="N85" s="120" t="s">
        <v>44</v>
      </c>
      <c r="O85" s="124" t="s">
        <v>43</v>
      </c>
      <c r="P85" s="120" t="s">
        <v>42</v>
      </c>
      <c r="Q85" s="22"/>
      <c r="R85" s="91"/>
      <c r="S85" s="2"/>
      <c r="T85" s="2"/>
      <c r="U85" s="2"/>
      <c r="V85" s="2"/>
      <c r="W85" s="2"/>
      <c r="X85" s="2"/>
      <c r="Y85" s="2"/>
      <c r="Z85" s="3"/>
      <c r="AA85" s="91"/>
      <c r="AB85" s="2"/>
      <c r="AC85" s="2"/>
      <c r="AD85" s="2"/>
      <c r="AE85" s="2"/>
      <c r="AF85" s="2"/>
      <c r="AG85" s="2"/>
      <c r="AH85" s="2"/>
      <c r="AK85" s="71" t="s">
        <v>127</v>
      </c>
      <c r="AL85" s="72"/>
      <c r="AM85" s="72"/>
      <c r="AN85" s="72"/>
      <c r="AO85" s="72"/>
      <c r="AP85" s="72"/>
      <c r="AQ85" s="141"/>
      <c r="AR85" s="141"/>
      <c r="AT85" s="35">
        <v>2201</v>
      </c>
      <c r="AU85" s="2" t="s">
        <v>884</v>
      </c>
      <c r="AV85" s="5">
        <v>76</v>
      </c>
      <c r="AW85" s="5">
        <v>0.7</v>
      </c>
      <c r="AX85" s="5">
        <v>54</v>
      </c>
      <c r="AY85" s="2"/>
      <c r="AZ85" s="2"/>
      <c r="BA85" s="2"/>
      <c r="BB85" s="5">
        <v>22</v>
      </c>
      <c r="BC85" s="2"/>
      <c r="BF85" s="35">
        <v>7404</v>
      </c>
      <c r="BG85" s="2" t="s">
        <v>949</v>
      </c>
      <c r="BH85" s="5">
        <v>51</v>
      </c>
      <c r="BI85" s="5">
        <v>0.7</v>
      </c>
      <c r="BJ85" s="2"/>
      <c r="BK85" s="2"/>
      <c r="BL85" s="2"/>
      <c r="BM85" s="2"/>
      <c r="BN85" s="5">
        <v>51</v>
      </c>
      <c r="BO85" s="2"/>
      <c r="BR85" s="21">
        <v>8704</v>
      </c>
      <c r="BS85" s="3" t="s">
        <v>1003</v>
      </c>
      <c r="BT85" s="22">
        <v>60</v>
      </c>
      <c r="BU85" s="22">
        <v>0.6</v>
      </c>
      <c r="BV85" s="3"/>
      <c r="BW85" s="3"/>
      <c r="BX85" s="22">
        <v>60</v>
      </c>
      <c r="BY85" s="3"/>
      <c r="BZ85" s="3"/>
      <c r="CA85" s="3"/>
    </row>
    <row r="86" spans="1:79" s="91" customFormat="1" ht="12" customHeight="1">
      <c r="A86"/>
      <c r="B86"/>
      <c r="C86"/>
      <c r="D86"/>
      <c r="E86"/>
      <c r="F86"/>
      <c r="G86"/>
      <c r="H86"/>
      <c r="I86"/>
      <c r="J86" s="3"/>
      <c r="K86" s="20" t="s">
        <v>368</v>
      </c>
      <c r="L86" s="22">
        <v>198</v>
      </c>
      <c r="M86" s="22">
        <v>99</v>
      </c>
      <c r="N86" s="22">
        <v>62</v>
      </c>
      <c r="O86" s="22">
        <v>0</v>
      </c>
      <c r="P86" s="22">
        <v>37</v>
      </c>
      <c r="Q86" s="5"/>
      <c r="R86"/>
      <c r="S86" s="2322" t="s">
        <v>703</v>
      </c>
      <c r="T86" s="2322"/>
      <c r="U86" s="2322"/>
      <c r="V86" s="2322"/>
      <c r="W86" s="3"/>
      <c r="X86" s="3"/>
      <c r="Y86" s="3"/>
      <c r="Z86" s="2"/>
      <c r="AA86"/>
      <c r="AB86" s="1" t="s">
        <v>716</v>
      </c>
      <c r="AC86" s="2"/>
      <c r="AD86" s="2"/>
      <c r="AE86" s="2"/>
      <c r="AF86" s="2"/>
      <c r="AG86" s="2"/>
      <c r="AH86" s="2"/>
      <c r="AI86"/>
      <c r="AJ86"/>
      <c r="AK86" s="2311" t="s">
        <v>135</v>
      </c>
      <c r="AL86" s="2311" t="s">
        <v>136</v>
      </c>
      <c r="AM86" s="157" t="s">
        <v>119</v>
      </c>
      <c r="AN86" s="158" t="s">
        <v>540</v>
      </c>
      <c r="AO86" s="159" t="s">
        <v>541</v>
      </c>
      <c r="AP86" s="157" t="s">
        <v>542</v>
      </c>
      <c r="AQ86" s="141"/>
      <c r="AR86" s="141"/>
      <c r="AT86" s="35">
        <v>8300</v>
      </c>
      <c r="AU86" s="2" t="s">
        <v>885</v>
      </c>
      <c r="AV86" s="5">
        <v>70</v>
      </c>
      <c r="AW86" s="5">
        <v>0.6</v>
      </c>
      <c r="AX86" s="5">
        <v>3</v>
      </c>
      <c r="AY86" s="2"/>
      <c r="AZ86" s="2"/>
      <c r="BA86" s="2"/>
      <c r="BB86" s="5">
        <v>67</v>
      </c>
      <c r="BC86" s="2"/>
      <c r="BD86"/>
      <c r="BF86" s="35">
        <v>1601</v>
      </c>
      <c r="BG86" s="2" t="s">
        <v>356</v>
      </c>
      <c r="BH86" s="5">
        <v>45</v>
      </c>
      <c r="BI86" s="5">
        <v>0.6</v>
      </c>
      <c r="BJ86" s="5">
        <v>45</v>
      </c>
      <c r="BK86" s="2"/>
      <c r="BL86" s="2"/>
      <c r="BM86" s="2"/>
      <c r="BN86" s="2"/>
      <c r="BO86" s="2"/>
      <c r="BR86" s="21">
        <v>8485</v>
      </c>
      <c r="BS86" s="3" t="s">
        <v>742</v>
      </c>
      <c r="BT86" s="22">
        <v>58</v>
      </c>
      <c r="BU86" s="22">
        <v>0.6</v>
      </c>
      <c r="BV86" s="22">
        <v>25</v>
      </c>
      <c r="BW86" s="3"/>
      <c r="BX86" s="22">
        <v>12</v>
      </c>
      <c r="BY86" s="22">
        <v>21</v>
      </c>
      <c r="BZ86" s="3"/>
      <c r="CA86" s="3"/>
    </row>
    <row r="87" spans="1:79" ht="12" customHeight="1">
      <c r="J87" s="35">
        <v>6109</v>
      </c>
      <c r="K87" s="2" t="s">
        <v>592</v>
      </c>
      <c r="L87" s="5">
        <v>18</v>
      </c>
      <c r="M87" s="5">
        <v>3</v>
      </c>
      <c r="N87" s="5">
        <v>7</v>
      </c>
      <c r="O87" s="5" t="s">
        <v>546</v>
      </c>
      <c r="P87" s="5">
        <v>8</v>
      </c>
      <c r="Q87" s="5"/>
      <c r="S87" s="2036" t="s">
        <v>127</v>
      </c>
      <c r="T87" s="2036"/>
      <c r="U87" s="2"/>
      <c r="V87" s="2"/>
      <c r="W87" s="2"/>
      <c r="X87" s="2"/>
      <c r="Y87" s="2"/>
      <c r="Z87" s="5"/>
      <c r="AB87" s="1" t="s">
        <v>127</v>
      </c>
      <c r="AC87" s="2"/>
      <c r="AD87" s="2"/>
      <c r="AE87" s="2"/>
      <c r="AF87" s="2"/>
      <c r="AG87" s="2"/>
      <c r="AH87" s="2"/>
      <c r="AK87" s="2312"/>
      <c r="AL87" s="2312"/>
      <c r="AM87" s="160" t="s">
        <v>544</v>
      </c>
      <c r="AN87" s="83" t="s">
        <v>45</v>
      </c>
      <c r="AO87" s="161" t="s">
        <v>44</v>
      </c>
      <c r="AP87" s="160" t="s">
        <v>43</v>
      </c>
      <c r="AQ87" s="141"/>
      <c r="AR87" s="141"/>
      <c r="AT87" s="58">
        <v>7300</v>
      </c>
      <c r="AU87" s="10" t="s">
        <v>886</v>
      </c>
      <c r="AV87" s="11">
        <v>63</v>
      </c>
      <c r="AW87" s="11">
        <v>0.6</v>
      </c>
      <c r="AX87" s="10"/>
      <c r="AY87" s="10"/>
      <c r="AZ87" s="10"/>
      <c r="BA87" s="10"/>
      <c r="BB87" s="10"/>
      <c r="BC87" s="11">
        <v>63</v>
      </c>
      <c r="BF87" s="190" t="s">
        <v>340</v>
      </c>
      <c r="BG87" s="10" t="s">
        <v>950</v>
      </c>
      <c r="BH87" s="11">
        <v>43</v>
      </c>
      <c r="BI87" s="11">
        <v>0.6</v>
      </c>
      <c r="BJ87" s="10"/>
      <c r="BK87" s="11">
        <v>43</v>
      </c>
      <c r="BL87" s="10"/>
      <c r="BM87" s="10"/>
      <c r="BN87" s="10"/>
      <c r="BO87" s="10"/>
      <c r="BR87" s="40">
        <v>6217</v>
      </c>
      <c r="BS87" s="23" t="s">
        <v>286</v>
      </c>
      <c r="BT87" s="29">
        <v>51</v>
      </c>
      <c r="BU87" s="29">
        <v>0.5</v>
      </c>
      <c r="BV87" s="23"/>
      <c r="BW87" s="23"/>
      <c r="BX87" s="23"/>
      <c r="BY87" s="23"/>
      <c r="BZ87" s="29">
        <v>51</v>
      </c>
      <c r="CA87" s="23"/>
    </row>
    <row r="88" spans="1:79" ht="12" customHeight="1">
      <c r="J88" s="35">
        <v>6203</v>
      </c>
      <c r="K88" s="2" t="s">
        <v>447</v>
      </c>
      <c r="L88" s="5">
        <v>29</v>
      </c>
      <c r="M88" s="5" t="s">
        <v>546</v>
      </c>
      <c r="N88" s="5">
        <v>25</v>
      </c>
      <c r="O88" s="5" t="s">
        <v>546</v>
      </c>
      <c r="P88" s="5">
        <v>4</v>
      </c>
      <c r="Q88" s="5"/>
      <c r="S88" s="130"/>
      <c r="T88" s="8"/>
      <c r="U88" s="107" t="s">
        <v>119</v>
      </c>
      <c r="V88" s="96" t="s">
        <v>540</v>
      </c>
      <c r="W88" s="107" t="s">
        <v>541</v>
      </c>
      <c r="X88" s="96" t="s">
        <v>542</v>
      </c>
      <c r="Y88" s="107" t="s">
        <v>543</v>
      </c>
      <c r="Z88" s="5"/>
      <c r="AB88" s="130"/>
      <c r="AC88" s="8"/>
      <c r="AD88" s="107" t="s">
        <v>119</v>
      </c>
      <c r="AE88" s="96" t="s">
        <v>540</v>
      </c>
      <c r="AF88" s="107" t="s">
        <v>541</v>
      </c>
      <c r="AG88" s="96" t="s">
        <v>542</v>
      </c>
      <c r="AH88" s="107" t="s">
        <v>543</v>
      </c>
      <c r="AK88" s="74"/>
      <c r="AL88" s="153" t="s">
        <v>201</v>
      </c>
      <c r="AM88" s="75">
        <v>2270</v>
      </c>
      <c r="AN88" s="162">
        <v>712</v>
      </c>
      <c r="AO88" s="162">
        <v>769</v>
      </c>
      <c r="AP88" s="162">
        <v>789</v>
      </c>
      <c r="AQ88" s="141"/>
      <c r="AR88" s="141"/>
      <c r="AT88" s="2045" t="s">
        <v>174</v>
      </c>
      <c r="AU88" s="2045"/>
      <c r="AV88" s="2045"/>
      <c r="AW88" s="2045"/>
      <c r="AX88" s="2045"/>
      <c r="AY88" s="2045"/>
      <c r="AZ88" s="2"/>
      <c r="BA88" s="2"/>
      <c r="BB88" s="2"/>
      <c r="BC88" s="2"/>
      <c r="BF88" s="2064" t="s">
        <v>174</v>
      </c>
      <c r="BG88" s="2064"/>
      <c r="BH88" s="2064"/>
      <c r="BI88" s="2064"/>
      <c r="BJ88" s="2064"/>
      <c r="BK88" s="2064"/>
      <c r="BL88" s="2064"/>
      <c r="BM88" s="2064"/>
      <c r="BN88" s="2"/>
      <c r="BO88" s="2"/>
      <c r="BR88" s="2045" t="s">
        <v>174</v>
      </c>
      <c r="BS88" s="2045"/>
      <c r="BT88" s="2045"/>
      <c r="BU88" s="2045"/>
      <c r="BV88" s="2045"/>
      <c r="BW88" s="2045"/>
      <c r="BX88" s="2045"/>
      <c r="BY88" s="2"/>
      <c r="BZ88" s="2"/>
      <c r="CA88" s="2"/>
    </row>
    <row r="89" spans="1:79" ht="13.5" customHeight="1">
      <c r="J89" s="35">
        <v>6204</v>
      </c>
      <c r="K89" s="2" t="s">
        <v>285</v>
      </c>
      <c r="L89" s="5">
        <v>39</v>
      </c>
      <c r="M89" s="5" t="s">
        <v>546</v>
      </c>
      <c r="N89" s="5">
        <v>14</v>
      </c>
      <c r="O89" s="5" t="s">
        <v>546</v>
      </c>
      <c r="P89" s="5">
        <v>25</v>
      </c>
      <c r="Q89" s="5"/>
      <c r="S89" s="131" t="s">
        <v>135</v>
      </c>
      <c r="T89" s="10" t="s">
        <v>136</v>
      </c>
      <c r="U89" s="11" t="s">
        <v>544</v>
      </c>
      <c r="V89" s="36" t="s">
        <v>45</v>
      </c>
      <c r="W89" s="11" t="s">
        <v>44</v>
      </c>
      <c r="X89" s="36" t="s">
        <v>43</v>
      </c>
      <c r="Y89" s="11" t="s">
        <v>42</v>
      </c>
      <c r="Z89" s="5"/>
      <c r="AB89" s="111" t="s">
        <v>135</v>
      </c>
      <c r="AC89" s="10" t="s">
        <v>136</v>
      </c>
      <c r="AD89" s="11" t="s">
        <v>544</v>
      </c>
      <c r="AE89" s="36" t="s">
        <v>45</v>
      </c>
      <c r="AF89" s="11" t="s">
        <v>44</v>
      </c>
      <c r="AG89" s="36" t="s">
        <v>43</v>
      </c>
      <c r="AH89" s="11" t="s">
        <v>42</v>
      </c>
      <c r="AK89" s="78">
        <v>3208</v>
      </c>
      <c r="AL89" s="72" t="s">
        <v>303</v>
      </c>
      <c r="AM89" s="76">
        <v>125</v>
      </c>
      <c r="AN89" s="76">
        <v>19</v>
      </c>
      <c r="AO89" s="76">
        <v>106</v>
      </c>
      <c r="AP89" s="76" t="s">
        <v>546</v>
      </c>
      <c r="AQ89" s="141"/>
      <c r="AR89" s="141"/>
      <c r="AT89" s="2045" t="s">
        <v>857</v>
      </c>
      <c r="AU89" s="2045"/>
      <c r="AV89" s="14"/>
      <c r="AW89" s="14"/>
      <c r="AX89" s="14"/>
      <c r="AY89" s="14"/>
      <c r="AZ89" s="2"/>
      <c r="BA89" s="2"/>
      <c r="BB89" s="2"/>
      <c r="BC89" s="2"/>
      <c r="BF89" s="2045" t="s">
        <v>857</v>
      </c>
      <c r="BG89" s="2045"/>
      <c r="BH89" s="14"/>
      <c r="BI89" s="14"/>
      <c r="BJ89" s="14"/>
      <c r="BK89" s="14"/>
      <c r="BL89" s="14"/>
      <c r="BM89" s="14"/>
      <c r="BN89" s="2"/>
      <c r="BO89" s="2"/>
      <c r="BR89" s="2045" t="s">
        <v>857</v>
      </c>
      <c r="BS89" s="2045"/>
      <c r="BT89" s="14"/>
      <c r="BU89" s="14"/>
      <c r="BV89" s="14"/>
      <c r="BW89" s="14"/>
      <c r="BX89" s="14"/>
      <c r="BY89" s="2"/>
      <c r="BZ89" s="2"/>
      <c r="CA89" s="2"/>
    </row>
    <row r="90" spans="1:79" ht="12" customHeight="1">
      <c r="J90" s="35">
        <v>6214</v>
      </c>
      <c r="K90" s="2" t="s">
        <v>593</v>
      </c>
      <c r="L90" s="5">
        <v>15</v>
      </c>
      <c r="M90" s="5">
        <v>15</v>
      </c>
      <c r="N90" s="5" t="s">
        <v>546</v>
      </c>
      <c r="O90" s="5" t="s">
        <v>546</v>
      </c>
      <c r="P90" s="5" t="s">
        <v>546</v>
      </c>
      <c r="Q90" s="5"/>
      <c r="S90" s="2"/>
      <c r="T90" s="20" t="s">
        <v>583</v>
      </c>
      <c r="U90" s="5">
        <v>2275</v>
      </c>
      <c r="V90" s="5">
        <v>242</v>
      </c>
      <c r="W90" s="5">
        <v>96</v>
      </c>
      <c r="X90" s="47">
        <v>1743</v>
      </c>
      <c r="Y90" s="5">
        <v>194</v>
      </c>
      <c r="Z90" s="5"/>
      <c r="AB90" s="3"/>
      <c r="AC90" s="20" t="s">
        <v>583</v>
      </c>
      <c r="AD90" s="5">
        <v>1126</v>
      </c>
      <c r="AE90" s="5">
        <v>330</v>
      </c>
      <c r="AF90" s="5">
        <v>121</v>
      </c>
      <c r="AG90" s="5">
        <v>40</v>
      </c>
      <c r="AH90" s="5">
        <v>635</v>
      </c>
      <c r="AK90" s="78">
        <v>3800</v>
      </c>
      <c r="AL90" s="72" t="s">
        <v>791</v>
      </c>
      <c r="AM90" s="76">
        <v>0</v>
      </c>
      <c r="AN90" s="76" t="s">
        <v>546</v>
      </c>
      <c r="AO90" s="76" t="s">
        <v>546</v>
      </c>
      <c r="AP90" s="76" t="s">
        <v>546</v>
      </c>
      <c r="AQ90" s="141"/>
      <c r="AR90" s="141"/>
      <c r="AT90" s="2045" t="s">
        <v>858</v>
      </c>
      <c r="AU90" s="2045"/>
      <c r="AV90" s="14"/>
      <c r="AW90" s="14"/>
      <c r="AX90" s="14"/>
      <c r="AY90" s="14"/>
      <c r="AZ90" s="2"/>
      <c r="BA90" s="2"/>
      <c r="BB90" s="2"/>
      <c r="BC90" s="2"/>
      <c r="BF90" s="2045" t="s">
        <v>858</v>
      </c>
      <c r="BG90" s="2045"/>
      <c r="BH90" s="14"/>
      <c r="BI90" s="14"/>
      <c r="BJ90" s="14"/>
      <c r="BK90" s="14"/>
      <c r="BL90" s="14"/>
      <c r="BM90" s="14"/>
      <c r="BN90" s="2"/>
      <c r="BO90" s="2"/>
      <c r="BR90" s="2045" t="s">
        <v>858</v>
      </c>
      <c r="BS90" s="2045"/>
      <c r="BT90" s="14"/>
      <c r="BU90" s="14"/>
      <c r="BV90" s="14"/>
      <c r="BW90" s="14"/>
      <c r="BX90" s="14"/>
      <c r="BY90" s="2"/>
      <c r="BZ90" s="2"/>
      <c r="CA90" s="2"/>
    </row>
    <row r="91" spans="1:79" ht="12" customHeight="1">
      <c r="J91" s="35">
        <v>6403</v>
      </c>
      <c r="K91" s="2" t="s">
        <v>189</v>
      </c>
      <c r="L91" s="5">
        <v>81</v>
      </c>
      <c r="M91" s="5">
        <v>81</v>
      </c>
      <c r="N91" s="5" t="s">
        <v>546</v>
      </c>
      <c r="O91" s="5" t="s">
        <v>546</v>
      </c>
      <c r="P91" s="5" t="s">
        <v>546</v>
      </c>
      <c r="Q91" s="5"/>
      <c r="S91" s="35">
        <v>3923</v>
      </c>
      <c r="T91" s="2" t="s">
        <v>676</v>
      </c>
      <c r="U91" s="5">
        <v>4</v>
      </c>
      <c r="V91" s="5" t="s">
        <v>546</v>
      </c>
      <c r="W91" s="5">
        <v>4</v>
      </c>
      <c r="X91" s="5" t="s">
        <v>546</v>
      </c>
      <c r="Y91" s="5" t="s">
        <v>546</v>
      </c>
      <c r="Z91" s="5"/>
      <c r="AB91" s="21">
        <v>3926</v>
      </c>
      <c r="AC91" s="2" t="s">
        <v>287</v>
      </c>
      <c r="AD91" s="5">
        <v>187</v>
      </c>
      <c r="AE91" s="5" t="s">
        <v>546</v>
      </c>
      <c r="AF91" s="5">
        <v>73</v>
      </c>
      <c r="AG91" s="5">
        <v>13</v>
      </c>
      <c r="AH91" s="5">
        <v>101</v>
      </c>
      <c r="AK91" s="78">
        <v>3917</v>
      </c>
      <c r="AL91" s="72" t="s">
        <v>304</v>
      </c>
      <c r="AM91" s="76">
        <v>15</v>
      </c>
      <c r="AN91" s="76">
        <v>6</v>
      </c>
      <c r="AO91" s="76" t="s">
        <v>546</v>
      </c>
      <c r="AP91" s="76">
        <v>9</v>
      </c>
      <c r="AQ91" s="141"/>
      <c r="AR91" s="141"/>
      <c r="AT91" s="2"/>
      <c r="AU91" s="2"/>
      <c r="AV91" s="2"/>
      <c r="AW91" s="2"/>
      <c r="AX91" s="2"/>
      <c r="AY91" s="2"/>
      <c r="AZ91" s="2"/>
      <c r="BA91" s="2"/>
      <c r="BB91" s="2"/>
      <c r="BC91" s="2"/>
      <c r="BF91" s="2"/>
      <c r="BG91" s="2"/>
      <c r="BH91" s="2"/>
      <c r="BI91" s="2"/>
      <c r="BJ91" s="2"/>
      <c r="BK91" s="2"/>
      <c r="BL91" s="2"/>
      <c r="BM91" s="2"/>
      <c r="BN91" s="2"/>
      <c r="BO91" s="2"/>
      <c r="BR91" s="2"/>
      <c r="BS91" s="2"/>
      <c r="BT91" s="2"/>
      <c r="BU91" s="2"/>
      <c r="BV91" s="2"/>
      <c r="BW91" s="2"/>
      <c r="BX91" s="2"/>
      <c r="BY91" s="2"/>
      <c r="BZ91" s="2"/>
      <c r="CA91" s="2"/>
    </row>
    <row r="92" spans="1:79" ht="12" customHeight="1">
      <c r="J92" s="35">
        <v>6500</v>
      </c>
      <c r="K92" s="2" t="s">
        <v>227</v>
      </c>
      <c r="L92" s="5">
        <v>16</v>
      </c>
      <c r="M92" s="5" t="s">
        <v>546</v>
      </c>
      <c r="N92" s="5">
        <v>16</v>
      </c>
      <c r="O92" s="5" t="s">
        <v>546</v>
      </c>
      <c r="P92" s="5" t="s">
        <v>546</v>
      </c>
      <c r="Q92" s="2"/>
      <c r="S92" s="35">
        <v>3926</v>
      </c>
      <c r="T92" s="2" t="s">
        <v>287</v>
      </c>
      <c r="U92" s="5">
        <v>61</v>
      </c>
      <c r="V92" s="5" t="s">
        <v>546</v>
      </c>
      <c r="W92" s="5">
        <v>14</v>
      </c>
      <c r="X92" s="5">
        <v>12</v>
      </c>
      <c r="Y92" s="5">
        <v>35</v>
      </c>
      <c r="Z92" s="5"/>
      <c r="AB92" s="21">
        <v>4202</v>
      </c>
      <c r="AC92" s="2" t="s">
        <v>677</v>
      </c>
      <c r="AD92" s="5">
        <v>408</v>
      </c>
      <c r="AE92" s="5" t="s">
        <v>546</v>
      </c>
      <c r="AF92" s="5" t="s">
        <v>546</v>
      </c>
      <c r="AG92" s="5" t="s">
        <v>546</v>
      </c>
      <c r="AH92" s="5">
        <v>408</v>
      </c>
      <c r="AK92" s="78">
        <v>4407</v>
      </c>
      <c r="AL92" s="72" t="s">
        <v>792</v>
      </c>
      <c r="AM92" s="76">
        <v>22</v>
      </c>
      <c r="AN92" s="76">
        <v>11</v>
      </c>
      <c r="AO92" s="76">
        <v>6</v>
      </c>
      <c r="AP92" s="76">
        <v>5</v>
      </c>
      <c r="AQ92" s="141"/>
      <c r="AR92" s="141"/>
      <c r="AT92" s="2"/>
      <c r="AU92" s="2"/>
      <c r="AV92" s="2"/>
      <c r="AW92" s="2"/>
      <c r="AX92" s="2"/>
      <c r="AY92" s="2"/>
      <c r="AZ92" s="2"/>
      <c r="BA92" s="2"/>
      <c r="BB92" s="2"/>
      <c r="BC92" s="2"/>
      <c r="BF92" s="2"/>
      <c r="BG92" s="2"/>
      <c r="BH92" s="2"/>
      <c r="BI92" s="2"/>
      <c r="BJ92" s="2"/>
      <c r="BK92" s="2"/>
      <c r="BL92" s="2"/>
      <c r="BM92" s="2"/>
      <c r="BN92" s="2"/>
      <c r="BO92" s="2"/>
      <c r="BR92" s="2"/>
      <c r="BS92" s="2"/>
      <c r="BT92" s="2"/>
      <c r="BU92" s="2"/>
      <c r="BV92" s="2"/>
      <c r="BW92" s="2"/>
      <c r="BX92" s="2"/>
      <c r="BY92" s="2"/>
      <c r="BZ92" s="2"/>
      <c r="CA92" s="2"/>
    </row>
    <row r="93" spans="1:79" ht="12" customHeight="1">
      <c r="J93" s="2"/>
      <c r="K93" s="2"/>
      <c r="L93" s="2"/>
      <c r="M93" s="2"/>
      <c r="N93" s="2"/>
      <c r="O93" s="2"/>
      <c r="P93" s="2"/>
      <c r="Q93" s="47"/>
      <c r="S93" s="35">
        <v>4202</v>
      </c>
      <c r="T93" s="2" t="s">
        <v>677</v>
      </c>
      <c r="U93" s="5">
        <v>226</v>
      </c>
      <c r="V93" s="5">
        <v>226</v>
      </c>
      <c r="W93" s="5" t="s">
        <v>546</v>
      </c>
      <c r="X93" s="5" t="s">
        <v>546</v>
      </c>
      <c r="Y93" s="5" t="s">
        <v>546</v>
      </c>
      <c r="Z93" s="5"/>
      <c r="AB93" s="21">
        <v>4206</v>
      </c>
      <c r="AC93" s="2" t="s">
        <v>678</v>
      </c>
      <c r="AD93" s="5">
        <v>289</v>
      </c>
      <c r="AE93" s="5">
        <v>283</v>
      </c>
      <c r="AF93" s="5">
        <v>6</v>
      </c>
      <c r="AG93" s="5" t="s">
        <v>546</v>
      </c>
      <c r="AH93" s="5" t="s">
        <v>546</v>
      </c>
      <c r="AK93" s="78">
        <v>4412</v>
      </c>
      <c r="AL93" s="72" t="s">
        <v>711</v>
      </c>
      <c r="AM93" s="76">
        <v>3</v>
      </c>
      <c r="AN93" s="76" t="s">
        <v>546</v>
      </c>
      <c r="AO93" s="76">
        <v>3</v>
      </c>
      <c r="AP93" s="76" t="s">
        <v>546</v>
      </c>
      <c r="AQ93" s="141"/>
      <c r="AR93" s="141"/>
      <c r="AT93" s="2"/>
      <c r="AU93" s="2"/>
      <c r="AV93" s="2"/>
      <c r="AW93" s="2"/>
      <c r="AX93" s="2"/>
      <c r="AY93" s="2"/>
      <c r="AZ93" s="2"/>
      <c r="BA93" s="2"/>
      <c r="BB93" s="2"/>
      <c r="BC93" s="2"/>
      <c r="BF93" s="2"/>
      <c r="BG93" s="2"/>
      <c r="BH93" s="2"/>
      <c r="BI93" s="2"/>
      <c r="BJ93" s="2"/>
      <c r="BK93" s="2"/>
      <c r="BL93" s="2"/>
      <c r="BM93" s="2"/>
      <c r="BN93" s="2"/>
      <c r="BO93" s="2"/>
      <c r="BR93" s="2"/>
      <c r="BS93" s="2"/>
      <c r="BT93" s="2"/>
      <c r="BU93" s="2"/>
      <c r="BV93" s="2"/>
      <c r="BW93" s="2"/>
      <c r="BX93" s="2"/>
      <c r="BY93" s="2"/>
      <c r="BZ93" s="2"/>
      <c r="CA93" s="2"/>
    </row>
    <row r="94" spans="1:79" ht="12.75" customHeight="1">
      <c r="J94" s="2"/>
      <c r="K94" s="6" t="s">
        <v>201</v>
      </c>
      <c r="L94" s="47">
        <v>8637</v>
      </c>
      <c r="M94" s="47">
        <v>1854</v>
      </c>
      <c r="N94" s="47">
        <v>3415</v>
      </c>
      <c r="O94" s="47">
        <v>2337</v>
      </c>
      <c r="P94" s="47">
        <v>1033</v>
      </c>
      <c r="Q94" s="5"/>
      <c r="S94" s="35">
        <v>4206</v>
      </c>
      <c r="T94" s="2" t="s">
        <v>678</v>
      </c>
      <c r="U94" s="5">
        <v>1795</v>
      </c>
      <c r="V94" s="5" t="s">
        <v>546</v>
      </c>
      <c r="W94" s="5" t="s">
        <v>546</v>
      </c>
      <c r="X94" s="47">
        <v>1725</v>
      </c>
      <c r="Y94" s="5">
        <v>70</v>
      </c>
      <c r="Z94" s="5"/>
      <c r="AB94" s="21">
        <v>4818</v>
      </c>
      <c r="AC94" s="2" t="s">
        <v>290</v>
      </c>
      <c r="AD94" s="5">
        <v>157</v>
      </c>
      <c r="AE94" s="5">
        <v>15</v>
      </c>
      <c r="AF94" s="5">
        <v>24</v>
      </c>
      <c r="AG94" s="5">
        <v>16</v>
      </c>
      <c r="AH94" s="5">
        <v>102</v>
      </c>
      <c r="AK94" s="78">
        <v>4418</v>
      </c>
      <c r="AL94" s="72" t="s">
        <v>793</v>
      </c>
      <c r="AM94" s="76">
        <v>0</v>
      </c>
      <c r="AN94" s="76" t="s">
        <v>546</v>
      </c>
      <c r="AO94" s="76" t="s">
        <v>546</v>
      </c>
      <c r="AP94" s="76" t="s">
        <v>546</v>
      </c>
      <c r="AQ94" s="141"/>
      <c r="AR94" s="141"/>
      <c r="AT94" s="2318" t="s">
        <v>898</v>
      </c>
      <c r="AU94" s="2318"/>
      <c r="AV94" s="2318"/>
      <c r="AW94" s="2318"/>
      <c r="AX94" s="2318"/>
      <c r="AY94" s="2318"/>
      <c r="AZ94" s="113"/>
      <c r="BA94" s="113"/>
      <c r="BB94" s="113"/>
      <c r="BC94" s="113"/>
      <c r="BF94" s="2055" t="s">
        <v>951</v>
      </c>
      <c r="BG94" s="2055"/>
      <c r="BH94" s="2055"/>
      <c r="BI94" s="2055"/>
      <c r="BJ94" s="2055"/>
      <c r="BK94" s="2055"/>
      <c r="BL94" s="2055"/>
      <c r="BM94" s="2"/>
      <c r="BN94" s="2"/>
      <c r="BO94" s="2"/>
      <c r="BR94" s="2313" t="s">
        <v>1004</v>
      </c>
      <c r="BS94" s="2313"/>
      <c r="BT94" s="2313"/>
      <c r="BU94" s="2313"/>
      <c r="BV94" s="2313"/>
      <c r="BW94" s="2313"/>
      <c r="BX94" s="2313"/>
      <c r="BY94" s="2313"/>
      <c r="BZ94" s="2"/>
      <c r="CA94" s="2"/>
    </row>
    <row r="95" spans="1:79" ht="12.75" customHeight="1">
      <c r="J95" s="35">
        <v>2523</v>
      </c>
      <c r="K95" s="2" t="s">
        <v>594</v>
      </c>
      <c r="L95" s="47">
        <v>3360</v>
      </c>
      <c r="M95" s="5">
        <v>204</v>
      </c>
      <c r="N95" s="47">
        <v>1898</v>
      </c>
      <c r="O95" s="5">
        <v>912</v>
      </c>
      <c r="P95" s="5">
        <v>346</v>
      </c>
      <c r="Q95" s="5"/>
      <c r="S95" s="35">
        <v>4818</v>
      </c>
      <c r="T95" s="2" t="s">
        <v>290</v>
      </c>
      <c r="U95" s="5">
        <v>111</v>
      </c>
      <c r="V95" s="5">
        <v>13</v>
      </c>
      <c r="W95" s="5">
        <v>47</v>
      </c>
      <c r="X95" s="5">
        <v>6</v>
      </c>
      <c r="Y95" s="5">
        <v>45</v>
      </c>
      <c r="Z95" s="5"/>
      <c r="AB95" s="21">
        <v>4819</v>
      </c>
      <c r="AC95" s="2" t="s">
        <v>717</v>
      </c>
      <c r="AD95" s="5">
        <v>6</v>
      </c>
      <c r="AE95" s="5" t="s">
        <v>546</v>
      </c>
      <c r="AF95" s="5" t="s">
        <v>546</v>
      </c>
      <c r="AG95" s="5" t="s">
        <v>546</v>
      </c>
      <c r="AH95" s="5">
        <v>6</v>
      </c>
      <c r="AK95" s="78">
        <v>4421</v>
      </c>
      <c r="AL95" s="72" t="s">
        <v>794</v>
      </c>
      <c r="AM95" s="76">
        <v>3</v>
      </c>
      <c r="AN95" s="76" t="s">
        <v>546</v>
      </c>
      <c r="AO95" s="76">
        <v>3</v>
      </c>
      <c r="AP95" s="76" t="s">
        <v>546</v>
      </c>
      <c r="AQ95" s="141"/>
      <c r="AR95" s="141"/>
      <c r="AT95" s="2318" t="s">
        <v>127</v>
      </c>
      <c r="AU95" s="2318"/>
      <c r="AV95" s="113"/>
      <c r="AW95" s="113"/>
      <c r="AX95" s="113"/>
      <c r="AY95" s="113"/>
      <c r="AZ95" s="113"/>
      <c r="BA95" s="113"/>
      <c r="BB95" s="113"/>
      <c r="BC95" s="113"/>
      <c r="BF95" s="2055" t="s">
        <v>127</v>
      </c>
      <c r="BG95" s="2055"/>
      <c r="BH95" s="2"/>
      <c r="BI95" s="2"/>
      <c r="BJ95" s="2"/>
      <c r="BK95" s="2"/>
      <c r="BL95" s="2"/>
      <c r="BM95" s="2"/>
      <c r="BN95" s="2"/>
      <c r="BO95" s="2"/>
      <c r="BR95" s="2036" t="s">
        <v>127</v>
      </c>
      <c r="BS95" s="2036"/>
      <c r="BT95" s="2"/>
      <c r="BU95" s="2"/>
      <c r="BV95" s="2"/>
      <c r="BW95" s="2"/>
      <c r="BX95" s="2"/>
      <c r="BY95" s="2"/>
      <c r="BZ95" s="2"/>
      <c r="CA95" s="2"/>
    </row>
    <row r="96" spans="1:79" ht="12.75" customHeight="1">
      <c r="J96" s="35">
        <v>3208</v>
      </c>
      <c r="K96" s="2" t="s">
        <v>595</v>
      </c>
      <c r="L96" s="5">
        <v>192</v>
      </c>
      <c r="M96" s="5">
        <v>98</v>
      </c>
      <c r="N96" s="5">
        <v>91</v>
      </c>
      <c r="O96" s="5" t="s">
        <v>546</v>
      </c>
      <c r="P96" s="5">
        <v>3</v>
      </c>
      <c r="Q96" s="5"/>
      <c r="S96" s="35">
        <v>4823</v>
      </c>
      <c r="T96" s="2" t="s">
        <v>679</v>
      </c>
      <c r="U96" s="5">
        <v>15</v>
      </c>
      <c r="V96" s="5">
        <v>3</v>
      </c>
      <c r="W96" s="5">
        <v>12</v>
      </c>
      <c r="X96" s="5" t="s">
        <v>546</v>
      </c>
      <c r="Y96" s="5" t="s">
        <v>546</v>
      </c>
      <c r="Z96" s="5"/>
      <c r="AB96" s="21">
        <v>6402</v>
      </c>
      <c r="AC96" s="2" t="s">
        <v>291</v>
      </c>
      <c r="AD96" s="5">
        <v>34</v>
      </c>
      <c r="AE96" s="5">
        <v>32</v>
      </c>
      <c r="AF96" s="5" t="s">
        <v>546</v>
      </c>
      <c r="AG96" s="5" t="s">
        <v>546</v>
      </c>
      <c r="AH96" s="5">
        <v>2</v>
      </c>
      <c r="AK96" s="78">
        <v>6800</v>
      </c>
      <c r="AL96" s="72" t="s">
        <v>663</v>
      </c>
      <c r="AM96" s="76">
        <v>19</v>
      </c>
      <c r="AN96" s="76">
        <v>13</v>
      </c>
      <c r="AO96" s="76">
        <v>3</v>
      </c>
      <c r="AP96" s="76">
        <v>3</v>
      </c>
      <c r="AQ96" s="141"/>
      <c r="AR96" s="141"/>
      <c r="AT96" s="173"/>
      <c r="AU96" s="176"/>
      <c r="AV96" s="184" t="s">
        <v>887</v>
      </c>
      <c r="AW96" s="177" t="s">
        <v>841</v>
      </c>
      <c r="AX96" s="2319" t="s">
        <v>842</v>
      </c>
      <c r="AY96" s="2319"/>
      <c r="AZ96" s="2319"/>
      <c r="BA96" s="2319"/>
      <c r="BB96" s="2319"/>
      <c r="BC96" s="2319"/>
      <c r="BF96" s="8"/>
      <c r="BG96" s="188"/>
      <c r="BH96" s="189" t="s">
        <v>952</v>
      </c>
      <c r="BI96" s="69" t="s">
        <v>841</v>
      </c>
      <c r="BJ96" s="2033" t="s">
        <v>842</v>
      </c>
      <c r="BK96" s="2034"/>
      <c r="BL96" s="2034"/>
      <c r="BM96" s="2034"/>
      <c r="BN96" s="2034"/>
      <c r="BO96" s="2034"/>
      <c r="BR96" s="8"/>
      <c r="BS96" s="188"/>
      <c r="BT96" s="189" t="s">
        <v>1005</v>
      </c>
      <c r="BU96" s="69" t="s">
        <v>841</v>
      </c>
      <c r="BV96" s="2057" t="s">
        <v>842</v>
      </c>
      <c r="BW96" s="2057"/>
      <c r="BX96" s="2057"/>
      <c r="BY96" s="2057"/>
      <c r="BZ96" s="2057"/>
      <c r="CA96" s="2057"/>
    </row>
    <row r="97" spans="10:79" ht="12.75" customHeight="1">
      <c r="J97" s="35">
        <v>3917</v>
      </c>
      <c r="K97" s="2" t="s">
        <v>596</v>
      </c>
      <c r="L97" s="5">
        <v>104</v>
      </c>
      <c r="M97" s="5" t="s">
        <v>546</v>
      </c>
      <c r="N97" s="5">
        <v>104</v>
      </c>
      <c r="O97" s="5" t="s">
        <v>546</v>
      </c>
      <c r="P97" s="5" t="s">
        <v>546</v>
      </c>
      <c r="Q97" s="5"/>
      <c r="S97" s="35">
        <v>5200</v>
      </c>
      <c r="T97" s="2" t="s">
        <v>680</v>
      </c>
      <c r="U97" s="5">
        <v>15</v>
      </c>
      <c r="V97" s="5" t="s">
        <v>546</v>
      </c>
      <c r="W97" s="5">
        <v>15</v>
      </c>
      <c r="X97" s="5" t="s">
        <v>546</v>
      </c>
      <c r="Y97" s="5" t="s">
        <v>546</v>
      </c>
      <c r="Z97" s="5"/>
      <c r="AB97" s="21">
        <v>6403</v>
      </c>
      <c r="AC97" s="2" t="s">
        <v>718</v>
      </c>
      <c r="AD97" s="5">
        <v>47</v>
      </c>
      <c r="AE97" s="5" t="s">
        <v>546</v>
      </c>
      <c r="AF97" s="5">
        <v>18</v>
      </c>
      <c r="AG97" s="5">
        <v>11</v>
      </c>
      <c r="AH97" s="5">
        <v>18</v>
      </c>
      <c r="AK97" s="78">
        <v>7200</v>
      </c>
      <c r="AL97" s="72" t="s">
        <v>309</v>
      </c>
      <c r="AM97" s="77">
        <v>1303</v>
      </c>
      <c r="AN97" s="76">
        <v>353</v>
      </c>
      <c r="AO97" s="76">
        <v>350</v>
      </c>
      <c r="AP97" s="76">
        <v>600</v>
      </c>
      <c r="AQ97" s="141"/>
      <c r="AR97" s="141"/>
      <c r="AT97" s="10" t="s">
        <v>135</v>
      </c>
      <c r="AU97" s="183" t="s">
        <v>843</v>
      </c>
      <c r="AV97" s="40" t="s">
        <v>844</v>
      </c>
      <c r="AW97" s="70" t="s">
        <v>129</v>
      </c>
      <c r="AX97" s="26" t="s">
        <v>845</v>
      </c>
      <c r="AY97" s="26" t="s">
        <v>846</v>
      </c>
      <c r="AZ97" s="26" t="s">
        <v>528</v>
      </c>
      <c r="BA97" s="26" t="s">
        <v>847</v>
      </c>
      <c r="BB97" s="26" t="s">
        <v>399</v>
      </c>
      <c r="BC97" s="27" t="s">
        <v>394</v>
      </c>
      <c r="BF97" s="58" t="s">
        <v>135</v>
      </c>
      <c r="BG97" s="183" t="s">
        <v>843</v>
      </c>
      <c r="BH97" s="40" t="s">
        <v>844</v>
      </c>
      <c r="BI97" s="70" t="s">
        <v>129</v>
      </c>
      <c r="BJ97" s="26" t="s">
        <v>845</v>
      </c>
      <c r="BK97" s="26" t="s">
        <v>390</v>
      </c>
      <c r="BL97" s="26" t="s">
        <v>528</v>
      </c>
      <c r="BM97" s="26" t="s">
        <v>847</v>
      </c>
      <c r="BN97" s="26" t="s">
        <v>399</v>
      </c>
      <c r="BO97" s="27" t="s">
        <v>394</v>
      </c>
      <c r="BR97" s="58" t="s">
        <v>135</v>
      </c>
      <c r="BS97" s="183" t="s">
        <v>843</v>
      </c>
      <c r="BT97" s="40" t="s">
        <v>844</v>
      </c>
      <c r="BU97" s="70" t="s">
        <v>129</v>
      </c>
      <c r="BV97" s="26" t="s">
        <v>845</v>
      </c>
      <c r="BW97" s="26" t="s">
        <v>392</v>
      </c>
      <c r="BX97" s="26" t="s">
        <v>941</v>
      </c>
      <c r="BY97" s="26" t="s">
        <v>528</v>
      </c>
      <c r="BZ97" s="26" t="s">
        <v>393</v>
      </c>
      <c r="CA97" s="27" t="s">
        <v>394</v>
      </c>
    </row>
    <row r="98" spans="10:79" ht="12.95" customHeight="1">
      <c r="J98" s="35">
        <v>7000</v>
      </c>
      <c r="K98" s="2" t="s">
        <v>208</v>
      </c>
      <c r="L98" s="5">
        <v>3</v>
      </c>
      <c r="M98" s="5" t="s">
        <v>546</v>
      </c>
      <c r="N98" s="5">
        <v>3</v>
      </c>
      <c r="O98" s="5" t="s">
        <v>546</v>
      </c>
      <c r="P98" s="5" t="s">
        <v>546</v>
      </c>
      <c r="Q98" s="5"/>
      <c r="S98" s="35">
        <v>5800</v>
      </c>
      <c r="T98" s="2" t="s">
        <v>681</v>
      </c>
      <c r="U98" s="5">
        <v>4</v>
      </c>
      <c r="V98" s="5" t="s">
        <v>546</v>
      </c>
      <c r="W98" s="5">
        <v>4</v>
      </c>
      <c r="X98" s="5" t="s">
        <v>546</v>
      </c>
      <c r="Y98" s="5" t="s">
        <v>546</v>
      </c>
      <c r="Z98" s="5"/>
      <c r="AB98" s="2"/>
      <c r="AC98" s="2"/>
      <c r="AD98" s="2"/>
      <c r="AE98" s="2"/>
      <c r="AF98" s="2"/>
      <c r="AG98" s="2"/>
      <c r="AH98" s="2"/>
      <c r="AK98" s="78">
        <v>7307</v>
      </c>
      <c r="AL98" s="72" t="s">
        <v>753</v>
      </c>
      <c r="AM98" s="76">
        <v>33</v>
      </c>
      <c r="AN98" s="76" t="s">
        <v>546</v>
      </c>
      <c r="AO98" s="76">
        <v>7</v>
      </c>
      <c r="AP98" s="76">
        <v>26</v>
      </c>
      <c r="AQ98" s="141"/>
      <c r="AR98" s="141"/>
      <c r="AT98" s="3"/>
      <c r="AU98" s="3" t="s">
        <v>129</v>
      </c>
      <c r="AV98" s="53">
        <v>6628</v>
      </c>
      <c r="AW98" s="87">
        <v>100</v>
      </c>
      <c r="AX98" s="53">
        <v>2909</v>
      </c>
      <c r="AY98" s="22">
        <v>169</v>
      </c>
      <c r="AZ98" s="22">
        <v>423</v>
      </c>
      <c r="BA98" s="53">
        <v>1549</v>
      </c>
      <c r="BB98" s="22">
        <v>426</v>
      </c>
      <c r="BC98" s="53">
        <v>1152</v>
      </c>
      <c r="BF98" s="3"/>
      <c r="BG98" s="3" t="s">
        <v>129</v>
      </c>
      <c r="BH98" s="53">
        <v>9272</v>
      </c>
      <c r="BI98" s="87">
        <v>100</v>
      </c>
      <c r="BJ98" s="53">
        <v>5210</v>
      </c>
      <c r="BK98" s="22">
        <v>591</v>
      </c>
      <c r="BL98" s="22">
        <v>897</v>
      </c>
      <c r="BM98" s="53">
        <v>1004</v>
      </c>
      <c r="BN98" s="22">
        <v>551</v>
      </c>
      <c r="BO98" s="53">
        <v>1006</v>
      </c>
      <c r="BR98" s="108"/>
      <c r="BS98" s="108" t="s">
        <v>129</v>
      </c>
      <c r="BT98" s="132">
        <v>7436</v>
      </c>
      <c r="BU98" s="198">
        <v>100</v>
      </c>
      <c r="BV98" s="132">
        <v>3304</v>
      </c>
      <c r="BW98" s="132">
        <v>1301</v>
      </c>
      <c r="BX98" s="107">
        <v>416</v>
      </c>
      <c r="BY98" s="107">
        <v>966</v>
      </c>
      <c r="BZ98" s="107">
        <v>494</v>
      </c>
      <c r="CA98" s="107">
        <v>955</v>
      </c>
    </row>
    <row r="99" spans="10:79" ht="12.95" customHeight="1">
      <c r="J99" s="35">
        <v>4412</v>
      </c>
      <c r="K99" s="2" t="s">
        <v>597</v>
      </c>
      <c r="L99" s="5">
        <v>47</v>
      </c>
      <c r="M99" s="5" t="s">
        <v>546</v>
      </c>
      <c r="N99" s="5">
        <v>31</v>
      </c>
      <c r="O99" s="5">
        <v>16</v>
      </c>
      <c r="P99" s="5" t="s">
        <v>546</v>
      </c>
      <c r="Q99" s="5"/>
      <c r="S99" s="35">
        <v>6402</v>
      </c>
      <c r="T99" s="2" t="s">
        <v>291</v>
      </c>
      <c r="U99" s="5">
        <v>44</v>
      </c>
      <c r="V99" s="5" t="s">
        <v>546</v>
      </c>
      <c r="W99" s="5" t="s">
        <v>546</v>
      </c>
      <c r="X99" s="5" t="s">
        <v>546</v>
      </c>
      <c r="Y99" s="5">
        <v>44</v>
      </c>
      <c r="Z99" s="5"/>
      <c r="AB99" s="2"/>
      <c r="AC99" s="20" t="s">
        <v>368</v>
      </c>
      <c r="AD99" s="5">
        <v>151</v>
      </c>
      <c r="AE99" s="5">
        <v>128</v>
      </c>
      <c r="AF99" s="5">
        <v>0</v>
      </c>
      <c r="AG99" s="5">
        <v>0</v>
      </c>
      <c r="AH99" s="5">
        <v>23</v>
      </c>
      <c r="AK99" s="78">
        <v>7308</v>
      </c>
      <c r="AL99" s="72" t="s">
        <v>666</v>
      </c>
      <c r="AM99" s="76">
        <v>330</v>
      </c>
      <c r="AN99" s="76">
        <v>256</v>
      </c>
      <c r="AO99" s="76">
        <v>74</v>
      </c>
      <c r="AP99" s="76" t="s">
        <v>546</v>
      </c>
      <c r="AQ99" s="141"/>
      <c r="AR99" s="141"/>
      <c r="AT99" s="35">
        <v>2203</v>
      </c>
      <c r="AU99" s="2" t="s">
        <v>178</v>
      </c>
      <c r="AV99" s="47">
        <v>1518</v>
      </c>
      <c r="AW99" s="5">
        <v>22.9</v>
      </c>
      <c r="AX99" s="5">
        <v>673</v>
      </c>
      <c r="AY99" s="2"/>
      <c r="AZ99" s="5">
        <v>109</v>
      </c>
      <c r="BA99" s="5">
        <v>736</v>
      </c>
      <c r="BB99" s="2"/>
      <c r="BC99" s="2"/>
      <c r="BF99" s="35">
        <v>2402</v>
      </c>
      <c r="BG99" s="2" t="s">
        <v>616</v>
      </c>
      <c r="BH99" s="47">
        <v>2424</v>
      </c>
      <c r="BI99" s="5">
        <v>26.1</v>
      </c>
      <c r="BJ99" s="47">
        <v>1906</v>
      </c>
      <c r="BK99" s="5">
        <v>44</v>
      </c>
      <c r="BL99" s="5">
        <v>158</v>
      </c>
      <c r="BM99" s="5">
        <v>316</v>
      </c>
      <c r="BN99" s="2"/>
      <c r="BO99" s="2"/>
      <c r="BR99" s="21">
        <v>2402</v>
      </c>
      <c r="BS99" s="3" t="s">
        <v>616</v>
      </c>
      <c r="BT99" s="53">
        <v>1484</v>
      </c>
      <c r="BU99" s="87">
        <v>20</v>
      </c>
      <c r="BV99" s="53">
        <v>1303</v>
      </c>
      <c r="BW99" s="3"/>
      <c r="BX99" s="22">
        <v>51</v>
      </c>
      <c r="BY99" s="22">
        <v>130</v>
      </c>
      <c r="BZ99" s="3"/>
      <c r="CA99" s="3"/>
    </row>
    <row r="100" spans="10:79" ht="12.95" customHeight="1">
      <c r="J100" s="35">
        <v>4418</v>
      </c>
      <c r="K100" s="2" t="s">
        <v>598</v>
      </c>
      <c r="L100" s="5">
        <v>31</v>
      </c>
      <c r="M100" s="5">
        <v>31</v>
      </c>
      <c r="N100" s="5" t="s">
        <v>546</v>
      </c>
      <c r="O100" s="5" t="s">
        <v>546</v>
      </c>
      <c r="P100" s="5" t="s">
        <v>546</v>
      </c>
      <c r="Q100" s="5"/>
      <c r="S100" s="2"/>
      <c r="T100" s="2"/>
      <c r="U100" s="2"/>
      <c r="V100" s="5"/>
      <c r="W100" s="5"/>
      <c r="X100" s="5"/>
      <c r="Y100" s="5"/>
      <c r="Z100" s="5"/>
      <c r="AB100" s="21">
        <v>6204</v>
      </c>
      <c r="AC100" s="2" t="s">
        <v>682</v>
      </c>
      <c r="AD100" s="5">
        <v>131</v>
      </c>
      <c r="AE100" s="5">
        <v>128</v>
      </c>
      <c r="AF100" s="5" t="s">
        <v>546</v>
      </c>
      <c r="AG100" s="5" t="s">
        <v>546</v>
      </c>
      <c r="AH100" s="5">
        <v>3</v>
      </c>
      <c r="AK100" s="78">
        <v>7326</v>
      </c>
      <c r="AL100" s="72" t="s">
        <v>668</v>
      </c>
      <c r="AM100" s="76">
        <v>0</v>
      </c>
      <c r="AN100" s="76" t="s">
        <v>546</v>
      </c>
      <c r="AO100" s="76" t="s">
        <v>546</v>
      </c>
      <c r="AP100" s="76" t="s">
        <v>546</v>
      </c>
      <c r="AQ100" s="141"/>
      <c r="AR100" s="141"/>
      <c r="AT100" s="35">
        <v>8703</v>
      </c>
      <c r="AU100" s="2" t="s">
        <v>873</v>
      </c>
      <c r="AV100" s="5">
        <v>366</v>
      </c>
      <c r="AW100" s="5">
        <v>5.5</v>
      </c>
      <c r="AX100" s="5">
        <v>131</v>
      </c>
      <c r="AY100" s="5">
        <v>17</v>
      </c>
      <c r="AZ100" s="2"/>
      <c r="BA100" s="2"/>
      <c r="BB100" s="2"/>
      <c r="BC100" s="5">
        <v>218</v>
      </c>
      <c r="BF100" s="35">
        <v>2203</v>
      </c>
      <c r="BG100" s="2" t="s">
        <v>280</v>
      </c>
      <c r="BH100" s="47">
        <v>2036</v>
      </c>
      <c r="BI100" s="186">
        <v>22</v>
      </c>
      <c r="BJ100" s="47">
        <v>1360</v>
      </c>
      <c r="BK100" s="5">
        <v>68</v>
      </c>
      <c r="BL100" s="5">
        <v>202</v>
      </c>
      <c r="BM100" s="5">
        <v>405</v>
      </c>
      <c r="BN100" s="2"/>
      <c r="BO100" s="2"/>
      <c r="BR100" s="21">
        <v>2203</v>
      </c>
      <c r="BS100" s="3" t="s">
        <v>364</v>
      </c>
      <c r="BT100" s="53">
        <v>1190</v>
      </c>
      <c r="BU100" s="87">
        <v>16</v>
      </c>
      <c r="BV100" s="22">
        <v>792</v>
      </c>
      <c r="BW100" s="22">
        <v>61</v>
      </c>
      <c r="BX100" s="22">
        <v>186</v>
      </c>
      <c r="BY100" s="22">
        <v>151</v>
      </c>
      <c r="BZ100" s="3"/>
      <c r="CA100" s="3"/>
    </row>
    <row r="101" spans="10:79" ht="12.95" customHeight="1">
      <c r="J101" s="35">
        <v>6800</v>
      </c>
      <c r="K101" s="2" t="s">
        <v>599</v>
      </c>
      <c r="L101" s="5">
        <v>73</v>
      </c>
      <c r="M101" s="5">
        <v>9</v>
      </c>
      <c r="N101" s="5">
        <v>64</v>
      </c>
      <c r="O101" s="5" t="s">
        <v>546</v>
      </c>
      <c r="P101" s="5" t="s">
        <v>546</v>
      </c>
      <c r="Q101" s="5"/>
      <c r="S101" s="2"/>
      <c r="T101" s="6" t="s">
        <v>368</v>
      </c>
      <c r="U101" s="5">
        <v>900</v>
      </c>
      <c r="V101" s="5">
        <v>7</v>
      </c>
      <c r="W101" s="5">
        <v>9</v>
      </c>
      <c r="X101" s="5">
        <v>804</v>
      </c>
      <c r="Y101" s="5">
        <v>80</v>
      </c>
      <c r="Z101" s="5"/>
      <c r="AB101" s="21">
        <v>6403</v>
      </c>
      <c r="AC101" s="2" t="s">
        <v>591</v>
      </c>
      <c r="AD101" s="5">
        <v>18</v>
      </c>
      <c r="AE101" s="5" t="s">
        <v>546</v>
      </c>
      <c r="AF101" s="5" t="s">
        <v>546</v>
      </c>
      <c r="AG101" s="5" t="s">
        <v>546</v>
      </c>
      <c r="AH101" s="5">
        <v>18</v>
      </c>
      <c r="AK101" s="78">
        <v>7404</v>
      </c>
      <c r="AL101" s="72" t="s">
        <v>754</v>
      </c>
      <c r="AM101" s="76">
        <v>131</v>
      </c>
      <c r="AN101" s="76">
        <v>18</v>
      </c>
      <c r="AO101" s="76">
        <v>99</v>
      </c>
      <c r="AP101" s="76">
        <v>14</v>
      </c>
      <c r="AQ101" s="141"/>
      <c r="AR101" s="141"/>
      <c r="AT101" s="35">
        <v>2402</v>
      </c>
      <c r="AU101" s="2" t="s">
        <v>888</v>
      </c>
      <c r="AV101" s="47">
        <v>1299</v>
      </c>
      <c r="AW101" s="5">
        <v>19.600000000000001</v>
      </c>
      <c r="AX101" s="5">
        <v>689</v>
      </c>
      <c r="AY101" s="2"/>
      <c r="AZ101" s="5">
        <v>95</v>
      </c>
      <c r="BA101" s="5">
        <v>515</v>
      </c>
      <c r="BB101" s="2"/>
      <c r="BC101" s="2"/>
      <c r="BF101" s="35">
        <v>8703</v>
      </c>
      <c r="BG101" s="2" t="s">
        <v>953</v>
      </c>
      <c r="BH101" s="47">
        <v>1370</v>
      </c>
      <c r="BI101" s="5">
        <v>14.8</v>
      </c>
      <c r="BJ101" s="47">
        <v>1101</v>
      </c>
      <c r="BK101" s="2"/>
      <c r="BL101" s="5">
        <v>231</v>
      </c>
      <c r="BM101" s="5">
        <v>38</v>
      </c>
      <c r="BN101" s="2"/>
      <c r="BO101" s="2"/>
      <c r="BR101" s="21">
        <v>8703</v>
      </c>
      <c r="BS101" s="3" t="s">
        <v>654</v>
      </c>
      <c r="BT101" s="53">
        <v>1046</v>
      </c>
      <c r="BU101" s="22">
        <v>14.1</v>
      </c>
      <c r="BV101" s="22">
        <v>607</v>
      </c>
      <c r="BW101" s="3"/>
      <c r="BX101" s="22">
        <v>56</v>
      </c>
      <c r="BY101" s="22">
        <v>383</v>
      </c>
      <c r="BZ101" s="3"/>
      <c r="CA101" s="3"/>
    </row>
    <row r="102" spans="10:79" ht="12.95" customHeight="1">
      <c r="J102" s="35">
        <v>6907</v>
      </c>
      <c r="K102" s="2" t="s">
        <v>600</v>
      </c>
      <c r="L102" s="5">
        <v>8</v>
      </c>
      <c r="M102" s="5" t="s">
        <v>546</v>
      </c>
      <c r="N102" s="5">
        <v>3</v>
      </c>
      <c r="O102" s="5">
        <v>5</v>
      </c>
      <c r="P102" s="5" t="s">
        <v>546</v>
      </c>
      <c r="Q102" s="5"/>
      <c r="S102" s="35">
        <v>6109</v>
      </c>
      <c r="T102" s="2" t="s">
        <v>592</v>
      </c>
      <c r="U102" s="5">
        <v>4</v>
      </c>
      <c r="V102" s="5" t="s">
        <v>546</v>
      </c>
      <c r="W102" s="5">
        <v>4</v>
      </c>
      <c r="X102" s="5" t="s">
        <v>546</v>
      </c>
      <c r="Y102" s="5" t="s">
        <v>546</v>
      </c>
      <c r="Z102" s="5"/>
      <c r="AB102" s="2"/>
      <c r="AC102" s="2"/>
      <c r="AD102" s="2"/>
      <c r="AE102" s="2"/>
      <c r="AF102" s="2"/>
      <c r="AG102" s="2"/>
      <c r="AH102" s="2"/>
      <c r="AK102" s="78">
        <v>7602</v>
      </c>
      <c r="AL102" s="72" t="s">
        <v>713</v>
      </c>
      <c r="AM102" s="76">
        <v>141</v>
      </c>
      <c r="AN102" s="76">
        <v>20</v>
      </c>
      <c r="AO102" s="76">
        <v>5</v>
      </c>
      <c r="AP102" s="76">
        <v>116</v>
      </c>
      <c r="AQ102" s="141"/>
      <c r="AR102" s="141"/>
      <c r="AT102" s="35">
        <v>7200</v>
      </c>
      <c r="AU102" s="2" t="s">
        <v>309</v>
      </c>
      <c r="AV102" s="5">
        <v>533</v>
      </c>
      <c r="AW102" s="88">
        <v>8</v>
      </c>
      <c r="AX102" s="5">
        <v>45</v>
      </c>
      <c r="AY102" s="5">
        <v>4</v>
      </c>
      <c r="AZ102" s="2"/>
      <c r="BA102" s="2"/>
      <c r="BB102" s="5">
        <v>373</v>
      </c>
      <c r="BC102" s="5">
        <v>111</v>
      </c>
      <c r="BF102" s="35">
        <v>7200</v>
      </c>
      <c r="BG102" s="2" t="s">
        <v>309</v>
      </c>
      <c r="BH102" s="5">
        <v>882</v>
      </c>
      <c r="BI102" s="5">
        <v>9.5</v>
      </c>
      <c r="BJ102" s="5">
        <v>56</v>
      </c>
      <c r="BK102" s="5">
        <v>248</v>
      </c>
      <c r="BL102" s="2"/>
      <c r="BM102" s="2"/>
      <c r="BN102" s="5">
        <v>551</v>
      </c>
      <c r="BO102" s="5">
        <v>27</v>
      </c>
      <c r="BR102" s="21">
        <v>3304</v>
      </c>
      <c r="BS102" s="3" t="s">
        <v>432</v>
      </c>
      <c r="BT102" s="22">
        <v>894</v>
      </c>
      <c r="BU102" s="87">
        <v>12</v>
      </c>
      <c r="BV102" s="3"/>
      <c r="BW102" s="22">
        <v>460</v>
      </c>
      <c r="BX102" s="3"/>
      <c r="BY102" s="3"/>
      <c r="BZ102" s="22">
        <v>195</v>
      </c>
      <c r="CA102" s="22">
        <v>239</v>
      </c>
    </row>
    <row r="103" spans="10:79" ht="12.95" customHeight="1">
      <c r="J103" s="35">
        <v>6912</v>
      </c>
      <c r="K103" s="2" t="s">
        <v>207</v>
      </c>
      <c r="L103" s="5">
        <v>3</v>
      </c>
      <c r="M103" s="5">
        <v>3</v>
      </c>
      <c r="N103" s="5" t="s">
        <v>546</v>
      </c>
      <c r="O103" s="5" t="s">
        <v>546</v>
      </c>
      <c r="P103" s="5" t="s">
        <v>546</v>
      </c>
      <c r="Q103" s="5"/>
      <c r="S103" s="35">
        <v>6203</v>
      </c>
      <c r="T103" s="2" t="s">
        <v>284</v>
      </c>
      <c r="U103" s="5">
        <v>806</v>
      </c>
      <c r="V103" s="5" t="s">
        <v>546</v>
      </c>
      <c r="W103" s="5">
        <v>5</v>
      </c>
      <c r="X103" s="5">
        <v>801</v>
      </c>
      <c r="Y103" s="5" t="s">
        <v>546</v>
      </c>
      <c r="Z103" s="5"/>
      <c r="AB103" s="3"/>
      <c r="AC103" s="20" t="s">
        <v>614</v>
      </c>
      <c r="AD103" s="5">
        <v>11277</v>
      </c>
      <c r="AE103" s="5">
        <v>3201</v>
      </c>
      <c r="AF103" s="47">
        <v>2302</v>
      </c>
      <c r="AG103" s="47">
        <v>2762</v>
      </c>
      <c r="AH103" s="47">
        <v>3012</v>
      </c>
      <c r="AK103" s="78">
        <v>7610</v>
      </c>
      <c r="AL103" s="72" t="s">
        <v>755</v>
      </c>
      <c r="AM103" s="76">
        <v>25</v>
      </c>
      <c r="AN103" s="76" t="s">
        <v>546</v>
      </c>
      <c r="AO103" s="76">
        <v>25</v>
      </c>
      <c r="AP103" s="76" t="s">
        <v>546</v>
      </c>
      <c r="AQ103" s="141"/>
      <c r="AR103" s="141"/>
      <c r="AT103" s="35">
        <v>2202</v>
      </c>
      <c r="AU103" s="2" t="s">
        <v>889</v>
      </c>
      <c r="AV103" s="5">
        <v>464</v>
      </c>
      <c r="AW103" s="88">
        <v>7</v>
      </c>
      <c r="AX103" s="5">
        <v>149</v>
      </c>
      <c r="AY103" s="2"/>
      <c r="AZ103" s="5">
        <v>63</v>
      </c>
      <c r="BA103" s="5">
        <v>252</v>
      </c>
      <c r="BB103" s="2"/>
      <c r="BC103" s="2"/>
      <c r="BF103" s="35">
        <v>8517</v>
      </c>
      <c r="BG103" s="2" t="s">
        <v>954</v>
      </c>
      <c r="BH103" s="5">
        <v>438</v>
      </c>
      <c r="BI103" s="5">
        <v>4.7</v>
      </c>
      <c r="BJ103" s="2"/>
      <c r="BK103" s="2"/>
      <c r="BL103" s="2"/>
      <c r="BM103" s="2"/>
      <c r="BN103" s="2"/>
      <c r="BO103" s="5">
        <v>438</v>
      </c>
      <c r="BR103" s="21">
        <v>7200</v>
      </c>
      <c r="BS103" s="3" t="s">
        <v>309</v>
      </c>
      <c r="BT103" s="22">
        <v>439</v>
      </c>
      <c r="BU103" s="22">
        <v>5.9</v>
      </c>
      <c r="BV103" s="22">
        <v>13</v>
      </c>
      <c r="BW103" s="3"/>
      <c r="BX103" s="3"/>
      <c r="BY103" s="3"/>
      <c r="BZ103" s="3"/>
      <c r="CA103" s="22">
        <v>426</v>
      </c>
    </row>
    <row r="104" spans="10:79" ht="12.95" customHeight="1">
      <c r="J104" s="35">
        <v>6914</v>
      </c>
      <c r="K104" s="2" t="s">
        <v>601</v>
      </c>
      <c r="L104" s="5">
        <v>32</v>
      </c>
      <c r="M104" s="5" t="s">
        <v>546</v>
      </c>
      <c r="N104" s="5">
        <v>26</v>
      </c>
      <c r="O104" s="5">
        <v>6</v>
      </c>
      <c r="P104" s="5" t="s">
        <v>546</v>
      </c>
      <c r="Q104" s="5"/>
      <c r="S104" s="35">
        <v>6217</v>
      </c>
      <c r="T104" s="2" t="s">
        <v>286</v>
      </c>
      <c r="U104" s="5">
        <v>87</v>
      </c>
      <c r="V104" s="5">
        <v>4</v>
      </c>
      <c r="W104" s="5" t="s">
        <v>546</v>
      </c>
      <c r="X104" s="5">
        <v>3</v>
      </c>
      <c r="Y104" s="5">
        <v>80</v>
      </c>
      <c r="Z104" s="5"/>
      <c r="AB104" s="21">
        <v>2300</v>
      </c>
      <c r="AC104" s="3" t="s">
        <v>719</v>
      </c>
      <c r="AD104" s="5">
        <v>3</v>
      </c>
      <c r="AE104" s="5" t="s">
        <v>546</v>
      </c>
      <c r="AF104" s="5">
        <v>3</v>
      </c>
      <c r="AG104" s="5" t="s">
        <v>546</v>
      </c>
      <c r="AH104" s="5" t="s">
        <v>546</v>
      </c>
      <c r="AK104" s="78">
        <v>7616</v>
      </c>
      <c r="AL104" s="72" t="s">
        <v>795</v>
      </c>
      <c r="AM104" s="76">
        <v>23</v>
      </c>
      <c r="AN104" s="76" t="s">
        <v>546</v>
      </c>
      <c r="AO104" s="76">
        <v>18</v>
      </c>
      <c r="AP104" s="76">
        <v>5</v>
      </c>
      <c r="AQ104" s="141"/>
      <c r="AR104" s="141"/>
      <c r="AT104" s="35">
        <v>8716</v>
      </c>
      <c r="AU104" s="2" t="s">
        <v>812</v>
      </c>
      <c r="AV104" s="5">
        <v>350</v>
      </c>
      <c r="AW104" s="5">
        <v>5.3</v>
      </c>
      <c r="AX104" s="2"/>
      <c r="AY104" s="2"/>
      <c r="AZ104" s="2"/>
      <c r="BA104" s="2"/>
      <c r="BB104" s="2"/>
      <c r="BC104" s="5">
        <v>350</v>
      </c>
      <c r="BF104" s="35">
        <v>4202</v>
      </c>
      <c r="BG104" s="2" t="s">
        <v>955</v>
      </c>
      <c r="BH104" s="5">
        <v>408</v>
      </c>
      <c r="BI104" s="5">
        <v>4.4000000000000004</v>
      </c>
      <c r="BJ104" s="5">
        <v>13</v>
      </c>
      <c r="BK104" s="2"/>
      <c r="BL104" s="2"/>
      <c r="BM104" s="2"/>
      <c r="BN104" s="2"/>
      <c r="BO104" s="5">
        <v>395</v>
      </c>
      <c r="BR104" s="56" t="s">
        <v>340</v>
      </c>
      <c r="BS104" s="3" t="s">
        <v>998</v>
      </c>
      <c r="BT104" s="22">
        <v>429</v>
      </c>
      <c r="BU104" s="22">
        <v>5.8</v>
      </c>
      <c r="BV104" s="3"/>
      <c r="BW104" s="22">
        <v>426</v>
      </c>
      <c r="BX104" s="3"/>
      <c r="BY104" s="22">
        <v>3</v>
      </c>
      <c r="BZ104" s="3"/>
      <c r="CA104" s="3"/>
    </row>
    <row r="105" spans="10:79" ht="12.95" customHeight="1">
      <c r="J105" s="35">
        <v>7000</v>
      </c>
      <c r="K105" s="2" t="s">
        <v>208</v>
      </c>
      <c r="L105" s="5">
        <v>97</v>
      </c>
      <c r="M105" s="5">
        <v>97</v>
      </c>
      <c r="N105" s="5" t="s">
        <v>546</v>
      </c>
      <c r="O105" s="5" t="s">
        <v>546</v>
      </c>
      <c r="P105" s="5" t="s">
        <v>546</v>
      </c>
      <c r="Q105" s="5"/>
      <c r="S105" s="35">
        <v>6402</v>
      </c>
      <c r="T105" s="2" t="s">
        <v>683</v>
      </c>
      <c r="U105" s="5">
        <v>3</v>
      </c>
      <c r="V105" s="5">
        <v>3</v>
      </c>
      <c r="W105" s="5" t="s">
        <v>546</v>
      </c>
      <c r="X105" s="5" t="s">
        <v>546</v>
      </c>
      <c r="Y105" s="5" t="s">
        <v>546</v>
      </c>
      <c r="Z105" s="5"/>
      <c r="AB105" s="21">
        <v>2402</v>
      </c>
      <c r="AC105" s="2" t="s">
        <v>616</v>
      </c>
      <c r="AD105" s="5">
        <v>8878</v>
      </c>
      <c r="AE105" s="5">
        <v>2460</v>
      </c>
      <c r="AF105" s="47">
        <v>1656</v>
      </c>
      <c r="AG105" s="47">
        <v>2338</v>
      </c>
      <c r="AH105" s="47">
        <v>2424</v>
      </c>
      <c r="AK105" s="78">
        <v>7800</v>
      </c>
      <c r="AL105" s="72" t="s">
        <v>672</v>
      </c>
      <c r="AM105" s="76">
        <v>37</v>
      </c>
      <c r="AN105" s="76" t="s">
        <v>546</v>
      </c>
      <c r="AO105" s="76">
        <v>37</v>
      </c>
      <c r="AP105" s="76" t="s">
        <v>546</v>
      </c>
      <c r="AQ105" s="141"/>
      <c r="AR105" s="141"/>
      <c r="AT105" s="35">
        <v>2523</v>
      </c>
      <c r="AU105" s="2" t="s">
        <v>302</v>
      </c>
      <c r="AV105" s="5">
        <v>346</v>
      </c>
      <c r="AW105" s="5">
        <v>5.2</v>
      </c>
      <c r="AX105" s="2"/>
      <c r="AY105" s="2"/>
      <c r="AZ105" s="2"/>
      <c r="BA105" s="2"/>
      <c r="BB105" s="2"/>
      <c r="BC105" s="5">
        <v>346</v>
      </c>
      <c r="BF105" s="35">
        <v>7404</v>
      </c>
      <c r="BG105" s="2" t="s">
        <v>956</v>
      </c>
      <c r="BH105" s="5">
        <v>277</v>
      </c>
      <c r="BI105" s="88">
        <v>3</v>
      </c>
      <c r="BJ105" s="5">
        <v>74</v>
      </c>
      <c r="BK105" s="5">
        <v>203</v>
      </c>
      <c r="BL105" s="2"/>
      <c r="BM105" s="2"/>
      <c r="BN105" s="2"/>
      <c r="BO105" s="2"/>
      <c r="BR105" s="21">
        <v>4202</v>
      </c>
      <c r="BS105" s="3" t="s">
        <v>748</v>
      </c>
      <c r="BT105" s="22">
        <v>338</v>
      </c>
      <c r="BU105" s="22">
        <v>4.5</v>
      </c>
      <c r="BV105" s="3"/>
      <c r="BW105" s="22">
        <v>338</v>
      </c>
      <c r="BX105" s="3"/>
      <c r="BY105" s="3"/>
      <c r="BZ105" s="3"/>
      <c r="CA105" s="3"/>
    </row>
    <row r="106" spans="10:79" ht="12.95" customHeight="1">
      <c r="J106" s="35">
        <v>7200</v>
      </c>
      <c r="K106" s="2" t="s">
        <v>309</v>
      </c>
      <c r="L106" s="47">
        <v>2977</v>
      </c>
      <c r="M106" s="5">
        <v>738</v>
      </c>
      <c r="N106" s="5">
        <v>823</v>
      </c>
      <c r="O106" s="5">
        <v>884</v>
      </c>
      <c r="P106" s="5">
        <v>532</v>
      </c>
      <c r="Q106" s="2"/>
      <c r="S106" s="2"/>
      <c r="T106" s="2"/>
      <c r="U106" s="2"/>
      <c r="V106" s="5"/>
      <c r="W106" s="5"/>
      <c r="X106" s="5"/>
      <c r="Y106" s="5"/>
      <c r="Z106" s="47"/>
      <c r="AB106" s="21">
        <v>2403</v>
      </c>
      <c r="AC106" s="2" t="s">
        <v>617</v>
      </c>
      <c r="AD106" s="5">
        <v>192</v>
      </c>
      <c r="AE106" s="5" t="s">
        <v>546</v>
      </c>
      <c r="AF106" s="5" t="s">
        <v>546</v>
      </c>
      <c r="AG106" s="5">
        <v>78</v>
      </c>
      <c r="AH106" s="5">
        <v>114</v>
      </c>
      <c r="AK106" s="78">
        <v>8000</v>
      </c>
      <c r="AL106" s="72" t="s">
        <v>796</v>
      </c>
      <c r="AM106" s="76">
        <v>7</v>
      </c>
      <c r="AN106" s="76" t="s">
        <v>546</v>
      </c>
      <c r="AO106" s="76">
        <v>7</v>
      </c>
      <c r="AP106" s="76" t="s">
        <v>546</v>
      </c>
      <c r="AQ106" s="141"/>
      <c r="AR106" s="141"/>
      <c r="AT106" s="35">
        <v>8415</v>
      </c>
      <c r="AU106" s="2" t="s">
        <v>890</v>
      </c>
      <c r="AV106" s="5">
        <v>150</v>
      </c>
      <c r="AW106" s="5">
        <v>2.2999999999999998</v>
      </c>
      <c r="AX106" s="5">
        <v>134</v>
      </c>
      <c r="AY106" s="2"/>
      <c r="AZ106" s="2"/>
      <c r="BA106" s="5">
        <v>16</v>
      </c>
      <c r="BB106" s="2"/>
      <c r="BC106" s="2"/>
      <c r="BF106" s="35">
        <v>8548</v>
      </c>
      <c r="BG106" s="2" t="s">
        <v>957</v>
      </c>
      <c r="BH106" s="5">
        <v>227</v>
      </c>
      <c r="BI106" s="5">
        <v>2.4</v>
      </c>
      <c r="BJ106" s="5">
        <v>209</v>
      </c>
      <c r="BK106" s="2"/>
      <c r="BL106" s="2"/>
      <c r="BM106" s="5">
        <v>18</v>
      </c>
      <c r="BN106" s="2"/>
      <c r="BO106" s="2"/>
      <c r="BR106" s="21">
        <v>7113</v>
      </c>
      <c r="BS106" s="3" t="s">
        <v>79</v>
      </c>
      <c r="BT106" s="22">
        <v>234</v>
      </c>
      <c r="BU106" s="22">
        <v>3.1</v>
      </c>
      <c r="BV106" s="3"/>
      <c r="BW106" s="22">
        <v>7</v>
      </c>
      <c r="BX106" s="3"/>
      <c r="BY106" s="3"/>
      <c r="BZ106" s="22">
        <v>227</v>
      </c>
      <c r="CA106" s="3"/>
    </row>
    <row r="107" spans="10:79" ht="12.95" customHeight="1">
      <c r="J107" s="35">
        <v>7307</v>
      </c>
      <c r="K107" s="2" t="s">
        <v>602</v>
      </c>
      <c r="L107" s="5">
        <v>33</v>
      </c>
      <c r="M107" s="5" t="s">
        <v>546</v>
      </c>
      <c r="N107" s="5">
        <v>33</v>
      </c>
      <c r="O107" s="5" t="s">
        <v>546</v>
      </c>
      <c r="P107" s="2"/>
      <c r="Q107" s="5"/>
      <c r="S107" s="2"/>
      <c r="T107" s="6" t="s">
        <v>614</v>
      </c>
      <c r="U107" s="5">
        <v>10254</v>
      </c>
      <c r="V107" s="5">
        <v>1809</v>
      </c>
      <c r="W107" s="47">
        <v>1581</v>
      </c>
      <c r="X107" s="47">
        <v>3053</v>
      </c>
      <c r="Y107" s="47">
        <v>3811</v>
      </c>
      <c r="Z107" s="47"/>
      <c r="AB107" s="21">
        <v>2710</v>
      </c>
      <c r="AC107" s="2" t="s">
        <v>618</v>
      </c>
      <c r="AD107" s="5">
        <v>551</v>
      </c>
      <c r="AE107" s="5">
        <v>248</v>
      </c>
      <c r="AF107" s="5">
        <v>100</v>
      </c>
      <c r="AG107" s="5">
        <v>87</v>
      </c>
      <c r="AH107" s="5">
        <v>116</v>
      </c>
      <c r="AK107" s="78">
        <v>8100</v>
      </c>
      <c r="AL107" s="72" t="s">
        <v>797</v>
      </c>
      <c r="AM107" s="76">
        <v>6</v>
      </c>
      <c r="AN107" s="76" t="s">
        <v>546</v>
      </c>
      <c r="AO107" s="76">
        <v>6</v>
      </c>
      <c r="AP107" s="76" t="s">
        <v>546</v>
      </c>
      <c r="AQ107" s="141"/>
      <c r="AR107" s="141"/>
      <c r="AT107" s="35">
        <v>2208</v>
      </c>
      <c r="AU107" s="2" t="s">
        <v>282</v>
      </c>
      <c r="AV107" s="5">
        <v>816</v>
      </c>
      <c r="AW107" s="5">
        <v>12.3</v>
      </c>
      <c r="AX107" s="5">
        <v>741</v>
      </c>
      <c r="AY107" s="5">
        <v>4</v>
      </c>
      <c r="AZ107" s="5">
        <v>48</v>
      </c>
      <c r="BA107" s="5">
        <v>23</v>
      </c>
      <c r="BB107" s="2"/>
      <c r="BC107" s="2"/>
      <c r="BF107" s="35">
        <v>8300</v>
      </c>
      <c r="BG107" s="2" t="s">
        <v>958</v>
      </c>
      <c r="BH107" s="5">
        <v>155</v>
      </c>
      <c r="BI107" s="5">
        <v>1.7</v>
      </c>
      <c r="BJ107" s="5">
        <v>4</v>
      </c>
      <c r="BK107" s="2"/>
      <c r="BL107" s="5">
        <v>152</v>
      </c>
      <c r="BM107" s="2"/>
      <c r="BN107" s="2"/>
      <c r="BO107" s="2"/>
      <c r="BR107" s="21">
        <v>2208</v>
      </c>
      <c r="BS107" s="3" t="s">
        <v>1006</v>
      </c>
      <c r="BT107" s="22">
        <v>182</v>
      </c>
      <c r="BU107" s="22">
        <v>2.4</v>
      </c>
      <c r="BV107" s="22">
        <v>102</v>
      </c>
      <c r="BW107" s="3"/>
      <c r="BX107" s="22">
        <v>37</v>
      </c>
      <c r="BY107" s="22">
        <v>43</v>
      </c>
      <c r="BZ107" s="3"/>
      <c r="CA107" s="3"/>
    </row>
    <row r="108" spans="10:79" ht="12.95" customHeight="1">
      <c r="J108" s="35">
        <v>7308</v>
      </c>
      <c r="K108" s="2" t="s">
        <v>603</v>
      </c>
      <c r="L108" s="5">
        <v>332</v>
      </c>
      <c r="M108" s="5">
        <v>142</v>
      </c>
      <c r="N108" s="5">
        <v>82</v>
      </c>
      <c r="O108" s="5">
        <v>63</v>
      </c>
      <c r="P108" s="5">
        <v>45</v>
      </c>
      <c r="Q108" s="5"/>
      <c r="S108" s="35">
        <v>2402</v>
      </c>
      <c r="T108" s="2" t="s">
        <v>616</v>
      </c>
      <c r="U108" s="5">
        <v>6441</v>
      </c>
      <c r="V108" s="5">
        <v>1558</v>
      </c>
      <c r="W108" s="47">
        <v>1204</v>
      </c>
      <c r="X108" s="47">
        <v>1873</v>
      </c>
      <c r="Y108" s="47">
        <v>1806</v>
      </c>
      <c r="Z108" s="5"/>
      <c r="AB108" s="21">
        <v>2936</v>
      </c>
      <c r="AC108" s="2" t="s">
        <v>720</v>
      </c>
      <c r="AD108" s="5">
        <v>22</v>
      </c>
      <c r="AE108" s="5" t="s">
        <v>546</v>
      </c>
      <c r="AF108" s="5" t="s">
        <v>546</v>
      </c>
      <c r="AG108" s="5">
        <v>22</v>
      </c>
      <c r="AH108" s="5" t="s">
        <v>546</v>
      </c>
      <c r="AK108" s="78">
        <v>8200</v>
      </c>
      <c r="AL108" s="72" t="s">
        <v>756</v>
      </c>
      <c r="AM108" s="76">
        <v>14</v>
      </c>
      <c r="AN108" s="76">
        <v>6</v>
      </c>
      <c r="AO108" s="76">
        <v>8</v>
      </c>
      <c r="AP108" s="76" t="s">
        <v>546</v>
      </c>
      <c r="AQ108" s="141"/>
      <c r="AR108" s="141"/>
      <c r="AT108" s="35">
        <v>7117</v>
      </c>
      <c r="AU108" s="2" t="s">
        <v>891</v>
      </c>
      <c r="AV108" s="5">
        <v>127</v>
      </c>
      <c r="AW108" s="5">
        <v>1.9</v>
      </c>
      <c r="AX108" s="2"/>
      <c r="AY108" s="2"/>
      <c r="AZ108" s="2"/>
      <c r="BA108" s="2"/>
      <c r="BB108" s="2"/>
      <c r="BC108" s="5">
        <v>127</v>
      </c>
      <c r="BF108" s="35">
        <v>2208</v>
      </c>
      <c r="BG108" s="2" t="s">
        <v>282</v>
      </c>
      <c r="BH108" s="5">
        <v>133</v>
      </c>
      <c r="BI108" s="5">
        <v>1.4</v>
      </c>
      <c r="BJ108" s="5">
        <v>41</v>
      </c>
      <c r="BK108" s="5">
        <v>28</v>
      </c>
      <c r="BL108" s="5">
        <v>55</v>
      </c>
      <c r="BM108" s="5">
        <v>9</v>
      </c>
      <c r="BN108" s="2"/>
      <c r="BO108" s="2"/>
      <c r="BR108" s="21">
        <v>7404</v>
      </c>
      <c r="BS108" s="3" t="s">
        <v>968</v>
      </c>
      <c r="BT108" s="22">
        <v>181</v>
      </c>
      <c r="BU108" s="22">
        <v>2.4</v>
      </c>
      <c r="BV108" s="3"/>
      <c r="BW108" s="3"/>
      <c r="BX108" s="3"/>
      <c r="BY108" s="3"/>
      <c r="BZ108" s="3"/>
      <c r="CA108" s="22">
        <v>181</v>
      </c>
    </row>
    <row r="109" spans="10:79" ht="12.95" customHeight="1">
      <c r="J109" s="35">
        <v>7314</v>
      </c>
      <c r="K109" s="2" t="s">
        <v>604</v>
      </c>
      <c r="L109" s="5">
        <v>9</v>
      </c>
      <c r="M109" s="5" t="s">
        <v>546</v>
      </c>
      <c r="N109" s="5" t="s">
        <v>546</v>
      </c>
      <c r="O109" s="5" t="s">
        <v>546</v>
      </c>
      <c r="P109" s="5">
        <v>9</v>
      </c>
      <c r="Q109" s="5"/>
      <c r="S109" s="35">
        <v>2403</v>
      </c>
      <c r="T109" s="2" t="s">
        <v>617</v>
      </c>
      <c r="U109" s="5">
        <v>123</v>
      </c>
      <c r="V109" s="5">
        <v>65</v>
      </c>
      <c r="W109" s="5">
        <v>58</v>
      </c>
      <c r="X109" s="5" t="s">
        <v>546</v>
      </c>
      <c r="Y109" s="5" t="s">
        <v>546</v>
      </c>
      <c r="Z109" s="5"/>
      <c r="AB109" s="21">
        <v>3004</v>
      </c>
      <c r="AC109" s="2" t="s">
        <v>450</v>
      </c>
      <c r="AD109" s="5">
        <v>10</v>
      </c>
      <c r="AE109" s="5" t="s">
        <v>546</v>
      </c>
      <c r="AF109" s="5" t="s">
        <v>546</v>
      </c>
      <c r="AG109" s="5">
        <v>10</v>
      </c>
      <c r="AH109" s="5" t="s">
        <v>546</v>
      </c>
      <c r="AK109" s="78">
        <v>8300</v>
      </c>
      <c r="AL109" s="72" t="s">
        <v>798</v>
      </c>
      <c r="AM109" s="76">
        <v>33</v>
      </c>
      <c r="AN109" s="76">
        <v>10</v>
      </c>
      <c r="AO109" s="76">
        <v>12</v>
      </c>
      <c r="AP109" s="76">
        <v>11</v>
      </c>
      <c r="AQ109" s="141"/>
      <c r="AR109" s="141"/>
      <c r="AT109" s="35">
        <v>8708</v>
      </c>
      <c r="AU109" s="2" t="s">
        <v>892</v>
      </c>
      <c r="AV109" s="5">
        <v>99</v>
      </c>
      <c r="AW109" s="5">
        <v>1.5</v>
      </c>
      <c r="AX109" s="2"/>
      <c r="AY109" s="5">
        <v>99</v>
      </c>
      <c r="AZ109" s="2"/>
      <c r="BA109" s="2"/>
      <c r="BB109" s="2"/>
      <c r="BC109" s="2"/>
      <c r="BF109" s="35">
        <v>2710</v>
      </c>
      <c r="BG109" s="2" t="s">
        <v>959</v>
      </c>
      <c r="BH109" s="5">
        <v>116</v>
      </c>
      <c r="BI109" s="5">
        <v>1.3</v>
      </c>
      <c r="BJ109" s="5">
        <v>55</v>
      </c>
      <c r="BK109" s="2"/>
      <c r="BL109" s="5">
        <v>61</v>
      </c>
      <c r="BM109" s="2"/>
      <c r="BN109" s="2"/>
      <c r="BO109" s="2"/>
      <c r="BR109" s="21">
        <v>8415</v>
      </c>
      <c r="BS109" s="3" t="s">
        <v>657</v>
      </c>
      <c r="BT109" s="22">
        <v>142</v>
      </c>
      <c r="BU109" s="22">
        <v>1.9</v>
      </c>
      <c r="BV109" s="22">
        <v>142</v>
      </c>
      <c r="BW109" s="3"/>
      <c r="BX109" s="3"/>
      <c r="BY109" s="3"/>
      <c r="BZ109" s="3"/>
      <c r="CA109" s="3"/>
    </row>
    <row r="110" spans="10:79" ht="12.95" customHeight="1">
      <c r="J110" s="35">
        <v>7326</v>
      </c>
      <c r="K110" s="2" t="s">
        <v>605</v>
      </c>
      <c r="L110" s="5">
        <v>48</v>
      </c>
      <c r="M110" s="5">
        <v>6</v>
      </c>
      <c r="N110" s="5">
        <v>4</v>
      </c>
      <c r="O110" s="5">
        <v>32</v>
      </c>
      <c r="P110" s="5">
        <v>6</v>
      </c>
      <c r="Q110" s="5"/>
      <c r="S110" s="35">
        <v>2710</v>
      </c>
      <c r="T110" s="2" t="s">
        <v>618</v>
      </c>
      <c r="U110" s="5">
        <v>329</v>
      </c>
      <c r="V110" s="5">
        <v>47</v>
      </c>
      <c r="W110" s="5">
        <v>66</v>
      </c>
      <c r="X110" s="5">
        <v>128</v>
      </c>
      <c r="Y110" s="5">
        <v>88</v>
      </c>
      <c r="Z110" s="5"/>
      <c r="AB110" s="21">
        <v>3006</v>
      </c>
      <c r="AC110" s="2" t="s">
        <v>684</v>
      </c>
      <c r="AD110" s="5">
        <v>144</v>
      </c>
      <c r="AE110" s="5">
        <v>30</v>
      </c>
      <c r="AF110" s="5">
        <v>25</v>
      </c>
      <c r="AG110" s="5">
        <v>89</v>
      </c>
      <c r="AH110" s="5" t="s">
        <v>546</v>
      </c>
      <c r="AK110" s="74"/>
      <c r="AL110" s="72"/>
      <c r="AM110" s="72"/>
      <c r="AN110" s="72"/>
      <c r="AO110" s="72"/>
      <c r="AP110" s="72"/>
      <c r="AQ110" s="141"/>
      <c r="AR110" s="141"/>
      <c r="AT110" s="35">
        <v>8704</v>
      </c>
      <c r="AU110" s="2" t="s">
        <v>893</v>
      </c>
      <c r="AV110" s="5">
        <v>92</v>
      </c>
      <c r="AW110" s="5">
        <v>1.4</v>
      </c>
      <c r="AX110" s="5">
        <v>92</v>
      </c>
      <c r="AY110" s="2"/>
      <c r="AZ110" s="2"/>
      <c r="BA110" s="2"/>
      <c r="BB110" s="2"/>
      <c r="BC110" s="2"/>
      <c r="BF110" s="35">
        <v>2403</v>
      </c>
      <c r="BG110" s="2" t="s">
        <v>946</v>
      </c>
      <c r="BH110" s="5">
        <v>114</v>
      </c>
      <c r="BI110" s="5">
        <v>1.2</v>
      </c>
      <c r="BJ110" s="5">
        <v>86</v>
      </c>
      <c r="BK110" s="2"/>
      <c r="BL110" s="5">
        <v>21</v>
      </c>
      <c r="BM110" s="5">
        <v>8</v>
      </c>
      <c r="BN110" s="2"/>
      <c r="BO110" s="2"/>
      <c r="BR110" s="21">
        <v>9033</v>
      </c>
      <c r="BS110" s="3" t="s">
        <v>1007</v>
      </c>
      <c r="BT110" s="22">
        <v>141</v>
      </c>
      <c r="BU110" s="22">
        <v>1.9</v>
      </c>
      <c r="BV110" s="3"/>
      <c r="BW110" s="3"/>
      <c r="BX110" s="3"/>
      <c r="BY110" s="22">
        <v>141</v>
      </c>
      <c r="BZ110" s="3"/>
      <c r="CA110" s="3"/>
    </row>
    <row r="111" spans="10:79" ht="12.95" customHeight="1">
      <c r="J111" s="35">
        <v>7404</v>
      </c>
      <c r="K111" s="2" t="s">
        <v>606</v>
      </c>
      <c r="L111" s="5">
        <v>324</v>
      </c>
      <c r="M111" s="5" t="s">
        <v>546</v>
      </c>
      <c r="N111" s="5">
        <v>157</v>
      </c>
      <c r="O111" s="5">
        <v>167</v>
      </c>
      <c r="P111" s="5" t="s">
        <v>546</v>
      </c>
      <c r="Q111" s="5"/>
      <c r="S111" s="35">
        <v>3004</v>
      </c>
      <c r="T111" s="2" t="s">
        <v>450</v>
      </c>
      <c r="U111" s="5">
        <v>13</v>
      </c>
      <c r="V111" s="5">
        <v>13</v>
      </c>
      <c r="W111" s="5" t="s">
        <v>546</v>
      </c>
      <c r="X111" s="5" t="s">
        <v>546</v>
      </c>
      <c r="Y111" s="5" t="s">
        <v>546</v>
      </c>
      <c r="Z111" s="5"/>
      <c r="AB111" s="21">
        <v>3304</v>
      </c>
      <c r="AC111" s="2" t="s">
        <v>685</v>
      </c>
      <c r="AD111" s="5">
        <v>104</v>
      </c>
      <c r="AE111" s="5">
        <v>3</v>
      </c>
      <c r="AF111" s="5">
        <v>4</v>
      </c>
      <c r="AG111" s="5" t="s">
        <v>546</v>
      </c>
      <c r="AH111" s="5">
        <v>97</v>
      </c>
      <c r="AK111" s="74"/>
      <c r="AL111" s="153" t="s">
        <v>614</v>
      </c>
      <c r="AM111" s="77">
        <v>10921</v>
      </c>
      <c r="AN111" s="77">
        <v>3076</v>
      </c>
      <c r="AO111" s="77">
        <v>3119</v>
      </c>
      <c r="AP111" s="77">
        <v>4726</v>
      </c>
      <c r="AQ111" s="141"/>
      <c r="AR111" s="141"/>
      <c r="AT111" s="35">
        <v>2710</v>
      </c>
      <c r="AU111" s="2" t="s">
        <v>894</v>
      </c>
      <c r="AV111" s="5">
        <v>85</v>
      </c>
      <c r="AW111" s="5">
        <v>1.3</v>
      </c>
      <c r="AX111" s="5">
        <v>53</v>
      </c>
      <c r="AY111" s="2"/>
      <c r="AZ111" s="5">
        <v>32</v>
      </c>
      <c r="BA111" s="2"/>
      <c r="BB111" s="2"/>
      <c r="BC111" s="2"/>
      <c r="BF111" s="35">
        <v>4818</v>
      </c>
      <c r="BG111" s="2" t="s">
        <v>960</v>
      </c>
      <c r="BH111" s="5">
        <v>102</v>
      </c>
      <c r="BI111" s="5">
        <v>1.1000000000000001</v>
      </c>
      <c r="BJ111" s="5">
        <v>60</v>
      </c>
      <c r="BK111" s="2"/>
      <c r="BL111" s="2"/>
      <c r="BM111" s="5">
        <v>42</v>
      </c>
      <c r="BN111" s="2"/>
      <c r="BO111" s="2"/>
      <c r="BR111" s="21">
        <v>2710</v>
      </c>
      <c r="BS111" s="3" t="s">
        <v>618</v>
      </c>
      <c r="BT111" s="22">
        <v>127</v>
      </c>
      <c r="BU111" s="22">
        <v>1.7</v>
      </c>
      <c r="BV111" s="22">
        <v>68</v>
      </c>
      <c r="BW111" s="3"/>
      <c r="BX111" s="3"/>
      <c r="BY111" s="22">
        <v>59</v>
      </c>
      <c r="BZ111" s="3"/>
      <c r="CA111" s="3"/>
    </row>
    <row r="112" spans="10:79" ht="12.95" customHeight="1">
      <c r="J112" s="35">
        <v>7602</v>
      </c>
      <c r="K112" s="2" t="s">
        <v>607</v>
      </c>
      <c r="L112" s="5">
        <v>396</v>
      </c>
      <c r="M112" s="5">
        <v>138</v>
      </c>
      <c r="N112" s="5">
        <v>33</v>
      </c>
      <c r="O112" s="5">
        <v>172</v>
      </c>
      <c r="P112" s="5">
        <v>53</v>
      </c>
      <c r="Q112" s="5"/>
      <c r="S112" s="35">
        <v>3006</v>
      </c>
      <c r="T112" s="2" t="s">
        <v>684</v>
      </c>
      <c r="U112" s="5">
        <v>662</v>
      </c>
      <c r="V112" s="5">
        <v>6</v>
      </c>
      <c r="W112" s="5">
        <v>103</v>
      </c>
      <c r="X112" s="5">
        <v>31</v>
      </c>
      <c r="Y112" s="5">
        <v>522</v>
      </c>
      <c r="Z112" s="5"/>
      <c r="AB112" s="21">
        <v>3401</v>
      </c>
      <c r="AC112" s="2" t="s">
        <v>686</v>
      </c>
      <c r="AD112" s="5">
        <v>16</v>
      </c>
      <c r="AE112" s="5">
        <v>5</v>
      </c>
      <c r="AF112" s="5">
        <v>7</v>
      </c>
      <c r="AG112" s="5" t="s">
        <v>546</v>
      </c>
      <c r="AH112" s="5">
        <v>4</v>
      </c>
      <c r="AK112" s="78">
        <v>2300</v>
      </c>
      <c r="AL112" s="74" t="s">
        <v>799</v>
      </c>
      <c r="AM112" s="76">
        <v>6</v>
      </c>
      <c r="AN112" s="76" t="s">
        <v>546</v>
      </c>
      <c r="AO112" s="76">
        <v>6</v>
      </c>
      <c r="AP112" s="76" t="s">
        <v>546</v>
      </c>
      <c r="AQ112" s="141"/>
      <c r="AR112" s="141"/>
      <c r="AT112" s="35">
        <v>8506</v>
      </c>
      <c r="AU112" s="2" t="s">
        <v>895</v>
      </c>
      <c r="AV112" s="5">
        <v>67</v>
      </c>
      <c r="AW112" s="88">
        <v>1</v>
      </c>
      <c r="AX112" s="2"/>
      <c r="AY112" s="2"/>
      <c r="AZ112" s="5">
        <v>67</v>
      </c>
      <c r="BA112" s="2"/>
      <c r="BB112" s="2"/>
      <c r="BC112" s="2"/>
      <c r="BF112" s="35">
        <v>3926</v>
      </c>
      <c r="BG112" s="2" t="s">
        <v>586</v>
      </c>
      <c r="BH112" s="5">
        <v>101</v>
      </c>
      <c r="BI112" s="5">
        <v>1.1000000000000001</v>
      </c>
      <c r="BJ112" s="5">
        <v>18</v>
      </c>
      <c r="BK112" s="2"/>
      <c r="BL112" s="2"/>
      <c r="BM112" s="5">
        <v>82</v>
      </c>
      <c r="BN112" s="2"/>
      <c r="BO112" s="2"/>
      <c r="BR112" s="21">
        <v>8708</v>
      </c>
      <c r="BS112" s="3" t="s">
        <v>295</v>
      </c>
      <c r="BT112" s="22">
        <v>126</v>
      </c>
      <c r="BU112" s="22">
        <v>1.7</v>
      </c>
      <c r="BV112" s="22">
        <v>77</v>
      </c>
      <c r="BW112" s="3"/>
      <c r="BX112" s="22">
        <v>30</v>
      </c>
      <c r="BY112" s="22">
        <v>19</v>
      </c>
      <c r="BZ112" s="3"/>
      <c r="CA112" s="3"/>
    </row>
    <row r="113" spans="10:79" ht="12.95" customHeight="1">
      <c r="J113" s="35">
        <v>7610</v>
      </c>
      <c r="K113" s="2" t="s">
        <v>608</v>
      </c>
      <c r="L113" s="5">
        <v>10</v>
      </c>
      <c r="M113" s="5" t="s">
        <v>546</v>
      </c>
      <c r="N113" s="5">
        <v>4</v>
      </c>
      <c r="O113" s="5">
        <v>6</v>
      </c>
      <c r="P113" s="5" t="s">
        <v>546</v>
      </c>
      <c r="Q113" s="5"/>
      <c r="S113" s="35">
        <v>3215</v>
      </c>
      <c r="T113" s="2" t="s">
        <v>374</v>
      </c>
      <c r="U113" s="5">
        <v>14</v>
      </c>
      <c r="V113" s="5" t="s">
        <v>546</v>
      </c>
      <c r="W113" s="5">
        <v>9</v>
      </c>
      <c r="X113" s="5">
        <v>5</v>
      </c>
      <c r="Y113" s="5" t="s">
        <v>546</v>
      </c>
      <c r="Z113" s="5"/>
      <c r="AB113" s="21">
        <v>3800</v>
      </c>
      <c r="AC113" s="2" t="s">
        <v>688</v>
      </c>
      <c r="AD113" s="5">
        <v>99</v>
      </c>
      <c r="AE113" s="5">
        <v>28</v>
      </c>
      <c r="AF113" s="5">
        <v>22</v>
      </c>
      <c r="AG113" s="5">
        <v>3</v>
      </c>
      <c r="AH113" s="5">
        <v>46</v>
      </c>
      <c r="AK113" s="78">
        <v>2402</v>
      </c>
      <c r="AL113" s="72" t="s">
        <v>616</v>
      </c>
      <c r="AM113" s="77">
        <v>4836</v>
      </c>
      <c r="AN113" s="77">
        <v>1416</v>
      </c>
      <c r="AO113" s="77">
        <v>1945</v>
      </c>
      <c r="AP113" s="77">
        <v>1475</v>
      </c>
      <c r="AQ113" s="141"/>
      <c r="AR113" s="141"/>
      <c r="AT113" s="65" t="s">
        <v>347</v>
      </c>
      <c r="AU113" s="2" t="s">
        <v>896</v>
      </c>
      <c r="AV113" s="5">
        <v>56</v>
      </c>
      <c r="AW113" s="5">
        <v>0.8</v>
      </c>
      <c r="AX113" s="5">
        <v>56</v>
      </c>
      <c r="AY113" s="2"/>
      <c r="AZ113" s="2"/>
      <c r="BA113" s="2"/>
      <c r="BB113" s="2"/>
      <c r="BC113" s="2"/>
      <c r="BF113" s="35">
        <v>3304</v>
      </c>
      <c r="BG113" s="2" t="s">
        <v>961</v>
      </c>
      <c r="BH113" s="5">
        <v>97</v>
      </c>
      <c r="BI113" s="88">
        <v>1</v>
      </c>
      <c r="BJ113" s="2"/>
      <c r="BK113" s="2"/>
      <c r="BL113" s="2"/>
      <c r="BM113" s="2"/>
      <c r="BN113" s="2"/>
      <c r="BO113" s="5">
        <v>97</v>
      </c>
      <c r="BR113" s="21">
        <v>2202</v>
      </c>
      <c r="BS113" s="3" t="s">
        <v>278</v>
      </c>
      <c r="BT113" s="22">
        <v>109</v>
      </c>
      <c r="BU113" s="22">
        <v>1.5</v>
      </c>
      <c r="BV113" s="22">
        <v>80</v>
      </c>
      <c r="BW113" s="3"/>
      <c r="BX113" s="22">
        <v>17</v>
      </c>
      <c r="BY113" s="22">
        <v>12</v>
      </c>
      <c r="BZ113" s="3"/>
      <c r="CA113" s="3"/>
    </row>
    <row r="114" spans="10:79" ht="12.95" customHeight="1">
      <c r="J114" s="35">
        <v>7616</v>
      </c>
      <c r="K114" s="2" t="s">
        <v>609</v>
      </c>
      <c r="L114" s="5">
        <v>4</v>
      </c>
      <c r="M114" s="5">
        <v>4</v>
      </c>
      <c r="N114" s="5" t="s">
        <v>546</v>
      </c>
      <c r="O114" s="5" t="s">
        <v>546</v>
      </c>
      <c r="P114" s="5" t="s">
        <v>546</v>
      </c>
      <c r="Q114" s="5"/>
      <c r="S114" s="35">
        <v>3304</v>
      </c>
      <c r="T114" s="2" t="s">
        <v>685</v>
      </c>
      <c r="U114" s="5">
        <v>13</v>
      </c>
      <c r="V114" s="5" t="s">
        <v>546</v>
      </c>
      <c r="W114" s="5">
        <v>5</v>
      </c>
      <c r="X114" s="5" t="s">
        <v>546</v>
      </c>
      <c r="Y114" s="5">
        <v>8</v>
      </c>
      <c r="Z114" s="5"/>
      <c r="AB114" s="21">
        <v>5700</v>
      </c>
      <c r="AC114" s="2" t="s">
        <v>324</v>
      </c>
      <c r="AD114" s="5">
        <v>12</v>
      </c>
      <c r="AE114" s="5">
        <v>12</v>
      </c>
      <c r="AF114" s="5" t="s">
        <v>546</v>
      </c>
      <c r="AG114" s="5" t="s">
        <v>546</v>
      </c>
      <c r="AH114" s="5" t="s">
        <v>546</v>
      </c>
      <c r="AK114" s="78">
        <v>2403</v>
      </c>
      <c r="AL114" s="72" t="s">
        <v>757</v>
      </c>
      <c r="AM114" s="76">
        <v>132</v>
      </c>
      <c r="AN114" s="76">
        <v>12</v>
      </c>
      <c r="AO114" s="76">
        <v>73</v>
      </c>
      <c r="AP114" s="76">
        <v>47</v>
      </c>
      <c r="AQ114" s="141"/>
      <c r="AR114" s="141"/>
      <c r="AT114" s="35">
        <v>8418</v>
      </c>
      <c r="AU114" s="2" t="s">
        <v>897</v>
      </c>
      <c r="AV114" s="5">
        <v>56</v>
      </c>
      <c r="AW114" s="5">
        <v>0.8</v>
      </c>
      <c r="AX114" s="5">
        <v>11</v>
      </c>
      <c r="AY114" s="5">
        <v>45</v>
      </c>
      <c r="AZ114" s="2"/>
      <c r="BA114" s="2"/>
      <c r="BB114" s="2"/>
      <c r="BC114" s="2"/>
      <c r="BF114" s="35">
        <v>2202</v>
      </c>
      <c r="BG114" s="2" t="s">
        <v>564</v>
      </c>
      <c r="BH114" s="5">
        <v>95</v>
      </c>
      <c r="BI114" s="88">
        <v>1</v>
      </c>
      <c r="BJ114" s="5">
        <v>92</v>
      </c>
      <c r="BK114" s="2"/>
      <c r="BL114" s="2"/>
      <c r="BM114" s="5">
        <v>3</v>
      </c>
      <c r="BN114" s="2"/>
      <c r="BO114" s="2"/>
      <c r="BR114" s="21">
        <v>9101</v>
      </c>
      <c r="BS114" s="3" t="s">
        <v>298</v>
      </c>
      <c r="BT114" s="22">
        <v>97</v>
      </c>
      <c r="BU114" s="22">
        <v>1.3</v>
      </c>
      <c r="BV114" s="3"/>
      <c r="BW114" s="3"/>
      <c r="BX114" s="3"/>
      <c r="BY114" s="3"/>
      <c r="BZ114" s="22">
        <v>72</v>
      </c>
      <c r="CA114" s="22">
        <v>25</v>
      </c>
    </row>
    <row r="115" spans="10:79" ht="12.95" customHeight="1">
      <c r="J115" s="35">
        <v>8100</v>
      </c>
      <c r="K115" s="2" t="s">
        <v>610</v>
      </c>
      <c r="L115" s="5">
        <v>3</v>
      </c>
      <c r="M115" s="5" t="s">
        <v>546</v>
      </c>
      <c r="N115" s="5">
        <v>3</v>
      </c>
      <c r="O115" s="5" t="s">
        <v>546</v>
      </c>
      <c r="P115" s="5" t="s">
        <v>546</v>
      </c>
      <c r="Q115" s="5"/>
      <c r="S115" s="35">
        <v>3306</v>
      </c>
      <c r="T115" s="2" t="s">
        <v>317</v>
      </c>
      <c r="U115" s="5">
        <v>107</v>
      </c>
      <c r="V115" s="5">
        <v>4</v>
      </c>
      <c r="W115" s="5">
        <v>11</v>
      </c>
      <c r="X115" s="5" t="s">
        <v>546</v>
      </c>
      <c r="Y115" s="5" t="s">
        <v>546</v>
      </c>
      <c r="Z115" s="5"/>
      <c r="AB115" s="21">
        <v>6217</v>
      </c>
      <c r="AC115" s="2" t="s">
        <v>721</v>
      </c>
      <c r="AD115" s="5">
        <v>51</v>
      </c>
      <c r="AE115" s="5" t="s">
        <v>546</v>
      </c>
      <c r="AF115" s="5">
        <v>51</v>
      </c>
      <c r="AG115" s="5" t="s">
        <v>546</v>
      </c>
      <c r="AH115" s="5" t="s">
        <v>546</v>
      </c>
      <c r="AK115" s="78">
        <v>2710</v>
      </c>
      <c r="AL115" s="72" t="s">
        <v>618</v>
      </c>
      <c r="AM115" s="76">
        <v>252</v>
      </c>
      <c r="AN115" s="76">
        <v>80</v>
      </c>
      <c r="AO115" s="76">
        <v>102</v>
      </c>
      <c r="AP115" s="76">
        <v>70</v>
      </c>
      <c r="AQ115" s="141"/>
      <c r="AR115" s="141"/>
      <c r="AT115" s="35">
        <v>7602</v>
      </c>
      <c r="AU115" s="2" t="s">
        <v>854</v>
      </c>
      <c r="AV115" s="5">
        <v>53</v>
      </c>
      <c r="AW115" s="5">
        <v>0.8</v>
      </c>
      <c r="AX115" s="2"/>
      <c r="AY115" s="2"/>
      <c r="AZ115" s="2"/>
      <c r="BA115" s="2"/>
      <c r="BB115" s="5">
        <v>53</v>
      </c>
      <c r="BC115" s="2"/>
      <c r="BF115" s="35">
        <v>9405</v>
      </c>
      <c r="BG115" s="2" t="s">
        <v>770</v>
      </c>
      <c r="BH115" s="5">
        <v>94</v>
      </c>
      <c r="BI115" s="88">
        <v>1</v>
      </c>
      <c r="BJ115" s="5">
        <v>75</v>
      </c>
      <c r="BK115" s="2"/>
      <c r="BL115" s="2"/>
      <c r="BM115" s="5">
        <v>19</v>
      </c>
      <c r="BN115" s="2"/>
      <c r="BO115" s="2"/>
      <c r="BR115" s="21">
        <v>7602</v>
      </c>
      <c r="BS115" s="3" t="s">
        <v>982</v>
      </c>
      <c r="BT115" s="22">
        <v>79</v>
      </c>
      <c r="BU115" s="22">
        <v>1.1000000000000001</v>
      </c>
      <c r="BV115" s="3"/>
      <c r="BW115" s="3"/>
      <c r="BX115" s="3"/>
      <c r="BY115" s="3"/>
      <c r="BZ115" s="3"/>
      <c r="CA115" s="22">
        <v>79</v>
      </c>
    </row>
    <row r="116" spans="10:79" ht="12" customHeight="1">
      <c r="J116" s="35">
        <v>7800</v>
      </c>
      <c r="K116" s="2" t="s">
        <v>611</v>
      </c>
      <c r="L116" s="5">
        <v>29</v>
      </c>
      <c r="M116" s="5" t="s">
        <v>546</v>
      </c>
      <c r="N116" s="5" t="s">
        <v>546</v>
      </c>
      <c r="O116" s="5" t="s">
        <v>546</v>
      </c>
      <c r="P116" s="5">
        <v>29</v>
      </c>
      <c r="Q116" s="5"/>
      <c r="S116" s="35">
        <v>3401</v>
      </c>
      <c r="T116" s="2" t="s">
        <v>686</v>
      </c>
      <c r="U116" s="5">
        <v>4</v>
      </c>
      <c r="V116" s="5" t="s">
        <v>546</v>
      </c>
      <c r="W116" s="5" t="s">
        <v>546</v>
      </c>
      <c r="X116" s="5" t="s">
        <v>546</v>
      </c>
      <c r="Y116" s="5">
        <v>4</v>
      </c>
      <c r="Z116" s="5"/>
      <c r="AB116" s="21">
        <v>6500</v>
      </c>
      <c r="AC116" s="2" t="s">
        <v>691</v>
      </c>
      <c r="AD116" s="5">
        <v>4</v>
      </c>
      <c r="AE116" s="5" t="s">
        <v>546</v>
      </c>
      <c r="AF116" s="5" t="s">
        <v>546</v>
      </c>
      <c r="AG116" s="5">
        <v>4</v>
      </c>
      <c r="AH116" s="5" t="s">
        <v>546</v>
      </c>
      <c r="AK116" s="78">
        <v>2800</v>
      </c>
      <c r="AL116" s="72" t="s">
        <v>759</v>
      </c>
      <c r="AM116" s="76">
        <v>42</v>
      </c>
      <c r="AN116" s="76">
        <v>5</v>
      </c>
      <c r="AO116" s="76">
        <v>12</v>
      </c>
      <c r="AP116" s="76">
        <v>25</v>
      </c>
      <c r="AQ116" s="141"/>
      <c r="AR116" s="141"/>
      <c r="AT116" s="35">
        <v>2204</v>
      </c>
      <c r="AU116" s="2" t="s">
        <v>281</v>
      </c>
      <c r="AV116" s="5">
        <v>53</v>
      </c>
      <c r="AW116" s="5">
        <v>0.8</v>
      </c>
      <c r="AX116" s="5">
        <v>37</v>
      </c>
      <c r="AY116" s="2"/>
      <c r="AZ116" s="5">
        <v>9</v>
      </c>
      <c r="BA116" s="5">
        <v>7</v>
      </c>
      <c r="BB116" s="2"/>
      <c r="BC116" s="2"/>
      <c r="BF116" s="35">
        <v>2204</v>
      </c>
      <c r="BG116" s="2" t="s">
        <v>281</v>
      </c>
      <c r="BH116" s="5">
        <v>79</v>
      </c>
      <c r="BI116" s="5">
        <v>0.9</v>
      </c>
      <c r="BJ116" s="5">
        <v>28</v>
      </c>
      <c r="BK116" s="2"/>
      <c r="BL116" s="5">
        <v>17</v>
      </c>
      <c r="BM116" s="5">
        <v>23</v>
      </c>
      <c r="BN116" s="2"/>
      <c r="BO116" s="2"/>
      <c r="BR116" s="21">
        <v>9004</v>
      </c>
      <c r="BS116" s="3" t="s">
        <v>768</v>
      </c>
      <c r="BT116" s="22">
        <v>79</v>
      </c>
      <c r="BU116" s="22">
        <v>1.1000000000000001</v>
      </c>
      <c r="BV116" s="22">
        <v>32</v>
      </c>
      <c r="BW116" s="22">
        <v>9</v>
      </c>
      <c r="BX116" s="22">
        <v>33</v>
      </c>
      <c r="BY116" s="3"/>
      <c r="BZ116" s="3"/>
      <c r="CA116" s="22">
        <v>5</v>
      </c>
    </row>
    <row r="117" spans="10:79" ht="12" customHeight="1">
      <c r="J117" s="35">
        <v>8200</v>
      </c>
      <c r="K117" s="2" t="s">
        <v>612</v>
      </c>
      <c r="L117" s="5">
        <v>4</v>
      </c>
      <c r="M117" s="5" t="s">
        <v>546</v>
      </c>
      <c r="N117" s="5" t="s">
        <v>546</v>
      </c>
      <c r="O117" s="5">
        <v>4</v>
      </c>
      <c r="P117" s="5" t="s">
        <v>546</v>
      </c>
      <c r="Q117" s="5"/>
      <c r="S117" s="35">
        <v>3402</v>
      </c>
      <c r="T117" s="2" t="s">
        <v>687</v>
      </c>
      <c r="U117" s="5">
        <v>22</v>
      </c>
      <c r="V117" s="5">
        <v>22</v>
      </c>
      <c r="W117" s="5" t="s">
        <v>546</v>
      </c>
      <c r="X117" s="5" t="s">
        <v>546</v>
      </c>
      <c r="Y117" s="5" t="s">
        <v>546</v>
      </c>
      <c r="Z117" s="5"/>
      <c r="AB117" s="21">
        <v>7113</v>
      </c>
      <c r="AC117" s="2" t="s">
        <v>692</v>
      </c>
      <c r="AD117" s="5">
        <v>504</v>
      </c>
      <c r="AE117" s="5">
        <v>55</v>
      </c>
      <c r="AF117" s="5">
        <v>353</v>
      </c>
      <c r="AG117" s="5">
        <v>87</v>
      </c>
      <c r="AH117" s="5">
        <v>9</v>
      </c>
      <c r="AK117" s="78">
        <v>2942</v>
      </c>
      <c r="AL117" s="72" t="s">
        <v>620</v>
      </c>
      <c r="AM117" s="76">
        <v>5</v>
      </c>
      <c r="AN117" s="76">
        <v>5</v>
      </c>
      <c r="AO117" s="76" t="s">
        <v>546</v>
      </c>
      <c r="AP117" s="76" t="s">
        <v>546</v>
      </c>
      <c r="AQ117" s="141"/>
      <c r="AR117" s="141"/>
      <c r="AT117" s="35">
        <v>2403</v>
      </c>
      <c r="AU117" s="2" t="s">
        <v>880</v>
      </c>
      <c r="AV117" s="5">
        <v>50</v>
      </c>
      <c r="AW117" s="5">
        <v>0.8</v>
      </c>
      <c r="AX117" s="5">
        <v>50</v>
      </c>
      <c r="AY117" s="2"/>
      <c r="AZ117" s="2"/>
      <c r="BA117" s="2"/>
      <c r="BB117" s="2"/>
      <c r="BC117" s="2"/>
      <c r="BF117" s="35">
        <v>7308</v>
      </c>
      <c r="BG117" s="2" t="s">
        <v>666</v>
      </c>
      <c r="BH117" s="5">
        <v>62</v>
      </c>
      <c r="BI117" s="5">
        <v>0.7</v>
      </c>
      <c r="BJ117" s="5">
        <v>12</v>
      </c>
      <c r="BK117" s="2"/>
      <c r="BL117" s="2"/>
      <c r="BM117" s="2"/>
      <c r="BN117" s="2"/>
      <c r="BO117" s="5">
        <v>49</v>
      </c>
      <c r="BR117" s="21">
        <v>6403</v>
      </c>
      <c r="BS117" s="3" t="s">
        <v>591</v>
      </c>
      <c r="BT117" s="22">
        <v>59</v>
      </c>
      <c r="BU117" s="22">
        <v>0.8</v>
      </c>
      <c r="BV117" s="22">
        <v>53</v>
      </c>
      <c r="BW117" s="3"/>
      <c r="BX117" s="22">
        <v>6</v>
      </c>
      <c r="BY117" s="3"/>
      <c r="BZ117" s="3"/>
      <c r="CA117" s="3"/>
    </row>
    <row r="118" spans="10:79" ht="12" customHeight="1">
      <c r="J118" s="35">
        <v>8300</v>
      </c>
      <c r="K118" s="2" t="s">
        <v>613</v>
      </c>
      <c r="L118" s="5">
        <v>518</v>
      </c>
      <c r="M118" s="5">
        <v>383</v>
      </c>
      <c r="N118" s="5">
        <v>56</v>
      </c>
      <c r="O118" s="5">
        <v>69</v>
      </c>
      <c r="P118" s="5">
        <v>10</v>
      </c>
      <c r="Q118" s="2"/>
      <c r="S118" s="35">
        <v>3500</v>
      </c>
      <c r="T118" s="2" t="s">
        <v>321</v>
      </c>
      <c r="U118" s="5">
        <v>26</v>
      </c>
      <c r="V118" s="5" t="s">
        <v>546</v>
      </c>
      <c r="W118" s="5">
        <v>13</v>
      </c>
      <c r="X118" s="5">
        <v>13</v>
      </c>
      <c r="Y118" s="5" t="s">
        <v>546</v>
      </c>
      <c r="Z118" s="5"/>
      <c r="AB118" s="21">
        <v>8471</v>
      </c>
      <c r="AC118" s="2" t="s">
        <v>329</v>
      </c>
      <c r="AD118" s="5">
        <v>126</v>
      </c>
      <c r="AE118" s="5">
        <v>126</v>
      </c>
      <c r="AF118" s="5" t="s">
        <v>546</v>
      </c>
      <c r="AG118" s="5" t="s">
        <v>546</v>
      </c>
      <c r="AH118" s="5" t="s">
        <v>546</v>
      </c>
      <c r="AK118" s="78">
        <v>3004</v>
      </c>
      <c r="AL118" s="72" t="s">
        <v>450</v>
      </c>
      <c r="AM118" s="76">
        <v>56</v>
      </c>
      <c r="AN118" s="76">
        <v>3</v>
      </c>
      <c r="AO118" s="76">
        <v>11</v>
      </c>
      <c r="AP118" s="76">
        <v>42</v>
      </c>
      <c r="AQ118" s="141"/>
      <c r="AR118" s="141"/>
      <c r="AT118" s="58">
        <v>1902</v>
      </c>
      <c r="AU118" s="10" t="s">
        <v>560</v>
      </c>
      <c r="AV118" s="11">
        <v>48</v>
      </c>
      <c r="AW118" s="11">
        <v>0.7</v>
      </c>
      <c r="AX118" s="11">
        <v>48</v>
      </c>
      <c r="AY118" s="10"/>
      <c r="AZ118" s="10"/>
      <c r="BA118" s="10"/>
      <c r="BB118" s="10"/>
      <c r="BC118" s="10"/>
      <c r="BF118" s="58">
        <v>8708</v>
      </c>
      <c r="BG118" s="10" t="s">
        <v>962</v>
      </c>
      <c r="BH118" s="11">
        <v>62</v>
      </c>
      <c r="BI118" s="11">
        <v>0.7</v>
      </c>
      <c r="BJ118" s="11">
        <v>20</v>
      </c>
      <c r="BK118" s="10"/>
      <c r="BL118" s="10"/>
      <c r="BM118" s="11">
        <v>41</v>
      </c>
      <c r="BN118" s="10"/>
      <c r="BO118" s="10"/>
      <c r="BR118" s="40">
        <v>4011</v>
      </c>
      <c r="BS118" s="23" t="s">
        <v>567</v>
      </c>
      <c r="BT118" s="29">
        <v>60</v>
      </c>
      <c r="BU118" s="29">
        <v>0.8</v>
      </c>
      <c r="BV118" s="29">
        <v>35</v>
      </c>
      <c r="BW118" s="23"/>
      <c r="BX118" s="23"/>
      <c r="BY118" s="29">
        <v>25</v>
      </c>
      <c r="BZ118" s="23"/>
      <c r="CA118" s="23"/>
    </row>
    <row r="119" spans="10:79" ht="12" customHeight="1">
      <c r="J119" s="2"/>
      <c r="K119" s="2"/>
      <c r="L119" s="2"/>
      <c r="M119" s="2"/>
      <c r="N119" s="2"/>
      <c r="O119" s="2"/>
      <c r="P119" s="2"/>
      <c r="Q119" s="47"/>
      <c r="S119" s="35">
        <v>3800</v>
      </c>
      <c r="T119" s="2" t="s">
        <v>688</v>
      </c>
      <c r="U119" s="5">
        <v>62</v>
      </c>
      <c r="V119" s="5">
        <v>10</v>
      </c>
      <c r="W119" s="5">
        <v>52</v>
      </c>
      <c r="X119" s="5" t="s">
        <v>546</v>
      </c>
      <c r="Y119" s="5" t="s">
        <v>546</v>
      </c>
      <c r="Z119" s="5"/>
      <c r="AB119" s="21">
        <v>8473</v>
      </c>
      <c r="AC119" s="2" t="s">
        <v>330</v>
      </c>
      <c r="AD119" s="5">
        <v>30</v>
      </c>
      <c r="AE119" s="5">
        <v>30</v>
      </c>
      <c r="AF119" s="5" t="s">
        <v>546</v>
      </c>
      <c r="AG119" s="5" t="s">
        <v>546</v>
      </c>
      <c r="AH119" s="5" t="s">
        <v>546</v>
      </c>
      <c r="AK119" s="78">
        <v>3006</v>
      </c>
      <c r="AL119" s="72" t="s">
        <v>317</v>
      </c>
      <c r="AM119" s="76">
        <v>80</v>
      </c>
      <c r="AN119" s="76">
        <v>24</v>
      </c>
      <c r="AO119" s="76">
        <v>56</v>
      </c>
      <c r="AP119" s="76" t="s">
        <v>546</v>
      </c>
      <c r="AQ119" s="141"/>
      <c r="AR119" s="141"/>
      <c r="AT119" s="2045" t="s">
        <v>174</v>
      </c>
      <c r="AU119" s="2045"/>
      <c r="AV119" s="2045"/>
      <c r="AW119" s="2045"/>
      <c r="AX119" s="2045"/>
      <c r="AY119" s="2045"/>
      <c r="AZ119" s="2"/>
      <c r="BA119" s="2"/>
      <c r="BB119" s="2"/>
      <c r="BC119" s="2"/>
      <c r="BF119" s="2066" t="s">
        <v>174</v>
      </c>
      <c r="BG119" s="2066"/>
      <c r="BH119" s="2066"/>
      <c r="BI119" s="2066"/>
      <c r="BJ119" s="2066"/>
      <c r="BK119" s="2066"/>
      <c r="BL119" s="2066"/>
      <c r="BM119" s="2066"/>
      <c r="BN119" s="2"/>
      <c r="BO119" s="2"/>
      <c r="BR119" s="2045" t="s">
        <v>174</v>
      </c>
      <c r="BS119" s="2045"/>
      <c r="BT119" s="2045"/>
      <c r="BU119" s="2045"/>
      <c r="BV119" s="2045"/>
      <c r="BW119" s="2045"/>
      <c r="BX119" s="2045"/>
      <c r="BY119" s="2"/>
      <c r="BZ119" s="2"/>
      <c r="CA119" s="2"/>
    </row>
    <row r="120" spans="10:79" ht="14.25" customHeight="1">
      <c r="J120" s="2"/>
      <c r="K120" s="6" t="s">
        <v>614</v>
      </c>
      <c r="L120" s="47">
        <v>11518</v>
      </c>
      <c r="M120" s="47">
        <v>3717</v>
      </c>
      <c r="N120" s="47">
        <v>2030</v>
      </c>
      <c r="O120" s="47">
        <v>4049</v>
      </c>
      <c r="P120" s="47">
        <v>1722</v>
      </c>
      <c r="Q120" s="5"/>
      <c r="S120" s="35">
        <v>5700</v>
      </c>
      <c r="T120" s="2" t="s">
        <v>324</v>
      </c>
      <c r="U120" s="5">
        <v>9</v>
      </c>
      <c r="V120" s="5" t="s">
        <v>546</v>
      </c>
      <c r="W120" s="5" t="s">
        <v>546</v>
      </c>
      <c r="X120" s="5" t="s">
        <v>546</v>
      </c>
      <c r="Y120" s="5" t="s">
        <v>546</v>
      </c>
      <c r="Z120" s="5"/>
      <c r="AB120" s="21">
        <v>8506</v>
      </c>
      <c r="AC120" s="2" t="s">
        <v>331</v>
      </c>
      <c r="AD120" s="5">
        <v>107</v>
      </c>
      <c r="AE120" s="5">
        <v>44</v>
      </c>
      <c r="AF120" s="5">
        <v>8</v>
      </c>
      <c r="AG120" s="5">
        <v>19</v>
      </c>
      <c r="AH120" s="5">
        <v>36</v>
      </c>
      <c r="AK120" s="78">
        <v>3304</v>
      </c>
      <c r="AL120" s="72" t="s">
        <v>320</v>
      </c>
      <c r="AM120" s="77">
        <v>4390</v>
      </c>
      <c r="AN120" s="77">
        <v>1364</v>
      </c>
      <c r="AO120" s="76">
        <v>452</v>
      </c>
      <c r="AP120" s="77">
        <v>2574</v>
      </c>
      <c r="AQ120" s="141"/>
      <c r="AR120" s="141"/>
      <c r="AT120" s="2045" t="s">
        <v>857</v>
      </c>
      <c r="AU120" s="2045"/>
      <c r="AV120" s="14"/>
      <c r="AW120" s="14"/>
      <c r="AX120" s="14"/>
      <c r="AY120" s="14"/>
      <c r="AZ120" s="2"/>
      <c r="BA120" s="2"/>
      <c r="BB120" s="2"/>
      <c r="BC120" s="2"/>
      <c r="BF120" s="2045" t="s">
        <v>857</v>
      </c>
      <c r="BG120" s="2045"/>
      <c r="BH120" s="14"/>
      <c r="BI120" s="14"/>
      <c r="BJ120" s="14"/>
      <c r="BK120" s="14"/>
      <c r="BL120" s="14"/>
      <c r="BM120" s="14"/>
      <c r="BN120" s="2"/>
      <c r="BO120" s="2"/>
      <c r="BR120" s="2045" t="s">
        <v>857</v>
      </c>
      <c r="BS120" s="2045"/>
      <c r="BT120" s="14"/>
      <c r="BU120" s="14"/>
      <c r="BV120" s="14"/>
      <c r="BW120" s="14"/>
      <c r="BX120" s="14"/>
      <c r="BY120" s="2"/>
      <c r="BZ120" s="2"/>
      <c r="CA120" s="2"/>
    </row>
    <row r="121" spans="10:79" ht="15" customHeight="1">
      <c r="J121" s="35">
        <v>2300</v>
      </c>
      <c r="K121" s="2" t="s">
        <v>615</v>
      </c>
      <c r="L121" s="5">
        <v>15</v>
      </c>
      <c r="M121" s="5" t="s">
        <v>546</v>
      </c>
      <c r="N121" s="5">
        <v>8</v>
      </c>
      <c r="O121" s="5" t="s">
        <v>546</v>
      </c>
      <c r="P121" s="5">
        <v>7</v>
      </c>
      <c r="Q121" s="47"/>
      <c r="S121" s="35">
        <v>6302</v>
      </c>
      <c r="T121" s="2" t="s">
        <v>689</v>
      </c>
      <c r="U121" s="5">
        <v>7</v>
      </c>
      <c r="V121" s="5" t="s">
        <v>546</v>
      </c>
      <c r="W121" s="5">
        <v>3</v>
      </c>
      <c r="X121" s="5">
        <v>4</v>
      </c>
      <c r="Y121" s="5" t="s">
        <v>546</v>
      </c>
      <c r="Z121" s="5"/>
      <c r="AB121" s="21">
        <v>9004</v>
      </c>
      <c r="AC121" s="2" t="s">
        <v>332</v>
      </c>
      <c r="AD121" s="5">
        <v>4</v>
      </c>
      <c r="AE121" s="5" t="s">
        <v>546</v>
      </c>
      <c r="AF121" s="5" t="s">
        <v>546</v>
      </c>
      <c r="AG121" s="5" t="s">
        <v>546</v>
      </c>
      <c r="AH121" s="5">
        <v>4</v>
      </c>
      <c r="AK121" s="78">
        <v>3401</v>
      </c>
      <c r="AL121" s="72" t="s">
        <v>221</v>
      </c>
      <c r="AM121" s="76">
        <v>10</v>
      </c>
      <c r="AN121" s="76" t="s">
        <v>546</v>
      </c>
      <c r="AO121" s="76">
        <v>7</v>
      </c>
      <c r="AP121" s="76">
        <v>3</v>
      </c>
      <c r="AQ121" s="141"/>
      <c r="AR121" s="141"/>
      <c r="AT121" s="2045" t="s">
        <v>858</v>
      </c>
      <c r="AU121" s="2045"/>
      <c r="AV121" s="14"/>
      <c r="AW121" s="14"/>
      <c r="AX121" s="14"/>
      <c r="AY121" s="14"/>
      <c r="AZ121" s="2"/>
      <c r="BA121" s="2"/>
      <c r="BB121" s="2"/>
      <c r="BC121" s="2"/>
      <c r="BF121" s="2045" t="s">
        <v>858</v>
      </c>
      <c r="BG121" s="2045"/>
      <c r="BH121" s="14"/>
      <c r="BI121" s="14"/>
      <c r="BJ121" s="14"/>
      <c r="BK121" s="14"/>
      <c r="BL121" s="14"/>
      <c r="BM121" s="14"/>
      <c r="BN121" s="2"/>
      <c r="BO121" s="2"/>
      <c r="BR121" s="2045" t="s">
        <v>858</v>
      </c>
      <c r="BS121" s="2045"/>
      <c r="BT121" s="14"/>
      <c r="BU121" s="14"/>
      <c r="BV121" s="14"/>
      <c r="BW121" s="14"/>
      <c r="BX121" s="14"/>
      <c r="BY121" s="2"/>
      <c r="BZ121" s="2"/>
      <c r="CA121" s="2"/>
    </row>
    <row r="122" spans="10:79" ht="14.25" customHeight="1">
      <c r="J122" s="35">
        <v>2402</v>
      </c>
      <c r="K122" s="2" t="s">
        <v>616</v>
      </c>
      <c r="L122" s="47">
        <v>7562</v>
      </c>
      <c r="M122" s="47">
        <v>2156</v>
      </c>
      <c r="N122" s="47">
        <v>1558</v>
      </c>
      <c r="O122" s="47">
        <v>2549</v>
      </c>
      <c r="P122" s="47">
        <v>1299</v>
      </c>
      <c r="Q122" s="5"/>
      <c r="S122" s="35">
        <v>6402</v>
      </c>
      <c r="T122" s="2" t="s">
        <v>690</v>
      </c>
      <c r="U122" s="5">
        <v>36</v>
      </c>
      <c r="V122" s="5" t="s">
        <v>546</v>
      </c>
      <c r="W122" s="5" t="s">
        <v>546</v>
      </c>
      <c r="X122" s="5">
        <v>36</v>
      </c>
      <c r="Y122" s="5" t="s">
        <v>546</v>
      </c>
      <c r="Z122" s="5"/>
      <c r="AB122" s="21">
        <v>9006</v>
      </c>
      <c r="AC122" s="2" t="s">
        <v>375</v>
      </c>
      <c r="AD122" s="5">
        <v>13</v>
      </c>
      <c r="AE122" s="5">
        <v>13</v>
      </c>
      <c r="AF122" s="5" t="s">
        <v>546</v>
      </c>
      <c r="AG122" s="5" t="s">
        <v>546</v>
      </c>
      <c r="AH122" s="5" t="s">
        <v>546</v>
      </c>
      <c r="AK122" s="78">
        <v>3402</v>
      </c>
      <c r="AL122" s="72" t="s">
        <v>762</v>
      </c>
      <c r="AM122" s="76">
        <v>24</v>
      </c>
      <c r="AN122" s="76">
        <v>24</v>
      </c>
      <c r="AO122" s="76" t="s">
        <v>546</v>
      </c>
      <c r="AP122" s="76" t="s">
        <v>546</v>
      </c>
      <c r="AQ122" s="141"/>
      <c r="AR122" s="141"/>
      <c r="AT122" s="14"/>
      <c r="AU122" s="14"/>
      <c r="AV122" s="14"/>
      <c r="AW122" s="14"/>
      <c r="AX122" s="14"/>
      <c r="AY122" s="14"/>
      <c r="AZ122" s="2"/>
      <c r="BA122" s="2"/>
      <c r="BB122" s="2"/>
      <c r="BC122" s="2"/>
      <c r="BF122" s="14"/>
      <c r="BG122" s="14"/>
      <c r="BH122" s="14"/>
      <c r="BI122" s="14"/>
      <c r="BJ122" s="14"/>
      <c r="BK122" s="14"/>
      <c r="BL122" s="14"/>
      <c r="BM122" s="14"/>
      <c r="BN122" s="2"/>
      <c r="BO122" s="2"/>
    </row>
    <row r="123" spans="10:79" ht="12.95" customHeight="1">
      <c r="J123" s="35">
        <v>2403</v>
      </c>
      <c r="K123" s="2" t="s">
        <v>617</v>
      </c>
      <c r="L123" s="5">
        <v>322</v>
      </c>
      <c r="M123" s="5">
        <v>93</v>
      </c>
      <c r="N123" s="5">
        <v>55</v>
      </c>
      <c r="O123" s="5">
        <v>124</v>
      </c>
      <c r="P123" s="5">
        <v>50</v>
      </c>
      <c r="Q123" s="5"/>
      <c r="S123" s="35">
        <v>6500</v>
      </c>
      <c r="T123" s="2" t="s">
        <v>691</v>
      </c>
      <c r="U123" s="5">
        <v>467</v>
      </c>
      <c r="V123" s="5" t="s">
        <v>546</v>
      </c>
      <c r="W123" s="5" t="s">
        <v>546</v>
      </c>
      <c r="X123" s="5">
        <v>467</v>
      </c>
      <c r="Y123" s="5" t="s">
        <v>546</v>
      </c>
      <c r="Z123" s="47"/>
      <c r="AB123" s="21">
        <v>9101</v>
      </c>
      <c r="AC123" s="2" t="s">
        <v>693</v>
      </c>
      <c r="AD123" s="5">
        <v>95</v>
      </c>
      <c r="AE123" s="5">
        <v>36</v>
      </c>
      <c r="AF123" s="5">
        <v>6</v>
      </c>
      <c r="AG123" s="5">
        <v>22</v>
      </c>
      <c r="AH123" s="5">
        <v>31</v>
      </c>
      <c r="AK123" s="78">
        <v>3700</v>
      </c>
      <c r="AL123" s="72" t="s">
        <v>800</v>
      </c>
      <c r="AM123" s="76">
        <v>0</v>
      </c>
      <c r="AN123" s="76" t="s">
        <v>546</v>
      </c>
      <c r="AO123" s="76" t="s">
        <v>546</v>
      </c>
      <c r="AP123" s="76" t="s">
        <v>546</v>
      </c>
      <c r="AQ123" s="141"/>
      <c r="AR123" s="141"/>
      <c r="BF123" s="25"/>
      <c r="BG123" s="25"/>
      <c r="BH123" s="25"/>
      <c r="BI123" s="25"/>
      <c r="BJ123" s="25"/>
      <c r="BK123" s="25"/>
      <c r="BL123" s="25"/>
      <c r="BM123" s="25"/>
    </row>
    <row r="124" spans="10:79" ht="12.95" customHeight="1">
      <c r="J124" s="35">
        <v>2710</v>
      </c>
      <c r="K124" s="2" t="s">
        <v>618</v>
      </c>
      <c r="L124" s="5">
        <v>482</v>
      </c>
      <c r="M124" s="5">
        <v>126</v>
      </c>
      <c r="N124" s="5">
        <v>160</v>
      </c>
      <c r="O124" s="5">
        <v>110</v>
      </c>
      <c r="P124" s="5">
        <v>86</v>
      </c>
      <c r="Q124" s="5"/>
      <c r="S124" s="35">
        <v>7113</v>
      </c>
      <c r="T124" s="2" t="s">
        <v>692</v>
      </c>
      <c r="U124" s="5">
        <v>1503</v>
      </c>
      <c r="V124" s="5" t="s">
        <v>546</v>
      </c>
      <c r="W124" s="5" t="s">
        <v>546</v>
      </c>
      <c r="X124" s="5">
        <v>250</v>
      </c>
      <c r="Y124" s="47">
        <v>1253</v>
      </c>
      <c r="Z124" s="5"/>
      <c r="AB124" s="21">
        <v>9200</v>
      </c>
      <c r="AC124" s="2" t="s">
        <v>333</v>
      </c>
      <c r="AD124" s="5">
        <v>13</v>
      </c>
      <c r="AE124" s="5" t="s">
        <v>546</v>
      </c>
      <c r="AF124" s="5">
        <v>7</v>
      </c>
      <c r="AG124" s="5" t="s">
        <v>546</v>
      </c>
      <c r="AH124" s="5">
        <v>6</v>
      </c>
      <c r="AK124" s="78">
        <v>3800</v>
      </c>
      <c r="AL124" s="72" t="s">
        <v>624</v>
      </c>
      <c r="AM124" s="76">
        <v>30</v>
      </c>
      <c r="AN124" s="76">
        <v>15</v>
      </c>
      <c r="AO124" s="76">
        <v>15</v>
      </c>
      <c r="AP124" s="76" t="s">
        <v>546</v>
      </c>
      <c r="AQ124" s="141"/>
      <c r="AR124" s="141"/>
    </row>
    <row r="125" spans="10:79" ht="12" customHeight="1">
      <c r="J125" s="35">
        <v>2800</v>
      </c>
      <c r="K125" s="2" t="s">
        <v>619</v>
      </c>
      <c r="L125" s="5">
        <v>127</v>
      </c>
      <c r="M125" s="5">
        <v>45</v>
      </c>
      <c r="N125" s="5">
        <v>82</v>
      </c>
      <c r="O125" s="5" t="s">
        <v>546</v>
      </c>
      <c r="P125" s="5" t="s">
        <v>546</v>
      </c>
      <c r="Q125" s="5"/>
      <c r="S125" s="35">
        <v>8471</v>
      </c>
      <c r="T125" s="2" t="s">
        <v>329</v>
      </c>
      <c r="U125" s="5">
        <v>33</v>
      </c>
      <c r="V125" s="5" t="s">
        <v>546</v>
      </c>
      <c r="W125" s="5" t="s">
        <v>546</v>
      </c>
      <c r="X125" s="5">
        <v>33</v>
      </c>
      <c r="Y125" s="5" t="s">
        <v>546</v>
      </c>
      <c r="Z125" s="5"/>
      <c r="AB125" s="21">
        <v>9403</v>
      </c>
      <c r="AC125" s="2" t="s">
        <v>299</v>
      </c>
      <c r="AD125" s="5">
        <v>147</v>
      </c>
      <c r="AE125" s="5">
        <v>83</v>
      </c>
      <c r="AF125" s="5">
        <v>59</v>
      </c>
      <c r="AG125" s="5" t="s">
        <v>546</v>
      </c>
      <c r="AH125" s="5">
        <v>5</v>
      </c>
      <c r="AK125" s="78">
        <v>5600</v>
      </c>
      <c r="AL125" s="72" t="s">
        <v>764</v>
      </c>
      <c r="AM125" s="76">
        <v>9</v>
      </c>
      <c r="AN125" s="76" t="s">
        <v>546</v>
      </c>
      <c r="AO125" s="76">
        <v>6</v>
      </c>
      <c r="AP125" s="76">
        <v>3</v>
      </c>
      <c r="AQ125" s="141"/>
      <c r="AR125" s="141"/>
      <c r="AT125" s="2036" t="s">
        <v>899</v>
      </c>
      <c r="AU125" s="2036"/>
      <c r="AV125" s="2036"/>
      <c r="AW125" s="2036"/>
      <c r="AX125" s="2036"/>
      <c r="AY125" s="2036"/>
      <c r="AZ125" s="2"/>
      <c r="BA125" s="2"/>
      <c r="BB125" s="2"/>
      <c r="BC125" s="2"/>
      <c r="BF125" s="2036" t="s">
        <v>964</v>
      </c>
      <c r="BG125" s="2036"/>
      <c r="BH125" s="2036"/>
      <c r="BI125" s="2036"/>
      <c r="BJ125" s="2036"/>
      <c r="BK125" s="2036"/>
      <c r="BL125" s="2"/>
      <c r="BM125" s="2"/>
      <c r="BN125" s="2"/>
      <c r="BO125" s="2"/>
    </row>
    <row r="126" spans="10:79" ht="12" customHeight="1">
      <c r="J126" s="35">
        <v>2942</v>
      </c>
      <c r="K126" s="2" t="s">
        <v>620</v>
      </c>
      <c r="L126" s="5">
        <v>16</v>
      </c>
      <c r="M126" s="5">
        <v>13</v>
      </c>
      <c r="N126" s="5" t="s">
        <v>546</v>
      </c>
      <c r="O126" s="5" t="s">
        <v>546</v>
      </c>
      <c r="P126" s="5">
        <v>3</v>
      </c>
      <c r="Q126" s="5"/>
      <c r="S126" s="35">
        <v>8473</v>
      </c>
      <c r="T126" s="2" t="s">
        <v>330</v>
      </c>
      <c r="U126" s="5">
        <v>126</v>
      </c>
      <c r="V126" s="5" t="s">
        <v>546</v>
      </c>
      <c r="W126" s="5" t="s">
        <v>546</v>
      </c>
      <c r="X126" s="5">
        <v>118</v>
      </c>
      <c r="Y126" s="5">
        <v>8</v>
      </c>
      <c r="Z126" s="5"/>
      <c r="AB126" s="21">
        <v>9405</v>
      </c>
      <c r="AC126" s="2" t="s">
        <v>300</v>
      </c>
      <c r="AD126" s="5">
        <v>122</v>
      </c>
      <c r="AE126" s="5">
        <v>25</v>
      </c>
      <c r="AF126" s="5">
        <v>3</v>
      </c>
      <c r="AG126" s="5" t="s">
        <v>546</v>
      </c>
      <c r="AH126" s="5">
        <v>94</v>
      </c>
      <c r="AK126" s="78">
        <v>6302</v>
      </c>
      <c r="AL126" s="72" t="s">
        <v>325</v>
      </c>
      <c r="AM126" s="76">
        <v>14</v>
      </c>
      <c r="AN126" s="76">
        <v>14</v>
      </c>
      <c r="AO126" s="76" t="s">
        <v>546</v>
      </c>
      <c r="AP126" s="76" t="s">
        <v>546</v>
      </c>
      <c r="AQ126" s="141"/>
      <c r="AR126" s="141"/>
      <c r="AT126" s="2036" t="s">
        <v>127</v>
      </c>
      <c r="AU126" s="2036"/>
      <c r="AV126" s="2"/>
      <c r="AW126" s="2"/>
      <c r="AX126" s="2"/>
      <c r="AY126" s="2"/>
      <c r="AZ126" s="2"/>
      <c r="BA126" s="2"/>
      <c r="BB126" s="2"/>
      <c r="BC126" s="2"/>
      <c r="BF126" s="2036" t="s">
        <v>127</v>
      </c>
      <c r="BG126" s="2036"/>
      <c r="BH126" s="2"/>
      <c r="BI126" s="2"/>
      <c r="BJ126" s="2"/>
      <c r="BK126" s="2"/>
      <c r="BL126" s="2"/>
      <c r="BM126" s="2"/>
      <c r="BN126" s="2"/>
      <c r="BO126" s="2"/>
    </row>
    <row r="127" spans="10:79" ht="12.75" customHeight="1">
      <c r="J127" s="35">
        <v>3004</v>
      </c>
      <c r="K127" s="2" t="s">
        <v>621</v>
      </c>
      <c r="L127" s="5">
        <v>142</v>
      </c>
      <c r="M127" s="5">
        <v>83</v>
      </c>
      <c r="N127" s="5">
        <v>29</v>
      </c>
      <c r="O127" s="5">
        <v>26</v>
      </c>
      <c r="P127" s="5">
        <v>4</v>
      </c>
      <c r="Q127" s="5"/>
      <c r="S127" s="35">
        <v>8506</v>
      </c>
      <c r="T127" s="2" t="s">
        <v>331</v>
      </c>
      <c r="U127" s="5">
        <v>55</v>
      </c>
      <c r="V127" s="5">
        <v>33</v>
      </c>
      <c r="W127" s="5" t="s">
        <v>546</v>
      </c>
      <c r="X127" s="5" t="s">
        <v>546</v>
      </c>
      <c r="Y127" s="5">
        <v>22</v>
      </c>
      <c r="Z127" s="5"/>
      <c r="AB127" s="21">
        <v>9503</v>
      </c>
      <c r="AC127" s="2" t="s">
        <v>238</v>
      </c>
      <c r="AD127" s="5">
        <v>3</v>
      </c>
      <c r="AE127" s="5">
        <v>3</v>
      </c>
      <c r="AF127" s="5" t="s">
        <v>546</v>
      </c>
      <c r="AG127" s="5" t="s">
        <v>546</v>
      </c>
      <c r="AH127" s="5" t="s">
        <v>546</v>
      </c>
      <c r="AK127" s="78">
        <v>6310</v>
      </c>
      <c r="AL127" s="72" t="s">
        <v>765</v>
      </c>
      <c r="AM127" s="76">
        <v>3</v>
      </c>
      <c r="AN127" s="76" t="s">
        <v>546</v>
      </c>
      <c r="AO127" s="76">
        <v>3</v>
      </c>
      <c r="AP127" s="76" t="s">
        <v>546</v>
      </c>
      <c r="AQ127" s="141"/>
      <c r="AR127" s="141"/>
      <c r="AT127" s="8"/>
      <c r="AU127" s="117"/>
      <c r="AV127" s="69" t="s">
        <v>900</v>
      </c>
      <c r="AW127" s="197" t="s">
        <v>841</v>
      </c>
      <c r="AX127" s="2271" t="s">
        <v>842</v>
      </c>
      <c r="AY127" s="2261"/>
      <c r="AZ127" s="2261"/>
      <c r="BA127" s="2261"/>
      <c r="BB127" s="2261"/>
      <c r="BC127" s="2261"/>
      <c r="BF127" s="8"/>
      <c r="BG127" s="188"/>
      <c r="BH127" s="197" t="s">
        <v>965</v>
      </c>
      <c r="BI127" s="69" t="s">
        <v>841</v>
      </c>
      <c r="BJ127" s="2261" t="s">
        <v>842</v>
      </c>
      <c r="BK127" s="2261"/>
      <c r="BL127" s="2261"/>
      <c r="BM127" s="2261"/>
      <c r="BN127" s="2261"/>
      <c r="BO127" s="2261"/>
    </row>
    <row r="128" spans="10:79" ht="12.95" customHeight="1">
      <c r="J128" s="35">
        <v>3006</v>
      </c>
      <c r="K128" s="2" t="s">
        <v>317</v>
      </c>
      <c r="L128" s="5">
        <v>64</v>
      </c>
      <c r="M128" s="5">
        <v>8</v>
      </c>
      <c r="N128" s="5">
        <v>22</v>
      </c>
      <c r="O128" s="5">
        <v>12</v>
      </c>
      <c r="P128" s="5">
        <v>22</v>
      </c>
      <c r="Q128" s="5"/>
      <c r="S128" s="35">
        <v>9004</v>
      </c>
      <c r="T128" s="2" t="s">
        <v>332</v>
      </c>
      <c r="U128" s="5">
        <v>36</v>
      </c>
      <c r="V128" s="5" t="s">
        <v>546</v>
      </c>
      <c r="W128" s="5" t="s">
        <v>546</v>
      </c>
      <c r="X128" s="5" t="s">
        <v>546</v>
      </c>
      <c r="Y128" s="5">
        <v>36</v>
      </c>
      <c r="Z128" s="5"/>
      <c r="AB128" s="40">
        <v>9508</v>
      </c>
      <c r="AC128" s="10" t="s">
        <v>696</v>
      </c>
      <c r="AD128" s="11">
        <v>15</v>
      </c>
      <c r="AE128" s="11" t="s">
        <v>546</v>
      </c>
      <c r="AF128" s="11" t="s">
        <v>546</v>
      </c>
      <c r="AG128" s="11" t="s">
        <v>546</v>
      </c>
      <c r="AH128" s="11">
        <v>15</v>
      </c>
      <c r="AK128" s="78">
        <v>7000</v>
      </c>
      <c r="AL128" s="72" t="s">
        <v>766</v>
      </c>
      <c r="AM128" s="76">
        <v>31</v>
      </c>
      <c r="AN128" s="76" t="s">
        <v>546</v>
      </c>
      <c r="AO128" s="76">
        <v>31</v>
      </c>
      <c r="AP128" s="76" t="s">
        <v>546</v>
      </c>
      <c r="AQ128" s="141"/>
      <c r="AR128" s="141"/>
      <c r="AT128" s="23" t="s">
        <v>135</v>
      </c>
      <c r="AU128" s="93" t="s">
        <v>843</v>
      </c>
      <c r="AV128" s="70" t="s">
        <v>844</v>
      </c>
      <c r="AW128" s="187" t="s">
        <v>129</v>
      </c>
      <c r="AX128" s="26" t="s">
        <v>845</v>
      </c>
      <c r="AY128" s="26" t="s">
        <v>528</v>
      </c>
      <c r="AZ128" s="26" t="s">
        <v>901</v>
      </c>
      <c r="BA128" s="26" t="s">
        <v>399</v>
      </c>
      <c r="BB128" s="26" t="s">
        <v>390</v>
      </c>
      <c r="BC128" s="27" t="s">
        <v>394</v>
      </c>
      <c r="BF128" s="10" t="s">
        <v>135</v>
      </c>
      <c r="BG128" s="183" t="s">
        <v>843</v>
      </c>
      <c r="BH128" s="187" t="s">
        <v>844</v>
      </c>
      <c r="BI128" s="70" t="s">
        <v>129</v>
      </c>
      <c r="BJ128" s="26" t="s">
        <v>845</v>
      </c>
      <c r="BK128" s="26" t="s">
        <v>390</v>
      </c>
      <c r="BL128" s="26" t="s">
        <v>528</v>
      </c>
      <c r="BM128" s="26" t="s">
        <v>847</v>
      </c>
      <c r="BN128" s="26" t="s">
        <v>399</v>
      </c>
      <c r="BO128" s="27" t="s">
        <v>394</v>
      </c>
    </row>
    <row r="129" spans="10:67" ht="12.95" customHeight="1">
      <c r="J129" s="35">
        <v>3215</v>
      </c>
      <c r="K129" s="2" t="s">
        <v>374</v>
      </c>
      <c r="L129" s="5">
        <v>4</v>
      </c>
      <c r="M129" s="5" t="s">
        <v>546</v>
      </c>
      <c r="N129" s="5" t="s">
        <v>546</v>
      </c>
      <c r="O129" s="5" t="s">
        <v>546</v>
      </c>
      <c r="P129" s="5">
        <v>4</v>
      </c>
      <c r="Q129" s="5"/>
      <c r="S129" s="35">
        <v>9101</v>
      </c>
      <c r="T129" s="2" t="s">
        <v>693</v>
      </c>
      <c r="U129" s="5">
        <v>76</v>
      </c>
      <c r="V129" s="5">
        <v>48</v>
      </c>
      <c r="W129" s="5">
        <v>5</v>
      </c>
      <c r="X129" s="5">
        <v>23</v>
      </c>
      <c r="Y129" s="5" t="s">
        <v>546</v>
      </c>
      <c r="Z129" s="5"/>
      <c r="AB129" s="13" t="s">
        <v>174</v>
      </c>
      <c r="AC129" s="14"/>
      <c r="AD129" s="14"/>
      <c r="AE129" s="14"/>
      <c r="AF129" s="14"/>
      <c r="AG129" s="14"/>
      <c r="AH129" s="14"/>
      <c r="AK129" s="78">
        <v>7113</v>
      </c>
      <c r="AL129" s="72" t="s">
        <v>79</v>
      </c>
      <c r="AM129" s="76">
        <v>258</v>
      </c>
      <c r="AN129" s="76">
        <v>3</v>
      </c>
      <c r="AO129" s="76" t="s">
        <v>546</v>
      </c>
      <c r="AP129" s="76">
        <v>255</v>
      </c>
      <c r="AQ129" s="141"/>
      <c r="AR129" s="141"/>
      <c r="AT129" s="3"/>
      <c r="AU129" s="3" t="s">
        <v>129</v>
      </c>
      <c r="AV129" s="53">
        <v>8105</v>
      </c>
      <c r="AW129" s="87">
        <v>100</v>
      </c>
      <c r="AX129" s="53">
        <v>4501</v>
      </c>
      <c r="AY129" s="22">
        <v>97</v>
      </c>
      <c r="AZ129" s="22">
        <v>842</v>
      </c>
      <c r="BA129" s="53">
        <v>1307</v>
      </c>
      <c r="BB129" s="22">
        <v>594</v>
      </c>
      <c r="BC129" s="22">
        <v>763</v>
      </c>
      <c r="BF129" s="108"/>
      <c r="BG129" s="108" t="s">
        <v>129</v>
      </c>
      <c r="BH129" s="132">
        <v>9425</v>
      </c>
      <c r="BI129" s="198">
        <v>100</v>
      </c>
      <c r="BJ129" s="132">
        <v>4179</v>
      </c>
      <c r="BK129" s="132">
        <v>2273</v>
      </c>
      <c r="BL129" s="132">
        <v>1164</v>
      </c>
      <c r="BM129" s="107">
        <v>819</v>
      </c>
      <c r="BN129" s="107">
        <v>491</v>
      </c>
      <c r="BO129" s="107">
        <v>499</v>
      </c>
    </row>
    <row r="130" spans="10:67" ht="12.95" customHeight="1">
      <c r="J130" s="35">
        <v>3304</v>
      </c>
      <c r="K130" s="2" t="s">
        <v>220</v>
      </c>
      <c r="L130" s="5">
        <v>770</v>
      </c>
      <c r="M130" s="5">
        <v>446</v>
      </c>
      <c r="N130" s="5" t="s">
        <v>546</v>
      </c>
      <c r="O130" s="5">
        <v>324</v>
      </c>
      <c r="P130" s="5" t="s">
        <v>546</v>
      </c>
      <c r="Q130" s="5"/>
      <c r="S130" s="35">
        <v>9200</v>
      </c>
      <c r="T130" s="2" t="s">
        <v>333</v>
      </c>
      <c r="U130" s="2"/>
      <c r="V130" s="5"/>
      <c r="W130" s="5" t="s">
        <v>546</v>
      </c>
      <c r="X130" s="5" t="s">
        <v>546</v>
      </c>
      <c r="Y130" s="5" t="s">
        <v>546</v>
      </c>
      <c r="Z130" s="5"/>
      <c r="AB130" s="13" t="s">
        <v>637</v>
      </c>
      <c r="AC130" s="30"/>
      <c r="AD130" s="14"/>
      <c r="AE130" s="14"/>
      <c r="AF130" s="14"/>
      <c r="AG130" s="14"/>
      <c r="AH130" s="14"/>
      <c r="AK130" s="78">
        <v>7117</v>
      </c>
      <c r="AL130" s="72" t="s">
        <v>631</v>
      </c>
      <c r="AM130" s="76">
        <v>9</v>
      </c>
      <c r="AN130" s="76" t="s">
        <v>546</v>
      </c>
      <c r="AO130" s="76">
        <v>9</v>
      </c>
      <c r="AP130" s="76" t="s">
        <v>546</v>
      </c>
      <c r="AQ130" s="141"/>
      <c r="AR130" s="141"/>
      <c r="AT130" s="35">
        <v>2203</v>
      </c>
      <c r="AU130" s="2" t="s">
        <v>280</v>
      </c>
      <c r="AV130" s="47">
        <v>2356</v>
      </c>
      <c r="AW130" s="5">
        <v>29.1</v>
      </c>
      <c r="AX130" s="47">
        <v>1546</v>
      </c>
      <c r="AY130" s="5">
        <v>7</v>
      </c>
      <c r="AZ130" s="5">
        <v>178</v>
      </c>
      <c r="BA130" s="5">
        <v>596</v>
      </c>
      <c r="BB130" s="2"/>
      <c r="BC130" s="5">
        <v>27</v>
      </c>
      <c r="BF130" s="21">
        <v>2203</v>
      </c>
      <c r="BG130" s="3" t="s">
        <v>280</v>
      </c>
      <c r="BH130" s="53">
        <v>1842</v>
      </c>
      <c r="BI130" s="22">
        <v>19.5</v>
      </c>
      <c r="BJ130" s="53">
        <v>1331</v>
      </c>
      <c r="BK130" s="3"/>
      <c r="BL130" s="22">
        <v>272</v>
      </c>
      <c r="BM130" s="22">
        <v>239</v>
      </c>
      <c r="BN130" s="3"/>
      <c r="BO130" s="3"/>
    </row>
    <row r="131" spans="10:67" ht="12.95" customHeight="1">
      <c r="J131" s="35">
        <v>3401</v>
      </c>
      <c r="K131" s="2" t="s">
        <v>221</v>
      </c>
      <c r="L131" s="5">
        <v>14</v>
      </c>
      <c r="M131" s="5">
        <v>6</v>
      </c>
      <c r="N131" s="5">
        <v>8</v>
      </c>
      <c r="O131" s="5" t="s">
        <v>546</v>
      </c>
      <c r="P131" s="5" t="s">
        <v>546</v>
      </c>
      <c r="Q131" s="5"/>
      <c r="S131" s="35">
        <v>9403</v>
      </c>
      <c r="T131" s="2" t="s">
        <v>299</v>
      </c>
      <c r="U131" s="5">
        <v>46</v>
      </c>
      <c r="V131" s="5" t="s">
        <v>546</v>
      </c>
      <c r="W131" s="5">
        <v>26</v>
      </c>
      <c r="X131" s="5">
        <v>3</v>
      </c>
      <c r="Y131" s="5">
        <v>17</v>
      </c>
      <c r="Z131" s="5"/>
      <c r="AB131" s="13" t="s">
        <v>714</v>
      </c>
      <c r="AC131" s="30"/>
      <c r="AD131" s="14"/>
      <c r="AE131" s="14"/>
      <c r="AF131" s="14"/>
      <c r="AG131" s="14"/>
      <c r="AH131" s="14"/>
      <c r="AK131" s="78">
        <v>8471</v>
      </c>
      <c r="AL131" s="72" t="s">
        <v>94</v>
      </c>
      <c r="AM131" s="76">
        <v>83</v>
      </c>
      <c r="AN131" s="76" t="s">
        <v>546</v>
      </c>
      <c r="AO131" s="76">
        <v>49</v>
      </c>
      <c r="AP131" s="76">
        <v>34</v>
      </c>
      <c r="AQ131" s="141"/>
      <c r="AR131" s="141"/>
      <c r="AT131" s="35">
        <v>2402</v>
      </c>
      <c r="AU131" s="2" t="s">
        <v>616</v>
      </c>
      <c r="AV131" s="47">
        <v>1558</v>
      </c>
      <c r="AW131" s="5">
        <v>19.2</v>
      </c>
      <c r="AX131" s="47">
        <v>1022</v>
      </c>
      <c r="AY131" s="2"/>
      <c r="AZ131" s="5">
        <v>176</v>
      </c>
      <c r="BA131" s="5">
        <v>360</v>
      </c>
      <c r="BB131" s="2"/>
      <c r="BC131" s="2"/>
      <c r="BF131" s="21">
        <v>2402</v>
      </c>
      <c r="BG131" s="3" t="s">
        <v>616</v>
      </c>
      <c r="BH131" s="53">
        <v>2126</v>
      </c>
      <c r="BI131" s="22">
        <v>22.6</v>
      </c>
      <c r="BJ131" s="53">
        <v>1556</v>
      </c>
      <c r="BK131" s="3"/>
      <c r="BL131" s="22">
        <v>163</v>
      </c>
      <c r="BM131" s="22">
        <v>407</v>
      </c>
      <c r="BN131" s="3"/>
      <c r="BO131" s="3"/>
    </row>
    <row r="132" spans="10:67" ht="12.95" customHeight="1">
      <c r="J132" s="35">
        <v>3402</v>
      </c>
      <c r="K132" s="2" t="s">
        <v>622</v>
      </c>
      <c r="L132" s="5">
        <v>4</v>
      </c>
      <c r="M132" s="5" t="s">
        <v>546</v>
      </c>
      <c r="N132" s="5">
        <v>4</v>
      </c>
      <c r="O132" s="5" t="s">
        <v>546</v>
      </c>
      <c r="P132" s="5" t="s">
        <v>546</v>
      </c>
      <c r="Q132" s="5"/>
      <c r="S132" s="35">
        <v>9405</v>
      </c>
      <c r="T132" s="2" t="s">
        <v>300</v>
      </c>
      <c r="U132" s="5">
        <v>19</v>
      </c>
      <c r="V132" s="5" t="s">
        <v>546</v>
      </c>
      <c r="W132" s="5" t="s">
        <v>546</v>
      </c>
      <c r="X132" s="5" t="s">
        <v>546</v>
      </c>
      <c r="Y132" s="5">
        <v>19</v>
      </c>
      <c r="Z132" s="5"/>
      <c r="AB132" s="13" t="s">
        <v>722</v>
      </c>
      <c r="AC132" s="30"/>
      <c r="AD132" s="14"/>
      <c r="AE132" s="14"/>
      <c r="AF132" s="14"/>
      <c r="AG132" s="14"/>
      <c r="AH132" s="14"/>
      <c r="AK132" s="78">
        <v>8473</v>
      </c>
      <c r="AL132" s="72" t="s">
        <v>767</v>
      </c>
      <c r="AM132" s="76">
        <v>13</v>
      </c>
      <c r="AN132" s="76">
        <v>13</v>
      </c>
      <c r="AO132" s="76" t="s">
        <v>546</v>
      </c>
      <c r="AP132" s="76" t="s">
        <v>546</v>
      </c>
      <c r="AQ132" s="141"/>
      <c r="AR132" s="141"/>
      <c r="AT132" s="35">
        <v>8703</v>
      </c>
      <c r="AU132" s="2" t="s">
        <v>569</v>
      </c>
      <c r="AV132" s="5">
        <v>1469</v>
      </c>
      <c r="AW132" s="5">
        <v>18.100000000000001</v>
      </c>
      <c r="AX132" s="47">
        <v>1213</v>
      </c>
      <c r="AY132" s="2"/>
      <c r="AZ132" s="5">
        <v>73</v>
      </c>
      <c r="BA132" s="5">
        <v>99</v>
      </c>
      <c r="BB132" s="2"/>
      <c r="BC132" s="5">
        <v>84</v>
      </c>
      <c r="BF132" s="21">
        <v>8703</v>
      </c>
      <c r="BG132" s="3" t="s">
        <v>953</v>
      </c>
      <c r="BH132" s="53">
        <v>1388</v>
      </c>
      <c r="BI132" s="22">
        <v>14.7</v>
      </c>
      <c r="BJ132" s="22">
        <v>964</v>
      </c>
      <c r="BK132" s="3"/>
      <c r="BL132" s="22">
        <v>424</v>
      </c>
      <c r="BM132" s="3"/>
      <c r="BN132" s="3"/>
      <c r="BO132" s="3"/>
    </row>
    <row r="133" spans="10:67" ht="12.95" customHeight="1">
      <c r="J133" s="35">
        <v>3700</v>
      </c>
      <c r="K133" s="2" t="s">
        <v>623</v>
      </c>
      <c r="L133" s="5">
        <v>3</v>
      </c>
      <c r="M133" s="5" t="s">
        <v>546</v>
      </c>
      <c r="N133" s="5">
        <v>3</v>
      </c>
      <c r="O133" s="5" t="s">
        <v>546</v>
      </c>
      <c r="P133" s="5" t="s">
        <v>546</v>
      </c>
      <c r="Q133" s="5"/>
      <c r="S133" s="35">
        <v>9406</v>
      </c>
      <c r="T133" s="2" t="s">
        <v>694</v>
      </c>
      <c r="U133" s="5">
        <v>42</v>
      </c>
      <c r="V133" s="5" t="s">
        <v>546</v>
      </c>
      <c r="W133" s="5" t="s">
        <v>546</v>
      </c>
      <c r="X133" s="5">
        <v>14</v>
      </c>
      <c r="Y133" s="5">
        <v>28</v>
      </c>
      <c r="Z133" s="5"/>
      <c r="AB133" s="2"/>
      <c r="AC133" s="2"/>
      <c r="AD133" s="2"/>
      <c r="AE133" s="2"/>
      <c r="AF133" s="2"/>
      <c r="AG133" s="2"/>
      <c r="AH133" s="2"/>
      <c r="AK133" s="78">
        <v>8506</v>
      </c>
      <c r="AL133" s="72" t="s">
        <v>331</v>
      </c>
      <c r="AM133" s="76">
        <v>16</v>
      </c>
      <c r="AN133" s="76">
        <v>10</v>
      </c>
      <c r="AO133" s="76" t="s">
        <v>546</v>
      </c>
      <c r="AP133" s="76">
        <v>6</v>
      </c>
      <c r="AQ133" s="141"/>
      <c r="AR133" s="141"/>
      <c r="AT133" s="35">
        <v>7200</v>
      </c>
      <c r="AU133" s="2" t="s">
        <v>309</v>
      </c>
      <c r="AV133" s="5">
        <v>787</v>
      </c>
      <c r="AW133" s="5">
        <v>9.6999999999999993</v>
      </c>
      <c r="AX133" s="2"/>
      <c r="AY133" s="5">
        <v>6</v>
      </c>
      <c r="AZ133" s="2"/>
      <c r="BA133" s="2"/>
      <c r="BB133" s="5">
        <v>594</v>
      </c>
      <c r="BC133" s="5">
        <v>187</v>
      </c>
      <c r="BF133" s="21">
        <v>8506</v>
      </c>
      <c r="BG133" s="3" t="s">
        <v>966</v>
      </c>
      <c r="BH133" s="53">
        <v>1280</v>
      </c>
      <c r="BI133" s="22">
        <v>13.6</v>
      </c>
      <c r="BJ133" s="3"/>
      <c r="BK133" s="53">
        <v>1266</v>
      </c>
      <c r="BL133" s="22">
        <v>7</v>
      </c>
      <c r="BM133" s="22">
        <v>7</v>
      </c>
      <c r="BN133" s="3"/>
      <c r="BO133" s="3"/>
    </row>
    <row r="134" spans="10:67" ht="12.95" customHeight="1">
      <c r="J134" s="35">
        <v>3800</v>
      </c>
      <c r="K134" s="2" t="s">
        <v>624</v>
      </c>
      <c r="L134" s="5">
        <v>49</v>
      </c>
      <c r="M134" s="5">
        <v>20</v>
      </c>
      <c r="N134" s="5">
        <v>21</v>
      </c>
      <c r="O134" s="5" t="s">
        <v>546</v>
      </c>
      <c r="P134" s="5">
        <v>8</v>
      </c>
      <c r="Q134" s="5"/>
      <c r="S134" s="35">
        <v>9503</v>
      </c>
      <c r="T134" s="2" t="s">
        <v>238</v>
      </c>
      <c r="U134" s="5">
        <v>4</v>
      </c>
      <c r="V134" s="5" t="s">
        <v>546</v>
      </c>
      <c r="W134" s="5" t="s">
        <v>546</v>
      </c>
      <c r="X134" s="5">
        <v>4</v>
      </c>
      <c r="Y134" s="5" t="s">
        <v>546</v>
      </c>
      <c r="Z134" s="5"/>
      <c r="AB134" s="2"/>
      <c r="AC134" s="2"/>
      <c r="AD134" s="2"/>
      <c r="AE134" s="2"/>
      <c r="AF134" s="2"/>
      <c r="AG134" s="2"/>
      <c r="AH134" s="2"/>
      <c r="AK134" s="78">
        <v>9004</v>
      </c>
      <c r="AL134" s="72" t="s">
        <v>768</v>
      </c>
      <c r="AM134" s="76">
        <v>332</v>
      </c>
      <c r="AN134" s="76" t="s">
        <v>546</v>
      </c>
      <c r="AO134" s="76">
        <v>150</v>
      </c>
      <c r="AP134" s="76">
        <v>182</v>
      </c>
      <c r="AQ134" s="141"/>
      <c r="AR134" s="141"/>
      <c r="AT134" s="35">
        <v>2202</v>
      </c>
      <c r="AU134" s="2" t="s">
        <v>564</v>
      </c>
      <c r="AV134" s="5">
        <v>620</v>
      </c>
      <c r="AW134" s="5">
        <v>7.6</v>
      </c>
      <c r="AX134" s="5">
        <v>394</v>
      </c>
      <c r="AY134" s="5">
        <v>23</v>
      </c>
      <c r="AZ134" s="5">
        <v>64</v>
      </c>
      <c r="BA134" s="5">
        <v>139</v>
      </c>
      <c r="BB134" s="2"/>
      <c r="BC134" s="2"/>
      <c r="BF134" s="21">
        <v>7200</v>
      </c>
      <c r="BG134" s="3" t="s">
        <v>309</v>
      </c>
      <c r="BH134" s="22">
        <v>693</v>
      </c>
      <c r="BI134" s="22">
        <v>7.4</v>
      </c>
      <c r="BJ134" s="3"/>
      <c r="BK134" s="22">
        <v>150</v>
      </c>
      <c r="BL134" s="3"/>
      <c r="BM134" s="3"/>
      <c r="BN134" s="22">
        <v>491</v>
      </c>
      <c r="BO134" s="22">
        <v>52</v>
      </c>
    </row>
    <row r="135" spans="10:67" ht="12.95" customHeight="1">
      <c r="J135" s="35">
        <v>4202</v>
      </c>
      <c r="K135" s="2" t="s">
        <v>625</v>
      </c>
      <c r="L135" s="5">
        <v>198</v>
      </c>
      <c r="M135" s="5" t="s">
        <v>546</v>
      </c>
      <c r="N135" s="5" t="s">
        <v>546</v>
      </c>
      <c r="O135" s="5">
        <v>198</v>
      </c>
      <c r="P135" s="5" t="s">
        <v>546</v>
      </c>
      <c r="Q135" s="5"/>
      <c r="S135" s="35">
        <v>9506</v>
      </c>
      <c r="T135" s="2" t="s">
        <v>695</v>
      </c>
      <c r="U135" s="5">
        <v>3</v>
      </c>
      <c r="V135" s="5">
        <v>3</v>
      </c>
      <c r="W135" s="5" t="s">
        <v>546</v>
      </c>
      <c r="X135" s="5" t="s">
        <v>546</v>
      </c>
      <c r="Y135" s="5" t="s">
        <v>546</v>
      </c>
      <c r="Z135" s="5"/>
      <c r="AB135" s="2"/>
      <c r="AC135" s="2"/>
      <c r="AD135" s="2"/>
      <c r="AE135" s="2"/>
      <c r="AF135" s="2"/>
      <c r="AG135" s="2"/>
      <c r="AH135" s="2"/>
      <c r="AK135" s="78">
        <v>9006</v>
      </c>
      <c r="AL135" s="72" t="s">
        <v>801</v>
      </c>
      <c r="AM135" s="76">
        <v>12</v>
      </c>
      <c r="AN135" s="76" t="s">
        <v>546</v>
      </c>
      <c r="AO135" s="76">
        <v>12</v>
      </c>
      <c r="AP135" s="76" t="s">
        <v>546</v>
      </c>
      <c r="AQ135" s="141"/>
      <c r="AR135" s="141"/>
      <c r="AT135" s="35">
        <v>4202</v>
      </c>
      <c r="AU135" s="2" t="s">
        <v>902</v>
      </c>
      <c r="AV135" s="5">
        <v>226</v>
      </c>
      <c r="AW135" s="5">
        <v>2.8</v>
      </c>
      <c r="AX135" s="2"/>
      <c r="AY135" s="2"/>
      <c r="AZ135" s="2"/>
      <c r="BA135" s="2"/>
      <c r="BB135" s="2"/>
      <c r="BC135" s="5">
        <v>226</v>
      </c>
      <c r="BF135" s="21">
        <v>8415</v>
      </c>
      <c r="BG135" s="3" t="s">
        <v>657</v>
      </c>
      <c r="BH135" s="22">
        <v>491</v>
      </c>
      <c r="BI135" s="22">
        <v>5.2</v>
      </c>
      <c r="BJ135" s="22">
        <v>79</v>
      </c>
      <c r="BK135" s="22">
        <v>395</v>
      </c>
      <c r="BL135" s="3"/>
      <c r="BM135" s="22">
        <v>17</v>
      </c>
      <c r="BN135" s="3"/>
      <c r="BO135" s="3"/>
    </row>
    <row r="136" spans="10:67" ht="12.95" customHeight="1">
      <c r="J136" s="35">
        <v>4900</v>
      </c>
      <c r="K136" s="2" t="s">
        <v>224</v>
      </c>
      <c r="L136" s="5">
        <v>21</v>
      </c>
      <c r="M136" s="5">
        <v>5</v>
      </c>
      <c r="N136" s="5" t="s">
        <v>546</v>
      </c>
      <c r="O136" s="5">
        <v>16</v>
      </c>
      <c r="P136" s="5" t="s">
        <v>546</v>
      </c>
      <c r="Q136" s="5"/>
      <c r="S136" s="35">
        <v>9508</v>
      </c>
      <c r="T136" s="2" t="s">
        <v>696</v>
      </c>
      <c r="U136" s="5">
        <v>42</v>
      </c>
      <c r="V136" s="5" t="s">
        <v>546</v>
      </c>
      <c r="W136" s="5" t="s">
        <v>546</v>
      </c>
      <c r="X136" s="5">
        <v>42</v>
      </c>
      <c r="Y136" s="5" t="s">
        <v>546</v>
      </c>
      <c r="Z136" s="5"/>
      <c r="AB136" s="1" t="s">
        <v>723</v>
      </c>
      <c r="AC136" s="2"/>
      <c r="AD136" s="2"/>
      <c r="AE136" s="2"/>
      <c r="AF136" s="2"/>
      <c r="AG136" s="2"/>
      <c r="AH136" s="2"/>
      <c r="AK136" s="78">
        <v>9033</v>
      </c>
      <c r="AL136" s="72" t="s">
        <v>769</v>
      </c>
      <c r="AM136" s="76">
        <v>0</v>
      </c>
      <c r="AN136" s="76" t="s">
        <v>546</v>
      </c>
      <c r="AO136" s="76" t="s">
        <v>546</v>
      </c>
      <c r="AP136" s="76" t="s">
        <v>546</v>
      </c>
      <c r="AQ136" s="141"/>
      <c r="AR136" s="141"/>
      <c r="AT136" s="35">
        <v>8704</v>
      </c>
      <c r="AU136" s="2" t="s">
        <v>570</v>
      </c>
      <c r="AV136" s="5">
        <v>203</v>
      </c>
      <c r="AW136" s="5">
        <v>2.5</v>
      </c>
      <c r="AX136" s="2"/>
      <c r="AY136" s="2"/>
      <c r="AZ136" s="5">
        <v>203</v>
      </c>
      <c r="BA136" s="2"/>
      <c r="BB136" s="2"/>
      <c r="BC136" s="2"/>
      <c r="BF136" s="21">
        <v>3917</v>
      </c>
      <c r="BG136" s="3" t="s">
        <v>967</v>
      </c>
      <c r="BH136" s="22">
        <v>292</v>
      </c>
      <c r="BI136" s="22">
        <v>3.1</v>
      </c>
      <c r="BJ136" s="3"/>
      <c r="BK136" s="3"/>
      <c r="BL136" s="3"/>
      <c r="BM136" s="3"/>
      <c r="BN136" s="3"/>
      <c r="BO136" s="22">
        <v>292</v>
      </c>
    </row>
    <row r="137" spans="10:67" ht="12.95" customHeight="1">
      <c r="J137" s="35">
        <v>5500</v>
      </c>
      <c r="K137" s="2" t="s">
        <v>626</v>
      </c>
      <c r="L137" s="5">
        <v>26</v>
      </c>
      <c r="M137" s="5" t="s">
        <v>546</v>
      </c>
      <c r="N137" s="5" t="s">
        <v>546</v>
      </c>
      <c r="O137" s="5">
        <v>26</v>
      </c>
      <c r="P137" s="5" t="s">
        <v>546</v>
      </c>
      <c r="Q137" s="5"/>
      <c r="S137" s="40">
        <v>9608</v>
      </c>
      <c r="T137" s="10" t="s">
        <v>697</v>
      </c>
      <c r="U137" s="11">
        <v>26</v>
      </c>
      <c r="V137" s="11" t="s">
        <v>546</v>
      </c>
      <c r="W137" s="11">
        <v>26</v>
      </c>
      <c r="X137" s="11" t="s">
        <v>546</v>
      </c>
      <c r="Y137" s="11" t="s">
        <v>546</v>
      </c>
      <c r="Z137" s="126"/>
      <c r="AB137" s="1" t="s">
        <v>127</v>
      </c>
      <c r="AC137" s="2"/>
      <c r="AD137" s="2"/>
      <c r="AE137" s="2"/>
      <c r="AF137" s="2"/>
      <c r="AG137" s="2"/>
      <c r="AH137" s="2"/>
      <c r="AK137" s="78">
        <v>9200</v>
      </c>
      <c r="AL137" s="72" t="s">
        <v>802</v>
      </c>
      <c r="AM137" s="76">
        <v>3</v>
      </c>
      <c r="AN137" s="76" t="s">
        <v>546</v>
      </c>
      <c r="AO137" s="76" t="s">
        <v>546</v>
      </c>
      <c r="AP137" s="76">
        <v>3</v>
      </c>
      <c r="AQ137" s="141"/>
      <c r="AR137" s="141"/>
      <c r="AT137" s="35">
        <v>2208</v>
      </c>
      <c r="AU137" s="2" t="s">
        <v>282</v>
      </c>
      <c r="AV137" s="5">
        <v>137</v>
      </c>
      <c r="AW137" s="5">
        <v>1.7</v>
      </c>
      <c r="AX137" s="5">
        <v>45</v>
      </c>
      <c r="AY137" s="2"/>
      <c r="AZ137" s="5">
        <v>76</v>
      </c>
      <c r="BA137" s="5">
        <v>15</v>
      </c>
      <c r="BB137" s="2"/>
      <c r="BC137" s="2"/>
      <c r="BF137" s="21">
        <v>9101</v>
      </c>
      <c r="BG137" s="3" t="s">
        <v>905</v>
      </c>
      <c r="BH137" s="22">
        <v>0</v>
      </c>
      <c r="BI137" s="22">
        <v>0</v>
      </c>
      <c r="BJ137" s="3"/>
      <c r="BK137" s="3"/>
      <c r="BL137" s="3"/>
      <c r="BM137" s="3"/>
      <c r="BN137" s="3"/>
      <c r="BO137" s="3"/>
    </row>
    <row r="138" spans="10:67" ht="12" customHeight="1">
      <c r="J138" s="35">
        <v>5600</v>
      </c>
      <c r="K138" s="2" t="s">
        <v>627</v>
      </c>
      <c r="L138" s="5">
        <v>5</v>
      </c>
      <c r="M138" s="5" t="s">
        <v>546</v>
      </c>
      <c r="N138" s="5" t="s">
        <v>546</v>
      </c>
      <c r="O138" s="5">
        <v>5</v>
      </c>
      <c r="P138" s="5" t="s">
        <v>546</v>
      </c>
      <c r="Q138" s="22"/>
      <c r="S138" s="2320" t="s">
        <v>638</v>
      </c>
      <c r="T138" s="2320"/>
      <c r="U138" s="2320"/>
      <c r="V138" s="2320"/>
      <c r="W138" s="2320"/>
      <c r="X138" s="2320"/>
      <c r="Y138" s="2320"/>
      <c r="Z138" s="127"/>
      <c r="AB138" s="130"/>
      <c r="AC138" s="8"/>
      <c r="AD138" s="107" t="s">
        <v>119</v>
      </c>
      <c r="AE138" s="96" t="s">
        <v>540</v>
      </c>
      <c r="AF138" s="107" t="s">
        <v>541</v>
      </c>
      <c r="AG138" s="96" t="s">
        <v>542</v>
      </c>
      <c r="AH138" s="107" t="s">
        <v>724</v>
      </c>
      <c r="AK138" s="78">
        <v>9403</v>
      </c>
      <c r="AL138" s="72" t="s">
        <v>299</v>
      </c>
      <c r="AM138" s="76">
        <v>80</v>
      </c>
      <c r="AN138" s="76">
        <v>51</v>
      </c>
      <c r="AO138" s="76">
        <v>29</v>
      </c>
      <c r="AP138" s="76" t="s">
        <v>546</v>
      </c>
      <c r="AQ138" s="141"/>
      <c r="AR138" s="141"/>
      <c r="AT138" s="35">
        <v>6800</v>
      </c>
      <c r="AU138" s="2" t="s">
        <v>903</v>
      </c>
      <c r="AV138" s="5">
        <v>115</v>
      </c>
      <c r="AW138" s="5">
        <v>1.4</v>
      </c>
      <c r="AX138" s="5">
        <v>3</v>
      </c>
      <c r="AY138" s="2"/>
      <c r="AZ138" s="2"/>
      <c r="BA138" s="2"/>
      <c r="BB138" s="2"/>
      <c r="BC138" s="5">
        <v>112</v>
      </c>
      <c r="BF138" s="21">
        <v>7602</v>
      </c>
      <c r="BG138" s="3" t="s">
        <v>713</v>
      </c>
      <c r="BH138" s="22">
        <v>225</v>
      </c>
      <c r="BI138" s="22">
        <v>2.4</v>
      </c>
      <c r="BJ138" s="3"/>
      <c r="BK138" s="22">
        <v>225</v>
      </c>
      <c r="BL138" s="3"/>
      <c r="BM138" s="3"/>
      <c r="BN138" s="3"/>
      <c r="BO138" s="3"/>
    </row>
    <row r="139" spans="10:67" ht="12" customHeight="1">
      <c r="J139" s="21">
        <v>5900</v>
      </c>
      <c r="K139" s="3" t="s">
        <v>628</v>
      </c>
      <c r="L139" s="22">
        <v>3</v>
      </c>
      <c r="M139" s="22" t="s">
        <v>546</v>
      </c>
      <c r="N139" s="22" t="s">
        <v>546</v>
      </c>
      <c r="O139" s="22">
        <v>3</v>
      </c>
      <c r="P139" s="22" t="s">
        <v>546</v>
      </c>
      <c r="Q139" s="22"/>
      <c r="S139" s="126" t="s">
        <v>489</v>
      </c>
      <c r="T139" s="126"/>
      <c r="U139" s="127"/>
      <c r="V139" s="127"/>
      <c r="W139" s="127"/>
      <c r="X139" s="127"/>
      <c r="Y139" s="127"/>
      <c r="Z139" s="14"/>
      <c r="AB139" s="111" t="s">
        <v>135</v>
      </c>
      <c r="AC139" s="10" t="s">
        <v>136</v>
      </c>
      <c r="AD139" s="29" t="s">
        <v>544</v>
      </c>
      <c r="AE139" s="97" t="s">
        <v>45</v>
      </c>
      <c r="AF139" s="29" t="s">
        <v>44</v>
      </c>
      <c r="AG139" s="97" t="s">
        <v>43</v>
      </c>
      <c r="AH139" s="29" t="s">
        <v>42</v>
      </c>
      <c r="AK139" s="78">
        <v>9405</v>
      </c>
      <c r="AL139" s="72" t="s">
        <v>770</v>
      </c>
      <c r="AM139" s="76">
        <v>0</v>
      </c>
      <c r="AN139" s="76" t="s">
        <v>546</v>
      </c>
      <c r="AO139" s="76" t="s">
        <v>546</v>
      </c>
      <c r="AP139" s="76" t="s">
        <v>546</v>
      </c>
      <c r="AQ139" s="141"/>
      <c r="AR139" s="141"/>
      <c r="AT139" s="35">
        <v>8516</v>
      </c>
      <c r="AU139" s="2" t="s">
        <v>904</v>
      </c>
      <c r="AV139" s="5">
        <v>79</v>
      </c>
      <c r="AW139" s="88">
        <v>1</v>
      </c>
      <c r="AX139" s="5">
        <v>68</v>
      </c>
      <c r="AY139" s="2"/>
      <c r="AZ139" s="5">
        <v>11</v>
      </c>
      <c r="BA139" s="2"/>
      <c r="BB139" s="2"/>
      <c r="BC139" s="2"/>
      <c r="BF139" s="21">
        <v>7404</v>
      </c>
      <c r="BG139" s="3" t="s">
        <v>968</v>
      </c>
      <c r="BH139" s="22">
        <v>168</v>
      </c>
      <c r="BI139" s="22">
        <v>1.8</v>
      </c>
      <c r="BJ139" s="22">
        <v>76</v>
      </c>
      <c r="BK139" s="22">
        <v>49</v>
      </c>
      <c r="BL139" s="3"/>
      <c r="BM139" s="3"/>
      <c r="BN139" s="3"/>
      <c r="BO139" s="22">
        <v>43</v>
      </c>
    </row>
    <row r="140" spans="10:67" ht="12.75" customHeight="1">
      <c r="J140" s="21">
        <v>6217</v>
      </c>
      <c r="K140" s="3" t="s">
        <v>629</v>
      </c>
      <c r="L140" s="22">
        <v>8</v>
      </c>
      <c r="M140" s="22" t="s">
        <v>546</v>
      </c>
      <c r="N140" s="22" t="s">
        <v>546</v>
      </c>
      <c r="O140" s="22">
        <v>8</v>
      </c>
      <c r="P140" s="22" t="s">
        <v>546</v>
      </c>
      <c r="Q140" s="22"/>
      <c r="S140" s="127" t="s">
        <v>637</v>
      </c>
      <c r="T140" s="127"/>
      <c r="U140" s="127"/>
      <c r="V140" s="127"/>
      <c r="W140" s="127"/>
      <c r="X140" s="14"/>
      <c r="Y140" s="14"/>
      <c r="AB140" s="108"/>
      <c r="AC140" s="108" t="s">
        <v>545</v>
      </c>
      <c r="AD140" s="132">
        <v>43132</v>
      </c>
      <c r="AE140" s="132">
        <v>10259</v>
      </c>
      <c r="AF140" s="132">
        <v>13181</v>
      </c>
      <c r="AG140" s="132">
        <v>11338</v>
      </c>
      <c r="AH140" s="132">
        <v>8354</v>
      </c>
      <c r="AK140" s="78">
        <v>9406</v>
      </c>
      <c r="AL140" s="72" t="s">
        <v>694</v>
      </c>
      <c r="AM140" s="76">
        <v>13</v>
      </c>
      <c r="AN140" s="76" t="s">
        <v>546</v>
      </c>
      <c r="AO140" s="76">
        <v>13</v>
      </c>
      <c r="AP140" s="76" t="s">
        <v>546</v>
      </c>
      <c r="AQ140" s="141"/>
      <c r="AR140" s="141"/>
      <c r="AT140" s="35">
        <v>7308</v>
      </c>
      <c r="AU140" s="2" t="s">
        <v>603</v>
      </c>
      <c r="AV140" s="5">
        <v>79</v>
      </c>
      <c r="AW140" s="88">
        <v>1</v>
      </c>
      <c r="AX140" s="2"/>
      <c r="AY140" s="2"/>
      <c r="AZ140" s="2"/>
      <c r="BA140" s="2"/>
      <c r="BB140" s="2"/>
      <c r="BC140" s="5">
        <v>79</v>
      </c>
      <c r="BF140" s="21">
        <v>2208</v>
      </c>
      <c r="BG140" s="3" t="s">
        <v>365</v>
      </c>
      <c r="BH140" s="22">
        <v>149</v>
      </c>
      <c r="BI140" s="22">
        <v>1.6</v>
      </c>
      <c r="BJ140" s="22">
        <v>25</v>
      </c>
      <c r="BK140" s="3"/>
      <c r="BL140" s="22">
        <v>103</v>
      </c>
      <c r="BM140" s="22">
        <v>21</v>
      </c>
      <c r="BN140" s="3"/>
      <c r="BO140" s="3"/>
    </row>
    <row r="141" spans="10:67" ht="12.95" customHeight="1">
      <c r="J141" s="21">
        <v>6700</v>
      </c>
      <c r="K141" s="3" t="s">
        <v>630</v>
      </c>
      <c r="L141" s="22">
        <v>10</v>
      </c>
      <c r="M141" s="22">
        <v>6</v>
      </c>
      <c r="N141" s="22" t="s">
        <v>546</v>
      </c>
      <c r="O141" s="22">
        <v>4</v>
      </c>
      <c r="P141" s="22" t="s">
        <v>546</v>
      </c>
      <c r="Q141" s="22"/>
      <c r="AB141" s="2"/>
      <c r="AC141" s="6" t="s">
        <v>352</v>
      </c>
      <c r="AD141" s="47">
        <v>2078</v>
      </c>
      <c r="AE141" s="5">
        <v>433</v>
      </c>
      <c r="AF141" s="5">
        <v>649</v>
      </c>
      <c r="AG141" s="5">
        <v>728</v>
      </c>
      <c r="AH141" s="5">
        <v>268</v>
      </c>
      <c r="AK141" s="78">
        <v>9503</v>
      </c>
      <c r="AL141" s="72" t="s">
        <v>238</v>
      </c>
      <c r="AM141" s="76">
        <v>7</v>
      </c>
      <c r="AN141" s="76" t="s">
        <v>546</v>
      </c>
      <c r="AO141" s="76" t="s">
        <v>546</v>
      </c>
      <c r="AP141" s="76">
        <v>7</v>
      </c>
      <c r="AQ141" s="141"/>
      <c r="AR141" s="141"/>
      <c r="AT141" s="35">
        <v>2403</v>
      </c>
      <c r="AU141" s="2" t="s">
        <v>617</v>
      </c>
      <c r="AV141" s="5">
        <v>65</v>
      </c>
      <c r="AW141" s="5">
        <v>0.8</v>
      </c>
      <c r="AX141" s="5">
        <v>65</v>
      </c>
      <c r="AY141" s="2"/>
      <c r="AZ141" s="2"/>
      <c r="BA141" s="2"/>
      <c r="BB141" s="2"/>
      <c r="BC141" s="2"/>
      <c r="BF141" s="21">
        <v>2202</v>
      </c>
      <c r="BG141" s="3" t="s">
        <v>889</v>
      </c>
      <c r="BH141" s="22">
        <v>224</v>
      </c>
      <c r="BI141" s="22">
        <v>2.4</v>
      </c>
      <c r="BJ141" s="22">
        <v>17</v>
      </c>
      <c r="BK141" s="22">
        <v>7</v>
      </c>
      <c r="BL141" s="3"/>
      <c r="BM141" s="22">
        <v>88</v>
      </c>
      <c r="BN141" s="3"/>
      <c r="BO141" s="22">
        <v>112</v>
      </c>
    </row>
    <row r="142" spans="10:67" ht="12.95" customHeight="1">
      <c r="J142" s="21">
        <v>7113</v>
      </c>
      <c r="K142" s="3" t="s">
        <v>229</v>
      </c>
      <c r="L142" s="22">
        <v>15</v>
      </c>
      <c r="M142" s="22">
        <v>15</v>
      </c>
      <c r="N142" s="22" t="s">
        <v>546</v>
      </c>
      <c r="O142" s="22" t="s">
        <v>546</v>
      </c>
      <c r="P142" s="22" t="s">
        <v>546</v>
      </c>
      <c r="Q142" s="22"/>
      <c r="AB142" s="65" t="s">
        <v>338</v>
      </c>
      <c r="AC142" s="2" t="s">
        <v>640</v>
      </c>
      <c r="AD142" s="5">
        <v>111</v>
      </c>
      <c r="AE142" s="5">
        <v>15</v>
      </c>
      <c r="AF142" s="5">
        <v>65</v>
      </c>
      <c r="AG142" s="5">
        <v>28</v>
      </c>
      <c r="AH142" s="5">
        <v>3</v>
      </c>
      <c r="AK142" s="78">
        <v>9506</v>
      </c>
      <c r="AL142" s="72" t="s">
        <v>803</v>
      </c>
      <c r="AM142" s="76">
        <v>34</v>
      </c>
      <c r="AN142" s="76">
        <v>31</v>
      </c>
      <c r="AO142" s="76">
        <v>3</v>
      </c>
      <c r="AP142" s="76" t="s">
        <v>546</v>
      </c>
      <c r="AQ142" s="141"/>
      <c r="AR142" s="141"/>
      <c r="AT142" s="35">
        <v>8418</v>
      </c>
      <c r="AU142" s="2" t="s">
        <v>659</v>
      </c>
      <c r="AV142" s="5">
        <v>63</v>
      </c>
      <c r="AW142" s="5">
        <v>0.8</v>
      </c>
      <c r="AX142" s="2"/>
      <c r="AY142" s="2"/>
      <c r="AZ142" s="2"/>
      <c r="BA142" s="5">
        <v>61</v>
      </c>
      <c r="BB142" s="2"/>
      <c r="BC142" s="5">
        <v>3</v>
      </c>
      <c r="BF142" s="21">
        <v>7308</v>
      </c>
      <c r="BG142" s="3" t="s">
        <v>666</v>
      </c>
      <c r="BH142" s="22">
        <v>0</v>
      </c>
      <c r="BI142" s="22">
        <v>0</v>
      </c>
      <c r="BJ142" s="3"/>
      <c r="BK142" s="3"/>
      <c r="BL142" s="3"/>
      <c r="BM142" s="3"/>
      <c r="BN142" s="3"/>
      <c r="BO142" s="3"/>
    </row>
    <row r="143" spans="10:67" ht="12" customHeight="1">
      <c r="J143" s="21">
        <v>7117</v>
      </c>
      <c r="K143" s="3" t="s">
        <v>631</v>
      </c>
      <c r="L143" s="22">
        <v>127</v>
      </c>
      <c r="M143" s="22" t="s">
        <v>546</v>
      </c>
      <c r="N143" s="22" t="s">
        <v>546</v>
      </c>
      <c r="O143" s="22" t="s">
        <v>546</v>
      </c>
      <c r="P143" s="22">
        <v>127</v>
      </c>
      <c r="Q143" s="22"/>
      <c r="AB143" s="56" t="s">
        <v>339</v>
      </c>
      <c r="AC143" s="2" t="s">
        <v>247</v>
      </c>
      <c r="AD143" s="5">
        <v>154</v>
      </c>
      <c r="AE143" s="5">
        <v>18</v>
      </c>
      <c r="AF143" s="5">
        <v>51</v>
      </c>
      <c r="AG143" s="5">
        <v>35</v>
      </c>
      <c r="AH143" s="5">
        <v>50</v>
      </c>
      <c r="AK143" s="154">
        <v>9700</v>
      </c>
      <c r="AL143" s="81" t="s">
        <v>804</v>
      </c>
      <c r="AM143" s="83">
        <v>141</v>
      </c>
      <c r="AN143" s="83">
        <v>6</v>
      </c>
      <c r="AO143" s="83">
        <v>135</v>
      </c>
      <c r="AP143" s="83" t="s">
        <v>546</v>
      </c>
      <c r="AQ143" s="155"/>
      <c r="AR143" s="141"/>
      <c r="AT143" s="35">
        <v>7800</v>
      </c>
      <c r="AU143" s="2" t="s">
        <v>611</v>
      </c>
      <c r="AV143" s="5">
        <v>61</v>
      </c>
      <c r="AW143" s="5">
        <v>0.8</v>
      </c>
      <c r="AX143" s="2"/>
      <c r="AY143" s="5">
        <v>61</v>
      </c>
      <c r="AZ143" s="2"/>
      <c r="BA143" s="2"/>
      <c r="BB143" s="2"/>
      <c r="BC143" s="2"/>
      <c r="BF143" s="21">
        <v>7800</v>
      </c>
      <c r="BG143" s="3" t="s">
        <v>672</v>
      </c>
      <c r="BH143" s="22">
        <v>109</v>
      </c>
      <c r="BI143" s="22">
        <v>1.2</v>
      </c>
      <c r="BJ143" s="3"/>
      <c r="BK143" s="22">
        <v>109</v>
      </c>
      <c r="BL143" s="3"/>
      <c r="BM143" s="3"/>
      <c r="BN143" s="3"/>
      <c r="BO143" s="3"/>
    </row>
    <row r="144" spans="10:67" ht="12" customHeight="1">
      <c r="J144" s="21">
        <v>8471</v>
      </c>
      <c r="K144" s="3" t="s">
        <v>94</v>
      </c>
      <c r="L144" s="22">
        <v>4</v>
      </c>
      <c r="M144" s="22" t="s">
        <v>546</v>
      </c>
      <c r="N144" s="22" t="s">
        <v>546</v>
      </c>
      <c r="O144" s="22" t="s">
        <v>546</v>
      </c>
      <c r="P144" s="22">
        <v>4</v>
      </c>
      <c r="Q144" s="22"/>
      <c r="AB144" s="56" t="s">
        <v>698</v>
      </c>
      <c r="AC144" s="2" t="s">
        <v>725</v>
      </c>
      <c r="AD144" s="5">
        <v>17</v>
      </c>
      <c r="AE144" s="5" t="s">
        <v>546</v>
      </c>
      <c r="AF144" s="5">
        <v>17</v>
      </c>
      <c r="AG144" s="5" t="s">
        <v>546</v>
      </c>
      <c r="AH144" s="5" t="s">
        <v>546</v>
      </c>
      <c r="AK144" s="84" t="s">
        <v>174</v>
      </c>
      <c r="AL144" s="85"/>
      <c r="AM144" s="85"/>
      <c r="AN144" s="85"/>
      <c r="AO144" s="85"/>
      <c r="AP144" s="85"/>
      <c r="AQ144" s="155"/>
      <c r="AR144" s="141"/>
      <c r="AT144" s="65" t="s">
        <v>338</v>
      </c>
      <c r="AU144" s="2" t="s">
        <v>640</v>
      </c>
      <c r="AV144" s="5">
        <v>56</v>
      </c>
      <c r="AW144" s="5">
        <v>0.7</v>
      </c>
      <c r="AX144" s="5">
        <v>56</v>
      </c>
      <c r="AY144" s="2"/>
      <c r="AZ144" s="2"/>
      <c r="BA144" s="2"/>
      <c r="BB144" s="2"/>
      <c r="BC144" s="2"/>
      <c r="BF144" s="21">
        <v>2204</v>
      </c>
      <c r="BG144" s="3" t="s">
        <v>281</v>
      </c>
      <c r="BH144" s="22">
        <v>24</v>
      </c>
      <c r="BI144" s="22">
        <v>0.3</v>
      </c>
      <c r="BJ144" s="22">
        <v>18</v>
      </c>
      <c r="BK144" s="3"/>
      <c r="BL144" s="3"/>
      <c r="BM144" s="22">
        <v>6</v>
      </c>
      <c r="BN144" s="3"/>
      <c r="BO144" s="3"/>
    </row>
    <row r="145" spans="10:68" ht="12" customHeight="1">
      <c r="J145" s="56">
        <v>8506</v>
      </c>
      <c r="K145" s="3" t="s">
        <v>331</v>
      </c>
      <c r="L145" s="22">
        <v>339</v>
      </c>
      <c r="M145" s="22">
        <v>140</v>
      </c>
      <c r="N145" s="22">
        <v>56</v>
      </c>
      <c r="O145" s="22">
        <v>76</v>
      </c>
      <c r="P145" s="22">
        <v>67</v>
      </c>
      <c r="Q145" s="22"/>
      <c r="AB145" s="56" t="s">
        <v>340</v>
      </c>
      <c r="AC145" s="2" t="s">
        <v>435</v>
      </c>
      <c r="AD145" s="5">
        <v>78</v>
      </c>
      <c r="AE145" s="5">
        <v>36</v>
      </c>
      <c r="AF145" s="5">
        <v>17</v>
      </c>
      <c r="AG145" s="5">
        <v>17</v>
      </c>
      <c r="AH145" s="5">
        <v>8</v>
      </c>
      <c r="AK145" s="84" t="s">
        <v>637</v>
      </c>
      <c r="AL145" s="156"/>
      <c r="AM145" s="85"/>
      <c r="AN145" s="85"/>
      <c r="AO145" s="85"/>
      <c r="AP145" s="85"/>
      <c r="AQ145" s="155"/>
      <c r="AR145" s="141"/>
      <c r="AT145" s="35">
        <v>3208</v>
      </c>
      <c r="AU145" s="2" t="s">
        <v>595</v>
      </c>
      <c r="AV145" s="5">
        <v>49</v>
      </c>
      <c r="AW145" s="5">
        <v>0.6</v>
      </c>
      <c r="AX145" s="5">
        <v>37</v>
      </c>
      <c r="AY145" s="2"/>
      <c r="AZ145" s="5">
        <v>9</v>
      </c>
      <c r="BA145" s="5">
        <v>4</v>
      </c>
      <c r="BB145" s="2"/>
      <c r="BC145" s="2"/>
      <c r="BF145" s="21">
        <v>2710</v>
      </c>
      <c r="BG145" s="3" t="s">
        <v>618</v>
      </c>
      <c r="BH145" s="22">
        <v>103</v>
      </c>
      <c r="BI145" s="22">
        <v>1.1000000000000001</v>
      </c>
      <c r="BJ145" s="22">
        <v>26</v>
      </c>
      <c r="BK145" s="3"/>
      <c r="BL145" s="22">
        <v>77</v>
      </c>
      <c r="BM145" s="3"/>
      <c r="BN145" s="3"/>
      <c r="BO145" s="3"/>
    </row>
    <row r="146" spans="10:68" ht="12" customHeight="1">
      <c r="J146" s="21">
        <v>9004</v>
      </c>
      <c r="K146" s="3" t="s">
        <v>232</v>
      </c>
      <c r="L146" s="22">
        <v>6</v>
      </c>
      <c r="M146" s="22">
        <v>6</v>
      </c>
      <c r="N146" s="22" t="s">
        <v>546</v>
      </c>
      <c r="O146" s="22" t="s">
        <v>546</v>
      </c>
      <c r="P146" s="22" t="s">
        <v>546</v>
      </c>
      <c r="Q146" s="22"/>
      <c r="AB146" s="56" t="s">
        <v>342</v>
      </c>
      <c r="AC146" s="2" t="s">
        <v>250</v>
      </c>
      <c r="AD146" s="5">
        <v>40</v>
      </c>
      <c r="AE146" s="5">
        <v>8</v>
      </c>
      <c r="AF146" s="5">
        <v>14</v>
      </c>
      <c r="AG146" s="5">
        <v>18</v>
      </c>
      <c r="AH146" s="5" t="s">
        <v>546</v>
      </c>
      <c r="AK146" s="84" t="s">
        <v>714</v>
      </c>
      <c r="AL146" s="156"/>
      <c r="AM146" s="85"/>
      <c r="AN146" s="85"/>
      <c r="AO146" s="85"/>
      <c r="AP146" s="85"/>
      <c r="AQ146" s="134"/>
      <c r="AR146" s="134"/>
      <c r="AT146" s="35">
        <v>9101</v>
      </c>
      <c r="AU146" s="2" t="s">
        <v>905</v>
      </c>
      <c r="AV146" s="5">
        <v>48</v>
      </c>
      <c r="AW146" s="5">
        <v>0.6</v>
      </c>
      <c r="AX146" s="2"/>
      <c r="AY146" s="2"/>
      <c r="AZ146" s="2"/>
      <c r="BA146" s="5">
        <v>3</v>
      </c>
      <c r="BB146" s="2"/>
      <c r="BC146" s="5">
        <v>45</v>
      </c>
      <c r="BF146" s="21">
        <v>4011</v>
      </c>
      <c r="BG146" s="3" t="s">
        <v>567</v>
      </c>
      <c r="BH146" s="22">
        <v>56</v>
      </c>
      <c r="BI146" s="22">
        <v>0.6</v>
      </c>
      <c r="BJ146" s="22">
        <v>4</v>
      </c>
      <c r="BK146" s="3"/>
      <c r="BL146" s="22">
        <v>52</v>
      </c>
      <c r="BM146" s="3"/>
      <c r="BN146" s="3"/>
      <c r="BO146" s="3"/>
    </row>
    <row r="147" spans="10:68" ht="12" customHeight="1">
      <c r="J147" s="21">
        <v>9033</v>
      </c>
      <c r="K147" s="3" t="s">
        <v>632</v>
      </c>
      <c r="L147" s="22">
        <v>223</v>
      </c>
      <c r="M147" s="22">
        <v>208</v>
      </c>
      <c r="N147" s="22">
        <v>15</v>
      </c>
      <c r="O147" s="22" t="s">
        <v>546</v>
      </c>
      <c r="P147" s="22" t="s">
        <v>546</v>
      </c>
      <c r="Q147" s="22"/>
      <c r="AB147" s="56" t="s">
        <v>343</v>
      </c>
      <c r="AC147" s="2" t="s">
        <v>726</v>
      </c>
      <c r="AD147" s="5">
        <v>10</v>
      </c>
      <c r="AE147" s="5">
        <v>4</v>
      </c>
      <c r="AF147" s="5" t="s">
        <v>546</v>
      </c>
      <c r="AG147" s="5">
        <v>6</v>
      </c>
      <c r="AH147" s="5" t="s">
        <v>546</v>
      </c>
      <c r="AK147" s="84"/>
      <c r="AL147" s="156"/>
      <c r="AM147" s="85"/>
      <c r="AN147" s="85"/>
      <c r="AO147" s="85"/>
      <c r="AP147" s="85"/>
      <c r="AQ147" s="134"/>
      <c r="AR147" s="134"/>
      <c r="AT147" s="35">
        <v>2710</v>
      </c>
      <c r="AU147" s="2" t="s">
        <v>618</v>
      </c>
      <c r="AV147" s="5">
        <v>47</v>
      </c>
      <c r="AW147" s="5">
        <v>0.6</v>
      </c>
      <c r="AX147" s="5">
        <v>38</v>
      </c>
      <c r="AY147" s="2"/>
      <c r="AZ147" s="5">
        <v>9</v>
      </c>
      <c r="BA147" s="2"/>
      <c r="BB147" s="2"/>
      <c r="BC147" s="2"/>
      <c r="BF147" s="21">
        <v>6403</v>
      </c>
      <c r="BG147" s="3" t="s">
        <v>591</v>
      </c>
      <c r="BH147" s="22">
        <v>132</v>
      </c>
      <c r="BI147" s="22">
        <v>1.4</v>
      </c>
      <c r="BJ147" s="22">
        <v>22</v>
      </c>
      <c r="BK147" s="22">
        <v>10</v>
      </c>
      <c r="BL147" s="22">
        <v>66</v>
      </c>
      <c r="BM147" s="22">
        <v>34</v>
      </c>
      <c r="BN147" s="3"/>
      <c r="BO147" s="3"/>
    </row>
    <row r="148" spans="10:68" ht="12" customHeight="1">
      <c r="J148" s="21">
        <v>9101</v>
      </c>
      <c r="K148" s="3" t="s">
        <v>234</v>
      </c>
      <c r="L148" s="22">
        <v>891</v>
      </c>
      <c r="M148" s="22">
        <v>341</v>
      </c>
      <c r="N148" s="22" t="s">
        <v>546</v>
      </c>
      <c r="O148" s="22">
        <v>550</v>
      </c>
      <c r="P148" s="22" t="s">
        <v>546</v>
      </c>
      <c r="Q148" s="22"/>
      <c r="AB148" s="56" t="s">
        <v>344</v>
      </c>
      <c r="AC148" s="2" t="s">
        <v>727</v>
      </c>
      <c r="AD148" s="5">
        <v>14</v>
      </c>
      <c r="AE148" s="5">
        <v>4</v>
      </c>
      <c r="AF148" s="5" t="s">
        <v>546</v>
      </c>
      <c r="AG148" s="5">
        <v>10</v>
      </c>
      <c r="AH148" s="5" t="s">
        <v>546</v>
      </c>
      <c r="AK148" s="133"/>
      <c r="AL148" s="133"/>
      <c r="AM148" s="133"/>
      <c r="AN148" s="133"/>
      <c r="AO148" s="133"/>
      <c r="AP148" s="133"/>
      <c r="AQ148" s="141"/>
      <c r="AR148" s="134"/>
      <c r="AT148" s="35">
        <v>2204</v>
      </c>
      <c r="AU148" s="2" t="s">
        <v>281</v>
      </c>
      <c r="AV148" s="5">
        <v>44</v>
      </c>
      <c r="AW148" s="5">
        <v>0.5</v>
      </c>
      <c r="AX148" s="5">
        <v>14</v>
      </c>
      <c r="AY148" s="2"/>
      <c r="AZ148" s="2"/>
      <c r="BA148" s="5">
        <v>30</v>
      </c>
      <c r="BB148" s="2"/>
      <c r="BC148" s="2"/>
      <c r="BF148" s="21">
        <v>4819</v>
      </c>
      <c r="BG148" s="3" t="s">
        <v>717</v>
      </c>
      <c r="BH148" s="22">
        <v>65</v>
      </c>
      <c r="BI148" s="22">
        <v>0.7</v>
      </c>
      <c r="BJ148" s="22">
        <v>3</v>
      </c>
      <c r="BK148" s="22">
        <v>62</v>
      </c>
      <c r="BL148" s="3"/>
      <c r="BM148" s="3"/>
      <c r="BN148" s="3"/>
      <c r="BO148" s="3"/>
    </row>
    <row r="149" spans="10:68" ht="12" customHeight="1">
      <c r="J149" s="21">
        <v>9403</v>
      </c>
      <c r="K149" s="3" t="s">
        <v>633</v>
      </c>
      <c r="L149" s="22">
        <v>10</v>
      </c>
      <c r="M149" s="22" t="s">
        <v>546</v>
      </c>
      <c r="N149" s="22" t="s">
        <v>546</v>
      </c>
      <c r="O149" s="22">
        <v>10</v>
      </c>
      <c r="P149" s="22" t="s">
        <v>546</v>
      </c>
      <c r="Q149" s="22"/>
      <c r="AB149" s="56" t="s">
        <v>699</v>
      </c>
      <c r="AC149" s="2" t="s">
        <v>728</v>
      </c>
      <c r="AD149" s="5">
        <v>23</v>
      </c>
      <c r="AE149" s="5">
        <v>20</v>
      </c>
      <c r="AF149" s="5">
        <v>3</v>
      </c>
      <c r="AG149" s="5" t="s">
        <v>546</v>
      </c>
      <c r="AH149" s="5" t="s">
        <v>546</v>
      </c>
      <c r="AK149" s="133"/>
      <c r="AL149" s="133"/>
      <c r="AM149" s="133"/>
      <c r="AN149" s="133"/>
      <c r="AO149" s="133"/>
      <c r="AP149" s="133"/>
      <c r="AQ149" s="141"/>
      <c r="AR149" s="134"/>
      <c r="AT149" s="190" t="s">
        <v>343</v>
      </c>
      <c r="AU149" s="10" t="s">
        <v>550</v>
      </c>
      <c r="AV149" s="11">
        <v>43</v>
      </c>
      <c r="AW149" s="11">
        <v>0.5</v>
      </c>
      <c r="AX149" s="10"/>
      <c r="AY149" s="10"/>
      <c r="AZ149" s="11">
        <v>43</v>
      </c>
      <c r="BA149" s="10"/>
      <c r="BB149" s="10"/>
      <c r="BC149" s="10"/>
      <c r="BF149" s="40">
        <v>2403</v>
      </c>
      <c r="BG149" s="23" t="s">
        <v>617</v>
      </c>
      <c r="BH149" s="29">
        <v>58</v>
      </c>
      <c r="BI149" s="29">
        <v>0.6</v>
      </c>
      <c r="BJ149" s="29">
        <v>58</v>
      </c>
      <c r="BK149" s="23"/>
      <c r="BL149" s="23"/>
      <c r="BM149" s="23"/>
      <c r="BN149" s="23"/>
      <c r="BO149" s="23"/>
    </row>
    <row r="150" spans="10:68" ht="12" customHeight="1">
      <c r="J150" s="56">
        <v>9405</v>
      </c>
      <c r="K150" s="3" t="s">
        <v>634</v>
      </c>
      <c r="L150" s="22">
        <v>6</v>
      </c>
      <c r="M150" s="22" t="s">
        <v>546</v>
      </c>
      <c r="N150" s="22">
        <v>6</v>
      </c>
      <c r="O150" s="22" t="s">
        <v>546</v>
      </c>
      <c r="P150" s="22" t="s">
        <v>546</v>
      </c>
      <c r="Q150" s="22"/>
      <c r="AB150" s="56" t="s">
        <v>347</v>
      </c>
      <c r="AC150" s="2" t="s">
        <v>645</v>
      </c>
      <c r="AD150" s="5">
        <v>65</v>
      </c>
      <c r="AE150" s="5">
        <v>3</v>
      </c>
      <c r="AF150" s="5">
        <v>27</v>
      </c>
      <c r="AG150" s="5">
        <v>16</v>
      </c>
      <c r="AH150" s="5">
        <v>19</v>
      </c>
      <c r="AK150" s="71" t="s">
        <v>805</v>
      </c>
      <c r="AL150" s="72"/>
      <c r="AM150" s="72"/>
      <c r="AN150" s="72"/>
      <c r="AO150" s="72"/>
      <c r="AP150" s="72"/>
      <c r="AQ150" s="141"/>
      <c r="AR150" s="134"/>
      <c r="AT150" s="2045" t="s">
        <v>174</v>
      </c>
      <c r="AU150" s="2045"/>
      <c r="AV150" s="2045"/>
      <c r="AW150" s="2045"/>
      <c r="AX150" s="2045"/>
      <c r="AY150" s="2045"/>
      <c r="AZ150" s="2"/>
      <c r="BA150" s="2"/>
      <c r="BB150" s="2"/>
      <c r="BC150" s="2"/>
      <c r="BF150" s="2323" t="s">
        <v>174</v>
      </c>
      <c r="BG150" s="2323"/>
      <c r="BH150" s="2323"/>
      <c r="BI150" s="2323"/>
      <c r="BJ150" s="2323"/>
      <c r="BK150" s="2323"/>
      <c r="BL150" s="2323"/>
      <c r="BM150" s="2323"/>
      <c r="BN150" s="2"/>
      <c r="BO150" s="2"/>
    </row>
    <row r="151" spans="10:68" ht="12" customHeight="1">
      <c r="J151" s="56">
        <v>9406</v>
      </c>
      <c r="K151" s="3" t="s">
        <v>237</v>
      </c>
      <c r="L151" s="22">
        <v>5</v>
      </c>
      <c r="M151" s="22" t="s">
        <v>546</v>
      </c>
      <c r="N151" s="22" t="s">
        <v>546</v>
      </c>
      <c r="O151" s="22">
        <v>5</v>
      </c>
      <c r="P151" s="22" t="s">
        <v>546</v>
      </c>
      <c r="Q151" s="22"/>
      <c r="AB151" s="56" t="s">
        <v>700</v>
      </c>
      <c r="AC151" s="2" t="s">
        <v>646</v>
      </c>
      <c r="AD151" s="5">
        <v>12</v>
      </c>
      <c r="AE151" s="5" t="s">
        <v>546</v>
      </c>
      <c r="AF151" s="5" t="s">
        <v>546</v>
      </c>
      <c r="AG151" s="5">
        <v>12</v>
      </c>
      <c r="AH151" s="5" t="s">
        <v>546</v>
      </c>
      <c r="AK151" s="71" t="s">
        <v>127</v>
      </c>
      <c r="AL151" s="72"/>
      <c r="AM151" s="72"/>
      <c r="AN151" s="72"/>
      <c r="AO151" s="72"/>
      <c r="AP151" s="72"/>
      <c r="AQ151" s="141"/>
      <c r="AR151" s="134"/>
      <c r="AT151" s="2045" t="s">
        <v>857</v>
      </c>
      <c r="AU151" s="2045"/>
      <c r="AV151" s="14"/>
      <c r="AW151" s="14"/>
      <c r="AX151" s="14"/>
      <c r="AY151" s="14"/>
      <c r="AZ151" s="2"/>
      <c r="BA151" s="2"/>
      <c r="BB151" s="2"/>
      <c r="BC151" s="2"/>
      <c r="BF151" s="2045" t="s">
        <v>857</v>
      </c>
      <c r="BG151" s="2045"/>
      <c r="BH151" s="14"/>
      <c r="BI151" s="14"/>
      <c r="BJ151" s="14"/>
      <c r="BK151" s="14"/>
      <c r="BL151" s="14"/>
      <c r="BM151" s="14"/>
      <c r="BN151" s="2"/>
      <c r="BO151" s="2"/>
    </row>
    <row r="152" spans="10:68" ht="12" customHeight="1">
      <c r="J152" s="56">
        <v>9618</v>
      </c>
      <c r="K152" s="3" t="s">
        <v>635</v>
      </c>
      <c r="L152" s="22">
        <v>6</v>
      </c>
      <c r="M152" s="22" t="s">
        <v>546</v>
      </c>
      <c r="N152" s="22">
        <v>3</v>
      </c>
      <c r="O152" s="22">
        <v>3</v>
      </c>
      <c r="P152" s="22" t="s">
        <v>546</v>
      </c>
      <c r="Q152" s="22"/>
      <c r="AB152" s="56" t="s">
        <v>701</v>
      </c>
      <c r="AC152" s="2" t="s">
        <v>556</v>
      </c>
      <c r="AD152" s="5">
        <v>173</v>
      </c>
      <c r="AE152" s="5">
        <v>31</v>
      </c>
      <c r="AF152" s="5">
        <v>61</v>
      </c>
      <c r="AG152" s="5">
        <v>65</v>
      </c>
      <c r="AH152" s="5">
        <v>16</v>
      </c>
      <c r="AK152" s="163"/>
      <c r="AL152" s="149"/>
      <c r="AM152" s="158" t="s">
        <v>119</v>
      </c>
      <c r="AN152" s="159" t="s">
        <v>540</v>
      </c>
      <c r="AO152" s="158" t="s">
        <v>541</v>
      </c>
      <c r="AP152" s="164" t="s">
        <v>542</v>
      </c>
      <c r="AQ152" s="141"/>
      <c r="AR152" s="134"/>
      <c r="AT152" s="2045" t="s">
        <v>858</v>
      </c>
      <c r="AU152" s="2045"/>
      <c r="AV152" s="14"/>
      <c r="AW152" s="14"/>
      <c r="AX152" s="14"/>
      <c r="AY152" s="14"/>
      <c r="AZ152" s="2"/>
      <c r="BA152" s="2"/>
      <c r="BB152" s="2"/>
      <c r="BC152" s="2"/>
      <c r="BF152" s="2045" t="s">
        <v>858</v>
      </c>
      <c r="BG152" s="2045"/>
      <c r="BH152" s="14"/>
      <c r="BI152" s="14"/>
      <c r="BJ152" s="14"/>
      <c r="BK152" s="14"/>
      <c r="BL152" s="14"/>
      <c r="BM152" s="14"/>
      <c r="BN152" s="2"/>
      <c r="BO152" s="2"/>
    </row>
    <row r="153" spans="10:68" ht="12.95" customHeight="1">
      <c r="J153" s="129">
        <v>9700</v>
      </c>
      <c r="K153" s="23" t="s">
        <v>636</v>
      </c>
      <c r="L153" s="29">
        <v>41</v>
      </c>
      <c r="M153" s="29" t="s">
        <v>546</v>
      </c>
      <c r="N153" s="29" t="s">
        <v>546</v>
      </c>
      <c r="O153" s="29" t="s">
        <v>546</v>
      </c>
      <c r="P153" s="29">
        <v>41</v>
      </c>
      <c r="Q153" s="126"/>
      <c r="AB153" s="21">
        <v>1006</v>
      </c>
      <c r="AC153" s="2" t="s">
        <v>151</v>
      </c>
      <c r="AD153" s="5">
        <v>4</v>
      </c>
      <c r="AE153" s="5" t="s">
        <v>546</v>
      </c>
      <c r="AF153" s="5" t="s">
        <v>546</v>
      </c>
      <c r="AG153" s="5">
        <v>4</v>
      </c>
      <c r="AH153" s="5" t="s">
        <v>546</v>
      </c>
      <c r="AK153" s="165" t="s">
        <v>135</v>
      </c>
      <c r="AL153" s="81" t="s">
        <v>136</v>
      </c>
      <c r="AM153" s="83" t="s">
        <v>544</v>
      </c>
      <c r="AN153" s="161" t="s">
        <v>45</v>
      </c>
      <c r="AO153" s="83" t="s">
        <v>44</v>
      </c>
      <c r="AP153" s="166" t="s">
        <v>43</v>
      </c>
      <c r="AQ153" s="141"/>
      <c r="AR153" s="134"/>
      <c r="AT153" s="2"/>
      <c r="AU153" s="2"/>
      <c r="AV153" s="2"/>
      <c r="AW153" s="2"/>
      <c r="AX153" s="2"/>
      <c r="AY153" s="2"/>
      <c r="AZ153" s="2"/>
      <c r="BA153" s="2"/>
      <c r="BB153" s="2"/>
      <c r="BC153" s="2"/>
      <c r="BF153" s="2"/>
      <c r="BG153" s="2"/>
      <c r="BH153" s="2"/>
      <c r="BI153" s="2"/>
      <c r="BJ153" s="2"/>
      <c r="BK153" s="2"/>
      <c r="BL153" s="2"/>
      <c r="BM153" s="2"/>
      <c r="BN153" s="2"/>
      <c r="BO153" s="2"/>
    </row>
    <row r="154" spans="10:68" ht="12.95" customHeight="1">
      <c r="J154" s="2320" t="s">
        <v>638</v>
      </c>
      <c r="K154" s="2320"/>
      <c r="L154" s="2320"/>
      <c r="M154" s="2320"/>
      <c r="N154" s="2320"/>
      <c r="O154" s="2320"/>
      <c r="P154" s="2320"/>
      <c r="Q154" s="127"/>
      <c r="AB154" s="21">
        <v>1101</v>
      </c>
      <c r="AC154" s="2" t="s">
        <v>258</v>
      </c>
      <c r="AD154" s="5">
        <v>11</v>
      </c>
      <c r="AE154" s="5">
        <v>3</v>
      </c>
      <c r="AF154" s="5">
        <v>4</v>
      </c>
      <c r="AG154" s="5" t="s">
        <v>546</v>
      </c>
      <c r="AH154" s="5">
        <v>4</v>
      </c>
      <c r="AK154" s="74"/>
      <c r="AL154" s="74" t="s">
        <v>545</v>
      </c>
      <c r="AM154" s="75">
        <v>74257</v>
      </c>
      <c r="AN154" s="75">
        <v>9963</v>
      </c>
      <c r="AO154" s="75">
        <v>7691</v>
      </c>
      <c r="AP154" s="75">
        <v>8197</v>
      </c>
      <c r="AQ154" s="141"/>
      <c r="AR154" s="134"/>
      <c r="AT154" s="2"/>
      <c r="AU154" s="2"/>
      <c r="AV154" s="2"/>
      <c r="AW154" s="2"/>
      <c r="AX154" s="2"/>
      <c r="AY154" s="2"/>
      <c r="AZ154" s="2"/>
      <c r="BA154" s="2"/>
      <c r="BB154" s="2"/>
      <c r="BC154" s="2"/>
      <c r="BF154" s="2"/>
      <c r="BG154" s="2"/>
      <c r="BH154" s="2"/>
      <c r="BI154" s="2"/>
      <c r="BJ154" s="2"/>
      <c r="BK154" s="2"/>
      <c r="BL154" s="2"/>
      <c r="BM154" s="2"/>
      <c r="BN154" s="2"/>
      <c r="BO154" s="2"/>
    </row>
    <row r="155" spans="10:68" ht="12.95" customHeight="1">
      <c r="J155" s="126" t="s">
        <v>489</v>
      </c>
      <c r="K155" s="126"/>
      <c r="L155" s="127"/>
      <c r="M155" s="127"/>
      <c r="N155" s="127"/>
      <c r="O155" s="127"/>
      <c r="P155" s="127"/>
      <c r="Q155" s="14"/>
      <c r="AB155" s="21">
        <v>1601</v>
      </c>
      <c r="AC155" s="2" t="s">
        <v>356</v>
      </c>
      <c r="AD155" s="5">
        <v>76</v>
      </c>
      <c r="AE155" s="5">
        <v>7</v>
      </c>
      <c r="AF155" s="5">
        <v>15</v>
      </c>
      <c r="AG155" s="5">
        <v>41</v>
      </c>
      <c r="AH155" s="5">
        <v>13</v>
      </c>
      <c r="AK155" s="72"/>
      <c r="AL155" s="151" t="s">
        <v>352</v>
      </c>
      <c r="AM155" s="77">
        <v>33060</v>
      </c>
      <c r="AN155" s="77">
        <v>1360</v>
      </c>
      <c r="AO155" s="77">
        <v>1236</v>
      </c>
      <c r="AP155" s="77">
        <v>1184</v>
      </c>
      <c r="AQ155" s="141"/>
      <c r="AR155" s="134"/>
      <c r="AT155" s="2"/>
      <c r="AU155" s="2"/>
      <c r="AV155" s="2"/>
      <c r="AW155" s="2"/>
      <c r="AX155" s="2"/>
      <c r="AY155" s="2"/>
      <c r="AZ155" s="2"/>
      <c r="BA155" s="2"/>
      <c r="BB155" s="2"/>
      <c r="BC155" s="2"/>
      <c r="BF155" s="2"/>
      <c r="BG155" s="2"/>
      <c r="BH155" s="2"/>
      <c r="BI155" s="2"/>
      <c r="BJ155" s="2"/>
      <c r="BK155" s="2"/>
      <c r="BL155" s="2"/>
      <c r="BM155" s="2"/>
      <c r="BN155" s="2"/>
      <c r="BO155" s="2"/>
    </row>
    <row r="156" spans="10:68" ht="12" customHeight="1">
      <c r="J156" s="127" t="s">
        <v>637</v>
      </c>
      <c r="K156" s="127"/>
      <c r="L156" s="127"/>
      <c r="M156" s="127"/>
      <c r="N156" s="127"/>
      <c r="O156" s="14"/>
      <c r="P156" s="14"/>
      <c r="AB156" s="21">
        <v>1602</v>
      </c>
      <c r="AC156" s="2" t="s">
        <v>557</v>
      </c>
      <c r="AD156" s="5">
        <v>115</v>
      </c>
      <c r="AE156" s="5">
        <v>56</v>
      </c>
      <c r="AF156" s="5" t="s">
        <v>546</v>
      </c>
      <c r="AG156" s="5">
        <v>37</v>
      </c>
      <c r="AH156" s="5">
        <v>22</v>
      </c>
      <c r="AK156" s="79" t="s">
        <v>339</v>
      </c>
      <c r="AL156" s="72" t="s">
        <v>247</v>
      </c>
      <c r="AM156" s="77">
        <v>25851</v>
      </c>
      <c r="AN156" s="76">
        <v>11</v>
      </c>
      <c r="AO156" s="76">
        <v>21</v>
      </c>
      <c r="AP156" s="76">
        <v>13</v>
      </c>
      <c r="AQ156" s="141"/>
      <c r="AR156" s="134"/>
      <c r="AT156" s="2036" t="s">
        <v>906</v>
      </c>
      <c r="AU156" s="2036"/>
      <c r="AV156" s="2036"/>
      <c r="AW156" s="2036"/>
      <c r="AX156" s="2036"/>
      <c r="AY156" s="2"/>
      <c r="AZ156" s="2"/>
      <c r="BA156" s="2"/>
      <c r="BB156" s="2"/>
      <c r="BC156" s="2"/>
      <c r="BF156" s="2036" t="s">
        <v>969</v>
      </c>
      <c r="BG156" s="2036"/>
      <c r="BH156" s="2036"/>
      <c r="BI156" s="2036"/>
      <c r="BJ156" s="2036"/>
      <c r="BK156" s="2036"/>
      <c r="BL156" s="2"/>
      <c r="BM156" s="2"/>
      <c r="BN156" s="2"/>
      <c r="BO156" s="2"/>
    </row>
    <row r="157" spans="10:68" ht="12" customHeight="1">
      <c r="AB157" s="21">
        <v>1604</v>
      </c>
      <c r="AC157" s="2" t="s">
        <v>649</v>
      </c>
      <c r="AD157" s="5">
        <v>3</v>
      </c>
      <c r="AE157" s="5" t="s">
        <v>546</v>
      </c>
      <c r="AF157" s="5" t="s">
        <v>546</v>
      </c>
      <c r="AG157" s="5">
        <v>3</v>
      </c>
      <c r="AH157" s="5" t="s">
        <v>546</v>
      </c>
      <c r="AK157" s="79" t="s">
        <v>340</v>
      </c>
      <c r="AL157" s="72" t="s">
        <v>838</v>
      </c>
      <c r="AM157" s="77">
        <v>3780</v>
      </c>
      <c r="AN157" s="77">
        <v>1085</v>
      </c>
      <c r="AO157" s="76">
        <v>919</v>
      </c>
      <c r="AP157" s="76">
        <v>973</v>
      </c>
      <c r="AQ157" s="141"/>
      <c r="AR157" s="134"/>
      <c r="AT157" s="2036" t="s">
        <v>127</v>
      </c>
      <c r="AU157" s="2036"/>
      <c r="AV157" s="2"/>
      <c r="AW157" s="2"/>
      <c r="AX157" s="2"/>
      <c r="AY157" s="2"/>
      <c r="AZ157" s="2"/>
      <c r="BA157" s="2"/>
      <c r="BB157" s="2"/>
      <c r="BC157" s="2"/>
      <c r="BF157" s="2036" t="s">
        <v>127</v>
      </c>
      <c r="BG157" s="2036"/>
      <c r="BH157" s="2"/>
      <c r="BI157" s="2"/>
      <c r="BJ157" s="2"/>
      <c r="BK157" s="2"/>
      <c r="BL157" s="2"/>
      <c r="BM157" s="2"/>
      <c r="BN157" s="2"/>
      <c r="BO157" s="2"/>
    </row>
    <row r="158" spans="10:68" ht="12.75" customHeight="1">
      <c r="AB158" s="21">
        <v>1704</v>
      </c>
      <c r="AC158" s="2" t="s">
        <v>707</v>
      </c>
      <c r="AD158" s="5">
        <v>3</v>
      </c>
      <c r="AE158" s="5" t="s">
        <v>546</v>
      </c>
      <c r="AF158" s="5" t="s">
        <v>546</v>
      </c>
      <c r="AG158" s="5" t="s">
        <v>546</v>
      </c>
      <c r="AH158" s="5">
        <v>3</v>
      </c>
      <c r="AK158" s="79" t="s">
        <v>342</v>
      </c>
      <c r="AL158" s="72" t="s">
        <v>250</v>
      </c>
      <c r="AM158" s="76">
        <v>45</v>
      </c>
      <c r="AN158" s="76" t="s">
        <v>546</v>
      </c>
      <c r="AO158" s="76">
        <v>9</v>
      </c>
      <c r="AP158" s="76" t="s">
        <v>546</v>
      </c>
      <c r="AQ158" s="141"/>
      <c r="AR158" s="134"/>
      <c r="AT158" s="8"/>
      <c r="AU158" s="188"/>
      <c r="AV158" s="69" t="s">
        <v>907</v>
      </c>
      <c r="AW158" s="189" t="s">
        <v>841</v>
      </c>
      <c r="AX158" s="2033" t="s">
        <v>842</v>
      </c>
      <c r="AY158" s="2034"/>
      <c r="AZ158" s="2034"/>
      <c r="BA158" s="2034"/>
      <c r="BB158" s="2034"/>
      <c r="BC158" s="2034"/>
      <c r="BF158" s="130"/>
      <c r="BG158" s="188"/>
      <c r="BH158" s="197" t="s">
        <v>970</v>
      </c>
      <c r="BI158" s="69" t="s">
        <v>841</v>
      </c>
      <c r="BJ158" s="2057" t="s">
        <v>842</v>
      </c>
      <c r="BK158" s="2057"/>
      <c r="BL158" s="2057"/>
      <c r="BM158" s="2057"/>
      <c r="BN158" s="2057"/>
      <c r="BO158" s="2057"/>
    </row>
    <row r="159" spans="10:68" ht="12.95" customHeight="1">
      <c r="AB159" s="21">
        <v>1806</v>
      </c>
      <c r="AC159" s="2" t="s">
        <v>729</v>
      </c>
      <c r="AD159" s="5">
        <v>16</v>
      </c>
      <c r="AE159" s="5" t="s">
        <v>546</v>
      </c>
      <c r="AF159" s="5">
        <v>4</v>
      </c>
      <c r="AG159" s="5">
        <v>12</v>
      </c>
      <c r="AH159" s="5" t="s">
        <v>546</v>
      </c>
      <c r="AK159" s="79" t="s">
        <v>343</v>
      </c>
      <c r="AL159" s="72" t="s">
        <v>726</v>
      </c>
      <c r="AM159" s="77">
        <v>2977</v>
      </c>
      <c r="AN159" s="76" t="s">
        <v>546</v>
      </c>
      <c r="AO159" s="76">
        <v>9</v>
      </c>
      <c r="AP159" s="76" t="s">
        <v>546</v>
      </c>
      <c r="AQ159" s="141"/>
      <c r="AR159" s="134"/>
      <c r="AT159" s="10" t="s">
        <v>135</v>
      </c>
      <c r="AU159" s="183" t="s">
        <v>843</v>
      </c>
      <c r="AV159" s="70" t="s">
        <v>844</v>
      </c>
      <c r="AW159" s="40" t="s">
        <v>129</v>
      </c>
      <c r="AX159" s="26" t="s">
        <v>845</v>
      </c>
      <c r="AY159" s="26" t="s">
        <v>390</v>
      </c>
      <c r="AZ159" s="26" t="s">
        <v>528</v>
      </c>
      <c r="BA159" s="26" t="s">
        <v>908</v>
      </c>
      <c r="BB159" s="26" t="s">
        <v>399</v>
      </c>
      <c r="BC159" s="27" t="s">
        <v>394</v>
      </c>
      <c r="BF159" s="131" t="s">
        <v>135</v>
      </c>
      <c r="BG159" s="183" t="s">
        <v>843</v>
      </c>
      <c r="BH159" s="187" t="s">
        <v>844</v>
      </c>
      <c r="BI159" s="70" t="s">
        <v>129</v>
      </c>
      <c r="BJ159" s="26" t="s">
        <v>845</v>
      </c>
      <c r="BK159" s="26" t="s">
        <v>390</v>
      </c>
      <c r="BL159" s="26" t="s">
        <v>847</v>
      </c>
      <c r="BM159" s="26" t="s">
        <v>528</v>
      </c>
      <c r="BN159" s="26" t="s">
        <v>399</v>
      </c>
      <c r="BO159" s="27" t="s">
        <v>394</v>
      </c>
    </row>
    <row r="160" spans="10:68" ht="12.95" customHeight="1">
      <c r="AB160" s="21">
        <v>1901</v>
      </c>
      <c r="AC160" s="2" t="s">
        <v>650</v>
      </c>
      <c r="AD160" s="5">
        <v>172</v>
      </c>
      <c r="AE160" s="5">
        <v>33</v>
      </c>
      <c r="AF160" s="5">
        <v>35</v>
      </c>
      <c r="AG160" s="5">
        <v>35</v>
      </c>
      <c r="AH160" s="5">
        <v>69</v>
      </c>
      <c r="AK160" s="79" t="s">
        <v>344</v>
      </c>
      <c r="AL160" s="72" t="s">
        <v>727</v>
      </c>
      <c r="AM160" s="76">
        <v>9</v>
      </c>
      <c r="AN160" s="76">
        <v>6</v>
      </c>
      <c r="AO160" s="76" t="s">
        <v>546</v>
      </c>
      <c r="AP160" s="76" t="s">
        <v>546</v>
      </c>
      <c r="AQ160" s="141"/>
      <c r="AR160" s="134"/>
      <c r="AT160" s="3"/>
      <c r="AU160" s="3" t="s">
        <v>129</v>
      </c>
      <c r="AV160" s="53">
        <v>11195</v>
      </c>
      <c r="AW160" s="87">
        <v>100</v>
      </c>
      <c r="AX160" s="53">
        <v>4813</v>
      </c>
      <c r="AY160" s="22">
        <v>854</v>
      </c>
      <c r="AZ160" s="22">
        <v>734</v>
      </c>
      <c r="BA160" s="53">
        <v>1267</v>
      </c>
      <c r="BB160" s="22">
        <v>558</v>
      </c>
      <c r="BC160" s="53">
        <v>2970</v>
      </c>
      <c r="BF160" s="108"/>
      <c r="BG160" s="108" t="s">
        <v>129</v>
      </c>
      <c r="BH160" s="132">
        <v>11911</v>
      </c>
      <c r="BI160" s="198">
        <v>100</v>
      </c>
      <c r="BJ160" s="132">
        <v>7057</v>
      </c>
      <c r="BK160" s="132">
        <v>2130</v>
      </c>
      <c r="BL160" s="107">
        <v>884</v>
      </c>
      <c r="BM160" s="107">
        <v>577</v>
      </c>
      <c r="BN160" s="107">
        <v>477</v>
      </c>
      <c r="BO160" s="107">
        <v>786</v>
      </c>
      <c r="BP160" s="91"/>
    </row>
    <row r="161" spans="28:68" ht="12.95" customHeight="1">
      <c r="AB161" s="21">
        <v>1902</v>
      </c>
      <c r="AC161" s="2" t="s">
        <v>730</v>
      </c>
      <c r="AD161" s="5">
        <v>44</v>
      </c>
      <c r="AE161" s="5">
        <v>14</v>
      </c>
      <c r="AF161" s="5">
        <v>10</v>
      </c>
      <c r="AG161" s="5">
        <v>20</v>
      </c>
      <c r="AH161" s="5" t="s">
        <v>546</v>
      </c>
      <c r="AK161" s="79" t="s">
        <v>699</v>
      </c>
      <c r="AL161" s="72" t="s">
        <v>778</v>
      </c>
      <c r="AM161" s="76">
        <v>9</v>
      </c>
      <c r="AN161" s="76" t="s">
        <v>546</v>
      </c>
      <c r="AO161" s="76">
        <v>28</v>
      </c>
      <c r="AP161" s="76">
        <v>4</v>
      </c>
      <c r="AQ161" s="141"/>
      <c r="AR161" s="134"/>
      <c r="AT161" s="35">
        <v>8708</v>
      </c>
      <c r="AU161" s="2" t="s">
        <v>909</v>
      </c>
      <c r="AV161" s="47">
        <v>3971</v>
      </c>
      <c r="AW161" s="5">
        <v>35.5</v>
      </c>
      <c r="AX161" s="47">
        <v>1223</v>
      </c>
      <c r="AY161" s="5">
        <v>309</v>
      </c>
      <c r="AZ161" s="5">
        <v>39</v>
      </c>
      <c r="BA161" s="2"/>
      <c r="BB161" s="2"/>
      <c r="BC161" s="5">
        <v>2400</v>
      </c>
      <c r="BF161" s="21">
        <v>2402</v>
      </c>
      <c r="BG161" s="3" t="s">
        <v>616</v>
      </c>
      <c r="BH161" s="53">
        <v>2754</v>
      </c>
      <c r="BI161" s="22">
        <v>23.1</v>
      </c>
      <c r="BJ161" s="53">
        <v>2754</v>
      </c>
      <c r="BK161" s="3"/>
      <c r="BL161" s="3"/>
      <c r="BM161" s="3"/>
      <c r="BN161" s="3"/>
      <c r="BO161" s="3"/>
      <c r="BP161" s="91"/>
    </row>
    <row r="162" spans="28:68" ht="12.95" customHeight="1">
      <c r="AB162" s="21">
        <v>1905</v>
      </c>
      <c r="AC162" s="2" t="s">
        <v>268</v>
      </c>
      <c r="AD162" s="5">
        <v>138</v>
      </c>
      <c r="AE162" s="5">
        <v>42</v>
      </c>
      <c r="AF162" s="5">
        <v>45</v>
      </c>
      <c r="AG162" s="5">
        <v>51</v>
      </c>
      <c r="AH162" s="5" t="s">
        <v>546</v>
      </c>
      <c r="AK162" s="79" t="s">
        <v>347</v>
      </c>
      <c r="AL162" s="72" t="s">
        <v>780</v>
      </c>
      <c r="AM162" s="76">
        <v>6</v>
      </c>
      <c r="AN162" s="76">
        <v>15</v>
      </c>
      <c r="AO162" s="76">
        <v>2</v>
      </c>
      <c r="AP162" s="76">
        <v>3</v>
      </c>
      <c r="AQ162" s="141"/>
      <c r="AR162" s="134"/>
      <c r="AT162" s="35">
        <v>2203</v>
      </c>
      <c r="AU162" s="2" t="s">
        <v>430</v>
      </c>
      <c r="AV162" s="47">
        <v>1737</v>
      </c>
      <c r="AW162" s="5">
        <v>15.5</v>
      </c>
      <c r="AX162" s="5">
        <v>949</v>
      </c>
      <c r="AY162" s="2"/>
      <c r="AZ162" s="5">
        <v>195</v>
      </c>
      <c r="BA162" s="5">
        <v>592</v>
      </c>
      <c r="BB162" s="2"/>
      <c r="BC162" s="2"/>
      <c r="BF162" s="21">
        <v>8506</v>
      </c>
      <c r="BG162" s="3" t="s">
        <v>331</v>
      </c>
      <c r="BH162" s="53">
        <v>2648</v>
      </c>
      <c r="BI162" s="22">
        <v>22.2</v>
      </c>
      <c r="BJ162" s="53">
        <v>1325</v>
      </c>
      <c r="BK162" s="53">
        <v>1317</v>
      </c>
      <c r="BL162" s="22">
        <v>6</v>
      </c>
      <c r="BM162" s="3"/>
      <c r="BN162" s="3"/>
      <c r="BO162" s="3"/>
      <c r="BP162" s="91"/>
    </row>
    <row r="163" spans="28:68" ht="12.95" customHeight="1">
      <c r="AB163" s="21">
        <v>2005</v>
      </c>
      <c r="AC163" s="2" t="s">
        <v>269</v>
      </c>
      <c r="AD163" s="5">
        <v>63</v>
      </c>
      <c r="AE163" s="5">
        <v>3</v>
      </c>
      <c r="AF163" s="5">
        <v>8</v>
      </c>
      <c r="AG163" s="5">
        <v>43</v>
      </c>
      <c r="AH163" s="5">
        <v>9</v>
      </c>
      <c r="AK163" s="79" t="s">
        <v>348</v>
      </c>
      <c r="AL163" s="72" t="s">
        <v>806</v>
      </c>
      <c r="AM163" s="76">
        <v>32</v>
      </c>
      <c r="AN163" s="76" t="s">
        <v>546</v>
      </c>
      <c r="AO163" s="76">
        <v>1</v>
      </c>
      <c r="AP163" s="76" t="s">
        <v>546</v>
      </c>
      <c r="AQ163" s="141"/>
      <c r="AR163" s="134"/>
      <c r="AT163" s="35">
        <v>2402</v>
      </c>
      <c r="AU163" s="2" t="s">
        <v>910</v>
      </c>
      <c r="AV163" s="47">
        <v>1204</v>
      </c>
      <c r="AW163" s="5">
        <v>10.8</v>
      </c>
      <c r="AX163" s="5">
        <v>809</v>
      </c>
      <c r="AY163" s="2"/>
      <c r="AZ163" s="5">
        <v>18</v>
      </c>
      <c r="BA163" s="5">
        <v>377</v>
      </c>
      <c r="BB163" s="2"/>
      <c r="BC163" s="2"/>
      <c r="BF163" s="21">
        <v>2203</v>
      </c>
      <c r="BG163" s="3" t="s">
        <v>280</v>
      </c>
      <c r="BH163" s="53">
        <v>2236</v>
      </c>
      <c r="BI163" s="22">
        <v>18.8</v>
      </c>
      <c r="BJ163" s="53">
        <v>1305</v>
      </c>
      <c r="BK163" s="3"/>
      <c r="BL163" s="22">
        <v>732</v>
      </c>
      <c r="BM163" s="22">
        <v>199</v>
      </c>
      <c r="BN163" s="3"/>
      <c r="BO163" s="3"/>
      <c r="BP163" s="91"/>
    </row>
    <row r="164" spans="28:68" ht="12.95" customHeight="1">
      <c r="AB164" s="21">
        <v>2009</v>
      </c>
      <c r="AC164" s="2" t="s">
        <v>731</v>
      </c>
      <c r="AD164" s="5">
        <v>16</v>
      </c>
      <c r="AE164" s="5" t="s">
        <v>546</v>
      </c>
      <c r="AF164" s="5">
        <v>16</v>
      </c>
      <c r="AG164" s="5" t="s">
        <v>546</v>
      </c>
      <c r="AH164" s="5" t="s">
        <v>546</v>
      </c>
      <c r="AK164" s="79" t="s">
        <v>700</v>
      </c>
      <c r="AL164" s="72" t="s">
        <v>646</v>
      </c>
      <c r="AM164" s="76">
        <v>20</v>
      </c>
      <c r="AN164" s="76" t="s">
        <v>546</v>
      </c>
      <c r="AO164" s="76" t="s">
        <v>546</v>
      </c>
      <c r="AP164" s="76" t="s">
        <v>546</v>
      </c>
      <c r="AQ164" s="141"/>
      <c r="AR164" s="134"/>
      <c r="AT164" s="35">
        <v>8703</v>
      </c>
      <c r="AU164" s="2" t="s">
        <v>569</v>
      </c>
      <c r="AV164" s="47">
        <v>1177</v>
      </c>
      <c r="AW164" s="5">
        <v>10.5</v>
      </c>
      <c r="AX164" s="47">
        <v>1067</v>
      </c>
      <c r="AY164" s="2"/>
      <c r="AZ164" s="5">
        <v>81</v>
      </c>
      <c r="BA164" s="5">
        <v>30</v>
      </c>
      <c r="BB164" s="2"/>
      <c r="BC164" s="2"/>
      <c r="BF164" s="21">
        <v>8703</v>
      </c>
      <c r="BG164" s="3" t="s">
        <v>569</v>
      </c>
      <c r="BH164" s="53">
        <v>1152</v>
      </c>
      <c r="BI164" s="22">
        <v>9.6999999999999993</v>
      </c>
      <c r="BJ164" s="22">
        <v>854</v>
      </c>
      <c r="BK164" s="22">
        <v>82</v>
      </c>
      <c r="BL164" s="22">
        <v>22</v>
      </c>
      <c r="BM164" s="22">
        <v>194</v>
      </c>
      <c r="BN164" s="3"/>
      <c r="BO164" s="3"/>
      <c r="BP164" s="91"/>
    </row>
    <row r="165" spans="28:68" ht="12.95" customHeight="1">
      <c r="AB165" s="21">
        <v>2101</v>
      </c>
      <c r="AC165" s="2" t="s">
        <v>732</v>
      </c>
      <c r="AD165" s="5">
        <v>4</v>
      </c>
      <c r="AE165" s="5">
        <v>4</v>
      </c>
      <c r="AF165" s="5" t="s">
        <v>546</v>
      </c>
      <c r="AG165" s="5" t="s">
        <v>546</v>
      </c>
      <c r="AH165" s="5" t="s">
        <v>546</v>
      </c>
      <c r="AK165" s="78">
        <v>1101</v>
      </c>
      <c r="AL165" s="72" t="s">
        <v>258</v>
      </c>
      <c r="AM165" s="76">
        <v>1</v>
      </c>
      <c r="AN165" s="76">
        <v>10</v>
      </c>
      <c r="AO165" s="76" t="s">
        <v>546</v>
      </c>
      <c r="AP165" s="76" t="s">
        <v>546</v>
      </c>
      <c r="AQ165" s="141"/>
      <c r="AR165" s="134"/>
      <c r="AT165" s="35">
        <v>7200</v>
      </c>
      <c r="AU165" s="2" t="s">
        <v>309</v>
      </c>
      <c r="AV165" s="5">
        <v>713</v>
      </c>
      <c r="AW165" s="5">
        <v>6.4</v>
      </c>
      <c r="AX165" s="5">
        <v>4</v>
      </c>
      <c r="AY165" s="5">
        <v>96</v>
      </c>
      <c r="AZ165" s="2"/>
      <c r="BA165" s="2"/>
      <c r="BB165" s="5">
        <v>522</v>
      </c>
      <c r="BC165" s="5">
        <v>91</v>
      </c>
      <c r="BF165" s="21">
        <v>7200</v>
      </c>
      <c r="BG165" s="3" t="s">
        <v>309</v>
      </c>
      <c r="BH165" s="22">
        <v>676</v>
      </c>
      <c r="BI165" s="22">
        <v>5.7</v>
      </c>
      <c r="BJ165" s="3"/>
      <c r="BK165" s="22">
        <v>186</v>
      </c>
      <c r="BL165" s="3"/>
      <c r="BM165" s="3"/>
      <c r="BN165" s="22">
        <v>477</v>
      </c>
      <c r="BO165" s="22">
        <v>13</v>
      </c>
      <c r="BP165" s="91"/>
    </row>
    <row r="166" spans="28:68" ht="12.95" customHeight="1">
      <c r="AB166" s="21">
        <v>2102</v>
      </c>
      <c r="AC166" s="2" t="s">
        <v>733</v>
      </c>
      <c r="AD166" s="5">
        <v>7</v>
      </c>
      <c r="AE166" s="2"/>
      <c r="AF166" s="5" t="s">
        <v>546</v>
      </c>
      <c r="AG166" s="5">
        <v>7</v>
      </c>
      <c r="AH166" s="5" t="s">
        <v>546</v>
      </c>
      <c r="AK166" s="78">
        <v>1006</v>
      </c>
      <c r="AL166" s="72" t="s">
        <v>151</v>
      </c>
      <c r="AM166" s="76">
        <v>0</v>
      </c>
      <c r="AN166" s="76" t="s">
        <v>546</v>
      </c>
      <c r="AO166" s="76" t="s">
        <v>546</v>
      </c>
      <c r="AP166" s="76" t="s">
        <v>546</v>
      </c>
      <c r="AQ166" s="141"/>
      <c r="AR166" s="134"/>
      <c r="AT166" s="35">
        <v>8716</v>
      </c>
      <c r="AU166" s="2" t="s">
        <v>812</v>
      </c>
      <c r="AV166" s="5">
        <v>698</v>
      </c>
      <c r="AW166" s="5">
        <v>6.2</v>
      </c>
      <c r="AX166" s="5">
        <v>5</v>
      </c>
      <c r="AY166" s="5">
        <v>370</v>
      </c>
      <c r="AZ166" s="2"/>
      <c r="BA166" s="2"/>
      <c r="BB166" s="2"/>
      <c r="BC166" s="5">
        <v>323</v>
      </c>
      <c r="BF166" s="21">
        <v>7113</v>
      </c>
      <c r="BG166" s="3" t="s">
        <v>945</v>
      </c>
      <c r="BH166" s="22">
        <v>371</v>
      </c>
      <c r="BI166" s="22">
        <v>3.1</v>
      </c>
      <c r="BJ166" s="3"/>
      <c r="BK166" s="3"/>
      <c r="BL166" s="3"/>
      <c r="BM166" s="3"/>
      <c r="BN166" s="3"/>
      <c r="BO166" s="22">
        <v>371</v>
      </c>
      <c r="BP166" s="91"/>
    </row>
    <row r="167" spans="28:68" ht="12.95" customHeight="1">
      <c r="AB167" s="21">
        <v>2103</v>
      </c>
      <c r="AC167" s="2" t="s">
        <v>734</v>
      </c>
      <c r="AD167" s="5">
        <v>13</v>
      </c>
      <c r="AE167" s="5">
        <v>8</v>
      </c>
      <c r="AF167" s="5" t="s">
        <v>546</v>
      </c>
      <c r="AG167" s="5">
        <v>5</v>
      </c>
      <c r="AH167" s="5" t="s">
        <v>546</v>
      </c>
      <c r="AK167" s="78">
        <v>1601</v>
      </c>
      <c r="AL167" s="72" t="s">
        <v>356</v>
      </c>
      <c r="AM167" s="76">
        <v>10</v>
      </c>
      <c r="AN167" s="76">
        <v>7</v>
      </c>
      <c r="AO167" s="76">
        <v>14</v>
      </c>
      <c r="AP167" s="76">
        <v>15</v>
      </c>
      <c r="AQ167" s="141"/>
      <c r="AR167" s="134"/>
      <c r="AT167" s="35">
        <v>8548</v>
      </c>
      <c r="AU167" s="2" t="s">
        <v>582</v>
      </c>
      <c r="AV167" s="5">
        <v>369</v>
      </c>
      <c r="AW167" s="5">
        <v>3.3</v>
      </c>
      <c r="AX167" s="5">
        <v>119</v>
      </c>
      <c r="AY167" s="5">
        <v>4</v>
      </c>
      <c r="AZ167" s="5">
        <v>175</v>
      </c>
      <c r="BA167" s="2"/>
      <c r="BB167" s="2"/>
      <c r="BC167" s="5">
        <v>70</v>
      </c>
      <c r="BF167" s="21">
        <v>7602</v>
      </c>
      <c r="BG167" s="3" t="s">
        <v>971</v>
      </c>
      <c r="BH167" s="22">
        <v>338</v>
      </c>
      <c r="BI167" s="22">
        <v>2.8</v>
      </c>
      <c r="BJ167" s="3"/>
      <c r="BK167" s="22">
        <v>338</v>
      </c>
      <c r="BL167" s="3"/>
      <c r="BM167" s="3"/>
      <c r="BN167" s="3"/>
      <c r="BO167" s="3"/>
      <c r="BP167" s="91"/>
    </row>
    <row r="168" spans="28:68" ht="12.95" customHeight="1">
      <c r="AB168" s="21">
        <v>2106</v>
      </c>
      <c r="AC168" s="2" t="s">
        <v>735</v>
      </c>
      <c r="AD168" s="5">
        <v>95</v>
      </c>
      <c r="AE168" s="5">
        <v>6</v>
      </c>
      <c r="AF168" s="5" t="s">
        <v>546</v>
      </c>
      <c r="AG168" s="5">
        <v>67</v>
      </c>
      <c r="AH168" s="5">
        <v>22</v>
      </c>
      <c r="AK168" s="78">
        <v>1602</v>
      </c>
      <c r="AL168" s="72" t="s">
        <v>260</v>
      </c>
      <c r="AM168" s="76">
        <v>0</v>
      </c>
      <c r="AN168" s="76">
        <v>5</v>
      </c>
      <c r="AO168" s="76">
        <v>12</v>
      </c>
      <c r="AP168" s="76" t="s">
        <v>546</v>
      </c>
      <c r="AQ168" s="141"/>
      <c r="AR168" s="134"/>
      <c r="AT168" s="35">
        <v>2202</v>
      </c>
      <c r="AU168" s="2" t="s">
        <v>911</v>
      </c>
      <c r="AV168" s="5">
        <v>250</v>
      </c>
      <c r="AW168" s="5">
        <v>2.2000000000000002</v>
      </c>
      <c r="AX168" s="5">
        <v>128</v>
      </c>
      <c r="AY168" s="2"/>
      <c r="AZ168" s="5">
        <v>62</v>
      </c>
      <c r="BA168" s="5">
        <v>60</v>
      </c>
      <c r="BB168" s="2"/>
      <c r="BC168" s="2"/>
      <c r="BF168" s="21">
        <v>2202</v>
      </c>
      <c r="BG168" s="3" t="s">
        <v>972</v>
      </c>
      <c r="BH168" s="22">
        <v>255</v>
      </c>
      <c r="BI168" s="22">
        <v>2.1</v>
      </c>
      <c r="BJ168" s="22">
        <v>187</v>
      </c>
      <c r="BK168" s="22">
        <v>7</v>
      </c>
      <c r="BL168" s="22">
        <v>35</v>
      </c>
      <c r="BM168" s="22">
        <v>26</v>
      </c>
      <c r="BN168" s="3"/>
      <c r="BO168" s="3"/>
      <c r="BP168" s="91"/>
    </row>
    <row r="169" spans="28:68" ht="12.95" customHeight="1">
      <c r="AB169" s="21">
        <v>2201</v>
      </c>
      <c r="AC169" s="2" t="s">
        <v>563</v>
      </c>
      <c r="AD169" s="5">
        <v>13</v>
      </c>
      <c r="AE169" s="5">
        <v>6</v>
      </c>
      <c r="AF169" s="5">
        <v>3</v>
      </c>
      <c r="AG169" s="5">
        <v>4</v>
      </c>
      <c r="AH169" s="5" t="s">
        <v>546</v>
      </c>
      <c r="AK169" s="78">
        <v>1603</v>
      </c>
      <c r="AL169" s="72" t="s">
        <v>807</v>
      </c>
      <c r="AM169" s="76">
        <v>36</v>
      </c>
      <c r="AN169" s="76" t="s">
        <v>546</v>
      </c>
      <c r="AO169" s="76" t="s">
        <v>546</v>
      </c>
      <c r="AP169" s="76" t="s">
        <v>546</v>
      </c>
      <c r="AQ169" s="141"/>
      <c r="AR169" s="134"/>
      <c r="AT169" s="35">
        <v>2208</v>
      </c>
      <c r="AU169" s="2" t="s">
        <v>282</v>
      </c>
      <c r="AV169" s="5">
        <v>157</v>
      </c>
      <c r="AW169" s="5">
        <v>1.4</v>
      </c>
      <c r="AX169" s="5">
        <v>62</v>
      </c>
      <c r="AY169" s="2"/>
      <c r="AZ169" s="5">
        <v>76</v>
      </c>
      <c r="BA169" s="5">
        <v>19</v>
      </c>
      <c r="BB169" s="2"/>
      <c r="BC169" s="2"/>
      <c r="BF169" s="21">
        <v>7404</v>
      </c>
      <c r="BG169" s="3" t="s">
        <v>956</v>
      </c>
      <c r="BH169" s="22">
        <v>250</v>
      </c>
      <c r="BI169" s="22">
        <v>2.1</v>
      </c>
      <c r="BJ169" s="22">
        <v>198</v>
      </c>
      <c r="BK169" s="22">
        <v>52</v>
      </c>
      <c r="BL169" s="3"/>
      <c r="BM169" s="3"/>
      <c r="BN169" s="3"/>
      <c r="BO169" s="3"/>
      <c r="BP169" s="91"/>
    </row>
    <row r="170" spans="28:68" ht="12.95" customHeight="1">
      <c r="AB170" s="21">
        <v>2202</v>
      </c>
      <c r="AC170" s="2" t="s">
        <v>278</v>
      </c>
      <c r="AD170" s="5">
        <v>588</v>
      </c>
      <c r="AE170" s="5">
        <v>112</v>
      </c>
      <c r="AF170" s="5">
        <v>254</v>
      </c>
      <c r="AG170" s="5">
        <v>192</v>
      </c>
      <c r="AH170" s="5">
        <v>30</v>
      </c>
      <c r="AK170" s="78">
        <v>1701</v>
      </c>
      <c r="AL170" s="72" t="s">
        <v>263</v>
      </c>
      <c r="AM170" s="76">
        <v>17</v>
      </c>
      <c r="AN170" s="76" t="s">
        <v>546</v>
      </c>
      <c r="AO170" s="76" t="s">
        <v>546</v>
      </c>
      <c r="AP170" s="76" t="s">
        <v>546</v>
      </c>
      <c r="AQ170" s="141"/>
      <c r="AR170" s="134"/>
      <c r="AT170" s="35">
        <v>7616</v>
      </c>
      <c r="AU170" s="2" t="s">
        <v>912</v>
      </c>
      <c r="AV170" s="5">
        <v>112</v>
      </c>
      <c r="AW170" s="88">
        <v>1</v>
      </c>
      <c r="AX170" s="5">
        <v>102</v>
      </c>
      <c r="AY170" s="2"/>
      <c r="AZ170" s="2"/>
      <c r="BA170" s="2"/>
      <c r="BB170" s="2"/>
      <c r="BC170" s="5">
        <v>11</v>
      </c>
      <c r="BF170" s="21">
        <v>8704</v>
      </c>
      <c r="BG170" s="3" t="s">
        <v>655</v>
      </c>
      <c r="BH170" s="22">
        <v>210</v>
      </c>
      <c r="BI170" s="22">
        <v>1.8</v>
      </c>
      <c r="BJ170" s="22">
        <v>64</v>
      </c>
      <c r="BK170" s="3"/>
      <c r="BL170" s="3"/>
      <c r="BM170" s="3"/>
      <c r="BN170" s="3"/>
      <c r="BO170" s="22">
        <v>146</v>
      </c>
      <c r="BP170" s="91"/>
    </row>
    <row r="171" spans="28:68" ht="12.95" customHeight="1">
      <c r="AB171" s="2"/>
      <c r="AC171" s="2"/>
      <c r="AD171" s="2"/>
      <c r="AE171" s="2"/>
      <c r="AF171" s="2"/>
      <c r="AG171" s="2"/>
      <c r="AH171" s="2"/>
      <c r="AK171" s="78">
        <v>1008</v>
      </c>
      <c r="AL171" s="72" t="s">
        <v>808</v>
      </c>
      <c r="AM171" s="76">
        <v>0</v>
      </c>
      <c r="AN171" s="76" t="s">
        <v>546</v>
      </c>
      <c r="AO171" s="76" t="s">
        <v>546</v>
      </c>
      <c r="AP171" s="76" t="s">
        <v>546</v>
      </c>
      <c r="AQ171" s="141"/>
      <c r="AR171" s="134"/>
      <c r="AT171" s="35">
        <v>2523</v>
      </c>
      <c r="AU171" s="2" t="s">
        <v>302</v>
      </c>
      <c r="AV171" s="5">
        <v>111</v>
      </c>
      <c r="AW171" s="88">
        <v>1</v>
      </c>
      <c r="AX171" s="2"/>
      <c r="AY171" s="2"/>
      <c r="AZ171" s="2"/>
      <c r="BA171" s="5">
        <v>111</v>
      </c>
      <c r="BB171" s="2"/>
      <c r="BC171" s="2"/>
      <c r="BF171" s="21">
        <v>8800</v>
      </c>
      <c r="BG171" s="3" t="s">
        <v>738</v>
      </c>
      <c r="BH171" s="22">
        <v>200</v>
      </c>
      <c r="BI171" s="22">
        <v>1.7</v>
      </c>
      <c r="BJ171" s="3"/>
      <c r="BK171" s="3"/>
      <c r="BL171" s="3"/>
      <c r="BM171" s="3"/>
      <c r="BN171" s="3"/>
      <c r="BO171" s="22">
        <v>200</v>
      </c>
      <c r="BP171" s="91"/>
    </row>
    <row r="172" spans="28:68" ht="12.95" customHeight="1">
      <c r="AB172" s="3"/>
      <c r="AC172" s="20" t="s">
        <v>177</v>
      </c>
      <c r="AD172" s="47">
        <v>8730</v>
      </c>
      <c r="AE172" s="47">
        <v>2092</v>
      </c>
      <c r="AF172" s="47">
        <v>2392</v>
      </c>
      <c r="AG172" s="47">
        <v>2784</v>
      </c>
      <c r="AH172" s="47">
        <v>1462</v>
      </c>
      <c r="AK172" s="78">
        <v>1806</v>
      </c>
      <c r="AL172" s="72" t="s">
        <v>809</v>
      </c>
      <c r="AM172" s="76">
        <v>0</v>
      </c>
      <c r="AN172" s="76">
        <v>91</v>
      </c>
      <c r="AO172" s="76" t="s">
        <v>546</v>
      </c>
      <c r="AP172" s="76" t="s">
        <v>546</v>
      </c>
      <c r="AQ172" s="141"/>
      <c r="AR172" s="134"/>
      <c r="AT172" s="35">
        <v>7404</v>
      </c>
      <c r="AU172" s="2" t="s">
        <v>913</v>
      </c>
      <c r="AV172" s="5">
        <v>111</v>
      </c>
      <c r="AW172" s="88">
        <v>1</v>
      </c>
      <c r="AX172" s="2"/>
      <c r="AY172" s="2"/>
      <c r="AZ172" s="2"/>
      <c r="BA172" s="2"/>
      <c r="BB172" s="5">
        <v>36</v>
      </c>
      <c r="BC172" s="5">
        <v>75</v>
      </c>
      <c r="BF172" s="21">
        <v>8708</v>
      </c>
      <c r="BG172" s="3" t="s">
        <v>924</v>
      </c>
      <c r="BH172" s="22">
        <v>162</v>
      </c>
      <c r="BI172" s="22">
        <v>1.4</v>
      </c>
      <c r="BJ172" s="3"/>
      <c r="BK172" s="22">
        <v>148</v>
      </c>
      <c r="BL172" s="22">
        <v>14</v>
      </c>
      <c r="BM172" s="3"/>
      <c r="BN172" s="3"/>
      <c r="BO172" s="3"/>
      <c r="BP172" s="91"/>
    </row>
    <row r="173" spans="28:68" ht="12.95" customHeight="1">
      <c r="AB173" s="21">
        <v>2203</v>
      </c>
      <c r="AC173" s="2" t="s">
        <v>430</v>
      </c>
      <c r="AD173" s="47">
        <v>7506</v>
      </c>
      <c r="AE173" s="47">
        <v>1842</v>
      </c>
      <c r="AF173" s="47">
        <v>2236</v>
      </c>
      <c r="AG173" s="47">
        <v>2500</v>
      </c>
      <c r="AH173" s="5">
        <v>928</v>
      </c>
      <c r="AK173" s="78">
        <v>1901</v>
      </c>
      <c r="AL173" s="72" t="s">
        <v>810</v>
      </c>
      <c r="AM173" s="76">
        <v>0</v>
      </c>
      <c r="AN173" s="76">
        <v>3</v>
      </c>
      <c r="AO173" s="76">
        <v>9</v>
      </c>
      <c r="AP173" s="76" t="s">
        <v>546</v>
      </c>
      <c r="AQ173" s="141"/>
      <c r="AR173" s="134"/>
      <c r="AT173" s="35">
        <v>3006</v>
      </c>
      <c r="AU173" s="2" t="s">
        <v>317</v>
      </c>
      <c r="AV173" s="5">
        <v>103</v>
      </c>
      <c r="AW173" s="5">
        <v>0.9</v>
      </c>
      <c r="AX173" s="5">
        <v>53</v>
      </c>
      <c r="AY173" s="2"/>
      <c r="AZ173" s="5">
        <v>48</v>
      </c>
      <c r="BA173" s="5">
        <v>3</v>
      </c>
      <c r="BB173" s="2"/>
      <c r="BC173" s="2"/>
      <c r="BF173" s="21">
        <v>2710</v>
      </c>
      <c r="BG173" s="3" t="s">
        <v>959</v>
      </c>
      <c r="BH173" s="22">
        <v>131</v>
      </c>
      <c r="BI173" s="22">
        <v>1.1000000000000001</v>
      </c>
      <c r="BJ173" s="22">
        <v>81</v>
      </c>
      <c r="BK173" s="3"/>
      <c r="BL173" s="22">
        <v>4</v>
      </c>
      <c r="BM173" s="22">
        <v>46</v>
      </c>
      <c r="BN173" s="3"/>
      <c r="BO173" s="3"/>
      <c r="BP173" s="91"/>
    </row>
    <row r="174" spans="28:68" ht="12.95" customHeight="1">
      <c r="AB174" s="21">
        <v>2204</v>
      </c>
      <c r="AC174" s="2" t="s">
        <v>281</v>
      </c>
      <c r="AD174" s="5">
        <v>275</v>
      </c>
      <c r="AE174" s="5">
        <v>101</v>
      </c>
      <c r="AF174" s="5">
        <v>37</v>
      </c>
      <c r="AG174" s="5">
        <v>86</v>
      </c>
      <c r="AH174" s="5">
        <v>51</v>
      </c>
      <c r="AK174" s="78">
        <v>1902</v>
      </c>
      <c r="AL174" s="72" t="s">
        <v>730</v>
      </c>
      <c r="AM174" s="76">
        <v>91</v>
      </c>
      <c r="AN174" s="76" t="s">
        <v>546</v>
      </c>
      <c r="AO174" s="76">
        <v>4</v>
      </c>
      <c r="AP174" s="76" t="s">
        <v>546</v>
      </c>
      <c r="AQ174" s="141"/>
      <c r="AR174" s="134"/>
      <c r="AT174" s="35">
        <v>1602</v>
      </c>
      <c r="AU174" s="2" t="s">
        <v>557</v>
      </c>
      <c r="AV174" s="5">
        <v>96</v>
      </c>
      <c r="AW174" s="5">
        <v>0.9</v>
      </c>
      <c r="AX174" s="5">
        <v>96</v>
      </c>
      <c r="AY174" s="2"/>
      <c r="AZ174" s="2"/>
      <c r="BA174" s="2"/>
      <c r="BB174" s="2"/>
      <c r="BC174" s="2"/>
      <c r="BF174" s="21">
        <v>2208</v>
      </c>
      <c r="BG174" s="3" t="s">
        <v>365</v>
      </c>
      <c r="BH174" s="22">
        <v>120</v>
      </c>
      <c r="BI174" s="87">
        <v>1</v>
      </c>
      <c r="BJ174" s="22">
        <v>29</v>
      </c>
      <c r="BK174" s="3"/>
      <c r="BL174" s="22">
        <v>28</v>
      </c>
      <c r="BM174" s="22">
        <v>63</v>
      </c>
      <c r="BN174" s="3"/>
      <c r="BO174" s="3"/>
      <c r="BP174" s="91"/>
    </row>
    <row r="175" spans="28:68" ht="12.95" customHeight="1">
      <c r="AB175" s="40">
        <v>2208</v>
      </c>
      <c r="AC175" s="10" t="s">
        <v>365</v>
      </c>
      <c r="AD175" s="11">
        <v>949</v>
      </c>
      <c r="AE175" s="11">
        <v>149</v>
      </c>
      <c r="AF175" s="11">
        <v>119</v>
      </c>
      <c r="AG175" s="11">
        <v>198</v>
      </c>
      <c r="AH175" s="11">
        <v>483</v>
      </c>
      <c r="AK175" s="78">
        <v>1905</v>
      </c>
      <c r="AL175" s="72" t="s">
        <v>268</v>
      </c>
      <c r="AM175" s="76">
        <v>12</v>
      </c>
      <c r="AN175" s="76" t="s">
        <v>546</v>
      </c>
      <c r="AO175" s="76" t="s">
        <v>546</v>
      </c>
      <c r="AP175" s="76" t="s">
        <v>546</v>
      </c>
      <c r="AQ175" s="141"/>
      <c r="AR175" s="134"/>
      <c r="AT175" s="35">
        <v>7800</v>
      </c>
      <c r="AU175" s="2" t="s">
        <v>672</v>
      </c>
      <c r="AV175" s="5">
        <v>75</v>
      </c>
      <c r="AW175" s="5">
        <v>0.7</v>
      </c>
      <c r="AX175" s="2"/>
      <c r="AY175" s="5">
        <v>75</v>
      </c>
      <c r="AZ175" s="2"/>
      <c r="BA175" s="2"/>
      <c r="BB175" s="2"/>
      <c r="BC175" s="2"/>
      <c r="BF175" s="21">
        <v>2403</v>
      </c>
      <c r="BG175" s="3" t="s">
        <v>617</v>
      </c>
      <c r="BH175" s="22">
        <v>91</v>
      </c>
      <c r="BI175" s="22">
        <v>0.8</v>
      </c>
      <c r="BJ175" s="22">
        <v>91</v>
      </c>
      <c r="BK175" s="3"/>
      <c r="BL175" s="3"/>
      <c r="BM175" s="3"/>
      <c r="BN175" s="3"/>
      <c r="BO175" s="3"/>
      <c r="BP175" s="91"/>
    </row>
    <row r="176" spans="28:68" ht="12.95" customHeight="1">
      <c r="AB176" s="13" t="s">
        <v>174</v>
      </c>
      <c r="AC176" s="14"/>
      <c r="AD176" s="14"/>
      <c r="AE176" s="14"/>
      <c r="AF176" s="14"/>
      <c r="AG176" s="14"/>
      <c r="AH176" s="14"/>
      <c r="AK176" s="78">
        <v>2005</v>
      </c>
      <c r="AL176" s="72" t="s">
        <v>269</v>
      </c>
      <c r="AM176" s="76">
        <v>4</v>
      </c>
      <c r="AN176" s="76">
        <v>39</v>
      </c>
      <c r="AO176" s="76">
        <v>37</v>
      </c>
      <c r="AP176" s="76">
        <v>15</v>
      </c>
      <c r="AQ176" s="141"/>
      <c r="AR176" s="134"/>
      <c r="AT176" s="35">
        <v>2204</v>
      </c>
      <c r="AU176" s="2" t="s">
        <v>281</v>
      </c>
      <c r="AV176" s="5">
        <v>69</v>
      </c>
      <c r="AW176" s="5">
        <v>0.6</v>
      </c>
      <c r="AX176" s="5">
        <v>41</v>
      </c>
      <c r="AY176" s="2"/>
      <c r="AZ176" s="5">
        <v>5</v>
      </c>
      <c r="BA176" s="5">
        <v>23</v>
      </c>
      <c r="BB176" s="2"/>
      <c r="BC176" s="2"/>
      <c r="BF176" s="21">
        <v>3006</v>
      </c>
      <c r="BG176" s="3" t="s">
        <v>317</v>
      </c>
      <c r="BH176" s="22">
        <v>84</v>
      </c>
      <c r="BI176" s="22">
        <v>0.7</v>
      </c>
      <c r="BJ176" s="3"/>
      <c r="BK176" s="3"/>
      <c r="BL176" s="22">
        <v>43</v>
      </c>
      <c r="BM176" s="22">
        <v>41</v>
      </c>
      <c r="BN176" s="3"/>
      <c r="BO176" s="3"/>
      <c r="BP176" s="91"/>
    </row>
    <row r="177" spans="28:68" ht="12.95" customHeight="1">
      <c r="AB177" s="13" t="s">
        <v>637</v>
      </c>
      <c r="AC177" s="30"/>
      <c r="AD177" s="14"/>
      <c r="AE177" s="14"/>
      <c r="AF177" s="14"/>
      <c r="AG177" s="14"/>
      <c r="AH177" s="14"/>
      <c r="AK177" s="78">
        <v>2101</v>
      </c>
      <c r="AL177" s="72" t="s">
        <v>556</v>
      </c>
      <c r="AM177" s="76">
        <v>0</v>
      </c>
      <c r="AN177" s="76">
        <v>8</v>
      </c>
      <c r="AO177" s="76">
        <v>15</v>
      </c>
      <c r="AP177" s="76">
        <v>9</v>
      </c>
      <c r="AQ177" s="141"/>
      <c r="AR177" s="134"/>
      <c r="AT177" s="35">
        <v>2710</v>
      </c>
      <c r="AU177" s="2" t="s">
        <v>618</v>
      </c>
      <c r="AV177" s="5">
        <v>66</v>
      </c>
      <c r="AW177" s="5">
        <v>0.6</v>
      </c>
      <c r="AX177" s="5">
        <v>31</v>
      </c>
      <c r="AY177" s="2"/>
      <c r="AZ177" s="5">
        <v>35</v>
      </c>
      <c r="BA177" s="2"/>
      <c r="BB177" s="2"/>
      <c r="BC177" s="2"/>
      <c r="BF177" s="56" t="s">
        <v>338</v>
      </c>
      <c r="BG177" s="3" t="s">
        <v>640</v>
      </c>
      <c r="BH177" s="22">
        <v>65</v>
      </c>
      <c r="BI177" s="22">
        <v>0.5</v>
      </c>
      <c r="BJ177" s="22">
        <v>57</v>
      </c>
      <c r="BK177" s="3"/>
      <c r="BL177" s="3"/>
      <c r="BM177" s="22">
        <v>8</v>
      </c>
      <c r="BN177" s="3"/>
      <c r="BO177" s="3"/>
      <c r="BP177" s="91"/>
    </row>
    <row r="178" spans="28:68" ht="12.95" customHeight="1">
      <c r="AB178" s="13" t="s">
        <v>714</v>
      </c>
      <c r="AC178" s="30"/>
      <c r="AD178" s="14"/>
      <c r="AE178" s="14"/>
      <c r="AF178" s="14"/>
      <c r="AG178" s="14"/>
      <c r="AH178" s="14"/>
      <c r="AK178" s="78">
        <v>2103</v>
      </c>
      <c r="AL178" s="72" t="s">
        <v>273</v>
      </c>
      <c r="AM178" s="76">
        <v>91</v>
      </c>
      <c r="AN178" s="76" t="s">
        <v>546</v>
      </c>
      <c r="AO178" s="76" t="s">
        <v>546</v>
      </c>
      <c r="AP178" s="76" t="s">
        <v>546</v>
      </c>
      <c r="AQ178" s="141"/>
      <c r="AR178" s="134"/>
      <c r="AT178" s="35">
        <v>1902</v>
      </c>
      <c r="AU178" s="2" t="s">
        <v>560</v>
      </c>
      <c r="AV178" s="5">
        <v>66</v>
      </c>
      <c r="AW178" s="5">
        <v>0.6</v>
      </c>
      <c r="AX178" s="5">
        <v>66</v>
      </c>
      <c r="AY178" s="2"/>
      <c r="AZ178" s="2"/>
      <c r="BA178" s="2"/>
      <c r="BB178" s="2"/>
      <c r="BC178" s="2"/>
      <c r="BF178" s="56" t="s">
        <v>701</v>
      </c>
      <c r="BG178" s="3" t="s">
        <v>556</v>
      </c>
      <c r="BH178" s="22">
        <v>61</v>
      </c>
      <c r="BI178" s="22">
        <v>0.5</v>
      </c>
      <c r="BJ178" s="22">
        <v>61</v>
      </c>
      <c r="BK178" s="3"/>
      <c r="BL178" s="3"/>
      <c r="BM178" s="3"/>
      <c r="BN178" s="3"/>
      <c r="BO178" s="3"/>
      <c r="BP178" s="91"/>
    </row>
    <row r="179" spans="28:68" ht="12.95" customHeight="1">
      <c r="AB179" s="13"/>
      <c r="AC179" s="30"/>
      <c r="AD179" s="14"/>
      <c r="AE179" s="14"/>
      <c r="AF179" s="14"/>
      <c r="AG179" s="14"/>
      <c r="AH179" s="14"/>
      <c r="AK179" s="78">
        <v>2106</v>
      </c>
      <c r="AL179" s="72" t="s">
        <v>276</v>
      </c>
      <c r="AM179" s="76">
        <v>32</v>
      </c>
      <c r="AN179" s="76" t="s">
        <v>546</v>
      </c>
      <c r="AO179" s="76" t="s">
        <v>546</v>
      </c>
      <c r="AP179" s="76">
        <v>37</v>
      </c>
      <c r="AQ179" s="141"/>
      <c r="AR179" s="134"/>
      <c r="AT179" s="35">
        <v>2403</v>
      </c>
      <c r="AU179" s="2" t="s">
        <v>914</v>
      </c>
      <c r="AV179" s="5">
        <v>58</v>
      </c>
      <c r="AW179" s="5">
        <v>0.5</v>
      </c>
      <c r="AX179" s="5">
        <v>58</v>
      </c>
      <c r="AY179" s="2"/>
      <c r="AZ179" s="2"/>
      <c r="BA179" s="2"/>
      <c r="BB179" s="2"/>
      <c r="BC179" s="2"/>
      <c r="BF179" s="21">
        <v>6402</v>
      </c>
      <c r="BG179" s="3" t="s">
        <v>291</v>
      </c>
      <c r="BH179" s="22">
        <v>56</v>
      </c>
      <c r="BI179" s="22">
        <v>0.5</v>
      </c>
      <c r="BJ179" s="3"/>
      <c r="BK179" s="3"/>
      <c r="BL179" s="3"/>
      <c r="BM179" s="3"/>
      <c r="BN179" s="3"/>
      <c r="BO179" s="22">
        <v>56</v>
      </c>
      <c r="BP179" s="91"/>
    </row>
    <row r="180" spans="28:68" ht="12.95" customHeight="1">
      <c r="AB180" s="13"/>
      <c r="AC180" s="30"/>
      <c r="AD180" s="14"/>
      <c r="AE180" s="14"/>
      <c r="AF180" s="14"/>
      <c r="AG180" s="14"/>
      <c r="AH180" s="14"/>
      <c r="AK180" s="78">
        <v>2201</v>
      </c>
      <c r="AL180" s="72" t="s">
        <v>811</v>
      </c>
      <c r="AM180" s="76">
        <v>0</v>
      </c>
      <c r="AN180" s="76" t="s">
        <v>546</v>
      </c>
      <c r="AO180" s="76" t="s">
        <v>546</v>
      </c>
      <c r="AP180" s="76">
        <v>3</v>
      </c>
      <c r="AQ180" s="141"/>
      <c r="AR180" s="134"/>
      <c r="AT180" s="35">
        <v>3800</v>
      </c>
      <c r="AU180" s="2" t="s">
        <v>624</v>
      </c>
      <c r="AV180" s="5">
        <v>52</v>
      </c>
      <c r="AW180" s="5">
        <v>0.5</v>
      </c>
      <c r="AX180" s="2"/>
      <c r="AY180" s="2"/>
      <c r="AZ180" s="2"/>
      <c r="BA180" s="5">
        <v>52</v>
      </c>
      <c r="BB180" s="2"/>
      <c r="BC180" s="2"/>
      <c r="BF180" s="129" t="s">
        <v>339</v>
      </c>
      <c r="BG180" s="23" t="s">
        <v>247</v>
      </c>
      <c r="BH180" s="29">
        <v>51</v>
      </c>
      <c r="BI180" s="29">
        <v>0.4</v>
      </c>
      <c r="BJ180" s="29">
        <v>51</v>
      </c>
      <c r="BK180" s="23"/>
      <c r="BL180" s="23"/>
      <c r="BM180" s="23"/>
      <c r="BN180" s="23"/>
      <c r="BO180" s="23"/>
      <c r="BP180" s="91"/>
    </row>
    <row r="181" spans="28:68" ht="12" customHeight="1">
      <c r="AB181" s="13"/>
      <c r="AC181" s="30"/>
      <c r="AD181" s="14"/>
      <c r="AE181" s="14"/>
      <c r="AF181" s="14"/>
      <c r="AG181" s="14"/>
      <c r="AH181" s="14"/>
      <c r="AK181" s="78">
        <v>2202</v>
      </c>
      <c r="AL181" s="72" t="s">
        <v>278</v>
      </c>
      <c r="AM181" s="76">
        <v>37</v>
      </c>
      <c r="AN181" s="76">
        <v>80</v>
      </c>
      <c r="AO181" s="76">
        <v>156</v>
      </c>
      <c r="AP181" s="76">
        <v>112</v>
      </c>
      <c r="AQ181" s="141"/>
      <c r="AR181" s="134"/>
      <c r="AT181" s="2064" t="s">
        <v>174</v>
      </c>
      <c r="AU181" s="2064"/>
      <c r="AV181" s="2064"/>
      <c r="AW181" s="2064"/>
      <c r="AX181" s="2064"/>
      <c r="AY181" s="2064"/>
      <c r="AZ181" s="8"/>
      <c r="BA181" s="8"/>
      <c r="BB181" s="8"/>
      <c r="BC181" s="8"/>
      <c r="BF181" s="2323" t="s">
        <v>174</v>
      </c>
      <c r="BG181" s="2323"/>
      <c r="BH181" s="2323"/>
      <c r="BI181" s="2323"/>
      <c r="BJ181" s="2323"/>
      <c r="BK181" s="2323"/>
      <c r="BL181" s="2323"/>
      <c r="BM181" s="2323"/>
      <c r="BN181" s="2"/>
      <c r="BO181" s="2"/>
    </row>
    <row r="182" spans="28:68" ht="12" customHeight="1">
      <c r="AB182" s="1" t="s">
        <v>776</v>
      </c>
      <c r="AC182" s="2"/>
      <c r="AD182" s="2"/>
      <c r="AE182" s="2"/>
      <c r="AF182" s="2"/>
      <c r="AG182" s="2"/>
      <c r="AH182" s="2"/>
      <c r="AK182" s="72"/>
      <c r="AL182" s="72"/>
      <c r="AM182" s="72"/>
      <c r="AN182" s="72"/>
      <c r="AO182" s="72"/>
      <c r="AP182" s="72"/>
      <c r="AQ182" s="141"/>
      <c r="AR182" s="134"/>
      <c r="AT182" s="2045" t="s">
        <v>857</v>
      </c>
      <c r="AU182" s="2045"/>
      <c r="AV182" s="14"/>
      <c r="AW182" s="14"/>
      <c r="AX182" s="14"/>
      <c r="AY182" s="14"/>
      <c r="AZ182" s="2"/>
      <c r="BA182" s="2"/>
      <c r="BB182" s="2"/>
      <c r="BC182" s="2"/>
      <c r="BF182" s="2045" t="s">
        <v>857</v>
      </c>
      <c r="BG182" s="2045"/>
      <c r="BH182" s="14"/>
      <c r="BI182" s="14"/>
      <c r="BJ182" s="14"/>
      <c r="BK182" s="14"/>
      <c r="BL182" s="14"/>
      <c r="BM182" s="14"/>
      <c r="BN182" s="2"/>
      <c r="BO182" s="2"/>
    </row>
    <row r="183" spans="28:68" ht="12" customHeight="1">
      <c r="AB183" s="1" t="s">
        <v>127</v>
      </c>
      <c r="AC183" s="2"/>
      <c r="AD183" s="2"/>
      <c r="AE183" s="2"/>
      <c r="AF183" s="2"/>
      <c r="AG183" s="2"/>
      <c r="AH183" s="2"/>
      <c r="AK183" s="74"/>
      <c r="AL183" s="153" t="s">
        <v>177</v>
      </c>
      <c r="AM183" s="77">
        <v>10430</v>
      </c>
      <c r="AN183" s="77">
        <v>2074</v>
      </c>
      <c r="AO183" s="77">
        <v>2048</v>
      </c>
      <c r="AP183" s="77">
        <v>1436</v>
      </c>
      <c r="AQ183" s="141"/>
      <c r="AR183" s="134"/>
      <c r="AT183" s="2045" t="s">
        <v>858</v>
      </c>
      <c r="AU183" s="2045"/>
      <c r="AV183" s="14"/>
      <c r="AW183" s="14"/>
      <c r="AX183" s="14"/>
      <c r="AY183" s="14"/>
      <c r="AZ183" s="2"/>
      <c r="BA183" s="2"/>
      <c r="BB183" s="2"/>
      <c r="BC183" s="2"/>
      <c r="BF183" s="2045" t="s">
        <v>858</v>
      </c>
      <c r="BG183" s="2045"/>
      <c r="BH183" s="14"/>
      <c r="BI183" s="14"/>
      <c r="BJ183" s="14"/>
      <c r="BK183" s="14"/>
      <c r="BL183" s="14"/>
      <c r="BM183" s="14"/>
      <c r="BN183" s="2"/>
      <c r="BO183" s="2"/>
    </row>
    <row r="184" spans="28:68" ht="12.95" customHeight="1">
      <c r="AB184" s="130"/>
      <c r="AC184" s="8"/>
      <c r="AD184" s="107" t="s">
        <v>119</v>
      </c>
      <c r="AE184" s="96" t="s">
        <v>540</v>
      </c>
      <c r="AF184" s="107" t="s">
        <v>541</v>
      </c>
      <c r="AG184" s="96" t="s">
        <v>542</v>
      </c>
      <c r="AH184" s="107" t="s">
        <v>724</v>
      </c>
      <c r="AK184" s="78">
        <v>2203</v>
      </c>
      <c r="AL184" s="72" t="s">
        <v>430</v>
      </c>
      <c r="AM184" s="76">
        <v>0</v>
      </c>
      <c r="AN184" s="77">
        <v>1851</v>
      </c>
      <c r="AO184" s="77">
        <v>1805</v>
      </c>
      <c r="AP184" s="77">
        <v>1216</v>
      </c>
      <c r="AQ184" s="141"/>
      <c r="AR184" s="134"/>
      <c r="AT184" s="2"/>
      <c r="AU184" s="2"/>
      <c r="AV184" s="2"/>
      <c r="AW184" s="2"/>
      <c r="AX184" s="2"/>
      <c r="AY184" s="2"/>
      <c r="AZ184" s="2"/>
      <c r="BA184" s="2"/>
      <c r="BB184" s="2"/>
      <c r="BC184" s="2"/>
      <c r="BF184" s="2"/>
      <c r="BG184" s="2"/>
      <c r="BH184" s="2"/>
      <c r="BI184" s="2"/>
      <c r="BJ184" s="2"/>
      <c r="BK184" s="2"/>
      <c r="BL184" s="2"/>
      <c r="BM184" s="2"/>
      <c r="BN184" s="2"/>
      <c r="BO184" s="2"/>
    </row>
    <row r="185" spans="28:68" ht="12.95" customHeight="1">
      <c r="AB185" s="111" t="s">
        <v>135</v>
      </c>
      <c r="AC185" s="10" t="s">
        <v>136</v>
      </c>
      <c r="AD185" s="29" t="s">
        <v>544</v>
      </c>
      <c r="AE185" s="97" t="s">
        <v>45</v>
      </c>
      <c r="AF185" s="29" t="s">
        <v>44</v>
      </c>
      <c r="AG185" s="97" t="s">
        <v>43</v>
      </c>
      <c r="AH185" s="29" t="s">
        <v>42</v>
      </c>
      <c r="AK185" s="78">
        <v>2204</v>
      </c>
      <c r="AL185" s="72" t="s">
        <v>281</v>
      </c>
      <c r="AM185" s="77">
        <v>5558</v>
      </c>
      <c r="AN185" s="76">
        <v>61</v>
      </c>
      <c r="AO185" s="76">
        <v>15</v>
      </c>
      <c r="AP185" s="76">
        <v>13</v>
      </c>
      <c r="AQ185" s="141"/>
      <c r="AR185" s="134"/>
      <c r="AT185" s="2"/>
      <c r="AU185" s="2"/>
      <c r="AV185" s="2"/>
      <c r="AW185" s="2"/>
      <c r="AX185" s="2"/>
      <c r="AY185" s="2"/>
      <c r="AZ185" s="2"/>
      <c r="BA185" s="2"/>
      <c r="BB185" s="2"/>
      <c r="BC185" s="2"/>
      <c r="BF185" s="2"/>
      <c r="BG185" s="2"/>
      <c r="BH185" s="2"/>
      <c r="BI185" s="2"/>
      <c r="BJ185" s="2"/>
      <c r="BK185" s="2"/>
      <c r="BL185" s="2"/>
      <c r="BM185" s="2"/>
      <c r="BN185" s="2"/>
      <c r="BO185" s="2"/>
    </row>
    <row r="186" spans="28:68" ht="12.95" customHeight="1">
      <c r="AB186" s="3"/>
      <c r="AC186" s="20" t="s">
        <v>366</v>
      </c>
      <c r="AD186" s="47">
        <v>6656</v>
      </c>
      <c r="AE186" s="47">
        <v>1540</v>
      </c>
      <c r="AF186" s="47">
        <v>1784</v>
      </c>
      <c r="AG186" s="47">
        <v>1305</v>
      </c>
      <c r="AH186" s="47">
        <v>2027</v>
      </c>
      <c r="AK186" s="78">
        <v>2208</v>
      </c>
      <c r="AL186" s="72" t="s">
        <v>365</v>
      </c>
      <c r="AM186" s="77">
        <v>4872</v>
      </c>
      <c r="AN186" s="76">
        <v>162</v>
      </c>
      <c r="AO186" s="76">
        <v>228</v>
      </c>
      <c r="AP186" s="76">
        <v>207</v>
      </c>
      <c r="AQ186" s="141"/>
      <c r="AR186" s="134"/>
      <c r="AT186" s="2"/>
      <c r="AU186" s="2"/>
      <c r="AV186" s="2"/>
      <c r="AW186" s="2"/>
      <c r="AX186" s="2"/>
      <c r="AY186" s="2"/>
      <c r="AZ186" s="2"/>
      <c r="BA186" s="2"/>
      <c r="BB186" s="2"/>
      <c r="BC186" s="2"/>
      <c r="BF186" s="2"/>
      <c r="BG186" s="2"/>
      <c r="BH186" s="2"/>
      <c r="BI186" s="2"/>
      <c r="BJ186" s="2"/>
      <c r="BK186" s="2"/>
      <c r="BL186" s="2"/>
      <c r="BM186" s="2"/>
      <c r="BN186" s="2"/>
      <c r="BO186" s="2"/>
    </row>
    <row r="187" spans="28:68" ht="12" customHeight="1">
      <c r="AB187" s="21">
        <v>4011</v>
      </c>
      <c r="AC187" s="2" t="s">
        <v>567</v>
      </c>
      <c r="AD187" s="5">
        <v>322</v>
      </c>
      <c r="AE187" s="5">
        <v>74</v>
      </c>
      <c r="AF187" s="5">
        <v>7</v>
      </c>
      <c r="AG187" s="5">
        <v>180</v>
      </c>
      <c r="AH187" s="5">
        <v>61</v>
      </c>
      <c r="AK187" s="72"/>
      <c r="AL187" s="72"/>
      <c r="AM187" s="72"/>
      <c r="AN187" s="72"/>
      <c r="AO187" s="72"/>
      <c r="AP187" s="72"/>
      <c r="AQ187" s="141"/>
      <c r="AR187" s="134"/>
      <c r="AT187" s="2036" t="s">
        <v>915</v>
      </c>
      <c r="AU187" s="2036"/>
      <c r="AV187" s="2036"/>
      <c r="AW187" s="2036"/>
      <c r="AX187" s="2036"/>
      <c r="AY187" s="2"/>
      <c r="AZ187" s="2"/>
      <c r="BA187" s="2"/>
      <c r="BB187" s="2"/>
      <c r="BC187" s="2"/>
      <c r="BF187" s="2036" t="s">
        <v>973</v>
      </c>
      <c r="BG187" s="2036"/>
      <c r="BH187" s="2036"/>
      <c r="BI187" s="2036"/>
      <c r="BJ187" s="2036"/>
      <c r="BK187" s="2036"/>
      <c r="BL187" s="2"/>
      <c r="BM187" s="2"/>
      <c r="BN187" s="2"/>
      <c r="BO187" s="2"/>
    </row>
    <row r="188" spans="28:68" ht="12" customHeight="1">
      <c r="AB188" s="21">
        <v>8600</v>
      </c>
      <c r="AC188" s="2" t="s">
        <v>736</v>
      </c>
      <c r="AD188" s="5">
        <v>8</v>
      </c>
      <c r="AE188" s="5" t="s">
        <v>546</v>
      </c>
      <c r="AF188" s="5" t="s">
        <v>546</v>
      </c>
      <c r="AG188" s="5">
        <v>8</v>
      </c>
      <c r="AH188" s="5" t="s">
        <v>546</v>
      </c>
      <c r="AK188" s="74"/>
      <c r="AL188" s="153" t="s">
        <v>366</v>
      </c>
      <c r="AM188" s="77">
        <v>9142</v>
      </c>
      <c r="AN188" s="77">
        <v>1644</v>
      </c>
      <c r="AO188" s="77">
        <v>1376</v>
      </c>
      <c r="AP188" s="77">
        <v>1578</v>
      </c>
      <c r="AQ188" s="141"/>
      <c r="AR188" s="134"/>
      <c r="AT188" s="2055" t="s">
        <v>127</v>
      </c>
      <c r="AU188" s="2055"/>
      <c r="AV188" s="2"/>
      <c r="AW188" s="2"/>
      <c r="AX188" s="2"/>
      <c r="AY188" s="2"/>
      <c r="AZ188" s="2"/>
      <c r="BA188" s="2"/>
      <c r="BB188" s="2"/>
      <c r="BC188" s="2"/>
      <c r="BF188" s="2036" t="s">
        <v>127</v>
      </c>
      <c r="BG188" s="2036"/>
      <c r="BH188" s="2"/>
      <c r="BI188" s="2"/>
      <c r="BJ188" s="2"/>
      <c r="BK188" s="2"/>
      <c r="BL188" s="2"/>
      <c r="BM188" s="2"/>
      <c r="BN188" s="2"/>
      <c r="BO188" s="2"/>
    </row>
    <row r="189" spans="28:68" ht="12.75" customHeight="1">
      <c r="AB189" s="21">
        <v>8703</v>
      </c>
      <c r="AC189" s="2" t="s">
        <v>654</v>
      </c>
      <c r="AD189" s="47">
        <v>5117</v>
      </c>
      <c r="AE189" s="47">
        <v>1388</v>
      </c>
      <c r="AF189" s="47">
        <v>1152</v>
      </c>
      <c r="AG189" s="5">
        <v>961</v>
      </c>
      <c r="AH189" s="47">
        <v>1616</v>
      </c>
      <c r="AK189" s="78">
        <v>4011</v>
      </c>
      <c r="AL189" s="72" t="s">
        <v>567</v>
      </c>
      <c r="AM189" s="76">
        <v>0</v>
      </c>
      <c r="AN189" s="76">
        <v>31</v>
      </c>
      <c r="AO189" s="76">
        <v>8</v>
      </c>
      <c r="AP189" s="76">
        <v>26</v>
      </c>
      <c r="AQ189" s="141"/>
      <c r="AR189" s="134"/>
      <c r="AT189" s="108"/>
      <c r="AU189" s="191"/>
      <c r="AV189" s="189" t="s">
        <v>916</v>
      </c>
      <c r="AW189" s="69" t="s">
        <v>841</v>
      </c>
      <c r="AX189" s="2057" t="s">
        <v>842</v>
      </c>
      <c r="AY189" s="2057"/>
      <c r="AZ189" s="2057"/>
      <c r="BA189" s="2057"/>
      <c r="BB189" s="2057"/>
      <c r="BC189" s="2057"/>
      <c r="BF189" s="8"/>
      <c r="BG189" s="188"/>
      <c r="BH189" s="189" t="s">
        <v>974</v>
      </c>
      <c r="BI189" s="69" t="s">
        <v>841</v>
      </c>
      <c r="BJ189" s="2057" t="s">
        <v>842</v>
      </c>
      <c r="BK189" s="2057"/>
      <c r="BL189" s="2057"/>
      <c r="BM189" s="2057"/>
      <c r="BN189" s="2057"/>
      <c r="BO189" s="2057"/>
    </row>
    <row r="190" spans="28:68" ht="12.95" customHeight="1">
      <c r="AB190" s="21">
        <v>8704</v>
      </c>
      <c r="AC190" s="2" t="s">
        <v>655</v>
      </c>
      <c r="AD190" s="5">
        <v>211</v>
      </c>
      <c r="AE190" s="5" t="s">
        <v>546</v>
      </c>
      <c r="AF190" s="5">
        <v>211</v>
      </c>
      <c r="AG190" s="5" t="s">
        <v>546</v>
      </c>
      <c r="AH190" s="5" t="s">
        <v>546</v>
      </c>
      <c r="AK190" s="78">
        <v>8703</v>
      </c>
      <c r="AL190" s="72" t="s">
        <v>654</v>
      </c>
      <c r="AM190" s="77">
        <v>4598</v>
      </c>
      <c r="AN190" s="77">
        <v>1462</v>
      </c>
      <c r="AO190" s="77">
        <v>1341</v>
      </c>
      <c r="AP190" s="77">
        <v>1348</v>
      </c>
      <c r="AQ190" s="141"/>
      <c r="AR190" s="134"/>
      <c r="AT190" s="23" t="s">
        <v>135</v>
      </c>
      <c r="AU190" s="192" t="s">
        <v>843</v>
      </c>
      <c r="AV190" s="40" t="s">
        <v>844</v>
      </c>
      <c r="AW190" s="70" t="s">
        <v>129</v>
      </c>
      <c r="AX190" s="26" t="s">
        <v>845</v>
      </c>
      <c r="AY190" s="26" t="s">
        <v>847</v>
      </c>
      <c r="AZ190" s="26" t="s">
        <v>393</v>
      </c>
      <c r="BA190" s="26" t="s">
        <v>528</v>
      </c>
      <c r="BB190" s="26" t="s">
        <v>399</v>
      </c>
      <c r="BC190" s="27" t="s">
        <v>394</v>
      </c>
      <c r="BF190" s="10" t="s">
        <v>135</v>
      </c>
      <c r="BG190" s="183" t="s">
        <v>843</v>
      </c>
      <c r="BH190" s="40" t="s">
        <v>844</v>
      </c>
      <c r="BI190" s="70" t="s">
        <v>129</v>
      </c>
      <c r="BJ190" s="26" t="s">
        <v>845</v>
      </c>
      <c r="BK190" s="26" t="s">
        <v>390</v>
      </c>
      <c r="BL190" s="26" t="s">
        <v>941</v>
      </c>
      <c r="BM190" s="26" t="s">
        <v>528</v>
      </c>
      <c r="BN190" s="26" t="s">
        <v>399</v>
      </c>
      <c r="BO190" s="27" t="s">
        <v>394</v>
      </c>
    </row>
    <row r="191" spans="28:68" ht="12.95" customHeight="1">
      <c r="AB191" s="21">
        <v>8708</v>
      </c>
      <c r="AC191" s="2" t="s">
        <v>295</v>
      </c>
      <c r="AD191" s="5">
        <v>678</v>
      </c>
      <c r="AE191" s="5">
        <v>38</v>
      </c>
      <c r="AF191" s="5">
        <v>162</v>
      </c>
      <c r="AG191" s="5">
        <v>128</v>
      </c>
      <c r="AH191" s="5">
        <v>350</v>
      </c>
      <c r="AK191" s="78">
        <v>8704</v>
      </c>
      <c r="AL191" s="72" t="s">
        <v>367</v>
      </c>
      <c r="AM191" s="76">
        <v>65</v>
      </c>
      <c r="AN191" s="76" t="s">
        <v>546</v>
      </c>
      <c r="AO191" s="76" t="s">
        <v>546</v>
      </c>
      <c r="AP191" s="76">
        <v>199</v>
      </c>
      <c r="AQ191" s="141"/>
      <c r="AR191" s="134"/>
      <c r="AT191" s="3"/>
      <c r="AU191" s="3" t="s">
        <v>129</v>
      </c>
      <c r="AV191" s="53">
        <v>13136</v>
      </c>
      <c r="AW191" s="87">
        <v>100</v>
      </c>
      <c r="AX191" s="53">
        <v>5185</v>
      </c>
      <c r="AY191" s="53">
        <v>2357</v>
      </c>
      <c r="AZ191" s="53">
        <v>1710</v>
      </c>
      <c r="BA191" s="53">
        <v>1761</v>
      </c>
      <c r="BB191" s="22">
        <v>493</v>
      </c>
      <c r="BC191" s="53">
        <v>1631</v>
      </c>
      <c r="BF191" s="108"/>
      <c r="BG191" s="108" t="s">
        <v>129</v>
      </c>
      <c r="BH191" s="132">
        <v>11201</v>
      </c>
      <c r="BI191" s="198">
        <v>100</v>
      </c>
      <c r="BJ191" s="132">
        <v>6832</v>
      </c>
      <c r="BK191" s="132">
        <v>1212</v>
      </c>
      <c r="BL191" s="107">
        <v>875</v>
      </c>
      <c r="BM191" s="107">
        <v>693</v>
      </c>
      <c r="BN191" s="107">
        <v>557</v>
      </c>
      <c r="BO191" s="132">
        <v>1032</v>
      </c>
    </row>
    <row r="192" spans="28:68" ht="12.95" customHeight="1">
      <c r="AB192" s="21">
        <v>8716</v>
      </c>
      <c r="AC192" s="2" t="s">
        <v>737</v>
      </c>
      <c r="AD192" s="5">
        <v>40</v>
      </c>
      <c r="AE192" s="5" t="s">
        <v>546</v>
      </c>
      <c r="AF192" s="5">
        <v>12</v>
      </c>
      <c r="AG192" s="5">
        <v>28</v>
      </c>
      <c r="AH192" s="5" t="s">
        <v>546</v>
      </c>
      <c r="AK192" s="78">
        <v>8708</v>
      </c>
      <c r="AL192" s="72" t="s">
        <v>295</v>
      </c>
      <c r="AM192" s="77">
        <v>4151</v>
      </c>
      <c r="AN192" s="76">
        <v>97</v>
      </c>
      <c r="AO192" s="76">
        <v>27</v>
      </c>
      <c r="AP192" s="76">
        <v>5</v>
      </c>
      <c r="AQ192" s="141"/>
      <c r="AR192" s="134"/>
      <c r="AT192" s="35">
        <v>2203</v>
      </c>
      <c r="AU192" s="2" t="s">
        <v>430</v>
      </c>
      <c r="AV192" s="47">
        <v>2470</v>
      </c>
      <c r="AW192" s="5">
        <v>18.8</v>
      </c>
      <c r="AX192" s="47">
        <v>1355</v>
      </c>
      <c r="AY192" s="5">
        <v>904</v>
      </c>
      <c r="AZ192" s="2"/>
      <c r="BA192" s="5">
        <v>147</v>
      </c>
      <c r="BB192" s="2"/>
      <c r="BC192" s="5">
        <v>64</v>
      </c>
      <c r="BF192" s="21">
        <v>2203</v>
      </c>
      <c r="BG192" s="3" t="s">
        <v>280</v>
      </c>
      <c r="BH192" s="53">
        <v>2501</v>
      </c>
      <c r="BI192" s="22">
        <v>22.3</v>
      </c>
      <c r="BJ192" s="53">
        <v>1941</v>
      </c>
      <c r="BK192" s="3"/>
      <c r="BL192" s="22">
        <v>366</v>
      </c>
      <c r="BM192" s="22">
        <v>194</v>
      </c>
      <c r="BN192" s="3"/>
      <c r="BO192" s="3"/>
    </row>
    <row r="193" spans="28:67" ht="12.95" customHeight="1">
      <c r="AB193" s="21">
        <v>8800</v>
      </c>
      <c r="AC193" s="2" t="s">
        <v>738</v>
      </c>
      <c r="AD193" s="5">
        <v>200</v>
      </c>
      <c r="AE193" s="5" t="s">
        <v>546</v>
      </c>
      <c r="AF193" s="5">
        <v>200</v>
      </c>
      <c r="AG193" s="5" t="s">
        <v>546</v>
      </c>
      <c r="AH193" s="5" t="s">
        <v>546</v>
      </c>
      <c r="AK193" s="78">
        <v>8716</v>
      </c>
      <c r="AL193" s="72" t="s">
        <v>812</v>
      </c>
      <c r="AM193" s="76">
        <v>199</v>
      </c>
      <c r="AN193" s="76">
        <v>46</v>
      </c>
      <c r="AO193" s="76" t="s">
        <v>546</v>
      </c>
      <c r="AP193" s="76" t="s">
        <v>546</v>
      </c>
      <c r="AQ193" s="141"/>
      <c r="AR193" s="134"/>
      <c r="AT193" s="35">
        <v>2402</v>
      </c>
      <c r="AU193" s="2" t="s">
        <v>616</v>
      </c>
      <c r="AV193" s="47">
        <v>1873</v>
      </c>
      <c r="AW193" s="5">
        <v>14.3</v>
      </c>
      <c r="AX193" s="47">
        <v>1275</v>
      </c>
      <c r="AY193" s="5">
        <v>476</v>
      </c>
      <c r="AZ193" s="2"/>
      <c r="BA193" s="5">
        <v>101</v>
      </c>
      <c r="BB193" s="2"/>
      <c r="BC193" s="5">
        <v>21</v>
      </c>
      <c r="BF193" s="21">
        <v>2402</v>
      </c>
      <c r="BG193" s="3" t="s">
        <v>616</v>
      </c>
      <c r="BH193" s="53">
        <v>2651</v>
      </c>
      <c r="BI193" s="22">
        <v>23.7</v>
      </c>
      <c r="BJ193" s="53">
        <v>2022</v>
      </c>
      <c r="BK193" s="3"/>
      <c r="BL193" s="22">
        <v>254</v>
      </c>
      <c r="BM193" s="22">
        <v>184</v>
      </c>
      <c r="BN193" s="3"/>
      <c r="BO193" s="22">
        <v>191</v>
      </c>
    </row>
    <row r="194" spans="28:67" ht="12.95" customHeight="1">
      <c r="AB194" s="21">
        <v>8900</v>
      </c>
      <c r="AC194" s="2" t="s">
        <v>709</v>
      </c>
      <c r="AD194" s="5">
        <v>80</v>
      </c>
      <c r="AE194" s="5">
        <v>40</v>
      </c>
      <c r="AF194" s="5">
        <v>40</v>
      </c>
      <c r="AG194" s="5" t="s">
        <v>546</v>
      </c>
      <c r="AH194" s="5" t="s">
        <v>546</v>
      </c>
      <c r="AK194" s="78">
        <v>8900</v>
      </c>
      <c r="AL194" s="72" t="s">
        <v>813</v>
      </c>
      <c r="AM194" s="76">
        <v>129</v>
      </c>
      <c r="AN194" s="76">
        <v>8</v>
      </c>
      <c r="AO194" s="76" t="s">
        <v>546</v>
      </c>
      <c r="AP194" s="76" t="s">
        <v>546</v>
      </c>
      <c r="AQ194" s="141"/>
      <c r="AR194" s="134"/>
      <c r="AT194" s="35">
        <v>4206</v>
      </c>
      <c r="AU194" s="2" t="s">
        <v>289</v>
      </c>
      <c r="AV194" s="47">
        <v>1725</v>
      </c>
      <c r="AW194" s="5">
        <v>13.1</v>
      </c>
      <c r="AX194" s="2"/>
      <c r="AY194" s="2"/>
      <c r="AZ194" s="47">
        <v>1710</v>
      </c>
      <c r="BA194" s="2"/>
      <c r="BB194" s="2"/>
      <c r="BC194" s="5">
        <v>15</v>
      </c>
      <c r="BF194" s="21">
        <v>4202</v>
      </c>
      <c r="BG194" s="3" t="s">
        <v>748</v>
      </c>
      <c r="BH194" s="22">
        <v>825</v>
      </c>
      <c r="BI194" s="22">
        <v>7.4</v>
      </c>
      <c r="BJ194" s="22">
        <v>815</v>
      </c>
      <c r="BK194" s="3"/>
      <c r="BL194" s="3"/>
      <c r="BM194" s="3"/>
      <c r="BN194" s="3"/>
      <c r="BO194" s="22">
        <v>10</v>
      </c>
    </row>
    <row r="195" spans="28:67" ht="12.95" customHeight="1">
      <c r="AB195" s="2"/>
      <c r="AC195" s="2"/>
      <c r="AD195" s="2"/>
      <c r="AE195" s="2"/>
      <c r="AF195" s="2"/>
      <c r="AG195" s="2"/>
      <c r="AH195" s="2"/>
      <c r="AK195" s="72"/>
      <c r="AL195" s="72"/>
      <c r="AM195" s="72"/>
      <c r="AN195" s="72"/>
      <c r="AO195" s="72"/>
      <c r="AP195" s="72"/>
      <c r="AQ195" s="141"/>
      <c r="AR195" s="134"/>
      <c r="AT195" s="35">
        <v>8703</v>
      </c>
      <c r="AU195" s="2" t="s">
        <v>293</v>
      </c>
      <c r="AV195" s="47">
        <v>1632</v>
      </c>
      <c r="AW195" s="5">
        <v>12.4</v>
      </c>
      <c r="AX195" s="47">
        <v>1022</v>
      </c>
      <c r="AY195" s="5">
        <v>69</v>
      </c>
      <c r="AZ195" s="2"/>
      <c r="BA195" s="5">
        <v>75</v>
      </c>
      <c r="BB195" s="2"/>
      <c r="BC195" s="5">
        <v>466</v>
      </c>
      <c r="BF195" s="21">
        <v>8703</v>
      </c>
      <c r="BG195" s="3" t="s">
        <v>975</v>
      </c>
      <c r="BH195" s="22">
        <v>950</v>
      </c>
      <c r="BI195" s="22">
        <v>8.5</v>
      </c>
      <c r="BJ195" s="22">
        <v>698</v>
      </c>
      <c r="BK195" s="3"/>
      <c r="BL195" s="3"/>
      <c r="BM195" s="22">
        <v>252</v>
      </c>
      <c r="BN195" s="3"/>
      <c r="BO195" s="3"/>
    </row>
    <row r="196" spans="28:67" ht="12.95" customHeight="1">
      <c r="AB196" s="2"/>
      <c r="AC196" s="6" t="s">
        <v>368</v>
      </c>
      <c r="AD196" s="5">
        <v>378</v>
      </c>
      <c r="AE196" s="5">
        <v>0</v>
      </c>
      <c r="AF196" s="5">
        <v>5</v>
      </c>
      <c r="AG196" s="5">
        <v>59</v>
      </c>
      <c r="AH196" s="5">
        <v>314</v>
      </c>
      <c r="AK196" s="72"/>
      <c r="AL196" s="151" t="s">
        <v>368</v>
      </c>
      <c r="AM196" s="76">
        <v>852</v>
      </c>
      <c r="AN196" s="76">
        <v>764</v>
      </c>
      <c r="AO196" s="76">
        <v>0</v>
      </c>
      <c r="AP196" s="76">
        <v>0</v>
      </c>
      <c r="AQ196" s="141"/>
      <c r="AR196" s="134"/>
      <c r="AT196" s="35">
        <v>8708</v>
      </c>
      <c r="AU196" s="2" t="s">
        <v>295</v>
      </c>
      <c r="AV196" s="47">
        <v>1046</v>
      </c>
      <c r="AW196" s="88">
        <v>8</v>
      </c>
      <c r="AX196" s="5">
        <v>393</v>
      </c>
      <c r="AY196" s="2"/>
      <c r="AZ196" s="2"/>
      <c r="BA196" s="5">
        <v>537</v>
      </c>
      <c r="BB196" s="2"/>
      <c r="BC196" s="5">
        <v>116</v>
      </c>
      <c r="BF196" s="21">
        <v>7200</v>
      </c>
      <c r="BG196" s="3" t="s">
        <v>309</v>
      </c>
      <c r="BH196" s="22">
        <v>759</v>
      </c>
      <c r="BI196" s="22">
        <v>6.8</v>
      </c>
      <c r="BJ196" s="22">
        <v>29</v>
      </c>
      <c r="BK196" s="22">
        <v>173</v>
      </c>
      <c r="BL196" s="3"/>
      <c r="BM196" s="3"/>
      <c r="BN196" s="22">
        <v>557</v>
      </c>
      <c r="BO196" s="3"/>
    </row>
    <row r="197" spans="28:67" ht="12.95" customHeight="1">
      <c r="AB197" s="21">
        <v>6109</v>
      </c>
      <c r="AC197" s="2" t="s">
        <v>739</v>
      </c>
      <c r="AD197" s="5">
        <v>18</v>
      </c>
      <c r="AE197" s="5" t="s">
        <v>546</v>
      </c>
      <c r="AF197" s="5" t="s">
        <v>546</v>
      </c>
      <c r="AG197" s="5">
        <v>9</v>
      </c>
      <c r="AH197" s="5">
        <v>9</v>
      </c>
      <c r="AK197" s="78">
        <v>6203</v>
      </c>
      <c r="AL197" s="72" t="s">
        <v>447</v>
      </c>
      <c r="AM197" s="76">
        <v>0</v>
      </c>
      <c r="AN197" s="76">
        <v>88</v>
      </c>
      <c r="AO197" s="76" t="s">
        <v>546</v>
      </c>
      <c r="AP197" s="76" t="s">
        <v>546</v>
      </c>
      <c r="AQ197" s="141"/>
      <c r="AR197" s="134"/>
      <c r="AT197" s="35">
        <v>6203</v>
      </c>
      <c r="AU197" s="2" t="s">
        <v>284</v>
      </c>
      <c r="AV197" s="5">
        <v>801</v>
      </c>
      <c r="AW197" s="5">
        <v>6.1</v>
      </c>
      <c r="AX197" s="5">
        <v>640</v>
      </c>
      <c r="AY197" s="2"/>
      <c r="AZ197" s="2"/>
      <c r="BA197" s="2"/>
      <c r="BB197" s="2"/>
      <c r="BC197" s="5">
        <v>161</v>
      </c>
      <c r="BF197" s="21">
        <v>4203</v>
      </c>
      <c r="BG197" s="3" t="s">
        <v>749</v>
      </c>
      <c r="BH197" s="22">
        <v>570</v>
      </c>
      <c r="BI197" s="22">
        <v>5.0999999999999996</v>
      </c>
      <c r="BJ197" s="22">
        <v>570</v>
      </c>
      <c r="BK197" s="3"/>
      <c r="BL197" s="3"/>
      <c r="BM197" s="3"/>
      <c r="BN197" s="3"/>
      <c r="BO197" s="3"/>
    </row>
    <row r="198" spans="28:67" ht="12.95" customHeight="1">
      <c r="AB198" s="21">
        <v>6203</v>
      </c>
      <c r="AC198" s="2" t="s">
        <v>447</v>
      </c>
      <c r="AD198" s="5">
        <v>116</v>
      </c>
      <c r="AE198" s="5" t="s">
        <v>546</v>
      </c>
      <c r="AF198" s="5" t="s">
        <v>546</v>
      </c>
      <c r="AG198" s="5" t="s">
        <v>546</v>
      </c>
      <c r="AH198" s="5">
        <v>116</v>
      </c>
      <c r="AK198" s="78">
        <v>6214</v>
      </c>
      <c r="AL198" s="72" t="s">
        <v>814</v>
      </c>
      <c r="AM198" s="76">
        <v>764</v>
      </c>
      <c r="AN198" s="76" t="s">
        <v>546</v>
      </c>
      <c r="AO198" s="76" t="s">
        <v>546</v>
      </c>
      <c r="AP198" s="76" t="s">
        <v>546</v>
      </c>
      <c r="AQ198" s="141"/>
      <c r="AR198" s="134"/>
      <c r="AT198" s="35">
        <v>7200</v>
      </c>
      <c r="AU198" s="2" t="s">
        <v>309</v>
      </c>
      <c r="AV198" s="5">
        <v>601</v>
      </c>
      <c r="AW198" s="5">
        <v>4.5999999999999996</v>
      </c>
      <c r="AX198" s="2"/>
      <c r="AY198" s="2"/>
      <c r="AZ198" s="2"/>
      <c r="BA198" s="2"/>
      <c r="BB198" s="5">
        <v>493</v>
      </c>
      <c r="BC198" s="5">
        <v>108</v>
      </c>
      <c r="BF198" s="21">
        <v>8418</v>
      </c>
      <c r="BG198" s="3" t="s">
        <v>976</v>
      </c>
      <c r="BH198" s="22">
        <v>471</v>
      </c>
      <c r="BI198" s="22">
        <v>4.2</v>
      </c>
      <c r="BJ198" s="22">
        <v>39</v>
      </c>
      <c r="BK198" s="22">
        <v>365</v>
      </c>
      <c r="BL198" s="22">
        <v>23</v>
      </c>
      <c r="BM198" s="3"/>
      <c r="BN198" s="3"/>
      <c r="BO198" s="22">
        <v>44</v>
      </c>
    </row>
    <row r="199" spans="28:67" ht="12.95" customHeight="1">
      <c r="AB199" s="21">
        <v>6204</v>
      </c>
      <c r="AC199" s="2" t="s">
        <v>431</v>
      </c>
      <c r="AD199" s="5">
        <v>172</v>
      </c>
      <c r="AE199" s="5" t="s">
        <v>546</v>
      </c>
      <c r="AF199" s="5" t="s">
        <v>546</v>
      </c>
      <c r="AG199" s="5" t="s">
        <v>546</v>
      </c>
      <c r="AH199" s="5">
        <v>172</v>
      </c>
      <c r="AK199" s="78">
        <v>6217</v>
      </c>
      <c r="AL199" s="72" t="s">
        <v>286</v>
      </c>
      <c r="AM199" s="76">
        <v>88</v>
      </c>
      <c r="AN199" s="76">
        <v>676</v>
      </c>
      <c r="AO199" s="76" t="s">
        <v>546</v>
      </c>
      <c r="AP199" s="76" t="s">
        <v>546</v>
      </c>
      <c r="AQ199" s="141"/>
      <c r="AR199" s="134"/>
      <c r="AT199" s="35">
        <v>2202</v>
      </c>
      <c r="AU199" s="2" t="s">
        <v>278</v>
      </c>
      <c r="AV199" s="5">
        <v>490</v>
      </c>
      <c r="AW199" s="5">
        <v>3.7</v>
      </c>
      <c r="AX199" s="5">
        <v>78</v>
      </c>
      <c r="AY199" s="5">
        <v>412</v>
      </c>
      <c r="AZ199" s="2"/>
      <c r="BA199" s="2"/>
      <c r="BB199" s="2"/>
      <c r="BC199" s="2"/>
      <c r="BF199" s="21">
        <v>3304</v>
      </c>
      <c r="BG199" s="3" t="s">
        <v>432</v>
      </c>
      <c r="BH199" s="22">
        <v>424</v>
      </c>
      <c r="BI199" s="22">
        <v>3.8</v>
      </c>
      <c r="BJ199" s="22">
        <v>3</v>
      </c>
      <c r="BK199" s="3"/>
      <c r="BL199" s="3"/>
      <c r="BM199" s="22">
        <v>3</v>
      </c>
      <c r="BN199" s="3"/>
      <c r="BO199" s="22">
        <v>418</v>
      </c>
    </row>
    <row r="200" spans="28:67" ht="12.95" customHeight="1">
      <c r="AB200" s="21">
        <v>6214</v>
      </c>
      <c r="AC200" s="2" t="s">
        <v>740</v>
      </c>
      <c r="AD200" s="5">
        <v>17</v>
      </c>
      <c r="AE200" s="5" t="s">
        <v>546</v>
      </c>
      <c r="AF200" s="5" t="s">
        <v>546</v>
      </c>
      <c r="AG200" s="5" t="s">
        <v>546</v>
      </c>
      <c r="AH200" s="5">
        <v>17</v>
      </c>
      <c r="AK200" s="72"/>
      <c r="AL200" s="72"/>
      <c r="AM200" s="72"/>
      <c r="AN200" s="72"/>
      <c r="AO200" s="72"/>
      <c r="AP200" s="72"/>
      <c r="AQ200" s="141"/>
      <c r="AR200" s="134"/>
      <c r="AT200" s="35">
        <v>6500</v>
      </c>
      <c r="AU200" s="2" t="s">
        <v>326</v>
      </c>
      <c r="AV200" s="5">
        <v>467</v>
      </c>
      <c r="AW200" s="5">
        <v>3.6</v>
      </c>
      <c r="AX200" s="2"/>
      <c r="AY200" s="5">
        <v>467</v>
      </c>
      <c r="AZ200" s="2"/>
      <c r="BA200" s="2"/>
      <c r="BB200" s="2"/>
      <c r="BC200" s="2"/>
      <c r="BF200" s="21">
        <v>7404</v>
      </c>
      <c r="BG200" s="3" t="s">
        <v>956</v>
      </c>
      <c r="BH200" s="22">
        <v>421</v>
      </c>
      <c r="BI200" s="22">
        <v>3.8</v>
      </c>
      <c r="BJ200" s="3"/>
      <c r="BK200" s="22">
        <v>313</v>
      </c>
      <c r="BL200" s="3"/>
      <c r="BM200" s="3"/>
      <c r="BN200" s="3"/>
      <c r="BO200" s="22">
        <v>108</v>
      </c>
    </row>
    <row r="201" spans="28:67" ht="12.95" customHeight="1">
      <c r="AB201" s="21">
        <v>6217</v>
      </c>
      <c r="AC201" s="2" t="s">
        <v>286</v>
      </c>
      <c r="AD201" s="5">
        <v>55</v>
      </c>
      <c r="AE201" s="5" t="s">
        <v>546</v>
      </c>
      <c r="AF201" s="5">
        <v>5</v>
      </c>
      <c r="AG201" s="5">
        <v>50</v>
      </c>
      <c r="AH201" s="5" t="s">
        <v>546</v>
      </c>
      <c r="AK201" s="72"/>
      <c r="AL201" s="153" t="s">
        <v>195</v>
      </c>
      <c r="AM201" s="77">
        <v>2179</v>
      </c>
      <c r="AN201" s="76">
        <v>553</v>
      </c>
      <c r="AO201" s="76">
        <v>308</v>
      </c>
      <c r="AP201" s="76">
        <v>832</v>
      </c>
      <c r="AQ201" s="141"/>
      <c r="AR201" s="134"/>
      <c r="AT201" s="35">
        <v>8300</v>
      </c>
      <c r="AU201" s="2" t="s">
        <v>675</v>
      </c>
      <c r="AV201" s="5">
        <v>431</v>
      </c>
      <c r="AW201" s="5">
        <v>3.3</v>
      </c>
      <c r="AX201" s="5">
        <v>49</v>
      </c>
      <c r="AY201" s="2"/>
      <c r="AZ201" s="2"/>
      <c r="BA201" s="5">
        <v>326</v>
      </c>
      <c r="BB201" s="2"/>
      <c r="BC201" s="5">
        <v>57</v>
      </c>
      <c r="BF201" s="21">
        <v>2208</v>
      </c>
      <c r="BG201" s="3" t="s">
        <v>365</v>
      </c>
      <c r="BH201" s="22">
        <v>198</v>
      </c>
      <c r="BI201" s="22">
        <v>1.8</v>
      </c>
      <c r="BJ201" s="22">
        <v>122</v>
      </c>
      <c r="BK201" s="3"/>
      <c r="BL201" s="22">
        <v>5</v>
      </c>
      <c r="BM201" s="3"/>
      <c r="BN201" s="3"/>
      <c r="BO201" s="22">
        <v>71</v>
      </c>
    </row>
    <row r="202" spans="28:67" ht="12.95" customHeight="1">
      <c r="AB202" s="2"/>
      <c r="AC202" s="2"/>
      <c r="AD202" s="2"/>
      <c r="AE202" s="2"/>
      <c r="AF202" s="2"/>
      <c r="AG202" s="2"/>
      <c r="AH202" s="2"/>
      <c r="AK202" s="78">
        <v>8415</v>
      </c>
      <c r="AL202" s="72" t="s">
        <v>657</v>
      </c>
      <c r="AM202" s="76">
        <v>0</v>
      </c>
      <c r="AN202" s="76">
        <v>150</v>
      </c>
      <c r="AO202" s="76">
        <v>45</v>
      </c>
      <c r="AP202" s="76">
        <v>25</v>
      </c>
      <c r="AQ202" s="141"/>
      <c r="AR202" s="134"/>
      <c r="AT202" s="35">
        <v>8516</v>
      </c>
      <c r="AU202" s="2" t="s">
        <v>917</v>
      </c>
      <c r="AV202" s="5">
        <v>430</v>
      </c>
      <c r="AW202" s="5">
        <v>3.3</v>
      </c>
      <c r="AX202" s="5">
        <v>56</v>
      </c>
      <c r="AY202" s="2"/>
      <c r="AZ202" s="2"/>
      <c r="BA202" s="5">
        <v>374</v>
      </c>
      <c r="BB202" s="2"/>
      <c r="BC202" s="2"/>
      <c r="BF202" s="21">
        <v>2202</v>
      </c>
      <c r="BG202" s="3" t="s">
        <v>977</v>
      </c>
      <c r="BH202" s="22">
        <v>192</v>
      </c>
      <c r="BI202" s="22">
        <v>1.7</v>
      </c>
      <c r="BJ202" s="22">
        <v>189</v>
      </c>
      <c r="BK202" s="22">
        <v>3</v>
      </c>
      <c r="BL202" s="3"/>
      <c r="BM202" s="3"/>
      <c r="BN202" s="3"/>
      <c r="BO202" s="3"/>
    </row>
    <row r="203" spans="28:67" ht="12.95" customHeight="1">
      <c r="AB203" s="2"/>
      <c r="AC203" s="20" t="s">
        <v>195</v>
      </c>
      <c r="AD203" s="47">
        <v>1582</v>
      </c>
      <c r="AE203" s="5">
        <v>601</v>
      </c>
      <c r="AF203" s="5">
        <v>133</v>
      </c>
      <c r="AG203" s="5">
        <v>700</v>
      </c>
      <c r="AH203" s="5">
        <v>148</v>
      </c>
      <c r="AK203" s="78">
        <v>8418</v>
      </c>
      <c r="AL203" s="72" t="s">
        <v>741</v>
      </c>
      <c r="AM203" s="77">
        <v>1693</v>
      </c>
      <c r="AN203" s="76">
        <v>50</v>
      </c>
      <c r="AO203" s="76" t="s">
        <v>546</v>
      </c>
      <c r="AP203" s="76" t="s">
        <v>546</v>
      </c>
      <c r="AQ203" s="141"/>
      <c r="AR203" s="134"/>
      <c r="AT203" s="35">
        <v>7411</v>
      </c>
      <c r="AU203" s="2" t="s">
        <v>310</v>
      </c>
      <c r="AV203" s="5">
        <v>286</v>
      </c>
      <c r="AW203" s="5">
        <v>2.2000000000000002</v>
      </c>
      <c r="AX203" s="2"/>
      <c r="AY203" s="5">
        <v>3</v>
      </c>
      <c r="AZ203" s="2"/>
      <c r="BA203" s="2"/>
      <c r="BB203" s="2"/>
      <c r="BC203" s="5">
        <v>283</v>
      </c>
      <c r="BF203" s="21">
        <v>3926</v>
      </c>
      <c r="BG203" s="3" t="s">
        <v>287</v>
      </c>
      <c r="BH203" s="22">
        <v>191</v>
      </c>
      <c r="BI203" s="22">
        <v>1.7</v>
      </c>
      <c r="BJ203" s="3"/>
      <c r="BK203" s="3"/>
      <c r="BL203" s="22">
        <v>191</v>
      </c>
      <c r="BM203" s="3"/>
      <c r="BN203" s="3"/>
      <c r="BO203" s="3"/>
    </row>
    <row r="204" spans="28:67" ht="12.95" customHeight="1">
      <c r="AB204" s="21">
        <v>8415</v>
      </c>
      <c r="AC204" s="2" t="s">
        <v>657</v>
      </c>
      <c r="AD204" s="5">
        <v>573</v>
      </c>
      <c r="AE204" s="5">
        <v>491</v>
      </c>
      <c r="AF204" s="5">
        <v>17</v>
      </c>
      <c r="AG204" s="5">
        <v>26</v>
      </c>
      <c r="AH204" s="5">
        <v>39</v>
      </c>
      <c r="AK204" s="78">
        <v>8450</v>
      </c>
      <c r="AL204" s="72" t="s">
        <v>815</v>
      </c>
      <c r="AM204" s="76">
        <v>220</v>
      </c>
      <c r="AN204" s="76">
        <v>13</v>
      </c>
      <c r="AO204" s="76">
        <v>7</v>
      </c>
      <c r="AP204" s="76">
        <v>4</v>
      </c>
      <c r="AQ204" s="141"/>
      <c r="AR204" s="134"/>
      <c r="AT204" s="35">
        <v>7113</v>
      </c>
      <c r="AU204" s="2" t="s">
        <v>328</v>
      </c>
      <c r="AV204" s="5">
        <v>250</v>
      </c>
      <c r="AW204" s="5">
        <v>1.9</v>
      </c>
      <c r="AX204" s="2"/>
      <c r="AY204" s="2"/>
      <c r="AZ204" s="2"/>
      <c r="BA204" s="2"/>
      <c r="BB204" s="2"/>
      <c r="BC204" s="5">
        <v>250</v>
      </c>
      <c r="BF204" s="21">
        <v>4011</v>
      </c>
      <c r="BG204" s="3" t="s">
        <v>567</v>
      </c>
      <c r="BH204" s="22">
        <v>180</v>
      </c>
      <c r="BI204" s="22">
        <v>1.6</v>
      </c>
      <c r="BJ204" s="22">
        <v>12</v>
      </c>
      <c r="BK204" s="22">
        <v>124</v>
      </c>
      <c r="BL204" s="3"/>
      <c r="BM204" s="22">
        <v>44</v>
      </c>
      <c r="BN204" s="3"/>
      <c r="BO204" s="3"/>
    </row>
    <row r="205" spans="28:67" ht="12.95" customHeight="1">
      <c r="AB205" s="21">
        <v>8418</v>
      </c>
      <c r="AC205" s="2" t="s">
        <v>741</v>
      </c>
      <c r="AD205" s="5">
        <v>568</v>
      </c>
      <c r="AE205" s="5">
        <v>22</v>
      </c>
      <c r="AF205" s="5">
        <v>50</v>
      </c>
      <c r="AG205" s="5">
        <v>471</v>
      </c>
      <c r="AH205" s="5">
        <v>25</v>
      </c>
      <c r="AK205" s="78">
        <v>8485</v>
      </c>
      <c r="AL205" s="72" t="s">
        <v>742</v>
      </c>
      <c r="AM205" s="76">
        <v>50</v>
      </c>
      <c r="AN205" s="76">
        <v>44</v>
      </c>
      <c r="AO205" s="76" t="s">
        <v>546</v>
      </c>
      <c r="AP205" s="76" t="s">
        <v>546</v>
      </c>
      <c r="AQ205" s="141"/>
      <c r="AR205" s="134"/>
      <c r="AT205" s="35">
        <v>2208</v>
      </c>
      <c r="AU205" s="2" t="s">
        <v>918</v>
      </c>
      <c r="AV205" s="5">
        <v>146</v>
      </c>
      <c r="AW205" s="5">
        <v>1.1000000000000001</v>
      </c>
      <c r="AX205" s="5">
        <v>71</v>
      </c>
      <c r="AY205" s="5">
        <v>18</v>
      </c>
      <c r="AZ205" s="2"/>
      <c r="BA205" s="5">
        <v>53</v>
      </c>
      <c r="BB205" s="2"/>
      <c r="BC205" s="5">
        <v>4</v>
      </c>
      <c r="BF205" s="21">
        <v>9101</v>
      </c>
      <c r="BG205" s="3" t="s">
        <v>298</v>
      </c>
      <c r="BH205" s="22">
        <v>150</v>
      </c>
      <c r="BI205" s="22">
        <v>1.3</v>
      </c>
      <c r="BJ205" s="3"/>
      <c r="BK205" s="3"/>
      <c r="BL205" s="3"/>
      <c r="BM205" s="3"/>
      <c r="BN205" s="3"/>
      <c r="BO205" s="22">
        <v>150</v>
      </c>
    </row>
    <row r="206" spans="28:67" ht="12.95" customHeight="1">
      <c r="AB206" s="21">
        <v>8450</v>
      </c>
      <c r="AC206" s="2" t="s">
        <v>660</v>
      </c>
      <c r="AD206" s="5">
        <v>32</v>
      </c>
      <c r="AE206" s="5" t="s">
        <v>546</v>
      </c>
      <c r="AF206" s="5">
        <v>32</v>
      </c>
      <c r="AG206" s="5" t="s">
        <v>546</v>
      </c>
      <c r="AH206" s="5" t="s">
        <v>546</v>
      </c>
      <c r="AK206" s="78">
        <v>8516</v>
      </c>
      <c r="AL206" s="72" t="s">
        <v>296</v>
      </c>
      <c r="AM206" s="76">
        <v>24</v>
      </c>
      <c r="AN206" s="76">
        <v>17</v>
      </c>
      <c r="AO206" s="76" t="s">
        <v>546</v>
      </c>
      <c r="AP206" s="76">
        <v>12</v>
      </c>
      <c r="AQ206" s="141"/>
      <c r="AR206" s="134"/>
      <c r="AT206" s="35">
        <v>2710</v>
      </c>
      <c r="AU206" s="2" t="s">
        <v>618</v>
      </c>
      <c r="AV206" s="5">
        <v>128</v>
      </c>
      <c r="AW206" s="88">
        <v>1</v>
      </c>
      <c r="AX206" s="5">
        <v>98</v>
      </c>
      <c r="AY206" s="2"/>
      <c r="AZ206" s="2"/>
      <c r="BA206" s="5">
        <v>30</v>
      </c>
      <c r="BB206" s="2"/>
      <c r="BC206" s="2"/>
      <c r="BF206" s="21">
        <v>9004</v>
      </c>
      <c r="BG206" s="3" t="s">
        <v>978</v>
      </c>
      <c r="BH206" s="22">
        <v>136</v>
      </c>
      <c r="BI206" s="22">
        <v>1.2</v>
      </c>
      <c r="BJ206" s="22">
        <v>124</v>
      </c>
      <c r="BK206" s="3"/>
      <c r="BL206" s="22">
        <v>6</v>
      </c>
      <c r="BM206" s="22">
        <v>6</v>
      </c>
      <c r="BN206" s="3"/>
      <c r="BO206" s="3"/>
    </row>
    <row r="207" spans="28:67" ht="12.95" customHeight="1">
      <c r="AB207" s="21">
        <v>8485</v>
      </c>
      <c r="AC207" s="2" t="s">
        <v>742</v>
      </c>
      <c r="AD207" s="5">
        <v>22</v>
      </c>
      <c r="AE207" s="5">
        <v>4</v>
      </c>
      <c r="AF207" s="5">
        <v>14</v>
      </c>
      <c r="AG207" s="5" t="s">
        <v>546</v>
      </c>
      <c r="AH207" s="5">
        <v>4</v>
      </c>
      <c r="AK207" s="78">
        <v>8517</v>
      </c>
      <c r="AL207" s="72" t="s">
        <v>581</v>
      </c>
      <c r="AM207" s="76">
        <v>44</v>
      </c>
      <c r="AN207" s="76">
        <v>22</v>
      </c>
      <c r="AO207" s="76" t="s">
        <v>546</v>
      </c>
      <c r="AP207" s="76" t="s">
        <v>546</v>
      </c>
      <c r="AQ207" s="141"/>
      <c r="AR207" s="134"/>
      <c r="AT207" s="35">
        <v>8473</v>
      </c>
      <c r="AU207" s="2" t="s">
        <v>919</v>
      </c>
      <c r="AV207" s="5">
        <v>118</v>
      </c>
      <c r="AW207" s="5">
        <v>0.9</v>
      </c>
      <c r="AX207" s="5">
        <v>103</v>
      </c>
      <c r="AY207" s="2"/>
      <c r="AZ207" s="2"/>
      <c r="BA207" s="2"/>
      <c r="BB207" s="2"/>
      <c r="BC207" s="5">
        <v>15</v>
      </c>
      <c r="BF207" s="21">
        <v>2403</v>
      </c>
      <c r="BG207" s="3" t="s">
        <v>617</v>
      </c>
      <c r="BH207" s="22">
        <v>130</v>
      </c>
      <c r="BI207" s="22">
        <v>1.2</v>
      </c>
      <c r="BJ207" s="22">
        <v>130</v>
      </c>
      <c r="BK207" s="3"/>
      <c r="BL207" s="3"/>
      <c r="BM207" s="3"/>
      <c r="BN207" s="3"/>
      <c r="BO207" s="3"/>
    </row>
    <row r="208" spans="28:67" ht="12.95" customHeight="1">
      <c r="AB208" s="21">
        <v>8516</v>
      </c>
      <c r="AC208" s="2" t="s">
        <v>296</v>
      </c>
      <c r="AD208" s="5">
        <v>197</v>
      </c>
      <c r="AE208" s="5">
        <v>22</v>
      </c>
      <c r="AF208" s="5" t="s">
        <v>546</v>
      </c>
      <c r="AG208" s="5">
        <v>117</v>
      </c>
      <c r="AH208" s="5">
        <v>58</v>
      </c>
      <c r="AK208" s="78">
        <v>8528</v>
      </c>
      <c r="AL208" s="72" t="s">
        <v>785</v>
      </c>
      <c r="AM208" s="76">
        <v>29</v>
      </c>
      <c r="AN208" s="76" t="s">
        <v>546</v>
      </c>
      <c r="AO208" s="76" t="s">
        <v>546</v>
      </c>
      <c r="AP208" s="76" t="s">
        <v>546</v>
      </c>
      <c r="AQ208" s="141"/>
      <c r="AR208" s="134"/>
      <c r="AT208" s="35">
        <v>8704</v>
      </c>
      <c r="AU208" s="2" t="s">
        <v>367</v>
      </c>
      <c r="AV208" s="5">
        <v>118</v>
      </c>
      <c r="AW208" s="5">
        <v>0.9</v>
      </c>
      <c r="AX208" s="2"/>
      <c r="AY208" s="2"/>
      <c r="AZ208" s="2"/>
      <c r="BA208" s="5">
        <v>118</v>
      </c>
      <c r="BB208" s="2"/>
      <c r="BC208" s="2"/>
      <c r="BF208" s="21">
        <v>8708</v>
      </c>
      <c r="BG208" s="3" t="s">
        <v>924</v>
      </c>
      <c r="BH208" s="22">
        <v>128</v>
      </c>
      <c r="BI208" s="22">
        <v>1.1000000000000001</v>
      </c>
      <c r="BJ208" s="22">
        <v>42</v>
      </c>
      <c r="BK208" s="22">
        <v>86</v>
      </c>
      <c r="BL208" s="3"/>
      <c r="BM208" s="3"/>
      <c r="BN208" s="3"/>
      <c r="BO208" s="3"/>
    </row>
    <row r="209" spans="28:67" ht="12.95" customHeight="1">
      <c r="AB209" s="21">
        <v>8517</v>
      </c>
      <c r="AC209" s="2" t="s">
        <v>581</v>
      </c>
      <c r="AD209" s="5">
        <v>39</v>
      </c>
      <c r="AE209" s="5">
        <v>7</v>
      </c>
      <c r="AF209" s="5">
        <v>8</v>
      </c>
      <c r="AG209" s="5">
        <v>18</v>
      </c>
      <c r="AH209" s="5">
        <v>6</v>
      </c>
      <c r="AK209" s="78">
        <v>8548</v>
      </c>
      <c r="AL209" s="72" t="s">
        <v>297</v>
      </c>
      <c r="AM209" s="76">
        <v>22</v>
      </c>
      <c r="AN209" s="76">
        <v>86</v>
      </c>
      <c r="AO209" s="76" t="s">
        <v>546</v>
      </c>
      <c r="AP209" s="76" t="s">
        <v>546</v>
      </c>
      <c r="AQ209" s="141"/>
      <c r="AR209" s="134"/>
      <c r="AT209" s="35">
        <v>7616</v>
      </c>
      <c r="AU209" s="2" t="s">
        <v>311</v>
      </c>
      <c r="AV209" s="5">
        <v>43</v>
      </c>
      <c r="AW209" s="5">
        <v>0.3</v>
      </c>
      <c r="AX209" s="5">
        <v>6</v>
      </c>
      <c r="AY209" s="5">
        <v>8</v>
      </c>
      <c r="AZ209" s="2"/>
      <c r="BA209" s="2"/>
      <c r="BB209" s="2"/>
      <c r="BC209" s="5">
        <v>29</v>
      </c>
      <c r="BF209" s="21">
        <v>7602</v>
      </c>
      <c r="BG209" s="3" t="s">
        <v>607</v>
      </c>
      <c r="BH209" s="22">
        <v>121</v>
      </c>
      <c r="BI209" s="22">
        <v>1.1000000000000001</v>
      </c>
      <c r="BJ209" s="22">
        <v>32</v>
      </c>
      <c r="BK209" s="22">
        <v>74</v>
      </c>
      <c r="BL209" s="3"/>
      <c r="BM209" s="3"/>
      <c r="BN209" s="3"/>
      <c r="BO209" s="22">
        <v>15</v>
      </c>
    </row>
    <row r="210" spans="28:67" ht="12.95" customHeight="1">
      <c r="AB210" s="21">
        <v>8519</v>
      </c>
      <c r="AC210" s="2" t="s">
        <v>743</v>
      </c>
      <c r="AD210" s="5">
        <v>2</v>
      </c>
      <c r="AE210" s="5" t="s">
        <v>546</v>
      </c>
      <c r="AF210" s="5" t="s">
        <v>546</v>
      </c>
      <c r="AG210" s="5">
        <v>2</v>
      </c>
      <c r="AH210" s="5" t="s">
        <v>546</v>
      </c>
      <c r="AK210" s="78">
        <v>9004</v>
      </c>
      <c r="AL210" s="72" t="s">
        <v>768</v>
      </c>
      <c r="AM210" s="76">
        <v>0</v>
      </c>
      <c r="AN210" s="76" t="s">
        <v>546</v>
      </c>
      <c r="AO210" s="76" t="s">
        <v>546</v>
      </c>
      <c r="AP210" s="76">
        <v>11</v>
      </c>
      <c r="AQ210" s="141"/>
      <c r="AR210" s="134"/>
      <c r="AT210" s="35">
        <v>9508</v>
      </c>
      <c r="AU210" s="2" t="s">
        <v>920</v>
      </c>
      <c r="AV210" s="5">
        <v>42</v>
      </c>
      <c r="AW210" s="5">
        <v>0.3</v>
      </c>
      <c r="AX210" s="2"/>
      <c r="AY210" s="2"/>
      <c r="AZ210" s="2"/>
      <c r="BA210" s="2"/>
      <c r="BB210" s="2"/>
      <c r="BC210" s="5">
        <v>42</v>
      </c>
      <c r="BF210" s="21">
        <v>8516</v>
      </c>
      <c r="BG210" s="3" t="s">
        <v>979</v>
      </c>
      <c r="BH210" s="22">
        <v>117</v>
      </c>
      <c r="BI210" s="87">
        <v>1</v>
      </c>
      <c r="BJ210" s="22">
        <v>4</v>
      </c>
      <c r="BK210" s="22">
        <v>74</v>
      </c>
      <c r="BL210" s="22">
        <v>4</v>
      </c>
      <c r="BM210" s="22">
        <v>10</v>
      </c>
      <c r="BN210" s="3"/>
      <c r="BO210" s="22">
        <v>25</v>
      </c>
    </row>
    <row r="211" spans="28:67" ht="12.95" customHeight="1">
      <c r="AB211" s="21">
        <v>8528</v>
      </c>
      <c r="AC211" s="2" t="s">
        <v>744</v>
      </c>
      <c r="AD211" s="5">
        <v>17</v>
      </c>
      <c r="AE211" s="5">
        <v>3</v>
      </c>
      <c r="AF211" s="5" t="s">
        <v>546</v>
      </c>
      <c r="AG211" s="5">
        <v>8</v>
      </c>
      <c r="AH211" s="5">
        <v>6</v>
      </c>
      <c r="AK211" s="78">
        <v>9101</v>
      </c>
      <c r="AL211" s="72" t="s">
        <v>298</v>
      </c>
      <c r="AM211" s="76">
        <v>86</v>
      </c>
      <c r="AN211" s="76">
        <v>171</v>
      </c>
      <c r="AO211" s="76">
        <v>256</v>
      </c>
      <c r="AP211" s="76">
        <v>780</v>
      </c>
      <c r="AQ211" s="141"/>
      <c r="AR211" s="134"/>
      <c r="AT211" s="58">
        <v>1902</v>
      </c>
      <c r="AU211" s="10" t="s">
        <v>921</v>
      </c>
      <c r="AV211" s="11">
        <v>39</v>
      </c>
      <c r="AW211" s="11">
        <v>0.3</v>
      </c>
      <c r="AX211" s="11">
        <v>39</v>
      </c>
      <c r="AY211" s="10"/>
      <c r="AZ211" s="10"/>
      <c r="BA211" s="10"/>
      <c r="BB211" s="10"/>
      <c r="BC211" s="10"/>
      <c r="BF211" s="40">
        <v>2204</v>
      </c>
      <c r="BG211" s="23" t="s">
        <v>281</v>
      </c>
      <c r="BH211" s="29">
        <v>86</v>
      </c>
      <c r="BI211" s="29">
        <v>0.8</v>
      </c>
      <c r="BJ211" s="29">
        <v>60</v>
      </c>
      <c r="BK211" s="23"/>
      <c r="BL211" s="29">
        <v>26</v>
      </c>
      <c r="BM211" s="23"/>
      <c r="BN211" s="23"/>
      <c r="BO211" s="23"/>
    </row>
    <row r="212" spans="28:67" ht="12" customHeight="1">
      <c r="AB212" s="21">
        <v>8548</v>
      </c>
      <c r="AC212" s="2" t="s">
        <v>297</v>
      </c>
      <c r="AD212" s="5">
        <v>132</v>
      </c>
      <c r="AE212" s="5">
        <v>52</v>
      </c>
      <c r="AF212" s="5">
        <v>12</v>
      </c>
      <c r="AG212" s="5">
        <v>58</v>
      </c>
      <c r="AH212" s="5">
        <v>10</v>
      </c>
      <c r="AK212" s="78">
        <v>9200</v>
      </c>
      <c r="AL212" s="72" t="s">
        <v>816</v>
      </c>
      <c r="AM212" s="76">
        <v>11</v>
      </c>
      <c r="AN212" s="76" t="s">
        <v>546</v>
      </c>
      <c r="AO212" s="76" t="s">
        <v>546</v>
      </c>
      <c r="AP212" s="76" t="s">
        <v>546</v>
      </c>
      <c r="AQ212" s="141"/>
      <c r="AR212" s="134"/>
      <c r="AT212" s="2064" t="s">
        <v>174</v>
      </c>
      <c r="AU212" s="2064"/>
      <c r="AV212" s="2064"/>
      <c r="AW212" s="2064"/>
      <c r="AX212" s="2064"/>
      <c r="AY212" s="2064"/>
      <c r="AZ212" s="2"/>
      <c r="BA212" s="2"/>
      <c r="BB212" s="2"/>
      <c r="BC212" s="2"/>
      <c r="BF212" s="2064" t="s">
        <v>174</v>
      </c>
      <c r="BG212" s="2064"/>
      <c r="BH212" s="2064"/>
      <c r="BI212" s="2064"/>
      <c r="BJ212" s="2064"/>
      <c r="BK212" s="2064"/>
      <c r="BL212" s="2064"/>
      <c r="BM212" s="2064"/>
      <c r="BN212" s="2"/>
      <c r="BO212" s="2"/>
    </row>
    <row r="213" spans="28:67" ht="12" customHeight="1">
      <c r="AB213" s="2"/>
      <c r="AC213" s="2"/>
      <c r="AD213" s="2"/>
      <c r="AE213" s="2"/>
      <c r="AF213" s="2"/>
      <c r="AG213" s="2"/>
      <c r="AH213" s="2"/>
      <c r="AK213" s="72"/>
      <c r="AL213" s="72"/>
      <c r="AM213" s="72"/>
      <c r="AN213" s="72"/>
      <c r="AO213" s="72"/>
      <c r="AP213" s="72"/>
      <c r="AQ213" s="141"/>
      <c r="AR213" s="134"/>
      <c r="AT213" s="2045" t="s">
        <v>857</v>
      </c>
      <c r="AU213" s="2045"/>
      <c r="AV213" s="14"/>
      <c r="AW213" s="14"/>
      <c r="AX213" s="14"/>
      <c r="AY213" s="14"/>
      <c r="AZ213" s="2"/>
      <c r="BA213" s="2"/>
      <c r="BB213" s="2"/>
      <c r="BC213" s="2"/>
      <c r="BF213" s="2045" t="s">
        <v>857</v>
      </c>
      <c r="BG213" s="2045"/>
      <c r="BH213" s="14"/>
      <c r="BI213" s="14"/>
      <c r="BJ213" s="14"/>
      <c r="BK213" s="14"/>
      <c r="BL213" s="14"/>
      <c r="BM213" s="14"/>
      <c r="BN213" s="2"/>
      <c r="BO213" s="2"/>
    </row>
    <row r="214" spans="28:67" ht="12" customHeight="1">
      <c r="AB214" s="3"/>
      <c r="AC214" s="6" t="s">
        <v>583</v>
      </c>
      <c r="AD214" s="47">
        <v>3935</v>
      </c>
      <c r="AE214" s="5">
        <v>213</v>
      </c>
      <c r="AF214" s="5">
        <v>182</v>
      </c>
      <c r="AG214" s="47">
        <v>1962</v>
      </c>
      <c r="AH214" s="47">
        <v>1578</v>
      </c>
      <c r="AK214" s="74"/>
      <c r="AL214" s="151" t="s">
        <v>583</v>
      </c>
      <c r="AM214" s="77">
        <v>1268</v>
      </c>
      <c r="AN214" s="76">
        <v>280</v>
      </c>
      <c r="AO214" s="76">
        <v>158</v>
      </c>
      <c r="AP214" s="76">
        <v>358</v>
      </c>
      <c r="AQ214" s="141"/>
      <c r="AR214" s="134"/>
      <c r="AT214" s="2045" t="s">
        <v>858</v>
      </c>
      <c r="AU214" s="2045"/>
      <c r="AV214" s="14"/>
      <c r="AW214" s="14"/>
      <c r="AX214" s="14"/>
      <c r="AY214" s="14"/>
      <c r="AZ214" s="2"/>
      <c r="BA214" s="2"/>
      <c r="BB214" s="2"/>
      <c r="BC214" s="2"/>
      <c r="BF214" s="2045" t="s">
        <v>858</v>
      </c>
      <c r="BG214" s="2045"/>
      <c r="BH214" s="14"/>
      <c r="BI214" s="14"/>
      <c r="BJ214" s="14"/>
      <c r="BK214" s="14"/>
      <c r="BL214" s="14"/>
      <c r="BM214" s="14"/>
      <c r="BN214" s="2"/>
      <c r="BO214" s="2"/>
    </row>
    <row r="215" spans="28:67" ht="12.95" customHeight="1">
      <c r="AB215" s="21">
        <v>3923</v>
      </c>
      <c r="AC215" s="2" t="s">
        <v>745</v>
      </c>
      <c r="AD215" s="5">
        <v>41</v>
      </c>
      <c r="AE215" s="5">
        <v>20</v>
      </c>
      <c r="AF215" s="5">
        <v>5</v>
      </c>
      <c r="AG215" s="5">
        <v>12</v>
      </c>
      <c r="AH215" s="5">
        <v>4</v>
      </c>
      <c r="AK215" s="78">
        <v>3923</v>
      </c>
      <c r="AL215" s="72" t="s">
        <v>817</v>
      </c>
      <c r="AM215" s="76">
        <v>0</v>
      </c>
      <c r="AN215" s="76">
        <v>3</v>
      </c>
      <c r="AO215" s="76" t="s">
        <v>546</v>
      </c>
      <c r="AP215" s="76" t="s">
        <v>546</v>
      </c>
      <c r="AQ215" s="141"/>
      <c r="AR215" s="134"/>
      <c r="AT215" s="2"/>
      <c r="AU215" s="2"/>
      <c r="AV215" s="2"/>
      <c r="AW215" s="2"/>
      <c r="AX215" s="2"/>
      <c r="AY215" s="2"/>
      <c r="AZ215" s="2"/>
      <c r="BA215" s="2"/>
      <c r="BB215" s="2"/>
      <c r="BC215" s="2"/>
      <c r="BF215" s="2"/>
      <c r="BG215" s="2"/>
      <c r="BH215" s="2"/>
      <c r="BI215" s="2"/>
      <c r="BJ215" s="2"/>
      <c r="BK215" s="2"/>
      <c r="BL215" s="2"/>
      <c r="BM215" s="2"/>
      <c r="BN215" s="2"/>
      <c r="BO215" s="2"/>
    </row>
    <row r="216" spans="28:67" ht="12.95" customHeight="1">
      <c r="AB216" s="21">
        <v>3924</v>
      </c>
      <c r="AC216" s="2" t="s">
        <v>746</v>
      </c>
      <c r="AD216" s="5">
        <v>23</v>
      </c>
      <c r="AE216" s="5" t="s">
        <v>546</v>
      </c>
      <c r="AF216" s="5">
        <v>3</v>
      </c>
      <c r="AG216" s="5">
        <v>20</v>
      </c>
      <c r="AH216" s="5" t="s">
        <v>546</v>
      </c>
      <c r="AK216" s="78">
        <v>3926</v>
      </c>
      <c r="AL216" s="72" t="s">
        <v>287</v>
      </c>
      <c r="AM216" s="76">
        <v>796</v>
      </c>
      <c r="AN216" s="76">
        <v>3</v>
      </c>
      <c r="AO216" s="76">
        <v>8</v>
      </c>
      <c r="AP216" s="76">
        <v>33</v>
      </c>
      <c r="AQ216" s="141"/>
      <c r="AR216" s="134"/>
      <c r="AT216" s="2"/>
      <c r="AU216" s="2"/>
      <c r="AV216" s="2"/>
      <c r="AW216" s="2"/>
      <c r="AX216" s="2"/>
      <c r="AY216" s="2"/>
      <c r="AZ216" s="2"/>
      <c r="BA216" s="2"/>
      <c r="BB216" s="2"/>
      <c r="BC216" s="2"/>
      <c r="BF216" s="2"/>
      <c r="BG216" s="2"/>
      <c r="BH216" s="2"/>
      <c r="BI216" s="2"/>
      <c r="BJ216" s="2"/>
      <c r="BK216" s="2"/>
      <c r="BL216" s="2"/>
      <c r="BM216" s="2"/>
      <c r="BN216" s="2"/>
      <c r="BO216" s="2"/>
    </row>
    <row r="217" spans="28:67" ht="12.95" customHeight="1">
      <c r="AB217" s="21">
        <v>3926</v>
      </c>
      <c r="AC217" s="2" t="s">
        <v>287</v>
      </c>
      <c r="AD217" s="5">
        <v>314</v>
      </c>
      <c r="AE217" s="5" t="s">
        <v>546</v>
      </c>
      <c r="AF217" s="5">
        <v>45</v>
      </c>
      <c r="AG217" s="5">
        <v>191</v>
      </c>
      <c r="AH217" s="5">
        <v>78</v>
      </c>
      <c r="AK217" s="78">
        <v>4202</v>
      </c>
      <c r="AL217" s="72" t="s">
        <v>748</v>
      </c>
      <c r="AM217" s="76">
        <v>3</v>
      </c>
      <c r="AN217" s="76">
        <v>61</v>
      </c>
      <c r="AO217" s="76" t="s">
        <v>546</v>
      </c>
      <c r="AP217" s="76">
        <v>315</v>
      </c>
      <c r="AQ217" s="141"/>
      <c r="AR217" s="134"/>
      <c r="AT217" s="2"/>
      <c r="AU217" s="2"/>
      <c r="AV217" s="2"/>
      <c r="AW217" s="2"/>
      <c r="AX217" s="2"/>
      <c r="AY217" s="2"/>
      <c r="AZ217" s="2"/>
      <c r="BA217" s="2"/>
      <c r="BB217" s="2"/>
      <c r="BC217" s="2"/>
      <c r="BF217" s="2"/>
      <c r="BG217" s="2"/>
      <c r="BH217" s="2"/>
      <c r="BI217" s="2"/>
      <c r="BJ217" s="2"/>
      <c r="BK217" s="2"/>
      <c r="BL217" s="2"/>
      <c r="BM217" s="2"/>
      <c r="BN217" s="2"/>
      <c r="BO217" s="2"/>
    </row>
    <row r="218" spans="28:67" ht="12" customHeight="1">
      <c r="AB218" s="21">
        <v>4017</v>
      </c>
      <c r="AC218" s="2" t="s">
        <v>747</v>
      </c>
      <c r="AD218" s="5">
        <v>24</v>
      </c>
      <c r="AE218" s="5" t="s">
        <v>546</v>
      </c>
      <c r="AF218" s="5" t="s">
        <v>546</v>
      </c>
      <c r="AG218" s="5">
        <v>24</v>
      </c>
      <c r="AH218" s="5" t="s">
        <v>546</v>
      </c>
      <c r="AK218" s="78">
        <v>4818</v>
      </c>
      <c r="AL218" s="72" t="s">
        <v>290</v>
      </c>
      <c r="AM218" s="76">
        <v>44</v>
      </c>
      <c r="AN218" s="76">
        <v>25</v>
      </c>
      <c r="AO218" s="76">
        <v>14</v>
      </c>
      <c r="AP218" s="76" t="s">
        <v>546</v>
      </c>
      <c r="AQ218" s="141"/>
      <c r="AR218" s="134"/>
      <c r="AT218" s="2036" t="s">
        <v>922</v>
      </c>
      <c r="AU218" s="2036"/>
      <c r="AV218" s="2036"/>
      <c r="AW218" s="2036"/>
      <c r="AX218" s="2036"/>
      <c r="AY218" s="2036"/>
      <c r="AZ218" s="2"/>
      <c r="BA218" s="2"/>
      <c r="BB218" s="2"/>
      <c r="BC218" s="2"/>
      <c r="BF218" s="2036" t="s">
        <v>980</v>
      </c>
      <c r="BG218" s="2036"/>
      <c r="BH218" s="2036"/>
      <c r="BI218" s="2036"/>
      <c r="BJ218" s="2036"/>
      <c r="BK218" s="2036"/>
      <c r="BL218" s="2"/>
      <c r="BM218" s="2"/>
      <c r="BN218" s="2"/>
      <c r="BO218" s="2"/>
    </row>
    <row r="219" spans="28:67" ht="12" customHeight="1">
      <c r="AB219" s="21">
        <v>4202</v>
      </c>
      <c r="AC219" s="2" t="s">
        <v>748</v>
      </c>
      <c r="AD219" s="47">
        <v>2310</v>
      </c>
      <c r="AE219" s="5" t="s">
        <v>546</v>
      </c>
      <c r="AF219" s="5">
        <v>4</v>
      </c>
      <c r="AG219" s="47">
        <v>1006</v>
      </c>
      <c r="AH219" s="5">
        <v>1300</v>
      </c>
      <c r="AK219" s="78">
        <v>4819</v>
      </c>
      <c r="AL219" s="72" t="s">
        <v>818</v>
      </c>
      <c r="AM219" s="76">
        <v>376</v>
      </c>
      <c r="AN219" s="76" t="s">
        <v>546</v>
      </c>
      <c r="AO219" s="76" t="s">
        <v>546</v>
      </c>
      <c r="AP219" s="76">
        <v>10</v>
      </c>
      <c r="AQ219" s="76"/>
      <c r="AR219" s="134"/>
      <c r="AT219" s="2055" t="s">
        <v>127</v>
      </c>
      <c r="AU219" s="2055"/>
      <c r="AV219" s="2"/>
      <c r="AW219" s="2"/>
      <c r="AX219" s="2"/>
      <c r="AY219" s="2"/>
      <c r="AZ219" s="2"/>
      <c r="BA219" s="2"/>
      <c r="BB219" s="2"/>
      <c r="BC219" s="2"/>
      <c r="BF219" s="2036" t="s">
        <v>127</v>
      </c>
      <c r="BG219" s="2036"/>
      <c r="BH219" s="2"/>
      <c r="BI219" s="2"/>
      <c r="BJ219" s="2"/>
      <c r="BK219" s="2"/>
      <c r="BL219" s="2"/>
      <c r="BM219" s="2"/>
      <c r="BN219" s="2"/>
      <c r="BO219" s="2"/>
    </row>
    <row r="220" spans="28:67" ht="12.75" customHeight="1">
      <c r="AB220" s="21">
        <v>4203</v>
      </c>
      <c r="AC220" s="2" t="s">
        <v>749</v>
      </c>
      <c r="AD220" s="5">
        <v>747</v>
      </c>
      <c r="AE220" s="5" t="s">
        <v>546</v>
      </c>
      <c r="AF220" s="5" t="s">
        <v>546</v>
      </c>
      <c r="AG220" s="5">
        <v>570</v>
      </c>
      <c r="AH220" s="5">
        <v>177</v>
      </c>
      <c r="AK220" s="78">
        <v>6402</v>
      </c>
      <c r="AL220" s="72" t="s">
        <v>291</v>
      </c>
      <c r="AM220" s="76">
        <v>39</v>
      </c>
      <c r="AN220" s="76">
        <v>160</v>
      </c>
      <c r="AO220" s="76">
        <v>136</v>
      </c>
      <c r="AP220" s="76" t="s">
        <v>546</v>
      </c>
      <c r="AQ220" s="155"/>
      <c r="AR220" s="136"/>
      <c r="AT220" s="8"/>
      <c r="AU220" s="188"/>
      <c r="AV220" s="189" t="s">
        <v>923</v>
      </c>
      <c r="AW220" s="69" t="s">
        <v>841</v>
      </c>
      <c r="AX220" s="2057" t="s">
        <v>842</v>
      </c>
      <c r="AY220" s="2057"/>
      <c r="AZ220" s="2057"/>
      <c r="BA220" s="2057"/>
      <c r="BB220" s="2057"/>
      <c r="BC220" s="2057"/>
      <c r="BF220" s="8"/>
      <c r="BG220" s="188"/>
      <c r="BH220" s="189" t="s">
        <v>981</v>
      </c>
      <c r="BI220" s="69" t="s">
        <v>841</v>
      </c>
      <c r="BJ220" s="2043" t="s">
        <v>842</v>
      </c>
      <c r="BK220" s="2043"/>
      <c r="BL220" s="2043"/>
      <c r="BM220" s="2043"/>
      <c r="BN220" s="2043"/>
      <c r="BO220" s="2043"/>
    </row>
    <row r="221" spans="28:67" ht="12.95" customHeight="1">
      <c r="AB221" s="21">
        <v>4818</v>
      </c>
      <c r="AC221" s="2" t="s">
        <v>290</v>
      </c>
      <c r="AD221" s="5">
        <v>136</v>
      </c>
      <c r="AE221" s="5">
        <v>57</v>
      </c>
      <c r="AF221" s="5">
        <v>16</v>
      </c>
      <c r="AG221" s="5">
        <v>63</v>
      </c>
      <c r="AH221" s="5" t="s">
        <v>546</v>
      </c>
      <c r="AK221" s="78">
        <v>6403</v>
      </c>
      <c r="AL221" s="72" t="s">
        <v>591</v>
      </c>
      <c r="AM221" s="76">
        <v>10</v>
      </c>
      <c r="AN221" s="76">
        <v>28</v>
      </c>
      <c r="AO221" s="76" t="s">
        <v>546</v>
      </c>
      <c r="AP221" s="170" t="s">
        <v>546</v>
      </c>
      <c r="AQ221" s="155"/>
      <c r="AR221" s="136"/>
      <c r="AT221" s="10" t="s">
        <v>135</v>
      </c>
      <c r="AU221" s="183" t="s">
        <v>843</v>
      </c>
      <c r="AV221" s="40" t="s">
        <v>844</v>
      </c>
      <c r="AW221" s="70" t="s">
        <v>129</v>
      </c>
      <c r="AX221" s="193" t="s">
        <v>845</v>
      </c>
      <c r="AY221" s="26" t="s">
        <v>393</v>
      </c>
      <c r="AZ221" s="26" t="s">
        <v>847</v>
      </c>
      <c r="BA221" s="26" t="s">
        <v>528</v>
      </c>
      <c r="BB221" s="26" t="s">
        <v>399</v>
      </c>
      <c r="BC221" s="27" t="s">
        <v>394</v>
      </c>
      <c r="BF221" s="58" t="s">
        <v>135</v>
      </c>
      <c r="BG221" s="183" t="s">
        <v>843</v>
      </c>
      <c r="BH221" s="40" t="s">
        <v>844</v>
      </c>
      <c r="BI221" s="70" t="s">
        <v>129</v>
      </c>
      <c r="BJ221" s="26" t="s">
        <v>845</v>
      </c>
      <c r="BK221" s="26" t="s">
        <v>392</v>
      </c>
      <c r="BL221" s="26" t="s">
        <v>941</v>
      </c>
      <c r="BM221" s="26" t="s">
        <v>393</v>
      </c>
      <c r="BN221" s="26" t="s">
        <v>528</v>
      </c>
      <c r="BO221" s="27" t="s">
        <v>394</v>
      </c>
    </row>
    <row r="222" spans="28:67" ht="12.95" customHeight="1">
      <c r="AB222" s="21">
        <v>4819</v>
      </c>
      <c r="AC222" s="2" t="s">
        <v>717</v>
      </c>
      <c r="AD222" s="5">
        <v>75</v>
      </c>
      <c r="AE222" s="5">
        <v>65</v>
      </c>
      <c r="AF222" s="5">
        <v>10</v>
      </c>
      <c r="AG222" s="5" t="s">
        <v>546</v>
      </c>
      <c r="AH222" s="5" t="s">
        <v>546</v>
      </c>
      <c r="AK222" s="167" t="s">
        <v>174</v>
      </c>
      <c r="AL222" s="168"/>
      <c r="AM222" s="169"/>
      <c r="AN222" s="169"/>
      <c r="AO222" s="169"/>
      <c r="AP222" s="169"/>
      <c r="AQ222" s="155"/>
      <c r="AR222" s="136"/>
      <c r="AT222" s="3"/>
      <c r="AU222" s="3" t="s">
        <v>129</v>
      </c>
      <c r="AV222" s="53">
        <v>9135</v>
      </c>
      <c r="AW222" s="87">
        <v>100</v>
      </c>
      <c r="AX222" s="53">
        <v>4636</v>
      </c>
      <c r="AY222" s="53">
        <v>1326</v>
      </c>
      <c r="AZ222" s="53">
        <v>1119</v>
      </c>
      <c r="BA222" s="22">
        <v>743</v>
      </c>
      <c r="BB222" s="22">
        <v>707</v>
      </c>
      <c r="BC222" s="22">
        <v>604</v>
      </c>
      <c r="BF222" s="108"/>
      <c r="BG222" s="108" t="s">
        <v>129</v>
      </c>
      <c r="BH222" s="132">
        <v>7696</v>
      </c>
      <c r="BI222" s="198">
        <v>100</v>
      </c>
      <c r="BJ222" s="132">
        <v>1763</v>
      </c>
      <c r="BK222" s="132">
        <v>1524</v>
      </c>
      <c r="BL222" s="132">
        <v>1197</v>
      </c>
      <c r="BM222" s="132">
        <v>1198</v>
      </c>
      <c r="BN222" s="107">
        <v>710</v>
      </c>
      <c r="BO222" s="132">
        <v>1304</v>
      </c>
    </row>
    <row r="223" spans="28:67" ht="12.95" customHeight="1">
      <c r="AB223" s="21">
        <v>4823</v>
      </c>
      <c r="AC223" s="2" t="s">
        <v>750</v>
      </c>
      <c r="AD223" s="5">
        <v>10</v>
      </c>
      <c r="AE223" s="5">
        <v>5</v>
      </c>
      <c r="AF223" s="5">
        <v>5</v>
      </c>
      <c r="AG223" s="5" t="s">
        <v>546</v>
      </c>
      <c r="AH223" s="5" t="s">
        <v>546</v>
      </c>
      <c r="AK223" s="84" t="s">
        <v>637</v>
      </c>
      <c r="AL223" s="85"/>
      <c r="AM223" s="85"/>
      <c r="AN223" s="85"/>
      <c r="AO223" s="85"/>
      <c r="AP223" s="85"/>
      <c r="AQ223" s="134"/>
      <c r="AR223" s="134"/>
      <c r="AT223" s="35">
        <v>2402</v>
      </c>
      <c r="AU223" s="2" t="s">
        <v>616</v>
      </c>
      <c r="AV223" s="47">
        <v>1806</v>
      </c>
      <c r="AW223" s="5">
        <v>19.8</v>
      </c>
      <c r="AX223" s="47">
        <v>1272</v>
      </c>
      <c r="AY223" s="2"/>
      <c r="AZ223" s="5">
        <v>345</v>
      </c>
      <c r="BA223" s="5">
        <v>189</v>
      </c>
      <c r="BB223" s="2"/>
      <c r="BC223" s="2"/>
      <c r="BF223" s="21">
        <v>8703</v>
      </c>
      <c r="BG223" s="3" t="s">
        <v>654</v>
      </c>
      <c r="BH223" s="53">
        <v>1616</v>
      </c>
      <c r="BI223" s="87">
        <v>21</v>
      </c>
      <c r="BJ223" s="22">
        <v>269</v>
      </c>
      <c r="BK223" s="22">
        <v>962</v>
      </c>
      <c r="BL223" s="22">
        <v>38</v>
      </c>
      <c r="BM223" s="3"/>
      <c r="BN223" s="22">
        <v>219</v>
      </c>
      <c r="BO223" s="22">
        <v>128</v>
      </c>
    </row>
    <row r="224" spans="28:67" ht="12" customHeight="1">
      <c r="AB224" s="21">
        <v>6402</v>
      </c>
      <c r="AC224" s="2" t="s">
        <v>291</v>
      </c>
      <c r="AD224" s="5">
        <v>97</v>
      </c>
      <c r="AE224" s="5" t="s">
        <v>546</v>
      </c>
      <c r="AF224" s="5">
        <v>56</v>
      </c>
      <c r="AG224" s="5">
        <v>32</v>
      </c>
      <c r="AH224" s="5">
        <v>9</v>
      </c>
      <c r="AK224" s="84" t="s">
        <v>714</v>
      </c>
      <c r="AL224" s="156"/>
      <c r="AM224" s="85"/>
      <c r="AN224" s="85"/>
      <c r="AO224" s="85"/>
      <c r="AP224" s="85"/>
      <c r="AQ224" s="134"/>
      <c r="AR224" s="134"/>
      <c r="AT224" s="35">
        <v>2203</v>
      </c>
      <c r="AU224" s="2" t="s">
        <v>430</v>
      </c>
      <c r="AV224" s="47">
        <v>1632</v>
      </c>
      <c r="AW224" s="5">
        <v>17.899999999999999</v>
      </c>
      <c r="AX224" s="47">
        <v>1092</v>
      </c>
      <c r="AY224" s="2"/>
      <c r="AZ224" s="5">
        <v>484</v>
      </c>
      <c r="BA224" s="5">
        <v>55</v>
      </c>
      <c r="BB224" s="2"/>
      <c r="BC224" s="2"/>
      <c r="BF224" s="21">
        <v>4202</v>
      </c>
      <c r="BG224" s="3" t="s">
        <v>748</v>
      </c>
      <c r="BH224" s="53">
        <v>1300</v>
      </c>
      <c r="BI224" s="22">
        <v>16.899999999999999</v>
      </c>
      <c r="BJ224" s="3"/>
      <c r="BK224" s="22">
        <v>442</v>
      </c>
      <c r="BL224" s="3"/>
      <c r="BM224" s="22">
        <v>823</v>
      </c>
      <c r="BN224" s="3"/>
      <c r="BO224" s="22">
        <v>35</v>
      </c>
    </row>
    <row r="225" spans="28:67" ht="12" customHeight="1">
      <c r="AB225" s="40">
        <v>6403</v>
      </c>
      <c r="AC225" s="10" t="s">
        <v>591</v>
      </c>
      <c r="AD225" s="11">
        <v>158</v>
      </c>
      <c r="AE225" s="11">
        <v>66</v>
      </c>
      <c r="AF225" s="11">
        <v>38</v>
      </c>
      <c r="AG225" s="11">
        <v>44</v>
      </c>
      <c r="AH225" s="11">
        <v>10</v>
      </c>
      <c r="AK225" s="135"/>
      <c r="AL225" s="133"/>
      <c r="AM225" s="133"/>
      <c r="AN225" s="133"/>
      <c r="AO225" s="133"/>
      <c r="AP225" s="133"/>
      <c r="AQ225" s="134"/>
      <c r="AR225" s="134"/>
      <c r="AT225" s="35">
        <v>8703</v>
      </c>
      <c r="AU225" s="2" t="s">
        <v>293</v>
      </c>
      <c r="AV225" s="47">
        <v>1350</v>
      </c>
      <c r="AW225" s="5">
        <v>14.8</v>
      </c>
      <c r="AX225" s="47">
        <v>1064</v>
      </c>
      <c r="AY225" s="2"/>
      <c r="AZ225" s="5">
        <v>11</v>
      </c>
      <c r="BA225" s="5">
        <v>275</v>
      </c>
      <c r="BB225" s="2"/>
      <c r="BC225" s="2"/>
      <c r="BF225" s="21">
        <v>2402</v>
      </c>
      <c r="BG225" s="3" t="s">
        <v>616</v>
      </c>
      <c r="BH225" s="53">
        <v>1298</v>
      </c>
      <c r="BI225" s="22">
        <v>16.899999999999999</v>
      </c>
      <c r="BJ225" s="22">
        <v>901</v>
      </c>
      <c r="BK225" s="3"/>
      <c r="BL225" s="22">
        <v>339</v>
      </c>
      <c r="BM225" s="3"/>
      <c r="BN225" s="22">
        <v>58</v>
      </c>
      <c r="BO225" s="3"/>
    </row>
    <row r="226" spans="28:67" ht="12" customHeight="1">
      <c r="AB226" s="13" t="s">
        <v>174</v>
      </c>
      <c r="AC226" s="14"/>
      <c r="AD226" s="14"/>
      <c r="AE226" s="14"/>
      <c r="AF226" s="14"/>
      <c r="AG226" s="14"/>
      <c r="AH226" s="14"/>
      <c r="AK226" s="135"/>
      <c r="AL226" s="133"/>
      <c r="AM226" s="133"/>
      <c r="AN226" s="133"/>
      <c r="AO226" s="133"/>
      <c r="AP226" s="133"/>
      <c r="AQ226" s="134"/>
      <c r="AR226" s="134"/>
      <c r="AT226" s="35">
        <v>7113</v>
      </c>
      <c r="AU226" s="2" t="s">
        <v>328</v>
      </c>
      <c r="AV226" s="47">
        <v>1253</v>
      </c>
      <c r="AW226" s="5">
        <v>13.7</v>
      </c>
      <c r="AX226" s="2"/>
      <c r="AY226" s="47">
        <v>1176</v>
      </c>
      <c r="AZ226" s="2"/>
      <c r="BA226" s="2"/>
      <c r="BB226" s="2"/>
      <c r="BC226" s="5">
        <v>77</v>
      </c>
      <c r="BF226" s="21">
        <v>2203</v>
      </c>
      <c r="BG226" s="3" t="s">
        <v>280</v>
      </c>
      <c r="BH226" s="22">
        <v>928</v>
      </c>
      <c r="BI226" s="22">
        <v>12.1</v>
      </c>
      <c r="BJ226" s="22">
        <v>386</v>
      </c>
      <c r="BK226" s="3"/>
      <c r="BL226" s="22">
        <v>417</v>
      </c>
      <c r="BM226" s="3"/>
      <c r="BN226" s="22">
        <v>125</v>
      </c>
      <c r="BO226" s="3"/>
    </row>
    <row r="227" spans="28:67" ht="12" customHeight="1">
      <c r="AB227" s="13" t="s">
        <v>637</v>
      </c>
      <c r="AC227" s="30"/>
      <c r="AD227" s="14"/>
      <c r="AE227" s="14"/>
      <c r="AF227" s="14"/>
      <c r="AG227" s="14"/>
      <c r="AH227" s="14"/>
      <c r="AK227" s="135"/>
      <c r="AL227" s="133"/>
      <c r="AM227" s="133"/>
      <c r="AN227" s="133"/>
      <c r="AO227" s="133"/>
      <c r="AP227" s="133"/>
      <c r="AQ227" s="134"/>
      <c r="AR227" s="134"/>
      <c r="AT227" s="35">
        <v>7200</v>
      </c>
      <c r="AU227" s="2" t="s">
        <v>309</v>
      </c>
      <c r="AV227" s="5">
        <v>747</v>
      </c>
      <c r="AW227" s="5">
        <v>8.1999999999999993</v>
      </c>
      <c r="AX227" s="5">
        <v>37</v>
      </c>
      <c r="AY227" s="2"/>
      <c r="AZ227" s="5">
        <v>6</v>
      </c>
      <c r="BA227" s="2"/>
      <c r="BB227" s="5">
        <v>651</v>
      </c>
      <c r="BC227" s="5">
        <v>53</v>
      </c>
      <c r="BF227" s="21">
        <v>2208</v>
      </c>
      <c r="BG227" s="3" t="s">
        <v>282</v>
      </c>
      <c r="BH227" s="22">
        <v>483</v>
      </c>
      <c r="BI227" s="22">
        <v>6.3</v>
      </c>
      <c r="BJ227" s="22">
        <v>15</v>
      </c>
      <c r="BK227" s="3"/>
      <c r="BL227" s="3"/>
      <c r="BM227" s="3"/>
      <c r="BN227" s="22">
        <v>269</v>
      </c>
      <c r="BO227" s="22">
        <v>199</v>
      </c>
    </row>
    <row r="228" spans="28:67" ht="12.95" customHeight="1">
      <c r="AB228" s="13" t="s">
        <v>714</v>
      </c>
      <c r="AC228" s="30"/>
      <c r="AD228" s="14"/>
      <c r="AE228" s="14"/>
      <c r="AF228" s="14"/>
      <c r="AG228" s="14"/>
      <c r="AH228" s="14"/>
      <c r="AK228" s="71" t="s">
        <v>819</v>
      </c>
      <c r="AL228" s="72"/>
      <c r="AM228" s="72"/>
      <c r="AN228" s="72"/>
      <c r="AO228" s="72"/>
      <c r="AP228" s="72"/>
      <c r="AQ228" s="134"/>
      <c r="AR228" s="134"/>
      <c r="AT228" s="35">
        <v>3006</v>
      </c>
      <c r="AU228" s="2" t="s">
        <v>684</v>
      </c>
      <c r="AV228" s="5">
        <v>522</v>
      </c>
      <c r="AW228" s="5">
        <v>5.7</v>
      </c>
      <c r="AX228" s="5">
        <v>492</v>
      </c>
      <c r="AY228" s="2"/>
      <c r="AZ228" s="2"/>
      <c r="BA228" s="5">
        <v>30</v>
      </c>
      <c r="BB228" s="2"/>
      <c r="BC228" s="2"/>
      <c r="BF228" s="21">
        <v>8708</v>
      </c>
      <c r="BG228" s="3" t="s">
        <v>924</v>
      </c>
      <c r="BH228" s="22">
        <v>350</v>
      </c>
      <c r="BI228" s="22">
        <v>4.5</v>
      </c>
      <c r="BJ228" s="3"/>
      <c r="BK228" s="22">
        <v>6</v>
      </c>
      <c r="BL228" s="22">
        <v>272</v>
      </c>
      <c r="BM228" s="22">
        <v>30</v>
      </c>
      <c r="BN228" s="3"/>
      <c r="BO228" s="22">
        <v>42</v>
      </c>
    </row>
    <row r="229" spans="28:67" ht="12" customHeight="1">
      <c r="AB229" s="13"/>
      <c r="AC229" s="30"/>
      <c r="AD229" s="14"/>
      <c r="AE229" s="14"/>
      <c r="AF229" s="14"/>
      <c r="AG229" s="14"/>
      <c r="AH229" s="14"/>
      <c r="AK229" s="71" t="s">
        <v>127</v>
      </c>
      <c r="AL229" s="72"/>
      <c r="AM229" s="72"/>
      <c r="AN229" s="72"/>
      <c r="AO229" s="72"/>
      <c r="AP229" s="72"/>
      <c r="AQ229" s="134"/>
      <c r="AR229" s="134"/>
      <c r="AT229" s="35">
        <v>8708</v>
      </c>
      <c r="AU229" s="2" t="s">
        <v>924</v>
      </c>
      <c r="AV229" s="5">
        <v>385</v>
      </c>
      <c r="AW229" s="5">
        <v>4.2</v>
      </c>
      <c r="AX229" s="5">
        <v>201</v>
      </c>
      <c r="AY229" s="2"/>
      <c r="AZ229" s="5">
        <v>98</v>
      </c>
      <c r="BA229" s="5">
        <v>71</v>
      </c>
      <c r="BB229" s="5">
        <v>15</v>
      </c>
      <c r="BC229" s="2"/>
      <c r="BF229" s="21">
        <v>7200</v>
      </c>
      <c r="BG229" s="3" t="s">
        <v>309</v>
      </c>
      <c r="BH229" s="22">
        <v>344</v>
      </c>
      <c r="BI229" s="22">
        <v>4.5</v>
      </c>
      <c r="BJ229" s="3"/>
      <c r="BK229" s="3"/>
      <c r="BL229" s="22">
        <v>4</v>
      </c>
      <c r="BM229" s="3"/>
      <c r="BN229" s="3"/>
      <c r="BO229" s="22">
        <v>340</v>
      </c>
    </row>
    <row r="230" spans="28:67" ht="12" customHeight="1">
      <c r="AB230" s="13"/>
      <c r="AC230" s="30"/>
      <c r="AD230" s="14"/>
      <c r="AE230" s="14"/>
      <c r="AF230" s="14"/>
      <c r="AG230" s="14"/>
      <c r="AH230" s="14"/>
      <c r="AK230" s="149"/>
      <c r="AL230" s="171"/>
      <c r="AM230" s="158" t="s">
        <v>119</v>
      </c>
      <c r="AN230" s="159" t="s">
        <v>540</v>
      </c>
      <c r="AO230" s="158" t="s">
        <v>541</v>
      </c>
      <c r="AP230" s="164" t="s">
        <v>542</v>
      </c>
      <c r="AQ230" s="134"/>
      <c r="AR230" s="134"/>
      <c r="AT230" s="35">
        <v>2208</v>
      </c>
      <c r="AU230" s="2" t="s">
        <v>918</v>
      </c>
      <c r="AV230" s="5">
        <v>252</v>
      </c>
      <c r="AW230" s="5">
        <v>2.8</v>
      </c>
      <c r="AX230" s="5">
        <v>151</v>
      </c>
      <c r="AY230" s="2"/>
      <c r="AZ230" s="5">
        <v>49</v>
      </c>
      <c r="BA230" s="5">
        <v>52</v>
      </c>
      <c r="BB230" s="2"/>
      <c r="BC230" s="2"/>
      <c r="BF230" s="21">
        <v>7308</v>
      </c>
      <c r="BG230" s="3" t="s">
        <v>666</v>
      </c>
      <c r="BH230" s="22">
        <v>236</v>
      </c>
      <c r="BI230" s="22">
        <v>3.1</v>
      </c>
      <c r="BJ230" s="3"/>
      <c r="BK230" s="3"/>
      <c r="BL230" s="3"/>
      <c r="BM230" s="3"/>
      <c r="BN230" s="3"/>
      <c r="BO230" s="22">
        <v>236</v>
      </c>
    </row>
    <row r="231" spans="28:67" ht="12.75" customHeight="1">
      <c r="AB231" s="3"/>
      <c r="AC231" s="2"/>
      <c r="AD231" s="2"/>
      <c r="AE231" s="2"/>
      <c r="AF231" s="2"/>
      <c r="AG231" s="2"/>
      <c r="AH231" s="2"/>
      <c r="AK231" s="147" t="s">
        <v>135</v>
      </c>
      <c r="AL231" s="172" t="s">
        <v>136</v>
      </c>
      <c r="AM231" s="83" t="s">
        <v>544</v>
      </c>
      <c r="AN231" s="161" t="s">
        <v>45</v>
      </c>
      <c r="AO231" s="83" t="s">
        <v>44</v>
      </c>
      <c r="AP231" s="166" t="s">
        <v>43</v>
      </c>
      <c r="AQ231" s="134"/>
      <c r="AR231" s="134"/>
      <c r="AT231" s="35">
        <v>4421</v>
      </c>
      <c r="AU231" s="2" t="s">
        <v>305</v>
      </c>
      <c r="AV231" s="5">
        <v>223</v>
      </c>
      <c r="AW231" s="5">
        <v>2.4</v>
      </c>
      <c r="AX231" s="2"/>
      <c r="AY231" s="2"/>
      <c r="AZ231" s="2"/>
      <c r="BA231" s="5">
        <v>10</v>
      </c>
      <c r="BB231" s="2"/>
      <c r="BC231" s="5">
        <v>214</v>
      </c>
      <c r="BF231" s="21">
        <v>4203</v>
      </c>
      <c r="BG231" s="3" t="s">
        <v>749</v>
      </c>
      <c r="BH231" s="22">
        <v>177</v>
      </c>
      <c r="BI231" s="22">
        <v>2.2999999999999998</v>
      </c>
      <c r="BJ231" s="3"/>
      <c r="BK231" s="3"/>
      <c r="BL231" s="3"/>
      <c r="BM231" s="22">
        <v>177</v>
      </c>
      <c r="BN231" s="3"/>
      <c r="BO231" s="3"/>
    </row>
    <row r="232" spans="28:67" ht="12.95" customHeight="1">
      <c r="AB232" s="1" t="s">
        <v>775</v>
      </c>
      <c r="AC232" s="2"/>
      <c r="AD232" s="2"/>
      <c r="AE232" s="2"/>
      <c r="AF232" s="2"/>
      <c r="AG232" s="2"/>
      <c r="AH232" s="2"/>
      <c r="AK232" s="74"/>
      <c r="AL232" s="153" t="s">
        <v>201</v>
      </c>
      <c r="AM232" s="75">
        <v>3135</v>
      </c>
      <c r="AN232" s="162">
        <v>978</v>
      </c>
      <c r="AO232" s="162">
        <v>355</v>
      </c>
      <c r="AP232" s="162">
        <v>232</v>
      </c>
      <c r="AQ232" s="134"/>
      <c r="AR232" s="134"/>
      <c r="AT232" s="35">
        <v>7411</v>
      </c>
      <c r="AU232" s="2" t="s">
        <v>310</v>
      </c>
      <c r="AV232" s="5">
        <v>133</v>
      </c>
      <c r="AW232" s="5">
        <v>1.5</v>
      </c>
      <c r="AX232" s="2"/>
      <c r="AY232" s="2"/>
      <c r="AZ232" s="5">
        <v>57</v>
      </c>
      <c r="BA232" s="5">
        <v>3</v>
      </c>
      <c r="BB232" s="2"/>
      <c r="BC232" s="5">
        <v>73</v>
      </c>
      <c r="BF232" s="21">
        <v>6204</v>
      </c>
      <c r="BG232" s="3" t="s">
        <v>431</v>
      </c>
      <c r="BH232" s="22">
        <v>173</v>
      </c>
      <c r="BI232" s="22">
        <v>2.2000000000000002</v>
      </c>
      <c r="BJ232" s="3"/>
      <c r="BK232" s="3"/>
      <c r="BL232" s="3"/>
      <c r="BM232" s="22">
        <v>3</v>
      </c>
      <c r="BN232" s="3"/>
      <c r="BO232" s="22">
        <v>170</v>
      </c>
    </row>
    <row r="233" spans="28:67" ht="13.5" customHeight="1">
      <c r="AB233" s="1" t="s">
        <v>127</v>
      </c>
      <c r="AC233" s="2"/>
      <c r="AD233" s="2"/>
      <c r="AE233" s="2"/>
      <c r="AF233" s="2"/>
      <c r="AG233" s="2"/>
      <c r="AH233" s="2"/>
      <c r="AK233" s="78">
        <v>2523</v>
      </c>
      <c r="AL233" s="74" t="s">
        <v>302</v>
      </c>
      <c r="AM233" s="76">
        <v>0</v>
      </c>
      <c r="AN233" s="76" t="s">
        <v>546</v>
      </c>
      <c r="AO233" s="76">
        <v>17</v>
      </c>
      <c r="AP233" s="76">
        <v>5</v>
      </c>
      <c r="AQ233" s="134"/>
      <c r="AR233" s="134"/>
      <c r="AT233" s="35">
        <v>8300</v>
      </c>
      <c r="AU233" s="2" t="s">
        <v>925</v>
      </c>
      <c r="AV233" s="5">
        <v>122</v>
      </c>
      <c r="AW233" s="5">
        <v>1.3</v>
      </c>
      <c r="AX233" s="5">
        <v>9</v>
      </c>
      <c r="AY233" s="2"/>
      <c r="AZ233" s="5">
        <v>3</v>
      </c>
      <c r="BA233" s="5">
        <v>18</v>
      </c>
      <c r="BB233" s="2"/>
      <c r="BC233" s="5">
        <v>93</v>
      </c>
      <c r="BF233" s="21">
        <v>6203</v>
      </c>
      <c r="BG233" s="3" t="s">
        <v>428</v>
      </c>
      <c r="BH233" s="22">
        <v>116</v>
      </c>
      <c r="BI233" s="22">
        <v>1.5</v>
      </c>
      <c r="BJ233" s="3"/>
      <c r="BK233" s="3"/>
      <c r="BL233" s="3"/>
      <c r="BM233" s="22">
        <v>116</v>
      </c>
      <c r="BN233" s="3"/>
      <c r="BO233" s="3"/>
    </row>
    <row r="234" spans="28:67" ht="12.95" customHeight="1">
      <c r="AB234" s="130"/>
      <c r="AC234" s="8"/>
      <c r="AD234" s="125" t="s">
        <v>119</v>
      </c>
      <c r="AE234" s="96" t="s">
        <v>540</v>
      </c>
      <c r="AF234" s="107" t="s">
        <v>541</v>
      </c>
      <c r="AG234" s="96" t="s">
        <v>542</v>
      </c>
      <c r="AH234" s="107" t="s">
        <v>724</v>
      </c>
      <c r="AK234" s="78">
        <v>2800</v>
      </c>
      <c r="AL234" s="72" t="s">
        <v>820</v>
      </c>
      <c r="AM234" s="77">
        <v>1565</v>
      </c>
      <c r="AN234" s="76" t="s">
        <v>546</v>
      </c>
      <c r="AO234" s="76" t="s">
        <v>546</v>
      </c>
      <c r="AP234" s="76" t="s">
        <v>546</v>
      </c>
      <c r="AQ234" s="134"/>
      <c r="AR234" s="134"/>
      <c r="AT234" s="35">
        <v>7616</v>
      </c>
      <c r="AU234" s="2" t="s">
        <v>311</v>
      </c>
      <c r="AV234" s="5">
        <v>114</v>
      </c>
      <c r="AW234" s="5">
        <v>1.2</v>
      </c>
      <c r="AX234" s="5">
        <v>62</v>
      </c>
      <c r="AY234" s="2"/>
      <c r="AZ234" s="5">
        <v>10</v>
      </c>
      <c r="BA234" s="2"/>
      <c r="BB234" s="5">
        <v>41</v>
      </c>
      <c r="BC234" s="2"/>
      <c r="BF234" s="21">
        <v>3304</v>
      </c>
      <c r="BG234" s="3" t="s">
        <v>432</v>
      </c>
      <c r="BH234" s="22">
        <v>111</v>
      </c>
      <c r="BI234" s="22">
        <v>1.4</v>
      </c>
      <c r="BJ234" s="3"/>
      <c r="BK234" s="22">
        <v>111</v>
      </c>
      <c r="BL234" s="3"/>
      <c r="BM234" s="3"/>
      <c r="BN234" s="3"/>
      <c r="BO234" s="3"/>
    </row>
    <row r="235" spans="28:67" ht="12.95" customHeight="1">
      <c r="AB235" s="111" t="s">
        <v>135</v>
      </c>
      <c r="AC235" s="10" t="s">
        <v>136</v>
      </c>
      <c r="AD235" s="11" t="s">
        <v>544</v>
      </c>
      <c r="AE235" s="97" t="s">
        <v>45</v>
      </c>
      <c r="AF235" s="29" t="s">
        <v>44</v>
      </c>
      <c r="AG235" s="97" t="s">
        <v>43</v>
      </c>
      <c r="AH235" s="29" t="s">
        <v>42</v>
      </c>
      <c r="AK235" s="78">
        <v>3208</v>
      </c>
      <c r="AL235" s="72" t="s">
        <v>303</v>
      </c>
      <c r="AM235" s="76">
        <v>22</v>
      </c>
      <c r="AN235" s="76">
        <v>39</v>
      </c>
      <c r="AO235" s="76">
        <v>9</v>
      </c>
      <c r="AP235" s="76">
        <v>16</v>
      </c>
      <c r="AQ235" s="134"/>
      <c r="AR235" s="134"/>
      <c r="AT235" s="35">
        <v>2202</v>
      </c>
      <c r="AU235" s="2" t="s">
        <v>278</v>
      </c>
      <c r="AV235" s="5">
        <v>105</v>
      </c>
      <c r="AW235" s="5">
        <v>1.1000000000000001</v>
      </c>
      <c r="AX235" s="5">
        <v>87</v>
      </c>
      <c r="AY235" s="2"/>
      <c r="AZ235" s="5">
        <v>18</v>
      </c>
      <c r="BA235" s="2"/>
      <c r="BB235" s="2"/>
      <c r="BC235" s="2"/>
      <c r="BF235" s="21">
        <v>7404</v>
      </c>
      <c r="BG235" s="3" t="s">
        <v>968</v>
      </c>
      <c r="BH235" s="22">
        <v>88</v>
      </c>
      <c r="BI235" s="22">
        <v>1.1000000000000001</v>
      </c>
      <c r="BJ235" s="3"/>
      <c r="BK235" s="3"/>
      <c r="BL235" s="3"/>
      <c r="BM235" s="3"/>
      <c r="BN235" s="3"/>
      <c r="BO235" s="22">
        <v>88</v>
      </c>
    </row>
    <row r="236" spans="28:67" ht="12.95" customHeight="1">
      <c r="AB236" s="3"/>
      <c r="AC236" s="20" t="s">
        <v>201</v>
      </c>
      <c r="AD236" s="53">
        <v>5500</v>
      </c>
      <c r="AE236" s="53">
        <v>1803</v>
      </c>
      <c r="AF236" s="53">
        <v>1382</v>
      </c>
      <c r="AG236" s="53">
        <v>1469</v>
      </c>
      <c r="AH236" s="22">
        <v>846</v>
      </c>
      <c r="AK236" s="78">
        <v>3800</v>
      </c>
      <c r="AL236" s="72" t="s">
        <v>791</v>
      </c>
      <c r="AM236" s="76">
        <v>0</v>
      </c>
      <c r="AN236" s="76" t="s">
        <v>546</v>
      </c>
      <c r="AO236" s="76">
        <v>18</v>
      </c>
      <c r="AP236" s="76" t="s">
        <v>546</v>
      </c>
      <c r="AQ236" s="134"/>
      <c r="AR236" s="134"/>
      <c r="AT236" s="35">
        <v>8548</v>
      </c>
      <c r="AU236" s="2" t="s">
        <v>926</v>
      </c>
      <c r="AV236" s="5">
        <v>100</v>
      </c>
      <c r="AW236" s="5">
        <v>1.1000000000000001</v>
      </c>
      <c r="AX236" s="5">
        <v>23</v>
      </c>
      <c r="AY236" s="2"/>
      <c r="AZ236" s="2"/>
      <c r="BA236" s="2"/>
      <c r="BB236" s="2"/>
      <c r="BC236" s="5">
        <v>77</v>
      </c>
      <c r="BF236" s="21">
        <v>7602</v>
      </c>
      <c r="BG236" s="3" t="s">
        <v>982</v>
      </c>
      <c r="BH236" s="22">
        <v>81</v>
      </c>
      <c r="BI236" s="22">
        <v>1.1000000000000001</v>
      </c>
      <c r="BJ236" s="3"/>
      <c r="BK236" s="3"/>
      <c r="BL236" s="3"/>
      <c r="BM236" s="22">
        <v>15</v>
      </c>
      <c r="BN236" s="3"/>
      <c r="BO236" s="22">
        <v>66</v>
      </c>
    </row>
    <row r="237" spans="28:67" ht="12.95" customHeight="1">
      <c r="AB237" s="21">
        <v>2523</v>
      </c>
      <c r="AC237" s="3" t="s">
        <v>302</v>
      </c>
      <c r="AD237" s="5">
        <v>4</v>
      </c>
      <c r="AE237" s="5">
        <v>4</v>
      </c>
      <c r="AF237" s="5" t="s">
        <v>546</v>
      </c>
      <c r="AG237" s="5" t="s">
        <v>546</v>
      </c>
      <c r="AH237" s="5" t="s">
        <v>546</v>
      </c>
      <c r="AK237" s="78">
        <v>3917</v>
      </c>
      <c r="AL237" s="72" t="s">
        <v>304</v>
      </c>
      <c r="AM237" s="76">
        <v>64</v>
      </c>
      <c r="AN237" s="76" t="s">
        <v>546</v>
      </c>
      <c r="AO237" s="76">
        <v>6</v>
      </c>
      <c r="AP237" s="76">
        <v>7</v>
      </c>
      <c r="AQ237" s="134"/>
      <c r="AR237" s="134"/>
      <c r="AT237" s="35">
        <v>2710</v>
      </c>
      <c r="AU237" s="2" t="s">
        <v>618</v>
      </c>
      <c r="AV237" s="5">
        <v>88</v>
      </c>
      <c r="AW237" s="88">
        <v>1</v>
      </c>
      <c r="AX237" s="5">
        <v>49</v>
      </c>
      <c r="AY237" s="2"/>
      <c r="AZ237" s="2"/>
      <c r="BA237" s="5">
        <v>40</v>
      </c>
      <c r="BB237" s="2"/>
      <c r="BC237" s="2"/>
      <c r="BF237" s="21">
        <v>3926</v>
      </c>
      <c r="BG237" s="3" t="s">
        <v>287</v>
      </c>
      <c r="BH237" s="22">
        <v>78</v>
      </c>
      <c r="BI237" s="199">
        <v>1</v>
      </c>
      <c r="BJ237" s="22">
        <v>44</v>
      </c>
      <c r="BK237" s="3"/>
      <c r="BL237" s="22">
        <v>27</v>
      </c>
      <c r="BM237" s="3"/>
      <c r="BN237" s="22">
        <v>7</v>
      </c>
      <c r="BO237" s="3"/>
    </row>
    <row r="238" spans="28:67" ht="12.95" customHeight="1">
      <c r="AB238" s="21">
        <v>3208</v>
      </c>
      <c r="AC238" s="2" t="s">
        <v>303</v>
      </c>
      <c r="AD238" s="5">
        <v>52</v>
      </c>
      <c r="AE238" s="5" t="s">
        <v>546</v>
      </c>
      <c r="AF238" s="5">
        <v>6</v>
      </c>
      <c r="AG238" s="5">
        <v>15</v>
      </c>
      <c r="AH238" s="5">
        <v>31</v>
      </c>
      <c r="AK238" s="78">
        <v>4402</v>
      </c>
      <c r="AL238" s="72" t="s">
        <v>821</v>
      </c>
      <c r="AM238" s="76">
        <v>18</v>
      </c>
      <c r="AN238" s="76" t="s">
        <v>546</v>
      </c>
      <c r="AO238" s="76" t="s">
        <v>546</v>
      </c>
      <c r="AP238" s="76">
        <v>3</v>
      </c>
      <c r="AQ238" s="134"/>
      <c r="AR238" s="134"/>
      <c r="AT238" s="35">
        <v>6217</v>
      </c>
      <c r="AU238" s="2" t="s">
        <v>286</v>
      </c>
      <c r="AV238" s="5">
        <v>80</v>
      </c>
      <c r="AW238" s="5">
        <v>0.9</v>
      </c>
      <c r="AX238" s="2"/>
      <c r="AY238" s="5">
        <v>80</v>
      </c>
      <c r="AZ238" s="2"/>
      <c r="BA238" s="2"/>
      <c r="BB238" s="2"/>
      <c r="BC238" s="2"/>
      <c r="BF238" s="21">
        <v>2710</v>
      </c>
      <c r="BG238" s="3" t="s">
        <v>959</v>
      </c>
      <c r="BH238" s="22">
        <v>73</v>
      </c>
      <c r="BI238" s="22">
        <v>0.9</v>
      </c>
      <c r="BJ238" s="22">
        <v>44</v>
      </c>
      <c r="BK238" s="3"/>
      <c r="BL238" s="3"/>
      <c r="BM238" s="3"/>
      <c r="BN238" s="22">
        <v>29</v>
      </c>
      <c r="BO238" s="3"/>
    </row>
    <row r="239" spans="28:67" ht="12.95" customHeight="1">
      <c r="AB239" s="21">
        <v>3917</v>
      </c>
      <c r="AC239" s="2" t="s">
        <v>304</v>
      </c>
      <c r="AD239" s="5">
        <v>451</v>
      </c>
      <c r="AE239" s="5">
        <v>451</v>
      </c>
      <c r="AF239" s="5" t="s">
        <v>546</v>
      </c>
      <c r="AG239" s="5" t="s">
        <v>546</v>
      </c>
      <c r="AH239" s="5" t="s">
        <v>546</v>
      </c>
      <c r="AK239" s="78">
        <v>6800</v>
      </c>
      <c r="AL239" s="72" t="s">
        <v>822</v>
      </c>
      <c r="AM239" s="76">
        <v>13</v>
      </c>
      <c r="AN239" s="76" t="s">
        <v>546</v>
      </c>
      <c r="AO239" s="76">
        <v>3</v>
      </c>
      <c r="AP239" s="76" t="s">
        <v>546</v>
      </c>
      <c r="AQ239" s="134"/>
      <c r="AR239" s="134"/>
      <c r="AT239" s="35">
        <v>4206</v>
      </c>
      <c r="AU239" s="2" t="s">
        <v>289</v>
      </c>
      <c r="AV239" s="5">
        <v>70</v>
      </c>
      <c r="AW239" s="5">
        <v>0.8</v>
      </c>
      <c r="AX239" s="2"/>
      <c r="AY239" s="5">
        <v>70</v>
      </c>
      <c r="AZ239" s="2"/>
      <c r="BA239" s="2"/>
      <c r="BB239" s="2"/>
      <c r="BC239" s="2"/>
      <c r="BF239" s="21">
        <v>1901</v>
      </c>
      <c r="BG239" s="3" t="s">
        <v>650</v>
      </c>
      <c r="BH239" s="22">
        <v>70</v>
      </c>
      <c r="BI239" s="22">
        <v>0.9</v>
      </c>
      <c r="BJ239" s="22">
        <v>70</v>
      </c>
      <c r="BK239" s="3"/>
      <c r="BL239" s="3"/>
      <c r="BM239" s="3"/>
      <c r="BN239" s="3"/>
      <c r="BO239" s="3"/>
    </row>
    <row r="240" spans="28:67" ht="12.95" customHeight="1">
      <c r="AB240" s="21">
        <v>4412</v>
      </c>
      <c r="AC240" s="2" t="s">
        <v>711</v>
      </c>
      <c r="AD240" s="5">
        <v>8</v>
      </c>
      <c r="AE240" s="5" t="s">
        <v>546</v>
      </c>
      <c r="AF240" s="5">
        <v>8</v>
      </c>
      <c r="AG240" s="5" t="s">
        <v>546</v>
      </c>
      <c r="AH240" s="5" t="s">
        <v>546</v>
      </c>
      <c r="AK240" s="78">
        <v>6912</v>
      </c>
      <c r="AL240" s="72" t="s">
        <v>823</v>
      </c>
      <c r="AM240" s="76">
        <v>3</v>
      </c>
      <c r="AN240" s="76">
        <v>4</v>
      </c>
      <c r="AO240" s="76" t="s">
        <v>546</v>
      </c>
      <c r="AP240" s="76">
        <v>5</v>
      </c>
      <c r="AQ240" s="134"/>
      <c r="AR240" s="134"/>
      <c r="AT240" s="35">
        <v>2106</v>
      </c>
      <c r="AU240" s="2" t="s">
        <v>276</v>
      </c>
      <c r="AV240" s="5">
        <v>61</v>
      </c>
      <c r="AW240" s="5">
        <v>0.7</v>
      </c>
      <c r="AX240" s="5">
        <v>58</v>
      </c>
      <c r="AY240" s="2"/>
      <c r="AZ240" s="5">
        <v>3</v>
      </c>
      <c r="BA240" s="2"/>
      <c r="BB240" s="2"/>
      <c r="BC240" s="2"/>
      <c r="BF240" s="21">
        <v>4011</v>
      </c>
      <c r="BG240" s="3" t="s">
        <v>567</v>
      </c>
      <c r="BH240" s="22">
        <v>60</v>
      </c>
      <c r="BI240" s="22">
        <v>0.8</v>
      </c>
      <c r="BJ240" s="22">
        <v>15</v>
      </c>
      <c r="BK240" s="3"/>
      <c r="BL240" s="22">
        <v>42</v>
      </c>
      <c r="BM240" s="3"/>
      <c r="BN240" s="22">
        <v>3</v>
      </c>
      <c r="BO240" s="3"/>
    </row>
    <row r="241" spans="28:67" ht="12.95" customHeight="1">
      <c r="AB241" s="21">
        <v>4418</v>
      </c>
      <c r="AC241" s="2" t="s">
        <v>751</v>
      </c>
      <c r="AD241" s="5">
        <v>3</v>
      </c>
      <c r="AE241" s="5" t="s">
        <v>546</v>
      </c>
      <c r="AF241" s="5" t="s">
        <v>546</v>
      </c>
      <c r="AG241" s="5" t="s">
        <v>546</v>
      </c>
      <c r="AH241" s="5">
        <v>3</v>
      </c>
      <c r="AK241" s="78">
        <v>7000</v>
      </c>
      <c r="AL241" s="72" t="s">
        <v>308</v>
      </c>
      <c r="AM241" s="76">
        <v>3</v>
      </c>
      <c r="AN241" s="76" t="s">
        <v>546</v>
      </c>
      <c r="AO241" s="76" t="s">
        <v>546</v>
      </c>
      <c r="AP241" s="76" t="s">
        <v>546</v>
      </c>
      <c r="AQ241" s="134"/>
      <c r="AR241" s="134"/>
      <c r="AT241" s="35">
        <v>8516</v>
      </c>
      <c r="AU241" s="2" t="s">
        <v>407</v>
      </c>
      <c r="AV241" s="5">
        <v>47</v>
      </c>
      <c r="AW241" s="5">
        <v>0.5</v>
      </c>
      <c r="AX241" s="5">
        <v>17</v>
      </c>
      <c r="AY241" s="2"/>
      <c r="AZ241" s="5">
        <v>30</v>
      </c>
      <c r="BA241" s="2"/>
      <c r="BB241" s="2"/>
      <c r="BC241" s="2"/>
      <c r="BF241" s="21">
        <v>8516</v>
      </c>
      <c r="BG241" s="3" t="s">
        <v>983</v>
      </c>
      <c r="BH241" s="22">
        <v>58</v>
      </c>
      <c r="BI241" s="22">
        <v>0.8</v>
      </c>
      <c r="BJ241" s="3"/>
      <c r="BK241" s="3"/>
      <c r="BL241" s="22">
        <v>58</v>
      </c>
      <c r="BM241" s="3"/>
      <c r="BN241" s="3"/>
      <c r="BO241" s="3"/>
    </row>
    <row r="242" spans="28:67" ht="12.95" customHeight="1">
      <c r="AB242" s="21">
        <v>4421</v>
      </c>
      <c r="AC242" s="2" t="s">
        <v>752</v>
      </c>
      <c r="AD242" s="5">
        <v>11</v>
      </c>
      <c r="AE242" s="5" t="s">
        <v>546</v>
      </c>
      <c r="AF242" s="5" t="s">
        <v>546</v>
      </c>
      <c r="AG242" s="5" t="s">
        <v>546</v>
      </c>
      <c r="AH242" s="5">
        <v>11</v>
      </c>
      <c r="AK242" s="78">
        <v>7200</v>
      </c>
      <c r="AL242" s="72" t="s">
        <v>309</v>
      </c>
      <c r="AM242" s="76">
        <v>9</v>
      </c>
      <c r="AN242" s="76">
        <v>433</v>
      </c>
      <c r="AO242" s="76">
        <v>165</v>
      </c>
      <c r="AP242" s="76" t="s">
        <v>546</v>
      </c>
      <c r="AQ242" s="134"/>
      <c r="AR242" s="134"/>
      <c r="AT242" s="58">
        <v>4818</v>
      </c>
      <c r="AU242" s="10" t="s">
        <v>290</v>
      </c>
      <c r="AV242" s="11">
        <v>45</v>
      </c>
      <c r="AW242" s="11">
        <v>0.5</v>
      </c>
      <c r="AX242" s="11">
        <v>22</v>
      </c>
      <c r="AY242" s="10"/>
      <c r="AZ242" s="11">
        <v>5</v>
      </c>
      <c r="BA242" s="10"/>
      <c r="BB242" s="10"/>
      <c r="BC242" s="11">
        <v>17</v>
      </c>
      <c r="BF242" s="40">
        <v>9004</v>
      </c>
      <c r="BG242" s="23" t="s">
        <v>978</v>
      </c>
      <c r="BH242" s="29">
        <v>56</v>
      </c>
      <c r="BI242" s="29">
        <v>0.7</v>
      </c>
      <c r="BJ242" s="29">
        <v>19</v>
      </c>
      <c r="BK242" s="29">
        <v>3</v>
      </c>
      <c r="BL242" s="23"/>
      <c r="BM242" s="29">
        <v>34</v>
      </c>
      <c r="BN242" s="23"/>
      <c r="BO242" s="23"/>
    </row>
    <row r="243" spans="28:67" ht="12" customHeight="1">
      <c r="AB243" s="21">
        <v>6800</v>
      </c>
      <c r="AC243" s="2" t="s">
        <v>663</v>
      </c>
      <c r="AD243" s="5">
        <v>17</v>
      </c>
      <c r="AE243" s="5">
        <v>3</v>
      </c>
      <c r="AF243" s="5">
        <v>11</v>
      </c>
      <c r="AG243" s="5" t="s">
        <v>546</v>
      </c>
      <c r="AH243" s="5">
        <v>3</v>
      </c>
      <c r="AK243" s="78">
        <v>7308</v>
      </c>
      <c r="AL243" s="72" t="s">
        <v>603</v>
      </c>
      <c r="AM243" s="76">
        <v>0</v>
      </c>
      <c r="AN243" s="76" t="s">
        <v>546</v>
      </c>
      <c r="AO243" s="76" t="s">
        <v>546</v>
      </c>
      <c r="AP243" s="76" t="s">
        <v>546</v>
      </c>
      <c r="AQ243" s="134"/>
      <c r="AR243" s="134"/>
      <c r="AT243" s="2045" t="s">
        <v>174</v>
      </c>
      <c r="AU243" s="2045"/>
      <c r="AV243" s="2045"/>
      <c r="AW243" s="2045"/>
      <c r="AX243" s="2045"/>
      <c r="AY243" s="2045"/>
      <c r="AZ243" s="2"/>
      <c r="BA243" s="2"/>
      <c r="BB243" s="2"/>
      <c r="BC243" s="2"/>
      <c r="BF243" s="2064" t="s">
        <v>174</v>
      </c>
      <c r="BG243" s="2064"/>
      <c r="BH243" s="2064"/>
      <c r="BI243" s="2064"/>
      <c r="BJ243" s="2064"/>
      <c r="BK243" s="2064"/>
      <c r="BL243" s="2064"/>
      <c r="BM243" s="2064"/>
      <c r="BN243" s="2064"/>
      <c r="BO243" s="2"/>
    </row>
    <row r="244" spans="28:67" ht="12" customHeight="1">
      <c r="AB244" s="21">
        <v>6914</v>
      </c>
      <c r="AC244" s="2" t="s">
        <v>664</v>
      </c>
      <c r="AD244" s="5">
        <v>5</v>
      </c>
      <c r="AE244" s="5" t="s">
        <v>546</v>
      </c>
      <c r="AF244" s="5" t="s">
        <v>546</v>
      </c>
      <c r="AG244" s="5">
        <v>5</v>
      </c>
      <c r="AH244" s="5" t="s">
        <v>546</v>
      </c>
      <c r="AK244" s="78">
        <v>7326</v>
      </c>
      <c r="AL244" s="72" t="s">
        <v>824</v>
      </c>
      <c r="AM244" s="76">
        <v>598</v>
      </c>
      <c r="AN244" s="76" t="s">
        <v>546</v>
      </c>
      <c r="AO244" s="76" t="s">
        <v>546</v>
      </c>
      <c r="AP244" s="76" t="s">
        <v>546</v>
      </c>
      <c r="AQ244" s="134"/>
      <c r="AR244" s="134"/>
      <c r="AT244" s="2045" t="s">
        <v>857</v>
      </c>
      <c r="AU244" s="2045"/>
      <c r="AV244" s="14"/>
      <c r="AW244" s="14"/>
      <c r="AX244" s="14"/>
      <c r="AY244" s="14"/>
      <c r="AZ244" s="2"/>
      <c r="BA244" s="2"/>
      <c r="BB244" s="2"/>
      <c r="BC244" s="2"/>
      <c r="BF244" s="2045" t="s">
        <v>857</v>
      </c>
      <c r="BG244" s="2045"/>
      <c r="BH244" s="14"/>
      <c r="BI244" s="14"/>
      <c r="BJ244" s="14"/>
      <c r="BK244" s="14"/>
      <c r="BL244" s="14"/>
      <c r="BM244" s="14"/>
      <c r="BN244" s="14"/>
      <c r="BO244" s="2"/>
    </row>
    <row r="245" spans="28:67" ht="12" customHeight="1">
      <c r="AB245" s="21">
        <v>7200</v>
      </c>
      <c r="AC245" s="2" t="s">
        <v>309</v>
      </c>
      <c r="AD245" s="47">
        <v>2476</v>
      </c>
      <c r="AE245" s="5">
        <v>693</v>
      </c>
      <c r="AF245" s="5">
        <v>680</v>
      </c>
      <c r="AG245" s="5">
        <v>759</v>
      </c>
      <c r="AH245" s="5">
        <v>344</v>
      </c>
      <c r="AK245" s="78">
        <v>7404</v>
      </c>
      <c r="AL245" s="72" t="s">
        <v>825</v>
      </c>
      <c r="AM245" s="76">
        <v>0</v>
      </c>
      <c r="AN245" s="76">
        <v>300</v>
      </c>
      <c r="AO245" s="76">
        <v>48</v>
      </c>
      <c r="AP245" s="76">
        <v>48</v>
      </c>
      <c r="AQ245" s="134"/>
      <c r="AR245" s="134"/>
      <c r="AT245" s="2045" t="s">
        <v>858</v>
      </c>
      <c r="AU245" s="2045"/>
      <c r="AV245" s="14"/>
      <c r="AW245" s="14"/>
      <c r="AX245" s="14"/>
      <c r="AY245" s="14"/>
      <c r="AZ245" s="2"/>
      <c r="BA245" s="2"/>
      <c r="BB245" s="2"/>
      <c r="BC245" s="2"/>
      <c r="BF245" s="2045" t="s">
        <v>858</v>
      </c>
      <c r="BG245" s="2045"/>
      <c r="BH245" s="14"/>
      <c r="BI245" s="14"/>
      <c r="BJ245" s="14"/>
      <c r="BK245" s="14"/>
      <c r="BL245" s="14"/>
      <c r="BM245" s="14"/>
      <c r="BN245" s="14"/>
      <c r="BO245" s="2"/>
    </row>
    <row r="246" spans="28:67" ht="12.95" customHeight="1">
      <c r="AB246" s="21">
        <v>7307</v>
      </c>
      <c r="AC246" s="2" t="s">
        <v>753</v>
      </c>
      <c r="AD246" s="5">
        <v>25</v>
      </c>
      <c r="AE246" s="5">
        <v>25</v>
      </c>
      <c r="AF246" s="5" t="s">
        <v>546</v>
      </c>
      <c r="AG246" s="5" t="s">
        <v>546</v>
      </c>
      <c r="AH246" s="5" t="s">
        <v>546</v>
      </c>
      <c r="AK246" s="78">
        <v>7602</v>
      </c>
      <c r="AL246" s="72" t="s">
        <v>713</v>
      </c>
      <c r="AM246" s="76">
        <v>0</v>
      </c>
      <c r="AN246" s="76">
        <v>154</v>
      </c>
      <c r="AO246" s="76">
        <v>32</v>
      </c>
      <c r="AP246" s="76">
        <v>80</v>
      </c>
      <c r="AQ246" s="134"/>
      <c r="AR246" s="134"/>
    </row>
    <row r="247" spans="28:67" ht="12.95" customHeight="1">
      <c r="AB247" s="21">
        <v>7308</v>
      </c>
      <c r="AC247" s="2" t="s">
        <v>666</v>
      </c>
      <c r="AD247" s="5">
        <v>450</v>
      </c>
      <c r="AE247" s="5">
        <v>112</v>
      </c>
      <c r="AF247" s="5">
        <v>44</v>
      </c>
      <c r="AG247" s="5">
        <v>58</v>
      </c>
      <c r="AH247" s="5">
        <v>236</v>
      </c>
      <c r="AK247" s="78">
        <v>7610</v>
      </c>
      <c r="AL247" s="72" t="s">
        <v>826</v>
      </c>
      <c r="AM247" s="76">
        <v>396</v>
      </c>
      <c r="AN247" s="76">
        <v>4</v>
      </c>
      <c r="AO247" s="76">
        <v>19</v>
      </c>
      <c r="AP247" s="76" t="s">
        <v>546</v>
      </c>
      <c r="AQ247" s="134"/>
      <c r="AR247" s="134"/>
    </row>
    <row r="248" spans="28:67" ht="12.95" customHeight="1">
      <c r="AB248" s="21">
        <v>7326</v>
      </c>
      <c r="AC248" s="2" t="s">
        <v>668</v>
      </c>
      <c r="AD248" s="5">
        <v>19</v>
      </c>
      <c r="AE248" s="5">
        <v>8</v>
      </c>
      <c r="AF248" s="5" t="s">
        <v>546</v>
      </c>
      <c r="AG248" s="5">
        <v>11</v>
      </c>
      <c r="AH248" s="5" t="s">
        <v>546</v>
      </c>
      <c r="AK248" s="78">
        <v>7616</v>
      </c>
      <c r="AL248" s="72" t="s">
        <v>311</v>
      </c>
      <c r="AM248" s="76">
        <v>266</v>
      </c>
      <c r="AN248" s="76" t="s">
        <v>546</v>
      </c>
      <c r="AO248" s="76" t="s">
        <v>546</v>
      </c>
      <c r="AP248" s="76" t="s">
        <v>546</v>
      </c>
      <c r="AQ248" s="134"/>
      <c r="AR248" s="134"/>
    </row>
    <row r="249" spans="28:67" ht="12.95" customHeight="1">
      <c r="AB249" s="21">
        <v>7404</v>
      </c>
      <c r="AC249" s="2" t="s">
        <v>754</v>
      </c>
      <c r="AD249" s="5">
        <v>927</v>
      </c>
      <c r="AE249" s="5">
        <v>168</v>
      </c>
      <c r="AF249" s="5">
        <v>250</v>
      </c>
      <c r="AG249" s="5">
        <v>421</v>
      </c>
      <c r="AH249" s="5">
        <v>88</v>
      </c>
      <c r="AK249" s="78">
        <v>7802</v>
      </c>
      <c r="AL249" s="72" t="s">
        <v>827</v>
      </c>
      <c r="AM249" s="76">
        <v>23</v>
      </c>
      <c r="AN249" s="76">
        <v>37</v>
      </c>
      <c r="AO249" s="76">
        <v>38</v>
      </c>
      <c r="AP249" s="76">
        <v>73</v>
      </c>
      <c r="AQ249" s="134"/>
      <c r="AR249" s="134"/>
    </row>
    <row r="250" spans="28:67" ht="12.95" customHeight="1">
      <c r="AB250" s="21">
        <v>7602</v>
      </c>
      <c r="AC250" s="2" t="s">
        <v>713</v>
      </c>
      <c r="AD250" s="5">
        <v>764</v>
      </c>
      <c r="AE250" s="5">
        <v>225</v>
      </c>
      <c r="AF250" s="5">
        <v>338</v>
      </c>
      <c r="AG250" s="5">
        <v>121</v>
      </c>
      <c r="AH250" s="5">
        <v>80</v>
      </c>
      <c r="AK250" s="78">
        <v>8300</v>
      </c>
      <c r="AL250" s="72" t="s">
        <v>372</v>
      </c>
      <c r="AM250" s="76">
        <v>0</v>
      </c>
      <c r="AN250" s="76">
        <v>7</v>
      </c>
      <c r="AO250" s="76" t="s">
        <v>546</v>
      </c>
      <c r="AP250" s="76" t="s">
        <v>546</v>
      </c>
      <c r="AQ250" s="134"/>
      <c r="AR250" s="134"/>
    </row>
    <row r="251" spans="28:67" ht="12.95" customHeight="1">
      <c r="AB251" s="21">
        <v>7610</v>
      </c>
      <c r="AC251" s="2" t="s">
        <v>755</v>
      </c>
      <c r="AD251" s="5">
        <v>8</v>
      </c>
      <c r="AE251" s="5">
        <v>5</v>
      </c>
      <c r="AF251" s="5" t="s">
        <v>546</v>
      </c>
      <c r="AG251" s="5">
        <v>3</v>
      </c>
      <c r="AH251" s="5" t="s">
        <v>546</v>
      </c>
      <c r="AK251" s="78">
        <v>8485</v>
      </c>
      <c r="AL251" s="72" t="s">
        <v>828</v>
      </c>
      <c r="AM251" s="76">
        <v>148</v>
      </c>
      <c r="AN251" s="76" t="s">
        <v>546</v>
      </c>
      <c r="AO251" s="76" t="s">
        <v>546</v>
      </c>
      <c r="AP251" s="76" t="s">
        <v>546</v>
      </c>
      <c r="AQ251" s="134"/>
      <c r="AR251" s="134"/>
    </row>
    <row r="252" spans="28:67" ht="12.95" customHeight="1">
      <c r="AB252" s="21">
        <v>7800</v>
      </c>
      <c r="AC252" s="2" t="s">
        <v>672</v>
      </c>
      <c r="AD252" s="5">
        <v>222</v>
      </c>
      <c r="AE252" s="5">
        <v>109</v>
      </c>
      <c r="AF252" s="5">
        <v>37</v>
      </c>
      <c r="AG252" s="5">
        <v>76</v>
      </c>
      <c r="AH252" s="5" t="s">
        <v>546</v>
      </c>
      <c r="AK252" s="78">
        <v>8506</v>
      </c>
      <c r="AL252" s="72" t="s">
        <v>331</v>
      </c>
      <c r="AM252" s="76">
        <v>7</v>
      </c>
      <c r="AN252" s="76" t="s">
        <v>546</v>
      </c>
      <c r="AO252" s="76" t="s">
        <v>546</v>
      </c>
      <c r="AP252" s="76" t="s">
        <v>546</v>
      </c>
      <c r="AQ252" s="134"/>
      <c r="AR252" s="134"/>
    </row>
    <row r="253" spans="28:67" ht="12.95" customHeight="1">
      <c r="AB253" s="21">
        <v>8200</v>
      </c>
      <c r="AC253" s="2" t="s">
        <v>756</v>
      </c>
      <c r="AD253" s="5">
        <v>52</v>
      </c>
      <c r="AE253" s="5" t="s">
        <v>546</v>
      </c>
      <c r="AF253" s="5">
        <v>8</v>
      </c>
      <c r="AG253" s="5" t="s">
        <v>546</v>
      </c>
      <c r="AH253" s="5">
        <v>44</v>
      </c>
      <c r="AK253" s="78">
        <v>9403</v>
      </c>
      <c r="AL253" s="72" t="s">
        <v>299</v>
      </c>
      <c r="AM253" s="76">
        <v>0</v>
      </c>
      <c r="AN253" s="76" t="s">
        <v>546</v>
      </c>
      <c r="AO253" s="76" t="s">
        <v>546</v>
      </c>
      <c r="AP253" s="76" t="s">
        <v>546</v>
      </c>
      <c r="AQ253" s="134"/>
      <c r="AR253" s="134"/>
    </row>
    <row r="254" spans="28:67" ht="12" customHeight="1">
      <c r="AB254" s="21">
        <v>8300</v>
      </c>
      <c r="AC254" s="2" t="s">
        <v>312</v>
      </c>
      <c r="AD254" s="5">
        <v>6</v>
      </c>
      <c r="AE254" s="5" t="s">
        <v>546</v>
      </c>
      <c r="AF254" s="5" t="s">
        <v>546</v>
      </c>
      <c r="AG254" s="5" t="s">
        <v>546</v>
      </c>
      <c r="AH254" s="5">
        <v>6</v>
      </c>
      <c r="AK254" s="78">
        <v>9607</v>
      </c>
      <c r="AL254" s="72" t="s">
        <v>829</v>
      </c>
      <c r="AM254" s="76">
        <v>0</v>
      </c>
      <c r="AN254" s="76" t="s">
        <v>546</v>
      </c>
      <c r="AO254" s="76" t="s">
        <v>546</v>
      </c>
      <c r="AP254" s="76" t="s">
        <v>546</v>
      </c>
      <c r="AQ254" s="134"/>
      <c r="AR254" s="134"/>
    </row>
    <row r="255" spans="28:67" ht="12" customHeight="1">
      <c r="AB255" s="3"/>
      <c r="AC255" s="2"/>
      <c r="AD255" s="2"/>
      <c r="AE255" s="2"/>
      <c r="AF255" s="2"/>
      <c r="AG255" s="2"/>
      <c r="AH255" s="2"/>
      <c r="AK255" s="74"/>
      <c r="AL255" s="72"/>
      <c r="AM255" s="72"/>
      <c r="AN255" s="72"/>
      <c r="AO255" s="72"/>
      <c r="AP255" s="72"/>
      <c r="AQ255" s="134"/>
      <c r="AR255" s="134"/>
    </row>
    <row r="256" spans="28:67" ht="12" customHeight="1">
      <c r="AB256" s="3"/>
      <c r="AC256" s="20" t="s">
        <v>614</v>
      </c>
      <c r="AD256" s="47">
        <v>15578</v>
      </c>
      <c r="AE256" s="47">
        <v>3579</v>
      </c>
      <c r="AF256" s="47">
        <v>6652</v>
      </c>
      <c r="AG256" s="47">
        <v>3636</v>
      </c>
      <c r="AH256" s="47">
        <v>1711</v>
      </c>
      <c r="AK256" s="74"/>
      <c r="AL256" s="153" t="s">
        <v>614</v>
      </c>
      <c r="AM256" s="77">
        <v>14191</v>
      </c>
      <c r="AN256" s="77">
        <v>2310</v>
      </c>
      <c r="AO256" s="77">
        <v>2210</v>
      </c>
      <c r="AP256" s="77">
        <v>2577</v>
      </c>
      <c r="AQ256" s="134"/>
      <c r="AR256" s="134"/>
    </row>
    <row r="257" spans="28:44" ht="12.95" customHeight="1">
      <c r="AB257" s="21">
        <v>2402</v>
      </c>
      <c r="AC257" s="2" t="s">
        <v>616</v>
      </c>
      <c r="AD257" s="47">
        <v>8666</v>
      </c>
      <c r="AE257" s="47">
        <v>1725</v>
      </c>
      <c r="AF257" s="47">
        <v>3184</v>
      </c>
      <c r="AG257" s="47">
        <v>2460</v>
      </c>
      <c r="AH257" s="47">
        <v>1297</v>
      </c>
      <c r="AK257" s="78">
        <v>2402</v>
      </c>
      <c r="AL257" s="72" t="s">
        <v>616</v>
      </c>
      <c r="AM257" s="76">
        <v>0</v>
      </c>
      <c r="AN257" s="77">
        <v>1030</v>
      </c>
      <c r="AO257" s="77">
        <v>1383</v>
      </c>
      <c r="AP257" s="77">
        <v>1483</v>
      </c>
      <c r="AQ257" s="134"/>
      <c r="AR257" s="134"/>
    </row>
    <row r="258" spans="28:44" ht="12.95" customHeight="1">
      <c r="AB258" s="21">
        <v>2403</v>
      </c>
      <c r="AC258" s="2" t="s">
        <v>757</v>
      </c>
      <c r="AD258" s="5">
        <v>289</v>
      </c>
      <c r="AE258" s="5">
        <v>58</v>
      </c>
      <c r="AF258" s="5">
        <v>91</v>
      </c>
      <c r="AG258" s="5">
        <v>130</v>
      </c>
      <c r="AH258" s="5">
        <v>10</v>
      </c>
      <c r="AK258" s="78">
        <v>2403</v>
      </c>
      <c r="AL258" s="72" t="s">
        <v>757</v>
      </c>
      <c r="AM258" s="77">
        <v>7097</v>
      </c>
      <c r="AN258" s="76">
        <v>19</v>
      </c>
      <c r="AO258" s="76">
        <v>311</v>
      </c>
      <c r="AP258" s="76">
        <v>24</v>
      </c>
      <c r="AQ258" s="134"/>
      <c r="AR258" s="134"/>
    </row>
    <row r="259" spans="28:44" ht="12" customHeight="1">
      <c r="AB259" s="21">
        <v>2710</v>
      </c>
      <c r="AC259" s="2" t="s">
        <v>618</v>
      </c>
      <c r="AD259" s="5">
        <v>370</v>
      </c>
      <c r="AE259" s="5">
        <v>79</v>
      </c>
      <c r="AF259" s="5">
        <v>132</v>
      </c>
      <c r="AG259" s="5">
        <v>86</v>
      </c>
      <c r="AH259" s="5">
        <v>73</v>
      </c>
      <c r="AK259" s="78">
        <v>2710</v>
      </c>
      <c r="AL259" s="72" t="s">
        <v>618</v>
      </c>
      <c r="AM259" s="77">
        <v>3896</v>
      </c>
      <c r="AN259" s="76" t="s">
        <v>546</v>
      </c>
      <c r="AO259" s="76">
        <v>119</v>
      </c>
      <c r="AP259" s="76">
        <v>113</v>
      </c>
      <c r="AQ259" s="134"/>
      <c r="AR259" s="134"/>
    </row>
    <row r="260" spans="28:44" ht="12" customHeight="1">
      <c r="AB260" s="21">
        <v>2715</v>
      </c>
      <c r="AC260" s="2" t="s">
        <v>758</v>
      </c>
      <c r="AD260" s="5">
        <v>13</v>
      </c>
      <c r="AE260" s="5">
        <v>4</v>
      </c>
      <c r="AF260" s="5">
        <v>9</v>
      </c>
      <c r="AG260" s="5" t="s">
        <v>546</v>
      </c>
      <c r="AH260" s="5" t="s">
        <v>546</v>
      </c>
      <c r="AK260" s="78">
        <v>3004</v>
      </c>
      <c r="AL260" s="72" t="s">
        <v>450</v>
      </c>
      <c r="AM260" s="76">
        <v>354</v>
      </c>
      <c r="AN260" s="76" t="s">
        <v>546</v>
      </c>
      <c r="AO260" s="76">
        <v>83</v>
      </c>
      <c r="AP260" s="76" t="s">
        <v>546</v>
      </c>
      <c r="AQ260" s="134"/>
      <c r="AR260" s="134"/>
    </row>
    <row r="261" spans="28:44" ht="12.75" customHeight="1">
      <c r="AB261" s="21">
        <v>2800</v>
      </c>
      <c r="AC261" s="2" t="s">
        <v>759</v>
      </c>
      <c r="AD261" s="5">
        <v>19</v>
      </c>
      <c r="AE261" s="5">
        <v>15</v>
      </c>
      <c r="AF261" s="5">
        <v>4</v>
      </c>
      <c r="AG261" s="5" t="s">
        <v>546</v>
      </c>
      <c r="AH261" s="5" t="s">
        <v>546</v>
      </c>
      <c r="AK261" s="78">
        <v>3006</v>
      </c>
      <c r="AL261" s="72" t="s">
        <v>317</v>
      </c>
      <c r="AM261" s="76">
        <v>232</v>
      </c>
      <c r="AN261" s="76" t="s">
        <v>546</v>
      </c>
      <c r="AO261" s="76" t="s">
        <v>546</v>
      </c>
      <c r="AP261" s="76" t="s">
        <v>546</v>
      </c>
      <c r="AQ261" s="134"/>
      <c r="AR261" s="134"/>
    </row>
    <row r="262" spans="28:44" ht="12.95" customHeight="1">
      <c r="AB262" s="21">
        <v>3004</v>
      </c>
      <c r="AC262" s="2" t="s">
        <v>450</v>
      </c>
      <c r="AD262" s="5">
        <v>33</v>
      </c>
      <c r="AE262" s="5" t="s">
        <v>546</v>
      </c>
      <c r="AF262" s="5" t="s">
        <v>546</v>
      </c>
      <c r="AG262" s="5">
        <v>33</v>
      </c>
      <c r="AH262" s="5" t="s">
        <v>546</v>
      </c>
      <c r="AK262" s="78">
        <v>3215</v>
      </c>
      <c r="AL262" s="72" t="s">
        <v>318</v>
      </c>
      <c r="AM262" s="76">
        <v>83</v>
      </c>
      <c r="AN262" s="76">
        <v>5</v>
      </c>
      <c r="AO262" s="76" t="s">
        <v>546</v>
      </c>
      <c r="AP262" s="76">
        <v>13</v>
      </c>
      <c r="AQ262" s="134"/>
      <c r="AR262" s="134"/>
    </row>
    <row r="263" spans="28:44" ht="12.95" customHeight="1">
      <c r="AB263" s="21">
        <v>3006</v>
      </c>
      <c r="AC263" s="2" t="s">
        <v>317</v>
      </c>
      <c r="AD263" s="5">
        <v>133</v>
      </c>
      <c r="AE263" s="5" t="s">
        <v>546</v>
      </c>
      <c r="AF263" s="5">
        <v>84</v>
      </c>
      <c r="AG263" s="5">
        <v>14</v>
      </c>
      <c r="AH263" s="5">
        <v>35</v>
      </c>
      <c r="AK263" s="78">
        <v>3304</v>
      </c>
      <c r="AL263" s="72" t="s">
        <v>432</v>
      </c>
      <c r="AM263" s="76">
        <v>0</v>
      </c>
      <c r="AN263" s="76">
        <v>612</v>
      </c>
      <c r="AO263" s="76">
        <v>197</v>
      </c>
      <c r="AP263" s="76">
        <v>676</v>
      </c>
      <c r="AQ263" s="134"/>
      <c r="AR263" s="134"/>
    </row>
    <row r="264" spans="28:44" ht="12.95" customHeight="1">
      <c r="AB264" s="21">
        <v>3304</v>
      </c>
      <c r="AC264" s="2" t="s">
        <v>320</v>
      </c>
      <c r="AD264" s="5">
        <v>535</v>
      </c>
      <c r="AE264" s="5" t="s">
        <v>546</v>
      </c>
      <c r="AF264" s="5" t="s">
        <v>546</v>
      </c>
      <c r="AG264" s="5">
        <v>424</v>
      </c>
      <c r="AH264" s="5">
        <v>111</v>
      </c>
      <c r="AK264" s="78">
        <v>3401</v>
      </c>
      <c r="AL264" s="72" t="s">
        <v>320</v>
      </c>
      <c r="AM264" s="76">
        <v>18</v>
      </c>
      <c r="AN264" s="76" t="s">
        <v>546</v>
      </c>
      <c r="AO264" s="76" t="s">
        <v>546</v>
      </c>
      <c r="AP264" s="76" t="s">
        <v>546</v>
      </c>
      <c r="AQ264" s="134"/>
      <c r="AR264" s="134"/>
    </row>
    <row r="265" spans="28:44" ht="12.95" customHeight="1">
      <c r="AB265" s="21">
        <v>3306</v>
      </c>
      <c r="AC265" s="2" t="s">
        <v>760</v>
      </c>
      <c r="AD265" s="5">
        <v>16</v>
      </c>
      <c r="AE265" s="5" t="s">
        <v>546</v>
      </c>
      <c r="AF265" s="5">
        <v>16</v>
      </c>
      <c r="AG265" s="5" t="s">
        <v>546</v>
      </c>
      <c r="AH265" s="5" t="s">
        <v>546</v>
      </c>
      <c r="AK265" s="78">
        <v>3402</v>
      </c>
      <c r="AL265" s="72" t="s">
        <v>762</v>
      </c>
      <c r="AM265" s="77">
        <v>1485</v>
      </c>
      <c r="AN265" s="76">
        <v>6</v>
      </c>
      <c r="AO265" s="76" t="s">
        <v>546</v>
      </c>
      <c r="AP265" s="76" t="s">
        <v>546</v>
      </c>
      <c r="AQ265" s="134"/>
      <c r="AR265" s="134"/>
    </row>
    <row r="266" spans="28:44" ht="12.95" customHeight="1">
      <c r="AB266" s="21">
        <v>3307</v>
      </c>
      <c r="AC266" s="2" t="s">
        <v>761</v>
      </c>
      <c r="AD266" s="5">
        <v>5</v>
      </c>
      <c r="AE266" s="5">
        <v>5</v>
      </c>
      <c r="AF266" s="5" t="s">
        <v>546</v>
      </c>
      <c r="AG266" s="5" t="s">
        <v>546</v>
      </c>
      <c r="AH266" s="5" t="s">
        <v>546</v>
      </c>
      <c r="AK266" s="78">
        <v>4900</v>
      </c>
      <c r="AL266" s="72" t="s">
        <v>830</v>
      </c>
      <c r="AM266" s="76">
        <v>0</v>
      </c>
      <c r="AN266" s="76" t="s">
        <v>546</v>
      </c>
      <c r="AO266" s="76" t="s">
        <v>546</v>
      </c>
      <c r="AP266" s="76" t="s">
        <v>546</v>
      </c>
      <c r="AQ266" s="134"/>
      <c r="AR266" s="134"/>
    </row>
    <row r="267" spans="28:44" ht="12.95" customHeight="1">
      <c r="AB267" s="21">
        <v>3401</v>
      </c>
      <c r="AC267" s="2" t="s">
        <v>221</v>
      </c>
      <c r="AD267" s="5">
        <v>28</v>
      </c>
      <c r="AE267" s="5">
        <v>4</v>
      </c>
      <c r="AF267" s="5">
        <v>8</v>
      </c>
      <c r="AG267" s="5">
        <v>6</v>
      </c>
      <c r="AH267" s="5">
        <v>10</v>
      </c>
      <c r="AK267" s="78">
        <v>5600</v>
      </c>
      <c r="AL267" s="72" t="s">
        <v>831</v>
      </c>
      <c r="AM267" s="76">
        <v>6</v>
      </c>
      <c r="AN267" s="76" t="s">
        <v>546</v>
      </c>
      <c r="AO267" s="76" t="s">
        <v>546</v>
      </c>
      <c r="AP267" s="76">
        <v>3</v>
      </c>
      <c r="AQ267" s="134"/>
      <c r="AR267" s="134"/>
    </row>
    <row r="268" spans="28:44" ht="12.95" customHeight="1">
      <c r="AB268" s="21">
        <v>3402</v>
      </c>
      <c r="AC268" s="2" t="s">
        <v>762</v>
      </c>
      <c r="AD268" s="5">
        <v>6</v>
      </c>
      <c r="AE268" s="5" t="s">
        <v>546</v>
      </c>
      <c r="AF268" s="5" t="s">
        <v>546</v>
      </c>
      <c r="AG268" s="5">
        <v>6</v>
      </c>
      <c r="AH268" s="5" t="s">
        <v>546</v>
      </c>
      <c r="AK268" s="78">
        <v>5700</v>
      </c>
      <c r="AL268" s="72" t="s">
        <v>832</v>
      </c>
      <c r="AM268" s="76">
        <v>0</v>
      </c>
      <c r="AN268" s="76" t="s">
        <v>546</v>
      </c>
      <c r="AO268" s="76">
        <v>19</v>
      </c>
      <c r="AP268" s="76">
        <v>3</v>
      </c>
      <c r="AQ268" s="134"/>
      <c r="AR268" s="134"/>
    </row>
    <row r="269" spans="28:44" ht="12.95" customHeight="1">
      <c r="AB269" s="21">
        <v>3800</v>
      </c>
      <c r="AC269" s="2" t="s">
        <v>624</v>
      </c>
      <c r="AD269" s="5">
        <v>77</v>
      </c>
      <c r="AE269" s="5">
        <v>26</v>
      </c>
      <c r="AF269" s="5">
        <v>27</v>
      </c>
      <c r="AG269" s="5">
        <v>24</v>
      </c>
      <c r="AH269" s="5" t="s">
        <v>546</v>
      </c>
      <c r="AK269" s="78">
        <v>6302</v>
      </c>
      <c r="AL269" s="72" t="s">
        <v>325</v>
      </c>
      <c r="AM269" s="76">
        <v>3</v>
      </c>
      <c r="AN269" s="76" t="s">
        <v>546</v>
      </c>
      <c r="AO269" s="76" t="s">
        <v>546</v>
      </c>
      <c r="AP269" s="76" t="s">
        <v>546</v>
      </c>
      <c r="AQ269" s="134"/>
      <c r="AR269" s="134"/>
    </row>
    <row r="270" spans="28:44" ht="12.95" customHeight="1">
      <c r="AB270" s="21">
        <v>5500</v>
      </c>
      <c r="AC270" s="2" t="s">
        <v>763</v>
      </c>
      <c r="AD270" s="5">
        <v>7</v>
      </c>
      <c r="AE270" s="5" t="s">
        <v>546</v>
      </c>
      <c r="AF270" s="5" t="s">
        <v>546</v>
      </c>
      <c r="AG270" s="5">
        <v>7</v>
      </c>
      <c r="AH270" s="5" t="s">
        <v>546</v>
      </c>
      <c r="AK270" s="78">
        <v>6700</v>
      </c>
      <c r="AL270" s="72" t="s">
        <v>833</v>
      </c>
      <c r="AM270" s="76">
        <v>22</v>
      </c>
      <c r="AN270" s="76" t="s">
        <v>546</v>
      </c>
      <c r="AO270" s="76" t="s">
        <v>546</v>
      </c>
      <c r="AP270" s="76" t="s">
        <v>546</v>
      </c>
      <c r="AQ270" s="134"/>
      <c r="AR270" s="134"/>
    </row>
    <row r="271" spans="28:44" ht="12.95" customHeight="1">
      <c r="AB271" s="21">
        <v>5600</v>
      </c>
      <c r="AC271" s="2" t="s">
        <v>764</v>
      </c>
      <c r="AD271" s="5">
        <v>20</v>
      </c>
      <c r="AE271" s="5">
        <v>8</v>
      </c>
      <c r="AF271" s="5">
        <v>12</v>
      </c>
      <c r="AG271" s="5" t="s">
        <v>546</v>
      </c>
      <c r="AH271" s="5" t="s">
        <v>546</v>
      </c>
      <c r="AK271" s="78">
        <v>7000</v>
      </c>
      <c r="AL271" s="72" t="s">
        <v>766</v>
      </c>
      <c r="AM271" s="76">
        <v>0</v>
      </c>
      <c r="AN271" s="76">
        <v>4</v>
      </c>
      <c r="AO271" s="76">
        <v>5</v>
      </c>
      <c r="AP271" s="76" t="s">
        <v>546</v>
      </c>
      <c r="AQ271" s="134"/>
      <c r="AR271" s="134"/>
    </row>
    <row r="272" spans="28:44" ht="12.95" customHeight="1">
      <c r="AB272" s="21">
        <v>6302</v>
      </c>
      <c r="AC272" s="2" t="s">
        <v>325</v>
      </c>
      <c r="AD272" s="5">
        <v>23</v>
      </c>
      <c r="AE272" s="5">
        <v>6</v>
      </c>
      <c r="AF272" s="5">
        <v>5</v>
      </c>
      <c r="AG272" s="5">
        <v>8</v>
      </c>
      <c r="AH272" s="5">
        <v>4</v>
      </c>
      <c r="AK272" s="78">
        <v>7113</v>
      </c>
      <c r="AL272" s="72" t="s">
        <v>328</v>
      </c>
      <c r="AM272" s="76">
        <v>0</v>
      </c>
      <c r="AN272" s="76">
        <v>291</v>
      </c>
      <c r="AO272" s="76">
        <v>29</v>
      </c>
      <c r="AP272" s="76" t="s">
        <v>546</v>
      </c>
      <c r="AQ272" s="134"/>
      <c r="AR272" s="134"/>
    </row>
    <row r="273" spans="28:44" ht="12.95" customHeight="1">
      <c r="AB273" s="21">
        <v>6310</v>
      </c>
      <c r="AC273" s="2" t="s">
        <v>765</v>
      </c>
      <c r="AD273" s="5">
        <v>12</v>
      </c>
      <c r="AE273" s="5" t="s">
        <v>546</v>
      </c>
      <c r="AF273" s="5" t="s">
        <v>546</v>
      </c>
      <c r="AG273" s="5">
        <v>12</v>
      </c>
      <c r="AH273" s="5" t="s">
        <v>546</v>
      </c>
      <c r="AK273" s="78">
        <v>7117</v>
      </c>
      <c r="AL273" s="72" t="s">
        <v>631</v>
      </c>
      <c r="AM273" s="76">
        <v>9</v>
      </c>
      <c r="AN273" s="76">
        <v>188</v>
      </c>
      <c r="AO273" s="76">
        <v>8</v>
      </c>
      <c r="AP273" s="76">
        <v>255</v>
      </c>
      <c r="AQ273" s="134"/>
      <c r="AR273" s="134"/>
    </row>
    <row r="274" spans="28:44" ht="12.95" customHeight="1">
      <c r="AB274" s="21">
        <v>7000</v>
      </c>
      <c r="AC274" s="2" t="s">
        <v>766</v>
      </c>
      <c r="AD274" s="5">
        <v>4</v>
      </c>
      <c r="AE274" s="5" t="s">
        <v>546</v>
      </c>
      <c r="AF274" s="5">
        <v>4</v>
      </c>
      <c r="AG274" s="5" t="s">
        <v>546</v>
      </c>
      <c r="AH274" s="5" t="s">
        <v>546</v>
      </c>
      <c r="AK274" s="78">
        <v>8473</v>
      </c>
      <c r="AL274" s="72" t="s">
        <v>330</v>
      </c>
      <c r="AM274" s="76">
        <v>320</v>
      </c>
      <c r="AN274" s="76" t="s">
        <v>546</v>
      </c>
      <c r="AO274" s="76" t="s">
        <v>546</v>
      </c>
      <c r="AP274" s="76" t="s">
        <v>546</v>
      </c>
      <c r="AQ274" s="134"/>
      <c r="AR274" s="134"/>
    </row>
    <row r="275" spans="28:44" ht="12.95" customHeight="1">
      <c r="AB275" s="21">
        <v>7113</v>
      </c>
      <c r="AC275" s="2" t="s">
        <v>79</v>
      </c>
      <c r="AD275" s="5">
        <v>450</v>
      </c>
      <c r="AE275" s="5">
        <v>57</v>
      </c>
      <c r="AF275" s="5">
        <v>371</v>
      </c>
      <c r="AG275" s="5">
        <v>9</v>
      </c>
      <c r="AH275" s="5">
        <v>13</v>
      </c>
      <c r="AK275" s="78">
        <v>8506</v>
      </c>
      <c r="AL275" s="72" t="s">
        <v>331</v>
      </c>
      <c r="AM275" s="76">
        <v>451</v>
      </c>
      <c r="AN275" s="76">
        <v>6</v>
      </c>
      <c r="AO275" s="76">
        <v>10</v>
      </c>
      <c r="AP275" s="76" t="s">
        <v>546</v>
      </c>
      <c r="AQ275" s="134"/>
      <c r="AR275" s="134"/>
    </row>
    <row r="276" spans="28:44" ht="12.95" customHeight="1">
      <c r="AB276" s="21">
        <v>7117</v>
      </c>
      <c r="AC276" s="2" t="s">
        <v>631</v>
      </c>
      <c r="AD276" s="5">
        <v>54</v>
      </c>
      <c r="AE276" s="5" t="s">
        <v>546</v>
      </c>
      <c r="AF276" s="5" t="s">
        <v>546</v>
      </c>
      <c r="AG276" s="5">
        <v>54</v>
      </c>
      <c r="AH276" s="5" t="s">
        <v>546</v>
      </c>
      <c r="AK276" s="78">
        <v>9004</v>
      </c>
      <c r="AL276" s="72" t="s">
        <v>332</v>
      </c>
      <c r="AM276" s="76">
        <v>0</v>
      </c>
      <c r="AN276" s="76" t="s">
        <v>546</v>
      </c>
      <c r="AO276" s="76">
        <v>46</v>
      </c>
      <c r="AP276" s="76" t="s">
        <v>546</v>
      </c>
      <c r="AQ276" s="134"/>
      <c r="AR276" s="134"/>
    </row>
    <row r="277" spans="28:44" ht="12.95" customHeight="1">
      <c r="AB277" s="21">
        <v>8473</v>
      </c>
      <c r="AC277" s="2" t="s">
        <v>767</v>
      </c>
      <c r="AD277" s="5">
        <v>52</v>
      </c>
      <c r="AE277" s="5" t="s">
        <v>546</v>
      </c>
      <c r="AF277" s="5">
        <v>48</v>
      </c>
      <c r="AG277" s="5" t="s">
        <v>546</v>
      </c>
      <c r="AH277" s="5">
        <v>4</v>
      </c>
      <c r="AK277" s="78">
        <v>9200</v>
      </c>
      <c r="AL277" s="72" t="s">
        <v>834</v>
      </c>
      <c r="AM277" s="76">
        <v>16</v>
      </c>
      <c r="AN277" s="76">
        <v>6</v>
      </c>
      <c r="AO277" s="76" t="s">
        <v>546</v>
      </c>
      <c r="AP277" s="76" t="s">
        <v>546</v>
      </c>
      <c r="AQ277" s="134"/>
      <c r="AR277" s="134"/>
    </row>
    <row r="278" spans="28:44" ht="12.95" customHeight="1">
      <c r="AB278" s="21">
        <v>8506</v>
      </c>
      <c r="AC278" s="2" t="s">
        <v>331</v>
      </c>
      <c r="AD278" s="47">
        <v>4011</v>
      </c>
      <c r="AE278" s="47">
        <v>1280</v>
      </c>
      <c r="AF278" s="47">
        <v>2649</v>
      </c>
      <c r="AG278" s="5">
        <v>44</v>
      </c>
      <c r="AH278" s="5">
        <v>38</v>
      </c>
      <c r="AK278" s="78">
        <v>9403</v>
      </c>
      <c r="AL278" s="72" t="s">
        <v>299</v>
      </c>
      <c r="AM278" s="76">
        <v>46</v>
      </c>
      <c r="AN278" s="76">
        <v>30</v>
      </c>
      <c r="AO278" s="76" t="s">
        <v>546</v>
      </c>
      <c r="AP278" s="76" t="s">
        <v>546</v>
      </c>
      <c r="AQ278" s="134"/>
      <c r="AR278" s="134"/>
    </row>
    <row r="279" spans="28:44" ht="12.95" customHeight="1">
      <c r="AB279" s="21">
        <v>9004</v>
      </c>
      <c r="AC279" s="2" t="s">
        <v>768</v>
      </c>
      <c r="AD279" s="5">
        <v>192</v>
      </c>
      <c r="AE279" s="5" t="s">
        <v>546</v>
      </c>
      <c r="AF279" s="5" t="s">
        <v>546</v>
      </c>
      <c r="AG279" s="5">
        <v>136</v>
      </c>
      <c r="AH279" s="5">
        <v>56</v>
      </c>
      <c r="AK279" s="78">
        <v>9405</v>
      </c>
      <c r="AL279" s="72" t="s">
        <v>770</v>
      </c>
      <c r="AM279" s="76">
        <v>6</v>
      </c>
      <c r="AN279" s="76" t="s">
        <v>546</v>
      </c>
      <c r="AO279" s="76" t="s">
        <v>546</v>
      </c>
      <c r="AP279" s="76">
        <v>4</v>
      </c>
      <c r="AQ279" s="134"/>
      <c r="AR279" s="134"/>
    </row>
    <row r="280" spans="28:44" ht="12.95" customHeight="1">
      <c r="AB280" s="21">
        <v>9033</v>
      </c>
      <c r="AC280" s="2" t="s">
        <v>769</v>
      </c>
      <c r="AD280" s="5">
        <v>9</v>
      </c>
      <c r="AE280" s="5">
        <v>9</v>
      </c>
      <c r="AF280" s="5" t="s">
        <v>546</v>
      </c>
      <c r="AG280" s="5" t="s">
        <v>546</v>
      </c>
      <c r="AH280" s="5" t="s">
        <v>546</v>
      </c>
      <c r="AK280" s="78">
        <v>9406</v>
      </c>
      <c r="AL280" s="72" t="s">
        <v>835</v>
      </c>
      <c r="AM280" s="76">
        <v>30</v>
      </c>
      <c r="AN280" s="76">
        <v>110</v>
      </c>
      <c r="AO280" s="76" t="s">
        <v>546</v>
      </c>
      <c r="AP280" s="76" t="s">
        <v>546</v>
      </c>
      <c r="AQ280" s="134"/>
      <c r="AR280" s="134"/>
    </row>
    <row r="281" spans="28:44" ht="12.95" customHeight="1">
      <c r="AB281" s="21">
        <v>9101</v>
      </c>
      <c r="AC281" s="2" t="s">
        <v>298</v>
      </c>
      <c r="AD281" s="5">
        <v>442</v>
      </c>
      <c r="AE281" s="5">
        <v>292</v>
      </c>
      <c r="AF281" s="5" t="s">
        <v>546</v>
      </c>
      <c r="AG281" s="5">
        <v>150</v>
      </c>
      <c r="AH281" s="5" t="s">
        <v>546</v>
      </c>
      <c r="AK281" s="78">
        <v>9506</v>
      </c>
      <c r="AL281" s="72" t="s">
        <v>836</v>
      </c>
      <c r="AM281" s="76">
        <v>4</v>
      </c>
      <c r="AN281" s="76">
        <v>3</v>
      </c>
      <c r="AO281" s="76" t="s">
        <v>546</v>
      </c>
      <c r="AP281" s="76" t="s">
        <v>546</v>
      </c>
      <c r="AQ281" s="134"/>
      <c r="AR281" s="134"/>
    </row>
    <row r="282" spans="28:44" ht="12.95" customHeight="1">
      <c r="AB282" s="21">
        <v>9403</v>
      </c>
      <c r="AC282" s="2" t="s">
        <v>299</v>
      </c>
      <c r="AD282" s="5">
        <v>13</v>
      </c>
      <c r="AE282" s="5">
        <v>5</v>
      </c>
      <c r="AF282" s="5">
        <v>4</v>
      </c>
      <c r="AG282" s="5">
        <v>4</v>
      </c>
      <c r="AH282" s="5" t="s">
        <v>546</v>
      </c>
      <c r="AK282" s="78">
        <v>9508</v>
      </c>
      <c r="AL282" s="72" t="s">
        <v>837</v>
      </c>
      <c r="AM282" s="76">
        <v>110</v>
      </c>
      <c r="AN282" s="76" t="s">
        <v>546</v>
      </c>
      <c r="AO282" s="76" t="s">
        <v>546</v>
      </c>
      <c r="AP282" s="76">
        <v>3</v>
      </c>
      <c r="AQ282" s="136"/>
      <c r="AR282" s="134"/>
    </row>
    <row r="283" spans="28:44" ht="12.95" customHeight="1">
      <c r="AB283" s="21">
        <v>9405</v>
      </c>
      <c r="AC283" s="2" t="s">
        <v>770</v>
      </c>
      <c r="AD283" s="5">
        <v>74</v>
      </c>
      <c r="AE283" s="5">
        <v>6</v>
      </c>
      <c r="AF283" s="5" t="s">
        <v>546</v>
      </c>
      <c r="AG283" s="5">
        <v>29</v>
      </c>
      <c r="AH283" s="5">
        <v>39</v>
      </c>
      <c r="AK283" s="154">
        <v>9618</v>
      </c>
      <c r="AL283" s="81" t="s">
        <v>377</v>
      </c>
      <c r="AM283" s="83">
        <v>3</v>
      </c>
      <c r="AN283" s="83" t="s">
        <v>546</v>
      </c>
      <c r="AO283" s="83" t="s">
        <v>546</v>
      </c>
      <c r="AP283" s="83" t="s">
        <v>546</v>
      </c>
      <c r="AQ283" s="136"/>
      <c r="AR283" s="134"/>
    </row>
    <row r="284" spans="28:44" ht="12" customHeight="1">
      <c r="AB284" s="21">
        <v>9406</v>
      </c>
      <c r="AC284" s="2" t="s">
        <v>771</v>
      </c>
      <c r="AD284" s="5">
        <v>8</v>
      </c>
      <c r="AE284" s="5" t="s">
        <v>546</v>
      </c>
      <c r="AF284" s="5" t="s">
        <v>546</v>
      </c>
      <c r="AG284" s="5" t="s">
        <v>546</v>
      </c>
      <c r="AH284" s="5">
        <v>8</v>
      </c>
      <c r="AK284" s="84" t="s">
        <v>174</v>
      </c>
      <c r="AL284" s="156"/>
      <c r="AM284" s="85"/>
      <c r="AN284" s="85"/>
      <c r="AO284" s="85"/>
      <c r="AP284" s="85"/>
      <c r="AQ284" s="136"/>
      <c r="AR284" s="134"/>
    </row>
    <row r="285" spans="28:44" ht="12" customHeight="1">
      <c r="AB285" s="21">
        <v>9608</v>
      </c>
      <c r="AC285" s="2" t="s">
        <v>772</v>
      </c>
      <c r="AD285" s="5">
        <v>5</v>
      </c>
      <c r="AE285" s="5" t="s">
        <v>546</v>
      </c>
      <c r="AF285" s="5" t="s">
        <v>546</v>
      </c>
      <c r="AG285" s="5" t="s">
        <v>546</v>
      </c>
      <c r="AH285" s="5">
        <v>5</v>
      </c>
      <c r="AK285" s="84" t="s">
        <v>637</v>
      </c>
      <c r="AL285" s="85"/>
      <c r="AM285" s="85"/>
      <c r="AN285" s="85"/>
      <c r="AO285" s="85"/>
      <c r="AP285" s="85"/>
    </row>
    <row r="286" spans="28:44" ht="12" customHeight="1">
      <c r="AB286" s="21">
        <v>9613</v>
      </c>
      <c r="AC286" s="2" t="s">
        <v>773</v>
      </c>
      <c r="AD286" s="5">
        <v>4</v>
      </c>
      <c r="AE286" s="2"/>
      <c r="AF286" s="5">
        <v>4</v>
      </c>
      <c r="AG286" s="5" t="s">
        <v>546</v>
      </c>
      <c r="AH286" s="5" t="s">
        <v>546</v>
      </c>
      <c r="AK286" s="84" t="s">
        <v>714</v>
      </c>
      <c r="AL286" s="156"/>
      <c r="AM286" s="85"/>
      <c r="AN286" s="85"/>
      <c r="AO286" s="85"/>
      <c r="AP286" s="85"/>
    </row>
    <row r="287" spans="28:44" ht="12.95" customHeight="1">
      <c r="AB287" s="58">
        <v>9800</v>
      </c>
      <c r="AC287" s="10" t="s">
        <v>774</v>
      </c>
      <c r="AD287" s="11">
        <v>8</v>
      </c>
      <c r="AE287" s="11" t="s">
        <v>546</v>
      </c>
      <c r="AF287" s="11" t="s">
        <v>546</v>
      </c>
      <c r="AG287" s="11" t="s">
        <v>546</v>
      </c>
      <c r="AH287" s="11">
        <v>8</v>
      </c>
    </row>
    <row r="288" spans="28:44" ht="12.95" customHeight="1">
      <c r="AB288" s="13" t="s">
        <v>174</v>
      </c>
      <c r="AC288" s="14"/>
      <c r="AD288" s="14"/>
      <c r="AE288" s="14"/>
      <c r="AF288" s="14"/>
      <c r="AG288" s="14"/>
      <c r="AH288" s="14"/>
    </row>
    <row r="289" spans="28:34" ht="12.95" customHeight="1">
      <c r="AB289" s="13" t="s">
        <v>637</v>
      </c>
      <c r="AC289" s="30"/>
      <c r="AD289" s="14"/>
      <c r="AE289" s="14"/>
      <c r="AF289" s="14"/>
      <c r="AG289" s="14"/>
      <c r="AH289" s="14"/>
    </row>
    <row r="290" spans="28:34" ht="12" customHeight="1">
      <c r="AB290" s="13" t="s">
        <v>714</v>
      </c>
      <c r="AC290" s="30"/>
      <c r="AD290" s="14"/>
      <c r="AE290" s="14"/>
      <c r="AF290" s="14"/>
      <c r="AG290" s="14"/>
      <c r="AH290" s="14"/>
    </row>
    <row r="291" spans="28:34" ht="12" customHeight="1"/>
    <row r="292" spans="28:34" ht="12.75" customHeight="1"/>
    <row r="293" spans="28:34" ht="12.95" customHeight="1"/>
    <row r="294" spans="28:34" ht="12.95" customHeight="1"/>
    <row r="295" spans="28:34" ht="12.95" customHeight="1"/>
    <row r="296" spans="28:34" ht="12.95" customHeight="1"/>
    <row r="297" spans="28:34" ht="12.95" customHeight="1"/>
    <row r="298" spans="28:34" ht="12.95" customHeight="1"/>
    <row r="299" spans="28:34" ht="12.95" customHeight="1"/>
    <row r="300" spans="28:34" ht="12.95" customHeight="1"/>
    <row r="301" spans="28:34" ht="12.95" customHeight="1"/>
    <row r="302" spans="28:34" ht="12.95" customHeight="1"/>
    <row r="303" spans="28:34" ht="12.95" customHeight="1"/>
    <row r="304" spans="28:3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 customHeight="1"/>
    <row r="316" ht="12" customHeight="1"/>
    <row r="317" ht="12" customHeight="1"/>
    <row r="318" ht="12.95" customHeight="1"/>
    <row r="319" ht="12.95" customHeight="1"/>
    <row r="320" ht="12.95" customHeight="1"/>
    <row r="321" ht="12" customHeight="1"/>
    <row r="322" ht="12" customHeight="1"/>
    <row r="323" ht="12.7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75" customHeight="1"/>
    <row r="347" ht="12.75" customHeight="1"/>
    <row r="348" ht="12.95" customHeight="1"/>
    <row r="349" ht="12.95" customHeight="1"/>
    <row r="350" ht="12.95" customHeight="1"/>
    <row r="351" ht="12" customHeight="1"/>
    <row r="352" ht="12" customHeight="1"/>
    <row r="353" ht="12.7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 customHeight="1"/>
    <row r="377" ht="12" customHeight="1"/>
    <row r="378" ht="12"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sheetData>
  <mergeCells count="127">
    <mergeCell ref="BR94:BY94"/>
    <mergeCell ref="BV96:CA96"/>
    <mergeCell ref="BR119:BX119"/>
    <mergeCell ref="BR120:BS120"/>
    <mergeCell ref="BR121:BS121"/>
    <mergeCell ref="BR1:BZ1"/>
    <mergeCell ref="BR2:BT2"/>
    <mergeCell ref="BR32:BX32"/>
    <mergeCell ref="BR63:BW63"/>
    <mergeCell ref="BR88:BX88"/>
    <mergeCell ref="BR89:BS89"/>
    <mergeCell ref="BR90:BS90"/>
    <mergeCell ref="BR95:BS95"/>
    <mergeCell ref="BR58:BS58"/>
    <mergeCell ref="BR59:BS59"/>
    <mergeCell ref="BR64:BS64"/>
    <mergeCell ref="BV65:CA65"/>
    <mergeCell ref="BR28:BS28"/>
    <mergeCell ref="BR33:BS33"/>
    <mergeCell ref="BV34:CA34"/>
    <mergeCell ref="BR57:BX57"/>
    <mergeCell ref="BV3:CA3"/>
    <mergeCell ref="BR26:BX26"/>
    <mergeCell ref="BR27:BS27"/>
    <mergeCell ref="BF244:BG244"/>
    <mergeCell ref="BF245:BG245"/>
    <mergeCell ref="BF150:BM150"/>
    <mergeCell ref="BF156:BK156"/>
    <mergeCell ref="BF181:BM181"/>
    <mergeCell ref="BF187:BK187"/>
    <mergeCell ref="BF212:BM212"/>
    <mergeCell ref="BF218:BK218"/>
    <mergeCell ref="BF243:BN243"/>
    <mergeCell ref="BF213:BG213"/>
    <mergeCell ref="BF214:BG214"/>
    <mergeCell ref="BF219:BG219"/>
    <mergeCell ref="BJ220:BO220"/>
    <mergeCell ref="BF183:BG183"/>
    <mergeCell ref="BF188:BG188"/>
    <mergeCell ref="BJ189:BO189"/>
    <mergeCell ref="BF157:BG157"/>
    <mergeCell ref="BJ158:BO158"/>
    <mergeCell ref="BF182:BG182"/>
    <mergeCell ref="J154:P154"/>
    <mergeCell ref="J76:P76"/>
    <mergeCell ref="BF125:BK125"/>
    <mergeCell ref="BF126:BG126"/>
    <mergeCell ref="BJ127:BO127"/>
    <mergeCell ref="BF151:BG151"/>
    <mergeCell ref="BF152:BG152"/>
    <mergeCell ref="A2:C2"/>
    <mergeCell ref="S138:Y138"/>
    <mergeCell ref="S80:Y80"/>
    <mergeCell ref="S86:V86"/>
    <mergeCell ref="AT120:AU120"/>
    <mergeCell ref="AT121:AU121"/>
    <mergeCell ref="AT94:AY94"/>
    <mergeCell ref="AT90:AU90"/>
    <mergeCell ref="AT95:AU95"/>
    <mergeCell ref="AX96:BC96"/>
    <mergeCell ref="AT119:AY119"/>
    <mergeCell ref="BF26:BM26"/>
    <mergeCell ref="BF58:BG58"/>
    <mergeCell ref="BF59:BG59"/>
    <mergeCell ref="BF64:BG64"/>
    <mergeCell ref="BJ65:BO65"/>
    <mergeCell ref="BF28:BG28"/>
    <mergeCell ref="BJ3:BO3"/>
    <mergeCell ref="BF27:BG27"/>
    <mergeCell ref="BF2:BI2"/>
    <mergeCell ref="AT2:AU2"/>
    <mergeCell ref="AX3:BC3"/>
    <mergeCell ref="S1:T1"/>
    <mergeCell ref="S2:T2"/>
    <mergeCell ref="S87:T87"/>
    <mergeCell ref="AT26:AY26"/>
    <mergeCell ref="AT27:AU27"/>
    <mergeCell ref="AT28:AU28"/>
    <mergeCell ref="AT33:AU33"/>
    <mergeCell ref="AK86:AK87"/>
    <mergeCell ref="AL86:AL87"/>
    <mergeCell ref="AT32:AY32"/>
    <mergeCell ref="AT63:AY63"/>
    <mergeCell ref="AX65:BC65"/>
    <mergeCell ref="AX34:BC34"/>
    <mergeCell ref="BF1:BO1"/>
    <mergeCell ref="AT181:AY181"/>
    <mergeCell ref="AT126:AU126"/>
    <mergeCell ref="AX127:BC127"/>
    <mergeCell ref="AT150:AY150"/>
    <mergeCell ref="AT151:AU151"/>
    <mergeCell ref="AT243:AY243"/>
    <mergeCell ref="AT244:AU244"/>
    <mergeCell ref="AT245:AU245"/>
    <mergeCell ref="AT125:AY125"/>
    <mergeCell ref="AT187:AX187"/>
    <mergeCell ref="AT212:AY212"/>
    <mergeCell ref="AT214:AU214"/>
    <mergeCell ref="AT218:AY218"/>
    <mergeCell ref="AT213:AU213"/>
    <mergeCell ref="AT219:AU219"/>
    <mergeCell ref="AX220:BC220"/>
    <mergeCell ref="AT182:AU182"/>
    <mergeCell ref="AT183:AU183"/>
    <mergeCell ref="AT188:AU188"/>
    <mergeCell ref="AX189:BC189"/>
    <mergeCell ref="AT152:AU152"/>
    <mergeCell ref="AT156:AX156"/>
    <mergeCell ref="AT157:AU157"/>
    <mergeCell ref="AX158:BC158"/>
    <mergeCell ref="BF33:BG33"/>
    <mergeCell ref="BJ34:BO34"/>
    <mergeCell ref="BF32:BL32"/>
    <mergeCell ref="BF57:BM57"/>
    <mergeCell ref="A60:B60"/>
    <mergeCell ref="BJ96:BO96"/>
    <mergeCell ref="BF120:BG120"/>
    <mergeCell ref="BF121:BG121"/>
    <mergeCell ref="BF63:BL63"/>
    <mergeCell ref="BF88:BM88"/>
    <mergeCell ref="BF94:BL94"/>
    <mergeCell ref="BF119:BM119"/>
    <mergeCell ref="BF89:BG89"/>
    <mergeCell ref="BF90:BG90"/>
    <mergeCell ref="BF95:BG95"/>
    <mergeCell ref="AT88:AY88"/>
    <mergeCell ref="AT89:AU89"/>
  </mergeCells>
  <pageMargins left="0.7" right="0.7" top="0.75" bottom="0.75" header="0.3" footer="0.3"/>
  <pageSetup orientation="portrait" r:id="rId1"/>
  <ignoredErrors>
    <ignoredError sqref="J7:J19 S7:S18 AB7:AB17 AB142:AB152 AK7:AK18 AK156:AK164 AT113 AT144:AT149 BF17:BF25 BF47 BF83:BF87 BF180 BF177:BF178 BR24 BR41 BR74 BR10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84CE-8ACC-417D-BB71-3D1975521E58}">
  <sheetPr>
    <tabColor theme="7" tint="0.59999389629810485"/>
  </sheetPr>
  <dimension ref="A1:I575"/>
  <sheetViews>
    <sheetView showGridLines="0" topLeftCell="A25" zoomScale="90" zoomScaleNormal="90" workbookViewId="0">
      <selection activeCell="L511" sqref="L511"/>
    </sheetView>
  </sheetViews>
  <sheetFormatPr defaultRowHeight="15"/>
  <cols>
    <col min="1" max="1" width="16.85546875" customWidth="1"/>
    <col min="2" max="2" width="69.28515625" customWidth="1"/>
    <col min="3" max="3" width="11" customWidth="1"/>
    <col min="4" max="9" width="12.7109375" customWidth="1"/>
  </cols>
  <sheetData>
    <row r="1" spans="1:9" ht="19.5" customHeight="1">
      <c r="A1" s="2334" t="s">
        <v>1008</v>
      </c>
      <c r="B1" s="2334"/>
      <c r="C1" s="2334"/>
      <c r="D1" s="2334"/>
      <c r="E1" s="2334"/>
      <c r="F1" s="90"/>
      <c r="G1" s="90"/>
      <c r="H1" s="90"/>
      <c r="I1" s="90"/>
    </row>
    <row r="2" spans="1:9" ht="12.95" customHeight="1">
      <c r="A2" s="8"/>
      <c r="B2" s="188"/>
      <c r="C2" s="41"/>
      <c r="D2" s="2023" t="s">
        <v>1157</v>
      </c>
      <c r="E2" s="2025"/>
      <c r="F2" s="2324" t="s">
        <v>1009</v>
      </c>
      <c r="G2" s="2332"/>
      <c r="H2" s="2324" t="s">
        <v>1010</v>
      </c>
      <c r="I2" s="2325"/>
    </row>
    <row r="3" spans="1:9" ht="12.95" customHeight="1">
      <c r="A3" s="2"/>
      <c r="B3" s="210"/>
      <c r="C3" s="201" t="s">
        <v>1011</v>
      </c>
      <c r="D3" s="2328"/>
      <c r="E3" s="2329"/>
      <c r="F3" s="2326"/>
      <c r="G3" s="2333"/>
      <c r="H3" s="2326"/>
      <c r="I3" s="2327"/>
    </row>
    <row r="4" spans="1:9" ht="14.1" customHeight="1">
      <c r="A4" s="2"/>
      <c r="B4" s="210"/>
      <c r="C4" s="201" t="s">
        <v>1013</v>
      </c>
      <c r="D4" s="221" t="s">
        <v>1014</v>
      </c>
      <c r="E4" s="226" t="s">
        <v>1015</v>
      </c>
      <c r="F4" s="217" t="s">
        <v>1012</v>
      </c>
      <c r="G4" s="225" t="s">
        <v>1015</v>
      </c>
      <c r="H4" s="201" t="s">
        <v>1012</v>
      </c>
      <c r="I4" s="197" t="s">
        <v>1015</v>
      </c>
    </row>
    <row r="5" spans="1:9" ht="14.1" customHeight="1">
      <c r="A5" s="250" t="s">
        <v>1017</v>
      </c>
      <c r="B5" s="251" t="s">
        <v>1018</v>
      </c>
      <c r="C5" s="250" t="s">
        <v>1019</v>
      </c>
      <c r="D5" s="252" t="s">
        <v>1019</v>
      </c>
      <c r="E5" s="253" t="s">
        <v>1020</v>
      </c>
      <c r="F5" s="250" t="s">
        <v>1016</v>
      </c>
      <c r="G5" s="253" t="s">
        <v>1020</v>
      </c>
      <c r="H5" s="250" t="s">
        <v>1016</v>
      </c>
      <c r="I5" s="254" t="s">
        <v>1020</v>
      </c>
    </row>
    <row r="6" spans="1:9" ht="12.95" customHeight="1">
      <c r="A6" s="201"/>
      <c r="B6" s="207"/>
      <c r="C6" s="201"/>
      <c r="D6" s="201"/>
      <c r="E6" s="249"/>
      <c r="F6" s="201"/>
      <c r="G6" s="249"/>
      <c r="H6" s="201"/>
      <c r="I6" s="201"/>
    </row>
    <row r="7" spans="1:9" ht="14.1" customHeight="1">
      <c r="A7" s="3"/>
      <c r="B7" s="207" t="s">
        <v>1021</v>
      </c>
      <c r="C7" s="3"/>
      <c r="D7" s="3"/>
      <c r="E7" s="215">
        <v>53225</v>
      </c>
      <c r="F7" s="215">
        <v>3002</v>
      </c>
      <c r="G7" s="215">
        <v>13759</v>
      </c>
      <c r="H7" s="205">
        <v>131</v>
      </c>
      <c r="I7" s="215">
        <v>39447</v>
      </c>
    </row>
    <row r="8" spans="1:9" ht="14.1" customHeight="1">
      <c r="A8" s="201">
        <v>1518004000</v>
      </c>
      <c r="B8" s="207" t="s">
        <v>1022</v>
      </c>
      <c r="C8" s="205" t="s">
        <v>1023</v>
      </c>
      <c r="D8" s="215">
        <v>561052</v>
      </c>
      <c r="E8" s="205">
        <v>433</v>
      </c>
      <c r="F8" s="205">
        <v>561</v>
      </c>
      <c r="G8" s="205">
        <v>433</v>
      </c>
      <c r="H8" s="205">
        <v>0</v>
      </c>
      <c r="I8" s="205">
        <v>0</v>
      </c>
    </row>
    <row r="9" spans="1:9" ht="14.1" customHeight="1">
      <c r="A9" s="201">
        <v>2208306065</v>
      </c>
      <c r="B9" s="207" t="s">
        <v>1024</v>
      </c>
      <c r="C9" s="205" t="s">
        <v>1025</v>
      </c>
      <c r="D9" s="205">
        <v>5</v>
      </c>
      <c r="E9" s="205">
        <v>3</v>
      </c>
      <c r="F9" s="205">
        <v>2</v>
      </c>
      <c r="G9" s="205">
        <v>3</v>
      </c>
      <c r="H9" s="205">
        <v>0</v>
      </c>
      <c r="I9" s="205">
        <v>0</v>
      </c>
    </row>
    <row r="10" spans="1:9" ht="14.1" customHeight="1">
      <c r="A10" s="201">
        <v>3004909215</v>
      </c>
      <c r="B10" s="207" t="s">
        <v>1026</v>
      </c>
      <c r="C10" s="205" t="s">
        <v>1023</v>
      </c>
      <c r="D10" s="205">
        <v>4</v>
      </c>
      <c r="E10" s="205">
        <v>11</v>
      </c>
      <c r="F10" s="205">
        <v>0</v>
      </c>
      <c r="G10" s="205">
        <v>0</v>
      </c>
      <c r="H10" s="205" t="s">
        <v>546</v>
      </c>
      <c r="I10" s="205">
        <v>11</v>
      </c>
    </row>
    <row r="11" spans="1:9" ht="14.1" customHeight="1">
      <c r="A11" s="201">
        <v>3004909291</v>
      </c>
      <c r="B11" s="207" t="s">
        <v>1027</v>
      </c>
      <c r="C11" s="205" t="s">
        <v>1023</v>
      </c>
      <c r="D11" s="205">
        <v>3</v>
      </c>
      <c r="E11" s="205">
        <v>16</v>
      </c>
      <c r="F11" s="205">
        <v>0</v>
      </c>
      <c r="G11" s="205">
        <v>0</v>
      </c>
      <c r="H11" s="205" t="s">
        <v>546</v>
      </c>
      <c r="I11" s="205">
        <v>16</v>
      </c>
    </row>
    <row r="12" spans="1:9" ht="14.1" customHeight="1">
      <c r="A12" s="201">
        <v>3825690000</v>
      </c>
      <c r="B12" s="207" t="s">
        <v>1028</v>
      </c>
      <c r="C12" s="205" t="s">
        <v>1023</v>
      </c>
      <c r="D12" s="215">
        <v>163293</v>
      </c>
      <c r="E12" s="205">
        <v>18</v>
      </c>
      <c r="F12" s="205">
        <v>163</v>
      </c>
      <c r="G12" s="205">
        <v>18</v>
      </c>
      <c r="H12" s="205">
        <v>0</v>
      </c>
      <c r="I12" s="205">
        <v>0</v>
      </c>
    </row>
    <row r="13" spans="1:9" ht="14.1" customHeight="1">
      <c r="A13" s="201">
        <v>3909502000</v>
      </c>
      <c r="B13" s="207" t="s">
        <v>1029</v>
      </c>
      <c r="C13" s="205" t="s">
        <v>1023</v>
      </c>
      <c r="D13" s="205">
        <v>864</v>
      </c>
      <c r="E13" s="205" t="s">
        <v>546</v>
      </c>
      <c r="F13" s="205">
        <v>0</v>
      </c>
      <c r="G13" s="205">
        <v>0</v>
      </c>
      <c r="H13" s="205">
        <v>1</v>
      </c>
      <c r="I13" s="205" t="s">
        <v>546</v>
      </c>
    </row>
    <row r="14" spans="1:9" ht="14.1" customHeight="1">
      <c r="A14" s="201">
        <v>3910000000</v>
      </c>
      <c r="B14" s="207" t="s">
        <v>1030</v>
      </c>
      <c r="C14" s="205" t="s">
        <v>1023</v>
      </c>
      <c r="D14" s="205">
        <v>1</v>
      </c>
      <c r="E14" s="205">
        <v>1</v>
      </c>
      <c r="F14" s="205">
        <v>0</v>
      </c>
      <c r="G14" s="205">
        <v>0</v>
      </c>
      <c r="H14" s="205" t="s">
        <v>546</v>
      </c>
      <c r="I14" s="205">
        <v>1</v>
      </c>
    </row>
    <row r="15" spans="1:9" ht="14.1" customHeight="1">
      <c r="A15" s="201">
        <v>3925301000</v>
      </c>
      <c r="B15" s="207" t="s">
        <v>1031</v>
      </c>
      <c r="C15" s="205" t="s">
        <v>1032</v>
      </c>
      <c r="D15" s="205">
        <v>163</v>
      </c>
      <c r="E15" s="205">
        <v>3</v>
      </c>
      <c r="F15" s="205">
        <v>0</v>
      </c>
      <c r="G15" s="205">
        <v>0</v>
      </c>
      <c r="H15" s="205" t="s">
        <v>546</v>
      </c>
      <c r="I15" s="205">
        <v>3</v>
      </c>
    </row>
    <row r="16" spans="1:9" ht="14.1" customHeight="1">
      <c r="A16" s="201">
        <v>3926909985</v>
      </c>
      <c r="B16" s="207" t="s">
        <v>1033</v>
      </c>
      <c r="C16" s="205" t="s">
        <v>1032</v>
      </c>
      <c r="D16" s="205">
        <v>1</v>
      </c>
      <c r="E16" s="205">
        <v>1</v>
      </c>
      <c r="F16" s="205">
        <v>0</v>
      </c>
      <c r="G16" s="205">
        <v>0</v>
      </c>
      <c r="H16" s="205" t="s">
        <v>546</v>
      </c>
      <c r="I16" s="205">
        <v>1</v>
      </c>
    </row>
    <row r="17" spans="1:9" ht="14.1" customHeight="1">
      <c r="A17" s="201">
        <v>3926909989</v>
      </c>
      <c r="B17" s="207" t="s">
        <v>1033</v>
      </c>
      <c r="C17" s="205" t="s">
        <v>1032</v>
      </c>
      <c r="D17" s="205">
        <v>17</v>
      </c>
      <c r="E17" s="205" t="s">
        <v>546</v>
      </c>
      <c r="F17" s="205">
        <v>0</v>
      </c>
      <c r="G17" s="205">
        <v>0</v>
      </c>
      <c r="H17" s="205" t="s">
        <v>546</v>
      </c>
      <c r="I17" s="205" t="s">
        <v>546</v>
      </c>
    </row>
    <row r="18" spans="1:9" ht="14.1" customHeight="1">
      <c r="A18" s="201">
        <v>4008210000</v>
      </c>
      <c r="B18" s="207" t="s">
        <v>1034</v>
      </c>
      <c r="C18" s="205" t="s">
        <v>1023</v>
      </c>
      <c r="D18" s="205">
        <v>100</v>
      </c>
      <c r="E18" s="205">
        <v>1</v>
      </c>
      <c r="F18" s="205" t="s">
        <v>546</v>
      </c>
      <c r="G18" s="205">
        <v>1</v>
      </c>
      <c r="H18" s="205">
        <v>0</v>
      </c>
      <c r="I18" s="205">
        <v>0</v>
      </c>
    </row>
    <row r="19" spans="1:9" ht="14.1" customHeight="1">
      <c r="A19" s="201">
        <v>4009210000</v>
      </c>
      <c r="B19" s="207" t="s">
        <v>1035</v>
      </c>
      <c r="C19" s="205" t="s">
        <v>1023</v>
      </c>
      <c r="D19" s="205">
        <v>40</v>
      </c>
      <c r="E19" s="205" t="s">
        <v>546</v>
      </c>
      <c r="F19" s="205" t="s">
        <v>546</v>
      </c>
      <c r="G19" s="205" t="s">
        <v>546</v>
      </c>
      <c r="H19" s="205">
        <v>0</v>
      </c>
      <c r="I19" s="205">
        <v>0</v>
      </c>
    </row>
    <row r="20" spans="1:9" ht="14.1" customHeight="1">
      <c r="A20" s="201">
        <v>4016935010</v>
      </c>
      <c r="B20" s="207" t="s">
        <v>1036</v>
      </c>
      <c r="C20" s="205" t="s">
        <v>1023</v>
      </c>
      <c r="D20" s="205">
        <v>140</v>
      </c>
      <c r="E20" s="205">
        <v>3</v>
      </c>
      <c r="F20" s="205">
        <v>0</v>
      </c>
      <c r="G20" s="205">
        <v>0</v>
      </c>
      <c r="H20" s="205" t="s">
        <v>546</v>
      </c>
      <c r="I20" s="205">
        <v>3</v>
      </c>
    </row>
    <row r="21" spans="1:9" ht="14.1" customHeight="1">
      <c r="A21" s="201">
        <v>4202128980</v>
      </c>
      <c r="B21" s="207" t="s">
        <v>1037</v>
      </c>
      <c r="C21" s="205" t="s">
        <v>1032</v>
      </c>
      <c r="D21" s="205">
        <v>1</v>
      </c>
      <c r="E21" s="205">
        <v>8</v>
      </c>
      <c r="F21" s="205">
        <v>0</v>
      </c>
      <c r="G21" s="205">
        <v>0</v>
      </c>
      <c r="H21" s="205" t="s">
        <v>546</v>
      </c>
      <c r="I21" s="205">
        <v>8</v>
      </c>
    </row>
    <row r="22" spans="1:9" ht="14.1" customHeight="1">
      <c r="A22" s="201">
        <v>4202221500</v>
      </c>
      <c r="B22" s="207" t="s">
        <v>1038</v>
      </c>
      <c r="C22" s="205" t="s">
        <v>1032</v>
      </c>
      <c r="D22" s="205">
        <v>3</v>
      </c>
      <c r="E22" s="205">
        <v>1</v>
      </c>
      <c r="F22" s="205">
        <v>0</v>
      </c>
      <c r="G22" s="205">
        <v>0</v>
      </c>
      <c r="H22" s="205" t="s">
        <v>546</v>
      </c>
      <c r="I22" s="205">
        <v>1</v>
      </c>
    </row>
    <row r="23" spans="1:9" ht="14.1" customHeight="1">
      <c r="A23" s="201">
        <v>4901990065</v>
      </c>
      <c r="B23" s="207" t="s">
        <v>1039</v>
      </c>
      <c r="C23" s="205" t="s">
        <v>1032</v>
      </c>
      <c r="D23" s="205">
        <v>6</v>
      </c>
      <c r="E23" s="205">
        <v>3</v>
      </c>
      <c r="F23" s="205">
        <v>0</v>
      </c>
      <c r="G23" s="205">
        <v>0</v>
      </c>
      <c r="H23" s="205" t="s">
        <v>546</v>
      </c>
      <c r="I23" s="205">
        <v>3</v>
      </c>
    </row>
    <row r="24" spans="1:9" ht="14.1" customHeight="1">
      <c r="A24" s="201">
        <v>4901990093</v>
      </c>
      <c r="B24" s="207" t="s">
        <v>1040</v>
      </c>
      <c r="C24" s="205" t="s">
        <v>1032</v>
      </c>
      <c r="D24" s="205">
        <v>40</v>
      </c>
      <c r="E24" s="205">
        <v>3</v>
      </c>
      <c r="F24" s="205">
        <v>0</v>
      </c>
      <c r="G24" s="205">
        <v>0</v>
      </c>
      <c r="H24" s="205" t="s">
        <v>546</v>
      </c>
      <c r="I24" s="205">
        <v>3</v>
      </c>
    </row>
    <row r="25" spans="1:9" ht="14.1" customHeight="1">
      <c r="A25" s="201">
        <v>4907000000</v>
      </c>
      <c r="B25" s="207" t="s">
        <v>1041</v>
      </c>
      <c r="C25" s="205" t="s">
        <v>1023</v>
      </c>
      <c r="D25" s="205">
        <v>1</v>
      </c>
      <c r="E25" s="205">
        <v>3</v>
      </c>
      <c r="F25" s="205">
        <v>0</v>
      </c>
      <c r="G25" s="205">
        <v>0</v>
      </c>
      <c r="H25" s="205" t="s">
        <v>546</v>
      </c>
      <c r="I25" s="205">
        <v>3</v>
      </c>
    </row>
    <row r="26" spans="1:9" ht="14.1" customHeight="1">
      <c r="A26" s="201">
        <v>5608110090</v>
      </c>
      <c r="B26" s="207" t="s">
        <v>1042</v>
      </c>
      <c r="C26" s="205" t="s">
        <v>1023</v>
      </c>
      <c r="D26" s="205">
        <v>74</v>
      </c>
      <c r="E26" s="205" t="s">
        <v>546</v>
      </c>
      <c r="F26" s="205">
        <v>0</v>
      </c>
      <c r="G26" s="205">
        <v>0</v>
      </c>
      <c r="H26" s="205" t="s">
        <v>546</v>
      </c>
      <c r="I26" s="205" t="s">
        <v>546</v>
      </c>
    </row>
    <row r="27" spans="1:9" ht="14.1" customHeight="1">
      <c r="A27" s="201">
        <v>6109100045</v>
      </c>
      <c r="B27" s="207" t="s">
        <v>1043</v>
      </c>
      <c r="C27" s="205" t="s">
        <v>1044</v>
      </c>
      <c r="D27" s="205">
        <v>1</v>
      </c>
      <c r="E27" s="205" t="s">
        <v>546</v>
      </c>
      <c r="F27" s="205">
        <v>0</v>
      </c>
      <c r="G27" s="205">
        <v>0</v>
      </c>
      <c r="H27" s="205" t="s">
        <v>546</v>
      </c>
      <c r="I27" s="205" t="s">
        <v>546</v>
      </c>
    </row>
    <row r="28" spans="1:9" ht="14.1" customHeight="1">
      <c r="A28" s="201">
        <v>6217109530</v>
      </c>
      <c r="B28" s="207" t="s">
        <v>1045</v>
      </c>
      <c r="C28" s="205" t="s">
        <v>1044</v>
      </c>
      <c r="D28" s="205">
        <v>1</v>
      </c>
      <c r="E28" s="205">
        <v>2</v>
      </c>
      <c r="F28" s="205">
        <v>0</v>
      </c>
      <c r="G28" s="205">
        <v>0</v>
      </c>
      <c r="H28" s="205" t="s">
        <v>546</v>
      </c>
      <c r="I28" s="205">
        <v>2</v>
      </c>
    </row>
    <row r="29" spans="1:9" ht="14.1" customHeight="1">
      <c r="A29" s="201">
        <v>7102390050</v>
      </c>
      <c r="B29" s="207" t="s">
        <v>1046</v>
      </c>
      <c r="C29" s="205" t="s">
        <v>1047</v>
      </c>
      <c r="D29" s="205">
        <v>10</v>
      </c>
      <c r="E29" s="205">
        <v>8</v>
      </c>
      <c r="F29" s="205">
        <v>0</v>
      </c>
      <c r="G29" s="205">
        <v>0</v>
      </c>
      <c r="H29" s="205" t="s">
        <v>546</v>
      </c>
      <c r="I29" s="205">
        <v>8</v>
      </c>
    </row>
    <row r="30" spans="1:9" ht="14.1" customHeight="1">
      <c r="A30" s="201">
        <v>7112990100</v>
      </c>
      <c r="B30" s="207" t="s">
        <v>1048</v>
      </c>
      <c r="C30" s="205" t="s">
        <v>1049</v>
      </c>
      <c r="D30" s="215">
        <v>58737</v>
      </c>
      <c r="E30" s="205">
        <v>13</v>
      </c>
      <c r="F30" s="205" t="s">
        <v>546</v>
      </c>
      <c r="G30" s="205">
        <v>13</v>
      </c>
      <c r="H30" s="205">
        <v>0</v>
      </c>
      <c r="I30" s="205">
        <v>0</v>
      </c>
    </row>
    <row r="31" spans="1:9" ht="14.1" customHeight="1">
      <c r="A31" s="201">
        <v>7113195090</v>
      </c>
      <c r="B31" s="207" t="s">
        <v>1050</v>
      </c>
      <c r="C31" s="205" t="s">
        <v>1049</v>
      </c>
      <c r="D31" s="215">
        <v>2041</v>
      </c>
      <c r="E31" s="205">
        <v>6</v>
      </c>
      <c r="F31" s="205">
        <v>0</v>
      </c>
      <c r="G31" s="205">
        <v>0</v>
      </c>
      <c r="H31" s="205" t="s">
        <v>546</v>
      </c>
      <c r="I31" s="205">
        <v>6</v>
      </c>
    </row>
    <row r="32" spans="1:9" ht="14.1" customHeight="1">
      <c r="A32" s="201">
        <v>7204490020</v>
      </c>
      <c r="B32" s="207" t="s">
        <v>1051</v>
      </c>
      <c r="C32" s="205" t="s">
        <v>1052</v>
      </c>
      <c r="D32" s="205">
        <v>23</v>
      </c>
      <c r="E32" s="205">
        <v>5</v>
      </c>
      <c r="F32" s="205">
        <v>23</v>
      </c>
      <c r="G32" s="205">
        <v>5</v>
      </c>
      <c r="H32" s="205">
        <v>0</v>
      </c>
      <c r="I32" s="205">
        <v>0</v>
      </c>
    </row>
    <row r="33" spans="1:9" ht="14.1" customHeight="1">
      <c r="A33" s="201">
        <v>7204490080</v>
      </c>
      <c r="B33" s="207" t="s">
        <v>1053</v>
      </c>
      <c r="C33" s="205" t="s">
        <v>1052</v>
      </c>
      <c r="D33" s="205">
        <v>149</v>
      </c>
      <c r="E33" s="205">
        <v>30</v>
      </c>
      <c r="F33" s="205">
        <v>153</v>
      </c>
      <c r="G33" s="205">
        <v>30</v>
      </c>
      <c r="H33" s="205">
        <v>0</v>
      </c>
      <c r="I33" s="205">
        <v>0</v>
      </c>
    </row>
    <row r="34" spans="1:9" ht="15.75" customHeight="1">
      <c r="A34" s="208">
        <v>7404003055</v>
      </c>
      <c r="B34" s="209" t="s">
        <v>1054</v>
      </c>
      <c r="C34" s="213" t="s">
        <v>1023</v>
      </c>
      <c r="D34" s="216">
        <v>1476</v>
      </c>
      <c r="E34" s="213">
        <v>3</v>
      </c>
      <c r="F34" s="213">
        <v>2</v>
      </c>
      <c r="G34" s="213">
        <v>3</v>
      </c>
      <c r="H34" s="213">
        <v>0</v>
      </c>
      <c r="I34" s="213">
        <v>0</v>
      </c>
    </row>
    <row r="35" spans="1:9" ht="14.25" customHeight="1">
      <c r="A35" s="2045" t="s">
        <v>1055</v>
      </c>
      <c r="B35" s="2045"/>
      <c r="C35" s="2045"/>
      <c r="D35" s="2045"/>
      <c r="E35" s="2045"/>
      <c r="F35" s="2045"/>
      <c r="G35" s="2045"/>
      <c r="H35" s="2"/>
      <c r="I35" s="2"/>
    </row>
    <row r="36" spans="1:9" ht="12.95" customHeight="1">
      <c r="A36" s="2045" t="s">
        <v>1056</v>
      </c>
      <c r="B36" s="2045"/>
      <c r="C36" s="2045"/>
      <c r="D36" s="2045"/>
      <c r="E36" s="14"/>
      <c r="F36" s="14"/>
      <c r="G36" s="14"/>
      <c r="H36" s="2"/>
      <c r="I36" s="2"/>
    </row>
    <row r="37" spans="1:9" ht="12.95" customHeight="1">
      <c r="A37" s="2"/>
      <c r="B37" s="2"/>
      <c r="C37" s="2"/>
      <c r="D37" s="2"/>
      <c r="E37" s="2"/>
      <c r="F37" s="2"/>
      <c r="G37" s="2"/>
      <c r="H37" s="2"/>
      <c r="I37" s="2"/>
    </row>
    <row r="38" spans="1:9" ht="9" customHeight="1">
      <c r="A38" s="3"/>
      <c r="B38" s="2"/>
      <c r="C38" s="3"/>
      <c r="D38" s="2"/>
      <c r="E38" s="2"/>
      <c r="F38" s="2"/>
      <c r="G38" s="2"/>
      <c r="H38" s="2"/>
      <c r="I38" s="2"/>
    </row>
    <row r="39" spans="1:9" ht="21.75" customHeight="1">
      <c r="A39" s="112" t="s">
        <v>1057</v>
      </c>
      <c r="B39" s="245"/>
      <c r="C39" s="245"/>
      <c r="D39" s="245"/>
      <c r="E39" s="3"/>
      <c r="F39" s="3"/>
      <c r="G39" s="3"/>
      <c r="H39" s="3"/>
      <c r="I39" s="3"/>
    </row>
    <row r="40" spans="1:9" ht="14.1" customHeight="1">
      <c r="A40" s="108"/>
      <c r="B40" s="191"/>
      <c r="C40" s="114"/>
      <c r="D40" s="2023" t="s">
        <v>1157</v>
      </c>
      <c r="E40" s="2025"/>
      <c r="F40" s="2031" t="s">
        <v>1009</v>
      </c>
      <c r="G40" s="2031"/>
      <c r="H40" s="2330" t="s">
        <v>1010</v>
      </c>
      <c r="I40" s="2331"/>
    </row>
    <row r="41" spans="1:9" ht="14.1" customHeight="1">
      <c r="A41" s="3"/>
      <c r="B41" s="232"/>
      <c r="C41" s="201" t="s">
        <v>1011</v>
      </c>
      <c r="D41" s="2328"/>
      <c r="E41" s="2329"/>
      <c r="F41" s="2031"/>
      <c r="G41" s="2031"/>
      <c r="H41" s="2330"/>
      <c r="I41" s="2331"/>
    </row>
    <row r="42" spans="1:9" ht="14.1" customHeight="1">
      <c r="A42" s="3"/>
      <c r="B42" s="232"/>
      <c r="C42" s="201" t="s">
        <v>1013</v>
      </c>
      <c r="D42" s="221" t="s">
        <v>1014</v>
      </c>
      <c r="E42" s="226" t="s">
        <v>1015</v>
      </c>
      <c r="F42" s="217" t="s">
        <v>1012</v>
      </c>
      <c r="G42" s="225" t="s">
        <v>1015</v>
      </c>
      <c r="H42" s="201" t="s">
        <v>1012</v>
      </c>
      <c r="I42" s="197" t="s">
        <v>1015</v>
      </c>
    </row>
    <row r="43" spans="1:9" ht="15" customHeight="1">
      <c r="A43" s="208" t="s">
        <v>1017</v>
      </c>
      <c r="B43" s="211" t="s">
        <v>1018</v>
      </c>
      <c r="C43" s="208" t="s">
        <v>1019</v>
      </c>
      <c r="D43" s="222" t="s">
        <v>1019</v>
      </c>
      <c r="E43" s="223" t="s">
        <v>1020</v>
      </c>
      <c r="F43" s="208" t="s">
        <v>1016</v>
      </c>
      <c r="G43" s="223" t="s">
        <v>1020</v>
      </c>
      <c r="H43" s="208" t="s">
        <v>1016</v>
      </c>
      <c r="I43" s="224" t="s">
        <v>1020</v>
      </c>
    </row>
    <row r="44" spans="1:9" ht="12.95" customHeight="1">
      <c r="A44" s="201"/>
      <c r="B44" s="207"/>
      <c r="C44" s="201"/>
      <c r="D44" s="201"/>
      <c r="E44" s="249"/>
      <c r="F44" s="201"/>
      <c r="G44" s="249"/>
      <c r="H44" s="201"/>
      <c r="I44" s="201"/>
    </row>
    <row r="45" spans="1:9" ht="14.1" customHeight="1">
      <c r="A45" s="201">
        <v>7610900080</v>
      </c>
      <c r="B45" s="207" t="s">
        <v>1058</v>
      </c>
      <c r="C45" s="205" t="s">
        <v>1023</v>
      </c>
      <c r="D45" s="215">
        <v>2268</v>
      </c>
      <c r="E45" s="205">
        <v>55</v>
      </c>
      <c r="F45" s="205">
        <v>2</v>
      </c>
      <c r="G45" s="205">
        <v>55</v>
      </c>
      <c r="H45" s="205">
        <v>0</v>
      </c>
      <c r="I45" s="205">
        <v>0</v>
      </c>
    </row>
    <row r="46" spans="1:9" ht="14.1" customHeight="1">
      <c r="A46" s="201">
        <v>7907006000</v>
      </c>
      <c r="B46" s="207" t="s">
        <v>1059</v>
      </c>
      <c r="C46" s="205" t="s">
        <v>1023</v>
      </c>
      <c r="D46" s="205">
        <v>40</v>
      </c>
      <c r="E46" s="205">
        <v>5</v>
      </c>
      <c r="F46" s="205">
        <v>0</v>
      </c>
      <c r="G46" s="205">
        <v>0</v>
      </c>
      <c r="H46" s="205" t="s">
        <v>546</v>
      </c>
      <c r="I46" s="205">
        <v>5</v>
      </c>
    </row>
    <row r="47" spans="1:9" ht="14.1" customHeight="1">
      <c r="A47" s="201">
        <v>8204200000</v>
      </c>
      <c r="B47" s="207" t="s">
        <v>1060</v>
      </c>
      <c r="C47" s="205" t="s">
        <v>1032</v>
      </c>
      <c r="D47" s="205">
        <v>1</v>
      </c>
      <c r="E47" s="205">
        <v>4</v>
      </c>
      <c r="F47" s="205">
        <v>0</v>
      </c>
      <c r="G47" s="205">
        <v>0</v>
      </c>
      <c r="H47" s="205" t="s">
        <v>546</v>
      </c>
      <c r="I47" s="205">
        <v>4</v>
      </c>
    </row>
    <row r="48" spans="1:9" ht="14.1" customHeight="1">
      <c r="A48" s="201">
        <v>8207502030</v>
      </c>
      <c r="B48" s="207" t="s">
        <v>1061</v>
      </c>
      <c r="C48" s="205" t="s">
        <v>1032</v>
      </c>
      <c r="D48" s="205">
        <v>9</v>
      </c>
      <c r="E48" s="205">
        <v>6</v>
      </c>
      <c r="F48" s="205">
        <v>0</v>
      </c>
      <c r="G48" s="205">
        <v>0</v>
      </c>
      <c r="H48" s="205" t="s">
        <v>546</v>
      </c>
      <c r="I48" s="205">
        <v>6</v>
      </c>
    </row>
    <row r="49" spans="1:9" ht="14.1" customHeight="1">
      <c r="A49" s="201">
        <v>8302496085</v>
      </c>
      <c r="B49" s="207" t="s">
        <v>1062</v>
      </c>
      <c r="C49" s="205" t="s">
        <v>1023</v>
      </c>
      <c r="D49" s="205">
        <v>81</v>
      </c>
      <c r="E49" s="205">
        <v>4</v>
      </c>
      <c r="F49" s="205">
        <v>0</v>
      </c>
      <c r="G49" s="205">
        <v>0</v>
      </c>
      <c r="H49" s="205" t="s">
        <v>546</v>
      </c>
      <c r="I49" s="205">
        <v>4</v>
      </c>
    </row>
    <row r="50" spans="1:9" ht="14.1" customHeight="1">
      <c r="A50" s="201">
        <v>8306290000</v>
      </c>
      <c r="B50" s="207" t="s">
        <v>1063</v>
      </c>
      <c r="C50" s="205" t="s">
        <v>1023</v>
      </c>
      <c r="D50" s="205">
        <v>1</v>
      </c>
      <c r="E50" s="205">
        <v>10</v>
      </c>
      <c r="F50" s="205">
        <v>0</v>
      </c>
      <c r="G50" s="205">
        <v>0</v>
      </c>
      <c r="H50" s="205" t="s">
        <v>546</v>
      </c>
      <c r="I50" s="205">
        <v>10</v>
      </c>
    </row>
    <row r="51" spans="1:9" ht="14.1" customHeight="1">
      <c r="A51" s="201">
        <v>8413702015</v>
      </c>
      <c r="B51" s="207" t="s">
        <v>1064</v>
      </c>
      <c r="C51" s="205" t="s">
        <v>1032</v>
      </c>
      <c r="D51" s="205">
        <v>10</v>
      </c>
      <c r="E51" s="205">
        <v>11</v>
      </c>
      <c r="F51" s="205">
        <v>0</v>
      </c>
      <c r="G51" s="205">
        <v>0</v>
      </c>
      <c r="H51" s="205" t="s">
        <v>546</v>
      </c>
      <c r="I51" s="205">
        <v>11</v>
      </c>
    </row>
    <row r="52" spans="1:9" ht="14.1" customHeight="1">
      <c r="A52" s="201">
        <v>8413919096</v>
      </c>
      <c r="B52" s="207" t="s">
        <v>1065</v>
      </c>
      <c r="C52" s="205" t="s">
        <v>1023</v>
      </c>
      <c r="D52" s="205">
        <v>42</v>
      </c>
      <c r="E52" s="205">
        <v>5</v>
      </c>
      <c r="F52" s="205">
        <v>0</v>
      </c>
      <c r="G52" s="205">
        <v>0</v>
      </c>
      <c r="H52" s="205" t="s">
        <v>546</v>
      </c>
      <c r="I52" s="205">
        <v>5</v>
      </c>
    </row>
    <row r="53" spans="1:9" ht="14.1" customHeight="1">
      <c r="A53" s="201">
        <v>8414596595</v>
      </c>
      <c r="B53" s="207" t="s">
        <v>1066</v>
      </c>
      <c r="C53" s="205" t="s">
        <v>1032</v>
      </c>
      <c r="D53" s="205">
        <v>1</v>
      </c>
      <c r="E53" s="205">
        <v>5</v>
      </c>
      <c r="F53" s="205">
        <v>0</v>
      </c>
      <c r="G53" s="205">
        <v>0</v>
      </c>
      <c r="H53" s="205" t="s">
        <v>546</v>
      </c>
      <c r="I53" s="205">
        <v>5</v>
      </c>
    </row>
    <row r="54" spans="1:9" ht="14.1" customHeight="1">
      <c r="A54" s="201">
        <v>8419899580</v>
      </c>
      <c r="B54" s="207" t="s">
        <v>1067</v>
      </c>
      <c r="C54" s="205" t="s">
        <v>1032</v>
      </c>
      <c r="D54" s="205">
        <v>3</v>
      </c>
      <c r="E54" s="205">
        <v>3</v>
      </c>
      <c r="F54" s="205">
        <v>0</v>
      </c>
      <c r="G54" s="205">
        <v>0</v>
      </c>
      <c r="H54" s="205" t="s">
        <v>546</v>
      </c>
      <c r="I54" s="205">
        <v>3</v>
      </c>
    </row>
    <row r="55" spans="1:9" ht="14.1" customHeight="1">
      <c r="A55" s="201">
        <v>8431410080</v>
      </c>
      <c r="B55" s="207" t="s">
        <v>1068</v>
      </c>
      <c r="C55" s="205" t="s">
        <v>1032</v>
      </c>
      <c r="D55" s="205">
        <v>69</v>
      </c>
      <c r="E55" s="205">
        <v>209</v>
      </c>
      <c r="F55" s="205">
        <v>44</v>
      </c>
      <c r="G55" s="205">
        <v>209</v>
      </c>
      <c r="H55" s="205">
        <v>0</v>
      </c>
      <c r="I55" s="205">
        <v>0</v>
      </c>
    </row>
    <row r="56" spans="1:9" ht="14.1" customHeight="1">
      <c r="A56" s="201">
        <v>8431438090</v>
      </c>
      <c r="B56" s="207" t="s">
        <v>1069</v>
      </c>
      <c r="C56" s="205" t="s">
        <v>1032</v>
      </c>
      <c r="D56" s="205">
        <v>1</v>
      </c>
      <c r="E56" s="205">
        <v>6</v>
      </c>
      <c r="F56" s="205">
        <v>0</v>
      </c>
      <c r="G56" s="205">
        <v>0</v>
      </c>
      <c r="H56" s="205" t="s">
        <v>546</v>
      </c>
      <c r="I56" s="205">
        <v>6</v>
      </c>
    </row>
    <row r="57" spans="1:9" ht="14.1" customHeight="1">
      <c r="A57" s="201">
        <v>8450906000</v>
      </c>
      <c r="B57" s="207" t="s">
        <v>1070</v>
      </c>
      <c r="C57" s="205" t="s">
        <v>1032</v>
      </c>
      <c r="D57" s="205">
        <v>2</v>
      </c>
      <c r="E57" s="205">
        <v>2</v>
      </c>
      <c r="F57" s="205">
        <v>0</v>
      </c>
      <c r="G57" s="205">
        <v>0</v>
      </c>
      <c r="H57" s="205" t="s">
        <v>546</v>
      </c>
      <c r="I57" s="205">
        <v>2</v>
      </c>
    </row>
    <row r="58" spans="1:9" ht="14.1" customHeight="1">
      <c r="A58" s="201">
        <v>8471300100</v>
      </c>
      <c r="B58" s="207" t="s">
        <v>1071</v>
      </c>
      <c r="C58" s="205" t="s">
        <v>1032</v>
      </c>
      <c r="D58" s="205">
        <v>38</v>
      </c>
      <c r="E58" s="205">
        <v>20</v>
      </c>
      <c r="F58" s="205">
        <v>0</v>
      </c>
      <c r="G58" s="205">
        <v>0</v>
      </c>
      <c r="H58" s="205" t="s">
        <v>546</v>
      </c>
      <c r="I58" s="205">
        <v>20</v>
      </c>
    </row>
    <row r="59" spans="1:9" ht="14.1" customHeight="1">
      <c r="A59" s="201">
        <v>8471500150</v>
      </c>
      <c r="B59" s="207" t="s">
        <v>1072</v>
      </c>
      <c r="C59" s="205" t="s">
        <v>1032</v>
      </c>
      <c r="D59" s="205">
        <v>1</v>
      </c>
      <c r="E59" s="205">
        <v>10</v>
      </c>
      <c r="F59" s="205">
        <v>0</v>
      </c>
      <c r="G59" s="205">
        <v>0</v>
      </c>
      <c r="H59" s="205" t="s">
        <v>546</v>
      </c>
      <c r="I59" s="205">
        <v>10</v>
      </c>
    </row>
    <row r="60" spans="1:9" ht="14.1" customHeight="1">
      <c r="A60" s="201">
        <v>8471704065</v>
      </c>
      <c r="B60" s="207" t="s">
        <v>1073</v>
      </c>
      <c r="C60" s="205" t="s">
        <v>1032</v>
      </c>
      <c r="D60" s="205">
        <v>1</v>
      </c>
      <c r="E60" s="205">
        <v>5</v>
      </c>
      <c r="F60" s="205">
        <v>0</v>
      </c>
      <c r="G60" s="205">
        <v>0</v>
      </c>
      <c r="H60" s="205" t="s">
        <v>546</v>
      </c>
      <c r="I60" s="205">
        <v>5</v>
      </c>
    </row>
    <row r="61" spans="1:9" ht="14.1" customHeight="1">
      <c r="A61" s="201">
        <v>8471709000</v>
      </c>
      <c r="B61" s="207" t="s">
        <v>1074</v>
      </c>
      <c r="C61" s="205" t="s">
        <v>1032</v>
      </c>
      <c r="D61" s="205">
        <v>1</v>
      </c>
      <c r="E61" s="205">
        <v>20</v>
      </c>
      <c r="F61" s="205">
        <v>0</v>
      </c>
      <c r="G61" s="205">
        <v>0</v>
      </c>
      <c r="H61" s="205" t="s">
        <v>546</v>
      </c>
      <c r="I61" s="205">
        <v>20</v>
      </c>
    </row>
    <row r="62" spans="1:9" ht="14.1" customHeight="1">
      <c r="A62" s="201">
        <v>8471900000</v>
      </c>
      <c r="B62" s="207" t="s">
        <v>1075</v>
      </c>
      <c r="C62" s="205" t="s">
        <v>1032</v>
      </c>
      <c r="D62" s="205">
        <v>2</v>
      </c>
      <c r="E62" s="205">
        <v>17</v>
      </c>
      <c r="F62" s="205">
        <v>0</v>
      </c>
      <c r="G62" s="205">
        <v>0</v>
      </c>
      <c r="H62" s="205" t="s">
        <v>546</v>
      </c>
      <c r="I62" s="205">
        <v>17</v>
      </c>
    </row>
    <row r="63" spans="1:9" ht="14.1" customHeight="1">
      <c r="A63" s="201">
        <v>8473305100</v>
      </c>
      <c r="B63" s="207" t="s">
        <v>1076</v>
      </c>
      <c r="C63" s="205" t="s">
        <v>1032</v>
      </c>
      <c r="D63" s="205">
        <v>1</v>
      </c>
      <c r="E63" s="205">
        <v>3</v>
      </c>
      <c r="F63" s="205">
        <v>0</v>
      </c>
      <c r="G63" s="205">
        <v>0</v>
      </c>
      <c r="H63" s="205" t="s">
        <v>546</v>
      </c>
      <c r="I63" s="205">
        <v>3</v>
      </c>
    </row>
    <row r="64" spans="1:9" ht="14.1" customHeight="1">
      <c r="A64" s="201">
        <v>8479100080</v>
      </c>
      <c r="B64" s="207" t="s">
        <v>1077</v>
      </c>
      <c r="C64" s="205" t="s">
        <v>1032</v>
      </c>
      <c r="D64" s="205">
        <v>119</v>
      </c>
      <c r="E64" s="205">
        <v>26</v>
      </c>
      <c r="F64" s="205">
        <v>2</v>
      </c>
      <c r="G64" s="205">
        <v>26</v>
      </c>
      <c r="H64" s="205">
        <v>0</v>
      </c>
      <c r="I64" s="205">
        <v>0</v>
      </c>
    </row>
    <row r="65" spans="1:9" ht="14.1" customHeight="1">
      <c r="A65" s="201">
        <v>8479909596</v>
      </c>
      <c r="B65" s="207" t="s">
        <v>1078</v>
      </c>
      <c r="C65" s="205" t="s">
        <v>1032</v>
      </c>
      <c r="D65" s="205">
        <v>4</v>
      </c>
      <c r="E65" s="205">
        <v>13</v>
      </c>
      <c r="F65" s="205">
        <v>0</v>
      </c>
      <c r="G65" s="205">
        <v>0</v>
      </c>
      <c r="H65" s="205" t="s">
        <v>546</v>
      </c>
      <c r="I65" s="205">
        <v>13</v>
      </c>
    </row>
    <row r="66" spans="1:9" ht="14.1" customHeight="1">
      <c r="A66" s="201">
        <v>8501202000</v>
      </c>
      <c r="B66" s="207" t="s">
        <v>1079</v>
      </c>
      <c r="C66" s="205" t="s">
        <v>1032</v>
      </c>
      <c r="D66" s="215">
        <v>22702</v>
      </c>
      <c r="E66" s="215">
        <v>1004</v>
      </c>
      <c r="F66" s="205">
        <v>0</v>
      </c>
      <c r="G66" s="205">
        <v>0</v>
      </c>
      <c r="H66" s="205">
        <v>2</v>
      </c>
      <c r="I66" s="215">
        <v>1004</v>
      </c>
    </row>
    <row r="67" spans="1:9" ht="14.1" customHeight="1">
      <c r="A67" s="201">
        <v>8501620100</v>
      </c>
      <c r="B67" s="207" t="s">
        <v>1080</v>
      </c>
      <c r="C67" s="205" t="s">
        <v>1032</v>
      </c>
      <c r="D67" s="205">
        <v>1</v>
      </c>
      <c r="E67" s="205">
        <v>725</v>
      </c>
      <c r="F67" s="205">
        <v>0</v>
      </c>
      <c r="G67" s="205">
        <v>0</v>
      </c>
      <c r="H67" s="205" t="s">
        <v>546</v>
      </c>
      <c r="I67" s="205">
        <v>725</v>
      </c>
    </row>
    <row r="68" spans="1:9" ht="14.1" customHeight="1">
      <c r="A68" s="201">
        <v>8501640150</v>
      </c>
      <c r="B68" s="207" t="s">
        <v>1081</v>
      </c>
      <c r="C68" s="205" t="s">
        <v>1032</v>
      </c>
      <c r="D68" s="205">
        <v>2</v>
      </c>
      <c r="E68" s="205">
        <v>6</v>
      </c>
      <c r="F68" s="205">
        <v>0</v>
      </c>
      <c r="G68" s="205">
        <v>0</v>
      </c>
      <c r="H68" s="205" t="s">
        <v>546</v>
      </c>
      <c r="I68" s="205">
        <v>6</v>
      </c>
    </row>
    <row r="69" spans="1:9" ht="14.1" customHeight="1">
      <c r="A69" s="201">
        <v>8504406018</v>
      </c>
      <c r="B69" s="207" t="s">
        <v>1082</v>
      </c>
      <c r="C69" s="205" t="s">
        <v>1032</v>
      </c>
      <c r="D69" s="205">
        <v>2</v>
      </c>
      <c r="E69" s="205">
        <v>5</v>
      </c>
      <c r="F69" s="205">
        <v>0</v>
      </c>
      <c r="G69" s="205">
        <v>0</v>
      </c>
      <c r="H69" s="205" t="s">
        <v>546</v>
      </c>
      <c r="I69" s="205">
        <v>5</v>
      </c>
    </row>
    <row r="70" spans="1:9" ht="14.1" customHeight="1">
      <c r="A70" s="201">
        <v>8504409580</v>
      </c>
      <c r="B70" s="207" t="s">
        <v>1083</v>
      </c>
      <c r="C70" s="205" t="s">
        <v>1032</v>
      </c>
      <c r="D70" s="205">
        <v>1</v>
      </c>
      <c r="E70" s="205">
        <v>6</v>
      </c>
      <c r="F70" s="205">
        <v>0</v>
      </c>
      <c r="G70" s="205">
        <v>0</v>
      </c>
      <c r="H70" s="205" t="s">
        <v>546</v>
      </c>
      <c r="I70" s="205">
        <v>6</v>
      </c>
    </row>
    <row r="71" spans="1:9" ht="14.1" customHeight="1">
      <c r="A71" s="201">
        <v>8516710080</v>
      </c>
      <c r="B71" s="207" t="s">
        <v>1084</v>
      </c>
      <c r="C71" s="205" t="s">
        <v>1032</v>
      </c>
      <c r="D71" s="205">
        <v>1</v>
      </c>
      <c r="E71" s="205">
        <v>2</v>
      </c>
      <c r="F71" s="205">
        <v>0</v>
      </c>
      <c r="G71" s="205">
        <v>0</v>
      </c>
      <c r="H71" s="205" t="s">
        <v>546</v>
      </c>
      <c r="I71" s="205">
        <v>2</v>
      </c>
    </row>
    <row r="72" spans="1:9" ht="15.75" customHeight="1">
      <c r="A72" s="208">
        <v>8516808000</v>
      </c>
      <c r="B72" s="209" t="s">
        <v>1085</v>
      </c>
      <c r="C72" s="213" t="s">
        <v>1032</v>
      </c>
      <c r="D72" s="213">
        <v>2</v>
      </c>
      <c r="E72" s="213">
        <v>4</v>
      </c>
      <c r="F72" s="213">
        <v>0</v>
      </c>
      <c r="G72" s="213">
        <v>0</v>
      </c>
      <c r="H72" s="213" t="s">
        <v>546</v>
      </c>
      <c r="I72" s="213">
        <v>4</v>
      </c>
    </row>
    <row r="73" spans="1:9" ht="12.95" customHeight="1">
      <c r="A73" s="3"/>
      <c r="B73" s="2"/>
      <c r="C73" s="3"/>
      <c r="D73" s="2"/>
      <c r="E73" s="2"/>
      <c r="F73" s="2"/>
      <c r="G73" s="2"/>
      <c r="H73" s="2"/>
      <c r="I73" s="2"/>
    </row>
    <row r="74" spans="1:9" ht="10.5" customHeight="1">
      <c r="A74" s="3"/>
      <c r="B74" s="2"/>
      <c r="C74" s="3"/>
      <c r="D74" s="2"/>
      <c r="E74" s="2"/>
      <c r="F74" s="2"/>
      <c r="G74" s="2"/>
      <c r="H74" s="2"/>
      <c r="I74" s="2"/>
    </row>
    <row r="75" spans="1:9" ht="18" customHeight="1">
      <c r="A75" s="112" t="s">
        <v>1086</v>
      </c>
      <c r="B75" s="245"/>
      <c r="C75" s="245"/>
      <c r="D75" s="245"/>
      <c r="E75" s="3"/>
      <c r="F75" s="90"/>
      <c r="G75" s="90"/>
      <c r="H75" s="90"/>
      <c r="I75" s="90"/>
    </row>
    <row r="76" spans="1:9" ht="14.1" customHeight="1">
      <c r="A76" s="8"/>
      <c r="B76" s="188"/>
      <c r="C76" s="41"/>
      <c r="D76" s="2023" t="s">
        <v>1157</v>
      </c>
      <c r="E76" s="2025"/>
      <c r="F76" s="2023" t="s">
        <v>1009</v>
      </c>
      <c r="G76" s="2025"/>
      <c r="H76" s="2324" t="s">
        <v>1010</v>
      </c>
      <c r="I76" s="2325"/>
    </row>
    <row r="77" spans="1:9" ht="14.1" customHeight="1">
      <c r="A77" s="2"/>
      <c r="B77" s="210"/>
      <c r="C77" s="201" t="s">
        <v>1011</v>
      </c>
      <c r="D77" s="2328"/>
      <c r="E77" s="2329"/>
      <c r="F77" s="2328"/>
      <c r="G77" s="2329"/>
      <c r="H77" s="2326"/>
      <c r="I77" s="2327"/>
    </row>
    <row r="78" spans="1:9" ht="14.1" customHeight="1">
      <c r="A78" s="2"/>
      <c r="B78" s="210"/>
      <c r="C78" s="201" t="s">
        <v>1013</v>
      </c>
      <c r="D78" s="221" t="s">
        <v>1014</v>
      </c>
      <c r="E78" s="226" t="s">
        <v>1015</v>
      </c>
      <c r="F78" s="217" t="s">
        <v>1012</v>
      </c>
      <c r="G78" s="225" t="s">
        <v>1015</v>
      </c>
      <c r="H78" s="201" t="s">
        <v>1012</v>
      </c>
      <c r="I78" s="197" t="s">
        <v>1015</v>
      </c>
    </row>
    <row r="79" spans="1:9" ht="14.25" customHeight="1">
      <c r="A79" s="201" t="s">
        <v>1017</v>
      </c>
      <c r="B79" s="256" t="s">
        <v>1018</v>
      </c>
      <c r="C79" s="201" t="s">
        <v>1019</v>
      </c>
      <c r="D79" s="221" t="s">
        <v>1019</v>
      </c>
      <c r="E79" s="257" t="s">
        <v>1020</v>
      </c>
      <c r="F79" s="201" t="s">
        <v>1016</v>
      </c>
      <c r="G79" s="257" t="s">
        <v>1020</v>
      </c>
      <c r="H79" s="201" t="s">
        <v>1016</v>
      </c>
      <c r="I79" s="258" t="s">
        <v>1020</v>
      </c>
    </row>
    <row r="80" spans="1:9" ht="12.95" customHeight="1">
      <c r="A80" s="217"/>
      <c r="B80" s="218"/>
      <c r="C80" s="217"/>
      <c r="D80" s="217"/>
      <c r="E80" s="220"/>
      <c r="F80" s="217"/>
      <c r="G80" s="220"/>
      <c r="H80" s="217"/>
      <c r="I80" s="217"/>
    </row>
    <row r="81" spans="1:9" ht="14.1" customHeight="1">
      <c r="A81" s="206">
        <v>8517130000</v>
      </c>
      <c r="B81" s="207" t="s">
        <v>1087</v>
      </c>
      <c r="C81" s="3"/>
      <c r="D81" s="3"/>
      <c r="E81" s="3"/>
      <c r="F81" s="3"/>
      <c r="G81" s="3"/>
      <c r="H81" s="3"/>
      <c r="I81" s="3"/>
    </row>
    <row r="82" spans="1:9" ht="14.1" customHeight="1">
      <c r="A82" s="206">
        <v>8517140080</v>
      </c>
      <c r="B82" s="202" t="s">
        <v>1088</v>
      </c>
      <c r="C82" s="205" t="s">
        <v>1032</v>
      </c>
      <c r="D82" s="204">
        <v>4</v>
      </c>
      <c r="E82" s="204">
        <v>52</v>
      </c>
      <c r="F82" s="204">
        <v>0</v>
      </c>
      <c r="G82" s="204">
        <v>0</v>
      </c>
      <c r="H82" s="204" t="s">
        <v>546</v>
      </c>
      <c r="I82" s="204">
        <v>52</v>
      </c>
    </row>
    <row r="83" spans="1:9" ht="14.1" customHeight="1">
      <c r="A83" s="206">
        <v>8517620090</v>
      </c>
      <c r="B83" s="202" t="s">
        <v>1089</v>
      </c>
      <c r="C83" s="205" t="s">
        <v>1023</v>
      </c>
      <c r="D83" s="204">
        <v>240</v>
      </c>
      <c r="E83" s="204">
        <v>23</v>
      </c>
      <c r="F83" s="204">
        <v>0</v>
      </c>
      <c r="G83" s="204">
        <v>0</v>
      </c>
      <c r="H83" s="204" t="s">
        <v>546</v>
      </c>
      <c r="I83" s="204">
        <v>23</v>
      </c>
    </row>
    <row r="84" spans="1:9" ht="14.1" customHeight="1">
      <c r="A84" s="206">
        <v>8517790000</v>
      </c>
      <c r="B84" s="202" t="s">
        <v>1090</v>
      </c>
      <c r="C84" s="205" t="s">
        <v>1032</v>
      </c>
      <c r="D84" s="204">
        <v>1</v>
      </c>
      <c r="E84" s="204">
        <v>4</v>
      </c>
      <c r="F84" s="204">
        <v>0</v>
      </c>
      <c r="G84" s="204">
        <v>0</v>
      </c>
      <c r="H84" s="204" t="s">
        <v>546</v>
      </c>
      <c r="I84" s="204">
        <v>4</v>
      </c>
    </row>
    <row r="85" spans="1:9" ht="14.1" customHeight="1">
      <c r="A85" s="206">
        <v>8523802000</v>
      </c>
      <c r="B85" s="202" t="s">
        <v>1091</v>
      </c>
      <c r="C85" s="205" t="s">
        <v>1032</v>
      </c>
      <c r="D85" s="204">
        <v>26</v>
      </c>
      <c r="E85" s="204">
        <v>8</v>
      </c>
      <c r="F85" s="204">
        <v>0</v>
      </c>
      <c r="G85" s="204">
        <v>0</v>
      </c>
      <c r="H85" s="204" t="s">
        <v>546</v>
      </c>
      <c r="I85" s="204">
        <v>8</v>
      </c>
    </row>
    <row r="86" spans="1:9" ht="14.1" customHeight="1">
      <c r="A86" s="206">
        <v>8525895050</v>
      </c>
      <c r="B86" s="202" t="s">
        <v>1092</v>
      </c>
      <c r="C86" s="205" t="s">
        <v>1032</v>
      </c>
      <c r="D86" s="204">
        <v>139</v>
      </c>
      <c r="E86" s="204">
        <v>70</v>
      </c>
      <c r="F86" s="204">
        <v>0</v>
      </c>
      <c r="G86" s="204">
        <v>0</v>
      </c>
      <c r="H86" s="204" t="s">
        <v>546</v>
      </c>
      <c r="I86" s="204">
        <v>70</v>
      </c>
    </row>
    <row r="87" spans="1:9" ht="14.1" customHeight="1">
      <c r="A87" s="206">
        <v>8526910020</v>
      </c>
      <c r="B87" s="202" t="s">
        <v>1093</v>
      </c>
      <c r="C87" s="205" t="s">
        <v>1032</v>
      </c>
      <c r="D87" s="204">
        <v>1</v>
      </c>
      <c r="E87" s="204">
        <v>50</v>
      </c>
      <c r="F87" s="204">
        <v>0</v>
      </c>
      <c r="G87" s="204">
        <v>0</v>
      </c>
      <c r="H87" s="204" t="s">
        <v>546</v>
      </c>
      <c r="I87" s="204">
        <v>50</v>
      </c>
    </row>
    <row r="88" spans="1:9" ht="14.1" customHeight="1">
      <c r="A88" s="206">
        <v>8527136080</v>
      </c>
      <c r="B88" s="202" t="s">
        <v>1094</v>
      </c>
      <c r="C88" s="205" t="s">
        <v>1032</v>
      </c>
      <c r="D88" s="204">
        <v>2</v>
      </c>
      <c r="E88" s="204">
        <v>2</v>
      </c>
      <c r="F88" s="204">
        <v>0</v>
      </c>
      <c r="G88" s="204">
        <v>0</v>
      </c>
      <c r="H88" s="204" t="s">
        <v>546</v>
      </c>
      <c r="I88" s="204">
        <v>2</v>
      </c>
    </row>
    <row r="89" spans="1:9" ht="14.1" customHeight="1">
      <c r="A89" s="206">
        <v>8527994000</v>
      </c>
      <c r="B89" s="202" t="s">
        <v>1095</v>
      </c>
      <c r="C89" s="205" t="s">
        <v>1032</v>
      </c>
      <c r="D89" s="204">
        <v>169</v>
      </c>
      <c r="E89" s="204">
        <v>129</v>
      </c>
      <c r="F89" s="204">
        <v>0</v>
      </c>
      <c r="G89" s="204">
        <v>0</v>
      </c>
      <c r="H89" s="204" t="s">
        <v>546</v>
      </c>
      <c r="I89" s="204">
        <v>129</v>
      </c>
    </row>
    <row r="90" spans="1:9" ht="14.1" customHeight="1">
      <c r="A90" s="206">
        <v>8531809051</v>
      </c>
      <c r="B90" s="202" t="s">
        <v>1096</v>
      </c>
      <c r="C90" s="205" t="s">
        <v>1032</v>
      </c>
      <c r="D90" s="204">
        <v>2</v>
      </c>
      <c r="E90" s="204">
        <v>3</v>
      </c>
      <c r="F90" s="204">
        <v>0</v>
      </c>
      <c r="G90" s="204">
        <v>0</v>
      </c>
      <c r="H90" s="204" t="s">
        <v>546</v>
      </c>
      <c r="I90" s="204">
        <v>3</v>
      </c>
    </row>
    <row r="91" spans="1:9" ht="14.1" customHeight="1">
      <c r="A91" s="206">
        <v>8543200000</v>
      </c>
      <c r="B91" s="202" t="s">
        <v>1097</v>
      </c>
      <c r="C91" s="205" t="s">
        <v>1032</v>
      </c>
      <c r="D91" s="204">
        <v>1</v>
      </c>
      <c r="E91" s="204">
        <v>50</v>
      </c>
      <c r="F91" s="204">
        <v>0</v>
      </c>
      <c r="G91" s="204">
        <v>0</v>
      </c>
      <c r="H91" s="204" t="s">
        <v>1098</v>
      </c>
      <c r="I91" s="204">
        <v>50</v>
      </c>
    </row>
    <row r="92" spans="1:9" ht="14.1" customHeight="1">
      <c r="A92" s="206">
        <v>8543709860</v>
      </c>
      <c r="B92" s="202" t="s">
        <v>1099</v>
      </c>
      <c r="C92" s="205" t="s">
        <v>1032</v>
      </c>
      <c r="D92" s="204">
        <v>1</v>
      </c>
      <c r="E92" s="204">
        <v>36</v>
      </c>
      <c r="F92" s="204">
        <v>0</v>
      </c>
      <c r="G92" s="204">
        <v>0</v>
      </c>
      <c r="H92" s="204" t="s">
        <v>546</v>
      </c>
      <c r="I92" s="204">
        <v>36</v>
      </c>
    </row>
    <row r="93" spans="1:9" ht="14.1" customHeight="1">
      <c r="A93" s="206">
        <v>8544422000</v>
      </c>
      <c r="B93" s="202" t="s">
        <v>1100</v>
      </c>
      <c r="C93" s="205" t="s">
        <v>1032</v>
      </c>
      <c r="D93" s="203">
        <v>22377</v>
      </c>
      <c r="E93" s="204">
        <v>236</v>
      </c>
      <c r="F93" s="204">
        <v>8</v>
      </c>
      <c r="G93" s="204">
        <v>236</v>
      </c>
      <c r="H93" s="204">
        <v>0</v>
      </c>
      <c r="I93" s="204">
        <v>0</v>
      </c>
    </row>
    <row r="94" spans="1:9" ht="14.1" customHeight="1">
      <c r="A94" s="206">
        <v>8549111040</v>
      </c>
      <c r="B94" s="202" t="s">
        <v>1101</v>
      </c>
      <c r="C94" s="205" t="s">
        <v>1032</v>
      </c>
      <c r="D94" s="203">
        <v>11752</v>
      </c>
      <c r="E94" s="204">
        <v>150</v>
      </c>
      <c r="F94" s="204">
        <v>195</v>
      </c>
      <c r="G94" s="204">
        <v>150</v>
      </c>
      <c r="H94" s="204">
        <v>0</v>
      </c>
      <c r="I94" s="204">
        <v>0</v>
      </c>
    </row>
    <row r="95" spans="1:9" ht="14.1" customHeight="1">
      <c r="A95" s="206">
        <v>8703230190</v>
      </c>
      <c r="B95" s="202" t="s">
        <v>1102</v>
      </c>
      <c r="C95" s="205" t="s">
        <v>1032</v>
      </c>
      <c r="D95" s="204">
        <v>7</v>
      </c>
      <c r="E95" s="204">
        <v>121</v>
      </c>
      <c r="F95" s="204">
        <v>11</v>
      </c>
      <c r="G95" s="204">
        <v>121</v>
      </c>
      <c r="H95" s="204">
        <v>0</v>
      </c>
      <c r="I95" s="204">
        <v>0</v>
      </c>
    </row>
    <row r="96" spans="1:9" ht="14.1" customHeight="1">
      <c r="A96" s="206">
        <v>8704310120</v>
      </c>
      <c r="B96" s="202" t="s">
        <v>1103</v>
      </c>
      <c r="C96" s="205" t="s">
        <v>1032</v>
      </c>
      <c r="D96" s="204">
        <v>1</v>
      </c>
      <c r="E96" s="204">
        <v>12</v>
      </c>
      <c r="F96" s="204">
        <v>2</v>
      </c>
      <c r="G96" s="204">
        <v>12</v>
      </c>
      <c r="H96" s="204">
        <v>0</v>
      </c>
      <c r="I96" s="204">
        <v>0</v>
      </c>
    </row>
    <row r="97" spans="1:9" ht="14.1" customHeight="1">
      <c r="A97" s="206">
        <v>8708998180</v>
      </c>
      <c r="B97" s="202" t="s">
        <v>1104</v>
      </c>
      <c r="C97" s="205" t="s">
        <v>1032</v>
      </c>
      <c r="D97" s="204">
        <v>6</v>
      </c>
      <c r="E97" s="204">
        <v>4</v>
      </c>
      <c r="F97" s="204">
        <v>0</v>
      </c>
      <c r="G97" s="204">
        <v>0</v>
      </c>
      <c r="H97" s="204" t="s">
        <v>546</v>
      </c>
      <c r="I97" s="204">
        <v>4</v>
      </c>
    </row>
    <row r="98" spans="1:9" ht="14.1" customHeight="1">
      <c r="A98" s="206">
        <v>8716390030</v>
      </c>
      <c r="B98" s="202" t="s">
        <v>1105</v>
      </c>
      <c r="C98" s="205" t="s">
        <v>1032</v>
      </c>
      <c r="D98" s="204">
        <v>4</v>
      </c>
      <c r="E98" s="204">
        <v>24</v>
      </c>
      <c r="F98" s="204">
        <v>6</v>
      </c>
      <c r="G98" s="204">
        <v>24</v>
      </c>
      <c r="H98" s="204">
        <v>0</v>
      </c>
      <c r="I98" s="204">
        <v>0</v>
      </c>
    </row>
    <row r="99" spans="1:9" ht="14.1" customHeight="1">
      <c r="A99" s="206">
        <v>8806220000</v>
      </c>
      <c r="B99" s="202" t="s">
        <v>1106</v>
      </c>
      <c r="C99" s="205" t="s">
        <v>1032</v>
      </c>
      <c r="D99" s="204">
        <v>112</v>
      </c>
      <c r="E99" s="204">
        <v>385</v>
      </c>
      <c r="F99" s="204">
        <v>0</v>
      </c>
      <c r="G99" s="204">
        <v>0</v>
      </c>
      <c r="H99" s="204">
        <v>1</v>
      </c>
      <c r="I99" s="204">
        <v>385</v>
      </c>
    </row>
    <row r="100" spans="1:9" ht="14.1" customHeight="1">
      <c r="A100" s="206">
        <v>8806230000</v>
      </c>
      <c r="B100" s="202" t="s">
        <v>1107</v>
      </c>
      <c r="C100" s="205" t="s">
        <v>1032</v>
      </c>
      <c r="D100" s="204">
        <v>13</v>
      </c>
      <c r="E100" s="204">
        <v>84</v>
      </c>
      <c r="F100" s="204">
        <v>0</v>
      </c>
      <c r="G100" s="204">
        <v>0</v>
      </c>
      <c r="H100" s="204" t="s">
        <v>546</v>
      </c>
      <c r="I100" s="204">
        <v>84</v>
      </c>
    </row>
    <row r="101" spans="1:9" ht="14.1" customHeight="1">
      <c r="A101" s="206">
        <v>8807300030</v>
      </c>
      <c r="B101" s="202" t="s">
        <v>1108</v>
      </c>
      <c r="C101" s="205" t="s">
        <v>1023</v>
      </c>
      <c r="D101" s="204">
        <v>12</v>
      </c>
      <c r="E101" s="204">
        <v>26</v>
      </c>
      <c r="F101" s="204">
        <v>0</v>
      </c>
      <c r="G101" s="204">
        <v>0</v>
      </c>
      <c r="H101" s="204" t="s">
        <v>546</v>
      </c>
      <c r="I101" s="204">
        <v>26</v>
      </c>
    </row>
    <row r="102" spans="1:9" ht="14.1" customHeight="1">
      <c r="A102" s="206">
        <v>9015808080</v>
      </c>
      <c r="B102" s="202" t="s">
        <v>1109</v>
      </c>
      <c r="C102" s="205" t="s">
        <v>1023</v>
      </c>
      <c r="D102" s="204">
        <v>285</v>
      </c>
      <c r="E102" s="204">
        <v>6</v>
      </c>
      <c r="F102" s="204">
        <v>0</v>
      </c>
      <c r="G102" s="204">
        <v>0</v>
      </c>
      <c r="H102" s="204" t="s">
        <v>546</v>
      </c>
      <c r="I102" s="204">
        <v>6</v>
      </c>
    </row>
    <row r="103" spans="1:9" ht="14.1" customHeight="1">
      <c r="A103" s="206">
        <v>9018498080</v>
      </c>
      <c r="B103" s="202" t="s">
        <v>1110</v>
      </c>
      <c r="C103" s="205" t="s">
        <v>1032</v>
      </c>
      <c r="D103" s="204">
        <v>1</v>
      </c>
      <c r="E103" s="204">
        <v>5</v>
      </c>
      <c r="F103" s="204">
        <v>0</v>
      </c>
      <c r="G103" s="204">
        <v>0</v>
      </c>
      <c r="H103" s="204" t="s">
        <v>546</v>
      </c>
      <c r="I103" s="204">
        <v>5</v>
      </c>
    </row>
    <row r="104" spans="1:9" ht="14.1" customHeight="1">
      <c r="A104" s="206">
        <v>9021390000</v>
      </c>
      <c r="B104" s="202" t="s">
        <v>1111</v>
      </c>
      <c r="C104" s="205" t="s">
        <v>1032</v>
      </c>
      <c r="D104" s="204">
        <v>6</v>
      </c>
      <c r="E104" s="204">
        <v>3</v>
      </c>
      <c r="F104" s="204">
        <v>0</v>
      </c>
      <c r="G104" s="204">
        <v>0</v>
      </c>
      <c r="H104" s="204" t="s">
        <v>546</v>
      </c>
      <c r="I104" s="204">
        <v>3</v>
      </c>
    </row>
    <row r="105" spans="1:9" ht="14.1" customHeight="1">
      <c r="A105" s="206">
        <v>9024800000</v>
      </c>
      <c r="B105" s="202" t="s">
        <v>1112</v>
      </c>
      <c r="C105" s="205" t="s">
        <v>1032</v>
      </c>
      <c r="D105" s="204">
        <v>1</v>
      </c>
      <c r="E105" s="204">
        <v>5</v>
      </c>
      <c r="F105" s="204">
        <v>0</v>
      </c>
      <c r="G105" s="204">
        <v>0</v>
      </c>
      <c r="H105" s="204" t="s">
        <v>546</v>
      </c>
      <c r="I105" s="204">
        <v>5</v>
      </c>
    </row>
    <row r="106" spans="1:9" ht="14.1" customHeight="1">
      <c r="A106" s="206">
        <v>9026208000</v>
      </c>
      <c r="B106" s="202" t="s">
        <v>1113</v>
      </c>
      <c r="C106" s="205" t="s">
        <v>1032</v>
      </c>
      <c r="D106" s="204">
        <v>4</v>
      </c>
      <c r="E106" s="204">
        <v>12</v>
      </c>
      <c r="F106" s="204">
        <v>0</v>
      </c>
      <c r="G106" s="204">
        <v>0</v>
      </c>
      <c r="H106" s="204" t="s">
        <v>546</v>
      </c>
      <c r="I106" s="204">
        <v>12</v>
      </c>
    </row>
    <row r="107" spans="1:9" ht="14.1" customHeight="1">
      <c r="A107" s="206">
        <v>9027106000</v>
      </c>
      <c r="B107" s="202" t="s">
        <v>1114</v>
      </c>
      <c r="C107" s="205" t="s">
        <v>1023</v>
      </c>
      <c r="D107" s="204">
        <v>15</v>
      </c>
      <c r="E107" s="204">
        <v>5</v>
      </c>
      <c r="F107" s="204">
        <v>0</v>
      </c>
      <c r="G107" s="204">
        <v>0</v>
      </c>
      <c r="H107" s="204" t="s">
        <v>546</v>
      </c>
      <c r="I107" s="204">
        <v>5</v>
      </c>
    </row>
    <row r="108" spans="1:9" ht="14.1" customHeight="1">
      <c r="A108" s="250">
        <v>9027898030</v>
      </c>
      <c r="B108" s="212" t="s">
        <v>1115</v>
      </c>
      <c r="C108" s="213" t="s">
        <v>1023</v>
      </c>
      <c r="D108" s="214">
        <v>161</v>
      </c>
      <c r="E108" s="214">
        <v>57</v>
      </c>
      <c r="F108" s="214">
        <v>0</v>
      </c>
      <c r="G108" s="214">
        <v>0</v>
      </c>
      <c r="H108" s="214" t="s">
        <v>546</v>
      </c>
      <c r="I108" s="214">
        <v>57</v>
      </c>
    </row>
    <row r="109" spans="1:9" ht="14.1" customHeight="1">
      <c r="A109" s="3"/>
      <c r="B109" s="2"/>
      <c r="C109" s="3"/>
      <c r="D109" s="2"/>
      <c r="E109" s="2"/>
      <c r="F109" s="2"/>
      <c r="G109" s="2"/>
      <c r="H109" s="2"/>
      <c r="I109" s="2"/>
    </row>
    <row r="110" spans="1:9" ht="11.25" customHeight="1">
      <c r="A110" s="3"/>
      <c r="B110" s="2"/>
      <c r="C110" s="3"/>
      <c r="D110" s="2"/>
      <c r="E110" s="2"/>
      <c r="F110" s="2"/>
      <c r="G110" s="2"/>
      <c r="H110" s="2"/>
      <c r="I110" s="2"/>
    </row>
    <row r="111" spans="1:9" ht="16.5" customHeight="1">
      <c r="A111" s="270" t="s">
        <v>1116</v>
      </c>
      <c r="B111" s="271"/>
      <c r="C111" s="271"/>
      <c r="D111" s="271"/>
      <c r="E111" s="90"/>
      <c r="F111" s="90"/>
      <c r="G111" s="90"/>
      <c r="H111" s="90"/>
      <c r="I111" s="90"/>
    </row>
    <row r="112" spans="1:9" ht="14.1" customHeight="1">
      <c r="A112" s="8"/>
      <c r="B112" s="188"/>
      <c r="C112" s="41"/>
      <c r="D112" s="2023" t="s">
        <v>1157</v>
      </c>
      <c r="E112" s="2025"/>
      <c r="F112" s="2031" t="s">
        <v>1009</v>
      </c>
      <c r="G112" s="2031"/>
      <c r="H112" s="2330" t="s">
        <v>1010</v>
      </c>
      <c r="I112" s="2331"/>
    </row>
    <row r="113" spans="1:9" ht="15.75" customHeight="1">
      <c r="A113" s="2"/>
      <c r="B113" s="210"/>
      <c r="C113" s="201" t="s">
        <v>1011</v>
      </c>
      <c r="D113" s="2328"/>
      <c r="E113" s="2329"/>
      <c r="F113" s="2031"/>
      <c r="G113" s="2031"/>
      <c r="H113" s="2330"/>
      <c r="I113" s="2331"/>
    </row>
    <row r="114" spans="1:9" ht="14.1" customHeight="1">
      <c r="A114" s="2"/>
      <c r="B114" s="210"/>
      <c r="C114" s="201" t="s">
        <v>1013</v>
      </c>
      <c r="D114" s="221" t="s">
        <v>1014</v>
      </c>
      <c r="E114" s="226" t="s">
        <v>1015</v>
      </c>
      <c r="F114" s="217" t="s">
        <v>1012</v>
      </c>
      <c r="G114" s="225" t="s">
        <v>1015</v>
      </c>
      <c r="H114" s="201" t="s">
        <v>1012</v>
      </c>
      <c r="I114" s="197" t="s">
        <v>1015</v>
      </c>
    </row>
    <row r="115" spans="1:9" ht="14.1" customHeight="1">
      <c r="A115" s="250" t="s">
        <v>1017</v>
      </c>
      <c r="B115" s="251" t="s">
        <v>1018</v>
      </c>
      <c r="C115" s="250" t="s">
        <v>1019</v>
      </c>
      <c r="D115" s="252" t="s">
        <v>1019</v>
      </c>
      <c r="E115" s="253" t="s">
        <v>1020</v>
      </c>
      <c r="F115" s="250" t="s">
        <v>1016</v>
      </c>
      <c r="G115" s="253" t="s">
        <v>1020</v>
      </c>
      <c r="H115" s="250" t="s">
        <v>1016</v>
      </c>
      <c r="I115" s="254" t="s">
        <v>1020</v>
      </c>
    </row>
    <row r="116" spans="1:9" ht="14.1" customHeight="1">
      <c r="A116" s="201"/>
      <c r="B116" s="207"/>
      <c r="C116" s="201"/>
      <c r="D116" s="201"/>
      <c r="E116" s="249"/>
      <c r="F116" s="201"/>
      <c r="G116" s="249"/>
      <c r="H116" s="201"/>
      <c r="I116" s="201"/>
    </row>
    <row r="117" spans="1:9" ht="14.1" customHeight="1">
      <c r="A117" s="201">
        <v>9028300000</v>
      </c>
      <c r="B117" s="207" t="s">
        <v>1117</v>
      </c>
      <c r="C117" s="205" t="s">
        <v>1032</v>
      </c>
      <c r="D117" s="205">
        <v>22</v>
      </c>
      <c r="E117" s="205">
        <v>14</v>
      </c>
      <c r="F117" s="205">
        <v>0</v>
      </c>
      <c r="G117" s="205">
        <v>0</v>
      </c>
      <c r="H117" s="205">
        <v>1</v>
      </c>
      <c r="I117" s="205">
        <v>14</v>
      </c>
    </row>
    <row r="118" spans="1:9" ht="14.1" customHeight="1">
      <c r="A118" s="201">
        <v>9030100000</v>
      </c>
      <c r="B118" s="207" t="s">
        <v>1118</v>
      </c>
      <c r="C118" s="205" t="s">
        <v>1032</v>
      </c>
      <c r="D118" s="205">
        <v>13</v>
      </c>
      <c r="E118" s="205">
        <v>4</v>
      </c>
      <c r="F118" s="205">
        <v>0</v>
      </c>
      <c r="G118" s="205">
        <v>0</v>
      </c>
      <c r="H118" s="205" t="s">
        <v>546</v>
      </c>
      <c r="I118" s="205">
        <v>4</v>
      </c>
    </row>
    <row r="119" spans="1:9" ht="14.1" customHeight="1">
      <c r="A119" s="201">
        <v>9030400000</v>
      </c>
      <c r="B119" s="207" t="s">
        <v>1119</v>
      </c>
      <c r="C119" s="205" t="s">
        <v>1032</v>
      </c>
      <c r="D119" s="205">
        <v>9</v>
      </c>
      <c r="E119" s="205">
        <v>253</v>
      </c>
      <c r="F119" s="205">
        <v>0</v>
      </c>
      <c r="G119" s="205">
        <v>0</v>
      </c>
      <c r="H119" s="205" t="s">
        <v>546</v>
      </c>
      <c r="I119" s="205">
        <v>253</v>
      </c>
    </row>
    <row r="120" spans="1:9" ht="14.1" customHeight="1">
      <c r="A120" s="201">
        <v>9030890100</v>
      </c>
      <c r="B120" s="207" t="s">
        <v>1120</v>
      </c>
      <c r="C120" s="205" t="s">
        <v>1032</v>
      </c>
      <c r="D120" s="205">
        <v>1</v>
      </c>
      <c r="E120" s="205">
        <v>3</v>
      </c>
      <c r="F120" s="205">
        <v>0</v>
      </c>
      <c r="G120" s="205">
        <v>0</v>
      </c>
      <c r="H120" s="205" t="s">
        <v>546</v>
      </c>
      <c r="I120" s="205">
        <v>3</v>
      </c>
    </row>
    <row r="121" spans="1:9" ht="14.1" customHeight="1">
      <c r="A121" s="201">
        <v>9031808085</v>
      </c>
      <c r="B121" s="207" t="s">
        <v>1121</v>
      </c>
      <c r="C121" s="205" t="s">
        <v>1023</v>
      </c>
      <c r="D121" s="205">
        <v>17</v>
      </c>
      <c r="E121" s="205">
        <v>5</v>
      </c>
      <c r="F121" s="205">
        <v>0</v>
      </c>
      <c r="G121" s="205">
        <v>0</v>
      </c>
      <c r="H121" s="205" t="s">
        <v>546</v>
      </c>
      <c r="I121" s="205">
        <v>5</v>
      </c>
    </row>
    <row r="122" spans="1:9" ht="14.1" customHeight="1">
      <c r="A122" s="201">
        <v>9032896030</v>
      </c>
      <c r="B122" s="207" t="s">
        <v>1122</v>
      </c>
      <c r="C122" s="205" t="s">
        <v>1032</v>
      </c>
      <c r="D122" s="205">
        <v>1</v>
      </c>
      <c r="E122" s="205">
        <v>5</v>
      </c>
      <c r="F122" s="205">
        <v>0</v>
      </c>
      <c r="G122" s="205">
        <v>0</v>
      </c>
      <c r="H122" s="205" t="s">
        <v>546</v>
      </c>
      <c r="I122" s="205">
        <v>5</v>
      </c>
    </row>
    <row r="123" spans="1:9" ht="14.1" customHeight="1">
      <c r="A123" s="201">
        <v>9504300060</v>
      </c>
      <c r="B123" s="207" t="s">
        <v>1123</v>
      </c>
      <c r="C123" s="205" t="s">
        <v>1032</v>
      </c>
      <c r="D123" s="215">
        <v>9736</v>
      </c>
      <c r="E123" s="215">
        <v>4576</v>
      </c>
      <c r="F123" s="205">
        <v>64</v>
      </c>
      <c r="G123" s="215">
        <v>4275</v>
      </c>
      <c r="H123" s="205">
        <v>2</v>
      </c>
      <c r="I123" s="205">
        <v>301</v>
      </c>
    </row>
    <row r="124" spans="1:9" ht="14.1" customHeight="1">
      <c r="A124" s="201">
        <v>9506290080</v>
      </c>
      <c r="B124" s="207" t="s">
        <v>1124</v>
      </c>
      <c r="C124" s="205" t="s">
        <v>1032</v>
      </c>
      <c r="D124" s="215">
        <v>1955</v>
      </c>
      <c r="E124" s="205">
        <v>15</v>
      </c>
      <c r="F124" s="205">
        <v>0</v>
      </c>
      <c r="G124" s="205">
        <v>0</v>
      </c>
      <c r="H124" s="205" t="s">
        <v>546</v>
      </c>
      <c r="I124" s="205">
        <v>15</v>
      </c>
    </row>
    <row r="125" spans="1:9" ht="14.1" customHeight="1">
      <c r="A125" s="201">
        <v>9701910000</v>
      </c>
      <c r="B125" s="207" t="s">
        <v>1125</v>
      </c>
      <c r="C125" s="205" t="s">
        <v>1032</v>
      </c>
      <c r="D125" s="205">
        <v>2</v>
      </c>
      <c r="E125" s="205">
        <v>18</v>
      </c>
      <c r="F125" s="205">
        <v>0</v>
      </c>
      <c r="G125" s="205">
        <v>0</v>
      </c>
      <c r="H125" s="205" t="s">
        <v>546</v>
      </c>
      <c r="I125" s="205">
        <v>18</v>
      </c>
    </row>
    <row r="126" spans="1:9" ht="14.1" customHeight="1">
      <c r="A126" s="201">
        <v>9801001027</v>
      </c>
      <c r="B126" s="207" t="s">
        <v>1126</v>
      </c>
      <c r="C126" s="205" t="s">
        <v>1023</v>
      </c>
      <c r="D126" s="215">
        <v>6000</v>
      </c>
      <c r="E126" s="205">
        <v>43</v>
      </c>
      <c r="F126" s="205">
        <v>6</v>
      </c>
      <c r="G126" s="205">
        <v>43</v>
      </c>
      <c r="H126" s="205">
        <v>0</v>
      </c>
      <c r="I126" s="205">
        <v>0</v>
      </c>
    </row>
    <row r="127" spans="1:9" ht="14.1" customHeight="1">
      <c r="A127" s="201">
        <v>9801001028</v>
      </c>
      <c r="B127" s="207" t="s">
        <v>1127</v>
      </c>
      <c r="C127" s="205" t="s">
        <v>1023</v>
      </c>
      <c r="D127" s="215">
        <v>5148</v>
      </c>
      <c r="E127" s="205">
        <v>24</v>
      </c>
      <c r="F127" s="205">
        <v>6</v>
      </c>
      <c r="G127" s="205">
        <v>24</v>
      </c>
      <c r="H127" s="205">
        <v>0</v>
      </c>
      <c r="I127" s="205">
        <v>0</v>
      </c>
    </row>
    <row r="128" spans="1:9" ht="14.1" customHeight="1">
      <c r="A128" s="201">
        <v>9801001030</v>
      </c>
      <c r="B128" s="207" t="s">
        <v>1128</v>
      </c>
      <c r="C128" s="205" t="s">
        <v>1129</v>
      </c>
      <c r="D128" s="205">
        <v>0</v>
      </c>
      <c r="E128" s="205">
        <v>36</v>
      </c>
      <c r="F128" s="205">
        <v>0</v>
      </c>
      <c r="G128" s="205">
        <v>0</v>
      </c>
      <c r="H128" s="205" t="s">
        <v>546</v>
      </c>
      <c r="I128" s="205">
        <v>36</v>
      </c>
    </row>
    <row r="129" spans="1:9" ht="14.1" customHeight="1">
      <c r="A129" s="201">
        <v>9801001031</v>
      </c>
      <c r="B129" s="207" t="s">
        <v>1130</v>
      </c>
      <c r="C129" s="205" t="s">
        <v>1129</v>
      </c>
      <c r="D129" s="205">
        <v>0</v>
      </c>
      <c r="E129" s="205">
        <v>188</v>
      </c>
      <c r="F129" s="205">
        <v>5</v>
      </c>
      <c r="G129" s="205">
        <v>29</v>
      </c>
      <c r="H129" s="205">
        <v>2</v>
      </c>
      <c r="I129" s="205">
        <v>159</v>
      </c>
    </row>
    <row r="130" spans="1:9" ht="14.1" customHeight="1">
      <c r="A130" s="201">
        <v>9801001035</v>
      </c>
      <c r="B130" s="207" t="s">
        <v>1131</v>
      </c>
      <c r="C130" s="205" t="s">
        <v>1032</v>
      </c>
      <c r="D130" s="205">
        <v>63</v>
      </c>
      <c r="E130" s="215">
        <v>3429</v>
      </c>
      <c r="F130" s="205">
        <v>1</v>
      </c>
      <c r="G130" s="205">
        <v>3</v>
      </c>
      <c r="H130" s="205">
        <v>5</v>
      </c>
      <c r="I130" s="215">
        <v>3426</v>
      </c>
    </row>
    <row r="131" spans="1:9" ht="14.1" customHeight="1">
      <c r="A131" s="201">
        <v>9801001037</v>
      </c>
      <c r="B131" s="207" t="s">
        <v>1132</v>
      </c>
      <c r="C131" s="205" t="s">
        <v>1032</v>
      </c>
      <c r="D131" s="215">
        <v>1103</v>
      </c>
      <c r="E131" s="205">
        <v>17</v>
      </c>
      <c r="F131" s="205" t="s">
        <v>546</v>
      </c>
      <c r="G131" s="205">
        <v>3</v>
      </c>
      <c r="H131" s="205" t="s">
        <v>546</v>
      </c>
      <c r="I131" s="205">
        <v>14</v>
      </c>
    </row>
    <row r="132" spans="1:9" ht="14.1" customHeight="1">
      <c r="A132" s="201">
        <v>9801001043</v>
      </c>
      <c r="B132" s="207" t="s">
        <v>1133</v>
      </c>
      <c r="C132" s="205" t="s">
        <v>1032</v>
      </c>
      <c r="D132" s="205">
        <v>713</v>
      </c>
      <c r="E132" s="205">
        <v>729</v>
      </c>
      <c r="F132" s="205">
        <v>0</v>
      </c>
      <c r="G132" s="205">
        <v>0</v>
      </c>
      <c r="H132" s="205">
        <v>2</v>
      </c>
      <c r="I132" s="205">
        <v>729</v>
      </c>
    </row>
    <row r="133" spans="1:9" ht="14.1" customHeight="1">
      <c r="A133" s="201">
        <v>9801001045</v>
      </c>
      <c r="B133" s="207" t="s">
        <v>1134</v>
      </c>
      <c r="C133" s="205" t="s">
        <v>1129</v>
      </c>
      <c r="D133" s="205">
        <v>0</v>
      </c>
      <c r="E133" s="215">
        <v>5320</v>
      </c>
      <c r="F133" s="205">
        <v>458</v>
      </c>
      <c r="G133" s="215">
        <v>3010</v>
      </c>
      <c r="H133" s="205">
        <v>12</v>
      </c>
      <c r="I133" s="215">
        <v>2311</v>
      </c>
    </row>
    <row r="134" spans="1:9" ht="14.1" customHeight="1">
      <c r="A134" s="201">
        <v>9801001049</v>
      </c>
      <c r="B134" s="207" t="s">
        <v>1135</v>
      </c>
      <c r="C134" s="205" t="s">
        <v>1032</v>
      </c>
      <c r="D134" s="205">
        <v>578</v>
      </c>
      <c r="E134" s="205">
        <v>669</v>
      </c>
      <c r="F134" s="205">
        <v>16</v>
      </c>
      <c r="G134" s="205">
        <v>2</v>
      </c>
      <c r="H134" s="205">
        <v>1</v>
      </c>
      <c r="I134" s="205">
        <v>667</v>
      </c>
    </row>
    <row r="135" spans="1:9" ht="14.1" customHeight="1">
      <c r="A135" s="201">
        <v>9801001051</v>
      </c>
      <c r="B135" s="207" t="s">
        <v>1136</v>
      </c>
      <c r="C135" s="205" t="s">
        <v>1032</v>
      </c>
      <c r="D135" s="215">
        <v>2718</v>
      </c>
      <c r="E135" s="215">
        <v>1096</v>
      </c>
      <c r="F135" s="205">
        <v>0</v>
      </c>
      <c r="G135" s="205">
        <v>0</v>
      </c>
      <c r="H135" s="205">
        <v>2</v>
      </c>
      <c r="I135" s="215">
        <v>1096</v>
      </c>
    </row>
    <row r="136" spans="1:9" ht="14.1" customHeight="1">
      <c r="A136" s="201">
        <v>9801001053</v>
      </c>
      <c r="B136" s="207" t="s">
        <v>1137</v>
      </c>
      <c r="C136" s="205" t="s">
        <v>1032</v>
      </c>
      <c r="D136" s="215">
        <v>1171</v>
      </c>
      <c r="E136" s="215">
        <v>3448</v>
      </c>
      <c r="F136" s="205">
        <v>4</v>
      </c>
      <c r="G136" s="205">
        <v>23</v>
      </c>
      <c r="H136" s="205">
        <v>11</v>
      </c>
      <c r="I136" s="215">
        <v>3424</v>
      </c>
    </row>
    <row r="137" spans="1:9" ht="14.1" customHeight="1">
      <c r="A137" s="201">
        <v>9801001055</v>
      </c>
      <c r="B137" s="207" t="s">
        <v>1138</v>
      </c>
      <c r="C137" s="205" t="s">
        <v>1129</v>
      </c>
      <c r="D137" s="205">
        <v>0</v>
      </c>
      <c r="E137" s="215">
        <v>2761</v>
      </c>
      <c r="F137" s="205">
        <v>71</v>
      </c>
      <c r="G137" s="205">
        <v>254</v>
      </c>
      <c r="H137" s="205">
        <v>4</v>
      </c>
      <c r="I137" s="215">
        <v>2495</v>
      </c>
    </row>
    <row r="138" spans="1:9" ht="14.1" customHeight="1">
      <c r="A138" s="201">
        <v>9801001059</v>
      </c>
      <c r="B138" s="207" t="s">
        <v>1139</v>
      </c>
      <c r="C138" s="205" t="s">
        <v>1032</v>
      </c>
      <c r="D138" s="205">
        <v>503</v>
      </c>
      <c r="E138" s="205">
        <v>51</v>
      </c>
      <c r="F138" s="205">
        <v>0</v>
      </c>
      <c r="G138" s="205">
        <v>0</v>
      </c>
      <c r="H138" s="205">
        <v>1</v>
      </c>
      <c r="I138" s="205">
        <v>51</v>
      </c>
    </row>
    <row r="139" spans="1:9" ht="14.1" customHeight="1">
      <c r="A139" s="201">
        <v>9801001063</v>
      </c>
      <c r="B139" s="207" t="s">
        <v>1140</v>
      </c>
      <c r="C139" s="205" t="s">
        <v>1032</v>
      </c>
      <c r="D139" s="205">
        <v>1</v>
      </c>
      <c r="E139" s="205">
        <v>66</v>
      </c>
      <c r="F139" s="205">
        <v>15</v>
      </c>
      <c r="G139" s="205">
        <v>66</v>
      </c>
      <c r="H139" s="205">
        <v>0</v>
      </c>
      <c r="I139" s="205">
        <v>0</v>
      </c>
    </row>
    <row r="140" spans="1:9" ht="14.1" customHeight="1">
      <c r="A140" s="201">
        <v>9801001065</v>
      </c>
      <c r="B140" s="207" t="s">
        <v>1141</v>
      </c>
      <c r="C140" s="205" t="s">
        <v>1032</v>
      </c>
      <c r="D140" s="205">
        <v>22</v>
      </c>
      <c r="E140" s="205">
        <v>387</v>
      </c>
      <c r="F140" s="205">
        <v>52</v>
      </c>
      <c r="G140" s="205">
        <v>387</v>
      </c>
      <c r="H140" s="205">
        <v>0</v>
      </c>
      <c r="I140" s="205">
        <v>0</v>
      </c>
    </row>
    <row r="141" spans="1:9" ht="14.1" customHeight="1">
      <c r="A141" s="201">
        <v>9801001066</v>
      </c>
      <c r="B141" s="207" t="s">
        <v>1142</v>
      </c>
      <c r="C141" s="205" t="s">
        <v>1032</v>
      </c>
      <c r="D141" s="205">
        <v>3</v>
      </c>
      <c r="E141" s="205">
        <v>398</v>
      </c>
      <c r="F141" s="205">
        <v>16</v>
      </c>
      <c r="G141" s="205">
        <v>398</v>
      </c>
      <c r="H141" s="205">
        <v>0</v>
      </c>
      <c r="I141" s="205">
        <v>0</v>
      </c>
    </row>
    <row r="142" spans="1:9" ht="14.1" customHeight="1">
      <c r="A142" s="201">
        <v>9801001067</v>
      </c>
      <c r="B142" s="207" t="s">
        <v>1143</v>
      </c>
      <c r="C142" s="205" t="s">
        <v>1032</v>
      </c>
      <c r="D142" s="215">
        <v>1329</v>
      </c>
      <c r="E142" s="205">
        <v>68</v>
      </c>
      <c r="F142" s="205">
        <v>7</v>
      </c>
      <c r="G142" s="205">
        <v>68</v>
      </c>
      <c r="H142" s="205">
        <v>0</v>
      </c>
      <c r="I142" s="205">
        <v>0</v>
      </c>
    </row>
    <row r="143" spans="1:9" ht="14.1" customHeight="1">
      <c r="A143" s="201">
        <v>9801001074</v>
      </c>
      <c r="B143" s="207" t="s">
        <v>1144</v>
      </c>
      <c r="C143" s="205" t="s">
        <v>1032</v>
      </c>
      <c r="D143" s="205">
        <v>948</v>
      </c>
      <c r="E143" s="205">
        <v>645</v>
      </c>
      <c r="F143" s="205">
        <v>426</v>
      </c>
      <c r="G143" s="205">
        <v>635</v>
      </c>
      <c r="H143" s="205" t="s">
        <v>546</v>
      </c>
      <c r="I143" s="205">
        <v>10</v>
      </c>
    </row>
    <row r="144" spans="1:9" ht="15" customHeight="1">
      <c r="A144" s="208">
        <v>9801001075</v>
      </c>
      <c r="B144" s="212" t="s">
        <v>1145</v>
      </c>
      <c r="C144" s="214" t="s">
        <v>1032</v>
      </c>
      <c r="D144" s="214">
        <v>2</v>
      </c>
      <c r="E144" s="214">
        <v>510</v>
      </c>
      <c r="F144" s="214">
        <v>3</v>
      </c>
      <c r="G144" s="214">
        <v>500</v>
      </c>
      <c r="H144" s="214" t="s">
        <v>1098</v>
      </c>
      <c r="I144" s="214">
        <v>10</v>
      </c>
    </row>
    <row r="145" spans="1:9" ht="15" customHeight="1">
      <c r="A145" s="2"/>
      <c r="B145" s="2"/>
      <c r="C145" s="2"/>
      <c r="D145" s="2"/>
      <c r="E145" s="2"/>
      <c r="F145" s="2"/>
      <c r="G145" s="2"/>
      <c r="H145" s="2"/>
      <c r="I145" s="2"/>
    </row>
    <row r="146" spans="1:9" ht="12.95" customHeight="1">
      <c r="A146" s="113"/>
      <c r="B146" s="113"/>
      <c r="C146" s="113"/>
      <c r="D146" s="113"/>
      <c r="E146" s="2"/>
      <c r="F146" s="2"/>
      <c r="G146" s="2"/>
      <c r="H146" s="2"/>
      <c r="I146" s="2"/>
    </row>
    <row r="147" spans="1:9" s="272" customFormat="1" ht="15.75" customHeight="1">
      <c r="A147" s="112" t="s">
        <v>1146</v>
      </c>
      <c r="B147" s="245"/>
      <c r="C147" s="245"/>
      <c r="D147" s="245"/>
      <c r="E147" s="3"/>
      <c r="F147" s="3"/>
      <c r="G147" s="3"/>
      <c r="H147" s="3"/>
      <c r="I147" s="3"/>
    </row>
    <row r="148" spans="1:9" ht="14.1" customHeight="1">
      <c r="A148" s="108"/>
      <c r="B148" s="191"/>
      <c r="C148" s="114"/>
      <c r="D148" s="2023" t="s">
        <v>1157</v>
      </c>
      <c r="E148" s="2025"/>
      <c r="F148" s="2031" t="s">
        <v>1009</v>
      </c>
      <c r="G148" s="2031"/>
      <c r="H148" s="2330" t="s">
        <v>1010</v>
      </c>
      <c r="I148" s="2331"/>
    </row>
    <row r="149" spans="1:9" ht="14.1" customHeight="1">
      <c r="A149" s="3"/>
      <c r="B149" s="232"/>
      <c r="C149" s="201" t="s">
        <v>1011</v>
      </c>
      <c r="D149" s="2328"/>
      <c r="E149" s="2329"/>
      <c r="F149" s="2031"/>
      <c r="G149" s="2031"/>
      <c r="H149" s="2330"/>
      <c r="I149" s="2331"/>
    </row>
    <row r="150" spans="1:9" ht="14.1" customHeight="1">
      <c r="A150" s="3"/>
      <c r="B150" s="232"/>
      <c r="C150" s="201" t="s">
        <v>1013</v>
      </c>
      <c r="D150" s="221" t="s">
        <v>1014</v>
      </c>
      <c r="E150" s="226" t="s">
        <v>1015</v>
      </c>
      <c r="F150" s="217" t="s">
        <v>1012</v>
      </c>
      <c r="G150" s="225" t="s">
        <v>1015</v>
      </c>
      <c r="H150" s="201" t="s">
        <v>1012</v>
      </c>
      <c r="I150" s="197" t="s">
        <v>1015</v>
      </c>
    </row>
    <row r="151" spans="1:9" ht="15" customHeight="1">
      <c r="A151" s="201" t="s">
        <v>1017</v>
      </c>
      <c r="B151" s="256" t="s">
        <v>1018</v>
      </c>
      <c r="C151" s="201" t="s">
        <v>1019</v>
      </c>
      <c r="D151" s="221" t="s">
        <v>1019</v>
      </c>
      <c r="E151" s="257" t="s">
        <v>1020</v>
      </c>
      <c r="F151" s="201" t="s">
        <v>1016</v>
      </c>
      <c r="G151" s="257" t="s">
        <v>1020</v>
      </c>
      <c r="H151" s="201" t="s">
        <v>1016</v>
      </c>
      <c r="I151" s="258" t="s">
        <v>1020</v>
      </c>
    </row>
    <row r="152" spans="1:9" ht="14.1" customHeight="1">
      <c r="A152" s="217"/>
      <c r="B152" s="218"/>
      <c r="C152" s="217"/>
      <c r="D152" s="217"/>
      <c r="E152" s="220"/>
      <c r="F152" s="217"/>
      <c r="G152" s="220"/>
      <c r="H152" s="217"/>
      <c r="I152" s="217"/>
    </row>
    <row r="153" spans="1:9" ht="14.1" customHeight="1">
      <c r="A153" s="201">
        <v>9801001077</v>
      </c>
      <c r="B153" s="207" t="s">
        <v>1147</v>
      </c>
      <c r="C153" s="205" t="s">
        <v>1023</v>
      </c>
      <c r="D153" s="215">
        <v>1083</v>
      </c>
      <c r="E153" s="205">
        <v>324</v>
      </c>
      <c r="F153" s="205">
        <v>0</v>
      </c>
      <c r="G153" s="205">
        <v>0</v>
      </c>
      <c r="H153" s="205">
        <v>1</v>
      </c>
      <c r="I153" s="205">
        <v>324</v>
      </c>
    </row>
    <row r="154" spans="1:9" ht="14.1" customHeight="1">
      <c r="A154" s="201">
        <v>9801001079</v>
      </c>
      <c r="B154" s="207" t="s">
        <v>1148</v>
      </c>
      <c r="C154" s="205" t="s">
        <v>1023</v>
      </c>
      <c r="D154" s="215">
        <v>46599</v>
      </c>
      <c r="E154" s="215">
        <v>5758</v>
      </c>
      <c r="F154" s="205">
        <v>0</v>
      </c>
      <c r="G154" s="205">
        <v>0</v>
      </c>
      <c r="H154" s="205">
        <v>52</v>
      </c>
      <c r="I154" s="215">
        <v>5758</v>
      </c>
    </row>
    <row r="155" spans="1:9" ht="14.1" customHeight="1">
      <c r="A155" s="201">
        <v>9801001089</v>
      </c>
      <c r="B155" s="207" t="s">
        <v>1149</v>
      </c>
      <c r="C155" s="205" t="s">
        <v>1032</v>
      </c>
      <c r="D155" s="205">
        <v>694</v>
      </c>
      <c r="E155" s="205">
        <v>125</v>
      </c>
      <c r="F155" s="205">
        <v>0</v>
      </c>
      <c r="G155" s="205">
        <v>0</v>
      </c>
      <c r="H155" s="205">
        <v>1</v>
      </c>
      <c r="I155" s="205">
        <v>125</v>
      </c>
    </row>
    <row r="156" spans="1:9" ht="14.1" customHeight="1">
      <c r="A156" s="201">
        <v>9801001090</v>
      </c>
      <c r="B156" s="207" t="s">
        <v>1150</v>
      </c>
      <c r="C156" s="205" t="s">
        <v>1032</v>
      </c>
      <c r="D156" s="215">
        <v>4197</v>
      </c>
      <c r="E156" s="215">
        <v>5400</v>
      </c>
      <c r="F156" s="205">
        <v>15</v>
      </c>
      <c r="G156" s="205">
        <v>215</v>
      </c>
      <c r="H156" s="205">
        <v>8</v>
      </c>
      <c r="I156" s="215">
        <v>5177</v>
      </c>
    </row>
    <row r="157" spans="1:9" ht="14.1" customHeight="1">
      <c r="A157" s="201">
        <v>9801001092</v>
      </c>
      <c r="B157" s="207" t="s">
        <v>1151</v>
      </c>
      <c r="C157" s="205" t="s">
        <v>1032</v>
      </c>
      <c r="D157" s="205">
        <v>649</v>
      </c>
      <c r="E157" s="205">
        <v>147</v>
      </c>
      <c r="F157" s="205">
        <v>0</v>
      </c>
      <c r="G157" s="205">
        <v>0</v>
      </c>
      <c r="H157" s="205">
        <v>2</v>
      </c>
      <c r="I157" s="205">
        <v>147</v>
      </c>
    </row>
    <row r="158" spans="1:9" ht="14.1" customHeight="1">
      <c r="A158" s="201">
        <v>9801001094</v>
      </c>
      <c r="B158" s="207" t="s">
        <v>1152</v>
      </c>
      <c r="C158" s="205" t="s">
        <v>1129</v>
      </c>
      <c r="D158" s="205">
        <v>0</v>
      </c>
      <c r="E158" s="205">
        <v>40</v>
      </c>
      <c r="F158" s="205">
        <v>0</v>
      </c>
      <c r="G158" s="205">
        <v>0</v>
      </c>
      <c r="H158" s="205" t="s">
        <v>546</v>
      </c>
      <c r="I158" s="205">
        <v>40</v>
      </c>
    </row>
    <row r="159" spans="1:9" ht="14.1" customHeight="1">
      <c r="A159" s="201">
        <v>9801001098</v>
      </c>
      <c r="B159" s="207" t="s">
        <v>1153</v>
      </c>
      <c r="C159" s="205" t="s">
        <v>1129</v>
      </c>
      <c r="D159" s="205">
        <v>0</v>
      </c>
      <c r="E159" s="215">
        <v>9652</v>
      </c>
      <c r="F159" s="205">
        <v>644</v>
      </c>
      <c r="G159" s="215">
        <v>2343</v>
      </c>
      <c r="H159" s="205">
        <v>14</v>
      </c>
      <c r="I159" s="215">
        <v>7309</v>
      </c>
    </row>
    <row r="160" spans="1:9" ht="14.1" customHeight="1">
      <c r="A160" s="201">
        <v>9801002000</v>
      </c>
      <c r="B160" s="207" t="s">
        <v>1154</v>
      </c>
      <c r="C160" s="205" t="s">
        <v>1023</v>
      </c>
      <c r="D160" s="215">
        <v>16568</v>
      </c>
      <c r="E160" s="205">
        <v>142</v>
      </c>
      <c r="F160" s="205">
        <v>17</v>
      </c>
      <c r="G160" s="205">
        <v>142</v>
      </c>
      <c r="H160" s="205">
        <v>0</v>
      </c>
      <c r="I160" s="205">
        <v>0</v>
      </c>
    </row>
    <row r="161" spans="1:9" ht="14.1" customHeight="1">
      <c r="A161" s="201">
        <v>9801002500</v>
      </c>
      <c r="B161" s="207" t="s">
        <v>1155</v>
      </c>
      <c r="C161" s="205" t="s">
        <v>1023</v>
      </c>
      <c r="D161" s="215">
        <v>1281</v>
      </c>
      <c r="E161" s="205">
        <v>258</v>
      </c>
      <c r="F161" s="205">
        <v>0</v>
      </c>
      <c r="G161" s="205">
        <v>0</v>
      </c>
      <c r="H161" s="205">
        <v>1</v>
      </c>
      <c r="I161" s="205">
        <v>258</v>
      </c>
    </row>
    <row r="162" spans="1:9" ht="16.5" customHeight="1">
      <c r="A162" s="208">
        <v>9808008000</v>
      </c>
      <c r="B162" s="209" t="s">
        <v>1156</v>
      </c>
      <c r="C162" s="213" t="s">
        <v>1129</v>
      </c>
      <c r="D162" s="213">
        <v>0</v>
      </c>
      <c r="E162" s="216">
        <v>2223</v>
      </c>
      <c r="F162" s="213">
        <v>0</v>
      </c>
      <c r="G162" s="213">
        <v>0</v>
      </c>
      <c r="H162" s="213">
        <v>2</v>
      </c>
      <c r="I162" s="216">
        <v>2223</v>
      </c>
    </row>
    <row r="163" spans="1:9" ht="15" customHeight="1">
      <c r="A163" s="2037" t="s">
        <v>1055</v>
      </c>
      <c r="B163" s="2037"/>
      <c r="C163" s="2037"/>
      <c r="D163" s="2037"/>
      <c r="E163" s="2037"/>
      <c r="F163" s="2037"/>
      <c r="G163" s="2037"/>
      <c r="H163" s="3"/>
      <c r="I163" s="3"/>
    </row>
    <row r="164" spans="1:9" ht="12.75" customHeight="1">
      <c r="A164" s="2037" t="s">
        <v>1056</v>
      </c>
      <c r="B164" s="2037"/>
      <c r="C164" s="2037"/>
      <c r="D164" s="2037"/>
      <c r="E164" s="30"/>
      <c r="F164" s="30"/>
      <c r="G164" s="30"/>
      <c r="H164" s="3"/>
      <c r="I164" s="3"/>
    </row>
    <row r="167" spans="1:9" ht="12" customHeight="1"/>
    <row r="168" spans="1:9" ht="17.25" customHeight="1"/>
    <row r="169" spans="1:9" ht="14.1" customHeight="1"/>
    <row r="170" spans="1:9" ht="14.1" customHeight="1">
      <c r="A170" s="269" t="s">
        <v>1158</v>
      </c>
      <c r="B170" s="90"/>
      <c r="C170" s="90"/>
      <c r="D170" s="90"/>
      <c r="E170" s="90"/>
      <c r="F170" s="90"/>
      <c r="G170" s="90"/>
      <c r="H170" s="90"/>
      <c r="I170" s="90"/>
    </row>
    <row r="171" spans="1:9" ht="14.1" customHeight="1">
      <c r="A171" s="8"/>
      <c r="B171" s="188"/>
      <c r="C171" s="41"/>
      <c r="D171" s="2023" t="s">
        <v>1157</v>
      </c>
      <c r="E171" s="2025"/>
      <c r="F171" s="2031" t="s">
        <v>1009</v>
      </c>
      <c r="G171" s="2031"/>
      <c r="H171" s="2330" t="s">
        <v>1010</v>
      </c>
      <c r="I171" s="2331"/>
    </row>
    <row r="172" spans="1:9" ht="15.75" customHeight="1">
      <c r="A172" s="2"/>
      <c r="B172" s="210"/>
      <c r="C172" s="201" t="s">
        <v>1011</v>
      </c>
      <c r="D172" s="2328"/>
      <c r="E172" s="2329"/>
      <c r="F172" s="2031"/>
      <c r="G172" s="2031"/>
      <c r="H172" s="2330"/>
      <c r="I172" s="2331"/>
    </row>
    <row r="173" spans="1:9" ht="15.75" customHeight="1">
      <c r="A173" s="2"/>
      <c r="B173" s="210"/>
      <c r="C173" s="201" t="s">
        <v>1013</v>
      </c>
      <c r="D173" s="221" t="s">
        <v>1014</v>
      </c>
      <c r="E173" s="226" t="s">
        <v>1015</v>
      </c>
      <c r="F173" s="217" t="s">
        <v>1012</v>
      </c>
      <c r="G173" s="225" t="s">
        <v>1015</v>
      </c>
      <c r="H173" s="201" t="s">
        <v>1012</v>
      </c>
      <c r="I173" s="197" t="s">
        <v>1015</v>
      </c>
    </row>
    <row r="174" spans="1:9" ht="14.1" customHeight="1">
      <c r="A174" s="201" t="s">
        <v>1017</v>
      </c>
      <c r="B174" s="256" t="s">
        <v>1018</v>
      </c>
      <c r="C174" s="201" t="s">
        <v>1019</v>
      </c>
      <c r="D174" s="221" t="s">
        <v>1019</v>
      </c>
      <c r="E174" s="257" t="s">
        <v>1020</v>
      </c>
      <c r="F174" s="201" t="s">
        <v>1016</v>
      </c>
      <c r="G174" s="257" t="s">
        <v>1020</v>
      </c>
      <c r="H174" s="201" t="s">
        <v>1016</v>
      </c>
      <c r="I174" s="258" t="s">
        <v>1020</v>
      </c>
    </row>
    <row r="175" spans="1:9" ht="14.1" customHeight="1">
      <c r="A175" s="217"/>
      <c r="B175" s="218"/>
      <c r="C175" s="217"/>
      <c r="D175" s="217"/>
      <c r="E175" s="220"/>
      <c r="F175" s="217"/>
      <c r="G175" s="220"/>
      <c r="H175" s="217"/>
      <c r="I175" s="217"/>
    </row>
    <row r="176" spans="1:9" ht="14.1" customHeight="1">
      <c r="A176" s="2"/>
      <c r="B176" s="202" t="s">
        <v>1021</v>
      </c>
      <c r="C176" s="2"/>
      <c r="D176" s="2"/>
      <c r="E176" s="203">
        <v>39496</v>
      </c>
      <c r="F176" s="203">
        <v>1807</v>
      </c>
      <c r="G176" s="203">
        <v>7577</v>
      </c>
      <c r="H176" s="204">
        <v>97</v>
      </c>
      <c r="I176" s="203">
        <v>31882</v>
      </c>
    </row>
    <row r="177" spans="1:9" ht="14.1" customHeight="1">
      <c r="A177" s="206">
        <v>901110025</v>
      </c>
      <c r="B177" s="202" t="s">
        <v>1159</v>
      </c>
      <c r="C177" s="205" t="s">
        <v>1023</v>
      </c>
      <c r="D177" s="203">
        <v>6732</v>
      </c>
      <c r="E177" s="204">
        <v>36</v>
      </c>
      <c r="F177" s="204">
        <v>7</v>
      </c>
      <c r="G177" s="204">
        <v>36</v>
      </c>
      <c r="H177" s="204">
        <v>0</v>
      </c>
      <c r="I177" s="204">
        <v>0</v>
      </c>
    </row>
    <row r="178" spans="1:9" ht="14.1" customHeight="1">
      <c r="A178" s="206">
        <v>1518004000</v>
      </c>
      <c r="B178" s="202" t="s">
        <v>1160</v>
      </c>
      <c r="C178" s="204" t="s">
        <v>1023</v>
      </c>
      <c r="D178" s="203">
        <v>420666</v>
      </c>
      <c r="E178" s="204">
        <v>332</v>
      </c>
      <c r="F178" s="204">
        <v>427</v>
      </c>
      <c r="G178" s="204">
        <v>332</v>
      </c>
      <c r="H178" s="204">
        <v>0</v>
      </c>
      <c r="I178" s="204">
        <v>0</v>
      </c>
    </row>
    <row r="179" spans="1:9" ht="14.1" customHeight="1">
      <c r="A179" s="206">
        <v>2208303030</v>
      </c>
      <c r="B179" s="202" t="s">
        <v>1161</v>
      </c>
      <c r="C179" s="204" t="s">
        <v>1025</v>
      </c>
      <c r="D179" s="204">
        <v>25</v>
      </c>
      <c r="E179" s="204">
        <v>3</v>
      </c>
      <c r="F179" s="204">
        <v>1</v>
      </c>
      <c r="G179" s="204">
        <v>3</v>
      </c>
      <c r="H179" s="204">
        <v>0</v>
      </c>
      <c r="I179" s="204">
        <v>0</v>
      </c>
    </row>
    <row r="180" spans="1:9" ht="14.1" customHeight="1">
      <c r="A180" s="206">
        <v>2208306065</v>
      </c>
      <c r="B180" s="202" t="s">
        <v>1024</v>
      </c>
      <c r="C180" s="204" t="s">
        <v>1025</v>
      </c>
      <c r="D180" s="204">
        <v>50</v>
      </c>
      <c r="E180" s="204">
        <v>13</v>
      </c>
      <c r="F180" s="204">
        <v>5</v>
      </c>
      <c r="G180" s="204">
        <v>13</v>
      </c>
      <c r="H180" s="204">
        <v>0</v>
      </c>
      <c r="I180" s="204">
        <v>0</v>
      </c>
    </row>
    <row r="181" spans="1:9" ht="14.1" customHeight="1">
      <c r="A181" s="206">
        <v>3214905000</v>
      </c>
      <c r="B181" s="202" t="s">
        <v>1162</v>
      </c>
      <c r="C181" s="204" t="s">
        <v>1023</v>
      </c>
      <c r="D181" s="204">
        <v>227</v>
      </c>
      <c r="E181" s="204">
        <v>12</v>
      </c>
      <c r="F181" s="204" t="s">
        <v>546</v>
      </c>
      <c r="G181" s="204">
        <v>12</v>
      </c>
      <c r="H181" s="204">
        <v>0</v>
      </c>
      <c r="I181" s="204">
        <v>0</v>
      </c>
    </row>
    <row r="182" spans="1:9" ht="14.1" customHeight="1">
      <c r="A182" s="206">
        <v>3402905030</v>
      </c>
      <c r="B182" s="202" t="s">
        <v>1163</v>
      </c>
      <c r="C182" s="204" t="s">
        <v>1023</v>
      </c>
      <c r="D182" s="203">
        <v>7800</v>
      </c>
      <c r="E182" s="204">
        <v>16</v>
      </c>
      <c r="F182" s="204">
        <v>9</v>
      </c>
      <c r="G182" s="204">
        <v>16</v>
      </c>
      <c r="H182" s="204">
        <v>0</v>
      </c>
      <c r="I182" s="204">
        <v>0</v>
      </c>
    </row>
    <row r="183" spans="1:9" ht="14.1" customHeight="1">
      <c r="A183" s="206">
        <v>3825490000</v>
      </c>
      <c r="B183" s="202" t="s">
        <v>1164</v>
      </c>
      <c r="C183" s="204" t="s">
        <v>1023</v>
      </c>
      <c r="D183" s="203">
        <v>7792</v>
      </c>
      <c r="E183" s="204">
        <v>4</v>
      </c>
      <c r="F183" s="204">
        <v>8</v>
      </c>
      <c r="G183" s="204">
        <v>4</v>
      </c>
      <c r="H183" s="204">
        <v>0</v>
      </c>
      <c r="I183" s="204">
        <v>0</v>
      </c>
    </row>
    <row r="184" spans="1:9" ht="14.1" customHeight="1">
      <c r="A184" s="206">
        <v>3825900100</v>
      </c>
      <c r="B184" s="202" t="s">
        <v>1165</v>
      </c>
      <c r="C184" s="204" t="s">
        <v>1023</v>
      </c>
      <c r="D184" s="203">
        <v>9342</v>
      </c>
      <c r="E184" s="204">
        <v>7</v>
      </c>
      <c r="F184" s="204">
        <v>9</v>
      </c>
      <c r="G184" s="204">
        <v>7</v>
      </c>
      <c r="H184" s="204">
        <v>0</v>
      </c>
      <c r="I184" s="204">
        <v>0</v>
      </c>
    </row>
    <row r="185" spans="1:9" ht="14.1" customHeight="1">
      <c r="A185" s="206">
        <v>3826003000</v>
      </c>
      <c r="B185" s="202" t="s">
        <v>1166</v>
      </c>
      <c r="C185" s="204" t="s">
        <v>1023</v>
      </c>
      <c r="D185" s="203">
        <v>10331</v>
      </c>
      <c r="E185" s="204">
        <v>7</v>
      </c>
      <c r="F185" s="204">
        <v>10</v>
      </c>
      <c r="G185" s="204">
        <v>7</v>
      </c>
      <c r="H185" s="204">
        <v>0</v>
      </c>
      <c r="I185" s="204">
        <v>0</v>
      </c>
    </row>
    <row r="186" spans="1:9" ht="14.1" customHeight="1">
      <c r="A186" s="206">
        <v>3920490000</v>
      </c>
      <c r="B186" s="202" t="s">
        <v>1167</v>
      </c>
      <c r="C186" s="204" t="s">
        <v>1023</v>
      </c>
      <c r="D186" s="204">
        <v>11</v>
      </c>
      <c r="E186" s="204">
        <v>3</v>
      </c>
      <c r="F186" s="204">
        <v>0</v>
      </c>
      <c r="G186" s="204">
        <v>0</v>
      </c>
      <c r="H186" s="204" t="s">
        <v>546</v>
      </c>
      <c r="I186" s="204">
        <v>3</v>
      </c>
    </row>
    <row r="187" spans="1:9" ht="14.1" customHeight="1">
      <c r="A187" s="206">
        <v>3926201050</v>
      </c>
      <c r="B187" s="202" t="s">
        <v>1168</v>
      </c>
      <c r="C187" s="204" t="s">
        <v>1169</v>
      </c>
      <c r="D187" s="204">
        <v>240</v>
      </c>
      <c r="E187" s="204">
        <v>3</v>
      </c>
      <c r="F187" s="204">
        <v>0</v>
      </c>
      <c r="G187" s="204">
        <v>0</v>
      </c>
      <c r="H187" s="204">
        <v>0</v>
      </c>
      <c r="I187" s="204">
        <v>0</v>
      </c>
    </row>
    <row r="188" spans="1:9" ht="14.1" customHeight="1">
      <c r="A188" s="206">
        <v>3926209050</v>
      </c>
      <c r="B188" s="202" t="s">
        <v>1170</v>
      </c>
      <c r="C188" s="204" t="s">
        <v>1044</v>
      </c>
      <c r="D188" s="204">
        <v>1</v>
      </c>
      <c r="E188" s="204">
        <v>3</v>
      </c>
      <c r="F188" s="204">
        <v>0</v>
      </c>
      <c r="G188" s="204">
        <v>0</v>
      </c>
      <c r="H188" s="204" t="s">
        <v>546</v>
      </c>
      <c r="I188" s="204">
        <v>3</v>
      </c>
    </row>
    <row r="189" spans="1:9" ht="14.1" customHeight="1">
      <c r="A189" s="206">
        <v>4009110000</v>
      </c>
      <c r="B189" s="202" t="s">
        <v>1171</v>
      </c>
      <c r="C189" s="204" t="s">
        <v>1023</v>
      </c>
      <c r="D189" s="204">
        <v>7</v>
      </c>
      <c r="E189" s="204" t="s">
        <v>546</v>
      </c>
      <c r="F189" s="204" t="s">
        <v>546</v>
      </c>
      <c r="G189" s="204" t="s">
        <v>546</v>
      </c>
      <c r="H189" s="204">
        <v>0</v>
      </c>
      <c r="I189" s="204">
        <v>0</v>
      </c>
    </row>
    <row r="190" spans="1:9" ht="14.1" customHeight="1">
      <c r="A190" s="206">
        <v>4015191150</v>
      </c>
      <c r="B190" s="202" t="s">
        <v>1172</v>
      </c>
      <c r="C190" s="204" t="s">
        <v>1169</v>
      </c>
      <c r="D190" s="204">
        <v>48</v>
      </c>
      <c r="E190" s="204" t="s">
        <v>546</v>
      </c>
      <c r="F190" s="204">
        <v>0</v>
      </c>
      <c r="G190" s="204">
        <v>0</v>
      </c>
      <c r="H190" s="204">
        <v>0</v>
      </c>
      <c r="I190" s="204">
        <v>0</v>
      </c>
    </row>
    <row r="191" spans="1:9" ht="14.1" customHeight="1">
      <c r="A191" s="206">
        <v>4015195100</v>
      </c>
      <c r="B191" s="202" t="s">
        <v>1173</v>
      </c>
      <c r="C191" s="204" t="s">
        <v>1169</v>
      </c>
      <c r="D191" s="204">
        <v>121</v>
      </c>
      <c r="E191" s="204">
        <v>2</v>
      </c>
      <c r="F191" s="204">
        <v>0</v>
      </c>
      <c r="G191" s="204">
        <v>0</v>
      </c>
      <c r="H191" s="204">
        <v>0</v>
      </c>
      <c r="I191" s="204">
        <v>0</v>
      </c>
    </row>
    <row r="192" spans="1:9" ht="14.1" customHeight="1">
      <c r="A192" s="206">
        <v>4202122120</v>
      </c>
      <c r="B192" s="202" t="s">
        <v>1174</v>
      </c>
      <c r="C192" s="204" t="s">
        <v>1032</v>
      </c>
      <c r="D192" s="204">
        <v>2</v>
      </c>
      <c r="E192" s="204">
        <v>6</v>
      </c>
      <c r="F192" s="204">
        <v>0</v>
      </c>
      <c r="G192" s="204">
        <v>0</v>
      </c>
      <c r="H192" s="204" t="s">
        <v>546</v>
      </c>
      <c r="I192" s="204">
        <v>6</v>
      </c>
    </row>
    <row r="193" spans="1:9" ht="14.1" customHeight="1">
      <c r="A193" s="206">
        <v>4202219000</v>
      </c>
      <c r="B193" s="202" t="s">
        <v>1175</v>
      </c>
      <c r="C193" s="204" t="s">
        <v>1032</v>
      </c>
      <c r="D193" s="204">
        <v>1</v>
      </c>
      <c r="E193" s="204">
        <v>1</v>
      </c>
      <c r="F193" s="204">
        <v>0</v>
      </c>
      <c r="G193" s="204">
        <v>0</v>
      </c>
      <c r="H193" s="204" t="s">
        <v>546</v>
      </c>
      <c r="I193" s="204">
        <v>1</v>
      </c>
    </row>
    <row r="194" spans="1:9" ht="14.1" customHeight="1">
      <c r="A194" s="206">
        <v>4203291800</v>
      </c>
      <c r="B194" s="202" t="s">
        <v>1176</v>
      </c>
      <c r="C194" s="204" t="s">
        <v>1169</v>
      </c>
      <c r="D194" s="204">
        <v>1</v>
      </c>
      <c r="E194" s="204">
        <v>3</v>
      </c>
      <c r="F194" s="204">
        <v>0</v>
      </c>
      <c r="G194" s="204">
        <v>0</v>
      </c>
      <c r="H194" s="204" t="s">
        <v>546</v>
      </c>
      <c r="I194" s="204">
        <v>3</v>
      </c>
    </row>
    <row r="195" spans="1:9" ht="14.1" customHeight="1">
      <c r="A195" s="206">
        <v>4407290296</v>
      </c>
      <c r="B195" s="202" t="s">
        <v>1177</v>
      </c>
      <c r="C195" s="204" t="s">
        <v>1178</v>
      </c>
      <c r="D195" s="204">
        <v>4</v>
      </c>
      <c r="E195" s="204">
        <v>12</v>
      </c>
      <c r="F195" s="204">
        <v>0</v>
      </c>
      <c r="G195" s="204">
        <v>0</v>
      </c>
      <c r="H195" s="204">
        <v>0</v>
      </c>
      <c r="I195" s="204">
        <v>0</v>
      </c>
    </row>
    <row r="196" spans="1:9" ht="14.1" customHeight="1">
      <c r="A196" s="206">
        <v>4415208000</v>
      </c>
      <c r="B196" s="202" t="s">
        <v>1179</v>
      </c>
      <c r="C196" s="204" t="s">
        <v>1032</v>
      </c>
      <c r="D196" s="203">
        <v>1596</v>
      </c>
      <c r="E196" s="204">
        <v>12</v>
      </c>
      <c r="F196" s="204">
        <v>28</v>
      </c>
      <c r="G196" s="204">
        <v>12</v>
      </c>
      <c r="H196" s="204">
        <v>0</v>
      </c>
      <c r="I196" s="204">
        <v>0</v>
      </c>
    </row>
    <row r="197" spans="1:9" ht="14.1" customHeight="1">
      <c r="A197" s="206">
        <v>4819200040</v>
      </c>
      <c r="B197" s="202" t="s">
        <v>1180</v>
      </c>
      <c r="C197" s="204" t="s">
        <v>1023</v>
      </c>
      <c r="D197" s="204">
        <v>180</v>
      </c>
      <c r="E197" s="204">
        <v>3</v>
      </c>
      <c r="F197" s="204">
        <v>0</v>
      </c>
      <c r="G197" s="204">
        <v>0</v>
      </c>
      <c r="H197" s="204" t="s">
        <v>546</v>
      </c>
      <c r="I197" s="204">
        <v>3</v>
      </c>
    </row>
    <row r="198" spans="1:9" ht="14.1" customHeight="1">
      <c r="A198" s="206">
        <v>6104442010</v>
      </c>
      <c r="B198" s="202" t="s">
        <v>1181</v>
      </c>
      <c r="C198" s="204" t="s">
        <v>1044</v>
      </c>
      <c r="D198" s="204">
        <v>1</v>
      </c>
      <c r="E198" s="204">
        <v>1</v>
      </c>
      <c r="F198" s="204">
        <v>0</v>
      </c>
      <c r="G198" s="204">
        <v>0</v>
      </c>
      <c r="H198" s="204" t="s">
        <v>546</v>
      </c>
      <c r="I198" s="204">
        <v>1</v>
      </c>
    </row>
    <row r="199" spans="1:9" ht="14.1" customHeight="1">
      <c r="A199" s="206">
        <v>6116105520</v>
      </c>
      <c r="B199" s="202" t="s">
        <v>1182</v>
      </c>
      <c r="C199" s="204" t="s">
        <v>1169</v>
      </c>
      <c r="D199" s="204">
        <v>6</v>
      </c>
      <c r="E199" s="204" t="s">
        <v>546</v>
      </c>
      <c r="F199" s="204">
        <v>0</v>
      </c>
      <c r="G199" s="204">
        <v>0</v>
      </c>
      <c r="H199" s="204">
        <v>0</v>
      </c>
      <c r="I199" s="204">
        <v>0</v>
      </c>
    </row>
    <row r="200" spans="1:9" ht="14.1" customHeight="1">
      <c r="A200" s="206">
        <v>6203392010</v>
      </c>
      <c r="B200" s="202" t="s">
        <v>1183</v>
      </c>
      <c r="C200" s="204" t="s">
        <v>1044</v>
      </c>
      <c r="D200" s="204">
        <v>29</v>
      </c>
      <c r="E200" s="204">
        <v>10</v>
      </c>
      <c r="F200" s="204">
        <v>0</v>
      </c>
      <c r="G200" s="204">
        <v>0</v>
      </c>
      <c r="H200" s="204" t="s">
        <v>546</v>
      </c>
      <c r="I200" s="204">
        <v>10</v>
      </c>
    </row>
    <row r="201" spans="1:9" ht="14.1" customHeight="1">
      <c r="A201" s="206">
        <v>6204423050</v>
      </c>
      <c r="B201" s="202" t="s">
        <v>1184</v>
      </c>
      <c r="C201" s="204" t="s">
        <v>1044</v>
      </c>
      <c r="D201" s="204">
        <v>1</v>
      </c>
      <c r="E201" s="204">
        <v>5</v>
      </c>
      <c r="F201" s="204">
        <v>0</v>
      </c>
      <c r="G201" s="204">
        <v>0</v>
      </c>
      <c r="H201" s="204" t="s">
        <v>546</v>
      </c>
      <c r="I201" s="204">
        <v>5</v>
      </c>
    </row>
    <row r="202" spans="1:9">
      <c r="A202" s="206">
        <v>6204444010</v>
      </c>
      <c r="B202" s="202" t="s">
        <v>1185</v>
      </c>
      <c r="C202" s="204" t="s">
        <v>1044</v>
      </c>
      <c r="D202" s="204">
        <v>1</v>
      </c>
      <c r="E202" s="204">
        <v>1</v>
      </c>
      <c r="F202" s="204">
        <v>0</v>
      </c>
      <c r="G202" s="204">
        <v>0</v>
      </c>
      <c r="H202" s="204" t="s">
        <v>546</v>
      </c>
      <c r="I202" s="204">
        <v>1</v>
      </c>
    </row>
    <row r="203" spans="1:9" ht="12.75" customHeight="1">
      <c r="A203" s="206">
        <v>6307909891</v>
      </c>
      <c r="B203" s="202" t="s">
        <v>1186</v>
      </c>
      <c r="C203" s="204" t="s">
        <v>1032</v>
      </c>
      <c r="D203" s="204">
        <v>4</v>
      </c>
      <c r="E203" s="204">
        <v>3</v>
      </c>
      <c r="F203" s="204">
        <v>0</v>
      </c>
      <c r="G203" s="204">
        <v>0</v>
      </c>
      <c r="H203" s="204" t="s">
        <v>546</v>
      </c>
      <c r="I203" s="204">
        <v>3</v>
      </c>
    </row>
    <row r="204" spans="1:9">
      <c r="A204" s="2064" t="s">
        <v>1187</v>
      </c>
      <c r="B204" s="2064"/>
      <c r="C204" s="2064"/>
      <c r="D204" s="2064"/>
      <c r="E204" s="2064"/>
      <c r="F204" s="2064"/>
      <c r="G204" s="2064"/>
      <c r="H204" s="8"/>
      <c r="I204" s="8"/>
    </row>
    <row r="205" spans="1:9" ht="10.5" customHeight="1">
      <c r="A205" s="2045" t="s">
        <v>1056</v>
      </c>
      <c r="B205" s="2045"/>
      <c r="C205" s="2045"/>
      <c r="D205" s="2045"/>
      <c r="E205" s="14"/>
      <c r="F205" s="14"/>
      <c r="G205" s="14"/>
      <c r="H205" s="2"/>
      <c r="I205" s="2"/>
    </row>
    <row r="206" spans="1:9" ht="15.75" customHeight="1">
      <c r="A206" s="2"/>
      <c r="B206" s="2"/>
      <c r="C206" s="2"/>
      <c r="D206" s="2"/>
      <c r="E206" s="2"/>
      <c r="F206" s="2"/>
      <c r="G206" s="2"/>
      <c r="H206" s="2"/>
      <c r="I206" s="2"/>
    </row>
    <row r="207" spans="1:9" ht="14.1" customHeight="1">
      <c r="A207" s="2"/>
      <c r="B207" s="2"/>
      <c r="C207" s="2"/>
      <c r="D207" s="2"/>
      <c r="E207" s="2"/>
      <c r="F207" s="2"/>
      <c r="G207" s="2"/>
      <c r="H207" s="2"/>
      <c r="I207" s="2"/>
    </row>
    <row r="208" spans="1:9" ht="14.25" customHeight="1">
      <c r="A208" s="219" t="s">
        <v>1188</v>
      </c>
      <c r="B208" s="3"/>
      <c r="C208" s="3"/>
      <c r="D208" s="3"/>
      <c r="E208" s="3"/>
      <c r="F208" s="3"/>
      <c r="G208" s="3"/>
      <c r="H208" s="3"/>
      <c r="I208" s="3"/>
    </row>
    <row r="209" spans="1:9" ht="14.1" customHeight="1">
      <c r="A209" s="108"/>
      <c r="B209" s="191"/>
      <c r="C209" s="114"/>
      <c r="D209" s="2023" t="s">
        <v>1157</v>
      </c>
      <c r="E209" s="2025"/>
      <c r="F209" s="2023" t="s">
        <v>1009</v>
      </c>
      <c r="G209" s="2025"/>
      <c r="H209" s="2324" t="s">
        <v>1010</v>
      </c>
      <c r="I209" s="2325"/>
    </row>
    <row r="210" spans="1:9" ht="16.5" customHeight="1">
      <c r="A210" s="3"/>
      <c r="B210" s="232"/>
      <c r="C210" s="201" t="s">
        <v>1011</v>
      </c>
      <c r="D210" s="2328"/>
      <c r="E210" s="2329"/>
      <c r="F210" s="2328"/>
      <c r="G210" s="2329"/>
      <c r="H210" s="2326"/>
      <c r="I210" s="2327"/>
    </row>
    <row r="211" spans="1:9" ht="14.1" customHeight="1">
      <c r="A211" s="3"/>
      <c r="B211" s="232"/>
      <c r="C211" s="201" t="s">
        <v>1013</v>
      </c>
      <c r="D211" s="221" t="s">
        <v>1014</v>
      </c>
      <c r="E211" s="226" t="s">
        <v>1015</v>
      </c>
      <c r="F211" s="217" t="s">
        <v>1012</v>
      </c>
      <c r="G211" s="225" t="s">
        <v>1015</v>
      </c>
      <c r="H211" s="201" t="s">
        <v>1012</v>
      </c>
      <c r="I211" s="197" t="s">
        <v>1015</v>
      </c>
    </row>
    <row r="212" spans="1:9" ht="14.1" customHeight="1">
      <c r="A212" s="201" t="s">
        <v>1017</v>
      </c>
      <c r="B212" s="256" t="s">
        <v>1018</v>
      </c>
      <c r="C212" s="201" t="s">
        <v>1019</v>
      </c>
      <c r="D212" s="221" t="s">
        <v>1019</v>
      </c>
      <c r="E212" s="257" t="s">
        <v>1020</v>
      </c>
      <c r="F212" s="201" t="s">
        <v>1016</v>
      </c>
      <c r="G212" s="257" t="s">
        <v>1020</v>
      </c>
      <c r="H212" s="201" t="s">
        <v>1016</v>
      </c>
      <c r="I212" s="258" t="s">
        <v>1020</v>
      </c>
    </row>
    <row r="213" spans="1:9" ht="14.1" customHeight="1">
      <c r="A213" s="217"/>
      <c r="B213" s="218"/>
      <c r="C213" s="217"/>
      <c r="D213" s="217"/>
      <c r="E213" s="220"/>
      <c r="F213" s="217"/>
      <c r="G213" s="220"/>
      <c r="H213" s="217"/>
      <c r="I213" s="217"/>
    </row>
    <row r="214" spans="1:9" ht="14.1" customHeight="1">
      <c r="A214" s="201">
        <v>6401926000</v>
      </c>
      <c r="B214" s="207" t="s">
        <v>1189</v>
      </c>
      <c r="C214" s="205" t="s">
        <v>1190</v>
      </c>
      <c r="D214" s="205">
        <v>4</v>
      </c>
      <c r="E214" s="205">
        <v>3</v>
      </c>
      <c r="F214" s="205">
        <v>0</v>
      </c>
      <c r="G214" s="205">
        <v>0</v>
      </c>
      <c r="H214" s="205" t="s">
        <v>546</v>
      </c>
      <c r="I214" s="205">
        <v>3</v>
      </c>
    </row>
    <row r="215" spans="1:9" ht="14.1" customHeight="1">
      <c r="A215" s="201">
        <v>6402999035</v>
      </c>
      <c r="B215" s="207" t="s">
        <v>1191</v>
      </c>
      <c r="C215" s="205" t="s">
        <v>1190</v>
      </c>
      <c r="D215" s="205">
        <v>1</v>
      </c>
      <c r="E215" s="205">
        <v>1</v>
      </c>
      <c r="F215" s="205">
        <v>0</v>
      </c>
      <c r="G215" s="205">
        <v>0</v>
      </c>
      <c r="H215" s="205" t="s">
        <v>546</v>
      </c>
      <c r="I215" s="205">
        <v>1</v>
      </c>
    </row>
    <row r="216" spans="1:9" ht="14.1" customHeight="1">
      <c r="A216" s="201">
        <v>6403996090</v>
      </c>
      <c r="B216" s="207" t="s">
        <v>1192</v>
      </c>
      <c r="C216" s="205" t="s">
        <v>1190</v>
      </c>
      <c r="D216" s="205">
        <v>8</v>
      </c>
      <c r="E216" s="205">
        <v>1</v>
      </c>
      <c r="F216" s="205">
        <v>0</v>
      </c>
      <c r="G216" s="205">
        <v>0</v>
      </c>
      <c r="H216" s="205" t="s">
        <v>546</v>
      </c>
      <c r="I216" s="205">
        <v>1</v>
      </c>
    </row>
    <row r="217" spans="1:9" ht="14.1" customHeight="1">
      <c r="A217" s="201">
        <v>6404119050</v>
      </c>
      <c r="B217" s="207" t="s">
        <v>1193</v>
      </c>
      <c r="C217" s="205" t="s">
        <v>1190</v>
      </c>
      <c r="D217" s="205">
        <v>2</v>
      </c>
      <c r="E217" s="205">
        <v>2</v>
      </c>
      <c r="F217" s="205">
        <v>0</v>
      </c>
      <c r="G217" s="205">
        <v>0</v>
      </c>
      <c r="H217" s="205" t="s">
        <v>546</v>
      </c>
      <c r="I217" s="205">
        <v>2</v>
      </c>
    </row>
    <row r="218" spans="1:9" ht="14.1" customHeight="1">
      <c r="A218" s="201">
        <v>7112910100</v>
      </c>
      <c r="B218" s="207" t="s">
        <v>1194</v>
      </c>
      <c r="C218" s="205" t="s">
        <v>1049</v>
      </c>
      <c r="D218" s="215">
        <v>1728</v>
      </c>
      <c r="E218" s="205">
        <v>19</v>
      </c>
      <c r="F218" s="205">
        <v>0</v>
      </c>
      <c r="G218" s="205">
        <v>0</v>
      </c>
      <c r="H218" s="205">
        <v>0</v>
      </c>
      <c r="I218" s="205">
        <v>0</v>
      </c>
    </row>
    <row r="219" spans="1:9" ht="14.1" customHeight="1">
      <c r="A219" s="201">
        <v>7112990100</v>
      </c>
      <c r="B219" s="207" t="s">
        <v>1048</v>
      </c>
      <c r="C219" s="205" t="s">
        <v>1049</v>
      </c>
      <c r="D219" s="215">
        <v>31597</v>
      </c>
      <c r="E219" s="205">
        <v>12</v>
      </c>
      <c r="F219" s="205" t="s">
        <v>546</v>
      </c>
      <c r="G219" s="205">
        <v>12</v>
      </c>
      <c r="H219" s="205">
        <v>0</v>
      </c>
      <c r="I219" s="205">
        <v>0</v>
      </c>
    </row>
    <row r="220" spans="1:9" ht="14.1" customHeight="1">
      <c r="A220" s="201">
        <v>7113192100</v>
      </c>
      <c r="B220" s="207" t="s">
        <v>1195</v>
      </c>
      <c r="C220" s="205" t="s">
        <v>1049</v>
      </c>
      <c r="D220" s="205">
        <v>25</v>
      </c>
      <c r="E220" s="205">
        <v>2</v>
      </c>
      <c r="F220" s="205">
        <v>0</v>
      </c>
      <c r="G220" s="205">
        <v>0</v>
      </c>
      <c r="H220" s="205">
        <v>0</v>
      </c>
      <c r="I220" s="205">
        <v>2</v>
      </c>
    </row>
    <row r="221" spans="1:9" ht="14.1" customHeight="1">
      <c r="A221" s="201">
        <v>7113192900</v>
      </c>
      <c r="B221" s="207" t="s">
        <v>1196</v>
      </c>
      <c r="C221" s="205" t="s">
        <v>1049</v>
      </c>
      <c r="D221" s="205">
        <v>1</v>
      </c>
      <c r="E221" s="205">
        <v>4</v>
      </c>
      <c r="F221" s="205">
        <v>0</v>
      </c>
      <c r="G221" s="205">
        <v>0</v>
      </c>
      <c r="H221" s="205">
        <v>0</v>
      </c>
      <c r="I221" s="205">
        <v>4</v>
      </c>
    </row>
    <row r="222" spans="1:9" ht="14.1" customHeight="1">
      <c r="A222" s="201">
        <v>7113195090</v>
      </c>
      <c r="B222" s="207" t="s">
        <v>1050</v>
      </c>
      <c r="C222" s="205" t="s">
        <v>1049</v>
      </c>
      <c r="D222" s="205">
        <v>454</v>
      </c>
      <c r="E222" s="205">
        <v>10</v>
      </c>
      <c r="F222" s="205">
        <v>0</v>
      </c>
      <c r="G222" s="205">
        <v>0</v>
      </c>
      <c r="H222" s="205" t="s">
        <v>546</v>
      </c>
      <c r="I222" s="205">
        <v>10</v>
      </c>
    </row>
    <row r="223" spans="1:9" ht="14.1" customHeight="1">
      <c r="A223" s="201">
        <v>7117909000</v>
      </c>
      <c r="B223" s="207" t="s">
        <v>1197</v>
      </c>
      <c r="C223" s="205" t="s">
        <v>1023</v>
      </c>
      <c r="D223" s="205">
        <v>7</v>
      </c>
      <c r="E223" s="205">
        <v>3</v>
      </c>
      <c r="F223" s="205">
        <v>0</v>
      </c>
      <c r="G223" s="205">
        <v>0</v>
      </c>
      <c r="H223" s="205" t="s">
        <v>546</v>
      </c>
      <c r="I223" s="205">
        <v>3</v>
      </c>
    </row>
    <row r="224" spans="1:9" ht="14.1" customHeight="1">
      <c r="A224" s="201">
        <v>7204210000</v>
      </c>
      <c r="B224" s="207" t="s">
        <v>1198</v>
      </c>
      <c r="C224" s="205" t="s">
        <v>1052</v>
      </c>
      <c r="D224" s="205">
        <v>22</v>
      </c>
      <c r="E224" s="205">
        <v>12</v>
      </c>
      <c r="F224" s="205">
        <v>23</v>
      </c>
      <c r="G224" s="205">
        <v>12</v>
      </c>
      <c r="H224" s="205">
        <v>0</v>
      </c>
      <c r="I224" s="205">
        <v>0</v>
      </c>
    </row>
    <row r="225" spans="1:9" ht="14.1" customHeight="1">
      <c r="A225" s="201">
        <v>7204490080</v>
      </c>
      <c r="B225" s="207" t="s">
        <v>1053</v>
      </c>
      <c r="C225" s="205" t="s">
        <v>1052</v>
      </c>
      <c r="D225" s="205">
        <v>63</v>
      </c>
      <c r="E225" s="205">
        <v>13</v>
      </c>
      <c r="F225" s="205">
        <v>65</v>
      </c>
      <c r="G225" s="205">
        <v>13</v>
      </c>
      <c r="H225" s="205">
        <v>0</v>
      </c>
      <c r="I225" s="205">
        <v>0</v>
      </c>
    </row>
    <row r="226" spans="1:9" ht="14.1" customHeight="1">
      <c r="A226" s="201">
        <v>7318152095</v>
      </c>
      <c r="B226" s="207" t="s">
        <v>1199</v>
      </c>
      <c r="C226" s="205" t="s">
        <v>1023</v>
      </c>
      <c r="D226" s="205">
        <v>25</v>
      </c>
      <c r="E226" s="205">
        <v>8</v>
      </c>
      <c r="F226" s="205">
        <v>0</v>
      </c>
      <c r="G226" s="205">
        <v>0</v>
      </c>
      <c r="H226" s="205" t="s">
        <v>546</v>
      </c>
      <c r="I226" s="205">
        <v>8</v>
      </c>
    </row>
    <row r="227" spans="1:9" ht="14.1" customHeight="1">
      <c r="A227" s="201">
        <v>7404003020</v>
      </c>
      <c r="B227" s="207" t="s">
        <v>1200</v>
      </c>
      <c r="C227" s="205" t="s">
        <v>1023</v>
      </c>
      <c r="D227" s="215">
        <v>5783</v>
      </c>
      <c r="E227" s="205">
        <v>18</v>
      </c>
      <c r="F227" s="205">
        <v>7</v>
      </c>
      <c r="G227" s="205">
        <v>18</v>
      </c>
      <c r="H227" s="205">
        <v>0</v>
      </c>
      <c r="I227" s="205">
        <v>0</v>
      </c>
    </row>
    <row r="228" spans="1:9" ht="14.1" customHeight="1">
      <c r="A228" s="201">
        <v>8207306095</v>
      </c>
      <c r="B228" s="207" t="s">
        <v>1201</v>
      </c>
      <c r="C228" s="205" t="s">
        <v>1032</v>
      </c>
      <c r="D228" s="205">
        <v>12</v>
      </c>
      <c r="E228" s="205">
        <v>4</v>
      </c>
      <c r="F228" s="205">
        <v>0</v>
      </c>
      <c r="G228" s="205">
        <v>0</v>
      </c>
      <c r="H228" s="205" t="s">
        <v>546</v>
      </c>
      <c r="I228" s="205">
        <v>4</v>
      </c>
    </row>
    <row r="229" spans="1:9" ht="14.1" customHeight="1">
      <c r="A229" s="201">
        <v>8207907585</v>
      </c>
      <c r="B229" s="207" t="s">
        <v>1202</v>
      </c>
      <c r="C229" s="205" t="s">
        <v>1032</v>
      </c>
      <c r="D229" s="205">
        <v>1</v>
      </c>
      <c r="E229" s="205">
        <v>3</v>
      </c>
      <c r="F229" s="205">
        <v>0</v>
      </c>
      <c r="G229" s="205">
        <v>0</v>
      </c>
      <c r="H229" s="205" t="s">
        <v>546</v>
      </c>
      <c r="I229" s="205">
        <v>3</v>
      </c>
    </row>
    <row r="230" spans="1:9" ht="14.1" customHeight="1">
      <c r="A230" s="201">
        <v>8409999190</v>
      </c>
      <c r="B230" s="207" t="s">
        <v>1203</v>
      </c>
      <c r="C230" s="205" t="s">
        <v>1023</v>
      </c>
      <c r="D230" s="205">
        <v>203</v>
      </c>
      <c r="E230" s="205">
        <v>7</v>
      </c>
      <c r="F230" s="205" t="s">
        <v>546</v>
      </c>
      <c r="G230" s="205">
        <v>7</v>
      </c>
      <c r="H230" s="205">
        <v>0</v>
      </c>
      <c r="I230" s="205">
        <v>0</v>
      </c>
    </row>
    <row r="231" spans="1:9" ht="14.1" customHeight="1">
      <c r="A231" s="201">
        <v>8409999990</v>
      </c>
      <c r="B231" s="207" t="s">
        <v>1204</v>
      </c>
      <c r="C231" s="205" t="s">
        <v>1023</v>
      </c>
      <c r="D231" s="215">
        <v>2098</v>
      </c>
      <c r="E231" s="205">
        <v>69</v>
      </c>
      <c r="F231" s="205">
        <v>2</v>
      </c>
      <c r="G231" s="205">
        <v>69</v>
      </c>
      <c r="H231" s="205">
        <v>0</v>
      </c>
      <c r="I231" s="205">
        <v>0</v>
      </c>
    </row>
    <row r="232" spans="1:9" ht="14.1" customHeight="1">
      <c r="A232" s="201">
        <v>8413301000</v>
      </c>
      <c r="B232" s="207" t="s">
        <v>1205</v>
      </c>
      <c r="C232" s="205" t="s">
        <v>1032</v>
      </c>
      <c r="D232" s="205">
        <v>123</v>
      </c>
      <c r="E232" s="205">
        <v>54</v>
      </c>
      <c r="F232" s="205">
        <v>2</v>
      </c>
      <c r="G232" s="205">
        <v>54</v>
      </c>
      <c r="H232" s="205">
        <v>0</v>
      </c>
      <c r="I232" s="205">
        <v>0</v>
      </c>
    </row>
    <row r="233" spans="1:9" ht="14.1" customHeight="1">
      <c r="A233" s="201">
        <v>8413309060</v>
      </c>
      <c r="B233" s="207" t="s">
        <v>1206</v>
      </c>
      <c r="C233" s="205" t="s">
        <v>1032</v>
      </c>
      <c r="D233" s="205">
        <v>3</v>
      </c>
      <c r="E233" s="205">
        <v>2</v>
      </c>
      <c r="F233" s="205" t="s">
        <v>546</v>
      </c>
      <c r="G233" s="205">
        <v>2</v>
      </c>
      <c r="H233" s="205">
        <v>0</v>
      </c>
      <c r="I233" s="205">
        <v>0</v>
      </c>
    </row>
    <row r="234" spans="1:9" ht="14.1" customHeight="1">
      <c r="A234" s="201">
        <v>8413309090</v>
      </c>
      <c r="B234" s="207" t="s">
        <v>1207</v>
      </c>
      <c r="C234" s="205" t="s">
        <v>1032</v>
      </c>
      <c r="D234" s="205">
        <v>21</v>
      </c>
      <c r="E234" s="205">
        <v>7</v>
      </c>
      <c r="F234" s="205" t="s">
        <v>546</v>
      </c>
      <c r="G234" s="205">
        <v>7</v>
      </c>
      <c r="H234" s="205">
        <v>0</v>
      </c>
      <c r="I234" s="205">
        <v>0</v>
      </c>
    </row>
    <row r="235" spans="1:9" ht="14.1" customHeight="1">
      <c r="A235" s="201">
        <v>8413919010</v>
      </c>
      <c r="B235" s="207" t="s">
        <v>1208</v>
      </c>
      <c r="C235" s="205" t="s">
        <v>1023</v>
      </c>
      <c r="D235" s="205">
        <v>7</v>
      </c>
      <c r="E235" s="205">
        <v>4</v>
      </c>
      <c r="F235" s="205">
        <v>0</v>
      </c>
      <c r="G235" s="205">
        <v>0</v>
      </c>
      <c r="H235" s="205" t="s">
        <v>546</v>
      </c>
      <c r="I235" s="205">
        <v>4</v>
      </c>
    </row>
    <row r="236" spans="1:9" ht="14.1" customHeight="1">
      <c r="A236" s="201">
        <v>8414800500</v>
      </c>
      <c r="B236" s="207" t="s">
        <v>1209</v>
      </c>
      <c r="C236" s="205" t="s">
        <v>1032</v>
      </c>
      <c r="D236" s="205">
        <v>19</v>
      </c>
      <c r="E236" s="205">
        <v>15</v>
      </c>
      <c r="F236" s="205" t="s">
        <v>546</v>
      </c>
      <c r="G236" s="205">
        <v>15</v>
      </c>
      <c r="H236" s="205">
        <v>0</v>
      </c>
      <c r="I236" s="205">
        <v>0</v>
      </c>
    </row>
    <row r="237" spans="1:9" ht="14.1" customHeight="1">
      <c r="A237" s="201">
        <v>8414801615</v>
      </c>
      <c r="B237" s="207" t="s">
        <v>1210</v>
      </c>
      <c r="C237" s="205" t="s">
        <v>1032</v>
      </c>
      <c r="D237" s="205">
        <v>3</v>
      </c>
      <c r="E237" s="205">
        <v>3</v>
      </c>
      <c r="F237" s="205" t="s">
        <v>546</v>
      </c>
      <c r="G237" s="205">
        <v>3</v>
      </c>
      <c r="H237" s="205">
        <v>0</v>
      </c>
      <c r="I237" s="205">
        <v>0</v>
      </c>
    </row>
    <row r="238" spans="1:9" ht="14.1" customHeight="1">
      <c r="A238" s="201">
        <v>8414904190</v>
      </c>
      <c r="B238" s="207" t="s">
        <v>1211</v>
      </c>
      <c r="C238" s="205" t="s">
        <v>1023</v>
      </c>
      <c r="D238" s="205">
        <v>195</v>
      </c>
      <c r="E238" s="205">
        <v>50</v>
      </c>
      <c r="F238" s="205">
        <v>0</v>
      </c>
      <c r="G238" s="205">
        <v>0</v>
      </c>
      <c r="H238" s="205" t="s">
        <v>546</v>
      </c>
      <c r="I238" s="205">
        <v>50</v>
      </c>
    </row>
    <row r="239" spans="1:9">
      <c r="A239" s="201">
        <v>8415908085</v>
      </c>
      <c r="B239" s="207" t="s">
        <v>1212</v>
      </c>
      <c r="C239" s="205" t="s">
        <v>1023</v>
      </c>
      <c r="D239" s="205">
        <v>3</v>
      </c>
      <c r="E239" s="205">
        <v>10</v>
      </c>
      <c r="F239" s="205">
        <v>0</v>
      </c>
      <c r="G239" s="205">
        <v>0</v>
      </c>
      <c r="H239" s="205" t="s">
        <v>546</v>
      </c>
      <c r="I239" s="205">
        <v>10</v>
      </c>
    </row>
    <row r="240" spans="1:9" ht="12.95" customHeight="1">
      <c r="A240" s="201">
        <v>8418690180</v>
      </c>
      <c r="B240" s="207" t="s">
        <v>1213</v>
      </c>
      <c r="C240" s="205" t="s">
        <v>1032</v>
      </c>
      <c r="D240" s="205">
        <v>1</v>
      </c>
      <c r="E240" s="205">
        <v>3</v>
      </c>
      <c r="F240" s="205">
        <v>0</v>
      </c>
      <c r="G240" s="205">
        <v>0</v>
      </c>
      <c r="H240" s="205" t="s">
        <v>546</v>
      </c>
      <c r="I240" s="205">
        <v>3</v>
      </c>
    </row>
    <row r="241" spans="1:9" ht="9.75" customHeight="1">
      <c r="A241" s="201">
        <v>8419909580</v>
      </c>
      <c r="B241" s="207" t="s">
        <v>1214</v>
      </c>
      <c r="C241" s="205" t="s">
        <v>1023</v>
      </c>
      <c r="D241" s="205">
        <v>22</v>
      </c>
      <c r="E241" s="205">
        <v>21</v>
      </c>
      <c r="F241" s="205">
        <v>0</v>
      </c>
      <c r="G241" s="205">
        <v>0</v>
      </c>
      <c r="H241" s="205" t="s">
        <v>546</v>
      </c>
      <c r="I241" s="205">
        <v>21</v>
      </c>
    </row>
    <row r="242" spans="1:9" ht="15.75" customHeight="1">
      <c r="A242" s="108"/>
      <c r="B242" s="8"/>
      <c r="C242" s="108"/>
      <c r="D242" s="8"/>
      <c r="E242" s="8"/>
      <c r="F242" s="8"/>
      <c r="G242" s="8"/>
      <c r="H242" s="8"/>
      <c r="I242" s="8"/>
    </row>
    <row r="243" spans="1:9" ht="14.1" customHeight="1">
      <c r="A243" s="3"/>
      <c r="B243" s="2"/>
      <c r="C243" s="3"/>
      <c r="D243" s="2"/>
      <c r="E243" s="2"/>
      <c r="F243" s="2"/>
      <c r="G243" s="2"/>
      <c r="H243" s="2"/>
      <c r="I243" s="2"/>
    </row>
    <row r="244" spans="1:9" ht="14.1" customHeight="1">
      <c r="A244" s="269" t="s">
        <v>1215</v>
      </c>
      <c r="B244" s="90"/>
      <c r="C244" s="90"/>
      <c r="D244" s="90"/>
      <c r="E244" s="90"/>
      <c r="F244" s="90"/>
      <c r="G244" s="90"/>
      <c r="H244" s="90"/>
      <c r="I244" s="2"/>
    </row>
    <row r="245" spans="1:9" ht="14.1" customHeight="1">
      <c r="A245" s="8"/>
      <c r="B245" s="188"/>
      <c r="C245" s="41"/>
      <c r="D245" s="2023" t="s">
        <v>1157</v>
      </c>
      <c r="E245" s="2025"/>
      <c r="F245" s="2031" t="s">
        <v>1009</v>
      </c>
      <c r="G245" s="2031"/>
      <c r="H245" s="2330" t="s">
        <v>1010</v>
      </c>
      <c r="I245" s="2331"/>
    </row>
    <row r="246" spans="1:9" ht="16.5" customHeight="1">
      <c r="A246" s="2"/>
      <c r="B246" s="210"/>
      <c r="C246" s="201" t="s">
        <v>1011</v>
      </c>
      <c r="D246" s="2328"/>
      <c r="E246" s="2329"/>
      <c r="F246" s="2031"/>
      <c r="G246" s="2031"/>
      <c r="H246" s="2330"/>
      <c r="I246" s="2331"/>
    </row>
    <row r="247" spans="1:9" ht="14.1" customHeight="1">
      <c r="A247" s="2"/>
      <c r="B247" s="210"/>
      <c r="C247" s="201" t="s">
        <v>1013</v>
      </c>
      <c r="D247" s="221" t="s">
        <v>1014</v>
      </c>
      <c r="E247" s="226" t="s">
        <v>1015</v>
      </c>
      <c r="F247" s="217" t="s">
        <v>1012</v>
      </c>
      <c r="G247" s="225" t="s">
        <v>1015</v>
      </c>
      <c r="H247" s="201" t="s">
        <v>1012</v>
      </c>
      <c r="I247" s="197" t="s">
        <v>1015</v>
      </c>
    </row>
    <row r="248" spans="1:9" ht="14.1" customHeight="1">
      <c r="A248" s="201" t="s">
        <v>1017</v>
      </c>
      <c r="B248" s="256" t="s">
        <v>1018</v>
      </c>
      <c r="C248" s="201" t="s">
        <v>1019</v>
      </c>
      <c r="D248" s="221" t="s">
        <v>1019</v>
      </c>
      <c r="E248" s="257" t="s">
        <v>1020</v>
      </c>
      <c r="F248" s="201" t="s">
        <v>1016</v>
      </c>
      <c r="G248" s="257" t="s">
        <v>1020</v>
      </c>
      <c r="H248" s="201" t="s">
        <v>1016</v>
      </c>
      <c r="I248" s="258" t="s">
        <v>1020</v>
      </c>
    </row>
    <row r="249" spans="1:9" ht="14.1" customHeight="1">
      <c r="A249" s="217"/>
      <c r="B249" s="218"/>
      <c r="C249" s="217"/>
      <c r="D249" s="217"/>
      <c r="E249" s="220"/>
      <c r="F249" s="217"/>
      <c r="G249" s="220"/>
      <c r="H249" s="217"/>
      <c r="I249" s="217"/>
    </row>
    <row r="250" spans="1:9" ht="14.1" customHeight="1">
      <c r="A250" s="206">
        <v>8421320000</v>
      </c>
      <c r="B250" s="202" t="s">
        <v>1216</v>
      </c>
      <c r="C250" s="205" t="s">
        <v>1032</v>
      </c>
      <c r="D250" s="204">
        <v>2</v>
      </c>
      <c r="E250" s="204">
        <v>3</v>
      </c>
      <c r="F250" s="204" t="s">
        <v>546</v>
      </c>
      <c r="G250" s="204">
        <v>3</v>
      </c>
      <c r="H250" s="204">
        <v>0</v>
      </c>
      <c r="I250" s="204">
        <v>0</v>
      </c>
    </row>
    <row r="251" spans="1:9" ht="14.1" customHeight="1">
      <c r="A251" s="206">
        <v>8470500020</v>
      </c>
      <c r="B251" s="202" t="s">
        <v>1217</v>
      </c>
      <c r="C251" s="205" t="s">
        <v>1032</v>
      </c>
      <c r="D251" s="204">
        <v>1</v>
      </c>
      <c r="E251" s="204">
        <v>4</v>
      </c>
      <c r="F251" s="204">
        <v>0</v>
      </c>
      <c r="G251" s="204">
        <v>0</v>
      </c>
      <c r="H251" s="204" t="s">
        <v>546</v>
      </c>
      <c r="I251" s="204">
        <v>4</v>
      </c>
    </row>
    <row r="252" spans="1:9" ht="14.1" customHeight="1">
      <c r="A252" s="206">
        <v>8471300100</v>
      </c>
      <c r="B252" s="202" t="s">
        <v>1071</v>
      </c>
      <c r="C252" s="205" t="s">
        <v>1032</v>
      </c>
      <c r="D252" s="204">
        <v>8</v>
      </c>
      <c r="E252" s="204">
        <v>11</v>
      </c>
      <c r="F252" s="204">
        <v>0</v>
      </c>
      <c r="G252" s="204">
        <v>0</v>
      </c>
      <c r="H252" s="204" t="s">
        <v>546</v>
      </c>
      <c r="I252" s="204">
        <v>11</v>
      </c>
    </row>
    <row r="253" spans="1:9" ht="14.1" customHeight="1">
      <c r="A253" s="206">
        <v>8471601050</v>
      </c>
      <c r="B253" s="202" t="s">
        <v>1218</v>
      </c>
      <c r="C253" s="205" t="s">
        <v>1032</v>
      </c>
      <c r="D253" s="204">
        <v>1</v>
      </c>
      <c r="E253" s="204">
        <v>10</v>
      </c>
      <c r="F253" s="204">
        <v>0</v>
      </c>
      <c r="G253" s="204">
        <v>0</v>
      </c>
      <c r="H253" s="204" t="s">
        <v>546</v>
      </c>
      <c r="I253" s="204">
        <v>10</v>
      </c>
    </row>
    <row r="254" spans="1:9" ht="14.1" customHeight="1">
      <c r="A254" s="206">
        <v>8471804000</v>
      </c>
      <c r="B254" s="202" t="s">
        <v>1219</v>
      </c>
      <c r="C254" s="205" t="s">
        <v>1032</v>
      </c>
      <c r="D254" s="204">
        <v>1</v>
      </c>
      <c r="E254" s="204">
        <v>5</v>
      </c>
      <c r="F254" s="204">
        <v>0</v>
      </c>
      <c r="G254" s="204">
        <v>0</v>
      </c>
      <c r="H254" s="204" t="s">
        <v>546</v>
      </c>
      <c r="I254" s="204">
        <v>5</v>
      </c>
    </row>
    <row r="255" spans="1:9" ht="14.1" customHeight="1">
      <c r="A255" s="206">
        <v>8473302000</v>
      </c>
      <c r="B255" s="202" t="s">
        <v>1220</v>
      </c>
      <c r="C255" s="205" t="s">
        <v>1032</v>
      </c>
      <c r="D255" s="204">
        <v>5</v>
      </c>
      <c r="E255" s="204">
        <v>25</v>
      </c>
      <c r="F255" s="204">
        <v>0</v>
      </c>
      <c r="G255" s="204">
        <v>0</v>
      </c>
      <c r="H255" s="204" t="s">
        <v>546</v>
      </c>
      <c r="I255" s="204">
        <v>25</v>
      </c>
    </row>
    <row r="256" spans="1:9" ht="14.1" customHeight="1">
      <c r="A256" s="206">
        <v>8473305100</v>
      </c>
      <c r="B256" s="202" t="s">
        <v>1076</v>
      </c>
      <c r="C256" s="205" t="s">
        <v>1032</v>
      </c>
      <c r="D256" s="204">
        <v>5</v>
      </c>
      <c r="E256" s="204">
        <v>6</v>
      </c>
      <c r="F256" s="204">
        <v>0</v>
      </c>
      <c r="G256" s="204">
        <v>0</v>
      </c>
      <c r="H256" s="204" t="s">
        <v>546</v>
      </c>
      <c r="I256" s="204">
        <v>6</v>
      </c>
    </row>
    <row r="257" spans="1:9" ht="14.1" customHeight="1">
      <c r="A257" s="206">
        <v>8473509000</v>
      </c>
      <c r="B257" s="202" t="s">
        <v>1221</v>
      </c>
      <c r="C257" s="205" t="s">
        <v>1023</v>
      </c>
      <c r="D257" s="204">
        <v>1</v>
      </c>
      <c r="E257" s="204">
        <v>3</v>
      </c>
      <c r="F257" s="204">
        <v>0</v>
      </c>
      <c r="G257" s="204">
        <v>0</v>
      </c>
      <c r="H257" s="204" t="s">
        <v>546</v>
      </c>
      <c r="I257" s="204">
        <v>3</v>
      </c>
    </row>
    <row r="258" spans="1:9" ht="14.1" customHeight="1">
      <c r="A258" s="206">
        <v>8479909596</v>
      </c>
      <c r="B258" s="202" t="s">
        <v>1078</v>
      </c>
      <c r="C258" s="205" t="s">
        <v>1032</v>
      </c>
      <c r="D258" s="204">
        <v>5</v>
      </c>
      <c r="E258" s="204">
        <v>5</v>
      </c>
      <c r="F258" s="204">
        <v>0</v>
      </c>
      <c r="G258" s="204">
        <v>0</v>
      </c>
      <c r="H258" s="204" t="s">
        <v>546</v>
      </c>
      <c r="I258" s="204">
        <v>5</v>
      </c>
    </row>
    <row r="259" spans="1:9" ht="14.1" customHeight="1">
      <c r="A259" s="206">
        <v>8481809050</v>
      </c>
      <c r="B259" s="202" t="s">
        <v>1222</v>
      </c>
      <c r="C259" s="205" t="s">
        <v>1032</v>
      </c>
      <c r="D259" s="204">
        <v>7</v>
      </c>
      <c r="E259" s="204">
        <v>8</v>
      </c>
      <c r="F259" s="204">
        <v>0</v>
      </c>
      <c r="G259" s="204">
        <v>0</v>
      </c>
      <c r="H259" s="204" t="s">
        <v>546</v>
      </c>
      <c r="I259" s="204">
        <v>8</v>
      </c>
    </row>
    <row r="260" spans="1:9" ht="14.1" customHeight="1">
      <c r="A260" s="206">
        <v>8483103050</v>
      </c>
      <c r="B260" s="202" t="s">
        <v>1223</v>
      </c>
      <c r="C260" s="205" t="s">
        <v>1032</v>
      </c>
      <c r="D260" s="204">
        <v>5</v>
      </c>
      <c r="E260" s="204">
        <v>4</v>
      </c>
      <c r="F260" s="204" t="s">
        <v>546</v>
      </c>
      <c r="G260" s="204">
        <v>4</v>
      </c>
      <c r="H260" s="204">
        <v>0</v>
      </c>
      <c r="I260" s="204">
        <v>0</v>
      </c>
    </row>
    <row r="261" spans="1:9" ht="14.1" customHeight="1">
      <c r="A261" s="206">
        <v>8501316000</v>
      </c>
      <c r="B261" s="202" t="s">
        <v>1224</v>
      </c>
      <c r="C261" s="205" t="s">
        <v>1032</v>
      </c>
      <c r="D261" s="204">
        <v>1</v>
      </c>
      <c r="E261" s="204">
        <v>3</v>
      </c>
      <c r="F261" s="204">
        <v>0</v>
      </c>
      <c r="G261" s="204">
        <v>0</v>
      </c>
      <c r="H261" s="204" t="s">
        <v>546</v>
      </c>
      <c r="I261" s="204">
        <v>3</v>
      </c>
    </row>
    <row r="262" spans="1:9" ht="14.1" customHeight="1">
      <c r="A262" s="206">
        <v>8501620100</v>
      </c>
      <c r="B262" s="202" t="s">
        <v>1080</v>
      </c>
      <c r="C262" s="205" t="s">
        <v>1032</v>
      </c>
      <c r="D262" s="204">
        <v>2</v>
      </c>
      <c r="E262" s="204">
        <v>771</v>
      </c>
      <c r="F262" s="204">
        <v>0</v>
      </c>
      <c r="G262" s="204">
        <v>0</v>
      </c>
      <c r="H262" s="204" t="s">
        <v>546</v>
      </c>
      <c r="I262" s="204">
        <v>771</v>
      </c>
    </row>
    <row r="263" spans="1:9" ht="14.1" customHeight="1">
      <c r="A263" s="206">
        <v>8507204000</v>
      </c>
      <c r="B263" s="202" t="s">
        <v>1225</v>
      </c>
      <c r="C263" s="205" t="s">
        <v>1032</v>
      </c>
      <c r="D263" s="204">
        <v>30</v>
      </c>
      <c r="E263" s="204">
        <v>17</v>
      </c>
      <c r="F263" s="204">
        <v>2</v>
      </c>
      <c r="G263" s="204">
        <v>17</v>
      </c>
      <c r="H263" s="204">
        <v>0</v>
      </c>
      <c r="I263" s="204">
        <v>0</v>
      </c>
    </row>
    <row r="264" spans="1:9" ht="14.1" customHeight="1">
      <c r="A264" s="206">
        <v>8511400000</v>
      </c>
      <c r="B264" s="202" t="s">
        <v>1226</v>
      </c>
      <c r="C264" s="205" t="s">
        <v>1032</v>
      </c>
      <c r="D264" s="204">
        <v>32</v>
      </c>
      <c r="E264" s="204">
        <v>13</v>
      </c>
      <c r="F264" s="204" t="s">
        <v>546</v>
      </c>
      <c r="G264" s="204">
        <v>13</v>
      </c>
      <c r="H264" s="204">
        <v>0</v>
      </c>
      <c r="I264" s="204">
        <v>0</v>
      </c>
    </row>
    <row r="265" spans="1:9" ht="14.1" customHeight="1">
      <c r="A265" s="206">
        <v>8511500000</v>
      </c>
      <c r="B265" s="202" t="s">
        <v>1227</v>
      </c>
      <c r="C265" s="205" t="s">
        <v>1032</v>
      </c>
      <c r="D265" s="204">
        <v>16</v>
      </c>
      <c r="E265" s="204">
        <v>5</v>
      </c>
      <c r="F265" s="204" t="s">
        <v>546</v>
      </c>
      <c r="G265" s="204">
        <v>5</v>
      </c>
      <c r="H265" s="204">
        <v>0</v>
      </c>
      <c r="I265" s="204">
        <v>0</v>
      </c>
    </row>
    <row r="266" spans="1:9" ht="14.1" customHeight="1">
      <c r="A266" s="206">
        <v>8517130000</v>
      </c>
      <c r="B266" s="202" t="s">
        <v>1087</v>
      </c>
      <c r="C266" s="205" t="s">
        <v>1032</v>
      </c>
      <c r="D266" s="204">
        <v>4</v>
      </c>
      <c r="E266" s="204">
        <v>5</v>
      </c>
      <c r="F266" s="204">
        <v>0</v>
      </c>
      <c r="G266" s="204">
        <v>0</v>
      </c>
      <c r="H266" s="204" t="s">
        <v>546</v>
      </c>
      <c r="I266" s="204">
        <v>5</v>
      </c>
    </row>
    <row r="267" spans="1:9" ht="14.1" customHeight="1">
      <c r="A267" s="206">
        <v>8517620090</v>
      </c>
      <c r="B267" s="202" t="s">
        <v>1089</v>
      </c>
      <c r="C267" s="205" t="s">
        <v>1023</v>
      </c>
      <c r="D267" s="204">
        <v>39</v>
      </c>
      <c r="E267" s="204">
        <v>12</v>
      </c>
      <c r="F267" s="204">
        <v>0</v>
      </c>
      <c r="G267" s="204">
        <v>0</v>
      </c>
      <c r="H267" s="204" t="s">
        <v>546</v>
      </c>
      <c r="I267" s="204">
        <v>12</v>
      </c>
    </row>
    <row r="268" spans="1:9" ht="14.1" customHeight="1">
      <c r="A268" s="206">
        <v>8517690000</v>
      </c>
      <c r="B268" s="202" t="s">
        <v>1228</v>
      </c>
      <c r="C268" s="205" t="s">
        <v>1032</v>
      </c>
      <c r="D268" s="204">
        <v>1</v>
      </c>
      <c r="E268" s="204">
        <v>3</v>
      </c>
      <c r="F268" s="204">
        <v>0</v>
      </c>
      <c r="G268" s="204">
        <v>0</v>
      </c>
      <c r="H268" s="204" t="s">
        <v>546</v>
      </c>
      <c r="I268" s="204">
        <v>3</v>
      </c>
    </row>
    <row r="269" spans="1:9" ht="14.1" customHeight="1">
      <c r="A269" s="206">
        <v>8518298000</v>
      </c>
      <c r="B269" s="202" t="s">
        <v>1229</v>
      </c>
      <c r="C269" s="205" t="s">
        <v>1032</v>
      </c>
      <c r="D269" s="203">
        <v>2160</v>
      </c>
      <c r="E269" s="204">
        <v>21</v>
      </c>
      <c r="F269" s="204">
        <v>0</v>
      </c>
      <c r="G269" s="204">
        <v>0</v>
      </c>
      <c r="H269" s="204">
        <v>1</v>
      </c>
      <c r="I269" s="204">
        <v>21</v>
      </c>
    </row>
    <row r="270" spans="1:9" ht="14.1" customHeight="1">
      <c r="A270" s="206">
        <v>8523520090</v>
      </c>
      <c r="B270" s="202" t="s">
        <v>1230</v>
      </c>
      <c r="C270" s="205" t="s">
        <v>1032</v>
      </c>
      <c r="D270" s="204">
        <v>5</v>
      </c>
      <c r="E270" s="204">
        <v>2</v>
      </c>
      <c r="F270" s="204">
        <v>0</v>
      </c>
      <c r="G270" s="204">
        <v>0</v>
      </c>
      <c r="H270" s="204" t="s">
        <v>546</v>
      </c>
      <c r="I270" s="204">
        <v>2</v>
      </c>
    </row>
    <row r="271" spans="1:9" ht="14.1" customHeight="1">
      <c r="A271" s="206">
        <v>8525503040</v>
      </c>
      <c r="B271" s="202" t="s">
        <v>1231</v>
      </c>
      <c r="C271" s="205" t="s">
        <v>1032</v>
      </c>
      <c r="D271" s="204">
        <v>3</v>
      </c>
      <c r="E271" s="204">
        <v>5</v>
      </c>
      <c r="F271" s="204">
        <v>0</v>
      </c>
      <c r="G271" s="204">
        <v>0</v>
      </c>
      <c r="H271" s="204" t="s">
        <v>546</v>
      </c>
      <c r="I271" s="204">
        <v>5</v>
      </c>
    </row>
    <row r="272" spans="1:9" ht="14.1" customHeight="1">
      <c r="A272" s="206">
        <v>8526925000</v>
      </c>
      <c r="B272" s="202" t="s">
        <v>1232</v>
      </c>
      <c r="C272" s="205" t="s">
        <v>1032</v>
      </c>
      <c r="D272" s="204">
        <v>9</v>
      </c>
      <c r="E272" s="204">
        <v>3</v>
      </c>
      <c r="F272" s="204">
        <v>0</v>
      </c>
      <c r="G272" s="204">
        <v>0</v>
      </c>
      <c r="H272" s="204" t="s">
        <v>546</v>
      </c>
      <c r="I272" s="204">
        <v>3</v>
      </c>
    </row>
    <row r="273" spans="1:9" ht="14.1" customHeight="1">
      <c r="A273" s="206">
        <v>8536908510</v>
      </c>
      <c r="B273" s="202" t="s">
        <v>1233</v>
      </c>
      <c r="C273" s="205" t="s">
        <v>1023</v>
      </c>
      <c r="D273" s="204">
        <v>62</v>
      </c>
      <c r="E273" s="204">
        <v>46</v>
      </c>
      <c r="F273" s="204">
        <v>0</v>
      </c>
      <c r="G273" s="204">
        <v>0</v>
      </c>
      <c r="H273" s="204" t="s">
        <v>546</v>
      </c>
      <c r="I273" s="204">
        <v>46</v>
      </c>
    </row>
    <row r="274" spans="1:9" ht="14.1" customHeight="1">
      <c r="A274" s="206">
        <v>8537109150</v>
      </c>
      <c r="B274" s="202" t="s">
        <v>1234</v>
      </c>
      <c r="C274" s="205" t="s">
        <v>1032</v>
      </c>
      <c r="D274" s="204">
        <v>16</v>
      </c>
      <c r="E274" s="204">
        <v>48</v>
      </c>
      <c r="F274" s="204">
        <v>0</v>
      </c>
      <c r="G274" s="204">
        <v>0</v>
      </c>
      <c r="H274" s="204" t="s">
        <v>546</v>
      </c>
      <c r="I274" s="204">
        <v>48</v>
      </c>
    </row>
    <row r="275" spans="1:9" ht="14.1" customHeight="1">
      <c r="A275" s="206">
        <v>8537109160</v>
      </c>
      <c r="B275" s="202" t="s">
        <v>1235</v>
      </c>
      <c r="C275" s="205" t="s">
        <v>1032</v>
      </c>
      <c r="D275" s="204">
        <v>16</v>
      </c>
      <c r="E275" s="204">
        <v>9</v>
      </c>
      <c r="F275" s="204" t="s">
        <v>546</v>
      </c>
      <c r="G275" s="204">
        <v>9</v>
      </c>
      <c r="H275" s="204">
        <v>0</v>
      </c>
      <c r="I275" s="204">
        <v>0</v>
      </c>
    </row>
    <row r="276" spans="1:9" ht="12.95" customHeight="1">
      <c r="A276" s="206">
        <v>8543709810</v>
      </c>
      <c r="B276" s="202" t="s">
        <v>1236</v>
      </c>
      <c r="C276" s="205" t="s">
        <v>1032</v>
      </c>
      <c r="D276" s="204">
        <v>1</v>
      </c>
      <c r="E276" s="204">
        <v>27</v>
      </c>
      <c r="F276" s="204">
        <v>0</v>
      </c>
      <c r="G276" s="204">
        <v>0</v>
      </c>
      <c r="H276" s="204" t="s">
        <v>546</v>
      </c>
      <c r="I276" s="204">
        <v>27</v>
      </c>
    </row>
    <row r="277" spans="1:9" ht="12.95" customHeight="1">
      <c r="A277" s="206">
        <v>8543709860</v>
      </c>
      <c r="B277" s="202" t="s">
        <v>1099</v>
      </c>
      <c r="C277" s="205" t="s">
        <v>1032</v>
      </c>
      <c r="D277" s="204">
        <v>17</v>
      </c>
      <c r="E277" s="204">
        <v>10</v>
      </c>
      <c r="F277" s="204" t="s">
        <v>546</v>
      </c>
      <c r="G277" s="204">
        <v>7</v>
      </c>
      <c r="H277" s="204" t="s">
        <v>546</v>
      </c>
      <c r="I277" s="204">
        <v>3</v>
      </c>
    </row>
    <row r="278" spans="1:9" ht="18" customHeight="1">
      <c r="A278" s="108"/>
      <c r="B278" s="8"/>
      <c r="C278" s="108"/>
      <c r="D278" s="8"/>
      <c r="E278" s="8"/>
      <c r="F278" s="8"/>
      <c r="G278" s="8"/>
      <c r="H278" s="8"/>
      <c r="I278" s="8"/>
    </row>
    <row r="279" spans="1:9" ht="14.1" customHeight="1">
      <c r="A279" s="3"/>
      <c r="B279" s="2"/>
      <c r="C279" s="3"/>
      <c r="D279" s="2"/>
      <c r="E279" s="2"/>
      <c r="F279" s="2"/>
      <c r="G279" s="2"/>
      <c r="H279" s="2"/>
      <c r="I279" s="2"/>
    </row>
    <row r="280" spans="1:9" ht="16.5" customHeight="1">
      <c r="A280" s="219" t="s">
        <v>1237</v>
      </c>
      <c r="B280" s="3"/>
      <c r="C280" s="3"/>
      <c r="D280" s="3"/>
      <c r="E280" s="3"/>
      <c r="F280" s="90"/>
      <c r="G280" s="90"/>
      <c r="H280" s="90"/>
      <c r="I280" s="2"/>
    </row>
    <row r="281" spans="1:9" ht="14.1" customHeight="1">
      <c r="A281" s="8"/>
      <c r="B281" s="188"/>
      <c r="C281" s="41"/>
      <c r="D281" s="2023" t="s">
        <v>1157</v>
      </c>
      <c r="E281" s="2025"/>
      <c r="F281" s="2023" t="s">
        <v>1009</v>
      </c>
      <c r="G281" s="2025"/>
      <c r="H281" s="2324" t="s">
        <v>1010</v>
      </c>
      <c r="I281" s="2325"/>
    </row>
    <row r="282" spans="1:9" ht="17.25" customHeight="1">
      <c r="A282" s="2"/>
      <c r="B282" s="210"/>
      <c r="C282" s="201" t="s">
        <v>1011</v>
      </c>
      <c r="D282" s="2328"/>
      <c r="E282" s="2329"/>
      <c r="F282" s="2328"/>
      <c r="G282" s="2329"/>
      <c r="H282" s="2326"/>
      <c r="I282" s="2327"/>
    </row>
    <row r="283" spans="1:9" ht="14.1" customHeight="1">
      <c r="A283" s="2"/>
      <c r="B283" s="210"/>
      <c r="C283" s="201" t="s">
        <v>1013</v>
      </c>
      <c r="D283" s="221" t="s">
        <v>1014</v>
      </c>
      <c r="E283" s="226" t="s">
        <v>1015</v>
      </c>
      <c r="F283" s="217" t="s">
        <v>1012</v>
      </c>
      <c r="G283" s="225" t="s">
        <v>1015</v>
      </c>
      <c r="H283" s="201" t="s">
        <v>1012</v>
      </c>
      <c r="I283" s="197" t="s">
        <v>1015</v>
      </c>
    </row>
    <row r="284" spans="1:9" ht="14.1" customHeight="1">
      <c r="A284" s="208" t="s">
        <v>1017</v>
      </c>
      <c r="B284" s="211" t="s">
        <v>1018</v>
      </c>
      <c r="C284" s="208" t="s">
        <v>1019</v>
      </c>
      <c r="D284" s="222" t="s">
        <v>1019</v>
      </c>
      <c r="E284" s="223" t="s">
        <v>1020</v>
      </c>
      <c r="F284" s="208" t="s">
        <v>1016</v>
      </c>
      <c r="G284" s="223" t="s">
        <v>1020</v>
      </c>
      <c r="H284" s="208" t="s">
        <v>1016</v>
      </c>
      <c r="I284" s="224" t="s">
        <v>1020</v>
      </c>
    </row>
    <row r="285" spans="1:9" ht="14.1" customHeight="1">
      <c r="A285" s="201"/>
      <c r="B285" s="207"/>
      <c r="C285" s="201"/>
      <c r="D285" s="201"/>
      <c r="E285" s="249"/>
      <c r="F285" s="201"/>
      <c r="G285" s="249"/>
      <c r="H285" s="201"/>
      <c r="I285" s="201"/>
    </row>
    <row r="286" spans="1:9" ht="14.1" customHeight="1">
      <c r="A286" s="206">
        <v>8543908885</v>
      </c>
      <c r="B286" s="202" t="s">
        <v>1238</v>
      </c>
      <c r="C286" s="204" t="s">
        <v>1032</v>
      </c>
      <c r="D286" s="204">
        <v>2</v>
      </c>
      <c r="E286" s="204">
        <v>6</v>
      </c>
      <c r="F286" s="204">
        <v>0</v>
      </c>
      <c r="G286" s="204">
        <v>0</v>
      </c>
      <c r="H286" s="204" t="s">
        <v>546</v>
      </c>
      <c r="I286" s="204">
        <v>6</v>
      </c>
    </row>
    <row r="287" spans="1:9" ht="14.1" customHeight="1">
      <c r="A287" s="206">
        <v>8549111040</v>
      </c>
      <c r="B287" s="202" t="s">
        <v>1101</v>
      </c>
      <c r="C287" s="204" t="s">
        <v>1032</v>
      </c>
      <c r="D287" s="203">
        <v>8410</v>
      </c>
      <c r="E287" s="204">
        <v>108</v>
      </c>
      <c r="F287" s="204">
        <v>136</v>
      </c>
      <c r="G287" s="204">
        <v>108</v>
      </c>
      <c r="H287" s="204">
        <v>0</v>
      </c>
      <c r="I287" s="204">
        <v>0</v>
      </c>
    </row>
    <row r="288" spans="1:9" ht="14.1" customHeight="1">
      <c r="A288" s="206">
        <v>8609000000</v>
      </c>
      <c r="B288" s="202" t="s">
        <v>1239</v>
      </c>
      <c r="C288" s="204" t="s">
        <v>1032</v>
      </c>
      <c r="D288" s="204">
        <v>25</v>
      </c>
      <c r="E288" s="204">
        <v>70</v>
      </c>
      <c r="F288" s="204">
        <v>0</v>
      </c>
      <c r="G288" s="204">
        <v>0</v>
      </c>
      <c r="H288" s="204" t="s">
        <v>546</v>
      </c>
      <c r="I288" s="204">
        <v>70</v>
      </c>
    </row>
    <row r="289" spans="1:9" ht="14.1" customHeight="1">
      <c r="A289" s="206">
        <v>8703210130</v>
      </c>
      <c r="B289" s="202" t="s">
        <v>1240</v>
      </c>
      <c r="C289" s="204" t="s">
        <v>1032</v>
      </c>
      <c r="D289" s="204">
        <v>1</v>
      </c>
      <c r="E289" s="204">
        <v>6</v>
      </c>
      <c r="F289" s="204">
        <v>2</v>
      </c>
      <c r="G289" s="204">
        <v>6</v>
      </c>
      <c r="H289" s="204">
        <v>0</v>
      </c>
      <c r="I289" s="204">
        <v>0</v>
      </c>
    </row>
    <row r="290" spans="1:9" ht="14.1" customHeight="1">
      <c r="A290" s="206">
        <v>8703230190</v>
      </c>
      <c r="B290" s="202" t="s">
        <v>1102</v>
      </c>
      <c r="C290" s="204" t="s">
        <v>1032</v>
      </c>
      <c r="D290" s="204">
        <v>12</v>
      </c>
      <c r="E290" s="204">
        <v>217</v>
      </c>
      <c r="F290" s="204">
        <v>18</v>
      </c>
      <c r="G290" s="204">
        <v>217</v>
      </c>
      <c r="H290" s="204">
        <v>0</v>
      </c>
      <c r="I290" s="204">
        <v>0</v>
      </c>
    </row>
    <row r="291" spans="1:9" ht="14.1" customHeight="1">
      <c r="A291" s="206">
        <v>8703240190</v>
      </c>
      <c r="B291" s="202" t="s">
        <v>1241</v>
      </c>
      <c r="C291" s="204" t="s">
        <v>1032</v>
      </c>
      <c r="D291" s="204">
        <v>1</v>
      </c>
      <c r="E291" s="204">
        <v>19</v>
      </c>
      <c r="F291" s="204">
        <v>1</v>
      </c>
      <c r="G291" s="204">
        <v>19</v>
      </c>
      <c r="H291" s="204">
        <v>0</v>
      </c>
      <c r="I291" s="204">
        <v>0</v>
      </c>
    </row>
    <row r="292" spans="1:9" ht="14.1" customHeight="1">
      <c r="A292" s="206">
        <v>8703400045</v>
      </c>
      <c r="B292" s="202" t="s">
        <v>1242</v>
      </c>
      <c r="C292" s="204" t="s">
        <v>1032</v>
      </c>
      <c r="D292" s="204">
        <v>1</v>
      </c>
      <c r="E292" s="204">
        <v>16</v>
      </c>
      <c r="F292" s="204">
        <v>2</v>
      </c>
      <c r="G292" s="204">
        <v>16</v>
      </c>
      <c r="H292" s="204">
        <v>0</v>
      </c>
      <c r="I292" s="204">
        <v>0</v>
      </c>
    </row>
    <row r="293" spans="1:9" ht="14.1" customHeight="1">
      <c r="A293" s="206">
        <v>8703600045</v>
      </c>
      <c r="B293" s="202" t="s">
        <v>1243</v>
      </c>
      <c r="C293" s="204" t="s">
        <v>1032</v>
      </c>
      <c r="D293" s="204">
        <v>1</v>
      </c>
      <c r="E293" s="204">
        <v>41</v>
      </c>
      <c r="F293" s="204">
        <v>3</v>
      </c>
      <c r="G293" s="204">
        <v>41</v>
      </c>
      <c r="H293" s="204">
        <v>0</v>
      </c>
      <c r="I293" s="204">
        <v>0</v>
      </c>
    </row>
    <row r="294" spans="1:9" ht="14.1" customHeight="1">
      <c r="A294" s="206">
        <v>8704310120</v>
      </c>
      <c r="B294" s="202" t="s">
        <v>1103</v>
      </c>
      <c r="C294" s="204" t="s">
        <v>1032</v>
      </c>
      <c r="D294" s="204">
        <v>1</v>
      </c>
      <c r="E294" s="204">
        <v>5</v>
      </c>
      <c r="F294" s="204">
        <v>1</v>
      </c>
      <c r="G294" s="204">
        <v>5</v>
      </c>
      <c r="H294" s="204">
        <v>0</v>
      </c>
      <c r="I294" s="204">
        <v>0</v>
      </c>
    </row>
    <row r="295" spans="1:9" ht="14.1" customHeight="1">
      <c r="A295" s="206">
        <v>8708992300</v>
      </c>
      <c r="B295" s="202" t="s">
        <v>1244</v>
      </c>
      <c r="C295" s="204" t="s">
        <v>1032</v>
      </c>
      <c r="D295" s="204">
        <v>1</v>
      </c>
      <c r="E295" s="204">
        <v>3</v>
      </c>
      <c r="F295" s="204" t="s">
        <v>546</v>
      </c>
      <c r="G295" s="204">
        <v>3</v>
      </c>
      <c r="H295" s="204">
        <v>0</v>
      </c>
      <c r="I295" s="204">
        <v>0</v>
      </c>
    </row>
    <row r="296" spans="1:9" ht="14.1" customHeight="1">
      <c r="A296" s="206">
        <v>8708998180</v>
      </c>
      <c r="B296" s="202" t="s">
        <v>1104</v>
      </c>
      <c r="C296" s="204" t="s">
        <v>1032</v>
      </c>
      <c r="D296" s="204">
        <v>1</v>
      </c>
      <c r="E296" s="204">
        <v>10</v>
      </c>
      <c r="F296" s="204">
        <v>0</v>
      </c>
      <c r="G296" s="204">
        <v>0</v>
      </c>
      <c r="H296" s="204" t="s">
        <v>546</v>
      </c>
      <c r="I296" s="204">
        <v>10</v>
      </c>
    </row>
    <row r="297" spans="1:9" ht="14.1" customHeight="1">
      <c r="A297" s="206">
        <v>8709190060</v>
      </c>
      <c r="B297" s="202" t="s">
        <v>1245</v>
      </c>
      <c r="C297" s="204" t="s">
        <v>1032</v>
      </c>
      <c r="D297" s="204">
        <v>2</v>
      </c>
      <c r="E297" s="204">
        <v>17</v>
      </c>
      <c r="F297" s="204">
        <v>50</v>
      </c>
      <c r="G297" s="204">
        <v>17</v>
      </c>
      <c r="H297" s="204">
        <v>0</v>
      </c>
      <c r="I297" s="204">
        <v>0</v>
      </c>
    </row>
    <row r="298" spans="1:9" ht="14.1" customHeight="1">
      <c r="A298" s="206">
        <v>9003110000</v>
      </c>
      <c r="B298" s="202" t="s">
        <v>1246</v>
      </c>
      <c r="C298" s="204" t="s">
        <v>1044</v>
      </c>
      <c r="D298" s="204">
        <v>5</v>
      </c>
      <c r="E298" s="204">
        <v>3</v>
      </c>
      <c r="F298" s="204">
        <v>0</v>
      </c>
      <c r="G298" s="204">
        <v>0</v>
      </c>
      <c r="H298" s="204" t="s">
        <v>546</v>
      </c>
      <c r="I298" s="204">
        <v>3</v>
      </c>
    </row>
    <row r="299" spans="1:9" ht="14.1" customHeight="1">
      <c r="A299" s="206">
        <v>9006910001</v>
      </c>
      <c r="B299" s="202" t="s">
        <v>1247</v>
      </c>
      <c r="C299" s="204" t="s">
        <v>1032</v>
      </c>
      <c r="D299" s="204">
        <v>1</v>
      </c>
      <c r="E299" s="204">
        <v>4</v>
      </c>
      <c r="F299" s="204">
        <v>0</v>
      </c>
      <c r="G299" s="204">
        <v>0</v>
      </c>
      <c r="H299" s="204" t="s">
        <v>546</v>
      </c>
      <c r="I299" s="204">
        <v>4</v>
      </c>
    </row>
    <row r="300" spans="1:9" ht="14.1" customHeight="1">
      <c r="A300" s="206">
        <v>9015808040</v>
      </c>
      <c r="B300" s="202" t="s">
        <v>1248</v>
      </c>
      <c r="C300" s="204" t="s">
        <v>1032</v>
      </c>
      <c r="D300" s="204">
        <v>4</v>
      </c>
      <c r="E300" s="204">
        <v>8</v>
      </c>
      <c r="F300" s="204">
        <v>0</v>
      </c>
      <c r="G300" s="204">
        <v>0</v>
      </c>
      <c r="H300" s="204" t="s">
        <v>546</v>
      </c>
      <c r="I300" s="204">
        <v>8</v>
      </c>
    </row>
    <row r="301" spans="1:9" ht="14.1" customHeight="1">
      <c r="A301" s="206">
        <v>9015808080</v>
      </c>
      <c r="B301" s="202" t="s">
        <v>1109</v>
      </c>
      <c r="C301" s="204" t="s">
        <v>1023</v>
      </c>
      <c r="D301" s="204">
        <v>323</v>
      </c>
      <c r="E301" s="204">
        <v>347</v>
      </c>
      <c r="F301" s="204">
        <v>0</v>
      </c>
      <c r="G301" s="204">
        <v>0</v>
      </c>
      <c r="H301" s="204" t="s">
        <v>546</v>
      </c>
      <c r="I301" s="204">
        <v>347</v>
      </c>
    </row>
    <row r="302" spans="1:9" ht="14.1" customHeight="1">
      <c r="A302" s="206">
        <v>9017308000</v>
      </c>
      <c r="B302" s="202" t="s">
        <v>1249</v>
      </c>
      <c r="C302" s="204" t="s">
        <v>1032</v>
      </c>
      <c r="D302" s="204">
        <v>40</v>
      </c>
      <c r="E302" s="204">
        <v>3</v>
      </c>
      <c r="F302" s="204">
        <v>0</v>
      </c>
      <c r="G302" s="204">
        <v>0</v>
      </c>
      <c r="H302" s="204" t="s">
        <v>546</v>
      </c>
      <c r="I302" s="204">
        <v>3</v>
      </c>
    </row>
    <row r="303" spans="1:9" ht="14.1" customHeight="1">
      <c r="A303" s="206">
        <v>9018410000</v>
      </c>
      <c r="B303" s="202" t="s">
        <v>1250</v>
      </c>
      <c r="C303" s="204" t="s">
        <v>1032</v>
      </c>
      <c r="D303" s="204">
        <v>7</v>
      </c>
      <c r="E303" s="204">
        <v>11</v>
      </c>
      <c r="F303" s="204">
        <v>0</v>
      </c>
      <c r="G303" s="204">
        <v>0</v>
      </c>
      <c r="H303" s="204" t="s">
        <v>546</v>
      </c>
      <c r="I303" s="204">
        <v>11</v>
      </c>
    </row>
    <row r="304" spans="1:9" ht="14.1" customHeight="1">
      <c r="A304" s="206">
        <v>9018498040</v>
      </c>
      <c r="B304" s="202" t="s">
        <v>1251</v>
      </c>
      <c r="C304" s="204" t="s">
        <v>1032</v>
      </c>
      <c r="D304" s="204">
        <v>63</v>
      </c>
      <c r="E304" s="204">
        <v>2</v>
      </c>
      <c r="F304" s="204">
        <v>0</v>
      </c>
      <c r="G304" s="204">
        <v>0</v>
      </c>
      <c r="H304" s="204" t="s">
        <v>546</v>
      </c>
      <c r="I304" s="204">
        <v>2</v>
      </c>
    </row>
    <row r="305" spans="1:9" ht="14.1" customHeight="1">
      <c r="A305" s="206">
        <v>9018498080</v>
      </c>
      <c r="B305" s="202" t="s">
        <v>1110</v>
      </c>
      <c r="C305" s="204" t="s">
        <v>1032</v>
      </c>
      <c r="D305" s="204">
        <v>406</v>
      </c>
      <c r="E305" s="204">
        <v>5</v>
      </c>
      <c r="F305" s="204">
        <v>0</v>
      </c>
      <c r="G305" s="204">
        <v>0</v>
      </c>
      <c r="H305" s="204" t="s">
        <v>546</v>
      </c>
      <c r="I305" s="204">
        <v>5</v>
      </c>
    </row>
    <row r="306" spans="1:9" ht="14.1" customHeight="1">
      <c r="A306" s="206">
        <v>9018500000</v>
      </c>
      <c r="B306" s="202" t="s">
        <v>1252</v>
      </c>
      <c r="C306" s="204" t="s">
        <v>1032</v>
      </c>
      <c r="D306" s="204">
        <v>111</v>
      </c>
      <c r="E306" s="204">
        <v>44</v>
      </c>
      <c r="F306" s="204">
        <v>0</v>
      </c>
      <c r="G306" s="204">
        <v>0</v>
      </c>
      <c r="H306" s="204" t="s">
        <v>546</v>
      </c>
      <c r="I306" s="204">
        <v>44</v>
      </c>
    </row>
    <row r="307" spans="1:9" ht="14.1" customHeight="1">
      <c r="A307" s="206">
        <v>9018902000</v>
      </c>
      <c r="B307" s="202" t="s">
        <v>1253</v>
      </c>
      <c r="C307" s="204" t="s">
        <v>1032</v>
      </c>
      <c r="D307" s="204">
        <v>3</v>
      </c>
      <c r="E307" s="204">
        <v>3</v>
      </c>
      <c r="F307" s="204">
        <v>0</v>
      </c>
      <c r="G307" s="204">
        <v>0</v>
      </c>
      <c r="H307" s="204" t="s">
        <v>546</v>
      </c>
      <c r="I307" s="204">
        <v>3</v>
      </c>
    </row>
    <row r="308" spans="1:9" ht="14.1" customHeight="1">
      <c r="A308" s="206">
        <v>9025198085</v>
      </c>
      <c r="B308" s="202" t="s">
        <v>1254</v>
      </c>
      <c r="C308" s="204" t="s">
        <v>1032</v>
      </c>
      <c r="D308" s="204">
        <v>4</v>
      </c>
      <c r="E308" s="204">
        <v>4</v>
      </c>
      <c r="F308" s="204">
        <v>0</v>
      </c>
      <c r="G308" s="204">
        <v>0</v>
      </c>
      <c r="H308" s="204" t="s">
        <v>546</v>
      </c>
      <c r="I308" s="204">
        <v>4</v>
      </c>
    </row>
    <row r="309" spans="1:9" ht="14.1" customHeight="1">
      <c r="A309" s="206">
        <v>9027894530</v>
      </c>
      <c r="B309" s="202" t="s">
        <v>1255</v>
      </c>
      <c r="C309" s="204" t="s">
        <v>1023</v>
      </c>
      <c r="D309" s="204">
        <v>26</v>
      </c>
      <c r="E309" s="204">
        <v>5</v>
      </c>
      <c r="F309" s="204">
        <v>0</v>
      </c>
      <c r="G309" s="204">
        <v>0</v>
      </c>
      <c r="H309" s="204" t="s">
        <v>546</v>
      </c>
      <c r="I309" s="204">
        <v>5</v>
      </c>
    </row>
    <row r="310" spans="1:9" ht="14.1" customHeight="1">
      <c r="A310" s="206">
        <v>9027894560</v>
      </c>
      <c r="B310" s="202" t="s">
        <v>1256</v>
      </c>
      <c r="C310" s="204" t="s">
        <v>1023</v>
      </c>
      <c r="D310" s="204">
        <v>2</v>
      </c>
      <c r="E310" s="204">
        <v>3</v>
      </c>
      <c r="F310" s="204">
        <v>0</v>
      </c>
      <c r="G310" s="204">
        <v>0</v>
      </c>
      <c r="H310" s="204" t="s">
        <v>546</v>
      </c>
      <c r="I310" s="204">
        <v>3</v>
      </c>
    </row>
    <row r="311" spans="1:9" ht="12.95" customHeight="1">
      <c r="A311" s="206">
        <v>9030400000</v>
      </c>
      <c r="B311" s="202" t="s">
        <v>1119</v>
      </c>
      <c r="C311" s="204" t="s">
        <v>1032</v>
      </c>
      <c r="D311" s="204">
        <v>6</v>
      </c>
      <c r="E311" s="204">
        <v>16</v>
      </c>
      <c r="F311" s="204">
        <v>0</v>
      </c>
      <c r="G311" s="204">
        <v>0</v>
      </c>
      <c r="H311" s="204" t="s">
        <v>546</v>
      </c>
      <c r="I311" s="204">
        <v>16</v>
      </c>
    </row>
    <row r="312" spans="1:9" ht="12.95" customHeight="1">
      <c r="A312" s="206">
        <v>9031494000</v>
      </c>
      <c r="B312" s="202" t="s">
        <v>1257</v>
      </c>
      <c r="C312" s="204" t="s">
        <v>1032</v>
      </c>
      <c r="D312" s="204">
        <v>2</v>
      </c>
      <c r="E312" s="204">
        <v>136</v>
      </c>
      <c r="F312" s="204">
        <v>0</v>
      </c>
      <c r="G312" s="204">
        <v>0</v>
      </c>
      <c r="H312" s="204" t="s">
        <v>546</v>
      </c>
      <c r="I312" s="204">
        <v>136</v>
      </c>
    </row>
    <row r="313" spans="1:9" ht="12.95" customHeight="1">
      <c r="A313" s="206">
        <v>9031499000</v>
      </c>
      <c r="B313" s="202" t="s">
        <v>1258</v>
      </c>
      <c r="C313" s="204" t="s">
        <v>1032</v>
      </c>
      <c r="D313" s="204">
        <v>1</v>
      </c>
      <c r="E313" s="204">
        <v>5</v>
      </c>
      <c r="F313" s="204">
        <v>0</v>
      </c>
      <c r="G313" s="204">
        <v>0</v>
      </c>
      <c r="H313" s="204" t="s">
        <v>546</v>
      </c>
      <c r="I313" s="204">
        <v>5</v>
      </c>
    </row>
    <row r="314" spans="1:9" ht="17.25" customHeight="1">
      <c r="A314" s="8"/>
      <c r="B314" s="8"/>
      <c r="C314" s="8"/>
      <c r="D314" s="8"/>
      <c r="E314" s="8"/>
      <c r="F314" s="8"/>
      <c r="G314" s="8"/>
      <c r="H314" s="8"/>
      <c r="I314" s="8"/>
    </row>
    <row r="315" spans="1:9" ht="14.1" customHeight="1">
      <c r="A315" s="2"/>
      <c r="B315" s="2"/>
      <c r="C315" s="2"/>
      <c r="D315" s="2"/>
      <c r="E315" s="2"/>
      <c r="F315" s="2"/>
      <c r="G315" s="2"/>
      <c r="H315" s="2"/>
      <c r="I315" s="2"/>
    </row>
    <row r="316" spans="1:9" ht="14.1" customHeight="1">
      <c r="A316" s="219" t="s">
        <v>1259</v>
      </c>
      <c r="B316" s="3"/>
      <c r="C316" s="3"/>
      <c r="D316" s="3"/>
      <c r="E316" s="3"/>
      <c r="F316" s="2"/>
      <c r="G316" s="2"/>
      <c r="H316" s="2"/>
      <c r="I316" s="2"/>
    </row>
    <row r="317" spans="1:9" ht="14.1" customHeight="1">
      <c r="A317" s="8"/>
      <c r="B317" s="188"/>
      <c r="C317" s="41"/>
      <c r="D317" s="2338" t="s">
        <v>1157</v>
      </c>
      <c r="E317" s="2339"/>
      <c r="F317" s="2335" t="s">
        <v>1009</v>
      </c>
      <c r="G317" s="2335"/>
      <c r="H317" s="2336" t="s">
        <v>1010</v>
      </c>
      <c r="I317" s="2337"/>
    </row>
    <row r="318" spans="1:9" ht="14.1" customHeight="1">
      <c r="A318" s="2"/>
      <c r="B318" s="210"/>
      <c r="C318" s="206" t="s">
        <v>1011</v>
      </c>
      <c r="D318" s="2340"/>
      <c r="E318" s="2341"/>
      <c r="F318" s="2335"/>
      <c r="G318" s="2335"/>
      <c r="H318" s="2336"/>
      <c r="I318" s="2337"/>
    </row>
    <row r="319" spans="1:9" ht="14.1" customHeight="1">
      <c r="A319" s="2"/>
      <c r="B319" s="210"/>
      <c r="C319" s="206" t="s">
        <v>1013</v>
      </c>
      <c r="D319" s="261" t="s">
        <v>1014</v>
      </c>
      <c r="E319" s="262" t="s">
        <v>1015</v>
      </c>
      <c r="F319" s="255" t="s">
        <v>1012</v>
      </c>
      <c r="G319" s="263" t="s">
        <v>1015</v>
      </c>
      <c r="H319" s="206" t="s">
        <v>1012</v>
      </c>
      <c r="I319" s="196" t="s">
        <v>1015</v>
      </c>
    </row>
    <row r="320" spans="1:9" ht="14.1" customHeight="1">
      <c r="A320" s="206" t="s">
        <v>1017</v>
      </c>
      <c r="B320" s="266" t="s">
        <v>1018</v>
      </c>
      <c r="C320" s="206" t="s">
        <v>1019</v>
      </c>
      <c r="D320" s="261" t="s">
        <v>1019</v>
      </c>
      <c r="E320" s="267" t="s">
        <v>1020</v>
      </c>
      <c r="F320" s="206" t="s">
        <v>1016</v>
      </c>
      <c r="G320" s="267" t="s">
        <v>1020</v>
      </c>
      <c r="H320" s="206" t="s">
        <v>1016</v>
      </c>
      <c r="I320" s="268" t="s">
        <v>1020</v>
      </c>
    </row>
    <row r="321" spans="1:9" ht="14.1" customHeight="1">
      <c r="A321" s="255"/>
      <c r="B321" s="259"/>
      <c r="C321" s="255"/>
      <c r="D321" s="255"/>
      <c r="E321" s="260"/>
      <c r="F321" s="255"/>
      <c r="G321" s="260"/>
      <c r="H321" s="255"/>
      <c r="I321" s="255"/>
    </row>
    <row r="322" spans="1:9" ht="14.1" customHeight="1">
      <c r="A322" s="206">
        <v>9031808085</v>
      </c>
      <c r="B322" s="202" t="s">
        <v>1121</v>
      </c>
      <c r="C322" s="204" t="s">
        <v>1023</v>
      </c>
      <c r="D322" s="204">
        <v>25</v>
      </c>
      <c r="E322" s="204">
        <v>4</v>
      </c>
      <c r="F322" s="204">
        <v>0</v>
      </c>
      <c r="G322" s="204">
        <v>0</v>
      </c>
      <c r="H322" s="204" t="s">
        <v>546</v>
      </c>
      <c r="I322" s="204">
        <v>4</v>
      </c>
    </row>
    <row r="323" spans="1:9" ht="14.1" customHeight="1">
      <c r="A323" s="206">
        <v>9031909195</v>
      </c>
      <c r="B323" s="202" t="s">
        <v>1260</v>
      </c>
      <c r="C323" s="204" t="s">
        <v>1023</v>
      </c>
      <c r="D323" s="204">
        <v>263</v>
      </c>
      <c r="E323" s="204">
        <v>27</v>
      </c>
      <c r="F323" s="204">
        <v>0</v>
      </c>
      <c r="G323" s="204">
        <v>0</v>
      </c>
      <c r="H323" s="204" t="s">
        <v>546</v>
      </c>
      <c r="I323" s="204">
        <v>27</v>
      </c>
    </row>
    <row r="324" spans="1:9" ht="14.1" customHeight="1">
      <c r="A324" s="206">
        <v>9401108000</v>
      </c>
      <c r="B324" s="202" t="s">
        <v>1261</v>
      </c>
      <c r="C324" s="204" t="s">
        <v>1032</v>
      </c>
      <c r="D324" s="204">
        <v>3</v>
      </c>
      <c r="E324" s="204">
        <v>1</v>
      </c>
      <c r="F324" s="204">
        <v>0</v>
      </c>
      <c r="G324" s="204">
        <v>0</v>
      </c>
      <c r="H324" s="204">
        <v>1</v>
      </c>
      <c r="I324" s="204">
        <v>1</v>
      </c>
    </row>
    <row r="325" spans="1:9" ht="14.1" customHeight="1">
      <c r="A325" s="206">
        <v>9403200082</v>
      </c>
      <c r="B325" s="202" t="s">
        <v>1262</v>
      </c>
      <c r="C325" s="204" t="s">
        <v>1032</v>
      </c>
      <c r="D325" s="204">
        <v>800</v>
      </c>
      <c r="E325" s="204">
        <v>34</v>
      </c>
      <c r="F325" s="204">
        <v>16</v>
      </c>
      <c r="G325" s="204">
        <v>34</v>
      </c>
      <c r="H325" s="204">
        <v>0</v>
      </c>
      <c r="I325" s="204">
        <v>0</v>
      </c>
    </row>
    <row r="326" spans="1:9" ht="14.1" customHeight="1">
      <c r="A326" s="206">
        <v>9403999020</v>
      </c>
      <c r="B326" s="202" t="s">
        <v>1263</v>
      </c>
      <c r="C326" s="204" t="s">
        <v>1023</v>
      </c>
      <c r="D326" s="203">
        <v>6440</v>
      </c>
      <c r="E326" s="204">
        <v>10</v>
      </c>
      <c r="F326" s="204">
        <v>7</v>
      </c>
      <c r="G326" s="204">
        <v>10</v>
      </c>
      <c r="H326" s="204">
        <v>0</v>
      </c>
      <c r="I326" s="204">
        <v>0</v>
      </c>
    </row>
    <row r="327" spans="1:9" ht="14.1" customHeight="1">
      <c r="A327" s="206">
        <v>9504906000</v>
      </c>
      <c r="B327" s="202" t="s">
        <v>1264</v>
      </c>
      <c r="C327" s="204" t="s">
        <v>1032</v>
      </c>
      <c r="D327" s="204">
        <v>1</v>
      </c>
      <c r="E327" s="204">
        <v>3</v>
      </c>
      <c r="F327" s="204">
        <v>0</v>
      </c>
      <c r="G327" s="204">
        <v>0</v>
      </c>
      <c r="H327" s="204" t="s">
        <v>546</v>
      </c>
      <c r="I327" s="204">
        <v>3</v>
      </c>
    </row>
    <row r="328" spans="1:9" ht="14.1" customHeight="1">
      <c r="A328" s="206">
        <v>9506310000</v>
      </c>
      <c r="B328" s="202" t="s">
        <v>1265</v>
      </c>
      <c r="C328" s="204" t="s">
        <v>1032</v>
      </c>
      <c r="D328" s="204">
        <v>39</v>
      </c>
      <c r="E328" s="204">
        <v>5</v>
      </c>
      <c r="F328" s="204">
        <v>0</v>
      </c>
      <c r="G328" s="204">
        <v>0</v>
      </c>
      <c r="H328" s="204" t="s">
        <v>546</v>
      </c>
      <c r="I328" s="204">
        <v>5</v>
      </c>
    </row>
    <row r="329" spans="1:9" ht="14.1" customHeight="1">
      <c r="A329" s="206">
        <v>9508100000</v>
      </c>
      <c r="B329" s="202" t="s">
        <v>1266</v>
      </c>
      <c r="C329" s="204" t="s">
        <v>1032</v>
      </c>
      <c r="D329" s="204">
        <v>8</v>
      </c>
      <c r="E329" s="204">
        <v>34</v>
      </c>
      <c r="F329" s="204">
        <v>2</v>
      </c>
      <c r="G329" s="204">
        <v>34</v>
      </c>
      <c r="H329" s="204">
        <v>0</v>
      </c>
      <c r="I329" s="204">
        <v>0</v>
      </c>
    </row>
    <row r="330" spans="1:9" ht="14.1" customHeight="1">
      <c r="A330" s="206">
        <v>9702900000</v>
      </c>
      <c r="B330" s="202" t="s">
        <v>1267</v>
      </c>
      <c r="C330" s="204" t="s">
        <v>1032</v>
      </c>
      <c r="D330" s="204">
        <v>1</v>
      </c>
      <c r="E330" s="204">
        <v>3</v>
      </c>
      <c r="F330" s="204">
        <v>0</v>
      </c>
      <c r="G330" s="204">
        <v>0</v>
      </c>
      <c r="H330" s="204" t="s">
        <v>546</v>
      </c>
      <c r="I330" s="204">
        <v>3</v>
      </c>
    </row>
    <row r="331" spans="1:9" ht="14.1" customHeight="1">
      <c r="A331" s="206">
        <v>9801001015</v>
      </c>
      <c r="B331" s="202" t="s">
        <v>1268</v>
      </c>
      <c r="C331" s="204" t="s">
        <v>1023</v>
      </c>
      <c r="D331" s="203">
        <v>11719</v>
      </c>
      <c r="E331" s="204">
        <v>58</v>
      </c>
      <c r="F331" s="204">
        <v>12</v>
      </c>
      <c r="G331" s="204">
        <v>58</v>
      </c>
      <c r="H331" s="204">
        <v>0</v>
      </c>
      <c r="I331" s="204">
        <v>0</v>
      </c>
    </row>
    <row r="332" spans="1:9" ht="14.1" customHeight="1">
      <c r="A332" s="206">
        <v>9801001027</v>
      </c>
      <c r="B332" s="202" t="s">
        <v>1126</v>
      </c>
      <c r="C332" s="204" t="s">
        <v>1023</v>
      </c>
      <c r="D332" s="204">
        <v>2</v>
      </c>
      <c r="E332" s="204">
        <v>5</v>
      </c>
      <c r="F332" s="204">
        <v>0</v>
      </c>
      <c r="G332" s="204">
        <v>0</v>
      </c>
      <c r="H332" s="204" t="s">
        <v>546</v>
      </c>
      <c r="I332" s="204">
        <v>5</v>
      </c>
    </row>
    <row r="333" spans="1:9" ht="14.1" customHeight="1">
      <c r="A333" s="206">
        <v>9801001028</v>
      </c>
      <c r="B333" s="202" t="s">
        <v>1127</v>
      </c>
      <c r="C333" s="204" t="s">
        <v>1023</v>
      </c>
      <c r="D333" s="204">
        <v>24</v>
      </c>
      <c r="E333" s="204">
        <v>6</v>
      </c>
      <c r="F333" s="204">
        <v>0</v>
      </c>
      <c r="G333" s="204">
        <v>0</v>
      </c>
      <c r="H333" s="204" t="s">
        <v>546</v>
      </c>
      <c r="I333" s="204">
        <v>6</v>
      </c>
    </row>
    <row r="334" spans="1:9" ht="14.1" customHeight="1">
      <c r="A334" s="206">
        <v>9801001029</v>
      </c>
      <c r="B334" s="202" t="s">
        <v>1269</v>
      </c>
      <c r="C334" s="204" t="s">
        <v>1129</v>
      </c>
      <c r="D334" s="204">
        <v>25</v>
      </c>
      <c r="E334" s="204">
        <v>3</v>
      </c>
      <c r="F334" s="204">
        <v>0</v>
      </c>
      <c r="G334" s="204">
        <v>0</v>
      </c>
      <c r="H334" s="204" t="s">
        <v>546</v>
      </c>
      <c r="I334" s="204">
        <v>3</v>
      </c>
    </row>
    <row r="335" spans="1:9" ht="14.1" customHeight="1">
      <c r="A335" s="206">
        <v>9801001030</v>
      </c>
      <c r="B335" s="202" t="s">
        <v>1128</v>
      </c>
      <c r="C335" s="204" t="s">
        <v>1129</v>
      </c>
      <c r="D335" s="204">
        <v>0</v>
      </c>
      <c r="E335" s="204">
        <v>151</v>
      </c>
      <c r="F335" s="204">
        <v>0</v>
      </c>
      <c r="G335" s="204">
        <v>0</v>
      </c>
      <c r="H335" s="204" t="s">
        <v>546</v>
      </c>
      <c r="I335" s="204">
        <v>151</v>
      </c>
    </row>
    <row r="336" spans="1:9" ht="14.1" customHeight="1">
      <c r="A336" s="206">
        <v>9801001031</v>
      </c>
      <c r="B336" s="202" t="s">
        <v>1130</v>
      </c>
      <c r="C336" s="204" t="s">
        <v>1129</v>
      </c>
      <c r="D336" s="204">
        <v>0</v>
      </c>
      <c r="E336" s="204">
        <v>110</v>
      </c>
      <c r="F336" s="204" t="s">
        <v>546</v>
      </c>
      <c r="G336" s="204">
        <v>10</v>
      </c>
      <c r="H336" s="204">
        <v>1</v>
      </c>
      <c r="I336" s="204">
        <v>100</v>
      </c>
    </row>
    <row r="337" spans="1:9" ht="14.1" customHeight="1">
      <c r="A337" s="206">
        <v>9801001035</v>
      </c>
      <c r="B337" s="202" t="s">
        <v>1131</v>
      </c>
      <c r="C337" s="204" t="s">
        <v>1032</v>
      </c>
      <c r="D337" s="203">
        <v>7700</v>
      </c>
      <c r="E337" s="203">
        <v>3392</v>
      </c>
      <c r="F337" s="204">
        <v>2</v>
      </c>
      <c r="G337" s="204">
        <v>63</v>
      </c>
      <c r="H337" s="204">
        <v>3</v>
      </c>
      <c r="I337" s="203">
        <v>3329</v>
      </c>
    </row>
    <row r="338" spans="1:9" ht="14.1" customHeight="1">
      <c r="A338" s="206">
        <v>9801001043</v>
      </c>
      <c r="B338" s="202" t="s">
        <v>1133</v>
      </c>
      <c r="C338" s="204" t="s">
        <v>1032</v>
      </c>
      <c r="D338" s="203">
        <v>1206</v>
      </c>
      <c r="E338" s="204">
        <v>730</v>
      </c>
      <c r="F338" s="204">
        <v>0</v>
      </c>
      <c r="G338" s="204">
        <v>0</v>
      </c>
      <c r="H338" s="204">
        <v>2</v>
      </c>
      <c r="I338" s="204">
        <v>730</v>
      </c>
    </row>
    <row r="339" spans="1:9" ht="14.1" customHeight="1">
      <c r="A339" s="206">
        <v>9801001045</v>
      </c>
      <c r="B339" s="202" t="s">
        <v>1134</v>
      </c>
      <c r="C339" s="204" t="s">
        <v>1129</v>
      </c>
      <c r="D339" s="204">
        <v>0</v>
      </c>
      <c r="E339" s="203">
        <v>3115</v>
      </c>
      <c r="F339" s="204">
        <v>54</v>
      </c>
      <c r="G339" s="204">
        <v>320</v>
      </c>
      <c r="H339" s="204">
        <v>14</v>
      </c>
      <c r="I339" s="203">
        <v>2795</v>
      </c>
    </row>
    <row r="340" spans="1:9" ht="14.1" customHeight="1">
      <c r="A340" s="206">
        <v>9801001049</v>
      </c>
      <c r="B340" s="202" t="s">
        <v>1135</v>
      </c>
      <c r="C340" s="204" t="s">
        <v>1032</v>
      </c>
      <c r="D340" s="204">
        <v>291</v>
      </c>
      <c r="E340" s="204">
        <v>350</v>
      </c>
      <c r="F340" s="204">
        <v>0</v>
      </c>
      <c r="G340" s="204">
        <v>0</v>
      </c>
      <c r="H340" s="204">
        <v>1</v>
      </c>
      <c r="I340" s="204">
        <v>350</v>
      </c>
    </row>
    <row r="341" spans="1:9" ht="14.1" customHeight="1">
      <c r="A341" s="206">
        <v>9801001051</v>
      </c>
      <c r="B341" s="202" t="s">
        <v>1136</v>
      </c>
      <c r="C341" s="204" t="s">
        <v>1032</v>
      </c>
      <c r="D341" s="204">
        <v>116</v>
      </c>
      <c r="E341" s="204">
        <v>166</v>
      </c>
      <c r="F341" s="204">
        <v>0</v>
      </c>
      <c r="G341" s="204">
        <v>0</v>
      </c>
      <c r="H341" s="204">
        <v>1</v>
      </c>
      <c r="I341" s="204">
        <v>166</v>
      </c>
    </row>
    <row r="342" spans="1:9" ht="14.1" customHeight="1">
      <c r="A342" s="206">
        <v>9801001053</v>
      </c>
      <c r="B342" s="202" t="s">
        <v>1137</v>
      </c>
      <c r="C342" s="204" t="s">
        <v>1032</v>
      </c>
      <c r="D342" s="203">
        <v>23375</v>
      </c>
      <c r="E342" s="203">
        <v>3125</v>
      </c>
      <c r="F342" s="204">
        <v>0</v>
      </c>
      <c r="G342" s="204">
        <v>0</v>
      </c>
      <c r="H342" s="204">
        <v>2</v>
      </c>
      <c r="I342" s="203">
        <v>3125</v>
      </c>
    </row>
    <row r="343" spans="1:9" ht="14.1" customHeight="1">
      <c r="A343" s="206">
        <v>9801001055</v>
      </c>
      <c r="B343" s="202" t="s">
        <v>1138</v>
      </c>
      <c r="C343" s="204" t="s">
        <v>1129</v>
      </c>
      <c r="D343" s="204">
        <v>0</v>
      </c>
      <c r="E343" s="203">
        <v>4098</v>
      </c>
      <c r="F343" s="204">
        <v>150</v>
      </c>
      <c r="G343" s="203">
        <v>1685</v>
      </c>
      <c r="H343" s="204">
        <v>3</v>
      </c>
      <c r="I343" s="203">
        <v>2413</v>
      </c>
    </row>
    <row r="344" spans="1:9" ht="14.1" customHeight="1">
      <c r="A344" s="206">
        <v>9801001059</v>
      </c>
      <c r="B344" s="202" t="s">
        <v>1139</v>
      </c>
      <c r="C344" s="204" t="s">
        <v>1032</v>
      </c>
      <c r="D344" s="204">
        <v>5</v>
      </c>
      <c r="E344" s="204">
        <v>6</v>
      </c>
      <c r="F344" s="204">
        <v>2</v>
      </c>
      <c r="G344" s="204">
        <v>3</v>
      </c>
      <c r="H344" s="204" t="s">
        <v>546</v>
      </c>
      <c r="I344" s="204">
        <v>2</v>
      </c>
    </row>
    <row r="345" spans="1:9" ht="14.1" customHeight="1">
      <c r="A345" s="206">
        <v>9801001065</v>
      </c>
      <c r="B345" s="202" t="s">
        <v>1141</v>
      </c>
      <c r="C345" s="204" t="s">
        <v>1032</v>
      </c>
      <c r="D345" s="204">
        <v>21</v>
      </c>
      <c r="E345" s="204">
        <v>584</v>
      </c>
      <c r="F345" s="204">
        <v>42</v>
      </c>
      <c r="G345" s="204">
        <v>584</v>
      </c>
      <c r="H345" s="204">
        <v>0</v>
      </c>
      <c r="I345" s="204">
        <v>0</v>
      </c>
    </row>
    <row r="346" spans="1:9" ht="14.1" customHeight="1">
      <c r="A346" s="206">
        <v>9801001067</v>
      </c>
      <c r="B346" s="202" t="s">
        <v>1143</v>
      </c>
      <c r="C346" s="204" t="s">
        <v>1032</v>
      </c>
      <c r="D346" s="204">
        <v>370</v>
      </c>
      <c r="E346" s="204">
        <v>94</v>
      </c>
      <c r="F346" s="204">
        <v>6</v>
      </c>
      <c r="G346" s="204">
        <v>47</v>
      </c>
      <c r="H346" s="204">
        <v>1</v>
      </c>
      <c r="I346" s="204">
        <v>47</v>
      </c>
    </row>
    <row r="347" spans="1:9" ht="16.5" customHeight="1">
      <c r="A347" s="206">
        <v>9801001074</v>
      </c>
      <c r="B347" s="202" t="s">
        <v>1144</v>
      </c>
      <c r="C347" s="204" t="s">
        <v>1032</v>
      </c>
      <c r="D347" s="204">
        <v>30</v>
      </c>
      <c r="E347" s="204">
        <v>122</v>
      </c>
      <c r="F347" s="204">
        <v>0</v>
      </c>
      <c r="G347" s="204">
        <v>0</v>
      </c>
      <c r="H347" s="204">
        <v>3</v>
      </c>
      <c r="I347" s="204">
        <v>122</v>
      </c>
    </row>
    <row r="348" spans="1:9" ht="12.95" customHeight="1">
      <c r="A348" s="206">
        <v>9801001075</v>
      </c>
      <c r="B348" s="202" t="s">
        <v>1145</v>
      </c>
      <c r="C348" s="204" t="s">
        <v>1032</v>
      </c>
      <c r="D348" s="204">
        <v>11</v>
      </c>
      <c r="E348" s="203">
        <v>2040</v>
      </c>
      <c r="F348" s="204">
        <v>10</v>
      </c>
      <c r="G348" s="203">
        <v>1870</v>
      </c>
      <c r="H348" s="204" t="s">
        <v>546</v>
      </c>
      <c r="I348" s="204">
        <v>170</v>
      </c>
    </row>
    <row r="349" spans="1:9" ht="12.95" customHeight="1">
      <c r="A349" s="206">
        <v>9801001077</v>
      </c>
      <c r="B349" s="202" t="s">
        <v>1270</v>
      </c>
      <c r="C349" s="204" t="s">
        <v>1023</v>
      </c>
      <c r="D349" s="203">
        <v>1532</v>
      </c>
      <c r="E349" s="204">
        <v>710</v>
      </c>
      <c r="F349" s="204">
        <v>0</v>
      </c>
      <c r="G349" s="204">
        <v>0</v>
      </c>
      <c r="H349" s="204">
        <v>2</v>
      </c>
      <c r="I349" s="204">
        <v>710</v>
      </c>
    </row>
    <row r="350" spans="1:9" ht="12.95" customHeight="1">
      <c r="A350" s="108"/>
      <c r="B350" s="8"/>
      <c r="C350" s="108"/>
      <c r="D350" s="8"/>
      <c r="E350" s="8"/>
      <c r="F350" s="8"/>
      <c r="G350" s="8"/>
      <c r="H350" s="8"/>
      <c r="I350" s="8"/>
    </row>
    <row r="351" spans="1:9" ht="14.1" customHeight="1">
      <c r="A351" s="3"/>
      <c r="B351" s="2"/>
      <c r="C351" s="3"/>
      <c r="D351" s="2"/>
      <c r="E351" s="2"/>
      <c r="F351" s="2"/>
      <c r="G351" s="2"/>
      <c r="H351" s="2"/>
      <c r="I351" s="2"/>
    </row>
    <row r="352" spans="1:9" ht="17.25" customHeight="1">
      <c r="A352" s="265" t="s">
        <v>1271</v>
      </c>
      <c r="B352" s="2"/>
      <c r="C352" s="2"/>
      <c r="D352" s="2"/>
      <c r="E352" s="2"/>
      <c r="F352" s="90"/>
      <c r="G352" s="90"/>
      <c r="H352" s="90"/>
      <c r="I352" s="2"/>
    </row>
    <row r="353" spans="1:9" ht="14.1" customHeight="1">
      <c r="A353" s="8"/>
      <c r="B353" s="188"/>
      <c r="C353" s="41"/>
      <c r="D353" s="2023" t="s">
        <v>1157</v>
      </c>
      <c r="E353" s="2025"/>
      <c r="F353" s="2031" t="s">
        <v>1009</v>
      </c>
      <c r="G353" s="2031"/>
      <c r="H353" s="2330" t="s">
        <v>1010</v>
      </c>
      <c r="I353" s="2331"/>
    </row>
    <row r="354" spans="1:9" ht="16.5" customHeight="1">
      <c r="A354" s="2"/>
      <c r="B354" s="210"/>
      <c r="C354" s="201" t="s">
        <v>1011</v>
      </c>
      <c r="D354" s="2328"/>
      <c r="E354" s="2329"/>
      <c r="F354" s="2031"/>
      <c r="G354" s="2031"/>
      <c r="H354" s="2330"/>
      <c r="I354" s="2331"/>
    </row>
    <row r="355" spans="1:9" ht="14.1" customHeight="1">
      <c r="A355" s="2"/>
      <c r="B355" s="210"/>
      <c r="C355" s="201" t="s">
        <v>1013</v>
      </c>
      <c r="D355" s="221" t="s">
        <v>1014</v>
      </c>
      <c r="E355" s="226" t="s">
        <v>1015</v>
      </c>
      <c r="F355" s="217" t="s">
        <v>1012</v>
      </c>
      <c r="G355" s="225" t="s">
        <v>1015</v>
      </c>
      <c r="H355" s="201" t="s">
        <v>1012</v>
      </c>
      <c r="I355" s="197" t="s">
        <v>1015</v>
      </c>
    </row>
    <row r="356" spans="1:9" ht="14.1" customHeight="1">
      <c r="A356" s="201" t="s">
        <v>1017</v>
      </c>
      <c r="B356" s="256" t="s">
        <v>1018</v>
      </c>
      <c r="C356" s="201" t="s">
        <v>1019</v>
      </c>
      <c r="D356" s="221" t="s">
        <v>1019</v>
      </c>
      <c r="E356" s="257" t="s">
        <v>1020</v>
      </c>
      <c r="F356" s="201" t="s">
        <v>1016</v>
      </c>
      <c r="G356" s="257" t="s">
        <v>1020</v>
      </c>
      <c r="H356" s="201" t="s">
        <v>1016</v>
      </c>
      <c r="I356" s="258" t="s">
        <v>1020</v>
      </c>
    </row>
    <row r="357" spans="1:9" ht="14.1" customHeight="1">
      <c r="A357" s="217"/>
      <c r="B357" s="218"/>
      <c r="C357" s="217"/>
      <c r="D357" s="217"/>
      <c r="E357" s="220"/>
      <c r="F357" s="217"/>
      <c r="G357" s="220"/>
      <c r="H357" s="217"/>
      <c r="I357" s="217"/>
    </row>
    <row r="358" spans="1:9" ht="14.1" customHeight="1">
      <c r="A358" s="201">
        <v>9801001079</v>
      </c>
      <c r="B358" s="207" t="s">
        <v>1272</v>
      </c>
      <c r="C358" s="205" t="s">
        <v>1023</v>
      </c>
      <c r="D358" s="215">
        <v>34618</v>
      </c>
      <c r="E358" s="215">
        <v>6343</v>
      </c>
      <c r="F358" s="205">
        <v>1</v>
      </c>
      <c r="G358" s="205">
        <v>228</v>
      </c>
      <c r="H358" s="205">
        <v>37</v>
      </c>
      <c r="I358" s="215">
        <v>6115</v>
      </c>
    </row>
    <row r="359" spans="1:9" ht="14.1" customHeight="1">
      <c r="A359" s="206">
        <v>9801001089</v>
      </c>
      <c r="B359" s="202" t="s">
        <v>1273</v>
      </c>
      <c r="C359" s="204" t="s">
        <v>1032</v>
      </c>
      <c r="D359" s="203">
        <v>1716</v>
      </c>
      <c r="E359" s="204">
        <v>181</v>
      </c>
      <c r="F359" s="204">
        <v>0</v>
      </c>
      <c r="G359" s="204">
        <v>0</v>
      </c>
      <c r="H359" s="204" t="s">
        <v>546</v>
      </c>
      <c r="I359" s="204">
        <v>181</v>
      </c>
    </row>
    <row r="360" spans="1:9" ht="14.1" customHeight="1">
      <c r="A360" s="206">
        <v>9801001090</v>
      </c>
      <c r="B360" s="202" t="s">
        <v>1274</v>
      </c>
      <c r="C360" s="204" t="s">
        <v>1032</v>
      </c>
      <c r="D360" s="203">
        <v>3396</v>
      </c>
      <c r="E360" s="203">
        <v>5319</v>
      </c>
      <c r="F360" s="204">
        <v>2</v>
      </c>
      <c r="G360" s="204">
        <v>875</v>
      </c>
      <c r="H360" s="204">
        <v>6</v>
      </c>
      <c r="I360" s="203">
        <v>4444</v>
      </c>
    </row>
    <row r="361" spans="1:9" ht="14.1" customHeight="1">
      <c r="A361" s="206">
        <v>9801001092</v>
      </c>
      <c r="B361" s="202" t="s">
        <v>1275</v>
      </c>
      <c r="C361" s="204" t="s">
        <v>1032</v>
      </c>
      <c r="D361" s="204">
        <v>370</v>
      </c>
      <c r="E361" s="204">
        <v>95</v>
      </c>
      <c r="F361" s="204">
        <v>0</v>
      </c>
      <c r="G361" s="204">
        <v>0</v>
      </c>
      <c r="H361" s="204">
        <v>1</v>
      </c>
      <c r="I361" s="204">
        <v>95</v>
      </c>
    </row>
    <row r="362" spans="1:9" ht="14.1" customHeight="1">
      <c r="A362" s="206">
        <v>9801001094</v>
      </c>
      <c r="B362" s="202" t="s">
        <v>1276</v>
      </c>
      <c r="C362" s="204" t="s">
        <v>1129</v>
      </c>
      <c r="D362" s="204">
        <v>0</v>
      </c>
      <c r="E362" s="204">
        <v>86</v>
      </c>
      <c r="F362" s="204">
        <v>0</v>
      </c>
      <c r="G362" s="204">
        <v>0</v>
      </c>
      <c r="H362" s="204" t="s">
        <v>546</v>
      </c>
      <c r="I362" s="204">
        <v>86</v>
      </c>
    </row>
    <row r="363" spans="1:9" ht="14.1" customHeight="1">
      <c r="A363" s="206">
        <v>9801001098</v>
      </c>
      <c r="B363" s="202" t="s">
        <v>1277</v>
      </c>
      <c r="C363" s="204" t="s">
        <v>1129</v>
      </c>
      <c r="D363" s="204">
        <v>0</v>
      </c>
      <c r="E363" s="203">
        <v>1161</v>
      </c>
      <c r="F363" s="204">
        <v>681</v>
      </c>
      <c r="G363" s="204">
        <v>579</v>
      </c>
      <c r="H363" s="204">
        <v>6</v>
      </c>
      <c r="I363" s="204">
        <v>582</v>
      </c>
    </row>
    <row r="364" spans="1:9" ht="14.1" customHeight="1">
      <c r="A364" s="206">
        <v>9801002500</v>
      </c>
      <c r="B364" s="202" t="s">
        <v>1278</v>
      </c>
      <c r="C364" s="204" t="s">
        <v>1023</v>
      </c>
      <c r="D364" s="203">
        <v>3888</v>
      </c>
      <c r="E364" s="203">
        <v>1070</v>
      </c>
      <c r="F364" s="204">
        <v>0</v>
      </c>
      <c r="G364" s="204">
        <v>0</v>
      </c>
      <c r="H364" s="204">
        <v>4</v>
      </c>
      <c r="I364" s="203">
        <v>1070</v>
      </c>
    </row>
    <row r="365" spans="1:9" ht="12" customHeight="1">
      <c r="A365" s="206">
        <v>9801002600</v>
      </c>
      <c r="B365" s="202" t="s">
        <v>1279</v>
      </c>
      <c r="C365" s="204" t="s">
        <v>1023</v>
      </c>
      <c r="D365" s="203">
        <v>1373</v>
      </c>
      <c r="E365" s="204">
        <v>33</v>
      </c>
      <c r="F365" s="204">
        <v>2</v>
      </c>
      <c r="G365" s="204">
        <v>33</v>
      </c>
      <c r="H365" s="204">
        <v>0</v>
      </c>
      <c r="I365" s="204">
        <v>0</v>
      </c>
    </row>
    <row r="366" spans="1:9" ht="12" customHeight="1">
      <c r="A366" s="206">
        <v>9808008000</v>
      </c>
      <c r="B366" s="202" t="s">
        <v>1280</v>
      </c>
      <c r="C366" s="204" t="s">
        <v>1129</v>
      </c>
      <c r="D366" s="204">
        <v>0</v>
      </c>
      <c r="E366" s="203">
        <v>3167</v>
      </c>
      <c r="F366" s="204">
        <v>0</v>
      </c>
      <c r="G366" s="204">
        <v>0</v>
      </c>
      <c r="H366" s="204">
        <v>3</v>
      </c>
      <c r="I366" s="203">
        <v>3167</v>
      </c>
    </row>
    <row r="367" spans="1:9" ht="12.95" customHeight="1">
      <c r="A367" s="2066" t="s">
        <v>1187</v>
      </c>
      <c r="B367" s="2066"/>
      <c r="C367" s="2066"/>
      <c r="D367" s="2066"/>
      <c r="E367" s="2066"/>
      <c r="F367" s="2066"/>
      <c r="G367" s="2066"/>
      <c r="H367" s="61"/>
      <c r="I367" s="61"/>
    </row>
    <row r="368" spans="1:9" ht="12.95" customHeight="1">
      <c r="A368" s="2037" t="s">
        <v>1056</v>
      </c>
      <c r="B368" s="2037"/>
      <c r="C368" s="2037"/>
      <c r="D368" s="2037"/>
      <c r="E368" s="30"/>
      <c r="F368" s="30"/>
      <c r="G368" s="30"/>
      <c r="H368" s="14"/>
      <c r="I368" s="14"/>
    </row>
    <row r="369" spans="1:9" ht="16.5" customHeight="1">
      <c r="A369" s="30"/>
      <c r="B369" s="30"/>
      <c r="C369" s="30"/>
      <c r="D369" s="30"/>
      <c r="E369" s="30"/>
      <c r="F369" s="30"/>
      <c r="G369" s="30"/>
      <c r="H369" s="14"/>
      <c r="I369" s="14"/>
    </row>
    <row r="370" spans="1:9" ht="14.1" customHeight="1">
      <c r="A370" s="30"/>
      <c r="B370" s="30"/>
      <c r="C370" s="30"/>
      <c r="D370" s="30"/>
      <c r="E370" s="30"/>
      <c r="F370" s="30"/>
      <c r="G370" s="30"/>
      <c r="H370" s="14"/>
      <c r="I370" s="14"/>
    </row>
    <row r="371" spans="1:9" ht="16.5" customHeight="1"/>
    <row r="372" spans="1:9" ht="14.1" customHeight="1"/>
    <row r="373" spans="1:9" ht="18" customHeight="1">
      <c r="A373" s="2343" t="s">
        <v>1281</v>
      </c>
      <c r="B373" s="2343"/>
      <c r="C373" s="2343"/>
      <c r="D373" s="2343"/>
      <c r="E373" s="2343"/>
      <c r="F373" s="2343"/>
      <c r="G373" s="2343"/>
      <c r="H373" s="2343"/>
      <c r="I373" s="3"/>
    </row>
    <row r="374" spans="1:9" ht="14.1" customHeight="1">
      <c r="A374" s="108"/>
      <c r="B374" s="191"/>
      <c r="C374" s="114"/>
      <c r="D374" s="2023" t="s">
        <v>1157</v>
      </c>
      <c r="E374" s="2025"/>
      <c r="F374" s="2031" t="s">
        <v>1009</v>
      </c>
      <c r="G374" s="2031"/>
      <c r="H374" s="2330" t="s">
        <v>1010</v>
      </c>
      <c r="I374" s="2331"/>
    </row>
    <row r="375" spans="1:9" ht="14.1" customHeight="1">
      <c r="A375" s="3"/>
      <c r="B375" s="232"/>
      <c r="C375" s="201" t="s">
        <v>1011</v>
      </c>
      <c r="D375" s="2328"/>
      <c r="E375" s="2329"/>
      <c r="F375" s="2031"/>
      <c r="G375" s="2031"/>
      <c r="H375" s="2330"/>
      <c r="I375" s="2331"/>
    </row>
    <row r="376" spans="1:9" ht="14.1" customHeight="1">
      <c r="A376" s="3"/>
      <c r="B376" s="232"/>
      <c r="C376" s="201" t="s">
        <v>1013</v>
      </c>
      <c r="D376" s="221" t="s">
        <v>1014</v>
      </c>
      <c r="E376" s="226" t="s">
        <v>1015</v>
      </c>
      <c r="F376" s="217" t="s">
        <v>1012</v>
      </c>
      <c r="G376" s="225" t="s">
        <v>1015</v>
      </c>
      <c r="H376" s="201" t="s">
        <v>1012</v>
      </c>
      <c r="I376" s="197" t="s">
        <v>1015</v>
      </c>
    </row>
    <row r="377" spans="1:9" ht="14.1" customHeight="1">
      <c r="A377" s="201" t="s">
        <v>1017</v>
      </c>
      <c r="B377" s="256" t="s">
        <v>1018</v>
      </c>
      <c r="C377" s="201" t="s">
        <v>1019</v>
      </c>
      <c r="D377" s="221" t="s">
        <v>1019</v>
      </c>
      <c r="E377" s="257" t="s">
        <v>1020</v>
      </c>
      <c r="F377" s="201" t="s">
        <v>1016</v>
      </c>
      <c r="G377" s="257" t="s">
        <v>1020</v>
      </c>
      <c r="H377" s="201" t="s">
        <v>1016</v>
      </c>
      <c r="I377" s="258" t="s">
        <v>1020</v>
      </c>
    </row>
    <row r="378" spans="1:9" ht="14.1" customHeight="1">
      <c r="A378" s="217"/>
      <c r="B378" s="218"/>
      <c r="C378" s="217"/>
      <c r="D378" s="217"/>
      <c r="E378" s="220"/>
      <c r="F378" s="217"/>
      <c r="G378" s="220"/>
      <c r="H378" s="217"/>
      <c r="I378" s="217"/>
    </row>
    <row r="379" spans="1:9" ht="14.1" customHeight="1">
      <c r="A379" s="3"/>
      <c r="B379" s="229" t="s">
        <v>1021</v>
      </c>
      <c r="C379" s="3"/>
      <c r="D379" s="3"/>
      <c r="E379" s="233">
        <v>105877</v>
      </c>
      <c r="F379" s="233">
        <v>2273</v>
      </c>
      <c r="G379" s="233">
        <v>11787</v>
      </c>
      <c r="H379" s="234">
        <v>78</v>
      </c>
      <c r="I379" s="233">
        <v>27681</v>
      </c>
    </row>
    <row r="380" spans="1:9" ht="14.1" customHeight="1">
      <c r="A380" s="228">
        <v>106199120</v>
      </c>
      <c r="B380" s="229" t="s">
        <v>1282</v>
      </c>
      <c r="C380" s="234" t="s">
        <v>1032</v>
      </c>
      <c r="D380" s="234">
        <v>1</v>
      </c>
      <c r="E380" s="234">
        <v>3</v>
      </c>
      <c r="F380" s="234">
        <v>0</v>
      </c>
      <c r="G380" s="234">
        <v>0</v>
      </c>
      <c r="H380" s="234" t="s">
        <v>546</v>
      </c>
      <c r="I380" s="234">
        <v>3</v>
      </c>
    </row>
    <row r="381" spans="1:9" ht="14.1" customHeight="1">
      <c r="A381" s="228">
        <v>901110025</v>
      </c>
      <c r="B381" s="229" t="s">
        <v>1159</v>
      </c>
      <c r="C381" s="234" t="s">
        <v>1023</v>
      </c>
      <c r="D381" s="233">
        <v>17871</v>
      </c>
      <c r="E381" s="234">
        <v>102</v>
      </c>
      <c r="F381" s="234">
        <v>18</v>
      </c>
      <c r="G381" s="234">
        <v>102</v>
      </c>
      <c r="H381" s="234">
        <v>0</v>
      </c>
      <c r="I381" s="234">
        <v>0</v>
      </c>
    </row>
    <row r="382" spans="1:9" ht="14.1" customHeight="1">
      <c r="A382" s="228">
        <v>1516209100</v>
      </c>
      <c r="B382" s="229" t="s">
        <v>1283</v>
      </c>
      <c r="C382" s="234" t="s">
        <v>1023</v>
      </c>
      <c r="D382" s="233">
        <v>66000</v>
      </c>
      <c r="E382" s="234">
        <v>45</v>
      </c>
      <c r="F382" s="234">
        <v>67</v>
      </c>
      <c r="G382" s="234">
        <v>45</v>
      </c>
      <c r="H382" s="234">
        <v>0</v>
      </c>
      <c r="I382" s="234">
        <v>0</v>
      </c>
    </row>
    <row r="383" spans="1:9" ht="14.1" customHeight="1">
      <c r="A383" s="228">
        <v>1518004000</v>
      </c>
      <c r="B383" s="229" t="s">
        <v>1022</v>
      </c>
      <c r="C383" s="234" t="s">
        <v>1023</v>
      </c>
      <c r="D383" s="233">
        <v>506643</v>
      </c>
      <c r="E383" s="234">
        <v>354</v>
      </c>
      <c r="F383" s="234">
        <v>516</v>
      </c>
      <c r="G383" s="234">
        <v>354</v>
      </c>
      <c r="H383" s="234">
        <v>0</v>
      </c>
      <c r="I383" s="234">
        <v>0</v>
      </c>
    </row>
    <row r="384" spans="1:9" ht="14.1" customHeight="1">
      <c r="A384" s="228">
        <v>2203000030</v>
      </c>
      <c r="B384" s="229" t="s">
        <v>1284</v>
      </c>
      <c r="C384" s="234" t="s">
        <v>1285</v>
      </c>
      <c r="D384" s="233">
        <v>6458</v>
      </c>
      <c r="E384" s="234">
        <v>23</v>
      </c>
      <c r="F384" s="234">
        <v>19</v>
      </c>
      <c r="G384" s="234">
        <v>23</v>
      </c>
      <c r="H384" s="234">
        <v>0</v>
      </c>
      <c r="I384" s="234">
        <v>0</v>
      </c>
    </row>
    <row r="385" spans="1:9" ht="14.1" customHeight="1">
      <c r="A385" s="228">
        <v>2517100015</v>
      </c>
      <c r="B385" s="229" t="s">
        <v>1286</v>
      </c>
      <c r="C385" s="234" t="s">
        <v>1052</v>
      </c>
      <c r="D385" s="234">
        <v>258</v>
      </c>
      <c r="E385" s="234">
        <v>6</v>
      </c>
      <c r="F385" s="234">
        <v>271</v>
      </c>
      <c r="G385" s="234">
        <v>6</v>
      </c>
      <c r="H385" s="234">
        <v>0</v>
      </c>
      <c r="I385" s="234">
        <v>0</v>
      </c>
    </row>
    <row r="386" spans="1:9" ht="14.1" customHeight="1">
      <c r="A386" s="228">
        <v>2710993100</v>
      </c>
      <c r="B386" s="229" t="s">
        <v>1287</v>
      </c>
      <c r="C386" s="234" t="s">
        <v>1288</v>
      </c>
      <c r="D386" s="234">
        <v>119</v>
      </c>
      <c r="E386" s="234">
        <v>2</v>
      </c>
      <c r="F386" s="234">
        <v>16</v>
      </c>
      <c r="G386" s="234">
        <v>2</v>
      </c>
      <c r="H386" s="234">
        <v>0</v>
      </c>
      <c r="I386" s="234">
        <v>0</v>
      </c>
    </row>
    <row r="387" spans="1:9" ht="14.1" customHeight="1">
      <c r="A387" s="228">
        <v>3926201050</v>
      </c>
      <c r="B387" s="229" t="s">
        <v>1168</v>
      </c>
      <c r="C387" s="234" t="s">
        <v>1169</v>
      </c>
      <c r="D387" s="234">
        <v>78</v>
      </c>
      <c r="E387" s="234">
        <v>2</v>
      </c>
      <c r="F387" s="234">
        <v>0</v>
      </c>
      <c r="G387" s="234">
        <v>0</v>
      </c>
      <c r="H387" s="234">
        <v>0</v>
      </c>
      <c r="I387" s="234">
        <v>0</v>
      </c>
    </row>
    <row r="388" spans="1:9" ht="14.1" customHeight="1">
      <c r="A388" s="228">
        <v>3926904590</v>
      </c>
      <c r="B388" s="229" t="s">
        <v>1289</v>
      </c>
      <c r="C388" s="234" t="s">
        <v>1032</v>
      </c>
      <c r="D388" s="234">
        <v>8</v>
      </c>
      <c r="E388" s="234">
        <v>1</v>
      </c>
      <c r="F388" s="234" t="s">
        <v>546</v>
      </c>
      <c r="G388" s="234">
        <v>1</v>
      </c>
      <c r="H388" s="234">
        <v>0</v>
      </c>
      <c r="I388" s="234">
        <v>0</v>
      </c>
    </row>
    <row r="389" spans="1:9" ht="14.1" customHeight="1">
      <c r="A389" s="228">
        <v>3926909985</v>
      </c>
      <c r="B389" s="229" t="s">
        <v>1033</v>
      </c>
      <c r="C389" s="234" t="s">
        <v>1032</v>
      </c>
      <c r="D389" s="234">
        <v>156</v>
      </c>
      <c r="E389" s="234">
        <v>3</v>
      </c>
      <c r="F389" s="234">
        <v>0</v>
      </c>
      <c r="G389" s="234">
        <v>0</v>
      </c>
      <c r="H389" s="234" t="s">
        <v>546</v>
      </c>
      <c r="I389" s="234">
        <v>3</v>
      </c>
    </row>
    <row r="390" spans="1:9" ht="14.1" customHeight="1">
      <c r="A390" s="228">
        <v>4015191110</v>
      </c>
      <c r="B390" s="229" t="s">
        <v>1290</v>
      </c>
      <c r="C390" s="234" t="s">
        <v>1169</v>
      </c>
      <c r="D390" s="234">
        <v>175</v>
      </c>
      <c r="E390" s="234">
        <v>2</v>
      </c>
      <c r="F390" s="234">
        <v>0</v>
      </c>
      <c r="G390" s="234">
        <v>0</v>
      </c>
      <c r="H390" s="234">
        <v>0</v>
      </c>
      <c r="I390" s="234">
        <v>0</v>
      </c>
    </row>
    <row r="391" spans="1:9" ht="14.1" customHeight="1">
      <c r="A391" s="228">
        <v>4016935010</v>
      </c>
      <c r="B391" s="229" t="s">
        <v>1036</v>
      </c>
      <c r="C391" s="234" t="s">
        <v>1023</v>
      </c>
      <c r="D391" s="234">
        <v>10</v>
      </c>
      <c r="E391" s="234">
        <v>2</v>
      </c>
      <c r="F391" s="234" t="s">
        <v>546</v>
      </c>
      <c r="G391" s="234">
        <v>2</v>
      </c>
      <c r="H391" s="234">
        <v>0</v>
      </c>
      <c r="I391" s="234">
        <v>0</v>
      </c>
    </row>
    <row r="392" spans="1:9" ht="14.1" customHeight="1">
      <c r="A392" s="228">
        <v>4016940000</v>
      </c>
      <c r="B392" s="229" t="s">
        <v>1291</v>
      </c>
      <c r="C392" s="234" t="s">
        <v>1023</v>
      </c>
      <c r="D392" s="234">
        <v>31</v>
      </c>
      <c r="E392" s="234">
        <v>2</v>
      </c>
      <c r="F392" s="234">
        <v>0</v>
      </c>
      <c r="G392" s="234">
        <v>0</v>
      </c>
      <c r="H392" s="234" t="s">
        <v>546</v>
      </c>
      <c r="I392" s="234">
        <v>2</v>
      </c>
    </row>
    <row r="393" spans="1:9" ht="14.1" customHeight="1">
      <c r="A393" s="228">
        <v>4202219000</v>
      </c>
      <c r="B393" s="229" t="s">
        <v>1175</v>
      </c>
      <c r="C393" s="234" t="s">
        <v>1032</v>
      </c>
      <c r="D393" s="234">
        <v>3</v>
      </c>
      <c r="E393" s="234">
        <v>4</v>
      </c>
      <c r="F393" s="234">
        <v>0</v>
      </c>
      <c r="G393" s="234">
        <v>0</v>
      </c>
      <c r="H393" s="234" t="s">
        <v>546</v>
      </c>
      <c r="I393" s="234">
        <v>4</v>
      </c>
    </row>
    <row r="394" spans="1:9" ht="14.1" customHeight="1">
      <c r="A394" s="228">
        <v>4202299000</v>
      </c>
      <c r="B394" s="229" t="s">
        <v>1292</v>
      </c>
      <c r="C394" s="234" t="s">
        <v>1032</v>
      </c>
      <c r="D394" s="234">
        <v>1</v>
      </c>
      <c r="E394" s="234">
        <v>2</v>
      </c>
      <c r="F394" s="234">
        <v>0</v>
      </c>
      <c r="G394" s="234">
        <v>0</v>
      </c>
      <c r="H394" s="234" t="s">
        <v>546</v>
      </c>
      <c r="I394" s="234">
        <v>2</v>
      </c>
    </row>
    <row r="395" spans="1:9" ht="14.1" customHeight="1">
      <c r="A395" s="228">
        <v>4202316000</v>
      </c>
      <c r="B395" s="229" t="s">
        <v>1293</v>
      </c>
      <c r="C395" s="234" t="s">
        <v>1032</v>
      </c>
      <c r="D395" s="234">
        <v>1</v>
      </c>
      <c r="E395" s="234">
        <v>1</v>
      </c>
      <c r="F395" s="234">
        <v>0</v>
      </c>
      <c r="G395" s="234">
        <v>0</v>
      </c>
      <c r="H395" s="234" t="s">
        <v>546</v>
      </c>
      <c r="I395" s="234">
        <v>1</v>
      </c>
    </row>
    <row r="396" spans="1:9" ht="14.1" customHeight="1">
      <c r="A396" s="228">
        <v>4407290296</v>
      </c>
      <c r="B396" s="229" t="s">
        <v>1177</v>
      </c>
      <c r="C396" s="234" t="s">
        <v>1178</v>
      </c>
      <c r="D396" s="234">
        <v>1</v>
      </c>
      <c r="E396" s="234">
        <v>3</v>
      </c>
      <c r="F396" s="234">
        <v>0</v>
      </c>
      <c r="G396" s="234">
        <v>0</v>
      </c>
      <c r="H396" s="234">
        <v>0</v>
      </c>
      <c r="I396" s="234">
        <v>0</v>
      </c>
    </row>
    <row r="397" spans="1:9" ht="14.1" customHeight="1">
      <c r="A397" s="228">
        <v>5607909000</v>
      </c>
      <c r="B397" s="229" t="s">
        <v>1294</v>
      </c>
      <c r="C397" s="234" t="s">
        <v>1023</v>
      </c>
      <c r="D397" s="234">
        <v>56</v>
      </c>
      <c r="E397" s="234">
        <v>20</v>
      </c>
      <c r="F397" s="234" t="s">
        <v>546</v>
      </c>
      <c r="G397" s="234">
        <v>20</v>
      </c>
      <c r="H397" s="234">
        <v>0</v>
      </c>
      <c r="I397" s="234">
        <v>0</v>
      </c>
    </row>
    <row r="398" spans="1:9" ht="14.1" customHeight="1">
      <c r="A398" s="228">
        <v>5703102000</v>
      </c>
      <c r="B398" s="229" t="s">
        <v>1295</v>
      </c>
      <c r="C398" s="234" t="s">
        <v>1296</v>
      </c>
      <c r="D398" s="233">
        <v>2255</v>
      </c>
      <c r="E398" s="234">
        <v>5</v>
      </c>
      <c r="F398" s="234" t="s">
        <v>546</v>
      </c>
      <c r="G398" s="234">
        <v>5</v>
      </c>
      <c r="H398" s="234">
        <v>0</v>
      </c>
      <c r="I398" s="234">
        <v>0</v>
      </c>
    </row>
    <row r="399" spans="1:9" ht="14.1" customHeight="1">
      <c r="A399" s="228">
        <v>6103101000</v>
      </c>
      <c r="B399" s="229" t="s">
        <v>1297</v>
      </c>
      <c r="C399" s="234" t="s">
        <v>1032</v>
      </c>
      <c r="D399" s="234">
        <v>50</v>
      </c>
      <c r="E399" s="234">
        <v>7</v>
      </c>
      <c r="F399" s="234">
        <v>0</v>
      </c>
      <c r="G399" s="234">
        <v>0</v>
      </c>
      <c r="H399" s="234" t="s">
        <v>546</v>
      </c>
      <c r="I399" s="234">
        <v>7</v>
      </c>
    </row>
    <row r="400" spans="1:9" ht="14.1" customHeight="1">
      <c r="A400" s="228">
        <v>6104432010</v>
      </c>
      <c r="B400" s="229" t="s">
        <v>1298</v>
      </c>
      <c r="C400" s="234" t="s">
        <v>1044</v>
      </c>
      <c r="D400" s="234">
        <v>1</v>
      </c>
      <c r="E400" s="234" t="s">
        <v>546</v>
      </c>
      <c r="F400" s="234">
        <v>0</v>
      </c>
      <c r="G400" s="234">
        <v>0</v>
      </c>
      <c r="H400" s="234" t="s">
        <v>546</v>
      </c>
      <c r="I400" s="234" t="s">
        <v>546</v>
      </c>
    </row>
    <row r="401" spans="1:9" ht="14.1" customHeight="1">
      <c r="A401" s="228">
        <v>6114303070</v>
      </c>
      <c r="B401" s="229" t="s">
        <v>1299</v>
      </c>
      <c r="C401" s="234" t="s">
        <v>1044</v>
      </c>
      <c r="D401" s="234">
        <v>97</v>
      </c>
      <c r="E401" s="234">
        <v>5</v>
      </c>
      <c r="F401" s="234">
        <v>0</v>
      </c>
      <c r="G401" s="234">
        <v>0</v>
      </c>
      <c r="H401" s="234" t="s">
        <v>546</v>
      </c>
      <c r="I401" s="234">
        <v>5</v>
      </c>
    </row>
    <row r="402" spans="1:9" ht="14.1" customHeight="1">
      <c r="A402" s="228">
        <v>6116106500</v>
      </c>
      <c r="B402" s="229" t="s">
        <v>1300</v>
      </c>
      <c r="C402" s="234" t="s">
        <v>1169</v>
      </c>
      <c r="D402" s="234">
        <v>12</v>
      </c>
      <c r="E402" s="234">
        <v>1</v>
      </c>
      <c r="F402" s="234">
        <v>0</v>
      </c>
      <c r="G402" s="234">
        <v>0</v>
      </c>
      <c r="H402" s="234">
        <v>0</v>
      </c>
      <c r="I402" s="234">
        <v>0</v>
      </c>
    </row>
    <row r="403" spans="1:9" ht="14.1" customHeight="1">
      <c r="A403" s="228">
        <v>6117106020</v>
      </c>
      <c r="B403" s="229" t="s">
        <v>1301</v>
      </c>
      <c r="C403" s="234" t="s">
        <v>1044</v>
      </c>
      <c r="D403" s="234">
        <v>1</v>
      </c>
      <c r="E403" s="234">
        <v>1</v>
      </c>
      <c r="F403" s="234">
        <v>0</v>
      </c>
      <c r="G403" s="234">
        <v>0</v>
      </c>
      <c r="H403" s="234" t="s">
        <v>546</v>
      </c>
      <c r="I403" s="234">
        <v>1</v>
      </c>
    </row>
    <row r="404" spans="1:9" ht="14.1" customHeight="1">
      <c r="A404" s="228">
        <v>6203395000</v>
      </c>
      <c r="B404" s="229" t="s">
        <v>1302</v>
      </c>
      <c r="C404" s="234" t="s">
        <v>1044</v>
      </c>
      <c r="D404" s="234">
        <v>1</v>
      </c>
      <c r="E404" s="234">
        <v>2</v>
      </c>
      <c r="F404" s="234">
        <v>0</v>
      </c>
      <c r="G404" s="234">
        <v>0</v>
      </c>
      <c r="H404" s="234" t="s">
        <v>546</v>
      </c>
      <c r="I404" s="234">
        <v>2</v>
      </c>
    </row>
    <row r="405" spans="1:9" ht="14.1" customHeight="1">
      <c r="A405" s="228">
        <v>6306120000</v>
      </c>
      <c r="B405" s="229" t="s">
        <v>1303</v>
      </c>
      <c r="C405" s="234" t="s">
        <v>1023</v>
      </c>
      <c r="D405" s="234">
        <v>56</v>
      </c>
      <c r="E405" s="234" t="s">
        <v>546</v>
      </c>
      <c r="F405" s="234" t="s">
        <v>546</v>
      </c>
      <c r="G405" s="234" t="s">
        <v>546</v>
      </c>
      <c r="H405" s="234">
        <v>0</v>
      </c>
      <c r="I405" s="234">
        <v>0</v>
      </c>
    </row>
    <row r="406" spans="1:9" ht="14.1" customHeight="1">
      <c r="A406" s="228">
        <v>6307909891</v>
      </c>
      <c r="B406" s="229" t="s">
        <v>1186</v>
      </c>
      <c r="C406" s="234" t="s">
        <v>1032</v>
      </c>
      <c r="D406" s="233">
        <v>6500</v>
      </c>
      <c r="E406" s="234">
        <v>3</v>
      </c>
      <c r="F406" s="234">
        <v>0</v>
      </c>
      <c r="G406" s="234">
        <v>0</v>
      </c>
      <c r="H406" s="234" t="s">
        <v>546</v>
      </c>
      <c r="I406" s="234">
        <v>3</v>
      </c>
    </row>
    <row r="407" spans="1:9" ht="14.1" customHeight="1">
      <c r="A407" s="228">
        <v>6404193960</v>
      </c>
      <c r="B407" s="229" t="s">
        <v>1304</v>
      </c>
      <c r="C407" s="234" t="s">
        <v>1190</v>
      </c>
      <c r="D407" s="234">
        <v>27</v>
      </c>
      <c r="E407" s="234">
        <v>4</v>
      </c>
      <c r="F407" s="234">
        <v>0</v>
      </c>
      <c r="G407" s="234">
        <v>0</v>
      </c>
      <c r="H407" s="234" t="s">
        <v>546</v>
      </c>
      <c r="I407" s="234">
        <v>4</v>
      </c>
    </row>
    <row r="408" spans="1:9" ht="14.1" customHeight="1">
      <c r="A408" s="228">
        <v>6404199030</v>
      </c>
      <c r="B408" s="229" t="s">
        <v>1305</v>
      </c>
      <c r="C408" s="234" t="s">
        <v>1190</v>
      </c>
      <c r="D408" s="234">
        <v>232</v>
      </c>
      <c r="E408" s="234">
        <v>46</v>
      </c>
      <c r="F408" s="234">
        <v>0</v>
      </c>
      <c r="G408" s="234">
        <v>0</v>
      </c>
      <c r="H408" s="234" t="s">
        <v>546</v>
      </c>
      <c r="I408" s="234">
        <v>46</v>
      </c>
    </row>
    <row r="409" spans="1:9" ht="14.1" customHeight="1">
      <c r="A409" s="228">
        <v>6404199060</v>
      </c>
      <c r="B409" s="229" t="s">
        <v>1306</v>
      </c>
      <c r="C409" s="234" t="s">
        <v>1190</v>
      </c>
      <c r="D409" s="234">
        <v>177</v>
      </c>
      <c r="E409" s="234">
        <v>35</v>
      </c>
      <c r="F409" s="234">
        <v>0</v>
      </c>
      <c r="G409" s="234">
        <v>0</v>
      </c>
      <c r="H409" s="234" t="s">
        <v>546</v>
      </c>
      <c r="I409" s="234">
        <v>35</v>
      </c>
    </row>
    <row r="410" spans="1:9" ht="14.1" customHeight="1">
      <c r="A410" s="228">
        <v>6911900050</v>
      </c>
      <c r="B410" s="229" t="s">
        <v>1307</v>
      </c>
      <c r="C410" s="234" t="s">
        <v>1032</v>
      </c>
      <c r="D410" s="234">
        <v>1</v>
      </c>
      <c r="E410" s="234">
        <v>3</v>
      </c>
      <c r="F410" s="234">
        <v>0</v>
      </c>
      <c r="G410" s="234">
        <v>0</v>
      </c>
      <c r="H410" s="234" t="s">
        <v>546</v>
      </c>
      <c r="I410" s="234">
        <v>3</v>
      </c>
    </row>
    <row r="411" spans="1:9" ht="14.1" customHeight="1">
      <c r="A411" s="228">
        <v>7112910100</v>
      </c>
      <c r="B411" s="229" t="s">
        <v>1194</v>
      </c>
      <c r="C411" s="234" t="s">
        <v>1049</v>
      </c>
      <c r="D411" s="233">
        <v>1230</v>
      </c>
      <c r="E411" s="234">
        <v>10</v>
      </c>
      <c r="F411" s="234">
        <v>0</v>
      </c>
      <c r="G411" s="234">
        <v>0</v>
      </c>
      <c r="H411" s="234">
        <v>0</v>
      </c>
      <c r="I411" s="234">
        <v>0</v>
      </c>
    </row>
    <row r="412" spans="1:9" ht="14.1" customHeight="1">
      <c r="A412" s="228">
        <v>7112990100</v>
      </c>
      <c r="B412" s="229" t="s">
        <v>1048</v>
      </c>
      <c r="C412" s="234" t="s">
        <v>1049</v>
      </c>
      <c r="D412" s="233">
        <v>10928422</v>
      </c>
      <c r="E412" s="234">
        <v>50</v>
      </c>
      <c r="F412" s="234">
        <v>33</v>
      </c>
      <c r="G412" s="234">
        <v>50</v>
      </c>
      <c r="H412" s="234">
        <v>0</v>
      </c>
      <c r="I412" s="234">
        <v>0</v>
      </c>
    </row>
    <row r="413" spans="1:9" ht="14.1" customHeight="1">
      <c r="A413" s="228">
        <v>7113195030</v>
      </c>
      <c r="B413" s="229" t="s">
        <v>1308</v>
      </c>
      <c r="C413" s="234" t="s">
        <v>1309</v>
      </c>
      <c r="D413" s="234">
        <v>1</v>
      </c>
      <c r="E413" s="234">
        <v>3</v>
      </c>
      <c r="F413" s="234">
        <v>0</v>
      </c>
      <c r="G413" s="234">
        <v>0</v>
      </c>
      <c r="H413" s="234" t="s">
        <v>546</v>
      </c>
      <c r="I413" s="234">
        <v>3</v>
      </c>
    </row>
    <row r="414" spans="1:9" ht="14.1" customHeight="1">
      <c r="A414" s="228">
        <v>7113195090</v>
      </c>
      <c r="B414" s="229" t="s">
        <v>1050</v>
      </c>
      <c r="C414" s="234" t="s">
        <v>1049</v>
      </c>
      <c r="D414" s="233">
        <v>1954</v>
      </c>
      <c r="E414" s="234">
        <v>179</v>
      </c>
      <c r="F414" s="234">
        <v>0</v>
      </c>
      <c r="G414" s="234">
        <v>0</v>
      </c>
      <c r="H414" s="234" t="s">
        <v>546</v>
      </c>
      <c r="I414" s="234">
        <v>179</v>
      </c>
    </row>
    <row r="415" spans="1:9" ht="14.1" customHeight="1">
      <c r="A415" s="228">
        <v>7118900055</v>
      </c>
      <c r="B415" s="229" t="s">
        <v>1310</v>
      </c>
      <c r="C415" s="234" t="s">
        <v>1049</v>
      </c>
      <c r="D415" s="233">
        <v>4510</v>
      </c>
      <c r="E415" s="234">
        <v>2</v>
      </c>
      <c r="F415" s="234">
        <v>0</v>
      </c>
      <c r="G415" s="234">
        <v>0</v>
      </c>
      <c r="H415" s="234">
        <v>0</v>
      </c>
      <c r="I415" s="234">
        <v>0</v>
      </c>
    </row>
    <row r="416" spans="1:9" ht="14.1" customHeight="1">
      <c r="A416" s="228">
        <v>7204210000</v>
      </c>
      <c r="B416" s="229" t="s">
        <v>1198</v>
      </c>
      <c r="C416" s="234" t="s">
        <v>1052</v>
      </c>
      <c r="D416" s="234">
        <v>27</v>
      </c>
      <c r="E416" s="234">
        <v>21</v>
      </c>
      <c r="F416" s="234">
        <v>28</v>
      </c>
      <c r="G416" s="234">
        <v>21</v>
      </c>
      <c r="H416" s="234">
        <v>0</v>
      </c>
      <c r="I416" s="234">
        <v>0</v>
      </c>
    </row>
    <row r="417" spans="1:9" ht="14.1" customHeight="1">
      <c r="A417" s="228">
        <v>7404006055</v>
      </c>
      <c r="B417" s="229" t="s">
        <v>1311</v>
      </c>
      <c r="C417" s="234" t="s">
        <v>1023</v>
      </c>
      <c r="D417" s="233">
        <v>19573</v>
      </c>
      <c r="E417" s="234">
        <v>43</v>
      </c>
      <c r="F417" s="234">
        <v>20</v>
      </c>
      <c r="G417" s="234">
        <v>43</v>
      </c>
      <c r="H417" s="234">
        <v>0</v>
      </c>
      <c r="I417" s="234">
        <v>0</v>
      </c>
    </row>
    <row r="418" spans="1:9" ht="14.1" customHeight="1">
      <c r="A418" s="228">
        <v>7404006090</v>
      </c>
      <c r="B418" s="229" t="s">
        <v>1312</v>
      </c>
      <c r="C418" s="234" t="s">
        <v>1023</v>
      </c>
      <c r="D418" s="233">
        <v>11307</v>
      </c>
      <c r="E418" s="234">
        <v>25</v>
      </c>
      <c r="F418" s="234">
        <v>13</v>
      </c>
      <c r="G418" s="234">
        <v>25</v>
      </c>
      <c r="H418" s="234">
        <v>0</v>
      </c>
      <c r="I418" s="234">
        <v>0</v>
      </c>
    </row>
    <row r="419" spans="1:9" ht="14.1" customHeight="1">
      <c r="A419" s="228">
        <v>7610100030</v>
      </c>
      <c r="B419" s="229" t="s">
        <v>1313</v>
      </c>
      <c r="C419" s="234" t="s">
        <v>1023</v>
      </c>
      <c r="D419" s="234">
        <v>89</v>
      </c>
      <c r="E419" s="234">
        <v>3</v>
      </c>
      <c r="F419" s="234">
        <v>0</v>
      </c>
      <c r="G419" s="234">
        <v>0</v>
      </c>
      <c r="H419" s="234" t="s">
        <v>546</v>
      </c>
      <c r="I419" s="234">
        <v>3</v>
      </c>
    </row>
    <row r="420" spans="1:9" ht="14.1" customHeight="1">
      <c r="A420" s="228">
        <v>8408909050</v>
      </c>
      <c r="B420" s="229" t="s">
        <v>1314</v>
      </c>
      <c r="C420" s="234" t="s">
        <v>1032</v>
      </c>
      <c r="D420" s="234">
        <v>2</v>
      </c>
      <c r="E420" s="234">
        <v>20</v>
      </c>
      <c r="F420" s="234">
        <v>0</v>
      </c>
      <c r="G420" s="234">
        <v>0</v>
      </c>
      <c r="H420" s="234" t="s">
        <v>546</v>
      </c>
      <c r="I420" s="234">
        <v>20</v>
      </c>
    </row>
    <row r="421" spans="1:9" ht="14.1" customHeight="1">
      <c r="A421" s="228">
        <v>8409999990</v>
      </c>
      <c r="B421" s="229" t="s">
        <v>1204</v>
      </c>
      <c r="C421" s="234" t="s">
        <v>1023</v>
      </c>
      <c r="D421" s="233">
        <v>1136</v>
      </c>
      <c r="E421" s="234">
        <v>5</v>
      </c>
      <c r="F421" s="234">
        <v>1</v>
      </c>
      <c r="G421" s="234">
        <v>5</v>
      </c>
      <c r="H421" s="234">
        <v>0</v>
      </c>
      <c r="I421" s="234">
        <v>0</v>
      </c>
    </row>
    <row r="422" spans="1:9" ht="14.1" customHeight="1">
      <c r="A422" s="228">
        <v>8410900000</v>
      </c>
      <c r="B422" s="229" t="s">
        <v>1315</v>
      </c>
      <c r="C422" s="234" t="s">
        <v>1023</v>
      </c>
      <c r="D422" s="234">
        <v>5</v>
      </c>
      <c r="E422" s="234">
        <v>58</v>
      </c>
      <c r="F422" s="234">
        <v>0</v>
      </c>
      <c r="G422" s="234">
        <v>0</v>
      </c>
      <c r="H422" s="234" t="s">
        <v>546</v>
      </c>
      <c r="I422" s="234">
        <v>58</v>
      </c>
    </row>
    <row r="423" spans="1:9" ht="14.1" customHeight="1">
      <c r="A423" s="228">
        <v>8411919085</v>
      </c>
      <c r="B423" s="229" t="s">
        <v>1316</v>
      </c>
      <c r="C423" s="234" t="s">
        <v>1032</v>
      </c>
      <c r="D423" s="234">
        <v>21</v>
      </c>
      <c r="E423" s="234">
        <v>216</v>
      </c>
      <c r="F423" s="234">
        <v>0</v>
      </c>
      <c r="G423" s="234">
        <v>0</v>
      </c>
      <c r="H423" s="234" t="s">
        <v>546</v>
      </c>
      <c r="I423" s="234">
        <v>216</v>
      </c>
    </row>
    <row r="424" spans="1:9" ht="14.1" customHeight="1">
      <c r="A424" s="228">
        <v>8414596595</v>
      </c>
      <c r="B424" s="229" t="s">
        <v>1066</v>
      </c>
      <c r="C424" s="234" t="s">
        <v>1032</v>
      </c>
      <c r="D424" s="234">
        <v>1</v>
      </c>
      <c r="E424" s="234">
        <v>7</v>
      </c>
      <c r="F424" s="234">
        <v>0</v>
      </c>
      <c r="G424" s="234">
        <v>0</v>
      </c>
      <c r="H424" s="234" t="s">
        <v>546</v>
      </c>
      <c r="I424" s="234">
        <v>7</v>
      </c>
    </row>
    <row r="425" spans="1:9" ht="14.1" customHeight="1">
      <c r="A425" s="228">
        <v>8414809000</v>
      </c>
      <c r="B425" s="229" t="s">
        <v>1317</v>
      </c>
      <c r="C425" s="234" t="s">
        <v>1032</v>
      </c>
      <c r="D425" s="234">
        <v>1</v>
      </c>
      <c r="E425" s="234">
        <v>62</v>
      </c>
      <c r="F425" s="234">
        <v>0</v>
      </c>
      <c r="G425" s="234">
        <v>0</v>
      </c>
      <c r="H425" s="234" t="s">
        <v>546</v>
      </c>
      <c r="I425" s="234">
        <v>62</v>
      </c>
    </row>
    <row r="426" spans="1:9" ht="14.1" customHeight="1">
      <c r="A426" s="228">
        <v>8421210000</v>
      </c>
      <c r="B426" s="229" t="s">
        <v>1318</v>
      </c>
      <c r="C426" s="234" t="s">
        <v>1032</v>
      </c>
      <c r="D426" s="234">
        <v>1</v>
      </c>
      <c r="E426" s="234">
        <v>3</v>
      </c>
      <c r="F426" s="234">
        <v>0</v>
      </c>
      <c r="G426" s="234">
        <v>0</v>
      </c>
      <c r="H426" s="234" t="s">
        <v>546</v>
      </c>
      <c r="I426" s="234">
        <v>3</v>
      </c>
    </row>
    <row r="427" spans="1:9" ht="14.1" customHeight="1">
      <c r="A427" s="228">
        <v>8423899000</v>
      </c>
      <c r="B427" s="229" t="s">
        <v>1319</v>
      </c>
      <c r="C427" s="234" t="s">
        <v>1032</v>
      </c>
      <c r="D427" s="234">
        <v>4</v>
      </c>
      <c r="E427" s="234">
        <v>3</v>
      </c>
      <c r="F427" s="234">
        <v>0</v>
      </c>
      <c r="G427" s="234">
        <v>0</v>
      </c>
      <c r="H427" s="234" t="s">
        <v>546</v>
      </c>
      <c r="I427" s="234">
        <v>3</v>
      </c>
    </row>
    <row r="428" spans="1:9" ht="14.1" customHeight="1">
      <c r="A428" s="228">
        <v>8443399000</v>
      </c>
      <c r="B428" s="229" t="s">
        <v>1320</v>
      </c>
      <c r="C428" s="234" t="s">
        <v>1032</v>
      </c>
      <c r="D428" s="234">
        <v>11</v>
      </c>
      <c r="E428" s="234">
        <v>3</v>
      </c>
      <c r="F428" s="234">
        <v>0</v>
      </c>
      <c r="G428" s="234">
        <v>0</v>
      </c>
      <c r="H428" s="234" t="s">
        <v>546</v>
      </c>
      <c r="I428" s="234">
        <v>3</v>
      </c>
    </row>
    <row r="429" spans="1:9" ht="14.1" customHeight="1">
      <c r="A429" s="228">
        <v>8443992550</v>
      </c>
      <c r="B429" s="229" t="s">
        <v>1321</v>
      </c>
      <c r="C429" s="234" t="s">
        <v>1032</v>
      </c>
      <c r="D429" s="234">
        <v>15</v>
      </c>
      <c r="E429" s="234">
        <v>33</v>
      </c>
      <c r="F429" s="234">
        <v>0</v>
      </c>
      <c r="G429" s="234">
        <v>0</v>
      </c>
      <c r="H429" s="234" t="s">
        <v>546</v>
      </c>
      <c r="I429" s="234">
        <v>33</v>
      </c>
    </row>
    <row r="430" spans="1:9" ht="18.75" customHeight="1">
      <c r="A430" s="228">
        <v>8461208070</v>
      </c>
      <c r="B430" s="229" t="s">
        <v>1322</v>
      </c>
      <c r="C430" s="234" t="s">
        <v>1032</v>
      </c>
      <c r="D430" s="234">
        <v>2</v>
      </c>
      <c r="E430" s="234">
        <v>3</v>
      </c>
      <c r="F430" s="234">
        <v>0</v>
      </c>
      <c r="G430" s="234">
        <v>0</v>
      </c>
      <c r="H430" s="234" t="s">
        <v>546</v>
      </c>
      <c r="I430" s="234">
        <v>3</v>
      </c>
    </row>
    <row r="431" spans="1:9" ht="12" customHeight="1">
      <c r="A431" s="228">
        <v>8465990250</v>
      </c>
      <c r="B431" s="229" t="s">
        <v>1323</v>
      </c>
      <c r="C431" s="234" t="s">
        <v>1032</v>
      </c>
      <c r="D431" s="234">
        <v>1</v>
      </c>
      <c r="E431" s="234">
        <v>10</v>
      </c>
      <c r="F431" s="234">
        <v>0</v>
      </c>
      <c r="G431" s="234">
        <v>0</v>
      </c>
      <c r="H431" s="234" t="s">
        <v>546</v>
      </c>
      <c r="I431" s="234">
        <v>10</v>
      </c>
    </row>
    <row r="432" spans="1:9" ht="12" customHeight="1">
      <c r="A432" s="228">
        <v>8471300100</v>
      </c>
      <c r="B432" s="229" t="s">
        <v>1071</v>
      </c>
      <c r="C432" s="234" t="s">
        <v>1032</v>
      </c>
      <c r="D432" s="234">
        <v>15</v>
      </c>
      <c r="E432" s="234">
        <v>25</v>
      </c>
      <c r="F432" s="234">
        <v>0</v>
      </c>
      <c r="G432" s="234">
        <v>0</v>
      </c>
      <c r="H432" s="234" t="s">
        <v>546</v>
      </c>
      <c r="I432" s="234">
        <v>25</v>
      </c>
    </row>
    <row r="433" spans="1:9" ht="12" customHeight="1">
      <c r="A433" s="228">
        <v>8471410150</v>
      </c>
      <c r="B433" s="229" t="s">
        <v>1324</v>
      </c>
      <c r="C433" s="234" t="s">
        <v>1032</v>
      </c>
      <c r="D433" s="234">
        <v>58</v>
      </c>
      <c r="E433" s="234">
        <v>3</v>
      </c>
      <c r="F433" s="234">
        <v>0</v>
      </c>
      <c r="G433" s="234">
        <v>0</v>
      </c>
      <c r="H433" s="234" t="s">
        <v>546</v>
      </c>
      <c r="I433" s="234">
        <v>3</v>
      </c>
    </row>
    <row r="434" spans="1:9" ht="12" customHeight="1">
      <c r="A434" s="231">
        <v>8471490000</v>
      </c>
      <c r="B434" s="235" t="s">
        <v>1325</v>
      </c>
      <c r="C434" s="236" t="s">
        <v>1032</v>
      </c>
      <c r="D434" s="236">
        <v>3</v>
      </c>
      <c r="E434" s="236">
        <v>51</v>
      </c>
      <c r="F434" s="236">
        <v>0</v>
      </c>
      <c r="G434" s="236">
        <v>0</v>
      </c>
      <c r="H434" s="236" t="s">
        <v>546</v>
      </c>
      <c r="I434" s="236">
        <v>51</v>
      </c>
    </row>
    <row r="435" spans="1:9" ht="12" customHeight="1">
      <c r="A435" s="2037" t="s">
        <v>1187</v>
      </c>
      <c r="B435" s="2037"/>
      <c r="C435" s="2037"/>
      <c r="D435" s="2037"/>
      <c r="E435" s="2037"/>
      <c r="F435" s="2037"/>
      <c r="G435" s="2037"/>
      <c r="H435" s="30"/>
      <c r="I435" s="30"/>
    </row>
    <row r="436" spans="1:9" ht="12.95" customHeight="1">
      <c r="A436" s="2037" t="s">
        <v>1056</v>
      </c>
      <c r="B436" s="2037"/>
      <c r="C436" s="2037"/>
      <c r="D436" s="2037"/>
      <c r="E436" s="30"/>
      <c r="F436" s="30"/>
      <c r="G436" s="30"/>
      <c r="H436" s="30"/>
      <c r="I436" s="30"/>
    </row>
    <row r="437" spans="1:9" ht="10.5" customHeight="1">
      <c r="A437" s="2037" t="s">
        <v>1326</v>
      </c>
      <c r="B437" s="2037"/>
      <c r="C437" s="2037"/>
      <c r="D437" s="2037"/>
      <c r="E437" s="2037"/>
      <c r="F437" s="2037"/>
      <c r="G437" s="2037"/>
      <c r="H437" s="2037"/>
      <c r="I437" s="2037"/>
    </row>
    <row r="438" spans="1:9" ht="15" customHeight="1">
      <c r="A438" s="2037" t="s">
        <v>1327</v>
      </c>
      <c r="B438" s="2037"/>
      <c r="C438" s="2037"/>
      <c r="D438" s="2037"/>
      <c r="E438" s="2037"/>
      <c r="F438" s="30"/>
      <c r="G438" s="30"/>
      <c r="H438" s="30"/>
      <c r="I438" s="30"/>
    </row>
    <row r="439" spans="1:9" ht="14.1" customHeight="1">
      <c r="A439" s="13" t="s">
        <v>1328</v>
      </c>
      <c r="B439" s="30"/>
      <c r="C439" s="30"/>
      <c r="D439" s="30"/>
      <c r="E439" s="30"/>
      <c r="F439" s="30"/>
      <c r="G439" s="30"/>
      <c r="H439" s="30"/>
      <c r="I439" s="30"/>
    </row>
    <row r="440" spans="1:9" ht="17.25" customHeight="1">
      <c r="A440" s="2"/>
      <c r="B440" s="2"/>
      <c r="C440" s="2"/>
      <c r="D440" s="2"/>
      <c r="E440" s="2"/>
      <c r="F440" s="2"/>
      <c r="G440" s="2"/>
      <c r="H440" s="2"/>
      <c r="I440" s="2"/>
    </row>
    <row r="441" spans="1:9" ht="14.1" customHeight="1">
      <c r="A441" s="2"/>
      <c r="B441" s="2"/>
      <c r="C441" s="2"/>
      <c r="D441" s="2"/>
      <c r="E441" s="2"/>
      <c r="F441" s="2"/>
      <c r="G441" s="2"/>
      <c r="H441" s="2"/>
      <c r="I441" s="2"/>
    </row>
    <row r="442" spans="1:9" ht="18" customHeight="1">
      <c r="A442" s="2342" t="s">
        <v>1329</v>
      </c>
      <c r="B442" s="2342"/>
      <c r="C442" s="2342"/>
      <c r="D442" s="2342"/>
      <c r="E442" s="2342"/>
      <c r="F442" s="2342"/>
      <c r="G442" s="2342"/>
      <c r="H442" s="2342"/>
      <c r="I442" s="2"/>
    </row>
    <row r="443" spans="1:9" ht="14.1" customHeight="1">
      <c r="A443" s="108"/>
      <c r="B443" s="191"/>
      <c r="C443" s="114"/>
      <c r="D443" s="2023" t="s">
        <v>1157</v>
      </c>
      <c r="E443" s="2025"/>
      <c r="F443" s="2031" t="s">
        <v>1009</v>
      </c>
      <c r="G443" s="2031"/>
      <c r="H443" s="2330" t="s">
        <v>1010</v>
      </c>
      <c r="I443" s="2331"/>
    </row>
    <row r="444" spans="1:9" ht="14.1" customHeight="1">
      <c r="A444" s="3"/>
      <c r="B444" s="232"/>
      <c r="C444" s="201" t="s">
        <v>1011</v>
      </c>
      <c r="D444" s="2328"/>
      <c r="E444" s="2329"/>
      <c r="F444" s="2031"/>
      <c r="G444" s="2031"/>
      <c r="H444" s="2330"/>
      <c r="I444" s="2331"/>
    </row>
    <row r="445" spans="1:9" ht="14.1" customHeight="1">
      <c r="A445" s="3"/>
      <c r="B445" s="232"/>
      <c r="C445" s="201" t="s">
        <v>1013</v>
      </c>
      <c r="D445" s="221" t="s">
        <v>1014</v>
      </c>
      <c r="E445" s="226" t="s">
        <v>1015</v>
      </c>
      <c r="F445" s="217" t="s">
        <v>1012</v>
      </c>
      <c r="G445" s="225" t="s">
        <v>1015</v>
      </c>
      <c r="H445" s="201" t="s">
        <v>1012</v>
      </c>
      <c r="I445" s="197" t="s">
        <v>1015</v>
      </c>
    </row>
    <row r="446" spans="1:9" ht="14.1" customHeight="1">
      <c r="A446" s="201" t="s">
        <v>1017</v>
      </c>
      <c r="B446" s="256" t="s">
        <v>1018</v>
      </c>
      <c r="C446" s="201" t="s">
        <v>1019</v>
      </c>
      <c r="D446" s="221" t="s">
        <v>1019</v>
      </c>
      <c r="E446" s="257" t="s">
        <v>1020</v>
      </c>
      <c r="F446" s="201" t="s">
        <v>1016</v>
      </c>
      <c r="G446" s="257" t="s">
        <v>1020</v>
      </c>
      <c r="H446" s="201" t="s">
        <v>1016</v>
      </c>
      <c r="I446" s="258" t="s">
        <v>1020</v>
      </c>
    </row>
    <row r="447" spans="1:9" ht="14.1" customHeight="1">
      <c r="A447" s="217"/>
      <c r="B447" s="218"/>
      <c r="C447" s="217"/>
      <c r="D447" s="217"/>
      <c r="E447" s="220"/>
      <c r="F447" s="217"/>
      <c r="G447" s="220"/>
      <c r="H447" s="217"/>
      <c r="I447" s="217"/>
    </row>
    <row r="448" spans="1:9" ht="14.1" customHeight="1">
      <c r="A448" s="228">
        <v>8471500150</v>
      </c>
      <c r="B448" s="229" t="s">
        <v>1072</v>
      </c>
      <c r="C448" s="234" t="s">
        <v>1032</v>
      </c>
      <c r="D448" s="234">
        <v>1</v>
      </c>
      <c r="E448" s="234">
        <v>5</v>
      </c>
      <c r="F448" s="234">
        <v>0</v>
      </c>
      <c r="G448" s="234">
        <v>0</v>
      </c>
      <c r="H448" s="234" t="s">
        <v>546</v>
      </c>
      <c r="I448" s="234">
        <v>5</v>
      </c>
    </row>
    <row r="449" spans="1:9" ht="14.1" customHeight="1">
      <c r="A449" s="228">
        <v>8471608000</v>
      </c>
      <c r="B449" s="229" t="s">
        <v>1330</v>
      </c>
      <c r="C449" s="234" t="s">
        <v>1032</v>
      </c>
      <c r="D449" s="234">
        <v>9</v>
      </c>
      <c r="E449" s="234">
        <v>7</v>
      </c>
      <c r="F449" s="234">
        <v>0</v>
      </c>
      <c r="G449" s="234">
        <v>0</v>
      </c>
      <c r="H449" s="234" t="s">
        <v>546</v>
      </c>
      <c r="I449" s="234">
        <v>7</v>
      </c>
    </row>
    <row r="450" spans="1:9" ht="14.1" customHeight="1">
      <c r="A450" s="228">
        <v>8471609050</v>
      </c>
      <c r="B450" s="229" t="s">
        <v>1331</v>
      </c>
      <c r="C450" s="234" t="s">
        <v>1032</v>
      </c>
      <c r="D450" s="234">
        <v>87</v>
      </c>
      <c r="E450" s="234">
        <v>28</v>
      </c>
      <c r="F450" s="234">
        <v>0</v>
      </c>
      <c r="G450" s="234">
        <v>0</v>
      </c>
      <c r="H450" s="234" t="s">
        <v>546</v>
      </c>
      <c r="I450" s="234">
        <v>28</v>
      </c>
    </row>
    <row r="451" spans="1:9" ht="14.1" customHeight="1">
      <c r="A451" s="228">
        <v>8471900000</v>
      </c>
      <c r="B451" s="229" t="s">
        <v>1075</v>
      </c>
      <c r="C451" s="234" t="s">
        <v>1032</v>
      </c>
      <c r="D451" s="234">
        <v>1</v>
      </c>
      <c r="E451" s="234">
        <v>3</v>
      </c>
      <c r="F451" s="234">
        <v>0</v>
      </c>
      <c r="G451" s="234">
        <v>0</v>
      </c>
      <c r="H451" s="234" t="s">
        <v>546</v>
      </c>
      <c r="I451" s="234">
        <v>3</v>
      </c>
    </row>
    <row r="452" spans="1:9" ht="14.1" customHeight="1">
      <c r="A452" s="228">
        <v>8473305100</v>
      </c>
      <c r="B452" s="229" t="s">
        <v>1076</v>
      </c>
      <c r="C452" s="234" t="s">
        <v>1032</v>
      </c>
      <c r="D452" s="234">
        <v>11</v>
      </c>
      <c r="E452" s="234">
        <v>10</v>
      </c>
      <c r="F452" s="234">
        <v>0</v>
      </c>
      <c r="G452" s="234">
        <v>0</v>
      </c>
      <c r="H452" s="234" t="s">
        <v>546</v>
      </c>
      <c r="I452" s="234">
        <v>10</v>
      </c>
    </row>
    <row r="453" spans="1:9" ht="14.1" customHeight="1">
      <c r="A453" s="228">
        <v>8477908601</v>
      </c>
      <c r="B453" s="229" t="s">
        <v>1332</v>
      </c>
      <c r="C453" s="234" t="s">
        <v>1032</v>
      </c>
      <c r="D453" s="234">
        <v>5</v>
      </c>
      <c r="E453" s="234">
        <v>5</v>
      </c>
      <c r="F453" s="234">
        <v>0</v>
      </c>
      <c r="G453" s="234">
        <v>0</v>
      </c>
      <c r="H453" s="234" t="s">
        <v>546</v>
      </c>
      <c r="I453" s="234">
        <v>5</v>
      </c>
    </row>
    <row r="454" spans="1:9" ht="14.1" customHeight="1">
      <c r="A454" s="228">
        <v>8477908695</v>
      </c>
      <c r="B454" s="229" t="s">
        <v>1333</v>
      </c>
      <c r="C454" s="234" t="s">
        <v>1032</v>
      </c>
      <c r="D454" s="234">
        <v>6</v>
      </c>
      <c r="E454" s="234">
        <v>5</v>
      </c>
      <c r="F454" s="234">
        <v>0</v>
      </c>
      <c r="G454" s="234">
        <v>0</v>
      </c>
      <c r="H454" s="234" t="s">
        <v>546</v>
      </c>
      <c r="I454" s="234">
        <v>5</v>
      </c>
    </row>
    <row r="455" spans="1:9" ht="14.1" customHeight="1">
      <c r="A455" s="228">
        <v>8479820040</v>
      </c>
      <c r="B455" s="229" t="s">
        <v>1334</v>
      </c>
      <c r="C455" s="234" t="s">
        <v>1032</v>
      </c>
      <c r="D455" s="234">
        <v>3</v>
      </c>
      <c r="E455" s="234">
        <v>47</v>
      </c>
      <c r="F455" s="234">
        <v>1</v>
      </c>
      <c r="G455" s="234">
        <v>47</v>
      </c>
      <c r="H455" s="234">
        <v>0</v>
      </c>
      <c r="I455" s="234">
        <v>0</v>
      </c>
    </row>
    <row r="456" spans="1:9" ht="14.1" customHeight="1">
      <c r="A456" s="228">
        <v>8479909596</v>
      </c>
      <c r="B456" s="229" t="s">
        <v>1078</v>
      </c>
      <c r="C456" s="234" t="s">
        <v>1032</v>
      </c>
      <c r="D456" s="234">
        <v>6</v>
      </c>
      <c r="E456" s="234">
        <v>16</v>
      </c>
      <c r="F456" s="234">
        <v>0</v>
      </c>
      <c r="G456" s="234">
        <v>0</v>
      </c>
      <c r="H456" s="234" t="s">
        <v>546</v>
      </c>
      <c r="I456" s="234">
        <v>16</v>
      </c>
    </row>
    <row r="457" spans="1:9" ht="14.1" customHeight="1">
      <c r="A457" s="228">
        <v>8506800000</v>
      </c>
      <c r="B457" s="229" t="s">
        <v>1335</v>
      </c>
      <c r="C457" s="234" t="s">
        <v>1032</v>
      </c>
      <c r="D457" s="234">
        <v>4</v>
      </c>
      <c r="E457" s="234">
        <v>8</v>
      </c>
      <c r="F457" s="234" t="s">
        <v>546</v>
      </c>
      <c r="G457" s="234">
        <v>8</v>
      </c>
      <c r="H457" s="234">
        <v>0</v>
      </c>
      <c r="I457" s="234">
        <v>0</v>
      </c>
    </row>
    <row r="458" spans="1:9" ht="14.1" customHeight="1">
      <c r="A458" s="228">
        <v>8508700000</v>
      </c>
      <c r="B458" s="229" t="s">
        <v>1336</v>
      </c>
      <c r="C458" s="234" t="s">
        <v>1023</v>
      </c>
      <c r="D458" s="234">
        <v>32</v>
      </c>
      <c r="E458" s="234">
        <v>4</v>
      </c>
      <c r="F458" s="234">
        <v>0</v>
      </c>
      <c r="G458" s="234">
        <v>0</v>
      </c>
      <c r="H458" s="234" t="s">
        <v>546</v>
      </c>
      <c r="I458" s="234">
        <v>4</v>
      </c>
    </row>
    <row r="459" spans="1:9" ht="14.1" customHeight="1">
      <c r="A459" s="228">
        <v>8517140080</v>
      </c>
      <c r="B459" s="229" t="s">
        <v>1088</v>
      </c>
      <c r="C459" s="234" t="s">
        <v>1032</v>
      </c>
      <c r="D459" s="234">
        <v>50</v>
      </c>
      <c r="E459" s="234">
        <v>41</v>
      </c>
      <c r="F459" s="234">
        <v>0</v>
      </c>
      <c r="G459" s="234">
        <v>0</v>
      </c>
      <c r="H459" s="234" t="s">
        <v>546</v>
      </c>
      <c r="I459" s="234">
        <v>41</v>
      </c>
    </row>
    <row r="460" spans="1:9" ht="14.1" customHeight="1">
      <c r="A460" s="228">
        <v>8517620020</v>
      </c>
      <c r="B460" s="229" t="s">
        <v>1337</v>
      </c>
      <c r="C460" s="234" t="s">
        <v>1032</v>
      </c>
      <c r="D460" s="234">
        <v>10</v>
      </c>
      <c r="E460" s="234">
        <v>3</v>
      </c>
      <c r="F460" s="234">
        <v>0</v>
      </c>
      <c r="G460" s="234">
        <v>0</v>
      </c>
      <c r="H460" s="234" t="s">
        <v>546</v>
      </c>
      <c r="I460" s="234">
        <v>3</v>
      </c>
    </row>
    <row r="461" spans="1:9" ht="14.1" customHeight="1">
      <c r="A461" s="228">
        <v>8517620090</v>
      </c>
      <c r="B461" s="229" t="s">
        <v>1089</v>
      </c>
      <c r="C461" s="234" t="s">
        <v>1023</v>
      </c>
      <c r="D461" s="234">
        <v>103</v>
      </c>
      <c r="E461" s="234">
        <v>89</v>
      </c>
      <c r="F461" s="234">
        <v>0</v>
      </c>
      <c r="G461" s="234">
        <v>0</v>
      </c>
      <c r="H461" s="234" t="s">
        <v>546</v>
      </c>
      <c r="I461" s="234">
        <v>89</v>
      </c>
    </row>
    <row r="462" spans="1:9" ht="14.1" customHeight="1">
      <c r="A462" s="228">
        <v>8517690000</v>
      </c>
      <c r="B462" s="229" t="s">
        <v>1228</v>
      </c>
      <c r="C462" s="234" t="s">
        <v>1032</v>
      </c>
      <c r="D462" s="234">
        <v>3</v>
      </c>
      <c r="E462" s="234">
        <v>4</v>
      </c>
      <c r="F462" s="234">
        <v>0</v>
      </c>
      <c r="G462" s="234">
        <v>0</v>
      </c>
      <c r="H462" s="234" t="s">
        <v>546</v>
      </c>
      <c r="I462" s="234">
        <v>4</v>
      </c>
    </row>
    <row r="463" spans="1:9" ht="14.1" customHeight="1">
      <c r="A463" s="228">
        <v>8517790000</v>
      </c>
      <c r="B463" s="229" t="s">
        <v>1090</v>
      </c>
      <c r="C463" s="234" t="s">
        <v>1032</v>
      </c>
      <c r="D463" s="234">
        <v>6</v>
      </c>
      <c r="E463" s="234">
        <v>4</v>
      </c>
      <c r="F463" s="234">
        <v>0</v>
      </c>
      <c r="G463" s="234">
        <v>0</v>
      </c>
      <c r="H463" s="234" t="s">
        <v>546</v>
      </c>
      <c r="I463" s="234">
        <v>4</v>
      </c>
    </row>
    <row r="464" spans="1:9" ht="14.1" customHeight="1">
      <c r="A464" s="228">
        <v>8525507010</v>
      </c>
      <c r="B464" s="229" t="s">
        <v>1338</v>
      </c>
      <c r="C464" s="234" t="s">
        <v>1032</v>
      </c>
      <c r="D464" s="234">
        <v>1</v>
      </c>
      <c r="E464" s="234">
        <v>60</v>
      </c>
      <c r="F464" s="234">
        <v>0</v>
      </c>
      <c r="G464" s="234">
        <v>0</v>
      </c>
      <c r="H464" s="234" t="s">
        <v>546</v>
      </c>
      <c r="I464" s="234">
        <v>60</v>
      </c>
    </row>
    <row r="465" spans="1:9" ht="14.1" customHeight="1">
      <c r="A465" s="228">
        <v>8525895050</v>
      </c>
      <c r="B465" s="229" t="s">
        <v>1092</v>
      </c>
      <c r="C465" s="234" t="s">
        <v>1032</v>
      </c>
      <c r="D465" s="234">
        <v>1</v>
      </c>
      <c r="E465" s="234">
        <v>17</v>
      </c>
      <c r="F465" s="234">
        <v>0</v>
      </c>
      <c r="G465" s="234">
        <v>0</v>
      </c>
      <c r="H465" s="234" t="s">
        <v>546</v>
      </c>
      <c r="I465" s="234">
        <v>17</v>
      </c>
    </row>
    <row r="466" spans="1:9" ht="14.1" customHeight="1">
      <c r="A466" s="228">
        <v>8526100040</v>
      </c>
      <c r="B466" s="229" t="s">
        <v>1339</v>
      </c>
      <c r="C466" s="234" t="s">
        <v>1032</v>
      </c>
      <c r="D466" s="234">
        <v>4</v>
      </c>
      <c r="E466" s="234">
        <v>52</v>
      </c>
      <c r="F466" s="234">
        <v>15</v>
      </c>
      <c r="G466" s="234">
        <v>42</v>
      </c>
      <c r="H466" s="234" t="s">
        <v>546</v>
      </c>
      <c r="I466" s="234">
        <v>10</v>
      </c>
    </row>
    <row r="467" spans="1:9" ht="14.1" customHeight="1">
      <c r="A467" s="228">
        <v>8526910040</v>
      </c>
      <c r="B467" s="229" t="s">
        <v>1340</v>
      </c>
      <c r="C467" s="234" t="s">
        <v>1032</v>
      </c>
      <c r="D467" s="234">
        <v>3</v>
      </c>
      <c r="E467" s="234">
        <v>9</v>
      </c>
      <c r="F467" s="234">
        <v>0</v>
      </c>
      <c r="G467" s="234">
        <v>0</v>
      </c>
      <c r="H467" s="234" t="s">
        <v>546</v>
      </c>
      <c r="I467" s="234">
        <v>9</v>
      </c>
    </row>
    <row r="468" spans="1:9" ht="14.1" customHeight="1">
      <c r="A468" s="228">
        <v>8527994000</v>
      </c>
      <c r="B468" s="229" t="s">
        <v>1095</v>
      </c>
      <c r="C468" s="234" t="s">
        <v>1032</v>
      </c>
      <c r="D468" s="234">
        <v>2</v>
      </c>
      <c r="E468" s="234">
        <v>3</v>
      </c>
      <c r="F468" s="234">
        <v>0</v>
      </c>
      <c r="G468" s="234">
        <v>0</v>
      </c>
      <c r="H468" s="234" t="s">
        <v>546</v>
      </c>
      <c r="I468" s="234">
        <v>3</v>
      </c>
    </row>
    <row r="469" spans="1:9" ht="14.1" customHeight="1">
      <c r="A469" s="228">
        <v>8529109100</v>
      </c>
      <c r="B469" s="229" t="s">
        <v>1341</v>
      </c>
      <c r="C469" s="234" t="s">
        <v>1032</v>
      </c>
      <c r="D469" s="234">
        <v>6</v>
      </c>
      <c r="E469" s="234">
        <v>108</v>
      </c>
      <c r="F469" s="234">
        <v>0</v>
      </c>
      <c r="G469" s="234">
        <v>0</v>
      </c>
      <c r="H469" s="234" t="s">
        <v>546</v>
      </c>
      <c r="I469" s="234">
        <v>108</v>
      </c>
    </row>
    <row r="470" spans="1:9" ht="14.1" customHeight="1">
      <c r="A470" s="228">
        <v>8530800000</v>
      </c>
      <c r="B470" s="229" t="s">
        <v>1342</v>
      </c>
      <c r="C470" s="234" t="s">
        <v>1032</v>
      </c>
      <c r="D470" s="234">
        <v>6</v>
      </c>
      <c r="E470" s="234">
        <v>6</v>
      </c>
      <c r="F470" s="234">
        <v>0</v>
      </c>
      <c r="G470" s="234">
        <v>0</v>
      </c>
      <c r="H470" s="234" t="s">
        <v>546</v>
      </c>
      <c r="I470" s="234">
        <v>6</v>
      </c>
    </row>
    <row r="471" spans="1:9" ht="14.1" customHeight="1">
      <c r="A471" s="228">
        <v>8531200040</v>
      </c>
      <c r="B471" s="229" t="s">
        <v>1343</v>
      </c>
      <c r="C471" s="234" t="s">
        <v>1032</v>
      </c>
      <c r="D471" s="234">
        <v>1</v>
      </c>
      <c r="E471" s="234">
        <v>8</v>
      </c>
      <c r="F471" s="234">
        <v>0</v>
      </c>
      <c r="G471" s="234">
        <v>0</v>
      </c>
      <c r="H471" s="234" t="s">
        <v>546</v>
      </c>
      <c r="I471" s="234">
        <v>8</v>
      </c>
    </row>
    <row r="472" spans="1:9" ht="14.1" customHeight="1">
      <c r="A472" s="228">
        <v>8531809051</v>
      </c>
      <c r="B472" s="229" t="s">
        <v>1096</v>
      </c>
      <c r="C472" s="234" t="s">
        <v>1032</v>
      </c>
      <c r="D472" s="234">
        <v>6</v>
      </c>
      <c r="E472" s="234">
        <v>5</v>
      </c>
      <c r="F472" s="234">
        <v>0</v>
      </c>
      <c r="G472" s="234">
        <v>0</v>
      </c>
      <c r="H472" s="234" t="s">
        <v>546</v>
      </c>
      <c r="I472" s="234">
        <v>5</v>
      </c>
    </row>
    <row r="473" spans="1:9" ht="14.1" customHeight="1">
      <c r="A473" s="228">
        <v>8532220020</v>
      </c>
      <c r="B473" s="229" t="s">
        <v>1344</v>
      </c>
      <c r="C473" s="234" t="s">
        <v>1032</v>
      </c>
      <c r="D473" s="234">
        <v>520</v>
      </c>
      <c r="E473" s="234">
        <v>2</v>
      </c>
      <c r="F473" s="234">
        <v>0</v>
      </c>
      <c r="G473" s="234">
        <v>0</v>
      </c>
      <c r="H473" s="234" t="s">
        <v>546</v>
      </c>
      <c r="I473" s="234">
        <v>2</v>
      </c>
    </row>
    <row r="474" spans="1:9" ht="14.1" customHeight="1">
      <c r="A474" s="228">
        <v>8536904000</v>
      </c>
      <c r="B474" s="229" t="s">
        <v>1345</v>
      </c>
      <c r="C474" s="234" t="s">
        <v>1032</v>
      </c>
      <c r="D474" s="234">
        <v>121</v>
      </c>
      <c r="E474" s="234">
        <v>4</v>
      </c>
      <c r="F474" s="234">
        <v>0</v>
      </c>
      <c r="G474" s="234">
        <v>0</v>
      </c>
      <c r="H474" s="234" t="s">
        <v>546</v>
      </c>
      <c r="I474" s="234">
        <v>4</v>
      </c>
    </row>
    <row r="475" spans="1:9" ht="14.1" customHeight="1">
      <c r="A475" s="228">
        <v>8542320071</v>
      </c>
      <c r="B475" s="229" t="s">
        <v>1346</v>
      </c>
      <c r="C475" s="234" t="s">
        <v>1032</v>
      </c>
      <c r="D475" s="234">
        <v>24</v>
      </c>
      <c r="E475" s="234">
        <v>3</v>
      </c>
      <c r="F475" s="234">
        <v>0</v>
      </c>
      <c r="G475" s="234">
        <v>0</v>
      </c>
      <c r="H475" s="234" t="s">
        <v>546</v>
      </c>
      <c r="I475" s="234">
        <v>3</v>
      </c>
    </row>
    <row r="476" spans="1:9" ht="14.1" customHeight="1">
      <c r="A476" s="228">
        <v>8543704500</v>
      </c>
      <c r="B476" s="229" t="s">
        <v>1347</v>
      </c>
      <c r="C476" s="234" t="s">
        <v>1032</v>
      </c>
      <c r="D476" s="234">
        <v>1</v>
      </c>
      <c r="E476" s="234">
        <v>6</v>
      </c>
      <c r="F476" s="234">
        <v>0</v>
      </c>
      <c r="G476" s="234">
        <v>0</v>
      </c>
      <c r="H476" s="234" t="s">
        <v>546</v>
      </c>
      <c r="I476" s="234">
        <v>6</v>
      </c>
    </row>
    <row r="477" spans="1:9" ht="14.1" customHeight="1">
      <c r="A477" s="228">
        <v>8548000000</v>
      </c>
      <c r="B477" s="229" t="s">
        <v>1348</v>
      </c>
      <c r="C477" s="234" t="s">
        <v>1032</v>
      </c>
      <c r="D477" s="233">
        <v>3194</v>
      </c>
      <c r="E477" s="234">
        <v>47</v>
      </c>
      <c r="F477" s="234">
        <v>80</v>
      </c>
      <c r="G477" s="234">
        <v>47</v>
      </c>
      <c r="H477" s="234">
        <v>0</v>
      </c>
      <c r="I477" s="234">
        <v>0</v>
      </c>
    </row>
    <row r="478" spans="1:9" ht="14.1" customHeight="1">
      <c r="A478" s="228">
        <v>8549111040</v>
      </c>
      <c r="B478" s="229" t="s">
        <v>1101</v>
      </c>
      <c r="C478" s="234" t="s">
        <v>1032</v>
      </c>
      <c r="D478" s="233">
        <v>10335</v>
      </c>
      <c r="E478" s="234">
        <v>132</v>
      </c>
      <c r="F478" s="234">
        <v>148</v>
      </c>
      <c r="G478" s="234">
        <v>132</v>
      </c>
      <c r="H478" s="234">
        <v>0</v>
      </c>
      <c r="I478" s="234">
        <v>0</v>
      </c>
    </row>
    <row r="479" spans="1:9" ht="14.1" customHeight="1">
      <c r="A479" s="228">
        <v>8609000000</v>
      </c>
      <c r="B479" s="229" t="s">
        <v>1239</v>
      </c>
      <c r="C479" s="234" t="s">
        <v>1032</v>
      </c>
      <c r="D479" s="234">
        <v>8</v>
      </c>
      <c r="E479" s="234">
        <v>4</v>
      </c>
      <c r="F479" s="234">
        <v>0</v>
      </c>
      <c r="G479" s="234">
        <v>0</v>
      </c>
      <c r="H479" s="234" t="s">
        <v>546</v>
      </c>
      <c r="I479" s="234">
        <v>4</v>
      </c>
    </row>
    <row r="480" spans="1:9" ht="14.1" customHeight="1">
      <c r="A480" s="228">
        <v>8703210130</v>
      </c>
      <c r="B480" s="229" t="s">
        <v>1240</v>
      </c>
      <c r="C480" s="234" t="s">
        <v>1032</v>
      </c>
      <c r="D480" s="234">
        <v>1</v>
      </c>
      <c r="E480" s="234">
        <v>7</v>
      </c>
      <c r="F480" s="234">
        <v>1</v>
      </c>
      <c r="G480" s="234">
        <v>7</v>
      </c>
      <c r="H480" s="234">
        <v>0</v>
      </c>
      <c r="I480" s="234">
        <v>0</v>
      </c>
    </row>
    <row r="481" spans="1:9" ht="14.1" customHeight="1">
      <c r="A481" s="228">
        <v>8703210150</v>
      </c>
      <c r="B481" s="229" t="s">
        <v>1349</v>
      </c>
      <c r="C481" s="234" t="s">
        <v>1032</v>
      </c>
      <c r="D481" s="234">
        <v>5</v>
      </c>
      <c r="E481" s="234">
        <v>67</v>
      </c>
      <c r="F481" s="234">
        <v>4</v>
      </c>
      <c r="G481" s="234">
        <v>67</v>
      </c>
      <c r="H481" s="234">
        <v>0</v>
      </c>
      <c r="I481" s="234">
        <v>0</v>
      </c>
    </row>
    <row r="482" spans="1:9" ht="14.1" customHeight="1">
      <c r="A482" s="228">
        <v>8703230190</v>
      </c>
      <c r="B482" s="229" t="s">
        <v>1102</v>
      </c>
      <c r="C482" s="234" t="s">
        <v>1032</v>
      </c>
      <c r="D482" s="234">
        <v>9</v>
      </c>
      <c r="E482" s="234">
        <v>127</v>
      </c>
      <c r="F482" s="234">
        <v>14</v>
      </c>
      <c r="G482" s="234">
        <v>127</v>
      </c>
      <c r="H482" s="234">
        <v>0</v>
      </c>
      <c r="I482" s="234">
        <v>0</v>
      </c>
    </row>
    <row r="483" spans="1:9" ht="14.1" customHeight="1">
      <c r="A483" s="228">
        <v>8703240190</v>
      </c>
      <c r="B483" s="229" t="s">
        <v>1241</v>
      </c>
      <c r="C483" s="234" t="s">
        <v>1032</v>
      </c>
      <c r="D483" s="234">
        <v>6</v>
      </c>
      <c r="E483" s="234">
        <v>151</v>
      </c>
      <c r="F483" s="234">
        <v>13</v>
      </c>
      <c r="G483" s="234">
        <v>151</v>
      </c>
      <c r="H483" s="234">
        <v>0</v>
      </c>
      <c r="I483" s="234">
        <v>0</v>
      </c>
    </row>
    <row r="484" spans="1:9" ht="14.1" customHeight="1">
      <c r="A484" s="228">
        <v>8703400045</v>
      </c>
      <c r="B484" s="229" t="s">
        <v>1242</v>
      </c>
      <c r="C484" s="234" t="s">
        <v>1032</v>
      </c>
      <c r="D484" s="234">
        <v>3</v>
      </c>
      <c r="E484" s="234">
        <v>72</v>
      </c>
      <c r="F484" s="234">
        <v>6</v>
      </c>
      <c r="G484" s="234">
        <v>72</v>
      </c>
      <c r="H484" s="234">
        <v>0</v>
      </c>
      <c r="I484" s="234">
        <v>0</v>
      </c>
    </row>
    <row r="485" spans="1:9" ht="14.1" customHeight="1">
      <c r="A485" s="228">
        <v>8703600045</v>
      </c>
      <c r="B485" s="229" t="s">
        <v>1243</v>
      </c>
      <c r="C485" s="234" t="s">
        <v>1032</v>
      </c>
      <c r="D485" s="234">
        <v>3</v>
      </c>
      <c r="E485" s="234">
        <v>53</v>
      </c>
      <c r="F485" s="234">
        <v>5</v>
      </c>
      <c r="G485" s="234">
        <v>53</v>
      </c>
      <c r="H485" s="234">
        <v>0</v>
      </c>
      <c r="I485" s="234">
        <v>0</v>
      </c>
    </row>
    <row r="486" spans="1:9" ht="14.1" customHeight="1">
      <c r="A486" s="228">
        <v>8704310120</v>
      </c>
      <c r="B486" s="229" t="s">
        <v>1103</v>
      </c>
      <c r="C486" s="234" t="s">
        <v>1032</v>
      </c>
      <c r="D486" s="234">
        <v>1</v>
      </c>
      <c r="E486" s="234">
        <v>30</v>
      </c>
      <c r="F486" s="234">
        <v>2</v>
      </c>
      <c r="G486" s="234">
        <v>30</v>
      </c>
      <c r="H486" s="234">
        <v>0</v>
      </c>
      <c r="I486" s="234">
        <v>0</v>
      </c>
    </row>
    <row r="487" spans="1:9" ht="14.1" customHeight="1">
      <c r="A487" s="228">
        <v>8708305040</v>
      </c>
      <c r="B487" s="229" t="s">
        <v>1350</v>
      </c>
      <c r="C487" s="234" t="s">
        <v>1032</v>
      </c>
      <c r="D487" s="234">
        <v>9</v>
      </c>
      <c r="E487" s="234">
        <v>5</v>
      </c>
      <c r="F487" s="234">
        <v>0</v>
      </c>
      <c r="G487" s="234">
        <v>0</v>
      </c>
      <c r="H487" s="234" t="s">
        <v>546</v>
      </c>
      <c r="I487" s="234">
        <v>5</v>
      </c>
    </row>
    <row r="488" spans="1:9" ht="14.1" customHeight="1">
      <c r="A488" s="228">
        <v>8708801600</v>
      </c>
      <c r="B488" s="229" t="s">
        <v>1351</v>
      </c>
      <c r="C488" s="234" t="s">
        <v>1032</v>
      </c>
      <c r="D488" s="234">
        <v>322</v>
      </c>
      <c r="E488" s="234">
        <v>12</v>
      </c>
      <c r="F488" s="234">
        <v>0</v>
      </c>
      <c r="G488" s="234">
        <v>0</v>
      </c>
      <c r="H488" s="234" t="s">
        <v>546</v>
      </c>
      <c r="I488" s="234">
        <v>12</v>
      </c>
    </row>
    <row r="489" spans="1:9" ht="14.1" customHeight="1">
      <c r="A489" s="228">
        <v>8708998180</v>
      </c>
      <c r="B489" s="229" t="s">
        <v>1104</v>
      </c>
      <c r="C489" s="234" t="s">
        <v>1032</v>
      </c>
      <c r="D489" s="234">
        <v>1</v>
      </c>
      <c r="E489" s="234">
        <v>3</v>
      </c>
      <c r="F489" s="234">
        <v>0</v>
      </c>
      <c r="G489" s="234">
        <v>0</v>
      </c>
      <c r="H489" s="234" t="s">
        <v>546</v>
      </c>
      <c r="I489" s="234">
        <v>3</v>
      </c>
    </row>
    <row r="490" spans="1:9" ht="14.1" customHeight="1">
      <c r="A490" s="228">
        <v>8709190030</v>
      </c>
      <c r="B490" s="229" t="s">
        <v>1352</v>
      </c>
      <c r="C490" s="234" t="s">
        <v>1032</v>
      </c>
      <c r="D490" s="234">
        <v>1</v>
      </c>
      <c r="E490" s="234">
        <v>4</v>
      </c>
      <c r="F490" s="234">
        <v>1</v>
      </c>
      <c r="G490" s="234">
        <v>4</v>
      </c>
      <c r="H490" s="234">
        <v>0</v>
      </c>
      <c r="I490" s="234">
        <v>0</v>
      </c>
    </row>
    <row r="491" spans="1:9" ht="14.1" customHeight="1">
      <c r="A491" s="228">
        <v>8711500060</v>
      </c>
      <c r="B491" s="229" t="s">
        <v>1353</v>
      </c>
      <c r="C491" s="234" t="s">
        <v>1032</v>
      </c>
      <c r="D491" s="234">
        <v>1</v>
      </c>
      <c r="E491" s="234">
        <v>3</v>
      </c>
      <c r="F491" s="234">
        <v>1</v>
      </c>
      <c r="G491" s="234">
        <v>3</v>
      </c>
      <c r="H491" s="234">
        <v>0</v>
      </c>
      <c r="I491" s="234">
        <v>0</v>
      </c>
    </row>
    <row r="492" spans="1:9" ht="14.1" customHeight="1">
      <c r="A492" s="228">
        <v>8712004800</v>
      </c>
      <c r="B492" s="229" t="s">
        <v>1354</v>
      </c>
      <c r="C492" s="234" t="s">
        <v>1032</v>
      </c>
      <c r="D492" s="234">
        <v>1</v>
      </c>
      <c r="E492" s="234">
        <v>7</v>
      </c>
      <c r="F492" s="234">
        <v>0</v>
      </c>
      <c r="G492" s="234">
        <v>0</v>
      </c>
      <c r="H492" s="234">
        <v>4</v>
      </c>
      <c r="I492" s="234">
        <v>7</v>
      </c>
    </row>
    <row r="493" spans="1:9" ht="14.1" customHeight="1">
      <c r="A493" s="228">
        <v>8804000000</v>
      </c>
      <c r="B493" s="229" t="s">
        <v>1355</v>
      </c>
      <c r="C493" s="234" t="s">
        <v>1023</v>
      </c>
      <c r="D493" s="234">
        <v>36</v>
      </c>
      <c r="E493" s="234">
        <v>20</v>
      </c>
      <c r="F493" s="234">
        <v>0</v>
      </c>
      <c r="G493" s="234">
        <v>0</v>
      </c>
      <c r="H493" s="234" t="s">
        <v>546</v>
      </c>
      <c r="I493" s="234">
        <v>20</v>
      </c>
    </row>
    <row r="494" spans="1:9" ht="14.1" customHeight="1">
      <c r="A494" s="228">
        <v>9001500000</v>
      </c>
      <c r="B494" s="229" t="s">
        <v>1356</v>
      </c>
      <c r="C494" s="234" t="s">
        <v>1190</v>
      </c>
      <c r="D494" s="234">
        <v>1</v>
      </c>
      <c r="E494" s="234">
        <v>5</v>
      </c>
      <c r="F494" s="234">
        <v>0</v>
      </c>
      <c r="G494" s="234">
        <v>0</v>
      </c>
      <c r="H494" s="234" t="s">
        <v>546</v>
      </c>
      <c r="I494" s="234">
        <v>5</v>
      </c>
    </row>
    <row r="495" spans="1:9" ht="14.1" customHeight="1">
      <c r="A495" s="228">
        <v>9006300000</v>
      </c>
      <c r="B495" s="229" t="s">
        <v>1357</v>
      </c>
      <c r="C495" s="234" t="s">
        <v>1032</v>
      </c>
      <c r="D495" s="234">
        <v>4</v>
      </c>
      <c r="E495" s="234">
        <v>33</v>
      </c>
      <c r="F495" s="234">
        <v>0</v>
      </c>
      <c r="G495" s="234">
        <v>0</v>
      </c>
      <c r="H495" s="234" t="s">
        <v>546</v>
      </c>
      <c r="I495" s="234">
        <v>33</v>
      </c>
    </row>
    <row r="496" spans="1:9" ht="14.1" customHeight="1">
      <c r="A496" s="228">
        <v>9006599100</v>
      </c>
      <c r="B496" s="229" t="s">
        <v>1358</v>
      </c>
      <c r="C496" s="234" t="s">
        <v>1032</v>
      </c>
      <c r="D496" s="234">
        <v>1</v>
      </c>
      <c r="E496" s="234">
        <v>5</v>
      </c>
      <c r="F496" s="234">
        <v>0</v>
      </c>
      <c r="G496" s="234">
        <v>0</v>
      </c>
      <c r="H496" s="234" t="s">
        <v>546</v>
      </c>
      <c r="I496" s="234">
        <v>5</v>
      </c>
    </row>
    <row r="497" spans="1:9" ht="14.25" customHeight="1">
      <c r="A497" s="228">
        <v>9015808080</v>
      </c>
      <c r="B497" s="229" t="s">
        <v>1109</v>
      </c>
      <c r="C497" s="234" t="s">
        <v>1023</v>
      </c>
      <c r="D497" s="233">
        <v>4247</v>
      </c>
      <c r="E497" s="234">
        <v>197</v>
      </c>
      <c r="F497" s="234">
        <v>4</v>
      </c>
      <c r="G497" s="234">
        <v>165</v>
      </c>
      <c r="H497" s="234" t="s">
        <v>546</v>
      </c>
      <c r="I497" s="234">
        <v>32</v>
      </c>
    </row>
    <row r="498" spans="1:9" ht="14.25" customHeight="1">
      <c r="A498" s="228">
        <v>9017308000</v>
      </c>
      <c r="B498" s="229" t="s">
        <v>1249</v>
      </c>
      <c r="C498" s="234" t="s">
        <v>1032</v>
      </c>
      <c r="D498" s="234">
        <v>2</v>
      </c>
      <c r="E498" s="234">
        <v>10</v>
      </c>
      <c r="F498" s="234">
        <v>0</v>
      </c>
      <c r="G498" s="234">
        <v>0</v>
      </c>
      <c r="H498" s="234" t="s">
        <v>546</v>
      </c>
      <c r="I498" s="234">
        <v>10</v>
      </c>
    </row>
    <row r="499" spans="1:9" ht="19.5" customHeight="1">
      <c r="A499" s="228">
        <v>9018498080</v>
      </c>
      <c r="B499" s="229" t="s">
        <v>1110</v>
      </c>
      <c r="C499" s="234" t="s">
        <v>1032</v>
      </c>
      <c r="D499" s="234">
        <v>1</v>
      </c>
      <c r="E499" s="234">
        <v>4</v>
      </c>
      <c r="F499" s="234">
        <v>0</v>
      </c>
      <c r="G499" s="234">
        <v>0</v>
      </c>
      <c r="H499" s="234" t="s">
        <v>546</v>
      </c>
      <c r="I499" s="234">
        <v>4</v>
      </c>
    </row>
    <row r="500" spans="1:9" ht="12.95" customHeight="1">
      <c r="A500" s="228">
        <v>9018901000</v>
      </c>
      <c r="B500" s="229" t="s">
        <v>1359</v>
      </c>
      <c r="C500" s="234" t="s">
        <v>1032</v>
      </c>
      <c r="D500" s="234">
        <v>1</v>
      </c>
      <c r="E500" s="234">
        <v>3</v>
      </c>
      <c r="F500" s="234">
        <v>0</v>
      </c>
      <c r="G500" s="234">
        <v>0</v>
      </c>
      <c r="H500" s="234" t="s">
        <v>546</v>
      </c>
      <c r="I500" s="234">
        <v>3</v>
      </c>
    </row>
    <row r="501" spans="1:9" ht="12.95" customHeight="1">
      <c r="A501" s="228">
        <v>9018908000</v>
      </c>
      <c r="B501" s="229" t="s">
        <v>1360</v>
      </c>
      <c r="C501" s="234" t="s">
        <v>1032</v>
      </c>
      <c r="D501" s="233">
        <v>5782</v>
      </c>
      <c r="E501" s="234">
        <v>812</v>
      </c>
      <c r="F501" s="234">
        <v>23</v>
      </c>
      <c r="G501" s="234">
        <v>796</v>
      </c>
      <c r="H501" s="234" t="s">
        <v>546</v>
      </c>
      <c r="I501" s="234">
        <v>17</v>
      </c>
    </row>
    <row r="502" spans="1:9" ht="12.95" customHeight="1">
      <c r="A502" s="228">
        <v>9019200000</v>
      </c>
      <c r="B502" s="229" t="s">
        <v>1361</v>
      </c>
      <c r="C502" s="234" t="s">
        <v>1032</v>
      </c>
      <c r="D502" s="234">
        <v>1</v>
      </c>
      <c r="E502" s="234">
        <v>5</v>
      </c>
      <c r="F502" s="234">
        <v>0</v>
      </c>
      <c r="G502" s="234">
        <v>0</v>
      </c>
      <c r="H502" s="234" t="s">
        <v>546</v>
      </c>
      <c r="I502" s="234">
        <v>5</v>
      </c>
    </row>
    <row r="503" spans="1:9" ht="12.95" customHeight="1">
      <c r="A503" s="231">
        <v>9021400000</v>
      </c>
      <c r="B503" s="235" t="s">
        <v>1362</v>
      </c>
      <c r="C503" s="236" t="s">
        <v>1032</v>
      </c>
      <c r="D503" s="236">
        <v>4</v>
      </c>
      <c r="E503" s="236">
        <v>8</v>
      </c>
      <c r="F503" s="236">
        <v>0</v>
      </c>
      <c r="G503" s="236">
        <v>0</v>
      </c>
      <c r="H503" s="236" t="s">
        <v>546</v>
      </c>
      <c r="I503" s="236">
        <v>8</v>
      </c>
    </row>
    <row r="504" spans="1:9" ht="12.95" customHeight="1">
      <c r="A504" s="2045"/>
      <c r="B504" s="2045"/>
      <c r="C504" s="2045"/>
      <c r="D504" s="2045"/>
      <c r="E504" s="2045"/>
      <c r="F504" s="2045"/>
      <c r="G504" s="2045"/>
      <c r="H504" s="14"/>
      <c r="I504" s="14"/>
    </row>
    <row r="505" spans="1:9" ht="12.95" customHeight="1">
      <c r="A505" s="2045"/>
      <c r="B505" s="2045"/>
      <c r="C505" s="2045"/>
      <c r="D505" s="2045"/>
      <c r="E505" s="14"/>
      <c r="F505" s="14"/>
      <c r="G505" s="14"/>
      <c r="H505" s="14"/>
      <c r="I505" s="14"/>
    </row>
    <row r="506" spans="1:9" ht="12.95" customHeight="1">
      <c r="A506" s="2"/>
      <c r="B506" s="2"/>
      <c r="C506" s="2"/>
      <c r="D506" s="2"/>
      <c r="E506" s="2"/>
      <c r="F506" s="2"/>
      <c r="G506" s="2"/>
      <c r="H506" s="2"/>
      <c r="I506" s="2"/>
    </row>
    <row r="507" spans="1:9" ht="12.95" customHeight="1">
      <c r="A507" s="2344" t="s">
        <v>1363</v>
      </c>
      <c r="B507" s="2344"/>
      <c r="C507" s="2344"/>
      <c r="D507" s="2344"/>
      <c r="E507" s="2344"/>
      <c r="F507" s="2344"/>
      <c r="G507" s="2344"/>
      <c r="H507" s="2344"/>
      <c r="I507" s="2"/>
    </row>
    <row r="508" spans="1:9" ht="14.1" customHeight="1">
      <c r="A508" s="108"/>
      <c r="B508" s="191"/>
      <c r="C508" s="114"/>
      <c r="D508" s="2023" t="s">
        <v>1157</v>
      </c>
      <c r="E508" s="2025"/>
      <c r="F508" s="2031" t="s">
        <v>1009</v>
      </c>
      <c r="G508" s="2031"/>
      <c r="H508" s="2330" t="s">
        <v>1010</v>
      </c>
      <c r="I508" s="2331"/>
    </row>
    <row r="509" spans="1:9" ht="15.75" customHeight="1">
      <c r="A509" s="3"/>
      <c r="B509" s="232"/>
      <c r="C509" s="201" t="s">
        <v>1011</v>
      </c>
      <c r="D509" s="2328"/>
      <c r="E509" s="2329"/>
      <c r="F509" s="2031"/>
      <c r="G509" s="2031"/>
      <c r="H509" s="2330"/>
      <c r="I509" s="2331"/>
    </row>
    <row r="510" spans="1:9" ht="14.1" customHeight="1">
      <c r="A510" s="3"/>
      <c r="B510" s="232"/>
      <c r="C510" s="201" t="s">
        <v>1013</v>
      </c>
      <c r="D510" s="221" t="s">
        <v>1014</v>
      </c>
      <c r="E510" s="226" t="s">
        <v>1015</v>
      </c>
      <c r="F510" s="217" t="s">
        <v>1012</v>
      </c>
      <c r="G510" s="225" t="s">
        <v>1015</v>
      </c>
      <c r="H510" s="201" t="s">
        <v>1012</v>
      </c>
      <c r="I510" s="197" t="s">
        <v>1015</v>
      </c>
    </row>
    <row r="511" spans="1:9" ht="16.5" customHeight="1">
      <c r="A511" s="201" t="s">
        <v>1017</v>
      </c>
      <c r="B511" s="256" t="s">
        <v>1018</v>
      </c>
      <c r="C511" s="201" t="s">
        <v>1019</v>
      </c>
      <c r="D511" s="221" t="s">
        <v>1019</v>
      </c>
      <c r="E511" s="257" t="s">
        <v>1020</v>
      </c>
      <c r="F511" s="201" t="s">
        <v>1016</v>
      </c>
      <c r="G511" s="257" t="s">
        <v>1020</v>
      </c>
      <c r="H511" s="201" t="s">
        <v>1016</v>
      </c>
      <c r="I511" s="258" t="s">
        <v>1020</v>
      </c>
    </row>
    <row r="512" spans="1:9" ht="14.1" customHeight="1">
      <c r="A512" s="217"/>
      <c r="B512" s="218"/>
      <c r="C512" s="217"/>
      <c r="D512" s="217"/>
      <c r="E512" s="220"/>
      <c r="F512" s="217"/>
      <c r="G512" s="220"/>
      <c r="H512" s="217"/>
      <c r="I512" s="217"/>
    </row>
    <row r="513" spans="1:9" ht="14.1" customHeight="1">
      <c r="A513" s="228">
        <v>9022906000</v>
      </c>
      <c r="B513" s="229" t="s">
        <v>1364</v>
      </c>
      <c r="C513" s="234" t="s">
        <v>1032</v>
      </c>
      <c r="D513" s="234">
        <v>100</v>
      </c>
      <c r="E513" s="234">
        <v>30</v>
      </c>
      <c r="F513" s="234">
        <v>0</v>
      </c>
      <c r="G513" s="234">
        <v>0</v>
      </c>
      <c r="H513" s="234" t="s">
        <v>546</v>
      </c>
      <c r="I513" s="234">
        <v>30</v>
      </c>
    </row>
    <row r="514" spans="1:9" ht="14.1" customHeight="1">
      <c r="A514" s="228">
        <v>9025194000</v>
      </c>
      <c r="B514" s="229" t="s">
        <v>1365</v>
      </c>
      <c r="C514" s="234" t="s">
        <v>1032</v>
      </c>
      <c r="D514" s="234">
        <v>30</v>
      </c>
      <c r="E514" s="234">
        <v>4</v>
      </c>
      <c r="F514" s="234">
        <v>0</v>
      </c>
      <c r="G514" s="234">
        <v>0</v>
      </c>
      <c r="H514" s="234" t="s">
        <v>546</v>
      </c>
      <c r="I514" s="234">
        <v>4</v>
      </c>
    </row>
    <row r="515" spans="1:9" ht="14.1" customHeight="1">
      <c r="A515" s="228">
        <v>9026104000</v>
      </c>
      <c r="B515" s="229" t="s">
        <v>1366</v>
      </c>
      <c r="C515" s="234" t="s">
        <v>1032</v>
      </c>
      <c r="D515" s="234">
        <v>2</v>
      </c>
      <c r="E515" s="234">
        <v>10</v>
      </c>
      <c r="F515" s="234">
        <v>0</v>
      </c>
      <c r="G515" s="234">
        <v>0</v>
      </c>
      <c r="H515" s="234" t="s">
        <v>546</v>
      </c>
      <c r="I515" s="234">
        <v>10</v>
      </c>
    </row>
    <row r="516" spans="1:9" ht="14.1" customHeight="1">
      <c r="A516" s="228">
        <v>9026106000</v>
      </c>
      <c r="B516" s="229" t="s">
        <v>1367</v>
      </c>
      <c r="C516" s="234" t="s">
        <v>1032</v>
      </c>
      <c r="D516" s="234">
        <v>14</v>
      </c>
      <c r="E516" s="234">
        <v>5</v>
      </c>
      <c r="F516" s="234">
        <v>0</v>
      </c>
      <c r="G516" s="234">
        <v>0</v>
      </c>
      <c r="H516" s="234" t="s">
        <v>546</v>
      </c>
      <c r="I516" s="234">
        <v>5</v>
      </c>
    </row>
    <row r="517" spans="1:9" ht="14.1" customHeight="1">
      <c r="A517" s="228">
        <v>9026906000</v>
      </c>
      <c r="B517" s="229" t="s">
        <v>1368</v>
      </c>
      <c r="C517" s="234" t="s">
        <v>1023</v>
      </c>
      <c r="D517" s="234">
        <v>26</v>
      </c>
      <c r="E517" s="234">
        <v>10</v>
      </c>
      <c r="F517" s="234">
        <v>0</v>
      </c>
      <c r="G517" s="234">
        <v>0</v>
      </c>
      <c r="H517" s="234" t="s">
        <v>546</v>
      </c>
      <c r="I517" s="234">
        <v>10</v>
      </c>
    </row>
    <row r="518" spans="1:9" ht="14.1" customHeight="1">
      <c r="A518" s="228">
        <v>9027102000</v>
      </c>
      <c r="B518" s="229" t="s">
        <v>1369</v>
      </c>
      <c r="C518" s="234" t="s">
        <v>1023</v>
      </c>
      <c r="D518" s="234">
        <v>2</v>
      </c>
      <c r="E518" s="234">
        <v>3</v>
      </c>
      <c r="F518" s="234">
        <v>0</v>
      </c>
      <c r="G518" s="234">
        <v>0</v>
      </c>
      <c r="H518" s="234" t="s">
        <v>546</v>
      </c>
      <c r="I518" s="234">
        <v>3</v>
      </c>
    </row>
    <row r="519" spans="1:9" ht="14.1" customHeight="1">
      <c r="A519" s="228">
        <v>9027304040</v>
      </c>
      <c r="B519" s="229" t="s">
        <v>1370</v>
      </c>
      <c r="C519" s="234" t="s">
        <v>1032</v>
      </c>
      <c r="D519" s="234">
        <v>1</v>
      </c>
      <c r="E519" s="234">
        <v>3</v>
      </c>
      <c r="F519" s="234">
        <v>0</v>
      </c>
      <c r="G519" s="234">
        <v>0</v>
      </c>
      <c r="H519" s="234" t="s">
        <v>546</v>
      </c>
      <c r="I519" s="234">
        <v>3</v>
      </c>
    </row>
    <row r="520" spans="1:9" ht="14.1" customHeight="1">
      <c r="A520" s="228">
        <v>9027504015</v>
      </c>
      <c r="B520" s="229" t="s">
        <v>1371</v>
      </c>
      <c r="C520" s="234" t="s">
        <v>1032</v>
      </c>
      <c r="D520" s="234">
        <v>1</v>
      </c>
      <c r="E520" s="234">
        <v>7</v>
      </c>
      <c r="F520" s="234">
        <v>0</v>
      </c>
      <c r="G520" s="234">
        <v>0</v>
      </c>
      <c r="H520" s="234" t="s">
        <v>546</v>
      </c>
      <c r="I520" s="234">
        <v>7</v>
      </c>
    </row>
    <row r="521" spans="1:9" ht="14.1" customHeight="1">
      <c r="A521" s="228">
        <v>9027504060</v>
      </c>
      <c r="B521" s="229" t="s">
        <v>1372</v>
      </c>
      <c r="C521" s="234" t="s">
        <v>1032</v>
      </c>
      <c r="D521" s="234">
        <v>1</v>
      </c>
      <c r="E521" s="234">
        <v>8</v>
      </c>
      <c r="F521" s="234">
        <v>0</v>
      </c>
      <c r="G521" s="234">
        <v>0</v>
      </c>
      <c r="H521" s="234" t="s">
        <v>546</v>
      </c>
      <c r="I521" s="234">
        <v>8</v>
      </c>
    </row>
    <row r="522" spans="1:9" ht="14.1" customHeight="1">
      <c r="A522" s="228">
        <v>9027508060</v>
      </c>
      <c r="B522" s="229" t="s">
        <v>1373</v>
      </c>
      <c r="C522" s="234" t="s">
        <v>1032</v>
      </c>
      <c r="D522" s="234">
        <v>1</v>
      </c>
      <c r="E522" s="234">
        <v>3</v>
      </c>
      <c r="F522" s="234">
        <v>0</v>
      </c>
      <c r="G522" s="234">
        <v>0</v>
      </c>
      <c r="H522" s="234" t="s">
        <v>546</v>
      </c>
      <c r="I522" s="234">
        <v>3</v>
      </c>
    </row>
    <row r="523" spans="1:9" ht="14.1" customHeight="1">
      <c r="A523" s="228">
        <v>9027898090</v>
      </c>
      <c r="B523" s="229" t="s">
        <v>1374</v>
      </c>
      <c r="C523" s="234" t="s">
        <v>1023</v>
      </c>
      <c r="D523" s="234">
        <v>27</v>
      </c>
      <c r="E523" s="234">
        <v>3</v>
      </c>
      <c r="F523" s="234">
        <v>0</v>
      </c>
      <c r="G523" s="234">
        <v>0</v>
      </c>
      <c r="H523" s="234" t="s">
        <v>546</v>
      </c>
      <c r="I523" s="234">
        <v>3</v>
      </c>
    </row>
    <row r="524" spans="1:9" ht="14.1" customHeight="1">
      <c r="A524" s="228">
        <v>9027908800</v>
      </c>
      <c r="B524" s="229" t="s">
        <v>1375</v>
      </c>
      <c r="C524" s="234" t="s">
        <v>1023</v>
      </c>
      <c r="D524" s="234">
        <v>194</v>
      </c>
      <c r="E524" s="234">
        <v>13</v>
      </c>
      <c r="F524" s="234">
        <v>0</v>
      </c>
      <c r="G524" s="234">
        <v>0</v>
      </c>
      <c r="H524" s="234" t="s">
        <v>546</v>
      </c>
      <c r="I524" s="234">
        <v>13</v>
      </c>
    </row>
    <row r="525" spans="1:9" ht="14.1" customHeight="1">
      <c r="A525" s="228">
        <v>9030100000</v>
      </c>
      <c r="B525" s="229" t="s">
        <v>1118</v>
      </c>
      <c r="C525" s="234" t="s">
        <v>1032</v>
      </c>
      <c r="D525" s="234">
        <v>7</v>
      </c>
      <c r="E525" s="234">
        <v>253</v>
      </c>
      <c r="F525" s="234">
        <v>0</v>
      </c>
      <c r="G525" s="234">
        <v>0</v>
      </c>
      <c r="H525" s="234" t="s">
        <v>546</v>
      </c>
      <c r="I525" s="234">
        <v>253</v>
      </c>
    </row>
    <row r="526" spans="1:9" ht="14.1" customHeight="1">
      <c r="A526" s="228">
        <v>9030333800</v>
      </c>
      <c r="B526" s="229" t="s">
        <v>1376</v>
      </c>
      <c r="C526" s="234" t="s">
        <v>1032</v>
      </c>
      <c r="D526" s="234">
        <v>5</v>
      </c>
      <c r="E526" s="234">
        <v>3</v>
      </c>
      <c r="F526" s="234">
        <v>0</v>
      </c>
      <c r="G526" s="234">
        <v>0</v>
      </c>
      <c r="H526" s="234" t="s">
        <v>546</v>
      </c>
      <c r="I526" s="234">
        <v>3</v>
      </c>
    </row>
    <row r="527" spans="1:9" ht="14.1" customHeight="1">
      <c r="A527" s="228">
        <v>9030400000</v>
      </c>
      <c r="B527" s="229" t="s">
        <v>1119</v>
      </c>
      <c r="C527" s="234" t="s">
        <v>1032</v>
      </c>
      <c r="D527" s="234">
        <v>12</v>
      </c>
      <c r="E527" s="234">
        <v>62</v>
      </c>
      <c r="F527" s="234">
        <v>0</v>
      </c>
      <c r="G527" s="234">
        <v>0</v>
      </c>
      <c r="H527" s="234" t="s">
        <v>546</v>
      </c>
      <c r="I527" s="234">
        <v>62</v>
      </c>
    </row>
    <row r="528" spans="1:9" ht="14.1" customHeight="1">
      <c r="A528" s="228">
        <v>9030890100</v>
      </c>
      <c r="B528" s="229" t="s">
        <v>1120</v>
      </c>
      <c r="C528" s="234" t="s">
        <v>1032</v>
      </c>
      <c r="D528" s="234">
        <v>1</v>
      </c>
      <c r="E528" s="234">
        <v>13</v>
      </c>
      <c r="F528" s="234">
        <v>0</v>
      </c>
      <c r="G528" s="234">
        <v>0</v>
      </c>
      <c r="H528" s="234" t="s">
        <v>546</v>
      </c>
      <c r="I528" s="234">
        <v>13</v>
      </c>
    </row>
    <row r="529" spans="1:9" ht="14.1" customHeight="1">
      <c r="A529" s="228">
        <v>9031499000</v>
      </c>
      <c r="B529" s="229" t="s">
        <v>1258</v>
      </c>
      <c r="C529" s="234" t="s">
        <v>1032</v>
      </c>
      <c r="D529" s="234">
        <v>3</v>
      </c>
      <c r="E529" s="234">
        <v>4</v>
      </c>
      <c r="F529" s="234">
        <v>0</v>
      </c>
      <c r="G529" s="234">
        <v>0</v>
      </c>
      <c r="H529" s="234" t="s">
        <v>546</v>
      </c>
      <c r="I529" s="234">
        <v>4</v>
      </c>
    </row>
    <row r="530" spans="1:9" ht="14.1" customHeight="1">
      <c r="A530" s="228">
        <v>9031808085</v>
      </c>
      <c r="B530" s="229" t="s">
        <v>1121</v>
      </c>
      <c r="C530" s="234" t="s">
        <v>1023</v>
      </c>
      <c r="D530" s="234">
        <v>15</v>
      </c>
      <c r="E530" s="234">
        <v>33</v>
      </c>
      <c r="F530" s="234">
        <v>0</v>
      </c>
      <c r="G530" s="234">
        <v>0</v>
      </c>
      <c r="H530" s="234" t="s">
        <v>546</v>
      </c>
      <c r="I530" s="234">
        <v>33</v>
      </c>
    </row>
    <row r="531" spans="1:9" ht="14.1" customHeight="1">
      <c r="A531" s="228">
        <v>9032896030</v>
      </c>
      <c r="B531" s="229" t="s">
        <v>1122</v>
      </c>
      <c r="C531" s="234" t="s">
        <v>1032</v>
      </c>
      <c r="D531" s="234">
        <v>1</v>
      </c>
      <c r="E531" s="234">
        <v>67</v>
      </c>
      <c r="F531" s="234">
        <v>0</v>
      </c>
      <c r="G531" s="234">
        <v>0</v>
      </c>
      <c r="H531" s="234" t="s">
        <v>546</v>
      </c>
      <c r="I531" s="234">
        <v>67</v>
      </c>
    </row>
    <row r="532" spans="1:9" ht="14.1" customHeight="1">
      <c r="A532" s="228">
        <v>9209991800</v>
      </c>
      <c r="B532" s="229" t="s">
        <v>1377</v>
      </c>
      <c r="C532" s="234" t="s">
        <v>1032</v>
      </c>
      <c r="D532" s="234">
        <v>8</v>
      </c>
      <c r="E532" s="234">
        <v>4</v>
      </c>
      <c r="F532" s="234">
        <v>0</v>
      </c>
      <c r="G532" s="234">
        <v>0</v>
      </c>
      <c r="H532" s="234" t="s">
        <v>546</v>
      </c>
      <c r="I532" s="234">
        <v>4</v>
      </c>
    </row>
    <row r="533" spans="1:9" ht="14.1" customHeight="1">
      <c r="A533" s="228">
        <v>9303200065</v>
      </c>
      <c r="B533" s="229" t="s">
        <v>1378</v>
      </c>
      <c r="C533" s="234" t="s">
        <v>1032</v>
      </c>
      <c r="D533" s="234">
        <v>15</v>
      </c>
      <c r="E533" s="234">
        <v>22</v>
      </c>
      <c r="F533" s="234" t="s">
        <v>546</v>
      </c>
      <c r="G533" s="234">
        <v>22</v>
      </c>
      <c r="H533" s="234">
        <v>0</v>
      </c>
      <c r="I533" s="234">
        <v>0</v>
      </c>
    </row>
    <row r="534" spans="1:9" ht="14.1" customHeight="1">
      <c r="A534" s="228">
        <v>9403200082</v>
      </c>
      <c r="B534" s="229" t="s">
        <v>1262</v>
      </c>
      <c r="C534" s="234" t="s">
        <v>1032</v>
      </c>
      <c r="D534" s="233">
        <v>1580</v>
      </c>
      <c r="E534" s="234">
        <v>63</v>
      </c>
      <c r="F534" s="234">
        <v>10</v>
      </c>
      <c r="G534" s="234">
        <v>63</v>
      </c>
      <c r="H534" s="234">
        <v>0</v>
      </c>
      <c r="I534" s="234">
        <v>0</v>
      </c>
    </row>
    <row r="535" spans="1:9" ht="14.1" customHeight="1">
      <c r="A535" s="228">
        <v>9403999020</v>
      </c>
      <c r="B535" s="229" t="s">
        <v>1263</v>
      </c>
      <c r="C535" s="234" t="s">
        <v>1023</v>
      </c>
      <c r="D535" s="233">
        <v>5096</v>
      </c>
      <c r="E535" s="234">
        <v>11</v>
      </c>
      <c r="F535" s="234">
        <v>6</v>
      </c>
      <c r="G535" s="234">
        <v>11</v>
      </c>
      <c r="H535" s="234">
        <v>0</v>
      </c>
      <c r="I535" s="234">
        <v>0</v>
      </c>
    </row>
    <row r="536" spans="1:9" ht="14.1" customHeight="1">
      <c r="A536" s="228">
        <v>9405614000</v>
      </c>
      <c r="B536" s="229" t="s">
        <v>1379</v>
      </c>
      <c r="C536" s="234" t="s">
        <v>1032</v>
      </c>
      <c r="D536" s="234">
        <v>1</v>
      </c>
      <c r="E536" s="234">
        <v>1</v>
      </c>
      <c r="F536" s="234">
        <v>0</v>
      </c>
      <c r="G536" s="234">
        <v>0</v>
      </c>
      <c r="H536" s="234" t="s">
        <v>546</v>
      </c>
      <c r="I536" s="234">
        <v>1</v>
      </c>
    </row>
    <row r="537" spans="1:9" ht="14.1" customHeight="1">
      <c r="A537" s="228">
        <v>9405696000</v>
      </c>
      <c r="B537" s="229" t="s">
        <v>1380</v>
      </c>
      <c r="C537" s="234" t="s">
        <v>1032</v>
      </c>
      <c r="D537" s="234">
        <v>300</v>
      </c>
      <c r="E537" s="234">
        <v>15</v>
      </c>
      <c r="F537" s="234">
        <v>0</v>
      </c>
      <c r="G537" s="234">
        <v>0</v>
      </c>
      <c r="H537" s="234" t="s">
        <v>546</v>
      </c>
      <c r="I537" s="234">
        <v>15</v>
      </c>
    </row>
    <row r="538" spans="1:9" ht="14.1" customHeight="1">
      <c r="A538" s="228">
        <v>9506910030</v>
      </c>
      <c r="B538" s="229" t="s">
        <v>1381</v>
      </c>
      <c r="C538" s="234" t="s">
        <v>1032</v>
      </c>
      <c r="D538" s="234">
        <v>2</v>
      </c>
      <c r="E538" s="234">
        <v>10</v>
      </c>
      <c r="F538" s="234">
        <v>0</v>
      </c>
      <c r="G538" s="234">
        <v>0</v>
      </c>
      <c r="H538" s="234" t="s">
        <v>546</v>
      </c>
      <c r="I538" s="234">
        <v>10</v>
      </c>
    </row>
    <row r="539" spans="1:9" ht="14.1" customHeight="1">
      <c r="A539" s="228">
        <v>9506996080</v>
      </c>
      <c r="B539" s="229" t="s">
        <v>1382</v>
      </c>
      <c r="C539" s="234" t="s">
        <v>1032</v>
      </c>
      <c r="D539" s="234">
        <v>3</v>
      </c>
      <c r="E539" s="234">
        <v>2</v>
      </c>
      <c r="F539" s="234">
        <v>0</v>
      </c>
      <c r="G539" s="234">
        <v>0</v>
      </c>
      <c r="H539" s="234" t="s">
        <v>546</v>
      </c>
      <c r="I539" s="234">
        <v>2</v>
      </c>
    </row>
    <row r="540" spans="1:9" ht="14.1" customHeight="1">
      <c r="A540" s="228">
        <v>9507306000</v>
      </c>
      <c r="B540" s="229" t="s">
        <v>1383</v>
      </c>
      <c r="C540" s="234" t="s">
        <v>1032</v>
      </c>
      <c r="D540" s="234">
        <v>115</v>
      </c>
      <c r="E540" s="234">
        <v>12</v>
      </c>
      <c r="F540" s="234" t="s">
        <v>546</v>
      </c>
      <c r="G540" s="234">
        <v>12</v>
      </c>
      <c r="H540" s="234">
        <v>0</v>
      </c>
      <c r="I540" s="234">
        <v>0</v>
      </c>
    </row>
    <row r="541" spans="1:9" ht="14.1" customHeight="1">
      <c r="A541" s="228">
        <v>9507902000</v>
      </c>
      <c r="B541" s="229" t="s">
        <v>1384</v>
      </c>
      <c r="C541" s="234" t="s">
        <v>1032</v>
      </c>
      <c r="D541" s="234">
        <v>2</v>
      </c>
      <c r="E541" s="234">
        <v>5</v>
      </c>
      <c r="F541" s="234" t="s">
        <v>546</v>
      </c>
      <c r="G541" s="234">
        <v>5</v>
      </c>
      <c r="H541" s="234">
        <v>0</v>
      </c>
      <c r="I541" s="234">
        <v>0</v>
      </c>
    </row>
    <row r="542" spans="1:9" ht="14.1" customHeight="1">
      <c r="A542" s="228">
        <v>9801001028</v>
      </c>
      <c r="B542" s="229" t="s">
        <v>1127</v>
      </c>
      <c r="C542" s="234" t="s">
        <v>1023</v>
      </c>
      <c r="D542" s="234">
        <v>104</v>
      </c>
      <c r="E542" s="234">
        <v>96</v>
      </c>
      <c r="F542" s="234" t="s">
        <v>546</v>
      </c>
      <c r="G542" s="234">
        <v>2</v>
      </c>
      <c r="H542" s="234" t="s">
        <v>546</v>
      </c>
      <c r="I542" s="234">
        <v>93</v>
      </c>
    </row>
    <row r="543" spans="1:9" ht="14.1" customHeight="1">
      <c r="A543" s="228">
        <v>9801001030</v>
      </c>
      <c r="B543" s="229" t="s">
        <v>1128</v>
      </c>
      <c r="C543" s="234" t="s">
        <v>1129</v>
      </c>
      <c r="D543" s="234">
        <v>0</v>
      </c>
      <c r="E543" s="234">
        <v>70</v>
      </c>
      <c r="F543" s="234">
        <v>0</v>
      </c>
      <c r="G543" s="234">
        <v>0</v>
      </c>
      <c r="H543" s="234" t="s">
        <v>546</v>
      </c>
      <c r="I543" s="234">
        <v>70</v>
      </c>
    </row>
    <row r="544" spans="1:9" ht="14.1" customHeight="1">
      <c r="A544" s="228">
        <v>9801001031</v>
      </c>
      <c r="B544" s="229" t="s">
        <v>1130</v>
      </c>
      <c r="C544" s="234" t="s">
        <v>1129</v>
      </c>
      <c r="D544" s="234">
        <v>0</v>
      </c>
      <c r="E544" s="234">
        <v>208</v>
      </c>
      <c r="F544" s="234">
        <v>3</v>
      </c>
      <c r="G544" s="234">
        <v>152</v>
      </c>
      <c r="H544" s="234">
        <v>1</v>
      </c>
      <c r="I544" s="234">
        <v>57</v>
      </c>
    </row>
    <row r="545" spans="1:9" ht="14.1" customHeight="1">
      <c r="A545" s="228">
        <v>9801001035</v>
      </c>
      <c r="B545" s="229" t="s">
        <v>1131</v>
      </c>
      <c r="C545" s="234" t="s">
        <v>1032</v>
      </c>
      <c r="D545" s="234">
        <v>30</v>
      </c>
      <c r="E545" s="233">
        <v>4952</v>
      </c>
      <c r="F545" s="234" t="s">
        <v>546</v>
      </c>
      <c r="G545" s="234">
        <v>56</v>
      </c>
      <c r="H545" s="234">
        <v>5</v>
      </c>
      <c r="I545" s="233">
        <v>4896</v>
      </c>
    </row>
    <row r="546" spans="1:9" ht="14.1" customHeight="1">
      <c r="A546" s="228">
        <v>9801001043</v>
      </c>
      <c r="B546" s="229" t="s">
        <v>1133</v>
      </c>
      <c r="C546" s="234" t="s">
        <v>1032</v>
      </c>
      <c r="D546" s="234">
        <v>942</v>
      </c>
      <c r="E546" s="234">
        <v>396</v>
      </c>
      <c r="F546" s="234" t="s">
        <v>546</v>
      </c>
      <c r="G546" s="234">
        <v>26</v>
      </c>
      <c r="H546" s="234">
        <v>2</v>
      </c>
      <c r="I546" s="234">
        <v>369</v>
      </c>
    </row>
    <row r="547" spans="1:9" ht="14.1" customHeight="1">
      <c r="A547" s="228">
        <v>9801001045</v>
      </c>
      <c r="B547" s="229" t="s">
        <v>1134</v>
      </c>
      <c r="C547" s="234" t="s">
        <v>1129</v>
      </c>
      <c r="D547" s="234">
        <v>0</v>
      </c>
      <c r="E547" s="233">
        <v>4756</v>
      </c>
      <c r="F547" s="234">
        <v>80</v>
      </c>
      <c r="G547" s="233">
        <v>1083</v>
      </c>
      <c r="H547" s="234">
        <v>9</v>
      </c>
      <c r="I547" s="233">
        <v>3672</v>
      </c>
    </row>
    <row r="548" spans="1:9" ht="14.1" customHeight="1">
      <c r="A548" s="228">
        <v>9801001049</v>
      </c>
      <c r="B548" s="229" t="s">
        <v>1135</v>
      </c>
      <c r="C548" s="234" t="s">
        <v>1032</v>
      </c>
      <c r="D548" s="234">
        <v>318</v>
      </c>
      <c r="E548" s="234">
        <v>321</v>
      </c>
      <c r="F548" s="234">
        <v>2</v>
      </c>
      <c r="G548" s="234">
        <v>81</v>
      </c>
      <c r="H548" s="234" t="s">
        <v>546</v>
      </c>
      <c r="I548" s="234">
        <v>240</v>
      </c>
    </row>
    <row r="549" spans="1:9" ht="14.1" customHeight="1">
      <c r="A549" s="228">
        <v>9801001051</v>
      </c>
      <c r="B549" s="229" t="s">
        <v>1136</v>
      </c>
      <c r="C549" s="234" t="s">
        <v>1032</v>
      </c>
      <c r="D549" s="234">
        <v>45</v>
      </c>
      <c r="E549" s="234">
        <v>101</v>
      </c>
      <c r="F549" s="234" t="s">
        <v>546</v>
      </c>
      <c r="G549" s="234">
        <v>25</v>
      </c>
      <c r="H549" s="234" t="s">
        <v>546</v>
      </c>
      <c r="I549" s="234">
        <v>76</v>
      </c>
    </row>
    <row r="550" spans="1:9" ht="14.1" customHeight="1">
      <c r="A550" s="228">
        <v>9801001053</v>
      </c>
      <c r="B550" s="229" t="s">
        <v>1137</v>
      </c>
      <c r="C550" s="234" t="s">
        <v>1032</v>
      </c>
      <c r="D550" s="233">
        <v>11279</v>
      </c>
      <c r="E550" s="233">
        <v>2090</v>
      </c>
      <c r="F550" s="234" t="s">
        <v>546</v>
      </c>
      <c r="G550" s="234">
        <v>308</v>
      </c>
      <c r="H550" s="234">
        <v>4</v>
      </c>
      <c r="I550" s="233">
        <v>1783</v>
      </c>
    </row>
    <row r="551" spans="1:9" ht="14.1" customHeight="1">
      <c r="A551" s="228">
        <v>9801001055</v>
      </c>
      <c r="B551" s="229" t="s">
        <v>1138</v>
      </c>
      <c r="C551" s="234" t="s">
        <v>1129</v>
      </c>
      <c r="D551" s="234">
        <v>0</v>
      </c>
      <c r="E551" s="233">
        <v>4169</v>
      </c>
      <c r="F551" s="234">
        <v>100</v>
      </c>
      <c r="G551" s="234">
        <v>786</v>
      </c>
      <c r="H551" s="234">
        <v>2</v>
      </c>
      <c r="I551" s="233">
        <v>3383</v>
      </c>
    </row>
    <row r="552" spans="1:9" ht="14.1" customHeight="1">
      <c r="A552" s="228">
        <v>9801001059</v>
      </c>
      <c r="B552" s="229" t="s">
        <v>1139</v>
      </c>
      <c r="C552" s="234" t="s">
        <v>1032</v>
      </c>
      <c r="D552" s="234">
        <v>280</v>
      </c>
      <c r="E552" s="234">
        <v>28</v>
      </c>
      <c r="F552" s="234">
        <v>1</v>
      </c>
      <c r="G552" s="234">
        <v>28</v>
      </c>
      <c r="H552" s="234">
        <v>0</v>
      </c>
      <c r="I552" s="234">
        <v>0</v>
      </c>
    </row>
    <row r="553" spans="1:9" ht="14.1" customHeight="1">
      <c r="A553" s="228">
        <v>9801001063</v>
      </c>
      <c r="B553" s="229" t="s">
        <v>1140</v>
      </c>
      <c r="C553" s="234" t="s">
        <v>1032</v>
      </c>
      <c r="D553" s="234">
        <v>4</v>
      </c>
      <c r="E553" s="234">
        <v>26</v>
      </c>
      <c r="F553" s="234" t="s">
        <v>546</v>
      </c>
      <c r="G553" s="234">
        <v>26</v>
      </c>
      <c r="H553" s="234">
        <v>0</v>
      </c>
      <c r="I553" s="234">
        <v>0</v>
      </c>
    </row>
    <row r="554" spans="1:9" ht="14.1" customHeight="1">
      <c r="A554" s="228">
        <v>9801001065</v>
      </c>
      <c r="B554" s="229" t="s">
        <v>1141</v>
      </c>
      <c r="C554" s="234" t="s">
        <v>1032</v>
      </c>
      <c r="D554" s="234">
        <v>36</v>
      </c>
      <c r="E554" s="234">
        <v>776</v>
      </c>
      <c r="F554" s="234">
        <v>69</v>
      </c>
      <c r="G554" s="234">
        <v>776</v>
      </c>
      <c r="H554" s="234">
        <v>0</v>
      </c>
      <c r="I554" s="234">
        <v>0</v>
      </c>
    </row>
    <row r="555" spans="1:9" ht="14.1" customHeight="1">
      <c r="A555" s="228">
        <v>9801001066</v>
      </c>
      <c r="B555" s="229" t="s">
        <v>1142</v>
      </c>
      <c r="C555" s="234" t="s">
        <v>1032</v>
      </c>
      <c r="D555" s="234">
        <v>2</v>
      </c>
      <c r="E555" s="234">
        <v>46</v>
      </c>
      <c r="F555" s="234">
        <v>4</v>
      </c>
      <c r="G555" s="234">
        <v>46</v>
      </c>
      <c r="H555" s="234">
        <v>0</v>
      </c>
      <c r="I555" s="234">
        <v>0</v>
      </c>
    </row>
    <row r="556" spans="1:9" ht="14.1" customHeight="1">
      <c r="A556" s="228">
        <v>9801001067</v>
      </c>
      <c r="B556" s="229" t="s">
        <v>1143</v>
      </c>
      <c r="C556" s="234" t="s">
        <v>1032</v>
      </c>
      <c r="D556" s="234">
        <v>48</v>
      </c>
      <c r="E556" s="234">
        <v>42</v>
      </c>
      <c r="F556" s="234">
        <v>3</v>
      </c>
      <c r="G556" s="234">
        <v>9</v>
      </c>
      <c r="H556" s="234" t="s">
        <v>546</v>
      </c>
      <c r="I556" s="234">
        <v>34</v>
      </c>
    </row>
    <row r="557" spans="1:9" ht="14.1" customHeight="1">
      <c r="A557" s="228">
        <v>9801001069</v>
      </c>
      <c r="B557" s="229" t="s">
        <v>1385</v>
      </c>
      <c r="C557" s="234" t="s">
        <v>1032</v>
      </c>
      <c r="D557" s="233">
        <v>8624</v>
      </c>
      <c r="E557" s="234">
        <v>872</v>
      </c>
      <c r="F557" s="234">
        <v>15</v>
      </c>
      <c r="G557" s="234">
        <v>872</v>
      </c>
      <c r="H557" s="234">
        <v>0</v>
      </c>
      <c r="I557" s="234">
        <v>0</v>
      </c>
    </row>
    <row r="558" spans="1:9" ht="14.1" customHeight="1">
      <c r="A558" s="228">
        <v>9801001074</v>
      </c>
      <c r="B558" s="229" t="s">
        <v>1144</v>
      </c>
      <c r="C558" s="234" t="s">
        <v>1032</v>
      </c>
      <c r="D558" s="234">
        <v>4</v>
      </c>
      <c r="E558" s="234">
        <v>167</v>
      </c>
      <c r="F558" s="234">
        <v>11</v>
      </c>
      <c r="G558" s="234">
        <v>159</v>
      </c>
      <c r="H558" s="234" t="s">
        <v>546</v>
      </c>
      <c r="I558" s="234">
        <v>8</v>
      </c>
    </row>
    <row r="559" spans="1:9" ht="14.1" customHeight="1">
      <c r="A559" s="228">
        <v>9801001075</v>
      </c>
      <c r="B559" s="229" t="s">
        <v>1145</v>
      </c>
      <c r="C559" s="234" t="s">
        <v>1032</v>
      </c>
      <c r="D559" s="234">
        <v>4</v>
      </c>
      <c r="E559" s="233">
        <v>66389</v>
      </c>
      <c r="F559" s="234">
        <v>0</v>
      </c>
      <c r="G559" s="234">
        <v>0</v>
      </c>
      <c r="H559" s="234">
        <v>0</v>
      </c>
      <c r="I559" s="234">
        <v>0</v>
      </c>
    </row>
    <row r="560" spans="1:9" ht="14.1" customHeight="1">
      <c r="A560" s="228">
        <v>9801001077</v>
      </c>
      <c r="B560" s="229" t="s">
        <v>1270</v>
      </c>
      <c r="C560" s="234" t="s">
        <v>1023</v>
      </c>
      <c r="D560" s="233">
        <v>5472</v>
      </c>
      <c r="E560" s="234">
        <v>844</v>
      </c>
      <c r="F560" s="234">
        <v>4</v>
      </c>
      <c r="G560" s="234">
        <v>534</v>
      </c>
      <c r="H560" s="234">
        <v>2</v>
      </c>
      <c r="I560" s="234">
        <v>311</v>
      </c>
    </row>
    <row r="561" spans="1:9" ht="14.1" customHeight="1">
      <c r="A561" s="228">
        <v>9801001079</v>
      </c>
      <c r="B561" s="229" t="s">
        <v>1272</v>
      </c>
      <c r="C561" s="234" t="s">
        <v>1023</v>
      </c>
      <c r="D561" s="233">
        <v>13104</v>
      </c>
      <c r="E561" s="233">
        <v>5343</v>
      </c>
      <c r="F561" s="234">
        <v>1</v>
      </c>
      <c r="G561" s="233">
        <v>1576</v>
      </c>
      <c r="H561" s="234">
        <v>14</v>
      </c>
      <c r="I561" s="233">
        <v>3767</v>
      </c>
    </row>
    <row r="562" spans="1:9" ht="14.1" customHeight="1">
      <c r="A562" s="228">
        <v>9801001089</v>
      </c>
      <c r="B562" s="229" t="s">
        <v>1273</v>
      </c>
      <c r="C562" s="234" t="s">
        <v>1032</v>
      </c>
      <c r="D562" s="233">
        <v>1834</v>
      </c>
      <c r="E562" s="234">
        <v>779</v>
      </c>
      <c r="F562" s="234">
        <v>16</v>
      </c>
      <c r="G562" s="234">
        <v>628</v>
      </c>
      <c r="H562" s="234" t="s">
        <v>546</v>
      </c>
      <c r="I562" s="234">
        <v>151</v>
      </c>
    </row>
    <row r="563" spans="1:9" ht="14.1" customHeight="1">
      <c r="A563" s="228">
        <v>9801001090</v>
      </c>
      <c r="B563" s="229" t="s">
        <v>1274</v>
      </c>
      <c r="C563" s="234" t="s">
        <v>1032</v>
      </c>
      <c r="D563" s="233">
        <v>2457</v>
      </c>
      <c r="E563" s="233">
        <v>5068</v>
      </c>
      <c r="F563" s="234" t="s">
        <v>546</v>
      </c>
      <c r="G563" s="234">
        <v>260</v>
      </c>
      <c r="H563" s="234">
        <v>9</v>
      </c>
      <c r="I563" s="233">
        <v>4808</v>
      </c>
    </row>
    <row r="564" spans="1:9" ht="14.1" customHeight="1">
      <c r="A564" s="228">
        <v>9801001092</v>
      </c>
      <c r="B564" s="229" t="s">
        <v>1275</v>
      </c>
      <c r="C564" s="234" t="s">
        <v>1032</v>
      </c>
      <c r="D564" s="233">
        <v>2344</v>
      </c>
      <c r="E564" s="234">
        <v>265</v>
      </c>
      <c r="F564" s="234">
        <v>8</v>
      </c>
      <c r="G564" s="234">
        <v>217</v>
      </c>
      <c r="H564" s="234">
        <v>1</v>
      </c>
      <c r="I564" s="234">
        <v>48</v>
      </c>
    </row>
    <row r="565" spans="1:9" ht="14.1" customHeight="1">
      <c r="A565" s="228">
        <v>9801001094</v>
      </c>
      <c r="B565" s="229" t="s">
        <v>1276</v>
      </c>
      <c r="C565" s="234" t="s">
        <v>1129</v>
      </c>
      <c r="D565" s="234">
        <v>0</v>
      </c>
      <c r="E565" s="234">
        <v>17</v>
      </c>
      <c r="F565" s="234" t="s">
        <v>546</v>
      </c>
      <c r="G565" s="234">
        <v>4</v>
      </c>
      <c r="H565" s="234" t="s">
        <v>546</v>
      </c>
      <c r="I565" s="234">
        <v>13</v>
      </c>
    </row>
    <row r="566" spans="1:9" ht="14.1" customHeight="1">
      <c r="A566" s="228">
        <v>9801001097</v>
      </c>
      <c r="B566" s="229" t="s">
        <v>1386</v>
      </c>
      <c r="C566" s="234" t="s">
        <v>1129</v>
      </c>
      <c r="D566" s="234">
        <v>0</v>
      </c>
      <c r="E566" s="234">
        <v>92</v>
      </c>
      <c r="F566" s="234">
        <v>4</v>
      </c>
      <c r="G566" s="234">
        <v>92</v>
      </c>
      <c r="H566" s="234">
        <v>0</v>
      </c>
      <c r="I566" s="234">
        <v>0</v>
      </c>
    </row>
    <row r="567" spans="1:9" ht="14.1" customHeight="1">
      <c r="A567" s="228">
        <v>9801001098</v>
      </c>
      <c r="B567" s="229" t="s">
        <v>1277</v>
      </c>
      <c r="C567" s="234" t="s">
        <v>1129</v>
      </c>
      <c r="D567" s="234">
        <v>0</v>
      </c>
      <c r="E567" s="233">
        <v>2693</v>
      </c>
      <c r="F567" s="234">
        <v>613</v>
      </c>
      <c r="G567" s="233">
        <v>1473</v>
      </c>
      <c r="H567" s="234">
        <v>18</v>
      </c>
      <c r="I567" s="233">
        <v>1220</v>
      </c>
    </row>
    <row r="568" spans="1:9" ht="14.1" customHeight="1">
      <c r="A568" s="228">
        <v>9801002500</v>
      </c>
      <c r="B568" s="229" t="s">
        <v>1278</v>
      </c>
      <c r="C568" s="234" t="s">
        <v>1023</v>
      </c>
      <c r="D568" s="234">
        <v>237</v>
      </c>
      <c r="E568" s="234">
        <v>35</v>
      </c>
      <c r="F568" s="234">
        <v>0</v>
      </c>
      <c r="G568" s="234">
        <v>0</v>
      </c>
      <c r="H568" s="234" t="s">
        <v>546</v>
      </c>
      <c r="I568" s="234">
        <v>35</v>
      </c>
    </row>
    <row r="569" spans="1:9" ht="14.1" customHeight="1">
      <c r="A569" s="228">
        <v>9801002600</v>
      </c>
      <c r="B569" s="229" t="s">
        <v>1279</v>
      </c>
      <c r="C569" s="234" t="s">
        <v>1023</v>
      </c>
      <c r="D569" s="234">
        <v>48</v>
      </c>
      <c r="E569" s="234">
        <v>5</v>
      </c>
      <c r="F569" s="234">
        <v>0</v>
      </c>
      <c r="G569" s="234">
        <v>0</v>
      </c>
      <c r="H569" s="234" t="s">
        <v>546</v>
      </c>
      <c r="I569" s="234">
        <v>5</v>
      </c>
    </row>
    <row r="570" spans="1:9" ht="15" customHeight="1">
      <c r="A570" s="231">
        <v>9808008000</v>
      </c>
      <c r="B570" s="235" t="s">
        <v>1280</v>
      </c>
      <c r="C570" s="236" t="s">
        <v>1129</v>
      </c>
      <c r="D570" s="236">
        <v>0</v>
      </c>
      <c r="E570" s="236">
        <v>642</v>
      </c>
      <c r="F570" s="236">
        <v>0</v>
      </c>
      <c r="G570" s="236">
        <v>0</v>
      </c>
      <c r="H570" s="236" t="s">
        <v>546</v>
      </c>
      <c r="I570" s="236">
        <v>642</v>
      </c>
    </row>
    <row r="571" spans="1:9" ht="12" customHeight="1">
      <c r="A571" s="2045" t="s">
        <v>1187</v>
      </c>
      <c r="B571" s="2045"/>
      <c r="C571" s="2045"/>
      <c r="D571" s="2045"/>
      <c r="E571" s="2045"/>
      <c r="F571" s="2045"/>
      <c r="G571" s="2045"/>
      <c r="H571" s="14"/>
      <c r="I571" s="14"/>
    </row>
    <row r="572" spans="1:9" ht="12" customHeight="1">
      <c r="A572" s="2045" t="s">
        <v>1056</v>
      </c>
      <c r="B572" s="2045"/>
      <c r="C572" s="2045"/>
      <c r="D572" s="2045"/>
      <c r="E572" s="14"/>
      <c r="F572" s="14"/>
      <c r="G572" s="14"/>
      <c r="H572" s="14"/>
      <c r="I572" s="14"/>
    </row>
    <row r="573" spans="1:9" ht="12" customHeight="1">
      <c r="A573" s="2045" t="s">
        <v>1326</v>
      </c>
      <c r="B573" s="2045"/>
      <c r="C573" s="2045"/>
      <c r="D573" s="2045"/>
      <c r="E573" s="2045"/>
      <c r="F573" s="2045"/>
      <c r="G573" s="2045"/>
      <c r="H573" s="2045"/>
      <c r="I573" s="2045"/>
    </row>
    <row r="574" spans="1:9" ht="12" customHeight="1">
      <c r="A574" s="2045" t="s">
        <v>1327</v>
      </c>
      <c r="B574" s="2045"/>
      <c r="C574" s="2045"/>
      <c r="D574" s="2045"/>
      <c r="E574" s="2045"/>
      <c r="F574" s="14"/>
      <c r="G574" s="14"/>
      <c r="H574" s="14"/>
      <c r="I574" s="14"/>
    </row>
    <row r="575" spans="1:9" ht="12" customHeight="1">
      <c r="A575" s="13" t="s">
        <v>1328</v>
      </c>
      <c r="B575" s="14"/>
      <c r="C575" s="14"/>
      <c r="D575" s="14"/>
      <c r="E575" s="14"/>
      <c r="F575" s="14"/>
      <c r="G575" s="14"/>
      <c r="H575" s="14"/>
      <c r="I575" s="14"/>
    </row>
  </sheetData>
  <mergeCells count="64">
    <mergeCell ref="A571:G571"/>
    <mergeCell ref="A572:D572"/>
    <mergeCell ref="A573:I573"/>
    <mergeCell ref="A574:E574"/>
    <mergeCell ref="D374:E375"/>
    <mergeCell ref="D443:E444"/>
    <mergeCell ref="D508:E509"/>
    <mergeCell ref="A507:H507"/>
    <mergeCell ref="F508:G509"/>
    <mergeCell ref="H508:I509"/>
    <mergeCell ref="H443:I444"/>
    <mergeCell ref="A504:G504"/>
    <mergeCell ref="A505:D505"/>
    <mergeCell ref="A435:G435"/>
    <mergeCell ref="A436:D436"/>
    <mergeCell ref="A437:I437"/>
    <mergeCell ref="A438:E438"/>
    <mergeCell ref="A442:H442"/>
    <mergeCell ref="F443:G444"/>
    <mergeCell ref="A373:H373"/>
    <mergeCell ref="F374:G375"/>
    <mergeCell ref="H374:I375"/>
    <mergeCell ref="F353:G354"/>
    <mergeCell ref="H353:I354"/>
    <mergeCell ref="A367:G367"/>
    <mergeCell ref="A368:D368"/>
    <mergeCell ref="D353:E354"/>
    <mergeCell ref="F281:G282"/>
    <mergeCell ref="H281:I282"/>
    <mergeCell ref="F317:G318"/>
    <mergeCell ref="H317:I318"/>
    <mergeCell ref="D281:E282"/>
    <mergeCell ref="D317:E318"/>
    <mergeCell ref="F209:G210"/>
    <mergeCell ref="H209:I210"/>
    <mergeCell ref="F245:G246"/>
    <mergeCell ref="H245:I246"/>
    <mergeCell ref="D209:E210"/>
    <mergeCell ref="D245:E246"/>
    <mergeCell ref="F171:G172"/>
    <mergeCell ref="H171:I172"/>
    <mergeCell ref="A204:G204"/>
    <mergeCell ref="A205:D205"/>
    <mergeCell ref="D171:E172"/>
    <mergeCell ref="A1:E1"/>
    <mergeCell ref="D40:E41"/>
    <mergeCell ref="D76:E77"/>
    <mergeCell ref="D112:E113"/>
    <mergeCell ref="D148:E149"/>
    <mergeCell ref="A163:G163"/>
    <mergeCell ref="A164:D164"/>
    <mergeCell ref="H2:I3"/>
    <mergeCell ref="D2:E3"/>
    <mergeCell ref="F112:G113"/>
    <mergeCell ref="H112:I113"/>
    <mergeCell ref="F148:G149"/>
    <mergeCell ref="H148:I149"/>
    <mergeCell ref="F40:G41"/>
    <mergeCell ref="H40:I41"/>
    <mergeCell ref="F76:G77"/>
    <mergeCell ref="H76:I77"/>
    <mergeCell ref="F2:G3"/>
    <mergeCell ref="A35:G35"/>
    <mergeCell ref="A36:D3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BBF47-B2D7-4763-B088-93D81CABBBF7}">
  <sheetPr>
    <tabColor theme="7" tint="0.59999389629810485"/>
  </sheetPr>
  <dimension ref="A1:M208"/>
  <sheetViews>
    <sheetView showGridLines="0" zoomScale="90" zoomScaleNormal="90" workbookViewId="0">
      <selection activeCell="AN83" sqref="AN83"/>
    </sheetView>
  </sheetViews>
  <sheetFormatPr defaultRowHeight="15"/>
  <cols>
    <col min="1" max="1" width="18" customWidth="1"/>
    <col min="2" max="2" width="77.28515625" customWidth="1"/>
    <col min="4" max="9" width="13.7109375" customWidth="1"/>
  </cols>
  <sheetData>
    <row r="1" spans="1:13" ht="17.25" customHeight="1">
      <c r="A1" s="2345" t="s">
        <v>1387</v>
      </c>
      <c r="B1" s="2345"/>
      <c r="C1" s="2345"/>
      <c r="D1" s="2345"/>
      <c r="E1" s="2345"/>
      <c r="F1" s="2345"/>
      <c r="G1" s="2345"/>
      <c r="H1" s="2345"/>
      <c r="I1" s="2345"/>
      <c r="J1" s="227"/>
      <c r="K1" s="227"/>
      <c r="L1" s="227"/>
      <c r="M1" s="227"/>
    </row>
    <row r="2" spans="1:13" ht="14.1" customHeight="1">
      <c r="A2" s="108"/>
      <c r="B2" s="191"/>
      <c r="C2" s="114"/>
      <c r="D2" s="2023" t="s">
        <v>1157</v>
      </c>
      <c r="E2" s="2025"/>
      <c r="F2" s="2031" t="s">
        <v>1009</v>
      </c>
      <c r="G2" s="2031"/>
      <c r="H2" s="2330" t="s">
        <v>1010</v>
      </c>
      <c r="I2" s="2331"/>
    </row>
    <row r="3" spans="1:13" ht="17.25" customHeight="1">
      <c r="A3" s="3"/>
      <c r="B3" s="232"/>
      <c r="C3" s="201" t="s">
        <v>1011</v>
      </c>
      <c r="D3" s="2328"/>
      <c r="E3" s="2329"/>
      <c r="F3" s="2031"/>
      <c r="G3" s="2031"/>
      <c r="H3" s="2330"/>
      <c r="I3" s="2331"/>
    </row>
    <row r="4" spans="1:13" ht="14.1" customHeight="1">
      <c r="A4" s="3"/>
      <c r="B4" s="232"/>
      <c r="C4" s="201" t="s">
        <v>1013</v>
      </c>
      <c r="D4" s="221" t="s">
        <v>1014</v>
      </c>
      <c r="E4" s="226" t="s">
        <v>1015</v>
      </c>
      <c r="F4" s="217" t="s">
        <v>1012</v>
      </c>
      <c r="G4" s="225" t="s">
        <v>1015</v>
      </c>
      <c r="H4" s="201" t="s">
        <v>1012</v>
      </c>
      <c r="I4" s="197" t="s">
        <v>1015</v>
      </c>
    </row>
    <row r="5" spans="1:13" ht="16.5" customHeight="1">
      <c r="A5" s="201" t="s">
        <v>1017</v>
      </c>
      <c r="B5" s="256" t="s">
        <v>1018</v>
      </c>
      <c r="C5" s="201" t="s">
        <v>1019</v>
      </c>
      <c r="D5" s="221" t="s">
        <v>1019</v>
      </c>
      <c r="E5" s="257" t="s">
        <v>1020</v>
      </c>
      <c r="F5" s="201" t="s">
        <v>1016</v>
      </c>
      <c r="G5" s="257" t="s">
        <v>1020</v>
      </c>
      <c r="H5" s="201" t="s">
        <v>1016</v>
      </c>
      <c r="I5" s="258" t="s">
        <v>1020</v>
      </c>
    </row>
    <row r="6" spans="1:13" ht="14.1" customHeight="1">
      <c r="A6" s="217"/>
      <c r="B6" s="218"/>
      <c r="C6" s="217"/>
      <c r="D6" s="217"/>
      <c r="E6" s="220"/>
      <c r="F6" s="217"/>
      <c r="G6" s="220"/>
      <c r="H6" s="217"/>
      <c r="I6" s="217"/>
    </row>
    <row r="7" spans="1:13" ht="14.1" customHeight="1">
      <c r="A7" s="3"/>
      <c r="B7" s="229" t="s">
        <v>1021</v>
      </c>
      <c r="C7" s="3"/>
      <c r="D7" s="3"/>
      <c r="E7" s="233">
        <v>37636</v>
      </c>
      <c r="F7" s="233">
        <v>2381</v>
      </c>
      <c r="G7" s="233">
        <v>6109</v>
      </c>
      <c r="H7" s="234">
        <v>91</v>
      </c>
      <c r="I7" s="233">
        <v>31469</v>
      </c>
    </row>
    <row r="8" spans="1:13" ht="14.1" customHeight="1">
      <c r="A8" s="228">
        <v>106199120</v>
      </c>
      <c r="B8" s="229" t="s">
        <v>1282</v>
      </c>
      <c r="C8" s="234" t="s">
        <v>1032</v>
      </c>
      <c r="D8" s="234">
        <v>107</v>
      </c>
      <c r="E8" s="234">
        <v>11</v>
      </c>
      <c r="F8" s="234">
        <v>0</v>
      </c>
      <c r="G8" s="234">
        <v>0</v>
      </c>
      <c r="H8" s="234">
        <v>2</v>
      </c>
      <c r="I8" s="234">
        <v>11</v>
      </c>
    </row>
    <row r="9" spans="1:13" ht="14.1" customHeight="1">
      <c r="A9" s="228">
        <v>301190000</v>
      </c>
      <c r="B9" s="229" t="s">
        <v>1388</v>
      </c>
      <c r="C9" s="234" t="s">
        <v>1023</v>
      </c>
      <c r="D9" s="234">
        <v>270</v>
      </c>
      <c r="E9" s="234">
        <v>6</v>
      </c>
      <c r="F9" s="234">
        <v>0</v>
      </c>
      <c r="G9" s="234">
        <v>0</v>
      </c>
      <c r="H9" s="234" t="s">
        <v>546</v>
      </c>
      <c r="I9" s="234">
        <v>6</v>
      </c>
    </row>
    <row r="10" spans="1:13" ht="14.1" customHeight="1">
      <c r="A10" s="228">
        <v>904218000</v>
      </c>
      <c r="B10" s="229" t="s">
        <v>1389</v>
      </c>
      <c r="C10" s="234" t="s">
        <v>1023</v>
      </c>
      <c r="D10" s="233">
        <v>5538</v>
      </c>
      <c r="E10" s="234">
        <v>26</v>
      </c>
      <c r="F10" s="234">
        <v>0</v>
      </c>
      <c r="G10" s="234">
        <v>0</v>
      </c>
      <c r="H10" s="234">
        <v>0</v>
      </c>
      <c r="I10" s="234">
        <v>0</v>
      </c>
    </row>
    <row r="11" spans="1:13" ht="14.1" customHeight="1">
      <c r="A11" s="228">
        <v>1516209000</v>
      </c>
      <c r="B11" s="229" t="s">
        <v>1283</v>
      </c>
      <c r="C11" s="234" t="s">
        <v>1023</v>
      </c>
      <c r="D11" s="233">
        <v>176200</v>
      </c>
      <c r="E11" s="234">
        <v>99</v>
      </c>
      <c r="F11" s="234">
        <v>180</v>
      </c>
      <c r="G11" s="234">
        <v>99</v>
      </c>
      <c r="H11" s="234">
        <v>0</v>
      </c>
      <c r="I11" s="234">
        <v>0</v>
      </c>
    </row>
    <row r="12" spans="1:13" ht="14.1" customHeight="1">
      <c r="A12" s="228">
        <v>1518004000</v>
      </c>
      <c r="B12" s="229" t="s">
        <v>1022</v>
      </c>
      <c r="C12" s="234" t="s">
        <v>1023</v>
      </c>
      <c r="D12" s="233">
        <v>132200</v>
      </c>
      <c r="E12" s="234">
        <v>74</v>
      </c>
      <c r="F12" s="234">
        <v>135</v>
      </c>
      <c r="G12" s="234">
        <v>74</v>
      </c>
      <c r="H12" s="234">
        <v>0</v>
      </c>
      <c r="I12" s="234">
        <v>0</v>
      </c>
    </row>
    <row r="13" spans="1:13" ht="14.1" customHeight="1">
      <c r="A13" s="228">
        <v>3822005095</v>
      </c>
      <c r="B13" s="229" t="s">
        <v>1390</v>
      </c>
      <c r="C13" s="234" t="s">
        <v>1023</v>
      </c>
      <c r="D13" s="234">
        <v>1</v>
      </c>
      <c r="E13" s="234">
        <v>20</v>
      </c>
      <c r="F13" s="234">
        <v>0</v>
      </c>
      <c r="G13" s="234">
        <v>0</v>
      </c>
      <c r="H13" s="234" t="s">
        <v>546</v>
      </c>
      <c r="I13" s="234">
        <v>20</v>
      </c>
    </row>
    <row r="14" spans="1:13" ht="14.1" customHeight="1">
      <c r="A14" s="228">
        <v>3824821000</v>
      </c>
      <c r="B14" s="229" t="s">
        <v>1391</v>
      </c>
      <c r="C14" s="234" t="s">
        <v>1023</v>
      </c>
      <c r="D14" s="239">
        <v>14365</v>
      </c>
      <c r="E14" s="234">
        <v>11</v>
      </c>
      <c r="F14" s="234">
        <v>16</v>
      </c>
      <c r="G14" s="234">
        <v>11</v>
      </c>
      <c r="H14" s="234">
        <v>0</v>
      </c>
      <c r="I14" s="234">
        <v>0</v>
      </c>
    </row>
    <row r="15" spans="1:13" ht="14.1" customHeight="1">
      <c r="A15" s="228">
        <v>3923109000</v>
      </c>
      <c r="B15" s="229" t="s">
        <v>1392</v>
      </c>
      <c r="C15" s="234" t="s">
        <v>1023</v>
      </c>
      <c r="D15" s="234">
        <v>3</v>
      </c>
      <c r="E15" s="234">
        <v>4</v>
      </c>
      <c r="F15" s="234">
        <v>0</v>
      </c>
      <c r="G15" s="234">
        <v>0</v>
      </c>
      <c r="H15" s="234" t="s">
        <v>546</v>
      </c>
      <c r="I15" s="234">
        <v>4</v>
      </c>
    </row>
    <row r="16" spans="1:13" ht="14.1" customHeight="1">
      <c r="A16" s="238">
        <v>3923210020</v>
      </c>
      <c r="B16" s="230" t="s">
        <v>1393</v>
      </c>
      <c r="C16" s="237" t="s">
        <v>1394</v>
      </c>
      <c r="D16" s="233">
        <v>2322</v>
      </c>
      <c r="E16" s="234">
        <v>21</v>
      </c>
      <c r="F16" s="234">
        <v>2</v>
      </c>
      <c r="G16" s="234">
        <v>21</v>
      </c>
      <c r="H16" s="234">
        <v>0</v>
      </c>
      <c r="I16" s="234">
        <v>0</v>
      </c>
    </row>
    <row r="17" spans="1:9" ht="14.1" customHeight="1">
      <c r="A17" s="228">
        <v>3923500000</v>
      </c>
      <c r="B17" s="229" t="s">
        <v>1395</v>
      </c>
      <c r="C17" s="234" t="s">
        <v>1032</v>
      </c>
      <c r="D17" s="234">
        <v>1</v>
      </c>
      <c r="E17" s="234">
        <v>4</v>
      </c>
      <c r="F17" s="234">
        <v>0</v>
      </c>
      <c r="G17" s="234">
        <v>0</v>
      </c>
      <c r="H17" s="234" t="s">
        <v>546</v>
      </c>
      <c r="I17" s="234">
        <v>4</v>
      </c>
    </row>
    <row r="18" spans="1:9" ht="14.1" customHeight="1">
      <c r="A18" s="228">
        <v>4016931050</v>
      </c>
      <c r="B18" s="229" t="s">
        <v>1396</v>
      </c>
      <c r="C18" s="234" t="s">
        <v>1023</v>
      </c>
      <c r="D18" s="234">
        <v>1</v>
      </c>
      <c r="E18" s="234">
        <v>1</v>
      </c>
      <c r="F18" s="234">
        <v>0</v>
      </c>
      <c r="G18" s="234">
        <v>0</v>
      </c>
      <c r="H18" s="234" t="s">
        <v>546</v>
      </c>
      <c r="I18" s="234">
        <v>1</v>
      </c>
    </row>
    <row r="19" spans="1:9" ht="14.1" customHeight="1">
      <c r="A19" s="228">
        <v>4016935010</v>
      </c>
      <c r="B19" s="229" t="s">
        <v>1036</v>
      </c>
      <c r="C19" s="234" t="s">
        <v>1023</v>
      </c>
      <c r="D19" s="234">
        <v>1</v>
      </c>
      <c r="E19" s="234" t="s">
        <v>546</v>
      </c>
      <c r="F19" s="234">
        <v>0</v>
      </c>
      <c r="G19" s="234">
        <v>0</v>
      </c>
      <c r="H19" s="234" t="s">
        <v>546</v>
      </c>
      <c r="I19" s="234" t="s">
        <v>546</v>
      </c>
    </row>
    <row r="20" spans="1:9" ht="14.1" customHeight="1">
      <c r="A20" s="228">
        <v>4202219000</v>
      </c>
      <c r="B20" s="229" t="s">
        <v>1397</v>
      </c>
      <c r="C20" s="234" t="s">
        <v>1032</v>
      </c>
      <c r="D20" s="234">
        <v>1</v>
      </c>
      <c r="E20" s="234">
        <v>4</v>
      </c>
      <c r="F20" s="234">
        <v>0</v>
      </c>
      <c r="G20" s="234">
        <v>0</v>
      </c>
      <c r="H20" s="234" t="s">
        <v>546</v>
      </c>
      <c r="I20" s="234">
        <v>4</v>
      </c>
    </row>
    <row r="21" spans="1:9" ht="14.1" customHeight="1">
      <c r="A21" s="228">
        <v>4202316000</v>
      </c>
      <c r="B21" s="229" t="s">
        <v>1398</v>
      </c>
      <c r="C21" s="234" t="s">
        <v>1032</v>
      </c>
      <c r="D21" s="234">
        <v>1</v>
      </c>
      <c r="E21" s="234">
        <v>1</v>
      </c>
      <c r="F21" s="234">
        <v>0</v>
      </c>
      <c r="G21" s="234">
        <v>0</v>
      </c>
      <c r="H21" s="234" t="s">
        <v>546</v>
      </c>
      <c r="I21" s="234">
        <v>1</v>
      </c>
    </row>
    <row r="22" spans="1:9" ht="14.1" customHeight="1">
      <c r="A22" s="228">
        <v>4821104000</v>
      </c>
      <c r="B22" s="229" t="s">
        <v>1399</v>
      </c>
      <c r="C22" s="234" t="s">
        <v>1023</v>
      </c>
      <c r="D22" s="234">
        <v>214</v>
      </c>
      <c r="E22" s="234">
        <v>13</v>
      </c>
      <c r="F22" s="234">
        <v>0</v>
      </c>
      <c r="G22" s="234">
        <v>0</v>
      </c>
      <c r="H22" s="234" t="s">
        <v>546</v>
      </c>
      <c r="I22" s="234">
        <v>13</v>
      </c>
    </row>
    <row r="23" spans="1:9" ht="14.1" customHeight="1">
      <c r="A23" s="228">
        <v>4901100040</v>
      </c>
      <c r="B23" s="229" t="s">
        <v>1400</v>
      </c>
      <c r="C23" s="234" t="s">
        <v>1023</v>
      </c>
      <c r="D23" s="234">
        <v>137</v>
      </c>
      <c r="E23" s="234">
        <v>26</v>
      </c>
      <c r="F23" s="234">
        <v>0</v>
      </c>
      <c r="G23" s="234">
        <v>0</v>
      </c>
      <c r="H23" s="234" t="s">
        <v>546</v>
      </c>
      <c r="I23" s="234">
        <v>26</v>
      </c>
    </row>
    <row r="24" spans="1:9" ht="14.1" customHeight="1">
      <c r="A24" s="228">
        <v>4901990010</v>
      </c>
      <c r="B24" s="229" t="s">
        <v>1401</v>
      </c>
      <c r="C24" s="234" t="s">
        <v>1032</v>
      </c>
      <c r="D24" s="234">
        <v>108</v>
      </c>
      <c r="E24" s="234">
        <v>9</v>
      </c>
      <c r="F24" s="234">
        <v>0</v>
      </c>
      <c r="G24" s="234">
        <v>0</v>
      </c>
      <c r="H24" s="234" t="s">
        <v>546</v>
      </c>
      <c r="I24" s="234">
        <v>9</v>
      </c>
    </row>
    <row r="25" spans="1:9" ht="14.1" customHeight="1">
      <c r="A25" s="228">
        <v>4911996000</v>
      </c>
      <c r="B25" s="229" t="s">
        <v>1402</v>
      </c>
      <c r="C25" s="234" t="s">
        <v>1023</v>
      </c>
      <c r="D25" s="234">
        <v>1</v>
      </c>
      <c r="E25" s="234">
        <v>7</v>
      </c>
      <c r="F25" s="234">
        <v>0</v>
      </c>
      <c r="G25" s="234">
        <v>0</v>
      </c>
      <c r="H25" s="234" t="s">
        <v>546</v>
      </c>
      <c r="I25" s="234">
        <v>7</v>
      </c>
    </row>
    <row r="26" spans="1:9" ht="14.1" customHeight="1">
      <c r="A26" s="228">
        <v>5807100520</v>
      </c>
      <c r="B26" s="229" t="s">
        <v>1403</v>
      </c>
      <c r="C26" s="234" t="s">
        <v>1023</v>
      </c>
      <c r="D26" s="234">
        <v>23</v>
      </c>
      <c r="E26" s="234">
        <v>3</v>
      </c>
      <c r="F26" s="234">
        <v>0</v>
      </c>
      <c r="G26" s="234">
        <v>0</v>
      </c>
      <c r="H26" s="234" t="s">
        <v>546</v>
      </c>
      <c r="I26" s="234">
        <v>3</v>
      </c>
    </row>
    <row r="27" spans="1:9" ht="14.1" customHeight="1">
      <c r="A27" s="228">
        <v>6116105520</v>
      </c>
      <c r="B27" s="229" t="s">
        <v>1404</v>
      </c>
      <c r="C27" s="234" t="s">
        <v>1169</v>
      </c>
      <c r="D27" s="234">
        <v>144</v>
      </c>
      <c r="E27" s="234">
        <v>6</v>
      </c>
      <c r="F27" s="234">
        <v>0</v>
      </c>
      <c r="G27" s="234">
        <v>0</v>
      </c>
      <c r="H27" s="234">
        <v>0</v>
      </c>
      <c r="I27" s="234">
        <v>0</v>
      </c>
    </row>
    <row r="28" spans="1:9" ht="14.1" customHeight="1">
      <c r="A28" s="228">
        <v>6210405550</v>
      </c>
      <c r="B28" s="229" t="s">
        <v>1405</v>
      </c>
      <c r="C28" s="234" t="s">
        <v>1044</v>
      </c>
      <c r="D28" s="234">
        <v>1</v>
      </c>
      <c r="E28" s="234">
        <v>3</v>
      </c>
      <c r="F28" s="234">
        <v>0</v>
      </c>
      <c r="G28" s="234">
        <v>0</v>
      </c>
      <c r="H28" s="234" t="s">
        <v>546</v>
      </c>
      <c r="I28" s="234">
        <v>3</v>
      </c>
    </row>
    <row r="29" spans="1:9" ht="14.1" customHeight="1">
      <c r="A29" s="228">
        <v>6403406000</v>
      </c>
      <c r="B29" s="229" t="s">
        <v>1406</v>
      </c>
      <c r="C29" s="234" t="s">
        <v>1190</v>
      </c>
      <c r="D29" s="234">
        <v>1</v>
      </c>
      <c r="E29" s="234" t="s">
        <v>546</v>
      </c>
      <c r="F29" s="234">
        <v>0</v>
      </c>
      <c r="G29" s="234">
        <v>0</v>
      </c>
      <c r="H29" s="234" t="s">
        <v>546</v>
      </c>
      <c r="I29" s="234" t="s">
        <v>546</v>
      </c>
    </row>
    <row r="30" spans="1:9" ht="14.1" customHeight="1">
      <c r="A30" s="228">
        <v>6405100060</v>
      </c>
      <c r="B30" s="229" t="s">
        <v>1407</v>
      </c>
      <c r="C30" s="234" t="s">
        <v>1190</v>
      </c>
      <c r="D30" s="234">
        <v>1</v>
      </c>
      <c r="E30" s="234">
        <v>1</v>
      </c>
      <c r="F30" s="234">
        <v>0</v>
      </c>
      <c r="G30" s="234">
        <v>0</v>
      </c>
      <c r="H30" s="234" t="s">
        <v>546</v>
      </c>
      <c r="I30" s="234">
        <v>1</v>
      </c>
    </row>
    <row r="31" spans="1:9" ht="14.1" customHeight="1">
      <c r="A31" s="228">
        <v>7112990000</v>
      </c>
      <c r="B31" s="229" t="s">
        <v>1408</v>
      </c>
      <c r="C31" s="234" t="s">
        <v>1049</v>
      </c>
      <c r="D31" s="233">
        <v>20981943</v>
      </c>
      <c r="E31" s="234">
        <v>20</v>
      </c>
      <c r="F31" s="234">
        <v>25</v>
      </c>
      <c r="G31" s="234">
        <v>20</v>
      </c>
      <c r="H31" s="234">
        <v>0</v>
      </c>
      <c r="I31" s="234">
        <v>0</v>
      </c>
    </row>
    <row r="32" spans="1:9" ht="14.1" customHeight="1">
      <c r="A32" s="228">
        <v>7113192900</v>
      </c>
      <c r="B32" s="229" t="s">
        <v>1196</v>
      </c>
      <c r="C32" s="234" t="s">
        <v>1049</v>
      </c>
      <c r="D32" s="234">
        <v>408</v>
      </c>
      <c r="E32" s="234">
        <v>2</v>
      </c>
      <c r="F32" s="234">
        <v>0</v>
      </c>
      <c r="G32" s="234">
        <v>0</v>
      </c>
      <c r="H32" s="234" t="s">
        <v>546</v>
      </c>
      <c r="I32" s="234">
        <v>2</v>
      </c>
    </row>
    <row r="33" spans="1:9" ht="14.1" customHeight="1">
      <c r="A33" s="228">
        <v>7113195025</v>
      </c>
      <c r="B33" s="229" t="s">
        <v>1409</v>
      </c>
      <c r="C33" s="234" t="s">
        <v>1309</v>
      </c>
      <c r="D33" s="234">
        <v>1</v>
      </c>
      <c r="E33" s="234">
        <v>3</v>
      </c>
      <c r="F33" s="234">
        <v>0</v>
      </c>
      <c r="G33" s="234">
        <v>0</v>
      </c>
      <c r="H33" s="234" t="s">
        <v>546</v>
      </c>
      <c r="I33" s="234">
        <v>3</v>
      </c>
    </row>
    <row r="34" spans="1:9" ht="14.1" customHeight="1">
      <c r="A34" s="228">
        <v>7113195090</v>
      </c>
      <c r="B34" s="229" t="s">
        <v>1050</v>
      </c>
      <c r="C34" s="234" t="s">
        <v>1049</v>
      </c>
      <c r="D34" s="233">
        <v>1009</v>
      </c>
      <c r="E34" s="234">
        <v>27</v>
      </c>
      <c r="F34" s="234">
        <v>0</v>
      </c>
      <c r="G34" s="234">
        <v>0</v>
      </c>
      <c r="H34" s="234" t="s">
        <v>546</v>
      </c>
      <c r="I34" s="234">
        <v>27</v>
      </c>
    </row>
    <row r="35" spans="1:9" ht="14.1" customHeight="1">
      <c r="A35" s="228">
        <v>7304390032</v>
      </c>
      <c r="B35" s="229" t="s">
        <v>1410</v>
      </c>
      <c r="C35" s="234" t="s">
        <v>1023</v>
      </c>
      <c r="D35" s="234">
        <v>183</v>
      </c>
      <c r="E35" s="234">
        <v>6</v>
      </c>
      <c r="F35" s="234">
        <v>0</v>
      </c>
      <c r="G35" s="234">
        <v>0</v>
      </c>
      <c r="H35" s="234" t="s">
        <v>546</v>
      </c>
      <c r="I35" s="234">
        <v>3</v>
      </c>
    </row>
    <row r="36" spans="1:9" ht="14.1" customHeight="1">
      <c r="A36" s="228">
        <v>7318155030</v>
      </c>
      <c r="B36" s="229" t="s">
        <v>1411</v>
      </c>
      <c r="C36" s="234" t="s">
        <v>1023</v>
      </c>
      <c r="D36" s="234">
        <v>15</v>
      </c>
      <c r="E36" s="234">
        <v>3</v>
      </c>
      <c r="F36" s="234">
        <v>0</v>
      </c>
      <c r="G36" s="234">
        <v>0</v>
      </c>
      <c r="H36" s="234" t="s">
        <v>546</v>
      </c>
      <c r="I36" s="234">
        <v>3</v>
      </c>
    </row>
    <row r="37" spans="1:9" ht="14.1" customHeight="1">
      <c r="A37" s="228">
        <v>8301406060</v>
      </c>
      <c r="B37" s="229" t="s">
        <v>1412</v>
      </c>
      <c r="C37" s="234" t="s">
        <v>1023</v>
      </c>
      <c r="D37" s="234">
        <v>35</v>
      </c>
      <c r="E37" s="234">
        <v>3</v>
      </c>
      <c r="F37" s="234">
        <v>0</v>
      </c>
      <c r="G37" s="234">
        <v>0</v>
      </c>
      <c r="H37" s="234" t="s">
        <v>546</v>
      </c>
      <c r="I37" s="234">
        <v>3</v>
      </c>
    </row>
    <row r="38" spans="1:9" ht="14.1" customHeight="1">
      <c r="A38" s="228">
        <v>8407336040</v>
      </c>
      <c r="B38" s="229" t="s">
        <v>1413</v>
      </c>
      <c r="C38" s="234" t="s">
        <v>1032</v>
      </c>
      <c r="D38" s="234">
        <v>1</v>
      </c>
      <c r="E38" s="234">
        <v>4</v>
      </c>
      <c r="F38" s="234">
        <v>0</v>
      </c>
      <c r="G38" s="234">
        <v>0</v>
      </c>
      <c r="H38" s="234" t="s">
        <v>546</v>
      </c>
      <c r="I38" s="234">
        <v>4</v>
      </c>
    </row>
    <row r="39" spans="1:9" ht="14.1" customHeight="1">
      <c r="A39" s="228">
        <v>8409999190</v>
      </c>
      <c r="B39" s="229" t="s">
        <v>1414</v>
      </c>
      <c r="C39" s="234" t="s">
        <v>1023</v>
      </c>
      <c r="D39" s="234">
        <v>147</v>
      </c>
      <c r="E39" s="234">
        <v>4</v>
      </c>
      <c r="F39" s="234" t="s">
        <v>546</v>
      </c>
      <c r="G39" s="234">
        <v>4</v>
      </c>
      <c r="H39" s="234">
        <v>0</v>
      </c>
      <c r="I39" s="234">
        <v>0</v>
      </c>
    </row>
    <row r="40" spans="1:9" ht="14.1" customHeight="1">
      <c r="A40" s="228">
        <v>8409999990</v>
      </c>
      <c r="B40" s="229" t="s">
        <v>1415</v>
      </c>
      <c r="C40" s="234" t="s">
        <v>1023</v>
      </c>
      <c r="D40" s="233">
        <v>2924</v>
      </c>
      <c r="E40" s="234">
        <v>131</v>
      </c>
      <c r="F40" s="234">
        <v>3</v>
      </c>
      <c r="G40" s="234">
        <v>83</v>
      </c>
      <c r="H40" s="234" t="s">
        <v>546</v>
      </c>
      <c r="I40" s="234">
        <v>48</v>
      </c>
    </row>
    <row r="41" spans="1:9" ht="14.1" customHeight="1">
      <c r="A41" s="228">
        <v>8411999085</v>
      </c>
      <c r="B41" s="229" t="s">
        <v>1416</v>
      </c>
      <c r="C41" s="234" t="s">
        <v>1023</v>
      </c>
      <c r="D41" s="234">
        <v>18</v>
      </c>
      <c r="E41" s="234">
        <v>3</v>
      </c>
      <c r="F41" s="234">
        <v>0</v>
      </c>
      <c r="G41" s="234">
        <v>0</v>
      </c>
      <c r="H41" s="234" t="s">
        <v>546</v>
      </c>
      <c r="I41" s="234">
        <v>3</v>
      </c>
    </row>
    <row r="42" spans="1:9" ht="14.1" customHeight="1">
      <c r="A42" s="228">
        <v>8412909085</v>
      </c>
      <c r="B42" s="229" t="s">
        <v>1417</v>
      </c>
      <c r="C42" s="234" t="s">
        <v>1023</v>
      </c>
      <c r="D42" s="234">
        <v>15</v>
      </c>
      <c r="E42" s="234">
        <v>3</v>
      </c>
      <c r="F42" s="234">
        <v>0</v>
      </c>
      <c r="G42" s="234">
        <v>0</v>
      </c>
      <c r="H42" s="234" t="s">
        <v>546</v>
      </c>
      <c r="I42" s="234">
        <v>3</v>
      </c>
    </row>
    <row r="43" spans="1:9" ht="14.1" customHeight="1">
      <c r="A43" s="228">
        <v>8413301000</v>
      </c>
      <c r="B43" s="229" t="s">
        <v>1205</v>
      </c>
      <c r="C43" s="234" t="s">
        <v>1032</v>
      </c>
      <c r="D43" s="234">
        <v>54</v>
      </c>
      <c r="E43" s="234">
        <v>28</v>
      </c>
      <c r="F43" s="234">
        <v>2</v>
      </c>
      <c r="G43" s="234">
        <v>28</v>
      </c>
      <c r="H43" s="234">
        <v>0</v>
      </c>
      <c r="I43" s="234">
        <v>0</v>
      </c>
    </row>
    <row r="44" spans="1:9" ht="14.1" customHeight="1">
      <c r="A44" s="228">
        <v>8413309060</v>
      </c>
      <c r="B44" s="229" t="s">
        <v>1206</v>
      </c>
      <c r="C44" s="234" t="s">
        <v>1032</v>
      </c>
      <c r="D44" s="234">
        <v>4</v>
      </c>
      <c r="E44" s="234">
        <v>7</v>
      </c>
      <c r="F44" s="234" t="s">
        <v>546</v>
      </c>
      <c r="G44" s="234">
        <v>7</v>
      </c>
      <c r="H44" s="234">
        <v>0</v>
      </c>
      <c r="I44" s="234">
        <v>0</v>
      </c>
    </row>
    <row r="45" spans="1:9" ht="14.1" customHeight="1">
      <c r="A45" s="228">
        <v>8413309090</v>
      </c>
      <c r="B45" s="229" t="s">
        <v>1207</v>
      </c>
      <c r="C45" s="234" t="s">
        <v>1032</v>
      </c>
      <c r="D45" s="234">
        <v>14</v>
      </c>
      <c r="E45" s="234">
        <v>5</v>
      </c>
      <c r="F45" s="234" t="s">
        <v>546</v>
      </c>
      <c r="G45" s="234">
        <v>5</v>
      </c>
      <c r="H45" s="234">
        <v>0</v>
      </c>
      <c r="I45" s="234">
        <v>0</v>
      </c>
    </row>
    <row r="46" spans="1:9" ht="14.1" customHeight="1">
      <c r="A46" s="228">
        <v>8413500080</v>
      </c>
      <c r="B46" s="229" t="s">
        <v>1418</v>
      </c>
      <c r="C46" s="234" t="s">
        <v>1032</v>
      </c>
      <c r="D46" s="234">
        <v>3</v>
      </c>
      <c r="E46" s="234">
        <v>5</v>
      </c>
      <c r="F46" s="234" t="s">
        <v>546</v>
      </c>
      <c r="G46" s="234">
        <v>5</v>
      </c>
      <c r="H46" s="234">
        <v>0</v>
      </c>
      <c r="I46" s="234">
        <v>0</v>
      </c>
    </row>
    <row r="47" spans="1:9" ht="14.1" customHeight="1">
      <c r="A47" s="228">
        <v>8414596590</v>
      </c>
      <c r="B47" s="229" t="s">
        <v>1419</v>
      </c>
      <c r="C47" s="234" t="s">
        <v>1032</v>
      </c>
      <c r="D47" s="234">
        <v>2</v>
      </c>
      <c r="E47" s="234">
        <v>90</v>
      </c>
      <c r="F47" s="234">
        <v>0</v>
      </c>
      <c r="G47" s="234">
        <v>0</v>
      </c>
      <c r="H47" s="234" t="s">
        <v>546</v>
      </c>
      <c r="I47" s="234">
        <v>90</v>
      </c>
    </row>
    <row r="48" spans="1:9" ht="14.1" customHeight="1">
      <c r="A48" s="228">
        <v>8414596595</v>
      </c>
      <c r="B48" s="229" t="s">
        <v>1066</v>
      </c>
      <c r="C48" s="234" t="s">
        <v>1032</v>
      </c>
      <c r="D48" s="234">
        <v>1</v>
      </c>
      <c r="E48" s="234">
        <v>83</v>
      </c>
      <c r="F48" s="234">
        <v>0</v>
      </c>
      <c r="G48" s="234">
        <v>0</v>
      </c>
      <c r="H48" s="234" t="s">
        <v>546</v>
      </c>
      <c r="I48" s="234">
        <v>83</v>
      </c>
    </row>
    <row r="49" spans="1:9" ht="14.1" customHeight="1">
      <c r="A49" s="228">
        <v>8414800500</v>
      </c>
      <c r="B49" s="229" t="s">
        <v>1420</v>
      </c>
      <c r="C49" s="234" t="s">
        <v>1032</v>
      </c>
      <c r="D49" s="234">
        <v>7</v>
      </c>
      <c r="E49" s="234">
        <v>6</v>
      </c>
      <c r="F49" s="234" t="s">
        <v>546</v>
      </c>
      <c r="G49" s="234">
        <v>6</v>
      </c>
      <c r="H49" s="234">
        <v>0</v>
      </c>
      <c r="I49" s="234">
        <v>0</v>
      </c>
    </row>
    <row r="50" spans="1:9" ht="14.1" customHeight="1">
      <c r="A50" s="228">
        <v>8414901040</v>
      </c>
      <c r="B50" s="229" t="s">
        <v>1421</v>
      </c>
      <c r="C50" s="234" t="s">
        <v>1023</v>
      </c>
      <c r="D50" s="233">
        <v>3983</v>
      </c>
      <c r="E50" s="234">
        <v>44</v>
      </c>
      <c r="F50" s="234">
        <v>0</v>
      </c>
      <c r="G50" s="234">
        <v>0</v>
      </c>
      <c r="H50" s="234">
        <v>5</v>
      </c>
      <c r="I50" s="234">
        <v>44</v>
      </c>
    </row>
    <row r="51" spans="1:9" ht="14.1" customHeight="1">
      <c r="A51" s="228">
        <v>8415820135</v>
      </c>
      <c r="B51" s="229" t="s">
        <v>1422</v>
      </c>
      <c r="C51" s="234" t="s">
        <v>1032</v>
      </c>
      <c r="D51" s="234">
        <v>1</v>
      </c>
      <c r="E51" s="234">
        <v>23</v>
      </c>
      <c r="F51" s="234">
        <v>0</v>
      </c>
      <c r="G51" s="234">
        <v>0</v>
      </c>
      <c r="H51" s="234" t="s">
        <v>546</v>
      </c>
      <c r="I51" s="234">
        <v>23</v>
      </c>
    </row>
    <row r="52" spans="1:9" ht="14.1" customHeight="1">
      <c r="A52" s="228">
        <v>8419505000</v>
      </c>
      <c r="B52" s="229" t="s">
        <v>1423</v>
      </c>
      <c r="C52" s="234" t="s">
        <v>1032</v>
      </c>
      <c r="D52" s="234">
        <v>3</v>
      </c>
      <c r="E52" s="234">
        <v>3</v>
      </c>
      <c r="F52" s="234" t="s">
        <v>546</v>
      </c>
      <c r="G52" s="234">
        <v>3</v>
      </c>
      <c r="H52" s="234">
        <v>0</v>
      </c>
      <c r="I52" s="234">
        <v>0</v>
      </c>
    </row>
    <row r="53" spans="1:9" ht="14.1" customHeight="1">
      <c r="A53" s="228">
        <v>8421394000</v>
      </c>
      <c r="B53" s="229" t="s">
        <v>1216</v>
      </c>
      <c r="C53" s="234" t="s">
        <v>1032</v>
      </c>
      <c r="D53" s="234">
        <v>7</v>
      </c>
      <c r="E53" s="234">
        <v>14</v>
      </c>
      <c r="F53" s="234" t="s">
        <v>546</v>
      </c>
      <c r="G53" s="234">
        <v>4</v>
      </c>
      <c r="H53" s="234" t="s">
        <v>546</v>
      </c>
      <c r="I53" s="234">
        <v>10</v>
      </c>
    </row>
    <row r="54" spans="1:9" ht="14.1" customHeight="1">
      <c r="A54" s="228">
        <v>8431390080</v>
      </c>
      <c r="B54" s="229" t="s">
        <v>1424</v>
      </c>
      <c r="C54" s="234" t="s">
        <v>1032</v>
      </c>
      <c r="D54" s="234">
        <v>13</v>
      </c>
      <c r="E54" s="234">
        <v>4</v>
      </c>
      <c r="F54" s="234">
        <v>0</v>
      </c>
      <c r="G54" s="234">
        <v>0</v>
      </c>
      <c r="H54" s="234" t="s">
        <v>546</v>
      </c>
      <c r="I54" s="234">
        <v>4</v>
      </c>
    </row>
    <row r="55" spans="1:9" ht="14.1" customHeight="1">
      <c r="A55" s="228">
        <v>8431499095</v>
      </c>
      <c r="B55" s="229" t="s">
        <v>1425</v>
      </c>
      <c r="C55" s="234" t="s">
        <v>1032</v>
      </c>
      <c r="D55" s="234">
        <v>3</v>
      </c>
      <c r="E55" s="234">
        <v>6</v>
      </c>
      <c r="F55" s="234">
        <v>0</v>
      </c>
      <c r="G55" s="234">
        <v>0</v>
      </c>
      <c r="H55" s="234" t="s">
        <v>546</v>
      </c>
      <c r="I55" s="234">
        <v>6</v>
      </c>
    </row>
    <row r="56" spans="1:9" ht="14.1" customHeight="1">
      <c r="A56" s="228">
        <v>8443310000</v>
      </c>
      <c r="B56" s="229" t="s">
        <v>1426</v>
      </c>
      <c r="C56" s="234" t="s">
        <v>1032</v>
      </c>
      <c r="D56" s="234">
        <v>512</v>
      </c>
      <c r="E56" s="234">
        <v>485</v>
      </c>
      <c r="F56" s="234">
        <v>0</v>
      </c>
      <c r="G56" s="234">
        <v>0</v>
      </c>
      <c r="H56" s="234">
        <v>1</v>
      </c>
      <c r="I56" s="234">
        <v>485</v>
      </c>
    </row>
    <row r="57" spans="1:9" ht="14.1" customHeight="1">
      <c r="A57" s="228">
        <v>8443325000</v>
      </c>
      <c r="B57" s="229" t="s">
        <v>1427</v>
      </c>
      <c r="C57" s="234" t="s">
        <v>1032</v>
      </c>
      <c r="D57" s="234">
        <v>1</v>
      </c>
      <c r="E57" s="234">
        <v>7</v>
      </c>
      <c r="F57" s="234">
        <v>0</v>
      </c>
      <c r="G57" s="234">
        <v>0</v>
      </c>
      <c r="H57" s="234" t="s">
        <v>546</v>
      </c>
      <c r="I57" s="234">
        <v>7</v>
      </c>
    </row>
    <row r="58" spans="1:9" ht="14.1" customHeight="1">
      <c r="A58" s="228">
        <v>8443992550</v>
      </c>
      <c r="B58" s="229" t="s">
        <v>1321</v>
      </c>
      <c r="C58" s="234" t="s">
        <v>1032</v>
      </c>
      <c r="D58" s="234">
        <v>10</v>
      </c>
      <c r="E58" s="234">
        <v>12</v>
      </c>
      <c r="F58" s="234">
        <v>0</v>
      </c>
      <c r="G58" s="234">
        <v>0</v>
      </c>
      <c r="H58" s="234" t="s">
        <v>546</v>
      </c>
      <c r="I58" s="234">
        <v>12</v>
      </c>
    </row>
    <row r="59" spans="1:9" ht="14.1" customHeight="1">
      <c r="A59" s="228">
        <v>8446301020</v>
      </c>
      <c r="B59" s="229" t="s">
        <v>1428</v>
      </c>
      <c r="C59" s="234" t="s">
        <v>1032</v>
      </c>
      <c r="D59" s="234">
        <v>5</v>
      </c>
      <c r="E59" s="234">
        <v>10</v>
      </c>
      <c r="F59" s="234">
        <v>0</v>
      </c>
      <c r="G59" s="234">
        <v>0</v>
      </c>
      <c r="H59" s="234" t="s">
        <v>546</v>
      </c>
      <c r="I59" s="234">
        <v>10</v>
      </c>
    </row>
    <row r="60" spans="1:9" ht="14.1" customHeight="1">
      <c r="A60" s="228">
        <v>8466946540</v>
      </c>
      <c r="B60" s="229" t="s">
        <v>1429</v>
      </c>
      <c r="C60" s="234" t="s">
        <v>1032</v>
      </c>
      <c r="D60" s="234">
        <v>1</v>
      </c>
      <c r="E60" s="234">
        <v>3</v>
      </c>
      <c r="F60" s="234">
        <v>0</v>
      </c>
      <c r="G60" s="234">
        <v>0</v>
      </c>
      <c r="H60" s="234" t="s">
        <v>546</v>
      </c>
      <c r="I60" s="234">
        <v>3</v>
      </c>
    </row>
    <row r="61" spans="1:9" ht="14.1" customHeight="1">
      <c r="A61" s="228">
        <v>8466948540</v>
      </c>
      <c r="B61" s="229" t="s">
        <v>1430</v>
      </c>
      <c r="C61" s="234" t="s">
        <v>1032</v>
      </c>
      <c r="D61" s="234">
        <v>5</v>
      </c>
      <c r="E61" s="234">
        <v>10</v>
      </c>
      <c r="F61" s="234">
        <v>0</v>
      </c>
      <c r="G61" s="234">
        <v>0</v>
      </c>
      <c r="H61" s="234" t="s">
        <v>546</v>
      </c>
      <c r="I61" s="234">
        <v>10</v>
      </c>
    </row>
    <row r="62" spans="1:9" ht="15.75" customHeight="1">
      <c r="A62" s="231">
        <v>8471300100</v>
      </c>
      <c r="B62" s="235" t="s">
        <v>1431</v>
      </c>
      <c r="C62" s="236" t="s">
        <v>1032</v>
      </c>
      <c r="D62" s="236">
        <v>30</v>
      </c>
      <c r="E62" s="236">
        <v>41</v>
      </c>
      <c r="F62" s="236">
        <v>0</v>
      </c>
      <c r="G62" s="236">
        <v>0</v>
      </c>
      <c r="H62" s="236" t="s">
        <v>546</v>
      </c>
      <c r="I62" s="236">
        <v>41</v>
      </c>
    </row>
    <row r="63" spans="1:9" ht="12" customHeight="1">
      <c r="A63" s="2045" t="s">
        <v>1187</v>
      </c>
      <c r="B63" s="2045"/>
      <c r="C63" s="2045"/>
      <c r="D63" s="2045"/>
      <c r="E63" s="2045"/>
      <c r="F63" s="2045"/>
      <c r="G63" s="2045"/>
      <c r="H63" s="14"/>
      <c r="I63" s="14"/>
    </row>
    <row r="64" spans="1:9" ht="12" customHeight="1">
      <c r="A64" s="2045" t="s">
        <v>1056</v>
      </c>
      <c r="B64" s="2045"/>
      <c r="C64" s="2045"/>
      <c r="D64" s="2045"/>
      <c r="E64" s="14"/>
      <c r="F64" s="14"/>
      <c r="G64" s="14"/>
      <c r="H64" s="14"/>
      <c r="I64" s="14"/>
    </row>
    <row r="65" spans="1:9" ht="12" customHeight="1">
      <c r="A65" s="2045" t="s">
        <v>1326</v>
      </c>
      <c r="B65" s="2045"/>
      <c r="C65" s="2045"/>
      <c r="D65" s="2045"/>
      <c r="E65" s="2045"/>
      <c r="F65" s="2045"/>
      <c r="G65" s="2045"/>
      <c r="H65" s="2045"/>
      <c r="I65" s="2045"/>
    </row>
    <row r="66" spans="1:9" ht="12" customHeight="1">
      <c r="A66" s="2045" t="s">
        <v>1327</v>
      </c>
      <c r="B66" s="2045"/>
      <c r="C66" s="2045"/>
      <c r="D66" s="2045"/>
      <c r="E66" s="2045"/>
      <c r="F66" s="14"/>
      <c r="G66" s="14"/>
      <c r="H66" s="14"/>
      <c r="I66" s="14"/>
    </row>
    <row r="67" spans="1:9" ht="12" customHeight="1">
      <c r="A67" s="13" t="s">
        <v>1328</v>
      </c>
      <c r="B67" s="14"/>
      <c r="C67" s="14"/>
      <c r="D67" s="14"/>
      <c r="E67" s="14"/>
      <c r="F67" s="14"/>
      <c r="G67" s="14"/>
      <c r="H67" s="14"/>
      <c r="I67" s="14"/>
    </row>
    <row r="68" spans="1:9" ht="12.95" customHeight="1">
      <c r="A68" s="2"/>
      <c r="B68" s="2"/>
      <c r="C68" s="2"/>
      <c r="D68" s="2"/>
      <c r="E68" s="2"/>
      <c r="F68" s="2"/>
      <c r="G68" s="2"/>
      <c r="H68" s="2"/>
      <c r="I68" s="2"/>
    </row>
    <row r="69" spans="1:9" ht="12.95" customHeight="1">
      <c r="A69" s="2"/>
      <c r="B69" s="2"/>
      <c r="C69" s="2"/>
      <c r="D69" s="2"/>
      <c r="E69" s="2"/>
      <c r="F69" s="2"/>
      <c r="G69" s="2"/>
      <c r="H69" s="2"/>
      <c r="I69" s="2"/>
    </row>
    <row r="70" spans="1:9" ht="12.95" customHeight="1">
      <c r="A70" s="2344" t="s">
        <v>1432</v>
      </c>
      <c r="B70" s="2344"/>
      <c r="C70" s="2344"/>
      <c r="D70" s="2344"/>
      <c r="E70" s="2344"/>
      <c r="F70" s="2344"/>
      <c r="G70" s="2344"/>
      <c r="H70" s="2344"/>
      <c r="I70" s="2"/>
    </row>
    <row r="71" spans="1:9" ht="14.1" customHeight="1">
      <c r="A71" s="108"/>
      <c r="B71" s="191"/>
      <c r="C71" s="114"/>
      <c r="D71" s="2023" t="s">
        <v>1157</v>
      </c>
      <c r="E71" s="2025"/>
      <c r="F71" s="2031" t="s">
        <v>1009</v>
      </c>
      <c r="G71" s="2031"/>
      <c r="H71" s="2330" t="s">
        <v>1010</v>
      </c>
      <c r="I71" s="2331"/>
    </row>
    <row r="72" spans="1:9" ht="18" customHeight="1">
      <c r="A72" s="3"/>
      <c r="B72" s="232"/>
      <c r="C72" s="201" t="s">
        <v>1011</v>
      </c>
      <c r="D72" s="2328"/>
      <c r="E72" s="2329"/>
      <c r="F72" s="2031"/>
      <c r="G72" s="2031"/>
      <c r="H72" s="2330"/>
      <c r="I72" s="2331"/>
    </row>
    <row r="73" spans="1:9" ht="14.1" customHeight="1">
      <c r="A73" s="3"/>
      <c r="B73" s="232"/>
      <c r="C73" s="201" t="s">
        <v>1013</v>
      </c>
      <c r="D73" s="221" t="s">
        <v>1014</v>
      </c>
      <c r="E73" s="226" t="s">
        <v>1015</v>
      </c>
      <c r="F73" s="217" t="s">
        <v>1012</v>
      </c>
      <c r="G73" s="225" t="s">
        <v>1015</v>
      </c>
      <c r="H73" s="201" t="s">
        <v>1012</v>
      </c>
      <c r="I73" s="197" t="s">
        <v>1015</v>
      </c>
    </row>
    <row r="74" spans="1:9" ht="16.5" customHeight="1">
      <c r="A74" s="201" t="s">
        <v>1017</v>
      </c>
      <c r="B74" s="256" t="s">
        <v>1018</v>
      </c>
      <c r="C74" s="201" t="s">
        <v>1019</v>
      </c>
      <c r="D74" s="221" t="s">
        <v>1019</v>
      </c>
      <c r="E74" s="257" t="s">
        <v>1020</v>
      </c>
      <c r="F74" s="201" t="s">
        <v>1016</v>
      </c>
      <c r="G74" s="257" t="s">
        <v>1020</v>
      </c>
      <c r="H74" s="201" t="s">
        <v>1016</v>
      </c>
      <c r="I74" s="258" t="s">
        <v>1020</v>
      </c>
    </row>
    <row r="75" spans="1:9" ht="14.1" customHeight="1">
      <c r="A75" s="217"/>
      <c r="B75" s="218"/>
      <c r="C75" s="217"/>
      <c r="D75" s="217"/>
      <c r="E75" s="220"/>
      <c r="F75" s="217"/>
      <c r="G75" s="220"/>
      <c r="H75" s="217"/>
      <c r="I75" s="217"/>
    </row>
    <row r="76" spans="1:9" ht="14.1" customHeight="1">
      <c r="A76" s="228">
        <v>8471410150</v>
      </c>
      <c r="B76" s="229" t="s">
        <v>1433</v>
      </c>
      <c r="C76" s="234" t="s">
        <v>1032</v>
      </c>
      <c r="D76" s="234">
        <v>2</v>
      </c>
      <c r="E76" s="234">
        <v>7</v>
      </c>
      <c r="F76" s="234">
        <v>0</v>
      </c>
      <c r="G76" s="234">
        <v>0</v>
      </c>
      <c r="H76" s="234" t="s">
        <v>546</v>
      </c>
      <c r="I76" s="234">
        <v>7</v>
      </c>
    </row>
    <row r="77" spans="1:9" ht="14.1" customHeight="1">
      <c r="A77" s="228">
        <v>8471490000</v>
      </c>
      <c r="B77" s="229" t="s">
        <v>1434</v>
      </c>
      <c r="C77" s="234" t="s">
        <v>1032</v>
      </c>
      <c r="D77" s="234">
        <v>1</v>
      </c>
      <c r="E77" s="234">
        <v>5</v>
      </c>
      <c r="F77" s="234">
        <v>0</v>
      </c>
      <c r="G77" s="234">
        <v>0</v>
      </c>
      <c r="H77" s="234" t="s">
        <v>546</v>
      </c>
      <c r="I77" s="234">
        <v>5</v>
      </c>
    </row>
    <row r="78" spans="1:9" ht="14.1" customHeight="1">
      <c r="A78" s="228">
        <v>8471601050</v>
      </c>
      <c r="B78" s="229" t="s">
        <v>1435</v>
      </c>
      <c r="C78" s="234" t="s">
        <v>1032</v>
      </c>
      <c r="D78" s="234">
        <v>2</v>
      </c>
      <c r="E78" s="234">
        <v>3</v>
      </c>
      <c r="F78" s="234">
        <v>0</v>
      </c>
      <c r="G78" s="234">
        <v>0</v>
      </c>
      <c r="H78" s="234" t="s">
        <v>546</v>
      </c>
      <c r="I78" s="234">
        <v>3</v>
      </c>
    </row>
    <row r="79" spans="1:9" ht="14.1" customHeight="1">
      <c r="A79" s="228">
        <v>8471608000</v>
      </c>
      <c r="B79" s="229" t="s">
        <v>1330</v>
      </c>
      <c r="C79" s="234" t="s">
        <v>1032</v>
      </c>
      <c r="D79" s="234">
        <v>1</v>
      </c>
      <c r="E79" s="234">
        <v>4</v>
      </c>
      <c r="F79" s="234">
        <v>0</v>
      </c>
      <c r="G79" s="234">
        <v>0</v>
      </c>
      <c r="H79" s="234" t="s">
        <v>546</v>
      </c>
      <c r="I79" s="234">
        <v>4</v>
      </c>
    </row>
    <row r="80" spans="1:9" ht="14.1" customHeight="1">
      <c r="A80" s="228">
        <v>8471609050</v>
      </c>
      <c r="B80" s="229" t="s">
        <v>1331</v>
      </c>
      <c r="C80" s="234" t="s">
        <v>1032</v>
      </c>
      <c r="D80" s="234">
        <v>35</v>
      </c>
      <c r="E80" s="234">
        <v>5</v>
      </c>
      <c r="F80" s="234">
        <v>0</v>
      </c>
      <c r="G80" s="234">
        <v>0</v>
      </c>
      <c r="H80" s="234" t="s">
        <v>546</v>
      </c>
      <c r="I80" s="234">
        <v>5</v>
      </c>
    </row>
    <row r="81" spans="1:9" ht="14.1" customHeight="1">
      <c r="A81" s="228">
        <v>8471705065</v>
      </c>
      <c r="B81" s="229" t="s">
        <v>1436</v>
      </c>
      <c r="C81" s="234" t="s">
        <v>1032</v>
      </c>
      <c r="D81" s="234">
        <v>1</v>
      </c>
      <c r="E81" s="234">
        <v>2</v>
      </c>
      <c r="F81" s="234">
        <v>0</v>
      </c>
      <c r="G81" s="234">
        <v>0</v>
      </c>
      <c r="H81" s="234" t="s">
        <v>546</v>
      </c>
      <c r="I81" s="234">
        <v>2</v>
      </c>
    </row>
    <row r="82" spans="1:9" ht="14.1" customHeight="1">
      <c r="A82" s="228">
        <v>8471900000</v>
      </c>
      <c r="B82" s="229" t="s">
        <v>1075</v>
      </c>
      <c r="C82" s="234" t="s">
        <v>1032</v>
      </c>
      <c r="D82" s="234">
        <v>1</v>
      </c>
      <c r="E82" s="234">
        <v>3</v>
      </c>
      <c r="F82" s="234">
        <v>0</v>
      </c>
      <c r="G82" s="234">
        <v>0</v>
      </c>
      <c r="H82" s="234" t="s">
        <v>546</v>
      </c>
      <c r="I82" s="234">
        <v>3</v>
      </c>
    </row>
    <row r="83" spans="1:9" ht="14.1" customHeight="1">
      <c r="A83" s="228">
        <v>8473302000</v>
      </c>
      <c r="B83" s="229" t="s">
        <v>1437</v>
      </c>
      <c r="C83" s="234" t="s">
        <v>1032</v>
      </c>
      <c r="D83" s="234">
        <v>7</v>
      </c>
      <c r="E83" s="234">
        <v>65</v>
      </c>
      <c r="F83" s="234">
        <v>0</v>
      </c>
      <c r="G83" s="234">
        <v>0</v>
      </c>
      <c r="H83" s="234" t="s">
        <v>546</v>
      </c>
      <c r="I83" s="234">
        <v>65</v>
      </c>
    </row>
    <row r="84" spans="1:9" ht="14.1" customHeight="1">
      <c r="A84" s="228">
        <v>8473305100</v>
      </c>
      <c r="B84" s="229" t="s">
        <v>1438</v>
      </c>
      <c r="C84" s="234" t="s">
        <v>1032</v>
      </c>
      <c r="D84" s="234">
        <v>2</v>
      </c>
      <c r="E84" s="234">
        <v>3</v>
      </c>
      <c r="F84" s="234">
        <v>0</v>
      </c>
      <c r="G84" s="234">
        <v>0</v>
      </c>
      <c r="H84" s="234" t="s">
        <v>546</v>
      </c>
      <c r="I84" s="234">
        <v>3</v>
      </c>
    </row>
    <row r="85" spans="1:9" ht="14.1" customHeight="1">
      <c r="A85" s="228">
        <v>8473506000</v>
      </c>
      <c r="B85" s="229" t="s">
        <v>1439</v>
      </c>
      <c r="C85" s="234" t="s">
        <v>1023</v>
      </c>
      <c r="D85" s="234">
        <v>6</v>
      </c>
      <c r="E85" s="234">
        <v>10</v>
      </c>
      <c r="F85" s="234">
        <v>0</v>
      </c>
      <c r="G85" s="234">
        <v>0</v>
      </c>
      <c r="H85" s="234" t="s">
        <v>546</v>
      </c>
      <c r="I85" s="234">
        <v>10</v>
      </c>
    </row>
    <row r="86" spans="1:9" ht="14.1" customHeight="1">
      <c r="A86" s="228">
        <v>8477908595</v>
      </c>
      <c r="B86" s="229" t="s">
        <v>1333</v>
      </c>
      <c r="C86" s="234" t="s">
        <v>1032</v>
      </c>
      <c r="D86" s="234">
        <v>4</v>
      </c>
      <c r="E86" s="234">
        <v>3</v>
      </c>
      <c r="F86" s="234">
        <v>0</v>
      </c>
      <c r="G86" s="234">
        <v>0</v>
      </c>
      <c r="H86" s="234" t="s">
        <v>546</v>
      </c>
      <c r="I86" s="234">
        <v>3</v>
      </c>
    </row>
    <row r="87" spans="1:9" ht="14.1" customHeight="1">
      <c r="A87" s="228">
        <v>8479909496</v>
      </c>
      <c r="B87" s="229" t="s">
        <v>1078</v>
      </c>
      <c r="C87" s="234" t="s">
        <v>1032</v>
      </c>
      <c r="D87" s="234">
        <v>4</v>
      </c>
      <c r="E87" s="234">
        <v>7</v>
      </c>
      <c r="F87" s="234">
        <v>0</v>
      </c>
      <c r="G87" s="234">
        <v>0</v>
      </c>
      <c r="H87" s="234" t="s">
        <v>546</v>
      </c>
      <c r="I87" s="234">
        <v>7</v>
      </c>
    </row>
    <row r="88" spans="1:9" ht="14.1" customHeight="1">
      <c r="A88" s="228">
        <v>8481909085</v>
      </c>
      <c r="B88" s="229" t="s">
        <v>1440</v>
      </c>
      <c r="C88" s="234" t="s">
        <v>1023</v>
      </c>
      <c r="D88" s="234">
        <v>204</v>
      </c>
      <c r="E88" s="234">
        <v>28</v>
      </c>
      <c r="F88" s="234">
        <v>0</v>
      </c>
      <c r="G88" s="234">
        <v>0</v>
      </c>
      <c r="H88" s="234" t="s">
        <v>546</v>
      </c>
      <c r="I88" s="234">
        <v>28</v>
      </c>
    </row>
    <row r="89" spans="1:9" ht="14.1" customHeight="1">
      <c r="A89" s="228">
        <v>8483103050</v>
      </c>
      <c r="B89" s="229" t="s">
        <v>1223</v>
      </c>
      <c r="C89" s="234" t="s">
        <v>1032</v>
      </c>
      <c r="D89" s="234">
        <v>3</v>
      </c>
      <c r="E89" s="234">
        <v>3</v>
      </c>
      <c r="F89" s="234" t="s">
        <v>546</v>
      </c>
      <c r="G89" s="234">
        <v>3</v>
      </c>
      <c r="H89" s="234">
        <v>0</v>
      </c>
      <c r="I89" s="234">
        <v>0</v>
      </c>
    </row>
    <row r="90" spans="1:9" ht="14.1" customHeight="1">
      <c r="A90" s="228">
        <v>8483908080</v>
      </c>
      <c r="B90" s="229" t="s">
        <v>1441</v>
      </c>
      <c r="C90" s="234" t="s">
        <v>1023</v>
      </c>
      <c r="D90" s="234">
        <v>321</v>
      </c>
      <c r="E90" s="234">
        <v>54</v>
      </c>
      <c r="F90" s="234" t="s">
        <v>546</v>
      </c>
      <c r="G90" s="234">
        <v>4</v>
      </c>
      <c r="H90" s="234" t="s">
        <v>546</v>
      </c>
      <c r="I90" s="234">
        <v>50</v>
      </c>
    </row>
    <row r="91" spans="1:9" ht="14.1" customHeight="1">
      <c r="A91" s="228">
        <v>8501610090</v>
      </c>
      <c r="B91" s="229" t="s">
        <v>1442</v>
      </c>
      <c r="C91" s="234" t="s">
        <v>1032</v>
      </c>
      <c r="D91" s="234">
        <v>1</v>
      </c>
      <c r="E91" s="234">
        <v>132</v>
      </c>
      <c r="F91" s="234">
        <v>0</v>
      </c>
      <c r="G91" s="234">
        <v>0</v>
      </c>
      <c r="H91" s="234" t="s">
        <v>546</v>
      </c>
      <c r="I91" s="234">
        <v>132</v>
      </c>
    </row>
    <row r="92" spans="1:9" ht="14.1" customHeight="1">
      <c r="A92" s="228">
        <v>8501620000</v>
      </c>
      <c r="B92" s="229" t="s">
        <v>1443</v>
      </c>
      <c r="C92" s="234" t="s">
        <v>1032</v>
      </c>
      <c r="D92" s="234">
        <v>1</v>
      </c>
      <c r="E92" s="234">
        <v>3</v>
      </c>
      <c r="F92" s="234">
        <v>0</v>
      </c>
      <c r="G92" s="234">
        <v>0</v>
      </c>
      <c r="H92" s="234" t="s">
        <v>546</v>
      </c>
      <c r="I92" s="234">
        <v>3</v>
      </c>
    </row>
    <row r="93" spans="1:9" ht="14.1" customHeight="1">
      <c r="A93" s="228">
        <v>8501630000</v>
      </c>
      <c r="B93" s="229" t="s">
        <v>1444</v>
      </c>
      <c r="C93" s="234" t="s">
        <v>1032</v>
      </c>
      <c r="D93" s="234">
        <v>1</v>
      </c>
      <c r="E93" s="234">
        <v>6</v>
      </c>
      <c r="F93" s="234">
        <v>0</v>
      </c>
      <c r="G93" s="234">
        <v>0</v>
      </c>
      <c r="H93" s="234" t="s">
        <v>546</v>
      </c>
      <c r="I93" s="234">
        <v>6</v>
      </c>
    </row>
    <row r="94" spans="1:9" ht="14.1" customHeight="1">
      <c r="A94" s="228">
        <v>8502390080</v>
      </c>
      <c r="B94" s="229" t="s">
        <v>1445</v>
      </c>
      <c r="C94" s="234" t="s">
        <v>1032</v>
      </c>
      <c r="D94" s="234">
        <v>2</v>
      </c>
      <c r="E94" s="234">
        <v>9</v>
      </c>
      <c r="F94" s="234">
        <v>0</v>
      </c>
      <c r="G94" s="234">
        <v>0</v>
      </c>
      <c r="H94" s="234" t="s">
        <v>546</v>
      </c>
      <c r="I94" s="234">
        <v>9</v>
      </c>
    </row>
    <row r="95" spans="1:9" ht="14.1" customHeight="1">
      <c r="A95" s="228">
        <v>8504100000</v>
      </c>
      <c r="B95" s="229" t="s">
        <v>1446</v>
      </c>
      <c r="C95" s="234" t="s">
        <v>1032</v>
      </c>
      <c r="D95" s="234">
        <v>1</v>
      </c>
      <c r="E95" s="234">
        <v>8</v>
      </c>
      <c r="F95" s="234">
        <v>0</v>
      </c>
      <c r="G95" s="234">
        <v>0</v>
      </c>
      <c r="H95" s="234" t="s">
        <v>546</v>
      </c>
      <c r="I95" s="234">
        <v>8</v>
      </c>
    </row>
    <row r="96" spans="1:9" ht="14.1" customHeight="1">
      <c r="A96" s="228">
        <v>8507308010</v>
      </c>
      <c r="B96" s="229" t="s">
        <v>1447</v>
      </c>
      <c r="C96" s="234" t="s">
        <v>1032</v>
      </c>
      <c r="D96" s="234">
        <v>6</v>
      </c>
      <c r="E96" s="234">
        <v>120</v>
      </c>
      <c r="F96" s="234">
        <v>0</v>
      </c>
      <c r="G96" s="234">
        <v>0</v>
      </c>
      <c r="H96" s="234" t="s">
        <v>546</v>
      </c>
      <c r="I96" s="234">
        <v>120</v>
      </c>
    </row>
    <row r="97" spans="1:9" ht="14.1" customHeight="1">
      <c r="A97" s="228">
        <v>8507600020</v>
      </c>
      <c r="B97" s="229" t="s">
        <v>1448</v>
      </c>
      <c r="C97" s="234" t="s">
        <v>1032</v>
      </c>
      <c r="D97" s="234">
        <v>7</v>
      </c>
      <c r="E97" s="234">
        <v>71</v>
      </c>
      <c r="F97" s="234">
        <v>0</v>
      </c>
      <c r="G97" s="234">
        <v>0</v>
      </c>
      <c r="H97" s="234" t="s">
        <v>546</v>
      </c>
      <c r="I97" s="234">
        <v>71</v>
      </c>
    </row>
    <row r="98" spans="1:9" ht="14.1" customHeight="1">
      <c r="A98" s="228">
        <v>8511400000</v>
      </c>
      <c r="B98" s="229" t="s">
        <v>1226</v>
      </c>
      <c r="C98" s="234" t="s">
        <v>1032</v>
      </c>
      <c r="D98" s="234">
        <v>22</v>
      </c>
      <c r="E98" s="234">
        <v>8</v>
      </c>
      <c r="F98" s="234" t="s">
        <v>546</v>
      </c>
      <c r="G98" s="234">
        <v>8</v>
      </c>
      <c r="H98" s="234">
        <v>0</v>
      </c>
      <c r="I98" s="234">
        <v>0</v>
      </c>
    </row>
    <row r="99" spans="1:9" ht="14.1" customHeight="1">
      <c r="A99" s="228">
        <v>8511500000</v>
      </c>
      <c r="B99" s="229" t="s">
        <v>1227</v>
      </c>
      <c r="C99" s="234" t="s">
        <v>1032</v>
      </c>
      <c r="D99" s="234">
        <v>7</v>
      </c>
      <c r="E99" s="234">
        <v>2</v>
      </c>
      <c r="F99" s="234" t="s">
        <v>546</v>
      </c>
      <c r="G99" s="234">
        <v>2</v>
      </c>
      <c r="H99" s="234">
        <v>0</v>
      </c>
      <c r="I99" s="234">
        <v>0</v>
      </c>
    </row>
    <row r="100" spans="1:9" ht="14.1" customHeight="1">
      <c r="A100" s="228">
        <v>8517120050</v>
      </c>
      <c r="B100" s="229" t="s">
        <v>1449</v>
      </c>
      <c r="C100" s="234" t="s">
        <v>1032</v>
      </c>
      <c r="D100" s="234">
        <v>8</v>
      </c>
      <c r="E100" s="234">
        <v>13</v>
      </c>
      <c r="F100" s="234">
        <v>0</v>
      </c>
      <c r="G100" s="234">
        <v>0</v>
      </c>
      <c r="H100" s="234" t="s">
        <v>546</v>
      </c>
      <c r="I100" s="234">
        <v>13</v>
      </c>
    </row>
    <row r="101" spans="1:9" ht="14.1" customHeight="1">
      <c r="A101" s="228">
        <v>8517120080</v>
      </c>
      <c r="B101" s="229" t="s">
        <v>1088</v>
      </c>
      <c r="C101" s="234" t="s">
        <v>1032</v>
      </c>
      <c r="D101" s="234">
        <v>1</v>
      </c>
      <c r="E101" s="234">
        <v>2</v>
      </c>
      <c r="F101" s="234">
        <v>0</v>
      </c>
      <c r="G101" s="234">
        <v>0</v>
      </c>
      <c r="H101" s="234" t="s">
        <v>546</v>
      </c>
      <c r="I101" s="234">
        <v>2</v>
      </c>
    </row>
    <row r="102" spans="1:9" ht="14.1" customHeight="1">
      <c r="A102" s="228">
        <v>8517620010</v>
      </c>
      <c r="B102" s="229" t="s">
        <v>1450</v>
      </c>
      <c r="C102" s="234" t="s">
        <v>1032</v>
      </c>
      <c r="D102" s="234">
        <v>6</v>
      </c>
      <c r="E102" s="234">
        <v>3</v>
      </c>
      <c r="F102" s="234">
        <v>0</v>
      </c>
      <c r="G102" s="234">
        <v>0</v>
      </c>
      <c r="H102" s="234" t="s">
        <v>546</v>
      </c>
      <c r="I102" s="234">
        <v>3</v>
      </c>
    </row>
    <row r="103" spans="1:9" ht="14.1" customHeight="1">
      <c r="A103" s="228">
        <v>8517620020</v>
      </c>
      <c r="B103" s="229" t="s">
        <v>1337</v>
      </c>
      <c r="C103" s="234" t="s">
        <v>1032</v>
      </c>
      <c r="D103" s="234">
        <v>9</v>
      </c>
      <c r="E103" s="234">
        <v>15</v>
      </c>
      <c r="F103" s="234">
        <v>0</v>
      </c>
      <c r="G103" s="234">
        <v>0</v>
      </c>
      <c r="H103" s="234" t="s">
        <v>546</v>
      </c>
      <c r="I103" s="234">
        <v>15</v>
      </c>
    </row>
    <row r="104" spans="1:9" ht="14.1" customHeight="1">
      <c r="A104" s="228">
        <v>8517620090</v>
      </c>
      <c r="B104" s="229" t="s">
        <v>1089</v>
      </c>
      <c r="C104" s="234" t="s">
        <v>1023</v>
      </c>
      <c r="D104" s="234">
        <v>158</v>
      </c>
      <c r="E104" s="234">
        <v>37</v>
      </c>
      <c r="F104" s="234">
        <v>0</v>
      </c>
      <c r="G104" s="234">
        <v>0</v>
      </c>
      <c r="H104" s="234" t="s">
        <v>546</v>
      </c>
      <c r="I104" s="234">
        <v>37</v>
      </c>
    </row>
    <row r="105" spans="1:9" ht="14.1" customHeight="1">
      <c r="A105" s="228">
        <v>8517690000</v>
      </c>
      <c r="B105" s="229" t="s">
        <v>1451</v>
      </c>
      <c r="C105" s="234" t="s">
        <v>1032</v>
      </c>
      <c r="D105" s="234">
        <v>2</v>
      </c>
      <c r="E105" s="234">
        <v>3</v>
      </c>
      <c r="F105" s="234">
        <v>0</v>
      </c>
      <c r="G105" s="234">
        <v>0</v>
      </c>
      <c r="H105" s="234" t="s">
        <v>546</v>
      </c>
      <c r="I105" s="234">
        <v>3</v>
      </c>
    </row>
    <row r="106" spans="1:9" ht="14.1" customHeight="1">
      <c r="A106" s="228">
        <v>8518302000</v>
      </c>
      <c r="B106" s="229" t="s">
        <v>1452</v>
      </c>
      <c r="C106" s="234" t="s">
        <v>1032</v>
      </c>
      <c r="D106" s="234">
        <v>3</v>
      </c>
      <c r="E106" s="234">
        <v>15</v>
      </c>
      <c r="F106" s="234">
        <v>0</v>
      </c>
      <c r="G106" s="234">
        <v>0</v>
      </c>
      <c r="H106" s="234">
        <v>2</v>
      </c>
      <c r="I106" s="234">
        <v>15</v>
      </c>
    </row>
    <row r="107" spans="1:9" ht="14.1" customHeight="1">
      <c r="A107" s="228">
        <v>8523495000</v>
      </c>
      <c r="B107" s="229" t="s">
        <v>1453</v>
      </c>
      <c r="C107" s="234" t="s">
        <v>1032</v>
      </c>
      <c r="D107" s="234">
        <v>2</v>
      </c>
      <c r="E107" s="234">
        <v>3</v>
      </c>
      <c r="F107" s="234">
        <v>0</v>
      </c>
      <c r="G107" s="234">
        <v>0</v>
      </c>
      <c r="H107" s="234" t="s">
        <v>546</v>
      </c>
      <c r="I107" s="234">
        <v>3</v>
      </c>
    </row>
    <row r="108" spans="1:9" ht="14.1" customHeight="1">
      <c r="A108" s="228">
        <v>8525602000</v>
      </c>
      <c r="B108" s="229" t="s">
        <v>1454</v>
      </c>
      <c r="C108" s="234" t="s">
        <v>1032</v>
      </c>
      <c r="D108" s="234">
        <v>2</v>
      </c>
      <c r="E108" s="234">
        <v>9</v>
      </c>
      <c r="F108" s="234">
        <v>0</v>
      </c>
      <c r="G108" s="234">
        <v>0</v>
      </c>
      <c r="H108" s="234" t="s">
        <v>546</v>
      </c>
      <c r="I108" s="234">
        <v>9</v>
      </c>
    </row>
    <row r="109" spans="1:9" ht="14.1" customHeight="1">
      <c r="A109" s="228">
        <v>8525805050</v>
      </c>
      <c r="B109" s="229" t="s">
        <v>1455</v>
      </c>
      <c r="C109" s="234" t="s">
        <v>1032</v>
      </c>
      <c r="D109" s="234">
        <v>3</v>
      </c>
      <c r="E109" s="234">
        <v>24</v>
      </c>
      <c r="F109" s="234">
        <v>0</v>
      </c>
      <c r="G109" s="234">
        <v>0</v>
      </c>
      <c r="H109" s="234" t="s">
        <v>546</v>
      </c>
      <c r="I109" s="234">
        <v>24</v>
      </c>
    </row>
    <row r="110" spans="1:9" ht="14.1" customHeight="1">
      <c r="A110" s="228">
        <v>8526910040</v>
      </c>
      <c r="B110" s="229" t="s">
        <v>1340</v>
      </c>
      <c r="C110" s="234" t="s">
        <v>1032</v>
      </c>
      <c r="D110" s="234">
        <v>10</v>
      </c>
      <c r="E110" s="234">
        <v>17</v>
      </c>
      <c r="F110" s="234">
        <v>0</v>
      </c>
      <c r="G110" s="234">
        <v>0</v>
      </c>
      <c r="H110" s="234" t="s">
        <v>546</v>
      </c>
      <c r="I110" s="234">
        <v>17</v>
      </c>
    </row>
    <row r="111" spans="1:9" ht="14.1" customHeight="1">
      <c r="A111" s="228">
        <v>8528595000</v>
      </c>
      <c r="B111" s="229" t="s">
        <v>1456</v>
      </c>
      <c r="C111" s="234" t="s">
        <v>1032</v>
      </c>
      <c r="D111" s="234">
        <v>2</v>
      </c>
      <c r="E111" s="234">
        <v>3</v>
      </c>
      <c r="F111" s="234">
        <v>0</v>
      </c>
      <c r="G111" s="234">
        <v>0</v>
      </c>
      <c r="H111" s="234" t="s">
        <v>546</v>
      </c>
      <c r="I111" s="234">
        <v>3</v>
      </c>
    </row>
    <row r="112" spans="1:9" ht="14.1" customHeight="1">
      <c r="A112" s="228">
        <v>8529104040</v>
      </c>
      <c r="B112" s="229" t="s">
        <v>1457</v>
      </c>
      <c r="C112" s="234" t="s">
        <v>1032</v>
      </c>
      <c r="D112" s="234">
        <v>2</v>
      </c>
      <c r="E112" s="234">
        <v>6</v>
      </c>
      <c r="F112" s="234">
        <v>0</v>
      </c>
      <c r="G112" s="234">
        <v>0</v>
      </c>
      <c r="H112" s="234" t="s">
        <v>546</v>
      </c>
      <c r="I112" s="234">
        <v>6</v>
      </c>
    </row>
    <row r="113" spans="1:9" ht="14.1" customHeight="1">
      <c r="A113" s="228">
        <v>8529109100</v>
      </c>
      <c r="B113" s="229" t="s">
        <v>1458</v>
      </c>
      <c r="C113" s="234" t="s">
        <v>1032</v>
      </c>
      <c r="D113" s="234">
        <v>1</v>
      </c>
      <c r="E113" s="234">
        <v>4</v>
      </c>
      <c r="F113" s="234">
        <v>0</v>
      </c>
      <c r="G113" s="234">
        <v>0</v>
      </c>
      <c r="H113" s="234" t="s">
        <v>546</v>
      </c>
      <c r="I113" s="234">
        <v>4</v>
      </c>
    </row>
    <row r="114" spans="1:9" ht="14.1" customHeight="1">
      <c r="A114" s="228">
        <v>8531200020</v>
      </c>
      <c r="B114" s="229" t="s">
        <v>1459</v>
      </c>
      <c r="C114" s="234" t="s">
        <v>1032</v>
      </c>
      <c r="D114" s="234">
        <v>5</v>
      </c>
      <c r="E114" s="234">
        <v>12</v>
      </c>
      <c r="F114" s="234">
        <v>0</v>
      </c>
      <c r="G114" s="234">
        <v>0</v>
      </c>
      <c r="H114" s="234">
        <v>0</v>
      </c>
      <c r="I114" s="234">
        <v>0</v>
      </c>
    </row>
    <row r="115" spans="1:9" ht="14.1" customHeight="1">
      <c r="A115" s="228">
        <v>8537109160</v>
      </c>
      <c r="B115" s="229" t="s">
        <v>1460</v>
      </c>
      <c r="C115" s="234" t="s">
        <v>1032</v>
      </c>
      <c r="D115" s="234">
        <v>5</v>
      </c>
      <c r="E115" s="234">
        <v>2</v>
      </c>
      <c r="F115" s="234" t="s">
        <v>546</v>
      </c>
      <c r="G115" s="234">
        <v>2</v>
      </c>
      <c r="H115" s="234">
        <v>0</v>
      </c>
      <c r="I115" s="234">
        <v>0</v>
      </c>
    </row>
    <row r="116" spans="1:9" ht="14.1" customHeight="1">
      <c r="A116" s="228">
        <v>8543704500</v>
      </c>
      <c r="B116" s="229" t="s">
        <v>1461</v>
      </c>
      <c r="C116" s="234" t="s">
        <v>1032</v>
      </c>
      <c r="D116" s="234">
        <v>1</v>
      </c>
      <c r="E116" s="234">
        <v>3</v>
      </c>
      <c r="F116" s="234">
        <v>0</v>
      </c>
      <c r="G116" s="234">
        <v>0</v>
      </c>
      <c r="H116" s="234" t="s">
        <v>546</v>
      </c>
      <c r="I116" s="234">
        <v>3</v>
      </c>
    </row>
    <row r="117" spans="1:9" ht="14.1" customHeight="1">
      <c r="A117" s="228">
        <v>8543709960</v>
      </c>
      <c r="B117" s="229" t="s">
        <v>1099</v>
      </c>
      <c r="C117" s="234" t="s">
        <v>1032</v>
      </c>
      <c r="D117" s="234">
        <v>12</v>
      </c>
      <c r="E117" s="234">
        <v>9</v>
      </c>
      <c r="F117" s="234" t="s">
        <v>546</v>
      </c>
      <c r="G117" s="234">
        <v>3</v>
      </c>
      <c r="H117" s="234" t="s">
        <v>546</v>
      </c>
      <c r="I117" s="234">
        <v>5</v>
      </c>
    </row>
    <row r="118" spans="1:9" ht="14.1" customHeight="1">
      <c r="A118" s="228">
        <v>8548100540</v>
      </c>
      <c r="B118" s="229" t="s">
        <v>1101</v>
      </c>
      <c r="C118" s="234" t="s">
        <v>1032</v>
      </c>
      <c r="D118" s="233">
        <v>90074</v>
      </c>
      <c r="E118" s="234">
        <v>365</v>
      </c>
      <c r="F118" s="234">
        <v>639</v>
      </c>
      <c r="G118" s="234">
        <v>365</v>
      </c>
      <c r="H118" s="234">
        <v>0</v>
      </c>
      <c r="I118" s="234">
        <v>0</v>
      </c>
    </row>
    <row r="119" spans="1:9" ht="14.1" customHeight="1">
      <c r="A119" s="228">
        <v>8703210130</v>
      </c>
      <c r="B119" s="229" t="s">
        <v>1462</v>
      </c>
      <c r="C119" s="234" t="s">
        <v>1032</v>
      </c>
      <c r="D119" s="234">
        <v>1</v>
      </c>
      <c r="E119" s="234">
        <v>4</v>
      </c>
      <c r="F119" s="234">
        <v>2</v>
      </c>
      <c r="G119" s="234">
        <v>4</v>
      </c>
      <c r="H119" s="234">
        <v>0</v>
      </c>
      <c r="I119" s="234">
        <v>0</v>
      </c>
    </row>
    <row r="120" spans="1:9" ht="14.1" customHeight="1">
      <c r="A120" s="228">
        <v>8703210150</v>
      </c>
      <c r="B120" s="229" t="s">
        <v>1463</v>
      </c>
      <c r="C120" s="234" t="s">
        <v>1032</v>
      </c>
      <c r="D120" s="234">
        <v>4</v>
      </c>
      <c r="E120" s="234">
        <v>45</v>
      </c>
      <c r="F120" s="234">
        <v>4</v>
      </c>
      <c r="G120" s="234">
        <v>45</v>
      </c>
      <c r="H120" s="234">
        <v>0</v>
      </c>
      <c r="I120" s="234">
        <v>0</v>
      </c>
    </row>
    <row r="121" spans="1:9" ht="14.1" customHeight="1">
      <c r="A121" s="228">
        <v>8703230190</v>
      </c>
      <c r="B121" s="229" t="s">
        <v>1464</v>
      </c>
      <c r="C121" s="234" t="s">
        <v>1032</v>
      </c>
      <c r="D121" s="234">
        <v>8</v>
      </c>
      <c r="E121" s="234">
        <v>197</v>
      </c>
      <c r="F121" s="234">
        <v>13</v>
      </c>
      <c r="G121" s="234">
        <v>197</v>
      </c>
      <c r="H121" s="234">
        <v>0</v>
      </c>
      <c r="I121" s="234">
        <v>0</v>
      </c>
    </row>
    <row r="122" spans="1:9" ht="14.1" customHeight="1">
      <c r="A122" s="228">
        <v>8703240190</v>
      </c>
      <c r="B122" s="229" t="s">
        <v>1241</v>
      </c>
      <c r="C122" s="234" t="s">
        <v>1032</v>
      </c>
      <c r="D122" s="234">
        <v>7</v>
      </c>
      <c r="E122" s="234">
        <v>186</v>
      </c>
      <c r="F122" s="234">
        <v>14</v>
      </c>
      <c r="G122" s="234">
        <v>186</v>
      </c>
      <c r="H122" s="234">
        <v>0</v>
      </c>
      <c r="I122" s="234">
        <v>0</v>
      </c>
    </row>
    <row r="123" spans="1:9" ht="14.1" customHeight="1">
      <c r="A123" s="228">
        <v>8703400045</v>
      </c>
      <c r="B123" s="229" t="s">
        <v>1242</v>
      </c>
      <c r="C123" s="234" t="s">
        <v>1032</v>
      </c>
      <c r="D123" s="234">
        <v>2</v>
      </c>
      <c r="E123" s="234">
        <v>40</v>
      </c>
      <c r="F123" s="234">
        <v>3</v>
      </c>
      <c r="G123" s="234">
        <v>40</v>
      </c>
      <c r="H123" s="234">
        <v>0</v>
      </c>
      <c r="I123" s="234">
        <v>0</v>
      </c>
    </row>
    <row r="124" spans="1:9" ht="14.1" customHeight="1">
      <c r="A124" s="228">
        <v>8704310020</v>
      </c>
      <c r="B124" s="229" t="s">
        <v>1465</v>
      </c>
      <c r="C124" s="234" t="s">
        <v>1032</v>
      </c>
      <c r="D124" s="234">
        <v>5</v>
      </c>
      <c r="E124" s="234">
        <v>89</v>
      </c>
      <c r="F124" s="234">
        <v>10</v>
      </c>
      <c r="G124" s="234">
        <v>89</v>
      </c>
      <c r="H124" s="234">
        <v>0</v>
      </c>
      <c r="I124" s="234">
        <v>0</v>
      </c>
    </row>
    <row r="125" spans="1:9" ht="14.1" customHeight="1">
      <c r="A125" s="228">
        <v>8704310040</v>
      </c>
      <c r="B125" s="229" t="s">
        <v>1466</v>
      </c>
      <c r="C125" s="234" t="s">
        <v>1032</v>
      </c>
      <c r="D125" s="234">
        <v>2</v>
      </c>
      <c r="E125" s="234">
        <v>58</v>
      </c>
      <c r="F125" s="234">
        <v>5</v>
      </c>
      <c r="G125" s="234">
        <v>58</v>
      </c>
      <c r="H125" s="234">
        <v>0</v>
      </c>
      <c r="I125" s="234">
        <v>0</v>
      </c>
    </row>
    <row r="126" spans="1:9" ht="14.1" customHeight="1">
      <c r="A126" s="228">
        <v>8905905000</v>
      </c>
      <c r="B126" s="229" t="s">
        <v>1467</v>
      </c>
      <c r="C126" s="234" t="s">
        <v>1032</v>
      </c>
      <c r="D126" s="234">
        <v>1</v>
      </c>
      <c r="E126" s="234">
        <v>4</v>
      </c>
      <c r="F126" s="234">
        <v>0</v>
      </c>
      <c r="G126" s="234">
        <v>0</v>
      </c>
      <c r="H126" s="234" t="s">
        <v>546</v>
      </c>
      <c r="I126" s="234">
        <v>4</v>
      </c>
    </row>
    <row r="127" spans="1:9" ht="14.1" customHeight="1">
      <c r="A127" s="228">
        <v>9002909500</v>
      </c>
      <c r="B127" s="229" t="s">
        <v>1468</v>
      </c>
      <c r="C127" s="234" t="s">
        <v>1032</v>
      </c>
      <c r="D127" s="234">
        <v>43</v>
      </c>
      <c r="E127" s="234">
        <v>11</v>
      </c>
      <c r="F127" s="234">
        <v>0</v>
      </c>
      <c r="G127" s="234">
        <v>0</v>
      </c>
      <c r="H127" s="234" t="s">
        <v>546</v>
      </c>
      <c r="I127" s="234">
        <v>11</v>
      </c>
    </row>
    <row r="128" spans="1:9" ht="14.1" customHeight="1">
      <c r="A128" s="228">
        <v>9004100000</v>
      </c>
      <c r="B128" s="229" t="s">
        <v>1469</v>
      </c>
      <c r="C128" s="234" t="s">
        <v>1044</v>
      </c>
      <c r="D128" s="234">
        <v>1</v>
      </c>
      <c r="E128" s="234">
        <v>8</v>
      </c>
      <c r="F128" s="234">
        <v>0</v>
      </c>
      <c r="G128" s="234">
        <v>0</v>
      </c>
      <c r="H128" s="234" t="s">
        <v>546</v>
      </c>
      <c r="I128" s="234">
        <v>8</v>
      </c>
    </row>
    <row r="129" spans="1:9" ht="14.1" customHeight="1">
      <c r="A129" s="228">
        <v>9015204000</v>
      </c>
      <c r="B129" s="229" t="s">
        <v>1470</v>
      </c>
      <c r="C129" s="234" t="s">
        <v>1032</v>
      </c>
      <c r="D129" s="234">
        <v>2</v>
      </c>
      <c r="E129" s="234">
        <v>3</v>
      </c>
      <c r="F129" s="234">
        <v>0</v>
      </c>
      <c r="G129" s="234">
        <v>0</v>
      </c>
      <c r="H129" s="234" t="s">
        <v>546</v>
      </c>
      <c r="I129" s="234">
        <v>3</v>
      </c>
    </row>
    <row r="130" spans="1:9" ht="14.1" customHeight="1">
      <c r="A130" s="228">
        <v>9015806000</v>
      </c>
      <c r="B130" s="229" t="s">
        <v>1471</v>
      </c>
      <c r="C130" s="234" t="s">
        <v>1032</v>
      </c>
      <c r="D130" s="234">
        <v>1</v>
      </c>
      <c r="E130" s="234">
        <v>10</v>
      </c>
      <c r="F130" s="234">
        <v>0</v>
      </c>
      <c r="G130" s="234">
        <v>0</v>
      </c>
      <c r="H130" s="234" t="s">
        <v>546</v>
      </c>
      <c r="I130" s="234">
        <v>10</v>
      </c>
    </row>
    <row r="131" spans="1:9" ht="15" customHeight="1">
      <c r="A131" s="231">
        <v>9015808040</v>
      </c>
      <c r="B131" s="235" t="s">
        <v>1248</v>
      </c>
      <c r="C131" s="236" t="s">
        <v>1032</v>
      </c>
      <c r="D131" s="236">
        <v>38</v>
      </c>
      <c r="E131" s="236">
        <v>25</v>
      </c>
      <c r="F131" s="236">
        <v>0</v>
      </c>
      <c r="G131" s="236">
        <v>0</v>
      </c>
      <c r="H131" s="236" t="s">
        <v>546</v>
      </c>
      <c r="I131" s="236">
        <v>25</v>
      </c>
    </row>
    <row r="132" spans="1:9" ht="15.75" customHeight="1">
      <c r="A132" s="2344"/>
      <c r="B132" s="2344"/>
      <c r="C132" s="2344"/>
      <c r="D132" s="2344"/>
      <c r="E132" s="2344"/>
      <c r="F132" s="2344"/>
      <c r="G132" s="2344"/>
      <c r="H132" s="2"/>
      <c r="I132" s="2"/>
    </row>
    <row r="133" spans="1:9" ht="13.5" customHeight="1">
      <c r="A133" s="2"/>
      <c r="B133" s="2"/>
      <c r="C133" s="2"/>
      <c r="D133" s="2"/>
      <c r="E133" s="2"/>
      <c r="F133" s="2"/>
      <c r="G133" s="2"/>
      <c r="H133" s="2"/>
      <c r="I133" s="2"/>
    </row>
    <row r="134" spans="1:9" ht="20.25" customHeight="1">
      <c r="A134" s="2346" t="s">
        <v>1472</v>
      </c>
      <c r="B134" s="2346"/>
      <c r="C134" s="2346"/>
      <c r="D134" s="2346"/>
      <c r="E134" s="2346"/>
      <c r="F134" s="2346"/>
      <c r="G134" s="2346"/>
      <c r="H134" s="2346"/>
      <c r="I134" s="2"/>
    </row>
    <row r="135" spans="1:9" ht="17.25" customHeight="1">
      <c r="A135" s="108"/>
      <c r="B135" s="191"/>
      <c r="C135" s="114"/>
      <c r="D135" s="2338" t="s">
        <v>1157</v>
      </c>
      <c r="E135" s="2339"/>
      <c r="F135" s="2031" t="s">
        <v>1009</v>
      </c>
      <c r="G135" s="2031"/>
      <c r="H135" s="2330" t="s">
        <v>1010</v>
      </c>
      <c r="I135" s="2331"/>
    </row>
    <row r="136" spans="1:9" ht="12.95" customHeight="1">
      <c r="A136" s="3"/>
      <c r="B136" s="232"/>
      <c r="C136" s="201" t="s">
        <v>1011</v>
      </c>
      <c r="D136" s="2340"/>
      <c r="E136" s="2341"/>
      <c r="F136" s="2031"/>
      <c r="G136" s="2031"/>
      <c r="H136" s="2330"/>
      <c r="I136" s="2331"/>
    </row>
    <row r="137" spans="1:9" ht="12.75" customHeight="1">
      <c r="A137" s="3"/>
      <c r="B137" s="232"/>
      <c r="C137" s="201" t="s">
        <v>1013</v>
      </c>
      <c r="D137" s="221" t="s">
        <v>1014</v>
      </c>
      <c r="E137" s="226" t="s">
        <v>1015</v>
      </c>
      <c r="F137" s="217" t="s">
        <v>1012</v>
      </c>
      <c r="G137" s="225" t="s">
        <v>1015</v>
      </c>
      <c r="H137" s="201" t="s">
        <v>1012</v>
      </c>
      <c r="I137" s="197" t="s">
        <v>1015</v>
      </c>
    </row>
    <row r="138" spans="1:9" ht="15" customHeight="1">
      <c r="A138" s="201" t="s">
        <v>1017</v>
      </c>
      <c r="B138" s="256" t="s">
        <v>1018</v>
      </c>
      <c r="C138" s="201" t="s">
        <v>1019</v>
      </c>
      <c r="D138" s="221" t="s">
        <v>1019</v>
      </c>
      <c r="E138" s="257" t="s">
        <v>1020</v>
      </c>
      <c r="F138" s="201" t="s">
        <v>1016</v>
      </c>
      <c r="G138" s="257" t="s">
        <v>1020</v>
      </c>
      <c r="H138" s="201" t="s">
        <v>1016</v>
      </c>
      <c r="I138" s="258" t="s">
        <v>1020</v>
      </c>
    </row>
    <row r="139" spans="1:9" ht="19.5" customHeight="1">
      <c r="A139" s="217"/>
      <c r="B139" s="218"/>
      <c r="C139" s="217"/>
      <c r="D139" s="217"/>
      <c r="E139" s="220"/>
      <c r="F139" s="217"/>
      <c r="G139" s="220"/>
      <c r="H139" s="217"/>
      <c r="I139" s="217"/>
    </row>
    <row r="140" spans="1:9" ht="15.75" customHeight="1">
      <c r="A140" s="228">
        <v>9015808080</v>
      </c>
      <c r="B140" s="229" t="s">
        <v>1473</v>
      </c>
      <c r="C140" s="234" t="s">
        <v>1023</v>
      </c>
      <c r="D140" s="234">
        <v>22</v>
      </c>
      <c r="E140" s="234">
        <v>6</v>
      </c>
      <c r="F140" s="234">
        <v>0</v>
      </c>
      <c r="G140" s="234">
        <v>0</v>
      </c>
      <c r="H140" s="234" t="s">
        <v>546</v>
      </c>
      <c r="I140" s="234">
        <v>6</v>
      </c>
    </row>
    <row r="141" spans="1:9" ht="14.25" customHeight="1">
      <c r="A141" s="228">
        <v>9018906000</v>
      </c>
      <c r="B141" s="229" t="s">
        <v>1474</v>
      </c>
      <c r="C141" s="234" t="s">
        <v>1032</v>
      </c>
      <c r="D141" s="234">
        <v>165</v>
      </c>
      <c r="E141" s="234">
        <v>60</v>
      </c>
      <c r="F141" s="234">
        <v>0</v>
      </c>
      <c r="G141" s="234">
        <v>0</v>
      </c>
      <c r="H141" s="234" t="s">
        <v>546</v>
      </c>
      <c r="I141" s="234">
        <v>60</v>
      </c>
    </row>
    <row r="142" spans="1:9" ht="12.95" customHeight="1">
      <c r="A142" s="228">
        <v>9018908000</v>
      </c>
      <c r="B142" s="229" t="s">
        <v>1475</v>
      </c>
      <c r="C142" s="234" t="s">
        <v>1032</v>
      </c>
      <c r="D142" s="233">
        <v>1163</v>
      </c>
      <c r="E142" s="234">
        <v>165</v>
      </c>
      <c r="F142" s="234">
        <v>0</v>
      </c>
      <c r="G142" s="234">
        <v>0</v>
      </c>
      <c r="H142" s="234">
        <v>1</v>
      </c>
      <c r="I142" s="234">
        <v>165</v>
      </c>
    </row>
    <row r="143" spans="1:9" ht="15" customHeight="1">
      <c r="A143" s="228">
        <v>9025801000</v>
      </c>
      <c r="B143" s="229" t="s">
        <v>1476</v>
      </c>
      <c r="C143" s="234" t="s">
        <v>1032</v>
      </c>
      <c r="D143" s="234">
        <v>11</v>
      </c>
      <c r="E143" s="234">
        <v>12</v>
      </c>
      <c r="F143" s="234">
        <v>0</v>
      </c>
      <c r="G143" s="234">
        <v>0</v>
      </c>
      <c r="H143" s="234" t="s">
        <v>546</v>
      </c>
      <c r="I143" s="234">
        <v>12</v>
      </c>
    </row>
    <row r="144" spans="1:9" ht="12.95" customHeight="1">
      <c r="A144" s="228">
        <v>9025805000</v>
      </c>
      <c r="B144" s="229" t="s">
        <v>1477</v>
      </c>
      <c r="C144" s="234" t="s">
        <v>1032</v>
      </c>
      <c r="D144" s="234">
        <v>2</v>
      </c>
      <c r="E144" s="234">
        <v>3</v>
      </c>
      <c r="F144" s="234">
        <v>0</v>
      </c>
      <c r="G144" s="234">
        <v>0</v>
      </c>
      <c r="H144" s="234" t="s">
        <v>546</v>
      </c>
      <c r="I144" s="234">
        <v>3</v>
      </c>
    </row>
    <row r="145" spans="1:9" ht="14.1" customHeight="1">
      <c r="A145" s="228">
        <v>9026208000</v>
      </c>
      <c r="B145" s="229" t="s">
        <v>1478</v>
      </c>
      <c r="C145" s="234" t="s">
        <v>1032</v>
      </c>
      <c r="D145" s="234">
        <v>1</v>
      </c>
      <c r="E145" s="234">
        <v>2</v>
      </c>
      <c r="F145" s="234">
        <v>0</v>
      </c>
      <c r="G145" s="234">
        <v>0</v>
      </c>
      <c r="H145" s="234" t="s">
        <v>546</v>
      </c>
      <c r="I145" s="234">
        <v>2</v>
      </c>
    </row>
    <row r="146" spans="1:9" ht="14.1" customHeight="1">
      <c r="A146" s="228">
        <v>9027102000</v>
      </c>
      <c r="B146" s="229" t="s">
        <v>1369</v>
      </c>
      <c r="C146" s="234" t="s">
        <v>1023</v>
      </c>
      <c r="D146" s="234">
        <v>32</v>
      </c>
      <c r="E146" s="234">
        <v>50</v>
      </c>
      <c r="F146" s="234">
        <v>0</v>
      </c>
      <c r="G146" s="234">
        <v>0</v>
      </c>
      <c r="H146" s="234" t="s">
        <v>546</v>
      </c>
      <c r="I146" s="234">
        <v>50</v>
      </c>
    </row>
    <row r="147" spans="1:9" ht="14.1" customHeight="1">
      <c r="A147" s="228">
        <v>9027106000</v>
      </c>
      <c r="B147" s="229" t="s">
        <v>1114</v>
      </c>
      <c r="C147" s="234" t="s">
        <v>1023</v>
      </c>
      <c r="D147" s="234">
        <v>4</v>
      </c>
      <c r="E147" s="234">
        <v>5</v>
      </c>
      <c r="F147" s="234">
        <v>0</v>
      </c>
      <c r="G147" s="234">
        <v>0</v>
      </c>
      <c r="H147" s="234" t="s">
        <v>546</v>
      </c>
      <c r="I147" s="234">
        <v>5</v>
      </c>
    </row>
    <row r="148" spans="1:9" ht="14.1" customHeight="1">
      <c r="A148" s="228">
        <v>9027508060</v>
      </c>
      <c r="B148" s="229" t="s">
        <v>1479</v>
      </c>
      <c r="C148" s="234" t="s">
        <v>1032</v>
      </c>
      <c r="D148" s="234">
        <v>4</v>
      </c>
      <c r="E148" s="234">
        <v>7</v>
      </c>
      <c r="F148" s="234">
        <v>0</v>
      </c>
      <c r="G148" s="234">
        <v>0</v>
      </c>
      <c r="H148" s="234" t="s">
        <v>546</v>
      </c>
      <c r="I148" s="234">
        <v>7</v>
      </c>
    </row>
    <row r="149" spans="1:9" ht="14.1" customHeight="1">
      <c r="A149" s="228">
        <v>9027804530</v>
      </c>
      <c r="B149" s="229" t="s">
        <v>1255</v>
      </c>
      <c r="C149" s="234" t="s">
        <v>1023</v>
      </c>
      <c r="D149" s="234">
        <v>1</v>
      </c>
      <c r="E149" s="234">
        <v>4</v>
      </c>
      <c r="F149" s="234">
        <v>0</v>
      </c>
      <c r="G149" s="234">
        <v>0</v>
      </c>
      <c r="H149" s="234" t="s">
        <v>546</v>
      </c>
      <c r="I149" s="234">
        <v>4</v>
      </c>
    </row>
    <row r="150" spans="1:9" ht="14.1" customHeight="1">
      <c r="A150" s="228">
        <v>9030201000</v>
      </c>
      <c r="B150" s="229" t="s">
        <v>1480</v>
      </c>
      <c r="C150" s="234" t="s">
        <v>1032</v>
      </c>
      <c r="D150" s="234">
        <v>1</v>
      </c>
      <c r="E150" s="234">
        <v>5</v>
      </c>
      <c r="F150" s="234">
        <v>0</v>
      </c>
      <c r="G150" s="234">
        <v>0</v>
      </c>
      <c r="H150" s="234" t="s">
        <v>546</v>
      </c>
      <c r="I150" s="234">
        <v>5</v>
      </c>
    </row>
    <row r="151" spans="1:9" ht="14.1" customHeight="1">
      <c r="A151" s="228">
        <v>9030333800</v>
      </c>
      <c r="B151" s="229" t="s">
        <v>1481</v>
      </c>
      <c r="C151" s="234" t="s">
        <v>1032</v>
      </c>
      <c r="D151" s="234">
        <v>1</v>
      </c>
      <c r="E151" s="234">
        <v>4</v>
      </c>
      <c r="F151" s="234">
        <v>0</v>
      </c>
      <c r="G151" s="234">
        <v>0</v>
      </c>
      <c r="H151" s="234" t="s">
        <v>546</v>
      </c>
      <c r="I151" s="234">
        <v>4</v>
      </c>
    </row>
    <row r="152" spans="1:9" ht="14.1" customHeight="1">
      <c r="A152" s="228">
        <v>9030840000</v>
      </c>
      <c r="B152" s="229" t="s">
        <v>1482</v>
      </c>
      <c r="C152" s="234" t="s">
        <v>1032</v>
      </c>
      <c r="D152" s="234">
        <v>1</v>
      </c>
      <c r="E152" s="234">
        <v>5</v>
      </c>
      <c r="F152" s="234">
        <v>0</v>
      </c>
      <c r="G152" s="234">
        <v>0</v>
      </c>
      <c r="H152" s="234" t="s">
        <v>546</v>
      </c>
      <c r="I152" s="234">
        <v>5</v>
      </c>
    </row>
    <row r="153" spans="1:9" ht="14.1" customHeight="1">
      <c r="A153" s="228">
        <v>9031808085</v>
      </c>
      <c r="B153" s="229" t="s">
        <v>1483</v>
      </c>
      <c r="C153" s="234" t="s">
        <v>1023</v>
      </c>
      <c r="D153" s="234">
        <v>96</v>
      </c>
      <c r="E153" s="234">
        <v>49</v>
      </c>
      <c r="F153" s="234">
        <v>0</v>
      </c>
      <c r="G153" s="234">
        <v>0</v>
      </c>
      <c r="H153" s="234" t="s">
        <v>546</v>
      </c>
      <c r="I153" s="234">
        <v>49</v>
      </c>
    </row>
    <row r="154" spans="1:9" ht="14.1" customHeight="1">
      <c r="A154" s="228">
        <v>9031909195</v>
      </c>
      <c r="B154" s="229" t="s">
        <v>1484</v>
      </c>
      <c r="C154" s="234" t="s">
        <v>1023</v>
      </c>
      <c r="D154" s="234">
        <v>370</v>
      </c>
      <c r="E154" s="234">
        <v>184</v>
      </c>
      <c r="F154" s="234">
        <v>0</v>
      </c>
      <c r="G154" s="234">
        <v>0</v>
      </c>
      <c r="H154" s="234" t="s">
        <v>546</v>
      </c>
      <c r="I154" s="234">
        <v>184</v>
      </c>
    </row>
    <row r="155" spans="1:9" ht="14.1" customHeight="1">
      <c r="A155" s="228">
        <v>9032100090</v>
      </c>
      <c r="B155" s="229" t="s">
        <v>1485</v>
      </c>
      <c r="C155" s="234" t="s">
        <v>1032</v>
      </c>
      <c r="D155" s="234">
        <v>39</v>
      </c>
      <c r="E155" s="234">
        <v>13</v>
      </c>
      <c r="F155" s="234">
        <v>0</v>
      </c>
      <c r="G155" s="234">
        <v>0</v>
      </c>
      <c r="H155" s="234" t="s">
        <v>546</v>
      </c>
      <c r="I155" s="234">
        <v>13</v>
      </c>
    </row>
    <row r="156" spans="1:9" ht="14.1" customHeight="1">
      <c r="A156" s="228">
        <v>9032896025</v>
      </c>
      <c r="B156" s="229" t="s">
        <v>1486</v>
      </c>
      <c r="C156" s="234" t="s">
        <v>1032</v>
      </c>
      <c r="D156" s="234">
        <v>1</v>
      </c>
      <c r="E156" s="234">
        <v>3</v>
      </c>
      <c r="F156" s="234">
        <v>0</v>
      </c>
      <c r="G156" s="234">
        <v>0</v>
      </c>
      <c r="H156" s="234" t="s">
        <v>546</v>
      </c>
      <c r="I156" s="234">
        <v>3</v>
      </c>
    </row>
    <row r="157" spans="1:9" ht="14.1" customHeight="1">
      <c r="A157" s="228">
        <v>9032896040</v>
      </c>
      <c r="B157" s="229" t="s">
        <v>1487</v>
      </c>
      <c r="C157" s="234" t="s">
        <v>1032</v>
      </c>
      <c r="D157" s="234">
        <v>1</v>
      </c>
      <c r="E157" s="234">
        <v>8</v>
      </c>
      <c r="F157" s="234">
        <v>0</v>
      </c>
      <c r="G157" s="234">
        <v>0</v>
      </c>
      <c r="H157" s="234" t="s">
        <v>546</v>
      </c>
      <c r="I157" s="234">
        <v>8</v>
      </c>
    </row>
    <row r="158" spans="1:9" ht="14.1" customHeight="1">
      <c r="A158" s="228">
        <v>9032896085</v>
      </c>
      <c r="B158" s="229" t="s">
        <v>1488</v>
      </c>
      <c r="C158" s="234" t="s">
        <v>1023</v>
      </c>
      <c r="D158" s="234">
        <v>8</v>
      </c>
      <c r="E158" s="234">
        <v>40</v>
      </c>
      <c r="F158" s="234">
        <v>0</v>
      </c>
      <c r="G158" s="234">
        <v>0</v>
      </c>
      <c r="H158" s="234" t="s">
        <v>546</v>
      </c>
      <c r="I158" s="234">
        <v>40</v>
      </c>
    </row>
    <row r="159" spans="1:9" ht="14.1" customHeight="1">
      <c r="A159" s="228">
        <v>9102217020</v>
      </c>
      <c r="B159" s="229" t="s">
        <v>1489</v>
      </c>
      <c r="C159" s="234" t="s">
        <v>1032</v>
      </c>
      <c r="D159" s="234">
        <v>1</v>
      </c>
      <c r="E159" s="234">
        <v>8</v>
      </c>
      <c r="F159" s="234">
        <v>0</v>
      </c>
      <c r="G159" s="234">
        <v>0</v>
      </c>
      <c r="H159" s="234" t="s">
        <v>546</v>
      </c>
      <c r="I159" s="234">
        <v>8</v>
      </c>
    </row>
    <row r="160" spans="1:9" ht="14.1" customHeight="1">
      <c r="A160" s="228">
        <v>9202904000</v>
      </c>
      <c r="B160" s="229" t="s">
        <v>1490</v>
      </c>
      <c r="C160" s="234" t="s">
        <v>1032</v>
      </c>
      <c r="D160" s="234">
        <v>1</v>
      </c>
      <c r="E160" s="234">
        <v>9</v>
      </c>
      <c r="F160" s="234">
        <v>0</v>
      </c>
      <c r="G160" s="234">
        <v>0</v>
      </c>
      <c r="H160" s="234" t="s">
        <v>546</v>
      </c>
      <c r="I160" s="234">
        <v>9</v>
      </c>
    </row>
    <row r="161" spans="1:9" ht="14.1" customHeight="1">
      <c r="A161" s="228">
        <v>9205100080</v>
      </c>
      <c r="B161" s="229" t="s">
        <v>1491</v>
      </c>
      <c r="C161" s="234" t="s">
        <v>1032</v>
      </c>
      <c r="D161" s="234">
        <v>3</v>
      </c>
      <c r="E161" s="234">
        <v>3</v>
      </c>
      <c r="F161" s="234">
        <v>0</v>
      </c>
      <c r="G161" s="234">
        <v>0</v>
      </c>
      <c r="H161" s="234" t="s">
        <v>546</v>
      </c>
      <c r="I161" s="234">
        <v>3</v>
      </c>
    </row>
    <row r="162" spans="1:9" ht="14.1" customHeight="1">
      <c r="A162" s="228">
        <v>9205904040</v>
      </c>
      <c r="B162" s="229" t="s">
        <v>1492</v>
      </c>
      <c r="C162" s="234" t="s">
        <v>1032</v>
      </c>
      <c r="D162" s="234">
        <v>4</v>
      </c>
      <c r="E162" s="234">
        <v>7</v>
      </c>
      <c r="F162" s="234">
        <v>0</v>
      </c>
      <c r="G162" s="234">
        <v>0</v>
      </c>
      <c r="H162" s="234" t="s">
        <v>546</v>
      </c>
      <c r="I162" s="234">
        <v>7</v>
      </c>
    </row>
    <row r="163" spans="1:9" ht="14.1" customHeight="1">
      <c r="A163" s="228">
        <v>9303200065</v>
      </c>
      <c r="B163" s="229" t="s">
        <v>1378</v>
      </c>
      <c r="C163" s="234" t="s">
        <v>1032</v>
      </c>
      <c r="D163" s="234">
        <v>32</v>
      </c>
      <c r="E163" s="234">
        <v>19</v>
      </c>
      <c r="F163" s="234">
        <v>2</v>
      </c>
      <c r="G163" s="234">
        <v>19</v>
      </c>
      <c r="H163" s="234">
        <v>0</v>
      </c>
      <c r="I163" s="234">
        <v>0</v>
      </c>
    </row>
    <row r="164" spans="1:9" ht="14.1" customHeight="1">
      <c r="A164" s="228">
        <v>9403200090</v>
      </c>
      <c r="B164" s="229" t="s">
        <v>1493</v>
      </c>
      <c r="C164" s="234" t="s">
        <v>1032</v>
      </c>
      <c r="D164" s="234">
        <v>1</v>
      </c>
      <c r="E164" s="234">
        <v>4</v>
      </c>
      <c r="F164" s="234">
        <v>0</v>
      </c>
      <c r="G164" s="234">
        <v>0</v>
      </c>
      <c r="H164" s="234" t="s">
        <v>546</v>
      </c>
      <c r="I164" s="234">
        <v>4</v>
      </c>
    </row>
    <row r="165" spans="1:9" ht="14.1" customHeight="1">
      <c r="A165" s="228">
        <v>9403908061</v>
      </c>
      <c r="B165" s="229" t="s">
        <v>1494</v>
      </c>
      <c r="C165" s="234" t="s">
        <v>1023</v>
      </c>
      <c r="D165" s="234">
        <v>1</v>
      </c>
      <c r="E165" s="234">
        <v>1</v>
      </c>
      <c r="F165" s="234">
        <v>0</v>
      </c>
      <c r="G165" s="234">
        <v>0</v>
      </c>
      <c r="H165" s="234" t="s">
        <v>546</v>
      </c>
      <c r="I165" s="234">
        <v>1</v>
      </c>
    </row>
    <row r="166" spans="1:9" ht="14.1" customHeight="1">
      <c r="A166" s="228">
        <v>9405406000</v>
      </c>
      <c r="B166" s="229" t="s">
        <v>1495</v>
      </c>
      <c r="C166" s="234" t="s">
        <v>1032</v>
      </c>
      <c r="D166" s="234">
        <v>8</v>
      </c>
      <c r="E166" s="234">
        <v>1</v>
      </c>
      <c r="F166" s="234">
        <v>0</v>
      </c>
      <c r="G166" s="234">
        <v>0</v>
      </c>
      <c r="H166" s="234">
        <v>0</v>
      </c>
      <c r="I166" s="234">
        <v>0</v>
      </c>
    </row>
    <row r="167" spans="1:9" ht="14.1" customHeight="1">
      <c r="A167" s="228">
        <v>9506996080</v>
      </c>
      <c r="B167" s="229" t="s">
        <v>1382</v>
      </c>
      <c r="C167" s="234" t="s">
        <v>1032</v>
      </c>
      <c r="D167" s="234">
        <v>1</v>
      </c>
      <c r="E167" s="234">
        <v>4</v>
      </c>
      <c r="F167" s="234">
        <v>0</v>
      </c>
      <c r="G167" s="234">
        <v>0</v>
      </c>
      <c r="H167" s="234">
        <v>1</v>
      </c>
      <c r="I167" s="234">
        <v>4</v>
      </c>
    </row>
    <row r="168" spans="1:9" ht="14.1" customHeight="1">
      <c r="A168" s="228">
        <v>9507100040</v>
      </c>
      <c r="B168" s="229" t="s">
        <v>1496</v>
      </c>
      <c r="C168" s="234" t="s">
        <v>1032</v>
      </c>
      <c r="D168" s="234">
        <v>3</v>
      </c>
      <c r="E168" s="234">
        <v>2</v>
      </c>
      <c r="F168" s="234">
        <v>0</v>
      </c>
      <c r="G168" s="234">
        <v>0</v>
      </c>
      <c r="H168" s="234" t="s">
        <v>546</v>
      </c>
      <c r="I168" s="234">
        <v>2</v>
      </c>
    </row>
    <row r="169" spans="1:9" ht="14.1" customHeight="1">
      <c r="A169" s="228">
        <v>9705000010</v>
      </c>
      <c r="B169" s="229" t="s">
        <v>1497</v>
      </c>
      <c r="C169" s="234" t="s">
        <v>1049</v>
      </c>
      <c r="D169" s="234">
        <v>27</v>
      </c>
      <c r="E169" s="234">
        <v>15</v>
      </c>
      <c r="F169" s="234">
        <v>0</v>
      </c>
      <c r="G169" s="234">
        <v>0</v>
      </c>
      <c r="H169" s="234">
        <v>0</v>
      </c>
      <c r="I169" s="234">
        <v>15</v>
      </c>
    </row>
    <row r="170" spans="1:9" ht="14.1" customHeight="1">
      <c r="A170" s="228">
        <v>9705000050</v>
      </c>
      <c r="B170" s="229" t="s">
        <v>1498</v>
      </c>
      <c r="C170" s="234" t="s">
        <v>1049</v>
      </c>
      <c r="D170" s="234">
        <v>89</v>
      </c>
      <c r="E170" s="234">
        <v>5</v>
      </c>
      <c r="F170" s="234">
        <v>0</v>
      </c>
      <c r="G170" s="234">
        <v>0</v>
      </c>
      <c r="H170" s="234">
        <v>0</v>
      </c>
      <c r="I170" s="234">
        <v>5</v>
      </c>
    </row>
    <row r="171" spans="1:9" ht="14.1" customHeight="1">
      <c r="A171" s="228">
        <v>9801001028</v>
      </c>
      <c r="B171" s="229" t="s">
        <v>1127</v>
      </c>
      <c r="C171" s="234" t="s">
        <v>1023</v>
      </c>
      <c r="D171" s="234">
        <v>99</v>
      </c>
      <c r="E171" s="234">
        <v>77</v>
      </c>
      <c r="F171" s="234">
        <v>0</v>
      </c>
      <c r="G171" s="234">
        <v>0</v>
      </c>
      <c r="H171" s="234" t="s">
        <v>546</v>
      </c>
      <c r="I171" s="234">
        <v>77</v>
      </c>
    </row>
    <row r="172" spans="1:9" ht="14.1" customHeight="1">
      <c r="A172" s="228">
        <v>9801001029</v>
      </c>
      <c r="B172" s="229" t="s">
        <v>1499</v>
      </c>
      <c r="C172" s="234" t="s">
        <v>1296</v>
      </c>
      <c r="D172" s="234">
        <v>20</v>
      </c>
      <c r="E172" s="234">
        <v>3</v>
      </c>
      <c r="F172" s="234">
        <v>0</v>
      </c>
      <c r="G172" s="234">
        <v>0</v>
      </c>
      <c r="H172" s="234" t="s">
        <v>546</v>
      </c>
      <c r="I172" s="234">
        <v>3</v>
      </c>
    </row>
    <row r="173" spans="1:9" ht="14.1" customHeight="1">
      <c r="A173" s="228">
        <v>9801001030</v>
      </c>
      <c r="B173" s="229" t="s">
        <v>1500</v>
      </c>
      <c r="C173" s="234" t="s">
        <v>1129</v>
      </c>
      <c r="D173" s="234">
        <v>0</v>
      </c>
      <c r="E173" s="234">
        <v>31</v>
      </c>
      <c r="F173" s="234">
        <v>0</v>
      </c>
      <c r="G173" s="234">
        <v>0</v>
      </c>
      <c r="H173" s="234" t="s">
        <v>546</v>
      </c>
      <c r="I173" s="234">
        <v>31</v>
      </c>
    </row>
    <row r="174" spans="1:9" ht="14.1" customHeight="1">
      <c r="A174" s="228">
        <v>9801001031</v>
      </c>
      <c r="B174" s="229" t="s">
        <v>1501</v>
      </c>
      <c r="C174" s="234" t="s">
        <v>1129</v>
      </c>
      <c r="D174" s="234">
        <v>0</v>
      </c>
      <c r="E174" s="234">
        <v>159</v>
      </c>
      <c r="F174" s="234">
        <v>1</v>
      </c>
      <c r="G174" s="234">
        <v>11</v>
      </c>
      <c r="H174" s="234">
        <v>1</v>
      </c>
      <c r="I174" s="234">
        <v>148</v>
      </c>
    </row>
    <row r="175" spans="1:9" ht="14.1" customHeight="1">
      <c r="A175" s="228">
        <v>9801001035</v>
      </c>
      <c r="B175" s="229" t="s">
        <v>1502</v>
      </c>
      <c r="C175" s="234" t="s">
        <v>1032</v>
      </c>
      <c r="D175" s="233">
        <v>1088</v>
      </c>
      <c r="E175" s="233">
        <v>2640</v>
      </c>
      <c r="F175" s="234">
        <v>0</v>
      </c>
      <c r="G175" s="234">
        <v>0</v>
      </c>
      <c r="H175" s="234">
        <v>1</v>
      </c>
      <c r="I175" s="233">
        <v>2640</v>
      </c>
    </row>
    <row r="176" spans="1:9" ht="14.1" customHeight="1">
      <c r="A176" s="228">
        <v>9801001037</v>
      </c>
      <c r="B176" s="229" t="s">
        <v>1503</v>
      </c>
      <c r="C176" s="234" t="s">
        <v>1032</v>
      </c>
      <c r="D176" s="234">
        <v>144</v>
      </c>
      <c r="E176" s="234">
        <v>15</v>
      </c>
      <c r="F176" s="234" t="s">
        <v>546</v>
      </c>
      <c r="G176" s="234">
        <v>15</v>
      </c>
      <c r="H176" s="234">
        <v>0</v>
      </c>
      <c r="I176" s="234">
        <v>0</v>
      </c>
    </row>
    <row r="177" spans="1:9" ht="14.1" customHeight="1">
      <c r="A177" s="228">
        <v>9801001043</v>
      </c>
      <c r="B177" s="229" t="s">
        <v>1504</v>
      </c>
      <c r="C177" s="234" t="s">
        <v>1032</v>
      </c>
      <c r="D177" s="233">
        <v>1104</v>
      </c>
      <c r="E177" s="234">
        <v>714</v>
      </c>
      <c r="F177" s="234" t="s">
        <v>546</v>
      </c>
      <c r="G177" s="234">
        <v>7</v>
      </c>
      <c r="H177" s="234">
        <v>2</v>
      </c>
      <c r="I177" s="234">
        <v>707</v>
      </c>
    </row>
    <row r="178" spans="1:9" ht="14.1" customHeight="1">
      <c r="A178" s="228">
        <v>9801001045</v>
      </c>
      <c r="B178" s="229" t="s">
        <v>1134</v>
      </c>
      <c r="C178" s="234" t="s">
        <v>1129</v>
      </c>
      <c r="D178" s="234">
        <v>0</v>
      </c>
      <c r="E178" s="233">
        <v>2680</v>
      </c>
      <c r="F178" s="234">
        <v>19</v>
      </c>
      <c r="G178" s="234">
        <v>250</v>
      </c>
      <c r="H178" s="234">
        <v>8</v>
      </c>
      <c r="I178" s="233">
        <v>2430</v>
      </c>
    </row>
    <row r="179" spans="1:9" ht="14.1" customHeight="1">
      <c r="A179" s="228">
        <v>9801001049</v>
      </c>
      <c r="B179" s="229" t="s">
        <v>1135</v>
      </c>
      <c r="C179" s="234" t="s">
        <v>1032</v>
      </c>
      <c r="D179" s="234">
        <v>186</v>
      </c>
      <c r="E179" s="234">
        <v>122</v>
      </c>
      <c r="F179" s="234">
        <v>1</v>
      </c>
      <c r="G179" s="234">
        <v>11</v>
      </c>
      <c r="H179" s="234" t="s">
        <v>546</v>
      </c>
      <c r="I179" s="234">
        <v>111</v>
      </c>
    </row>
    <row r="180" spans="1:9" ht="14.1" customHeight="1">
      <c r="A180" s="228">
        <v>9801001051</v>
      </c>
      <c r="B180" s="229" t="s">
        <v>1505</v>
      </c>
      <c r="C180" s="234" t="s">
        <v>1032</v>
      </c>
      <c r="D180" s="234">
        <v>936</v>
      </c>
      <c r="E180" s="234">
        <v>437</v>
      </c>
      <c r="F180" s="234" t="s">
        <v>546</v>
      </c>
      <c r="G180" s="234">
        <v>5</v>
      </c>
      <c r="H180" s="234">
        <v>1</v>
      </c>
      <c r="I180" s="234">
        <v>432</v>
      </c>
    </row>
    <row r="181" spans="1:9" ht="14.1" customHeight="1">
      <c r="A181" s="228">
        <v>9801001053</v>
      </c>
      <c r="B181" s="229" t="s">
        <v>1506</v>
      </c>
      <c r="C181" s="234" t="s">
        <v>1032</v>
      </c>
      <c r="D181" s="233">
        <v>20252</v>
      </c>
      <c r="E181" s="233">
        <v>2883</v>
      </c>
      <c r="F181" s="234">
        <v>2</v>
      </c>
      <c r="G181" s="234">
        <v>367</v>
      </c>
      <c r="H181" s="234">
        <v>3</v>
      </c>
      <c r="I181" s="233">
        <v>2516</v>
      </c>
    </row>
    <row r="182" spans="1:9" ht="14.1" customHeight="1">
      <c r="A182" s="228">
        <v>9801001055</v>
      </c>
      <c r="B182" s="229" t="s">
        <v>1138</v>
      </c>
      <c r="C182" s="234" t="s">
        <v>1129</v>
      </c>
      <c r="D182" s="234">
        <v>0</v>
      </c>
      <c r="E182" s="233">
        <v>5456</v>
      </c>
      <c r="F182" s="234">
        <v>226</v>
      </c>
      <c r="G182" s="234">
        <v>352</v>
      </c>
      <c r="H182" s="234">
        <v>5</v>
      </c>
      <c r="I182" s="233">
        <v>5104</v>
      </c>
    </row>
    <row r="183" spans="1:9" ht="14.1" customHeight="1">
      <c r="A183" s="228">
        <v>9801001059</v>
      </c>
      <c r="B183" s="229" t="s">
        <v>1139</v>
      </c>
      <c r="C183" s="234" t="s">
        <v>1032</v>
      </c>
      <c r="D183" s="234">
        <v>9</v>
      </c>
      <c r="E183" s="234">
        <v>4</v>
      </c>
      <c r="F183" s="234">
        <v>0</v>
      </c>
      <c r="G183" s="234">
        <v>0</v>
      </c>
      <c r="H183" s="234" t="s">
        <v>546</v>
      </c>
      <c r="I183" s="234">
        <v>4</v>
      </c>
    </row>
    <row r="184" spans="1:9" ht="14.1" customHeight="1">
      <c r="A184" s="228">
        <v>9801001063</v>
      </c>
      <c r="B184" s="229" t="s">
        <v>1507</v>
      </c>
      <c r="C184" s="234" t="s">
        <v>1032</v>
      </c>
      <c r="D184" s="234">
        <v>1</v>
      </c>
      <c r="E184" s="234">
        <v>7</v>
      </c>
      <c r="F184" s="234">
        <v>4</v>
      </c>
      <c r="G184" s="234">
        <v>7</v>
      </c>
      <c r="H184" s="234">
        <v>0</v>
      </c>
      <c r="I184" s="234">
        <v>0</v>
      </c>
    </row>
    <row r="185" spans="1:9" ht="14.1" customHeight="1">
      <c r="A185" s="228">
        <v>9801001065</v>
      </c>
      <c r="B185" s="229" t="s">
        <v>1508</v>
      </c>
      <c r="C185" s="234" t="s">
        <v>1032</v>
      </c>
      <c r="D185" s="234">
        <v>31</v>
      </c>
      <c r="E185" s="234">
        <v>751</v>
      </c>
      <c r="F185" s="234">
        <v>53</v>
      </c>
      <c r="G185" s="234">
        <v>751</v>
      </c>
      <c r="H185" s="234">
        <v>0</v>
      </c>
      <c r="I185" s="234">
        <v>0</v>
      </c>
    </row>
    <row r="186" spans="1:9" ht="14.1" customHeight="1">
      <c r="A186" s="228">
        <v>9801001067</v>
      </c>
      <c r="B186" s="229" t="s">
        <v>1509</v>
      </c>
      <c r="C186" s="234" t="s">
        <v>1032</v>
      </c>
      <c r="D186" s="234">
        <v>5</v>
      </c>
      <c r="E186" s="234">
        <v>24</v>
      </c>
      <c r="F186" s="234">
        <v>0</v>
      </c>
      <c r="G186" s="234">
        <v>0</v>
      </c>
      <c r="H186" s="234">
        <v>2</v>
      </c>
      <c r="I186" s="234">
        <v>24</v>
      </c>
    </row>
    <row r="187" spans="1:9" ht="14.1" customHeight="1">
      <c r="A187" s="228">
        <v>9801001074</v>
      </c>
      <c r="B187" s="229" t="s">
        <v>1144</v>
      </c>
      <c r="C187" s="234" t="s">
        <v>1032</v>
      </c>
      <c r="D187" s="233">
        <v>5027</v>
      </c>
      <c r="E187" s="234">
        <v>187</v>
      </c>
      <c r="F187" s="234">
        <v>24</v>
      </c>
      <c r="G187" s="234">
        <v>183</v>
      </c>
      <c r="H187" s="234" t="s">
        <v>546</v>
      </c>
      <c r="I187" s="234">
        <v>4</v>
      </c>
    </row>
    <row r="188" spans="1:9" ht="14.1" customHeight="1">
      <c r="A188" s="228">
        <v>9801001075</v>
      </c>
      <c r="B188" s="229" t="s">
        <v>1145</v>
      </c>
      <c r="C188" s="234" t="s">
        <v>1032</v>
      </c>
      <c r="D188" s="234">
        <v>1</v>
      </c>
      <c r="E188" s="234">
        <v>650</v>
      </c>
      <c r="F188" s="234">
        <v>5</v>
      </c>
      <c r="G188" s="234">
        <v>650</v>
      </c>
      <c r="H188" s="234">
        <v>0</v>
      </c>
      <c r="I188" s="234">
        <v>0</v>
      </c>
    </row>
    <row r="189" spans="1:9" ht="14.1" customHeight="1">
      <c r="A189" s="228">
        <v>9801001077</v>
      </c>
      <c r="B189" s="229" t="s">
        <v>1510</v>
      </c>
      <c r="C189" s="234" t="s">
        <v>1023</v>
      </c>
      <c r="D189" s="233">
        <v>17409</v>
      </c>
      <c r="E189" s="233">
        <v>5691</v>
      </c>
      <c r="F189" s="234" t="s">
        <v>546</v>
      </c>
      <c r="G189" s="234">
        <v>61</v>
      </c>
      <c r="H189" s="234">
        <v>19</v>
      </c>
      <c r="I189" s="233">
        <v>5630</v>
      </c>
    </row>
    <row r="190" spans="1:9" ht="14.1" customHeight="1">
      <c r="A190" s="228">
        <v>9801001079</v>
      </c>
      <c r="B190" s="229" t="s">
        <v>1511</v>
      </c>
      <c r="C190" s="234" t="s">
        <v>1023</v>
      </c>
      <c r="D190" s="234">
        <v>12</v>
      </c>
      <c r="E190" s="234">
        <v>44</v>
      </c>
      <c r="F190" s="234">
        <v>0</v>
      </c>
      <c r="G190" s="234">
        <v>0</v>
      </c>
      <c r="H190" s="234" t="s">
        <v>546</v>
      </c>
      <c r="I190" s="234">
        <v>44</v>
      </c>
    </row>
    <row r="191" spans="1:9" ht="14.1" customHeight="1">
      <c r="A191" s="228">
        <v>9801001089</v>
      </c>
      <c r="B191" s="229" t="s">
        <v>1273</v>
      </c>
      <c r="C191" s="234" t="s">
        <v>1032</v>
      </c>
      <c r="D191" s="234">
        <v>34</v>
      </c>
      <c r="E191" s="234">
        <v>61</v>
      </c>
      <c r="F191" s="234" t="s">
        <v>546</v>
      </c>
      <c r="G191" s="234">
        <v>24</v>
      </c>
      <c r="H191" s="234" t="s">
        <v>546</v>
      </c>
      <c r="I191" s="234">
        <v>37</v>
      </c>
    </row>
    <row r="192" spans="1:9" ht="14.1" customHeight="1">
      <c r="A192" s="228">
        <v>9801001090</v>
      </c>
      <c r="B192" s="229" t="s">
        <v>1512</v>
      </c>
      <c r="C192" s="234" t="s">
        <v>1032</v>
      </c>
      <c r="D192" s="233">
        <v>19551</v>
      </c>
      <c r="E192" s="233">
        <v>7333</v>
      </c>
      <c r="F192" s="234">
        <v>55</v>
      </c>
      <c r="G192" s="234">
        <v>463</v>
      </c>
      <c r="H192" s="234">
        <v>7</v>
      </c>
      <c r="I192" s="233">
        <v>6871</v>
      </c>
    </row>
    <row r="193" spans="1:9" ht="14.1" customHeight="1">
      <c r="A193" s="228">
        <v>9801001092</v>
      </c>
      <c r="B193" s="229" t="s">
        <v>1275</v>
      </c>
      <c r="C193" s="234" t="s">
        <v>1032</v>
      </c>
      <c r="D193" s="234">
        <v>801</v>
      </c>
      <c r="E193" s="234">
        <v>155</v>
      </c>
      <c r="F193" s="234">
        <v>0</v>
      </c>
      <c r="G193" s="234">
        <v>0</v>
      </c>
      <c r="H193" s="234">
        <v>1</v>
      </c>
      <c r="I193" s="234">
        <v>155</v>
      </c>
    </row>
    <row r="194" spans="1:9" ht="14.1" customHeight="1">
      <c r="A194" s="228">
        <v>9801001094</v>
      </c>
      <c r="B194" s="229" t="s">
        <v>1276</v>
      </c>
      <c r="C194" s="234" t="s">
        <v>1129</v>
      </c>
      <c r="D194" s="234">
        <v>0</v>
      </c>
      <c r="E194" s="234">
        <v>35</v>
      </c>
      <c r="F194" s="234" t="s">
        <v>546</v>
      </c>
      <c r="G194" s="234">
        <v>8</v>
      </c>
      <c r="H194" s="234" t="s">
        <v>546</v>
      </c>
      <c r="I194" s="234">
        <v>27</v>
      </c>
    </row>
    <row r="195" spans="1:9" ht="14.1" customHeight="1">
      <c r="A195" s="228">
        <v>9801001097</v>
      </c>
      <c r="B195" s="229" t="s">
        <v>1513</v>
      </c>
      <c r="C195" s="234" t="s">
        <v>1129</v>
      </c>
      <c r="D195" s="234">
        <v>0</v>
      </c>
      <c r="E195" s="234">
        <v>62</v>
      </c>
      <c r="F195" s="234">
        <v>27</v>
      </c>
      <c r="G195" s="234">
        <v>62</v>
      </c>
      <c r="H195" s="234">
        <v>0</v>
      </c>
      <c r="I195" s="234">
        <v>0</v>
      </c>
    </row>
    <row r="196" spans="1:9" ht="14.1" customHeight="1">
      <c r="A196" s="228">
        <v>9801001098</v>
      </c>
      <c r="B196" s="229" t="s">
        <v>1514</v>
      </c>
      <c r="C196" s="234" t="s">
        <v>1129</v>
      </c>
      <c r="D196" s="234">
        <v>0</v>
      </c>
      <c r="E196" s="233">
        <v>3412</v>
      </c>
      <c r="F196" s="234">
        <v>904</v>
      </c>
      <c r="G196" s="233">
        <v>1489</v>
      </c>
      <c r="H196" s="234">
        <v>2</v>
      </c>
      <c r="I196" s="233">
        <v>1911</v>
      </c>
    </row>
    <row r="197" spans="1:9" ht="14.1" customHeight="1">
      <c r="A197" s="228">
        <v>9801002500</v>
      </c>
      <c r="B197" s="229" t="s">
        <v>1515</v>
      </c>
      <c r="C197" s="234" t="s">
        <v>1023</v>
      </c>
      <c r="D197" s="233">
        <v>1111</v>
      </c>
      <c r="E197" s="234">
        <v>47</v>
      </c>
      <c r="F197" s="234">
        <v>0</v>
      </c>
      <c r="G197" s="234">
        <v>0</v>
      </c>
      <c r="H197" s="234">
        <v>1</v>
      </c>
      <c r="I197" s="234">
        <v>47</v>
      </c>
    </row>
    <row r="198" spans="1:9" ht="14.1" customHeight="1">
      <c r="A198" s="231">
        <v>9808008000</v>
      </c>
      <c r="B198" s="235" t="s">
        <v>1280</v>
      </c>
      <c r="C198" s="236" t="s">
        <v>1129</v>
      </c>
      <c r="D198" s="236">
        <v>0</v>
      </c>
      <c r="E198" s="236">
        <v>27</v>
      </c>
      <c r="F198" s="236">
        <v>0</v>
      </c>
      <c r="G198" s="236">
        <v>0</v>
      </c>
      <c r="H198" s="236" t="s">
        <v>546</v>
      </c>
      <c r="I198" s="236">
        <v>27</v>
      </c>
    </row>
    <row r="199" spans="1:9" ht="14.1" customHeight="1">
      <c r="A199" s="2045" t="s">
        <v>1187</v>
      </c>
      <c r="B199" s="2045"/>
      <c r="C199" s="2045"/>
      <c r="D199" s="2045"/>
      <c r="E199" s="2045"/>
      <c r="F199" s="2045"/>
      <c r="G199" s="2045"/>
      <c r="H199" s="14"/>
      <c r="I199" s="14"/>
    </row>
    <row r="200" spans="1:9" ht="14.1" customHeight="1">
      <c r="A200" s="2045" t="s">
        <v>1056</v>
      </c>
      <c r="B200" s="2045"/>
      <c r="C200" s="2045"/>
      <c r="D200" s="2045"/>
      <c r="E200" s="14"/>
      <c r="F200" s="14"/>
      <c r="G200" s="14"/>
      <c r="H200" s="14"/>
      <c r="I200" s="14"/>
    </row>
    <row r="201" spans="1:9" ht="15.75" customHeight="1">
      <c r="A201" s="2045" t="s">
        <v>1326</v>
      </c>
      <c r="B201" s="2045"/>
      <c r="C201" s="2045"/>
      <c r="D201" s="2045"/>
      <c r="E201" s="2045"/>
      <c r="F201" s="2045"/>
      <c r="G201" s="2045"/>
      <c r="H201" s="2045"/>
      <c r="I201" s="2045"/>
    </row>
    <row r="202" spans="1:9" ht="14.25" customHeight="1">
      <c r="A202" s="2045" t="s">
        <v>1327</v>
      </c>
      <c r="B202" s="2045"/>
      <c r="C202" s="2045"/>
      <c r="D202" s="2045"/>
      <c r="E202" s="2045"/>
      <c r="F202" s="14"/>
      <c r="G202" s="14"/>
      <c r="H202" s="14"/>
      <c r="I202" s="14"/>
    </row>
    <row r="203" spans="1:9" ht="18" customHeight="1">
      <c r="A203" s="13" t="s">
        <v>1328</v>
      </c>
      <c r="B203" s="14"/>
      <c r="C203" s="14"/>
      <c r="D203" s="14"/>
      <c r="E203" s="14"/>
      <c r="F203" s="14"/>
      <c r="G203" s="14"/>
      <c r="H203" s="14"/>
      <c r="I203" s="14"/>
    </row>
    <row r="204" spans="1:9" ht="12.75" customHeight="1"/>
    <row r="205" spans="1:9" ht="12.75" customHeight="1"/>
    <row r="206" spans="1:9" ht="12.75" customHeight="1"/>
    <row r="207" spans="1:9" ht="12.75" customHeight="1"/>
    <row r="208" spans="1:9" ht="12" customHeight="1"/>
  </sheetData>
  <mergeCells count="21">
    <mergeCell ref="A199:G199"/>
    <mergeCell ref="A200:D200"/>
    <mergeCell ref="A201:I201"/>
    <mergeCell ref="A202:E202"/>
    <mergeCell ref="D2:E3"/>
    <mergeCell ref="D71:E72"/>
    <mergeCell ref="D135:E136"/>
    <mergeCell ref="A134:H134"/>
    <mergeCell ref="F135:G136"/>
    <mergeCell ref="H135:I136"/>
    <mergeCell ref="A1:I1"/>
    <mergeCell ref="A132:G132"/>
    <mergeCell ref="A64:D64"/>
    <mergeCell ref="A65:I65"/>
    <mergeCell ref="A66:E66"/>
    <mergeCell ref="A70:H70"/>
    <mergeCell ref="F71:G72"/>
    <mergeCell ref="H71:I72"/>
    <mergeCell ref="F2:G3"/>
    <mergeCell ref="H2:I3"/>
    <mergeCell ref="A63:G6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7E8BD-3B44-4A66-B170-D7404DD8B4C5}">
  <sheetPr>
    <tabColor theme="7" tint="0.59999389629810485"/>
  </sheetPr>
  <dimension ref="A1:O271"/>
  <sheetViews>
    <sheetView showGridLines="0" zoomScale="90" zoomScaleNormal="90" workbookViewId="0">
      <selection activeCell="P187" sqref="P187"/>
    </sheetView>
  </sheetViews>
  <sheetFormatPr defaultRowHeight="15"/>
  <cols>
    <col min="1" max="1" width="19.28515625" customWidth="1"/>
    <col min="2" max="2" width="74.85546875" customWidth="1"/>
    <col min="4" max="9" width="13.7109375" customWidth="1"/>
  </cols>
  <sheetData>
    <row r="1" spans="1:15" ht="16.5" customHeight="1">
      <c r="A1" s="2345" t="s">
        <v>1516</v>
      </c>
      <c r="B1" s="2345"/>
      <c r="C1" s="2345"/>
      <c r="D1" s="2345"/>
      <c r="E1" s="2345"/>
      <c r="F1" s="2345"/>
      <c r="G1" s="2345"/>
      <c r="H1" s="2345"/>
      <c r="I1" s="2345"/>
      <c r="J1" s="240"/>
      <c r="K1" s="240"/>
      <c r="L1" s="240"/>
      <c r="M1" s="240"/>
      <c r="N1" s="240"/>
      <c r="O1" s="240"/>
    </row>
    <row r="2" spans="1:15" ht="14.1" customHeight="1">
      <c r="A2" s="108"/>
      <c r="B2" s="191"/>
      <c r="C2" s="114"/>
      <c r="D2" s="2023" t="s">
        <v>1157</v>
      </c>
      <c r="E2" s="2025"/>
      <c r="F2" s="2031" t="s">
        <v>1009</v>
      </c>
      <c r="G2" s="2031"/>
      <c r="H2" s="2330" t="s">
        <v>1010</v>
      </c>
      <c r="I2" s="2331"/>
    </row>
    <row r="3" spans="1:15" ht="14.1" customHeight="1">
      <c r="A3" s="3"/>
      <c r="B3" s="232"/>
      <c r="C3" s="201" t="s">
        <v>1011</v>
      </c>
      <c r="D3" s="2328"/>
      <c r="E3" s="2329"/>
      <c r="F3" s="2031"/>
      <c r="G3" s="2031"/>
      <c r="H3" s="2330"/>
      <c r="I3" s="2331"/>
    </row>
    <row r="4" spans="1:15" ht="14.1" customHeight="1">
      <c r="A4" s="3"/>
      <c r="B4" s="232"/>
      <c r="C4" s="201" t="s">
        <v>1013</v>
      </c>
      <c r="D4" s="221" t="s">
        <v>1014</v>
      </c>
      <c r="E4" s="226" t="s">
        <v>1015</v>
      </c>
      <c r="F4" s="217" t="s">
        <v>1012</v>
      </c>
      <c r="G4" s="225" t="s">
        <v>1015</v>
      </c>
      <c r="H4" s="201" t="s">
        <v>1012</v>
      </c>
      <c r="I4" s="197" t="s">
        <v>1015</v>
      </c>
    </row>
    <row r="5" spans="1:15" ht="14.1" customHeight="1">
      <c r="A5" s="201" t="s">
        <v>1017</v>
      </c>
      <c r="B5" s="256" t="s">
        <v>1018</v>
      </c>
      <c r="C5" s="201" t="s">
        <v>1019</v>
      </c>
      <c r="D5" s="221" t="s">
        <v>1019</v>
      </c>
      <c r="E5" s="257" t="s">
        <v>1020</v>
      </c>
      <c r="F5" s="201" t="s">
        <v>1016</v>
      </c>
      <c r="G5" s="257" t="s">
        <v>1020</v>
      </c>
      <c r="H5" s="201" t="s">
        <v>1016</v>
      </c>
      <c r="I5" s="258" t="s">
        <v>1020</v>
      </c>
    </row>
    <row r="6" spans="1:15" ht="14.1" customHeight="1">
      <c r="A6" s="217"/>
      <c r="B6" s="218"/>
      <c r="C6" s="217"/>
      <c r="D6" s="217"/>
      <c r="E6" s="220"/>
      <c r="F6" s="217"/>
      <c r="G6" s="220"/>
      <c r="H6" s="217"/>
      <c r="I6" s="217"/>
    </row>
    <row r="7" spans="1:15" ht="14.1" customHeight="1">
      <c r="A7" s="3"/>
      <c r="B7" s="229" t="s">
        <v>1021</v>
      </c>
      <c r="C7" s="3"/>
      <c r="D7" s="3"/>
      <c r="E7" s="233">
        <v>102316</v>
      </c>
      <c r="F7" s="233">
        <v>2379</v>
      </c>
      <c r="G7" s="233">
        <v>5144</v>
      </c>
      <c r="H7" s="234">
        <v>302</v>
      </c>
      <c r="I7" s="233">
        <v>26815</v>
      </c>
    </row>
    <row r="8" spans="1:15" ht="14.1" customHeight="1">
      <c r="A8" s="228">
        <v>301190000</v>
      </c>
      <c r="B8" s="229" t="s">
        <v>1388</v>
      </c>
      <c r="C8" s="234" t="s">
        <v>1023</v>
      </c>
      <c r="D8" s="233">
        <v>1379</v>
      </c>
      <c r="E8" s="234">
        <v>11</v>
      </c>
      <c r="F8" s="234">
        <v>0</v>
      </c>
      <c r="G8" s="234">
        <v>0</v>
      </c>
      <c r="H8" s="234">
        <v>1</v>
      </c>
      <c r="I8" s="234">
        <v>11</v>
      </c>
    </row>
    <row r="9" spans="1:15" ht="14.1" customHeight="1">
      <c r="A9" s="228">
        <v>710214000</v>
      </c>
      <c r="B9" s="229" t="s">
        <v>1517</v>
      </c>
      <c r="C9" s="234" t="s">
        <v>1023</v>
      </c>
      <c r="D9" s="233">
        <v>1633</v>
      </c>
      <c r="E9" s="234">
        <v>3</v>
      </c>
      <c r="F9" s="234">
        <v>0</v>
      </c>
      <c r="G9" s="234">
        <v>0</v>
      </c>
      <c r="H9" s="234">
        <v>0</v>
      </c>
      <c r="I9" s="234">
        <v>0</v>
      </c>
    </row>
    <row r="10" spans="1:15" ht="14.1" customHeight="1">
      <c r="A10" s="228">
        <v>904218000</v>
      </c>
      <c r="B10" s="229" t="s">
        <v>1389</v>
      </c>
      <c r="C10" s="234" t="s">
        <v>1023</v>
      </c>
      <c r="D10" s="233">
        <v>17063</v>
      </c>
      <c r="E10" s="234">
        <v>57</v>
      </c>
      <c r="F10" s="234">
        <v>0</v>
      </c>
      <c r="G10" s="234">
        <v>0</v>
      </c>
      <c r="H10" s="234">
        <v>0</v>
      </c>
      <c r="I10" s="234">
        <v>0</v>
      </c>
    </row>
    <row r="11" spans="1:15" ht="14.1" customHeight="1">
      <c r="A11" s="228">
        <v>1515908090</v>
      </c>
      <c r="B11" s="229" t="s">
        <v>1518</v>
      </c>
      <c r="C11" s="234" t="s">
        <v>1023</v>
      </c>
      <c r="D11" s="233">
        <v>72200</v>
      </c>
      <c r="E11" s="234">
        <v>5</v>
      </c>
      <c r="F11" s="234">
        <v>76</v>
      </c>
      <c r="G11" s="234">
        <v>5</v>
      </c>
      <c r="H11" s="234">
        <v>0</v>
      </c>
      <c r="I11" s="234">
        <v>0</v>
      </c>
    </row>
    <row r="12" spans="1:15" ht="14.1" customHeight="1">
      <c r="A12" s="228">
        <v>1518004000</v>
      </c>
      <c r="B12" s="229" t="s">
        <v>1022</v>
      </c>
      <c r="C12" s="234" t="s">
        <v>1023</v>
      </c>
      <c r="D12" s="233">
        <v>156462</v>
      </c>
      <c r="E12" s="234">
        <v>79</v>
      </c>
      <c r="F12" s="234">
        <v>157</v>
      </c>
      <c r="G12" s="234">
        <v>79</v>
      </c>
      <c r="H12" s="234">
        <v>0</v>
      </c>
      <c r="I12" s="234">
        <v>0</v>
      </c>
    </row>
    <row r="13" spans="1:15" ht="14.1" customHeight="1">
      <c r="A13" s="228">
        <v>2517100055</v>
      </c>
      <c r="B13" s="229" t="s">
        <v>1519</v>
      </c>
      <c r="C13" s="234" t="s">
        <v>1052</v>
      </c>
      <c r="D13" s="234">
        <v>429</v>
      </c>
      <c r="E13" s="234">
        <v>114</v>
      </c>
      <c r="F13" s="234">
        <v>449</v>
      </c>
      <c r="G13" s="234">
        <v>114</v>
      </c>
      <c r="H13" s="234">
        <v>0</v>
      </c>
      <c r="I13" s="234">
        <v>0</v>
      </c>
    </row>
    <row r="14" spans="1:15" ht="14.1" customHeight="1">
      <c r="A14" s="228">
        <v>2530908050</v>
      </c>
      <c r="B14" s="229" t="s">
        <v>1520</v>
      </c>
      <c r="C14" s="234" t="s">
        <v>1023</v>
      </c>
      <c r="D14" s="233">
        <v>20803</v>
      </c>
      <c r="E14" s="234">
        <v>18</v>
      </c>
      <c r="F14" s="234">
        <v>21</v>
      </c>
      <c r="G14" s="234">
        <v>18</v>
      </c>
      <c r="H14" s="234">
        <v>0</v>
      </c>
      <c r="I14" s="234">
        <v>0</v>
      </c>
    </row>
    <row r="15" spans="1:15" ht="14.1" customHeight="1">
      <c r="A15" s="228">
        <v>3004909290</v>
      </c>
      <c r="B15" s="229" t="s">
        <v>1027</v>
      </c>
      <c r="C15" s="234" t="s">
        <v>1023</v>
      </c>
      <c r="D15" s="234">
        <v>23</v>
      </c>
      <c r="E15" s="234">
        <v>3</v>
      </c>
      <c r="F15" s="234">
        <v>0</v>
      </c>
      <c r="G15" s="234">
        <v>0</v>
      </c>
      <c r="H15" s="234" t="s">
        <v>546</v>
      </c>
      <c r="I15" s="234">
        <v>3</v>
      </c>
    </row>
    <row r="16" spans="1:15" ht="14.1" customHeight="1">
      <c r="A16" s="228">
        <v>3215113000</v>
      </c>
      <c r="B16" s="229" t="s">
        <v>1521</v>
      </c>
      <c r="C16" s="234" t="s">
        <v>1023</v>
      </c>
      <c r="D16" s="234">
        <v>4</v>
      </c>
      <c r="E16" s="234">
        <v>4</v>
      </c>
      <c r="F16" s="234">
        <v>0</v>
      </c>
      <c r="G16" s="234">
        <v>0</v>
      </c>
      <c r="H16" s="234" t="s">
        <v>546</v>
      </c>
      <c r="I16" s="234">
        <v>4</v>
      </c>
    </row>
    <row r="17" spans="1:9" ht="14.1" customHeight="1">
      <c r="A17" s="228">
        <v>3825100000</v>
      </c>
      <c r="B17" s="229" t="s">
        <v>1522</v>
      </c>
      <c r="C17" s="234" t="s">
        <v>1023</v>
      </c>
      <c r="D17" s="233">
        <v>2236</v>
      </c>
      <c r="E17" s="234">
        <v>9</v>
      </c>
      <c r="F17" s="234">
        <v>2</v>
      </c>
      <c r="G17" s="234">
        <v>9</v>
      </c>
      <c r="H17" s="234">
        <v>0</v>
      </c>
      <c r="I17" s="234">
        <v>0</v>
      </c>
    </row>
    <row r="18" spans="1:9" ht="14.1" customHeight="1">
      <c r="A18" s="228">
        <v>3825900000</v>
      </c>
      <c r="B18" s="229" t="s">
        <v>1165</v>
      </c>
      <c r="C18" s="234" t="s">
        <v>1023</v>
      </c>
      <c r="D18" s="233">
        <v>67583</v>
      </c>
      <c r="E18" s="234">
        <v>86</v>
      </c>
      <c r="F18" s="234">
        <v>75</v>
      </c>
      <c r="G18" s="234">
        <v>86</v>
      </c>
      <c r="H18" s="234">
        <v>0</v>
      </c>
      <c r="I18" s="234">
        <v>0</v>
      </c>
    </row>
    <row r="19" spans="1:9" ht="14.1" customHeight="1">
      <c r="A19" s="228">
        <v>3917390050</v>
      </c>
      <c r="B19" s="229" t="s">
        <v>1523</v>
      </c>
      <c r="C19" s="234" t="s">
        <v>1023</v>
      </c>
      <c r="D19" s="234">
        <v>328</v>
      </c>
      <c r="E19" s="234">
        <v>29</v>
      </c>
      <c r="F19" s="234" t="s">
        <v>546</v>
      </c>
      <c r="G19" s="234">
        <v>2</v>
      </c>
      <c r="H19" s="234" t="s">
        <v>546</v>
      </c>
      <c r="I19" s="234">
        <v>27</v>
      </c>
    </row>
    <row r="20" spans="1:9" ht="14.1" customHeight="1">
      <c r="A20" s="228">
        <v>3919905060</v>
      </c>
      <c r="B20" s="229" t="s">
        <v>1524</v>
      </c>
      <c r="C20" s="234" t="s">
        <v>1296</v>
      </c>
      <c r="D20" s="234">
        <v>63</v>
      </c>
      <c r="E20" s="234">
        <v>1</v>
      </c>
      <c r="F20" s="234" t="s">
        <v>546</v>
      </c>
      <c r="G20" s="234" t="s">
        <v>546</v>
      </c>
      <c r="H20" s="234" t="s">
        <v>546</v>
      </c>
      <c r="I20" s="234" t="s">
        <v>546</v>
      </c>
    </row>
    <row r="21" spans="1:9" ht="14.1" customHeight="1">
      <c r="A21" s="228">
        <v>3923109000</v>
      </c>
      <c r="B21" s="229" t="s">
        <v>1525</v>
      </c>
      <c r="C21" s="234" t="s">
        <v>1023</v>
      </c>
      <c r="D21" s="234">
        <v>162</v>
      </c>
      <c r="E21" s="234">
        <v>1</v>
      </c>
      <c r="F21" s="234">
        <v>0</v>
      </c>
      <c r="G21" s="234">
        <v>0</v>
      </c>
      <c r="H21" s="234" t="s">
        <v>546</v>
      </c>
      <c r="I21" s="234">
        <v>1</v>
      </c>
    </row>
    <row r="22" spans="1:9" ht="14.1" customHeight="1">
      <c r="A22" s="228">
        <v>3926201050</v>
      </c>
      <c r="B22" s="229" t="s">
        <v>1168</v>
      </c>
      <c r="C22" s="234" t="s">
        <v>1169</v>
      </c>
      <c r="D22" s="234">
        <v>263</v>
      </c>
      <c r="E22" s="234">
        <v>4</v>
      </c>
      <c r="F22" s="234">
        <v>0</v>
      </c>
      <c r="G22" s="234">
        <v>0</v>
      </c>
      <c r="H22" s="234">
        <v>0</v>
      </c>
      <c r="I22" s="234">
        <v>0</v>
      </c>
    </row>
    <row r="23" spans="1:9" ht="14.1" customHeight="1">
      <c r="A23" s="228">
        <v>3926305000</v>
      </c>
      <c r="B23" s="229" t="s">
        <v>1526</v>
      </c>
      <c r="C23" s="234" t="s">
        <v>1023</v>
      </c>
      <c r="D23" s="233">
        <v>2150</v>
      </c>
      <c r="E23" s="234">
        <v>1</v>
      </c>
      <c r="F23" s="234">
        <v>2</v>
      </c>
      <c r="G23" s="234">
        <v>1</v>
      </c>
      <c r="H23" s="234">
        <v>0</v>
      </c>
      <c r="I23" s="234">
        <v>0</v>
      </c>
    </row>
    <row r="24" spans="1:9" ht="14.1" customHeight="1">
      <c r="A24" s="228">
        <v>3926904510</v>
      </c>
      <c r="B24" s="229" t="s">
        <v>1527</v>
      </c>
      <c r="C24" s="234" t="s">
        <v>1032</v>
      </c>
      <c r="D24" s="234">
        <v>58</v>
      </c>
      <c r="E24" s="234">
        <v>16</v>
      </c>
      <c r="F24" s="234">
        <v>0</v>
      </c>
      <c r="G24" s="234">
        <v>0</v>
      </c>
      <c r="H24" s="234" t="s">
        <v>546</v>
      </c>
      <c r="I24" s="234">
        <v>16</v>
      </c>
    </row>
    <row r="25" spans="1:9" ht="14.1" customHeight="1">
      <c r="A25" s="228">
        <v>3926904590</v>
      </c>
      <c r="B25" s="229" t="s">
        <v>1289</v>
      </c>
      <c r="C25" s="234" t="s">
        <v>1032</v>
      </c>
      <c r="D25" s="234">
        <v>961</v>
      </c>
      <c r="E25" s="234">
        <v>6</v>
      </c>
      <c r="F25" s="234" t="s">
        <v>546</v>
      </c>
      <c r="G25" s="234">
        <v>2</v>
      </c>
      <c r="H25" s="234" t="s">
        <v>546</v>
      </c>
      <c r="I25" s="234">
        <v>3</v>
      </c>
    </row>
    <row r="26" spans="1:9" ht="14.1" customHeight="1">
      <c r="A26" s="228">
        <v>3926909910</v>
      </c>
      <c r="B26" s="229" t="s">
        <v>1528</v>
      </c>
      <c r="C26" s="234" t="s">
        <v>1032</v>
      </c>
      <c r="D26" s="233">
        <v>1098</v>
      </c>
      <c r="E26" s="234">
        <v>42</v>
      </c>
      <c r="F26" s="234">
        <v>0</v>
      </c>
      <c r="G26" s="234">
        <v>0</v>
      </c>
      <c r="H26" s="234" t="s">
        <v>546</v>
      </c>
      <c r="I26" s="234">
        <v>42</v>
      </c>
    </row>
    <row r="27" spans="1:9" ht="14.1" customHeight="1">
      <c r="A27" s="228">
        <v>3926909990</v>
      </c>
      <c r="B27" s="229" t="s">
        <v>1529</v>
      </c>
      <c r="C27" s="234" t="s">
        <v>1032</v>
      </c>
      <c r="D27" s="234">
        <v>4</v>
      </c>
      <c r="E27" s="234">
        <v>1</v>
      </c>
      <c r="F27" s="234">
        <v>0</v>
      </c>
      <c r="G27" s="234">
        <v>0</v>
      </c>
      <c r="H27" s="234" t="s">
        <v>546</v>
      </c>
      <c r="I27" s="234">
        <v>1</v>
      </c>
    </row>
    <row r="28" spans="1:9" ht="14.1" customHeight="1">
      <c r="A28" s="228">
        <v>4008292000</v>
      </c>
      <c r="B28" s="229" t="s">
        <v>1530</v>
      </c>
      <c r="C28" s="234" t="s">
        <v>1023</v>
      </c>
      <c r="D28" s="234">
        <v>1</v>
      </c>
      <c r="E28" s="234">
        <v>1</v>
      </c>
      <c r="F28" s="234">
        <v>0</v>
      </c>
      <c r="G28" s="234">
        <v>0</v>
      </c>
      <c r="H28" s="234" t="s">
        <v>546</v>
      </c>
      <c r="I28" s="234">
        <v>1</v>
      </c>
    </row>
    <row r="29" spans="1:9" ht="14.1" customHeight="1">
      <c r="A29" s="228">
        <v>4012201010</v>
      </c>
      <c r="B29" s="229" t="s">
        <v>1531</v>
      </c>
      <c r="C29" s="234" t="s">
        <v>1032</v>
      </c>
      <c r="D29" s="234">
        <v>38</v>
      </c>
      <c r="E29" s="234">
        <v>16</v>
      </c>
      <c r="F29" s="234">
        <v>0</v>
      </c>
      <c r="G29" s="234">
        <v>0</v>
      </c>
      <c r="H29" s="234">
        <v>8</v>
      </c>
      <c r="I29" s="234">
        <v>16</v>
      </c>
    </row>
    <row r="30" spans="1:9" ht="14.1" customHeight="1">
      <c r="A30" s="228">
        <v>4012206000</v>
      </c>
      <c r="B30" s="229" t="s">
        <v>1532</v>
      </c>
      <c r="C30" s="234" t="s">
        <v>1032</v>
      </c>
      <c r="D30" s="234">
        <v>601</v>
      </c>
      <c r="E30" s="234">
        <v>30</v>
      </c>
      <c r="F30" s="234">
        <v>26</v>
      </c>
      <c r="G30" s="234">
        <v>30</v>
      </c>
      <c r="H30" s="234">
        <v>0</v>
      </c>
      <c r="I30" s="234">
        <v>0</v>
      </c>
    </row>
    <row r="31" spans="1:9" ht="14.1" customHeight="1">
      <c r="A31" s="228">
        <v>4015110150</v>
      </c>
      <c r="B31" s="229" t="s">
        <v>1533</v>
      </c>
      <c r="C31" s="234" t="s">
        <v>1169</v>
      </c>
      <c r="D31" s="233">
        <v>7500</v>
      </c>
      <c r="E31" s="234">
        <v>6</v>
      </c>
      <c r="F31" s="234">
        <v>0</v>
      </c>
      <c r="G31" s="234">
        <v>0</v>
      </c>
      <c r="H31" s="234" t="s">
        <v>546</v>
      </c>
      <c r="I31" s="234">
        <v>6</v>
      </c>
    </row>
    <row r="32" spans="1:9" ht="14.1" customHeight="1">
      <c r="A32" s="228">
        <v>4015191050</v>
      </c>
      <c r="B32" s="229" t="s">
        <v>1172</v>
      </c>
      <c r="C32" s="234" t="s">
        <v>1169</v>
      </c>
      <c r="D32" s="234">
        <v>48</v>
      </c>
      <c r="E32" s="234">
        <v>1</v>
      </c>
      <c r="F32" s="234">
        <v>0</v>
      </c>
      <c r="G32" s="234">
        <v>0</v>
      </c>
      <c r="H32" s="234">
        <v>0</v>
      </c>
      <c r="I32" s="234">
        <v>0</v>
      </c>
    </row>
    <row r="33" spans="1:9" ht="14.1" customHeight="1">
      <c r="A33" s="228">
        <v>4016910000</v>
      </c>
      <c r="B33" s="229" t="s">
        <v>1534</v>
      </c>
      <c r="C33" s="234" t="s">
        <v>1023</v>
      </c>
      <c r="D33" s="234">
        <v>74</v>
      </c>
      <c r="E33" s="234">
        <v>1</v>
      </c>
      <c r="F33" s="234" t="s">
        <v>546</v>
      </c>
      <c r="G33" s="234">
        <v>1</v>
      </c>
      <c r="H33" s="234">
        <v>0</v>
      </c>
      <c r="I33" s="234">
        <v>0</v>
      </c>
    </row>
    <row r="34" spans="1:9" ht="16.5" customHeight="1">
      <c r="A34" s="231">
        <v>4016931010</v>
      </c>
      <c r="B34" s="235" t="s">
        <v>1535</v>
      </c>
      <c r="C34" s="236" t="s">
        <v>1023</v>
      </c>
      <c r="D34" s="236">
        <v>371</v>
      </c>
      <c r="E34" s="236" t="s">
        <v>546</v>
      </c>
      <c r="F34" s="236" t="s">
        <v>546</v>
      </c>
      <c r="G34" s="236" t="s">
        <v>546</v>
      </c>
      <c r="H34" s="236">
        <v>0</v>
      </c>
      <c r="I34" s="236">
        <v>0</v>
      </c>
    </row>
    <row r="35" spans="1:9" ht="12" customHeight="1">
      <c r="A35" s="2037" t="s">
        <v>1187</v>
      </c>
      <c r="B35" s="2037"/>
      <c r="C35" s="2037"/>
      <c r="D35" s="2037"/>
      <c r="E35" s="2037"/>
      <c r="F35" s="2037"/>
      <c r="G35" s="2037"/>
      <c r="H35" s="30"/>
      <c r="I35" s="30"/>
    </row>
    <row r="36" spans="1:9" ht="12" customHeight="1">
      <c r="A36" s="2037" t="s">
        <v>1056</v>
      </c>
      <c r="B36" s="2037"/>
      <c r="C36" s="2037"/>
      <c r="D36" s="2037"/>
      <c r="E36" s="30"/>
      <c r="F36" s="30"/>
      <c r="G36" s="30"/>
      <c r="H36" s="30"/>
      <c r="I36" s="30"/>
    </row>
    <row r="37" spans="1:9" ht="12" customHeight="1">
      <c r="A37" s="2037" t="s">
        <v>1326</v>
      </c>
      <c r="B37" s="2037"/>
      <c r="C37" s="2037"/>
      <c r="D37" s="2037"/>
      <c r="E37" s="2037"/>
      <c r="F37" s="2037"/>
      <c r="G37" s="2037"/>
      <c r="H37" s="2037"/>
      <c r="I37" s="2037"/>
    </row>
    <row r="38" spans="1:9" ht="12" customHeight="1">
      <c r="A38" s="2037" t="s">
        <v>1327</v>
      </c>
      <c r="B38" s="2037"/>
      <c r="C38" s="2037"/>
      <c r="D38" s="2037"/>
      <c r="E38" s="2037"/>
      <c r="F38" s="30"/>
      <c r="G38" s="30"/>
      <c r="H38" s="30"/>
      <c r="I38" s="30"/>
    </row>
    <row r="39" spans="1:9" ht="12" customHeight="1">
      <c r="A39" s="13" t="s">
        <v>1328</v>
      </c>
      <c r="B39" s="30"/>
      <c r="C39" s="30"/>
      <c r="D39" s="30"/>
      <c r="E39" s="30"/>
      <c r="F39" s="30"/>
      <c r="G39" s="30"/>
      <c r="H39" s="30"/>
      <c r="I39" s="30"/>
    </row>
    <row r="40" spans="1:9" ht="12.95" customHeight="1">
      <c r="A40" s="2"/>
      <c r="B40" s="2"/>
      <c r="C40" s="2"/>
      <c r="D40" s="2"/>
      <c r="E40" s="2"/>
      <c r="F40" s="2"/>
      <c r="G40" s="2"/>
      <c r="H40" s="2"/>
      <c r="I40" s="2"/>
    </row>
    <row r="41" spans="1:9" ht="12.95" customHeight="1">
      <c r="A41" s="2"/>
      <c r="B41" s="2"/>
      <c r="C41" s="2"/>
      <c r="D41" s="2"/>
      <c r="E41" s="2"/>
      <c r="F41" s="2"/>
      <c r="G41" s="2"/>
      <c r="H41" s="2"/>
      <c r="I41" s="2"/>
    </row>
    <row r="42" spans="1:9" ht="12.95" customHeight="1">
      <c r="A42" s="2344" t="s">
        <v>1536</v>
      </c>
      <c r="B42" s="2344"/>
      <c r="C42" s="2344"/>
      <c r="D42" s="2344"/>
      <c r="E42" s="2344"/>
      <c r="F42" s="2344"/>
      <c r="G42" s="2344"/>
      <c r="H42" s="2344"/>
      <c r="I42" s="2"/>
    </row>
    <row r="43" spans="1:9" ht="14.1" customHeight="1">
      <c r="A43" s="108"/>
      <c r="B43" s="191"/>
      <c r="C43" s="114"/>
      <c r="D43" s="2023" t="s">
        <v>1157</v>
      </c>
      <c r="E43" s="2025"/>
      <c r="F43" s="2031" t="s">
        <v>1009</v>
      </c>
      <c r="G43" s="2031"/>
      <c r="H43" s="2330" t="s">
        <v>1010</v>
      </c>
      <c r="I43" s="2331"/>
    </row>
    <row r="44" spans="1:9" ht="16.5" customHeight="1">
      <c r="A44" s="3"/>
      <c r="B44" s="232"/>
      <c r="C44" s="201" t="s">
        <v>1011</v>
      </c>
      <c r="D44" s="2328"/>
      <c r="E44" s="2329"/>
      <c r="F44" s="2031"/>
      <c r="G44" s="2031"/>
      <c r="H44" s="2330"/>
      <c r="I44" s="2331"/>
    </row>
    <row r="45" spans="1:9" ht="14.1" customHeight="1">
      <c r="A45" s="3"/>
      <c r="B45" s="232"/>
      <c r="C45" s="201" t="s">
        <v>1013</v>
      </c>
      <c r="D45" s="221" t="s">
        <v>1014</v>
      </c>
      <c r="E45" s="226" t="s">
        <v>1015</v>
      </c>
      <c r="F45" s="217" t="s">
        <v>1012</v>
      </c>
      <c r="G45" s="225" t="s">
        <v>1015</v>
      </c>
      <c r="H45" s="201" t="s">
        <v>1012</v>
      </c>
      <c r="I45" s="197" t="s">
        <v>1015</v>
      </c>
    </row>
    <row r="46" spans="1:9" ht="16.5" customHeight="1">
      <c r="A46" s="201" t="s">
        <v>1017</v>
      </c>
      <c r="B46" s="256" t="s">
        <v>1018</v>
      </c>
      <c r="C46" s="201" t="s">
        <v>1019</v>
      </c>
      <c r="D46" s="221" t="s">
        <v>1019</v>
      </c>
      <c r="E46" s="257" t="s">
        <v>1020</v>
      </c>
      <c r="F46" s="201" t="s">
        <v>1016</v>
      </c>
      <c r="G46" s="257" t="s">
        <v>1020</v>
      </c>
      <c r="H46" s="201" t="s">
        <v>1016</v>
      </c>
      <c r="I46" s="258" t="s">
        <v>1020</v>
      </c>
    </row>
    <row r="47" spans="1:9" ht="14.1" customHeight="1">
      <c r="A47" s="217"/>
      <c r="B47" s="218"/>
      <c r="C47" s="217"/>
      <c r="D47" s="217"/>
      <c r="E47" s="220"/>
      <c r="F47" s="217"/>
      <c r="G47" s="220"/>
      <c r="H47" s="217"/>
      <c r="I47" s="217"/>
    </row>
    <row r="48" spans="1:9" ht="14.1" customHeight="1">
      <c r="A48" s="228">
        <v>4016931050</v>
      </c>
      <c r="B48" s="229" t="s">
        <v>1537</v>
      </c>
      <c r="C48" s="234" t="s">
        <v>1023</v>
      </c>
      <c r="D48" s="234">
        <v>120</v>
      </c>
      <c r="E48" s="234" t="s">
        <v>546</v>
      </c>
      <c r="F48" s="234" t="s">
        <v>546</v>
      </c>
      <c r="G48" s="234" t="s">
        <v>546</v>
      </c>
      <c r="H48" s="234">
        <v>0</v>
      </c>
      <c r="I48" s="234">
        <v>0</v>
      </c>
    </row>
    <row r="49" spans="1:9" ht="14.1" customHeight="1">
      <c r="A49" s="228">
        <v>4016935010</v>
      </c>
      <c r="B49" s="229" t="s">
        <v>1036</v>
      </c>
      <c r="C49" s="234" t="s">
        <v>1023</v>
      </c>
      <c r="D49" s="234">
        <v>16</v>
      </c>
      <c r="E49" s="234">
        <v>15</v>
      </c>
      <c r="F49" s="234">
        <v>0</v>
      </c>
      <c r="G49" s="234">
        <v>0</v>
      </c>
      <c r="H49" s="234" t="s">
        <v>546</v>
      </c>
      <c r="I49" s="234">
        <v>15</v>
      </c>
    </row>
    <row r="50" spans="1:9" ht="14.1" customHeight="1">
      <c r="A50" s="228">
        <v>4016935050</v>
      </c>
      <c r="B50" s="229" t="s">
        <v>1538</v>
      </c>
      <c r="C50" s="234" t="s">
        <v>1023</v>
      </c>
      <c r="D50" s="234">
        <v>10</v>
      </c>
      <c r="E50" s="234">
        <v>3</v>
      </c>
      <c r="F50" s="234">
        <v>0</v>
      </c>
      <c r="G50" s="234">
        <v>0</v>
      </c>
      <c r="H50" s="234" t="s">
        <v>546</v>
      </c>
      <c r="I50" s="234">
        <v>3</v>
      </c>
    </row>
    <row r="51" spans="1:9" ht="14.1" customHeight="1">
      <c r="A51" s="228">
        <v>4016996050</v>
      </c>
      <c r="B51" s="229" t="s">
        <v>1539</v>
      </c>
      <c r="C51" s="234" t="s">
        <v>1023</v>
      </c>
      <c r="D51" s="234">
        <v>2</v>
      </c>
      <c r="E51" s="234">
        <v>2</v>
      </c>
      <c r="F51" s="234">
        <v>0</v>
      </c>
      <c r="G51" s="234">
        <v>0</v>
      </c>
      <c r="H51" s="234" t="s">
        <v>546</v>
      </c>
      <c r="I51" s="234">
        <v>2</v>
      </c>
    </row>
    <row r="52" spans="1:9" ht="14.1" customHeight="1">
      <c r="A52" s="228">
        <v>4107125000</v>
      </c>
      <c r="B52" s="229" t="s">
        <v>1540</v>
      </c>
      <c r="C52" s="234" t="s">
        <v>1296</v>
      </c>
      <c r="D52" s="234">
        <v>24</v>
      </c>
      <c r="E52" s="234">
        <v>1</v>
      </c>
      <c r="F52" s="234">
        <v>0</v>
      </c>
      <c r="G52" s="234">
        <v>0</v>
      </c>
      <c r="H52" s="234" t="s">
        <v>546</v>
      </c>
      <c r="I52" s="234">
        <v>1</v>
      </c>
    </row>
    <row r="53" spans="1:9" ht="14.1" customHeight="1">
      <c r="A53" s="228">
        <v>4202219000</v>
      </c>
      <c r="B53" s="229" t="s">
        <v>1175</v>
      </c>
      <c r="C53" s="234" t="s">
        <v>1032</v>
      </c>
      <c r="D53" s="234">
        <v>2</v>
      </c>
      <c r="E53" s="234">
        <v>4</v>
      </c>
      <c r="F53" s="234">
        <v>0</v>
      </c>
      <c r="G53" s="234">
        <v>0</v>
      </c>
      <c r="H53" s="234" t="s">
        <v>546</v>
      </c>
      <c r="I53" s="234">
        <v>4</v>
      </c>
    </row>
    <row r="54" spans="1:9" ht="14.1" customHeight="1">
      <c r="A54" s="228">
        <v>4202316000</v>
      </c>
      <c r="B54" s="229" t="s">
        <v>1293</v>
      </c>
      <c r="C54" s="234" t="s">
        <v>1032</v>
      </c>
      <c r="D54" s="234">
        <v>1</v>
      </c>
      <c r="E54" s="234">
        <v>1</v>
      </c>
      <c r="F54" s="234">
        <v>0</v>
      </c>
      <c r="G54" s="234">
        <v>0</v>
      </c>
      <c r="H54" s="234" t="s">
        <v>546</v>
      </c>
      <c r="I54" s="234">
        <v>1</v>
      </c>
    </row>
    <row r="55" spans="1:9" ht="14.1" customHeight="1">
      <c r="A55" s="228">
        <v>4901990010</v>
      </c>
      <c r="B55" s="229" t="s">
        <v>1401</v>
      </c>
      <c r="C55" s="234" t="s">
        <v>1032</v>
      </c>
      <c r="D55" s="234">
        <v>64</v>
      </c>
      <c r="E55" s="234">
        <v>3</v>
      </c>
      <c r="F55" s="234">
        <v>0</v>
      </c>
      <c r="G55" s="234">
        <v>0</v>
      </c>
      <c r="H55" s="234" t="s">
        <v>546</v>
      </c>
      <c r="I55" s="234">
        <v>3</v>
      </c>
    </row>
    <row r="56" spans="1:9" ht="14.1" customHeight="1">
      <c r="A56" s="228">
        <v>4901990050</v>
      </c>
      <c r="B56" s="229" t="s">
        <v>1541</v>
      </c>
      <c r="C56" s="234" t="s">
        <v>1032</v>
      </c>
      <c r="D56" s="234">
        <v>40</v>
      </c>
      <c r="E56" s="234">
        <v>3</v>
      </c>
      <c r="F56" s="234">
        <v>0</v>
      </c>
      <c r="G56" s="234">
        <v>0</v>
      </c>
      <c r="H56" s="234" t="s">
        <v>546</v>
      </c>
      <c r="I56" s="234">
        <v>3</v>
      </c>
    </row>
    <row r="57" spans="1:9" ht="14.1" customHeight="1">
      <c r="A57" s="228">
        <v>4911100080</v>
      </c>
      <c r="B57" s="229" t="s">
        <v>1542</v>
      </c>
      <c r="C57" s="234" t="s">
        <v>1023</v>
      </c>
      <c r="D57" s="234">
        <v>3</v>
      </c>
      <c r="E57" s="234">
        <v>5</v>
      </c>
      <c r="F57" s="234">
        <v>0</v>
      </c>
      <c r="G57" s="234">
        <v>0</v>
      </c>
      <c r="H57" s="234" t="s">
        <v>546</v>
      </c>
      <c r="I57" s="234">
        <v>5</v>
      </c>
    </row>
    <row r="58" spans="1:9" ht="14.1" customHeight="1">
      <c r="A58" s="228">
        <v>4911996000</v>
      </c>
      <c r="B58" s="229" t="s">
        <v>1402</v>
      </c>
      <c r="C58" s="234" t="s">
        <v>1023</v>
      </c>
      <c r="D58" s="234">
        <v>3</v>
      </c>
      <c r="E58" s="234">
        <v>6</v>
      </c>
      <c r="F58" s="234">
        <v>0</v>
      </c>
      <c r="G58" s="234">
        <v>0</v>
      </c>
      <c r="H58" s="234" t="s">
        <v>546</v>
      </c>
      <c r="I58" s="234">
        <v>6</v>
      </c>
    </row>
    <row r="59" spans="1:9" ht="14.1" customHeight="1">
      <c r="A59" s="228">
        <v>5609004000</v>
      </c>
      <c r="B59" s="229" t="s">
        <v>1543</v>
      </c>
      <c r="C59" s="234" t="s">
        <v>1023</v>
      </c>
      <c r="D59" s="234">
        <v>150</v>
      </c>
      <c r="E59" s="234">
        <v>1</v>
      </c>
      <c r="F59" s="234">
        <v>0</v>
      </c>
      <c r="G59" s="234">
        <v>0</v>
      </c>
      <c r="H59" s="234" t="s">
        <v>546</v>
      </c>
      <c r="I59" s="234">
        <v>1</v>
      </c>
    </row>
    <row r="60" spans="1:9" ht="14.1" customHeight="1">
      <c r="A60" s="228">
        <v>5903201800</v>
      </c>
      <c r="B60" s="229" t="s">
        <v>1544</v>
      </c>
      <c r="C60" s="234" t="s">
        <v>1296</v>
      </c>
      <c r="D60" s="233">
        <v>7640</v>
      </c>
      <c r="E60" s="234">
        <v>15</v>
      </c>
      <c r="F60" s="234">
        <v>0</v>
      </c>
      <c r="G60" s="234">
        <v>0</v>
      </c>
      <c r="H60" s="234">
        <v>2</v>
      </c>
      <c r="I60" s="234">
        <v>15</v>
      </c>
    </row>
    <row r="61" spans="1:9" ht="14.1" customHeight="1">
      <c r="A61" s="228">
        <v>6006909000</v>
      </c>
      <c r="B61" s="229" t="s">
        <v>1545</v>
      </c>
      <c r="C61" s="234" t="s">
        <v>1023</v>
      </c>
      <c r="D61" s="234">
        <v>68</v>
      </c>
      <c r="E61" s="234">
        <v>1</v>
      </c>
      <c r="F61" s="234">
        <v>0</v>
      </c>
      <c r="G61" s="234">
        <v>0</v>
      </c>
      <c r="H61" s="234" t="s">
        <v>546</v>
      </c>
      <c r="I61" s="234">
        <v>1</v>
      </c>
    </row>
    <row r="62" spans="1:9" ht="14.1" customHeight="1">
      <c r="A62" s="228">
        <v>6116106500</v>
      </c>
      <c r="B62" s="229" t="s">
        <v>1300</v>
      </c>
      <c r="C62" s="234" t="s">
        <v>1169</v>
      </c>
      <c r="D62" s="234">
        <v>30</v>
      </c>
      <c r="E62" s="234">
        <v>1</v>
      </c>
      <c r="F62" s="234">
        <v>0</v>
      </c>
      <c r="G62" s="234">
        <v>0</v>
      </c>
      <c r="H62" s="234">
        <v>0</v>
      </c>
      <c r="I62" s="234">
        <v>0</v>
      </c>
    </row>
    <row r="63" spans="1:9" ht="14.1" customHeight="1">
      <c r="A63" s="228">
        <v>6116107520</v>
      </c>
      <c r="B63" s="229" t="s">
        <v>1546</v>
      </c>
      <c r="C63" s="234" t="s">
        <v>1169</v>
      </c>
      <c r="D63" s="234">
        <v>9</v>
      </c>
      <c r="E63" s="234">
        <v>1</v>
      </c>
      <c r="F63" s="234">
        <v>0</v>
      </c>
      <c r="G63" s="234">
        <v>0</v>
      </c>
      <c r="H63" s="234">
        <v>0</v>
      </c>
      <c r="I63" s="234">
        <v>0</v>
      </c>
    </row>
    <row r="64" spans="1:9" ht="14.1" customHeight="1">
      <c r="A64" s="228">
        <v>6216001900</v>
      </c>
      <c r="B64" s="229" t="s">
        <v>1547</v>
      </c>
      <c r="C64" s="234" t="s">
        <v>1169</v>
      </c>
      <c r="D64" s="234">
        <v>24</v>
      </c>
      <c r="E64" s="234">
        <v>1</v>
      </c>
      <c r="F64" s="234">
        <v>0</v>
      </c>
      <c r="G64" s="234">
        <v>0</v>
      </c>
      <c r="H64" s="234">
        <v>0</v>
      </c>
      <c r="I64" s="234">
        <v>0</v>
      </c>
    </row>
    <row r="65" spans="1:9" ht="14.1" customHeight="1">
      <c r="A65" s="228">
        <v>6307909825</v>
      </c>
      <c r="B65" s="229" t="s">
        <v>1548</v>
      </c>
      <c r="C65" s="234" t="s">
        <v>1032</v>
      </c>
      <c r="D65" s="234">
        <v>2</v>
      </c>
      <c r="E65" s="234">
        <v>2</v>
      </c>
      <c r="F65" s="234">
        <v>0</v>
      </c>
      <c r="G65" s="234">
        <v>0</v>
      </c>
      <c r="H65" s="234" t="s">
        <v>546</v>
      </c>
      <c r="I65" s="234">
        <v>2</v>
      </c>
    </row>
    <row r="66" spans="1:9" ht="14.1" customHeight="1">
      <c r="A66" s="228">
        <v>6307909875</v>
      </c>
      <c r="B66" s="229" t="s">
        <v>1549</v>
      </c>
      <c r="C66" s="234" t="s">
        <v>1032</v>
      </c>
      <c r="D66" s="233">
        <v>5300</v>
      </c>
      <c r="E66" s="234">
        <v>5</v>
      </c>
      <c r="F66" s="234">
        <v>0</v>
      </c>
      <c r="G66" s="234">
        <v>0</v>
      </c>
      <c r="H66" s="234" t="s">
        <v>546</v>
      </c>
      <c r="I66" s="234">
        <v>5</v>
      </c>
    </row>
    <row r="67" spans="1:9" ht="14.1" customHeight="1">
      <c r="A67" s="228">
        <v>6307909889</v>
      </c>
      <c r="B67" s="229" t="s">
        <v>1550</v>
      </c>
      <c r="C67" s="234" t="s">
        <v>1032</v>
      </c>
      <c r="D67" s="234">
        <v>11</v>
      </c>
      <c r="E67" s="234">
        <v>7</v>
      </c>
      <c r="F67" s="234">
        <v>0</v>
      </c>
      <c r="G67" s="234">
        <v>0</v>
      </c>
      <c r="H67" s="234" t="s">
        <v>546</v>
      </c>
      <c r="I67" s="234">
        <v>7</v>
      </c>
    </row>
    <row r="68" spans="1:9" ht="14.1" customHeight="1">
      <c r="A68" s="228">
        <v>7113192900</v>
      </c>
      <c r="B68" s="229" t="s">
        <v>1196</v>
      </c>
      <c r="C68" s="234" t="s">
        <v>1049</v>
      </c>
      <c r="D68" s="234">
        <v>80</v>
      </c>
      <c r="E68" s="234">
        <v>4</v>
      </c>
      <c r="F68" s="234">
        <v>0</v>
      </c>
      <c r="G68" s="234">
        <v>0</v>
      </c>
      <c r="H68" s="234">
        <v>0</v>
      </c>
      <c r="I68" s="234">
        <v>0</v>
      </c>
    </row>
    <row r="69" spans="1:9" ht="14.1" customHeight="1">
      <c r="A69" s="228">
        <v>7113195090</v>
      </c>
      <c r="B69" s="229" t="s">
        <v>1050</v>
      </c>
      <c r="C69" s="234" t="s">
        <v>1049</v>
      </c>
      <c r="D69" s="234">
        <v>408</v>
      </c>
      <c r="E69" s="234">
        <v>2</v>
      </c>
      <c r="F69" s="234">
        <v>0</v>
      </c>
      <c r="G69" s="234">
        <v>0</v>
      </c>
      <c r="H69" s="234" t="s">
        <v>546</v>
      </c>
      <c r="I69" s="234">
        <v>2</v>
      </c>
    </row>
    <row r="70" spans="1:9" ht="14.1" customHeight="1">
      <c r="A70" s="228">
        <v>7117909000</v>
      </c>
      <c r="B70" s="229" t="s">
        <v>1197</v>
      </c>
      <c r="C70" s="234" t="s">
        <v>1023</v>
      </c>
      <c r="D70" s="234">
        <v>2</v>
      </c>
      <c r="E70" s="234">
        <v>6</v>
      </c>
      <c r="F70" s="234">
        <v>0</v>
      </c>
      <c r="G70" s="234">
        <v>0</v>
      </c>
      <c r="H70" s="234" t="s">
        <v>546</v>
      </c>
      <c r="I70" s="234">
        <v>6</v>
      </c>
    </row>
    <row r="71" spans="1:9" ht="14.1" customHeight="1">
      <c r="A71" s="228">
        <v>7307290090</v>
      </c>
      <c r="B71" s="229" t="s">
        <v>1551</v>
      </c>
      <c r="C71" s="234" t="s">
        <v>1023</v>
      </c>
      <c r="D71" s="234">
        <v>80</v>
      </c>
      <c r="E71" s="234">
        <v>6</v>
      </c>
      <c r="F71" s="234">
        <v>0</v>
      </c>
      <c r="G71" s="234">
        <v>0</v>
      </c>
      <c r="H71" s="234" t="s">
        <v>546</v>
      </c>
      <c r="I71" s="234">
        <v>6</v>
      </c>
    </row>
    <row r="72" spans="1:9" ht="14.1" customHeight="1">
      <c r="A72" s="228">
        <v>7316000000</v>
      </c>
      <c r="B72" s="229" t="s">
        <v>1552</v>
      </c>
      <c r="C72" s="234" t="s">
        <v>1032</v>
      </c>
      <c r="D72" s="234">
        <v>2</v>
      </c>
      <c r="E72" s="234">
        <v>4</v>
      </c>
      <c r="F72" s="234">
        <v>0</v>
      </c>
      <c r="G72" s="234">
        <v>0</v>
      </c>
      <c r="H72" s="234" t="s">
        <v>546</v>
      </c>
      <c r="I72" s="234">
        <v>4</v>
      </c>
    </row>
    <row r="73" spans="1:9" ht="14.1" customHeight="1">
      <c r="A73" s="228">
        <v>7419995050</v>
      </c>
      <c r="B73" s="229" t="s">
        <v>1553</v>
      </c>
      <c r="C73" s="234" t="s">
        <v>1023</v>
      </c>
      <c r="D73" s="234">
        <v>287</v>
      </c>
      <c r="E73" s="234">
        <v>12</v>
      </c>
      <c r="F73" s="234" t="s">
        <v>546</v>
      </c>
      <c r="G73" s="234">
        <v>12</v>
      </c>
      <c r="H73" s="234">
        <v>0</v>
      </c>
      <c r="I73" s="234">
        <v>0</v>
      </c>
    </row>
    <row r="74" spans="1:9" ht="14.1" customHeight="1">
      <c r="A74" s="228">
        <v>8302423065</v>
      </c>
      <c r="B74" s="229" t="s">
        <v>1554</v>
      </c>
      <c r="C74" s="234" t="s">
        <v>1023</v>
      </c>
      <c r="D74" s="234">
        <v>2</v>
      </c>
      <c r="E74" s="234">
        <v>4</v>
      </c>
      <c r="F74" s="234">
        <v>0</v>
      </c>
      <c r="G74" s="234">
        <v>0</v>
      </c>
      <c r="H74" s="234" t="s">
        <v>546</v>
      </c>
      <c r="I74" s="234">
        <v>4</v>
      </c>
    </row>
    <row r="75" spans="1:9" ht="15" customHeight="1">
      <c r="A75" s="231">
        <v>8302496055</v>
      </c>
      <c r="B75" s="235" t="s">
        <v>1555</v>
      </c>
      <c r="C75" s="236" t="s">
        <v>1023</v>
      </c>
      <c r="D75" s="236">
        <v>28</v>
      </c>
      <c r="E75" s="236">
        <v>24</v>
      </c>
      <c r="F75" s="236">
        <v>0</v>
      </c>
      <c r="G75" s="236">
        <v>0</v>
      </c>
      <c r="H75" s="236" t="s">
        <v>546</v>
      </c>
      <c r="I75" s="236">
        <v>24</v>
      </c>
    </row>
    <row r="76" spans="1:9" ht="12.95" customHeight="1">
      <c r="A76" s="2344"/>
      <c r="B76" s="2344"/>
      <c r="C76" s="2344"/>
      <c r="D76" s="2344"/>
      <c r="E76" s="2344"/>
      <c r="F76" s="2344"/>
      <c r="G76" s="2344"/>
      <c r="H76" s="2"/>
      <c r="I76" s="2"/>
    </row>
    <row r="77" spans="1:9" ht="12.95" customHeight="1">
      <c r="A77" s="2"/>
      <c r="B77" s="2"/>
      <c r="C77" s="2"/>
      <c r="D77" s="2"/>
      <c r="E77" s="2"/>
      <c r="F77" s="2"/>
      <c r="G77" s="2"/>
      <c r="H77" s="2"/>
      <c r="I77" s="2"/>
    </row>
    <row r="78" spans="1:9" ht="12.95" customHeight="1">
      <c r="A78" s="2346" t="s">
        <v>1556</v>
      </c>
      <c r="B78" s="2346"/>
      <c r="C78" s="2346"/>
      <c r="D78" s="2346"/>
      <c r="E78" s="2346"/>
      <c r="F78" s="2346"/>
      <c r="G78" s="2346"/>
      <c r="H78" s="2346"/>
      <c r="I78" s="2"/>
    </row>
    <row r="79" spans="1:9" ht="12.95" customHeight="1">
      <c r="A79" s="108"/>
      <c r="B79" s="191"/>
      <c r="C79" s="114"/>
      <c r="D79" s="2023" t="s">
        <v>1157</v>
      </c>
      <c r="E79" s="2025"/>
      <c r="F79" s="2031" t="s">
        <v>1009</v>
      </c>
      <c r="G79" s="2031"/>
      <c r="H79" s="2330" t="s">
        <v>1010</v>
      </c>
      <c r="I79" s="2331"/>
    </row>
    <row r="80" spans="1:9" ht="12.95" customHeight="1">
      <c r="A80" s="3"/>
      <c r="B80" s="232"/>
      <c r="C80" s="201" t="s">
        <v>1011</v>
      </c>
      <c r="D80" s="2328"/>
      <c r="E80" s="2329"/>
      <c r="F80" s="2031"/>
      <c r="G80" s="2031"/>
      <c r="H80" s="2330"/>
      <c r="I80" s="2331"/>
    </row>
    <row r="81" spans="1:9" ht="12.95" customHeight="1">
      <c r="A81" s="3"/>
      <c r="B81" s="232"/>
      <c r="C81" s="201" t="s">
        <v>1013</v>
      </c>
      <c r="D81" s="221" t="s">
        <v>1014</v>
      </c>
      <c r="E81" s="226" t="s">
        <v>1015</v>
      </c>
      <c r="F81" s="217" t="s">
        <v>1012</v>
      </c>
      <c r="G81" s="225" t="s">
        <v>1015</v>
      </c>
      <c r="H81" s="201" t="s">
        <v>1012</v>
      </c>
      <c r="I81" s="197" t="s">
        <v>1015</v>
      </c>
    </row>
    <row r="82" spans="1:9" ht="14.25" customHeight="1">
      <c r="A82" s="208" t="s">
        <v>1017</v>
      </c>
      <c r="B82" s="211" t="s">
        <v>1018</v>
      </c>
      <c r="C82" s="208" t="s">
        <v>1019</v>
      </c>
      <c r="D82" s="222" t="s">
        <v>1019</v>
      </c>
      <c r="E82" s="223" t="s">
        <v>1020</v>
      </c>
      <c r="F82" s="208" t="s">
        <v>1016</v>
      </c>
      <c r="G82" s="223" t="s">
        <v>1020</v>
      </c>
      <c r="H82" s="208" t="s">
        <v>1016</v>
      </c>
      <c r="I82" s="224" t="s">
        <v>1020</v>
      </c>
    </row>
    <row r="83" spans="1:9" ht="17.25" customHeight="1">
      <c r="A83" s="201"/>
      <c r="B83" s="207"/>
      <c r="C83" s="201"/>
      <c r="D83" s="201"/>
      <c r="E83" s="249"/>
      <c r="F83" s="201"/>
      <c r="G83" s="249"/>
      <c r="H83" s="201"/>
      <c r="I83" s="201"/>
    </row>
    <row r="84" spans="1:9" ht="14.1" customHeight="1">
      <c r="A84" s="228">
        <v>8302496085</v>
      </c>
      <c r="B84" s="229" t="s">
        <v>1062</v>
      </c>
      <c r="C84" s="234" t="s">
        <v>1023</v>
      </c>
      <c r="D84" s="234">
        <v>9</v>
      </c>
      <c r="E84" s="234">
        <v>4</v>
      </c>
      <c r="F84" s="234">
        <v>0</v>
      </c>
      <c r="G84" s="234">
        <v>0</v>
      </c>
      <c r="H84" s="234" t="s">
        <v>546</v>
      </c>
      <c r="I84" s="234">
        <v>4</v>
      </c>
    </row>
    <row r="85" spans="1:9" ht="16.5" customHeight="1">
      <c r="A85" s="228">
        <v>8409999990</v>
      </c>
      <c r="B85" s="229" t="s">
        <v>1204</v>
      </c>
      <c r="C85" s="234" t="s">
        <v>1023</v>
      </c>
      <c r="D85" s="233">
        <v>3147</v>
      </c>
      <c r="E85" s="234">
        <v>79</v>
      </c>
      <c r="F85" s="234">
        <v>3</v>
      </c>
      <c r="G85" s="234">
        <v>79</v>
      </c>
      <c r="H85" s="234">
        <v>0</v>
      </c>
      <c r="I85" s="234">
        <v>0</v>
      </c>
    </row>
    <row r="86" spans="1:9" ht="14.1" customHeight="1">
      <c r="A86" s="228">
        <v>8412390040</v>
      </c>
      <c r="B86" s="229" t="s">
        <v>1557</v>
      </c>
      <c r="C86" s="234" t="s">
        <v>1032</v>
      </c>
      <c r="D86" s="234">
        <v>4</v>
      </c>
      <c r="E86" s="234">
        <v>5</v>
      </c>
      <c r="F86" s="234" t="s">
        <v>546</v>
      </c>
      <c r="G86" s="234">
        <v>5</v>
      </c>
      <c r="H86" s="234">
        <v>0</v>
      </c>
      <c r="I86" s="234">
        <v>0</v>
      </c>
    </row>
    <row r="87" spans="1:9" ht="16.5" customHeight="1">
      <c r="A87" s="228">
        <v>8413301000</v>
      </c>
      <c r="B87" s="229" t="s">
        <v>1205</v>
      </c>
      <c r="C87" s="234" t="s">
        <v>1032</v>
      </c>
      <c r="D87" s="233">
        <v>4493</v>
      </c>
      <c r="E87" s="234">
        <v>151</v>
      </c>
      <c r="F87" s="234">
        <v>5</v>
      </c>
      <c r="G87" s="234">
        <v>112</v>
      </c>
      <c r="H87" s="234">
        <v>1</v>
      </c>
      <c r="I87" s="234">
        <v>39</v>
      </c>
    </row>
    <row r="88" spans="1:9" ht="14.1" customHeight="1">
      <c r="A88" s="228">
        <v>8413309060</v>
      </c>
      <c r="B88" s="229" t="s">
        <v>1206</v>
      </c>
      <c r="C88" s="234" t="s">
        <v>1032</v>
      </c>
      <c r="D88" s="234">
        <v>6</v>
      </c>
      <c r="E88" s="234">
        <v>6</v>
      </c>
      <c r="F88" s="234" t="s">
        <v>546</v>
      </c>
      <c r="G88" s="234">
        <v>6</v>
      </c>
      <c r="H88" s="234">
        <v>0</v>
      </c>
      <c r="I88" s="234">
        <v>0</v>
      </c>
    </row>
    <row r="89" spans="1:9" ht="14.1" customHeight="1">
      <c r="A89" s="228">
        <v>8413309090</v>
      </c>
      <c r="B89" s="229" t="s">
        <v>1207</v>
      </c>
      <c r="C89" s="234" t="s">
        <v>1032</v>
      </c>
      <c r="D89" s="234">
        <v>34</v>
      </c>
      <c r="E89" s="234">
        <v>9</v>
      </c>
      <c r="F89" s="234" t="s">
        <v>546</v>
      </c>
      <c r="G89" s="234">
        <v>9</v>
      </c>
      <c r="H89" s="234">
        <v>0</v>
      </c>
      <c r="I89" s="234">
        <v>0</v>
      </c>
    </row>
    <row r="90" spans="1:9" ht="14.1" customHeight="1">
      <c r="A90" s="228">
        <v>8413500080</v>
      </c>
      <c r="B90" s="229" t="s">
        <v>1418</v>
      </c>
      <c r="C90" s="234" t="s">
        <v>1032</v>
      </c>
      <c r="D90" s="234">
        <v>1</v>
      </c>
      <c r="E90" s="234">
        <v>5</v>
      </c>
      <c r="F90" s="234" t="s">
        <v>546</v>
      </c>
      <c r="G90" s="234">
        <v>5</v>
      </c>
      <c r="H90" s="234">
        <v>0</v>
      </c>
      <c r="I90" s="234">
        <v>0</v>
      </c>
    </row>
    <row r="91" spans="1:9" ht="14.1" customHeight="1">
      <c r="A91" s="228">
        <v>8413810040</v>
      </c>
      <c r="B91" s="229" t="s">
        <v>1558</v>
      </c>
      <c r="C91" s="234" t="s">
        <v>1032</v>
      </c>
      <c r="D91" s="234">
        <v>7</v>
      </c>
      <c r="E91" s="234">
        <v>12</v>
      </c>
      <c r="F91" s="234" t="s">
        <v>546</v>
      </c>
      <c r="G91" s="234">
        <v>2</v>
      </c>
      <c r="H91" s="234" t="s">
        <v>546</v>
      </c>
      <c r="I91" s="234">
        <v>10</v>
      </c>
    </row>
    <row r="92" spans="1:9" ht="14.1" customHeight="1">
      <c r="A92" s="228">
        <v>8413911000</v>
      </c>
      <c r="B92" s="229" t="s">
        <v>1559</v>
      </c>
      <c r="C92" s="234" t="s">
        <v>1023</v>
      </c>
      <c r="D92" s="234">
        <v>37</v>
      </c>
      <c r="E92" s="234">
        <v>3</v>
      </c>
      <c r="F92" s="234" t="s">
        <v>546</v>
      </c>
      <c r="G92" s="234">
        <v>3</v>
      </c>
      <c r="H92" s="234">
        <v>0</v>
      </c>
      <c r="I92" s="234">
        <v>0</v>
      </c>
    </row>
    <row r="93" spans="1:9" ht="14.1" customHeight="1">
      <c r="A93" s="228">
        <v>8414596590</v>
      </c>
      <c r="B93" s="229" t="s">
        <v>1419</v>
      </c>
      <c r="C93" s="234" t="s">
        <v>1032</v>
      </c>
      <c r="D93" s="234">
        <v>2</v>
      </c>
      <c r="E93" s="234">
        <v>83</v>
      </c>
      <c r="F93" s="234">
        <v>0</v>
      </c>
      <c r="G93" s="234">
        <v>0</v>
      </c>
      <c r="H93" s="234" t="s">
        <v>546</v>
      </c>
      <c r="I93" s="234">
        <v>83</v>
      </c>
    </row>
    <row r="94" spans="1:9" ht="14.1" customHeight="1">
      <c r="A94" s="228">
        <v>8414596595</v>
      </c>
      <c r="B94" s="229" t="s">
        <v>1066</v>
      </c>
      <c r="C94" s="234" t="s">
        <v>1032</v>
      </c>
      <c r="D94" s="234">
        <v>3</v>
      </c>
      <c r="E94" s="234">
        <v>83</v>
      </c>
      <c r="F94" s="234">
        <v>0</v>
      </c>
      <c r="G94" s="234">
        <v>0</v>
      </c>
      <c r="H94" s="234" t="s">
        <v>546</v>
      </c>
      <c r="I94" s="234">
        <v>83</v>
      </c>
    </row>
    <row r="95" spans="1:9" ht="14.1" customHeight="1">
      <c r="A95" s="228">
        <v>8414800500</v>
      </c>
      <c r="B95" s="229" t="s">
        <v>1209</v>
      </c>
      <c r="C95" s="234" t="s">
        <v>1032</v>
      </c>
      <c r="D95" s="234">
        <v>12</v>
      </c>
      <c r="E95" s="234">
        <v>10</v>
      </c>
      <c r="F95" s="234" t="s">
        <v>546</v>
      </c>
      <c r="G95" s="234">
        <v>10</v>
      </c>
      <c r="H95" s="234">
        <v>0</v>
      </c>
      <c r="I95" s="234">
        <v>0</v>
      </c>
    </row>
    <row r="96" spans="1:9" ht="14.1" customHeight="1">
      <c r="A96" s="228">
        <v>8414809000</v>
      </c>
      <c r="B96" s="229" t="s">
        <v>1317</v>
      </c>
      <c r="C96" s="234" t="s">
        <v>1032</v>
      </c>
      <c r="D96" s="234">
        <v>2</v>
      </c>
      <c r="E96" s="234">
        <v>4</v>
      </c>
      <c r="F96" s="234">
        <v>0</v>
      </c>
      <c r="G96" s="234">
        <v>0</v>
      </c>
      <c r="H96" s="234" t="s">
        <v>546</v>
      </c>
      <c r="I96" s="234">
        <v>4</v>
      </c>
    </row>
    <row r="97" spans="1:9" ht="14.1" customHeight="1">
      <c r="A97" s="228">
        <v>8415820135</v>
      </c>
      <c r="B97" s="229" t="s">
        <v>1560</v>
      </c>
      <c r="C97" s="234" t="s">
        <v>1032</v>
      </c>
      <c r="D97" s="234">
        <v>1</v>
      </c>
      <c r="E97" s="234">
        <v>16</v>
      </c>
      <c r="F97" s="234">
        <v>0</v>
      </c>
      <c r="G97" s="234">
        <v>0</v>
      </c>
      <c r="H97" s="234" t="s">
        <v>546</v>
      </c>
      <c r="I97" s="234">
        <v>16</v>
      </c>
    </row>
    <row r="98" spans="1:9" ht="14.1" customHeight="1">
      <c r="A98" s="228">
        <v>8415908085</v>
      </c>
      <c r="B98" s="229" t="s">
        <v>1212</v>
      </c>
      <c r="C98" s="234" t="s">
        <v>1023</v>
      </c>
      <c r="D98" s="234">
        <v>7</v>
      </c>
      <c r="E98" s="234">
        <v>5</v>
      </c>
      <c r="F98" s="234">
        <v>0</v>
      </c>
      <c r="G98" s="234">
        <v>0</v>
      </c>
      <c r="H98" s="234" t="s">
        <v>546</v>
      </c>
      <c r="I98" s="234">
        <v>5</v>
      </c>
    </row>
    <row r="99" spans="1:9" ht="14.1" customHeight="1">
      <c r="A99" s="228">
        <v>8419505000</v>
      </c>
      <c r="B99" s="229" t="s">
        <v>1423</v>
      </c>
      <c r="C99" s="234" t="s">
        <v>1032</v>
      </c>
      <c r="D99" s="234">
        <v>6</v>
      </c>
      <c r="E99" s="234">
        <v>3</v>
      </c>
      <c r="F99" s="234" t="s">
        <v>546</v>
      </c>
      <c r="G99" s="234">
        <v>3</v>
      </c>
      <c r="H99" s="234">
        <v>0</v>
      </c>
      <c r="I99" s="234">
        <v>0</v>
      </c>
    </row>
    <row r="100" spans="1:9" ht="14.1" customHeight="1">
      <c r="A100" s="228">
        <v>8421394000</v>
      </c>
      <c r="B100" s="229" t="s">
        <v>1216</v>
      </c>
      <c r="C100" s="234" t="s">
        <v>1032</v>
      </c>
      <c r="D100" s="234">
        <v>3</v>
      </c>
      <c r="E100" s="234">
        <v>3</v>
      </c>
      <c r="F100" s="234" t="s">
        <v>546</v>
      </c>
      <c r="G100" s="234">
        <v>3</v>
      </c>
      <c r="H100" s="234">
        <v>0</v>
      </c>
      <c r="I100" s="234">
        <v>0</v>
      </c>
    </row>
    <row r="101" spans="1:9" ht="14.1" customHeight="1">
      <c r="A101" s="228">
        <v>8431491090</v>
      </c>
      <c r="B101" s="229" t="s">
        <v>1561</v>
      </c>
      <c r="C101" s="234" t="s">
        <v>1032</v>
      </c>
      <c r="D101" s="234">
        <v>0</v>
      </c>
      <c r="E101" s="234">
        <v>18</v>
      </c>
      <c r="F101" s="234">
        <v>1</v>
      </c>
      <c r="G101" s="234">
        <v>18</v>
      </c>
      <c r="H101" s="234">
        <v>0</v>
      </c>
      <c r="I101" s="234">
        <v>0</v>
      </c>
    </row>
    <row r="102" spans="1:9" ht="14.1" customHeight="1">
      <c r="A102" s="228">
        <v>8431499095</v>
      </c>
      <c r="B102" s="229" t="s">
        <v>1425</v>
      </c>
      <c r="C102" s="234" t="s">
        <v>1032</v>
      </c>
      <c r="D102" s="234">
        <v>1</v>
      </c>
      <c r="E102" s="234">
        <v>3</v>
      </c>
      <c r="F102" s="234">
        <v>0</v>
      </c>
      <c r="G102" s="234">
        <v>0</v>
      </c>
      <c r="H102" s="234" t="s">
        <v>546</v>
      </c>
      <c r="I102" s="234">
        <v>3</v>
      </c>
    </row>
    <row r="103" spans="1:9" ht="14.1" customHeight="1">
      <c r="A103" s="228">
        <v>8443321040</v>
      </c>
      <c r="B103" s="229" t="s">
        <v>1562</v>
      </c>
      <c r="C103" s="234" t="s">
        <v>1032</v>
      </c>
      <c r="D103" s="234">
        <v>5</v>
      </c>
      <c r="E103" s="234">
        <v>10</v>
      </c>
      <c r="F103" s="234">
        <v>0</v>
      </c>
      <c r="G103" s="234">
        <v>0</v>
      </c>
      <c r="H103" s="234" t="s">
        <v>546</v>
      </c>
      <c r="I103" s="234">
        <v>10</v>
      </c>
    </row>
    <row r="104" spans="1:9" ht="14.1" customHeight="1">
      <c r="A104" s="228">
        <v>8443321090</v>
      </c>
      <c r="B104" s="229" t="s">
        <v>1563</v>
      </c>
      <c r="C104" s="234" t="s">
        <v>1032</v>
      </c>
      <c r="D104" s="234">
        <v>10</v>
      </c>
      <c r="E104" s="234">
        <v>32</v>
      </c>
      <c r="F104" s="234">
        <v>0</v>
      </c>
      <c r="G104" s="234">
        <v>0</v>
      </c>
      <c r="H104" s="234" t="s">
        <v>546</v>
      </c>
      <c r="I104" s="234">
        <v>32</v>
      </c>
    </row>
    <row r="105" spans="1:9" ht="14.1" customHeight="1">
      <c r="A105" s="228">
        <v>8443995050</v>
      </c>
      <c r="B105" s="229" t="s">
        <v>1564</v>
      </c>
      <c r="C105" s="234" t="s">
        <v>1032</v>
      </c>
      <c r="D105" s="234">
        <v>5</v>
      </c>
      <c r="E105" s="234">
        <v>15</v>
      </c>
      <c r="F105" s="234">
        <v>0</v>
      </c>
      <c r="G105" s="234">
        <v>0</v>
      </c>
      <c r="H105" s="234" t="s">
        <v>546</v>
      </c>
      <c r="I105" s="234">
        <v>15</v>
      </c>
    </row>
    <row r="106" spans="1:9" ht="14.1" customHeight="1">
      <c r="A106" s="228">
        <v>8466208040</v>
      </c>
      <c r="B106" s="229" t="s">
        <v>1565</v>
      </c>
      <c r="C106" s="234" t="s">
        <v>1032</v>
      </c>
      <c r="D106" s="234">
        <v>54</v>
      </c>
      <c r="E106" s="234">
        <v>4</v>
      </c>
      <c r="F106" s="234">
        <v>0</v>
      </c>
      <c r="G106" s="234">
        <v>0</v>
      </c>
      <c r="H106" s="234" t="s">
        <v>546</v>
      </c>
      <c r="I106" s="234">
        <v>4</v>
      </c>
    </row>
    <row r="107" spans="1:9" ht="14.1" customHeight="1">
      <c r="A107" s="228">
        <v>8470500060</v>
      </c>
      <c r="B107" s="229" t="s">
        <v>1566</v>
      </c>
      <c r="C107" s="234" t="s">
        <v>1032</v>
      </c>
      <c r="D107" s="234">
        <v>35</v>
      </c>
      <c r="E107" s="234">
        <v>7</v>
      </c>
      <c r="F107" s="234">
        <v>0</v>
      </c>
      <c r="G107" s="234">
        <v>0</v>
      </c>
      <c r="H107" s="234" t="s">
        <v>546</v>
      </c>
      <c r="I107" s="234">
        <v>7</v>
      </c>
    </row>
    <row r="108" spans="1:9" ht="14.1" customHeight="1">
      <c r="A108" s="228">
        <v>8471300100</v>
      </c>
      <c r="B108" s="229" t="s">
        <v>1071</v>
      </c>
      <c r="C108" s="234" t="s">
        <v>1032</v>
      </c>
      <c r="D108" s="234">
        <v>26</v>
      </c>
      <c r="E108" s="234">
        <v>28</v>
      </c>
      <c r="F108" s="234">
        <v>0</v>
      </c>
      <c r="G108" s="234">
        <v>0</v>
      </c>
      <c r="H108" s="234" t="s">
        <v>546</v>
      </c>
      <c r="I108" s="234">
        <v>28</v>
      </c>
    </row>
    <row r="109" spans="1:9" ht="14.1" customHeight="1">
      <c r="A109" s="228">
        <v>8471500150</v>
      </c>
      <c r="B109" s="229" t="s">
        <v>1072</v>
      </c>
      <c r="C109" s="234" t="s">
        <v>1032</v>
      </c>
      <c r="D109" s="234">
        <v>3</v>
      </c>
      <c r="E109" s="234">
        <v>8</v>
      </c>
      <c r="F109" s="234">
        <v>0</v>
      </c>
      <c r="G109" s="234">
        <v>0</v>
      </c>
      <c r="H109" s="234" t="s">
        <v>546</v>
      </c>
      <c r="I109" s="234">
        <v>8</v>
      </c>
    </row>
    <row r="110" spans="1:9" ht="14.1" customHeight="1">
      <c r="A110" s="228">
        <v>8471801000</v>
      </c>
      <c r="B110" s="229" t="s">
        <v>1567</v>
      </c>
      <c r="C110" s="234" t="s">
        <v>1032</v>
      </c>
      <c r="D110" s="234">
        <v>3</v>
      </c>
      <c r="E110" s="234">
        <v>5</v>
      </c>
      <c r="F110" s="234">
        <v>0</v>
      </c>
      <c r="G110" s="234">
        <v>0</v>
      </c>
      <c r="H110" s="234" t="s">
        <v>546</v>
      </c>
      <c r="I110" s="234">
        <v>5</v>
      </c>
    </row>
    <row r="111" spans="1:9" ht="14.1" customHeight="1">
      <c r="A111" s="231">
        <v>8471804000</v>
      </c>
      <c r="B111" s="235" t="s">
        <v>1219</v>
      </c>
      <c r="C111" s="236" t="s">
        <v>1032</v>
      </c>
      <c r="D111" s="236">
        <v>20</v>
      </c>
      <c r="E111" s="236">
        <v>2</v>
      </c>
      <c r="F111" s="236">
        <v>0</v>
      </c>
      <c r="G111" s="236">
        <v>0</v>
      </c>
      <c r="H111" s="236" t="s">
        <v>546</v>
      </c>
      <c r="I111" s="236">
        <v>2</v>
      </c>
    </row>
    <row r="112" spans="1:9" ht="14.1" customHeight="1">
      <c r="A112" s="2346"/>
      <c r="B112" s="2346"/>
      <c r="C112" s="2346"/>
      <c r="D112" s="2346"/>
      <c r="E112" s="2346"/>
      <c r="F112" s="2346"/>
      <c r="G112" s="2346"/>
      <c r="H112" s="3"/>
      <c r="I112" s="3"/>
    </row>
    <row r="113" spans="1:9" ht="14.1" customHeight="1"/>
    <row r="114" spans="1:9" ht="14.1" customHeight="1">
      <c r="A114" s="2346" t="s">
        <v>1568</v>
      </c>
      <c r="B114" s="2346"/>
      <c r="C114" s="2346"/>
      <c r="D114" s="2346"/>
      <c r="E114" s="2346"/>
      <c r="F114" s="2346"/>
      <c r="G114" s="2346"/>
      <c r="H114" s="2346"/>
      <c r="I114" s="2"/>
    </row>
    <row r="115" spans="1:9" ht="14.1" customHeight="1">
      <c r="A115" s="108"/>
      <c r="B115" s="191"/>
      <c r="C115" s="114"/>
      <c r="D115" s="2023" t="s">
        <v>1157</v>
      </c>
      <c r="E115" s="2025"/>
      <c r="F115" s="2031" t="s">
        <v>1009</v>
      </c>
      <c r="G115" s="2031"/>
      <c r="H115" s="2330" t="s">
        <v>1010</v>
      </c>
      <c r="I115" s="2331"/>
    </row>
    <row r="116" spans="1:9" ht="15.75" customHeight="1">
      <c r="A116" s="3"/>
      <c r="B116" s="232"/>
      <c r="C116" s="201" t="s">
        <v>1011</v>
      </c>
      <c r="D116" s="2328"/>
      <c r="E116" s="2329"/>
      <c r="F116" s="2031"/>
      <c r="G116" s="2031"/>
      <c r="H116" s="2330"/>
      <c r="I116" s="2331"/>
    </row>
    <row r="117" spans="1:9" ht="12.95" customHeight="1">
      <c r="A117" s="3"/>
      <c r="B117" s="232"/>
      <c r="C117" s="201" t="s">
        <v>1013</v>
      </c>
      <c r="D117" s="221" t="s">
        <v>1014</v>
      </c>
      <c r="E117" s="226" t="s">
        <v>1015</v>
      </c>
      <c r="F117" s="217" t="s">
        <v>1012</v>
      </c>
      <c r="G117" s="225" t="s">
        <v>1015</v>
      </c>
      <c r="H117" s="201" t="s">
        <v>1012</v>
      </c>
      <c r="I117" s="197" t="s">
        <v>1015</v>
      </c>
    </row>
    <row r="118" spans="1:9" ht="12.95" customHeight="1">
      <c r="A118" s="201" t="s">
        <v>1017</v>
      </c>
      <c r="B118" s="256" t="s">
        <v>1018</v>
      </c>
      <c r="C118" s="201" t="s">
        <v>1019</v>
      </c>
      <c r="D118" s="221" t="s">
        <v>1019</v>
      </c>
      <c r="E118" s="257" t="s">
        <v>1020</v>
      </c>
      <c r="F118" s="201" t="s">
        <v>1016</v>
      </c>
      <c r="G118" s="257" t="s">
        <v>1020</v>
      </c>
      <c r="H118" s="201" t="s">
        <v>1016</v>
      </c>
      <c r="I118" s="258" t="s">
        <v>1020</v>
      </c>
    </row>
    <row r="119" spans="1:9" ht="12.95" customHeight="1">
      <c r="A119" s="217"/>
      <c r="B119" s="218"/>
      <c r="C119" s="217"/>
      <c r="D119" s="217"/>
      <c r="E119" s="220"/>
      <c r="F119" s="217"/>
      <c r="G119" s="220"/>
      <c r="H119" s="217"/>
      <c r="I119" s="217"/>
    </row>
    <row r="120" spans="1:9" ht="12.95" customHeight="1">
      <c r="A120" s="228">
        <v>8473301180</v>
      </c>
      <c r="B120" s="229" t="s">
        <v>1569</v>
      </c>
      <c r="C120" s="234" t="s">
        <v>1032</v>
      </c>
      <c r="D120" s="234">
        <v>4</v>
      </c>
      <c r="E120" s="234">
        <v>9</v>
      </c>
      <c r="F120" s="234">
        <v>0</v>
      </c>
      <c r="G120" s="234">
        <v>0</v>
      </c>
      <c r="H120" s="234" t="s">
        <v>546</v>
      </c>
      <c r="I120" s="234">
        <v>9</v>
      </c>
    </row>
    <row r="121" spans="1:9" ht="12.95" customHeight="1">
      <c r="A121" s="228">
        <v>8473302000</v>
      </c>
      <c r="B121" s="229" t="s">
        <v>1220</v>
      </c>
      <c r="C121" s="234" t="s">
        <v>1032</v>
      </c>
      <c r="D121" s="234">
        <v>5</v>
      </c>
      <c r="E121" s="234">
        <v>25</v>
      </c>
      <c r="F121" s="234">
        <v>0</v>
      </c>
      <c r="G121" s="234">
        <v>0</v>
      </c>
      <c r="H121" s="234" t="s">
        <v>546</v>
      </c>
      <c r="I121" s="234">
        <v>25</v>
      </c>
    </row>
    <row r="122" spans="1:9" ht="12.95" customHeight="1">
      <c r="A122" s="228">
        <v>8479899499</v>
      </c>
      <c r="B122" s="229" t="s">
        <v>1570</v>
      </c>
      <c r="C122" s="234" t="s">
        <v>1032</v>
      </c>
      <c r="D122" s="234">
        <v>4</v>
      </c>
      <c r="E122" s="234">
        <v>8</v>
      </c>
      <c r="F122" s="234">
        <v>0</v>
      </c>
      <c r="G122" s="234">
        <v>0</v>
      </c>
      <c r="H122" s="234" t="s">
        <v>546</v>
      </c>
      <c r="I122" s="234">
        <v>8</v>
      </c>
    </row>
    <row r="123" spans="1:9" ht="14.25" customHeight="1">
      <c r="A123" s="228">
        <v>8479909440</v>
      </c>
      <c r="B123" s="229" t="s">
        <v>1571</v>
      </c>
      <c r="C123" s="234" t="s">
        <v>1032</v>
      </c>
      <c r="D123" s="234">
        <v>1</v>
      </c>
      <c r="E123" s="234">
        <v>7</v>
      </c>
      <c r="F123" s="234">
        <v>0</v>
      </c>
      <c r="G123" s="234">
        <v>0</v>
      </c>
      <c r="H123" s="234" t="s">
        <v>546</v>
      </c>
      <c r="I123" s="234">
        <v>7</v>
      </c>
    </row>
    <row r="124" spans="1:9" ht="21" customHeight="1">
      <c r="A124" s="228">
        <v>8479909496</v>
      </c>
      <c r="B124" s="229" t="s">
        <v>1078</v>
      </c>
      <c r="C124" s="234" t="s">
        <v>1032</v>
      </c>
      <c r="D124" s="234">
        <v>4</v>
      </c>
      <c r="E124" s="234">
        <v>10</v>
      </c>
      <c r="F124" s="234">
        <v>0</v>
      </c>
      <c r="G124" s="234">
        <v>0</v>
      </c>
      <c r="H124" s="234" t="s">
        <v>546</v>
      </c>
      <c r="I124" s="234">
        <v>10</v>
      </c>
    </row>
    <row r="125" spans="1:9" ht="14.1" customHeight="1">
      <c r="A125" s="228">
        <v>8481400000</v>
      </c>
      <c r="B125" s="229" t="s">
        <v>1572</v>
      </c>
      <c r="C125" s="234" t="s">
        <v>1032</v>
      </c>
      <c r="D125" s="234">
        <v>1</v>
      </c>
      <c r="E125" s="234">
        <v>3</v>
      </c>
      <c r="F125" s="234">
        <v>0</v>
      </c>
      <c r="G125" s="234">
        <v>0</v>
      </c>
      <c r="H125" s="234" t="s">
        <v>546</v>
      </c>
      <c r="I125" s="234">
        <v>3</v>
      </c>
    </row>
    <row r="126" spans="1:9" ht="14.1" customHeight="1">
      <c r="A126" s="228">
        <v>8483103050</v>
      </c>
      <c r="B126" s="229" t="s">
        <v>1223</v>
      </c>
      <c r="C126" s="234" t="s">
        <v>1032</v>
      </c>
      <c r="D126" s="234">
        <v>5</v>
      </c>
      <c r="E126" s="234">
        <v>5</v>
      </c>
      <c r="F126" s="234" t="s">
        <v>546</v>
      </c>
      <c r="G126" s="234">
        <v>5</v>
      </c>
      <c r="H126" s="234">
        <v>0</v>
      </c>
      <c r="I126" s="234">
        <v>0</v>
      </c>
    </row>
    <row r="127" spans="1:9" ht="14.1" customHeight="1">
      <c r="A127" s="228">
        <v>8483409000</v>
      </c>
      <c r="B127" s="229" t="s">
        <v>1573</v>
      </c>
      <c r="C127" s="234" t="s">
        <v>1032</v>
      </c>
      <c r="D127" s="234">
        <v>1</v>
      </c>
      <c r="E127" s="234">
        <v>20</v>
      </c>
      <c r="F127" s="234">
        <v>1</v>
      </c>
      <c r="G127" s="234">
        <v>20</v>
      </c>
      <c r="H127" s="234">
        <v>0</v>
      </c>
      <c r="I127" s="234">
        <v>0</v>
      </c>
    </row>
    <row r="128" spans="1:9" ht="17.25" customHeight="1">
      <c r="A128" s="228">
        <v>8483908080</v>
      </c>
      <c r="B128" s="229" t="s">
        <v>1574</v>
      </c>
      <c r="C128" s="234" t="s">
        <v>1023</v>
      </c>
      <c r="D128" s="234">
        <v>89</v>
      </c>
      <c r="E128" s="234">
        <v>2</v>
      </c>
      <c r="F128" s="234" t="s">
        <v>546</v>
      </c>
      <c r="G128" s="234">
        <v>2</v>
      </c>
      <c r="H128" s="234">
        <v>0</v>
      </c>
      <c r="I128" s="234">
        <v>0</v>
      </c>
    </row>
    <row r="129" spans="1:9" ht="14.1" customHeight="1">
      <c r="A129" s="228">
        <v>8501610090</v>
      </c>
      <c r="B129" s="229" t="s">
        <v>1442</v>
      </c>
      <c r="C129" s="234" t="s">
        <v>1032</v>
      </c>
      <c r="D129" s="234">
        <v>1</v>
      </c>
      <c r="E129" s="234">
        <v>39</v>
      </c>
      <c r="F129" s="234">
        <v>0</v>
      </c>
      <c r="G129" s="234">
        <v>0</v>
      </c>
      <c r="H129" s="234" t="s">
        <v>546</v>
      </c>
      <c r="I129" s="234">
        <v>39</v>
      </c>
    </row>
    <row r="130" spans="1:9" ht="14.1" customHeight="1">
      <c r="A130" s="228">
        <v>8504314035</v>
      </c>
      <c r="B130" s="229" t="s">
        <v>1575</v>
      </c>
      <c r="C130" s="234" t="s">
        <v>1032</v>
      </c>
      <c r="D130" s="233">
        <v>1514</v>
      </c>
      <c r="E130" s="234">
        <v>28</v>
      </c>
      <c r="F130" s="234">
        <v>0</v>
      </c>
      <c r="G130" s="234">
        <v>0</v>
      </c>
      <c r="H130" s="234" t="s">
        <v>546</v>
      </c>
      <c r="I130" s="234">
        <v>28</v>
      </c>
    </row>
    <row r="131" spans="1:9" ht="14.1" customHeight="1">
      <c r="A131" s="228">
        <v>8504406018</v>
      </c>
      <c r="B131" s="229" t="s">
        <v>1082</v>
      </c>
      <c r="C131" s="234" t="s">
        <v>1032</v>
      </c>
      <c r="D131" s="234">
        <v>1</v>
      </c>
      <c r="E131" s="234">
        <v>6</v>
      </c>
      <c r="F131" s="234">
        <v>0</v>
      </c>
      <c r="G131" s="234">
        <v>0</v>
      </c>
      <c r="H131" s="234" t="s">
        <v>546</v>
      </c>
      <c r="I131" s="234">
        <v>6</v>
      </c>
    </row>
    <row r="132" spans="1:9" ht="14.1" customHeight="1">
      <c r="A132" s="228">
        <v>8504409550</v>
      </c>
      <c r="B132" s="229" t="s">
        <v>1576</v>
      </c>
      <c r="C132" s="234" t="s">
        <v>1032</v>
      </c>
      <c r="D132" s="234">
        <v>1</v>
      </c>
      <c r="E132" s="234">
        <v>30</v>
      </c>
      <c r="F132" s="234">
        <v>0</v>
      </c>
      <c r="G132" s="234">
        <v>0</v>
      </c>
      <c r="H132" s="234" t="s">
        <v>546</v>
      </c>
      <c r="I132" s="234">
        <v>30</v>
      </c>
    </row>
    <row r="133" spans="1:9" ht="14.1" customHeight="1">
      <c r="A133" s="228">
        <v>8506500000</v>
      </c>
      <c r="B133" s="229" t="s">
        <v>1577</v>
      </c>
      <c r="C133" s="234" t="s">
        <v>1032</v>
      </c>
      <c r="D133" s="234">
        <v>113</v>
      </c>
      <c r="E133" s="234">
        <v>10</v>
      </c>
      <c r="F133" s="234">
        <v>0</v>
      </c>
      <c r="G133" s="234">
        <v>0</v>
      </c>
      <c r="H133" s="234" t="s">
        <v>546</v>
      </c>
      <c r="I133" s="234">
        <v>10</v>
      </c>
    </row>
    <row r="134" spans="1:9" ht="14.1" customHeight="1">
      <c r="A134" s="228">
        <v>8507308010</v>
      </c>
      <c r="B134" s="229" t="s">
        <v>1447</v>
      </c>
      <c r="C134" s="234" t="s">
        <v>1032</v>
      </c>
      <c r="D134" s="234">
        <v>4</v>
      </c>
      <c r="E134" s="234">
        <v>36</v>
      </c>
      <c r="F134" s="234">
        <v>0</v>
      </c>
      <c r="G134" s="234">
        <v>0</v>
      </c>
      <c r="H134" s="234" t="s">
        <v>546</v>
      </c>
      <c r="I134" s="234">
        <v>36</v>
      </c>
    </row>
    <row r="135" spans="1:9" ht="14.1" customHeight="1">
      <c r="A135" s="228">
        <v>8507600020</v>
      </c>
      <c r="B135" s="229" t="s">
        <v>1448</v>
      </c>
      <c r="C135" s="234" t="s">
        <v>1032</v>
      </c>
      <c r="D135" s="234">
        <v>11</v>
      </c>
      <c r="E135" s="234">
        <v>73</v>
      </c>
      <c r="F135" s="234">
        <v>0</v>
      </c>
      <c r="G135" s="234">
        <v>0</v>
      </c>
      <c r="H135" s="234">
        <v>1</v>
      </c>
      <c r="I135" s="234">
        <v>73</v>
      </c>
    </row>
    <row r="136" spans="1:9" ht="14.1" customHeight="1">
      <c r="A136" s="228">
        <v>8510904000</v>
      </c>
      <c r="B136" s="229" t="s">
        <v>1578</v>
      </c>
      <c r="C136" s="234" t="s">
        <v>1023</v>
      </c>
      <c r="D136" s="234">
        <v>75</v>
      </c>
      <c r="E136" s="234">
        <v>9</v>
      </c>
      <c r="F136" s="234">
        <v>0</v>
      </c>
      <c r="G136" s="234">
        <v>0</v>
      </c>
      <c r="H136" s="234" t="s">
        <v>546</v>
      </c>
      <c r="I136" s="234">
        <v>9</v>
      </c>
    </row>
    <row r="137" spans="1:9" ht="14.1" customHeight="1">
      <c r="A137" s="228">
        <v>8511400000</v>
      </c>
      <c r="B137" s="229" t="s">
        <v>1226</v>
      </c>
      <c r="C137" s="234" t="s">
        <v>1032</v>
      </c>
      <c r="D137" s="234">
        <v>46</v>
      </c>
      <c r="E137" s="234">
        <v>17</v>
      </c>
      <c r="F137" s="234">
        <v>1</v>
      </c>
      <c r="G137" s="234">
        <v>17</v>
      </c>
      <c r="H137" s="234">
        <v>0</v>
      </c>
      <c r="I137" s="234">
        <v>0</v>
      </c>
    </row>
    <row r="138" spans="1:9" ht="14.1" customHeight="1">
      <c r="A138" s="228">
        <v>8511500000</v>
      </c>
      <c r="B138" s="229" t="s">
        <v>1227</v>
      </c>
      <c r="C138" s="234" t="s">
        <v>1032</v>
      </c>
      <c r="D138" s="234">
        <v>22</v>
      </c>
      <c r="E138" s="234">
        <v>7</v>
      </c>
      <c r="F138" s="234" t="s">
        <v>546</v>
      </c>
      <c r="G138" s="234">
        <v>7</v>
      </c>
      <c r="H138" s="234">
        <v>0</v>
      </c>
      <c r="I138" s="234">
        <v>0</v>
      </c>
    </row>
    <row r="139" spans="1:9" ht="14.1" customHeight="1">
      <c r="A139" s="228">
        <v>8512202040</v>
      </c>
      <c r="B139" s="229" t="s">
        <v>1579</v>
      </c>
      <c r="C139" s="234" t="s">
        <v>1032</v>
      </c>
      <c r="D139" s="234">
        <v>404</v>
      </c>
      <c r="E139" s="234">
        <v>4</v>
      </c>
      <c r="F139" s="234">
        <v>1</v>
      </c>
      <c r="G139" s="234">
        <v>4</v>
      </c>
      <c r="H139" s="234">
        <v>0</v>
      </c>
      <c r="I139" s="234">
        <v>0</v>
      </c>
    </row>
    <row r="140" spans="1:9" ht="14.1" customHeight="1">
      <c r="A140" s="228">
        <v>8517180050</v>
      </c>
      <c r="B140" s="229" t="s">
        <v>1580</v>
      </c>
      <c r="C140" s="234" t="s">
        <v>1032</v>
      </c>
      <c r="D140" s="234">
        <v>1</v>
      </c>
      <c r="E140" s="234">
        <v>4</v>
      </c>
      <c r="F140" s="234">
        <v>0</v>
      </c>
      <c r="G140" s="234">
        <v>0</v>
      </c>
      <c r="H140" s="234" t="s">
        <v>546</v>
      </c>
      <c r="I140" s="234">
        <v>4</v>
      </c>
    </row>
    <row r="141" spans="1:9" ht="14.1" customHeight="1">
      <c r="A141" s="228">
        <v>8517620020</v>
      </c>
      <c r="B141" s="229" t="s">
        <v>1337</v>
      </c>
      <c r="C141" s="234" t="s">
        <v>1032</v>
      </c>
      <c r="D141" s="234">
        <v>2</v>
      </c>
      <c r="E141" s="234">
        <v>5</v>
      </c>
      <c r="F141" s="234">
        <v>0</v>
      </c>
      <c r="G141" s="234">
        <v>0</v>
      </c>
      <c r="H141" s="234" t="s">
        <v>546</v>
      </c>
      <c r="I141" s="234">
        <v>5</v>
      </c>
    </row>
    <row r="142" spans="1:9" ht="14.1" customHeight="1">
      <c r="A142" s="228">
        <v>8517620090</v>
      </c>
      <c r="B142" s="229" t="s">
        <v>1089</v>
      </c>
      <c r="C142" s="234" t="s">
        <v>1023</v>
      </c>
      <c r="D142" s="234">
        <v>52</v>
      </c>
      <c r="E142" s="234">
        <v>116</v>
      </c>
      <c r="F142" s="234">
        <v>0</v>
      </c>
      <c r="G142" s="234">
        <v>0</v>
      </c>
      <c r="H142" s="234" t="s">
        <v>546</v>
      </c>
      <c r="I142" s="234">
        <v>116</v>
      </c>
    </row>
    <row r="143" spans="1:9" ht="14.1" customHeight="1">
      <c r="A143" s="228">
        <v>8517700000</v>
      </c>
      <c r="B143" s="229" t="s">
        <v>1581</v>
      </c>
      <c r="C143" s="234" t="s">
        <v>1032</v>
      </c>
      <c r="D143" s="234">
        <v>56</v>
      </c>
      <c r="E143" s="234">
        <v>19</v>
      </c>
      <c r="F143" s="234">
        <v>0</v>
      </c>
      <c r="G143" s="234">
        <v>0</v>
      </c>
      <c r="H143" s="234" t="s">
        <v>546</v>
      </c>
      <c r="I143" s="234">
        <v>19</v>
      </c>
    </row>
    <row r="144" spans="1:9" ht="14.1" customHeight="1">
      <c r="A144" s="228">
        <v>8525507050</v>
      </c>
      <c r="B144" s="229" t="s">
        <v>1582</v>
      </c>
      <c r="C144" s="234" t="s">
        <v>1032</v>
      </c>
      <c r="D144" s="234">
        <v>1</v>
      </c>
      <c r="E144" s="234">
        <v>2</v>
      </c>
      <c r="F144" s="234">
        <v>0</v>
      </c>
      <c r="G144" s="234">
        <v>0</v>
      </c>
      <c r="H144" s="234" t="s">
        <v>546</v>
      </c>
      <c r="I144" s="234">
        <v>2</v>
      </c>
    </row>
    <row r="145" spans="1:9" ht="14.1" customHeight="1">
      <c r="A145" s="228">
        <v>8528593350</v>
      </c>
      <c r="B145" s="229" t="s">
        <v>1583</v>
      </c>
      <c r="C145" s="234" t="s">
        <v>1032</v>
      </c>
      <c r="D145" s="234">
        <v>26</v>
      </c>
      <c r="E145" s="234">
        <v>8</v>
      </c>
      <c r="F145" s="234" t="s">
        <v>546</v>
      </c>
      <c r="G145" s="234">
        <v>8</v>
      </c>
      <c r="H145" s="234">
        <v>0</v>
      </c>
      <c r="I145" s="234">
        <v>0</v>
      </c>
    </row>
    <row r="146" spans="1:9" ht="14.1" customHeight="1">
      <c r="A146" s="228">
        <v>8529109100</v>
      </c>
      <c r="B146" s="229" t="s">
        <v>1341</v>
      </c>
      <c r="C146" s="234" t="s">
        <v>1032</v>
      </c>
      <c r="D146" s="234">
        <v>7</v>
      </c>
      <c r="E146" s="234">
        <v>126</v>
      </c>
      <c r="F146" s="234">
        <v>0</v>
      </c>
      <c r="G146" s="234">
        <v>0</v>
      </c>
      <c r="H146" s="234" t="s">
        <v>546</v>
      </c>
      <c r="I146" s="234">
        <v>126</v>
      </c>
    </row>
    <row r="147" spans="1:9" ht="14.1" customHeight="1">
      <c r="A147" s="231">
        <v>8529909760</v>
      </c>
      <c r="B147" s="235" t="s">
        <v>1584</v>
      </c>
      <c r="C147" s="236" t="s">
        <v>1032</v>
      </c>
      <c r="D147" s="236">
        <v>1</v>
      </c>
      <c r="E147" s="236">
        <v>14</v>
      </c>
      <c r="F147" s="236">
        <v>0</v>
      </c>
      <c r="G147" s="236">
        <v>0</v>
      </c>
      <c r="H147" s="236" t="s">
        <v>546</v>
      </c>
      <c r="I147" s="236">
        <v>14</v>
      </c>
    </row>
    <row r="148" spans="1:9" ht="14.1" customHeight="1">
      <c r="A148" s="2346"/>
      <c r="B148" s="2346"/>
      <c r="C148" s="2346"/>
      <c r="D148" s="2346"/>
      <c r="E148" s="2346"/>
      <c r="F148" s="2346"/>
      <c r="G148" s="2346"/>
      <c r="H148" s="3"/>
      <c r="I148" s="3"/>
    </row>
    <row r="149" spans="1:9" ht="14.1" customHeight="1">
      <c r="A149" s="2"/>
      <c r="B149" s="2"/>
      <c r="C149" s="2"/>
      <c r="D149" s="2"/>
      <c r="E149" s="2"/>
      <c r="F149" s="2"/>
      <c r="G149" s="2"/>
      <c r="H149" s="2"/>
      <c r="I149" s="2"/>
    </row>
    <row r="150" spans="1:9" ht="14.1" customHeight="1">
      <c r="A150" s="2346" t="s">
        <v>1585</v>
      </c>
      <c r="B150" s="2346"/>
      <c r="C150" s="2346"/>
      <c r="D150" s="2346"/>
      <c r="E150" s="2346"/>
      <c r="F150" s="2346"/>
      <c r="G150" s="2346"/>
      <c r="H150" s="2346"/>
      <c r="I150" s="2"/>
    </row>
    <row r="151" spans="1:9" ht="14.1" customHeight="1">
      <c r="A151" s="108"/>
      <c r="B151" s="191"/>
      <c r="C151" s="114"/>
      <c r="D151" s="2023" t="s">
        <v>1157</v>
      </c>
      <c r="E151" s="2025"/>
      <c r="F151" s="2031" t="s">
        <v>1009</v>
      </c>
      <c r="G151" s="2031"/>
      <c r="H151" s="2330" t="s">
        <v>1010</v>
      </c>
      <c r="I151" s="2331"/>
    </row>
    <row r="152" spans="1:9" ht="14.1" customHeight="1">
      <c r="A152" s="3"/>
      <c r="B152" s="232"/>
      <c r="C152" s="201" t="s">
        <v>1011</v>
      </c>
      <c r="D152" s="2328"/>
      <c r="E152" s="2329"/>
      <c r="F152" s="2031"/>
      <c r="G152" s="2031"/>
      <c r="H152" s="2330"/>
      <c r="I152" s="2331"/>
    </row>
    <row r="153" spans="1:9" ht="14.1" customHeight="1">
      <c r="A153" s="3"/>
      <c r="B153" s="232"/>
      <c r="C153" s="201" t="s">
        <v>1013</v>
      </c>
      <c r="D153" s="221" t="s">
        <v>1014</v>
      </c>
      <c r="E153" s="226" t="s">
        <v>1015</v>
      </c>
      <c r="F153" s="217" t="s">
        <v>1012</v>
      </c>
      <c r="G153" s="225" t="s">
        <v>1015</v>
      </c>
      <c r="H153" s="201" t="s">
        <v>1012</v>
      </c>
      <c r="I153" s="197" t="s">
        <v>1015</v>
      </c>
    </row>
    <row r="154" spans="1:9" ht="14.1" customHeight="1">
      <c r="A154" s="201" t="s">
        <v>1017</v>
      </c>
      <c r="B154" s="256" t="s">
        <v>1018</v>
      </c>
      <c r="C154" s="201" t="s">
        <v>1019</v>
      </c>
      <c r="D154" s="221" t="s">
        <v>1019</v>
      </c>
      <c r="E154" s="257" t="s">
        <v>1020</v>
      </c>
      <c r="F154" s="201" t="s">
        <v>1016</v>
      </c>
      <c r="G154" s="257" t="s">
        <v>1020</v>
      </c>
      <c r="H154" s="201" t="s">
        <v>1016</v>
      </c>
      <c r="I154" s="258" t="s">
        <v>1020</v>
      </c>
    </row>
    <row r="155" spans="1:9" ht="14.1" customHeight="1">
      <c r="A155" s="217"/>
      <c r="B155" s="218"/>
      <c r="C155" s="217"/>
      <c r="D155" s="217"/>
      <c r="E155" s="220"/>
      <c r="F155" s="217"/>
      <c r="G155" s="220"/>
      <c r="H155" s="217"/>
      <c r="I155" s="217"/>
    </row>
    <row r="156" spans="1:9" ht="15.75" customHeight="1">
      <c r="A156" s="228">
        <v>8531100025</v>
      </c>
      <c r="B156" s="229" t="s">
        <v>1586</v>
      </c>
      <c r="C156" s="234" t="s">
        <v>1032</v>
      </c>
      <c r="D156" s="234">
        <v>2</v>
      </c>
      <c r="E156" s="234">
        <v>6</v>
      </c>
      <c r="F156" s="234">
        <v>0</v>
      </c>
      <c r="G156" s="234">
        <v>0</v>
      </c>
      <c r="H156" s="234" t="s">
        <v>546</v>
      </c>
      <c r="I156" s="234">
        <v>6</v>
      </c>
    </row>
    <row r="157" spans="1:9" ht="15" customHeight="1">
      <c r="A157" s="228">
        <v>8531100045</v>
      </c>
      <c r="B157" s="229" t="s">
        <v>1587</v>
      </c>
      <c r="C157" s="234" t="s">
        <v>1032</v>
      </c>
      <c r="D157" s="234">
        <v>13</v>
      </c>
      <c r="E157" s="234">
        <v>12</v>
      </c>
      <c r="F157" s="234">
        <v>0</v>
      </c>
      <c r="G157" s="234">
        <v>0</v>
      </c>
      <c r="H157" s="234" t="s">
        <v>546</v>
      </c>
      <c r="I157" s="234">
        <v>12</v>
      </c>
    </row>
    <row r="158" spans="1:9" ht="14.1" customHeight="1">
      <c r="A158" s="228">
        <v>8537109150</v>
      </c>
      <c r="B158" s="229" t="s">
        <v>1234</v>
      </c>
      <c r="C158" s="234" t="s">
        <v>1032</v>
      </c>
      <c r="D158" s="234">
        <v>7</v>
      </c>
      <c r="E158" s="234">
        <v>4</v>
      </c>
      <c r="F158" s="234" t="s">
        <v>546</v>
      </c>
      <c r="G158" s="234">
        <v>4</v>
      </c>
      <c r="H158" s="234">
        <v>0</v>
      </c>
      <c r="I158" s="234">
        <v>0</v>
      </c>
    </row>
    <row r="159" spans="1:9" ht="12.95" customHeight="1">
      <c r="A159" s="228">
        <v>8537109160</v>
      </c>
      <c r="B159" s="229" t="s">
        <v>1235</v>
      </c>
      <c r="C159" s="234" t="s">
        <v>1032</v>
      </c>
      <c r="D159" s="234">
        <v>22</v>
      </c>
      <c r="E159" s="234">
        <v>19</v>
      </c>
      <c r="F159" s="234" t="s">
        <v>546</v>
      </c>
      <c r="G159" s="234">
        <v>11</v>
      </c>
      <c r="H159" s="234" t="s">
        <v>546</v>
      </c>
      <c r="I159" s="234">
        <v>8</v>
      </c>
    </row>
    <row r="160" spans="1:9" ht="12.95" customHeight="1">
      <c r="A160" s="228">
        <v>8543704200</v>
      </c>
      <c r="B160" s="229" t="s">
        <v>1588</v>
      </c>
      <c r="C160" s="234" t="s">
        <v>1032</v>
      </c>
      <c r="D160" s="234">
        <v>1</v>
      </c>
      <c r="E160" s="234">
        <v>7</v>
      </c>
      <c r="F160" s="234">
        <v>0</v>
      </c>
      <c r="G160" s="234">
        <v>0</v>
      </c>
      <c r="H160" s="234" t="s">
        <v>546</v>
      </c>
      <c r="I160" s="234">
        <v>7</v>
      </c>
    </row>
    <row r="161" spans="1:9" ht="12.95" customHeight="1">
      <c r="A161" s="228">
        <v>8543704500</v>
      </c>
      <c r="B161" s="229" t="s">
        <v>1347</v>
      </c>
      <c r="C161" s="234" t="s">
        <v>1032</v>
      </c>
      <c r="D161" s="234">
        <v>1</v>
      </c>
      <c r="E161" s="234">
        <v>9</v>
      </c>
      <c r="F161" s="234">
        <v>0</v>
      </c>
      <c r="G161" s="234">
        <v>0</v>
      </c>
      <c r="H161" s="234" t="s">
        <v>546</v>
      </c>
      <c r="I161" s="234">
        <v>9</v>
      </c>
    </row>
    <row r="162" spans="1:9" ht="12.95" customHeight="1">
      <c r="A162" s="228">
        <v>8543709960</v>
      </c>
      <c r="B162" s="229" t="s">
        <v>1099</v>
      </c>
      <c r="C162" s="234" t="s">
        <v>1032</v>
      </c>
      <c r="D162" s="234">
        <v>14</v>
      </c>
      <c r="E162" s="234">
        <v>7</v>
      </c>
      <c r="F162" s="234" t="s">
        <v>546</v>
      </c>
      <c r="G162" s="234">
        <v>7</v>
      </c>
      <c r="H162" s="234">
        <v>0</v>
      </c>
      <c r="I162" s="234">
        <v>0</v>
      </c>
    </row>
    <row r="163" spans="1:9" ht="17.25" customHeight="1">
      <c r="A163" s="228">
        <v>8544300000</v>
      </c>
      <c r="B163" s="229" t="s">
        <v>1589</v>
      </c>
      <c r="C163" s="234" t="s">
        <v>1032</v>
      </c>
      <c r="D163" s="234">
        <v>4</v>
      </c>
      <c r="E163" s="234">
        <v>81</v>
      </c>
      <c r="F163" s="234">
        <v>0</v>
      </c>
      <c r="G163" s="234">
        <v>0</v>
      </c>
      <c r="H163" s="234">
        <v>1</v>
      </c>
      <c r="I163" s="234">
        <v>81</v>
      </c>
    </row>
    <row r="164" spans="1:9" ht="13.5" customHeight="1">
      <c r="A164" s="228">
        <v>8544429090</v>
      </c>
      <c r="B164" s="229" t="s">
        <v>1590</v>
      </c>
      <c r="C164" s="234" t="s">
        <v>1032</v>
      </c>
      <c r="D164" s="234">
        <v>51</v>
      </c>
      <c r="E164" s="234">
        <v>3</v>
      </c>
      <c r="F164" s="234">
        <v>0</v>
      </c>
      <c r="G164" s="234">
        <v>0</v>
      </c>
      <c r="H164" s="234" t="s">
        <v>546</v>
      </c>
      <c r="I164" s="234">
        <v>3</v>
      </c>
    </row>
    <row r="165" spans="1:9" ht="18.75" customHeight="1">
      <c r="A165" s="228">
        <v>8548100540</v>
      </c>
      <c r="B165" s="229" t="s">
        <v>1101</v>
      </c>
      <c r="C165" s="234" t="s">
        <v>1032</v>
      </c>
      <c r="D165" s="233">
        <v>1648</v>
      </c>
      <c r="E165" s="234">
        <v>21</v>
      </c>
      <c r="F165" s="234">
        <v>30</v>
      </c>
      <c r="G165" s="234">
        <v>21</v>
      </c>
      <c r="H165" s="234">
        <v>0</v>
      </c>
      <c r="I165" s="234">
        <v>0</v>
      </c>
    </row>
    <row r="166" spans="1:9" ht="14.1" customHeight="1">
      <c r="A166" s="228">
        <v>8703210150</v>
      </c>
      <c r="B166" s="229" t="s">
        <v>1349</v>
      </c>
      <c r="C166" s="234" t="s">
        <v>1032</v>
      </c>
      <c r="D166" s="234">
        <v>5</v>
      </c>
      <c r="E166" s="234">
        <v>59</v>
      </c>
      <c r="F166" s="234">
        <v>5</v>
      </c>
      <c r="G166" s="234">
        <v>59</v>
      </c>
      <c r="H166" s="234">
        <v>0</v>
      </c>
      <c r="I166" s="234">
        <v>0</v>
      </c>
    </row>
    <row r="167" spans="1:9" ht="16.5" customHeight="1">
      <c r="A167" s="228">
        <v>8703230190</v>
      </c>
      <c r="B167" s="229" t="s">
        <v>1102</v>
      </c>
      <c r="C167" s="234" t="s">
        <v>1032</v>
      </c>
      <c r="D167" s="234">
        <v>7</v>
      </c>
      <c r="E167" s="234">
        <v>122</v>
      </c>
      <c r="F167" s="234">
        <v>11</v>
      </c>
      <c r="G167" s="234">
        <v>122</v>
      </c>
      <c r="H167" s="234">
        <v>0</v>
      </c>
      <c r="I167" s="234">
        <v>0</v>
      </c>
    </row>
    <row r="168" spans="1:9" ht="14.1" customHeight="1">
      <c r="A168" s="228">
        <v>8703240190</v>
      </c>
      <c r="B168" s="229" t="s">
        <v>1241</v>
      </c>
      <c r="C168" s="234" t="s">
        <v>1032</v>
      </c>
      <c r="D168" s="234">
        <v>11</v>
      </c>
      <c r="E168" s="234">
        <v>130</v>
      </c>
      <c r="F168" s="234">
        <v>20</v>
      </c>
      <c r="G168" s="234">
        <v>130</v>
      </c>
      <c r="H168" s="234">
        <v>0</v>
      </c>
      <c r="I168" s="234">
        <v>0</v>
      </c>
    </row>
    <row r="169" spans="1:9" ht="18" customHeight="1">
      <c r="A169" s="228">
        <v>8708295060</v>
      </c>
      <c r="B169" s="229" t="s">
        <v>1591</v>
      </c>
      <c r="C169" s="234" t="s">
        <v>1032</v>
      </c>
      <c r="D169" s="233">
        <v>60667</v>
      </c>
      <c r="E169" s="234">
        <v>58</v>
      </c>
      <c r="F169" s="234">
        <v>3</v>
      </c>
      <c r="G169" s="234">
        <v>58</v>
      </c>
      <c r="H169" s="234">
        <v>0</v>
      </c>
      <c r="I169" s="234">
        <v>0</v>
      </c>
    </row>
    <row r="170" spans="1:9" ht="14.1" customHeight="1">
      <c r="A170" s="228">
        <v>8708706060</v>
      </c>
      <c r="B170" s="229" t="s">
        <v>1592</v>
      </c>
      <c r="C170" s="234" t="s">
        <v>1032</v>
      </c>
      <c r="D170" s="234">
        <v>333</v>
      </c>
      <c r="E170" s="234">
        <v>6</v>
      </c>
      <c r="F170" s="234">
        <v>2</v>
      </c>
      <c r="G170" s="234">
        <v>6</v>
      </c>
      <c r="H170" s="234">
        <v>0</v>
      </c>
      <c r="I170" s="234">
        <v>0</v>
      </c>
    </row>
    <row r="171" spans="1:9" ht="14.1" customHeight="1">
      <c r="A171" s="228">
        <v>8708994850</v>
      </c>
      <c r="B171" s="229" t="s">
        <v>1593</v>
      </c>
      <c r="C171" s="234" t="s">
        <v>1032</v>
      </c>
      <c r="D171" s="234">
        <v>1</v>
      </c>
      <c r="E171" s="234">
        <v>2</v>
      </c>
      <c r="F171" s="234" t="s">
        <v>546</v>
      </c>
      <c r="G171" s="234">
        <v>2</v>
      </c>
      <c r="H171" s="234">
        <v>0</v>
      </c>
      <c r="I171" s="234">
        <v>0</v>
      </c>
    </row>
    <row r="172" spans="1:9" ht="14.1" customHeight="1">
      <c r="A172" s="228">
        <v>8708998180</v>
      </c>
      <c r="B172" s="229" t="s">
        <v>1104</v>
      </c>
      <c r="C172" s="234" t="s">
        <v>1032</v>
      </c>
      <c r="D172" s="233">
        <v>2812</v>
      </c>
      <c r="E172" s="234">
        <v>74</v>
      </c>
      <c r="F172" s="234">
        <v>9</v>
      </c>
      <c r="G172" s="234">
        <v>69</v>
      </c>
      <c r="H172" s="234" t="s">
        <v>546</v>
      </c>
      <c r="I172" s="234">
        <v>5</v>
      </c>
    </row>
    <row r="173" spans="1:9" ht="14.1" customHeight="1">
      <c r="A173" s="228">
        <v>9004100000</v>
      </c>
      <c r="B173" s="229" t="s">
        <v>1469</v>
      </c>
      <c r="C173" s="234" t="s">
        <v>1044</v>
      </c>
      <c r="D173" s="234">
        <v>3</v>
      </c>
      <c r="E173" s="234">
        <v>5</v>
      </c>
      <c r="F173" s="234">
        <v>0</v>
      </c>
      <c r="G173" s="234">
        <v>0</v>
      </c>
      <c r="H173" s="234" t="s">
        <v>546</v>
      </c>
      <c r="I173" s="234">
        <v>5</v>
      </c>
    </row>
    <row r="174" spans="1:9" ht="14.1" customHeight="1">
      <c r="A174" s="228">
        <v>9018902000</v>
      </c>
      <c r="B174" s="229" t="s">
        <v>1253</v>
      </c>
      <c r="C174" s="234" t="s">
        <v>1032</v>
      </c>
      <c r="D174" s="234">
        <v>1</v>
      </c>
      <c r="E174" s="234">
        <v>4</v>
      </c>
      <c r="F174" s="234">
        <v>0</v>
      </c>
      <c r="G174" s="234">
        <v>0</v>
      </c>
      <c r="H174" s="234" t="s">
        <v>546</v>
      </c>
      <c r="I174" s="234">
        <v>4</v>
      </c>
    </row>
    <row r="175" spans="1:9" ht="14.1" customHeight="1">
      <c r="A175" s="228">
        <v>9018908000</v>
      </c>
      <c r="B175" s="229" t="s">
        <v>1360</v>
      </c>
      <c r="C175" s="234" t="s">
        <v>1032</v>
      </c>
      <c r="D175" s="234">
        <v>24</v>
      </c>
      <c r="E175" s="234">
        <v>10</v>
      </c>
      <c r="F175" s="234">
        <v>0</v>
      </c>
      <c r="G175" s="234">
        <v>0</v>
      </c>
      <c r="H175" s="234" t="s">
        <v>546</v>
      </c>
      <c r="I175" s="234">
        <v>10</v>
      </c>
    </row>
    <row r="176" spans="1:9" ht="14.1" customHeight="1">
      <c r="A176" s="228">
        <v>9020006000</v>
      </c>
      <c r="B176" s="229" t="s">
        <v>1594</v>
      </c>
      <c r="C176" s="234" t="s">
        <v>1032</v>
      </c>
      <c r="D176" s="234">
        <v>5</v>
      </c>
      <c r="E176" s="234">
        <v>2</v>
      </c>
      <c r="F176" s="234">
        <v>0</v>
      </c>
      <c r="G176" s="234">
        <v>0</v>
      </c>
      <c r="H176" s="234" t="s">
        <v>546</v>
      </c>
      <c r="I176" s="234">
        <v>2</v>
      </c>
    </row>
    <row r="177" spans="1:9" ht="14.1" customHeight="1">
      <c r="A177" s="228">
        <v>9021400000</v>
      </c>
      <c r="B177" s="229" t="s">
        <v>1362</v>
      </c>
      <c r="C177" s="234" t="s">
        <v>1032</v>
      </c>
      <c r="D177" s="234">
        <v>1</v>
      </c>
      <c r="E177" s="234">
        <v>3</v>
      </c>
      <c r="F177" s="234">
        <v>0</v>
      </c>
      <c r="G177" s="234">
        <v>0</v>
      </c>
      <c r="H177" s="234" t="s">
        <v>546</v>
      </c>
      <c r="I177" s="234">
        <v>3</v>
      </c>
    </row>
    <row r="178" spans="1:9" ht="14.1" customHeight="1">
      <c r="A178" s="228">
        <v>9021500000</v>
      </c>
      <c r="B178" s="229" t="s">
        <v>1595</v>
      </c>
      <c r="C178" s="234" t="s">
        <v>1032</v>
      </c>
      <c r="D178" s="234">
        <v>1</v>
      </c>
      <c r="E178" s="234">
        <v>6</v>
      </c>
      <c r="F178" s="234">
        <v>0</v>
      </c>
      <c r="G178" s="234">
        <v>0</v>
      </c>
      <c r="H178" s="234" t="s">
        <v>546</v>
      </c>
      <c r="I178" s="234">
        <v>6</v>
      </c>
    </row>
    <row r="179" spans="1:9" ht="14.1" customHeight="1">
      <c r="A179" s="228">
        <v>9022900500</v>
      </c>
      <c r="B179" s="229" t="s">
        <v>1596</v>
      </c>
      <c r="C179" s="234" t="s">
        <v>1032</v>
      </c>
      <c r="D179" s="234">
        <v>0</v>
      </c>
      <c r="E179" s="234">
        <v>3</v>
      </c>
      <c r="F179" s="234">
        <v>0</v>
      </c>
      <c r="G179" s="234">
        <v>0</v>
      </c>
      <c r="H179" s="234" t="s">
        <v>546</v>
      </c>
      <c r="I179" s="234">
        <v>3</v>
      </c>
    </row>
    <row r="180" spans="1:9" ht="14.1" customHeight="1">
      <c r="A180" s="228">
        <v>9023000000</v>
      </c>
      <c r="B180" s="229" t="s">
        <v>1597</v>
      </c>
      <c r="C180" s="234" t="s">
        <v>1023</v>
      </c>
      <c r="D180" s="234">
        <v>75</v>
      </c>
      <c r="E180" s="234">
        <v>35</v>
      </c>
      <c r="F180" s="234">
        <v>0</v>
      </c>
      <c r="G180" s="234">
        <v>0</v>
      </c>
      <c r="H180" s="234" t="s">
        <v>546</v>
      </c>
      <c r="I180" s="234">
        <v>35</v>
      </c>
    </row>
    <row r="181" spans="1:9" ht="14.1" customHeight="1">
      <c r="A181" s="228">
        <v>9026204000</v>
      </c>
      <c r="B181" s="229" t="s">
        <v>1598</v>
      </c>
      <c r="C181" s="234" t="s">
        <v>1032</v>
      </c>
      <c r="D181" s="234">
        <v>57</v>
      </c>
      <c r="E181" s="234">
        <v>17</v>
      </c>
      <c r="F181" s="234">
        <v>0</v>
      </c>
      <c r="G181" s="234">
        <v>0</v>
      </c>
      <c r="H181" s="234" t="s">
        <v>546</v>
      </c>
      <c r="I181" s="234">
        <v>17</v>
      </c>
    </row>
    <row r="182" spans="1:9" ht="14.1" customHeight="1">
      <c r="A182" s="228">
        <v>9027106000</v>
      </c>
      <c r="B182" s="229" t="s">
        <v>1114</v>
      </c>
      <c r="C182" s="234" t="s">
        <v>1023</v>
      </c>
      <c r="D182" s="234">
        <v>294</v>
      </c>
      <c r="E182" s="234">
        <v>27</v>
      </c>
      <c r="F182" s="234">
        <v>0</v>
      </c>
      <c r="G182" s="234">
        <v>0</v>
      </c>
      <c r="H182" s="234" t="s">
        <v>546</v>
      </c>
      <c r="I182" s="234">
        <v>27</v>
      </c>
    </row>
    <row r="183" spans="1:9" ht="14.1" customHeight="1">
      <c r="A183" s="231">
        <v>9027504015</v>
      </c>
      <c r="B183" s="235" t="s">
        <v>1371</v>
      </c>
      <c r="C183" s="236" t="s">
        <v>1032</v>
      </c>
      <c r="D183" s="236">
        <v>1</v>
      </c>
      <c r="E183" s="236">
        <v>15</v>
      </c>
      <c r="F183" s="236">
        <v>0</v>
      </c>
      <c r="G183" s="236">
        <v>0</v>
      </c>
      <c r="H183" s="236" t="s">
        <v>546</v>
      </c>
      <c r="I183" s="236">
        <v>15</v>
      </c>
    </row>
    <row r="184" spans="1:9" ht="14.1" customHeight="1">
      <c r="A184" s="2344"/>
      <c r="B184" s="2344"/>
      <c r="C184" s="2344"/>
      <c r="D184" s="2344"/>
      <c r="E184" s="2344"/>
      <c r="F184" s="2344"/>
      <c r="G184" s="2344"/>
      <c r="H184" s="2"/>
      <c r="I184" s="2"/>
    </row>
    <row r="185" spans="1:9" ht="14.1" customHeight="1">
      <c r="A185" s="2"/>
      <c r="B185" s="2"/>
      <c r="C185" s="2"/>
      <c r="D185" s="2"/>
      <c r="E185" s="2"/>
      <c r="F185" s="2"/>
      <c r="G185" s="2"/>
      <c r="H185" s="2"/>
      <c r="I185" s="2"/>
    </row>
    <row r="186" spans="1:9" ht="14.1" customHeight="1">
      <c r="A186" s="2344" t="s">
        <v>1599</v>
      </c>
      <c r="B186" s="2344"/>
      <c r="C186" s="2344"/>
      <c r="D186" s="2344"/>
      <c r="E186" s="2344"/>
      <c r="F186" s="2344"/>
      <c r="G186" s="2344"/>
      <c r="H186" s="2344"/>
      <c r="I186" s="2"/>
    </row>
    <row r="187" spans="1:9" ht="14.1" customHeight="1">
      <c r="A187" s="108"/>
      <c r="B187" s="191"/>
      <c r="C187" s="114"/>
      <c r="D187" s="2023" t="s">
        <v>1157</v>
      </c>
      <c r="E187" s="2025"/>
      <c r="F187" s="2031" t="s">
        <v>1009</v>
      </c>
      <c r="G187" s="2031"/>
      <c r="H187" s="2330" t="s">
        <v>1010</v>
      </c>
      <c r="I187" s="2331"/>
    </row>
    <row r="188" spans="1:9" ht="14.1" customHeight="1">
      <c r="A188" s="3"/>
      <c r="B188" s="232"/>
      <c r="C188" s="201" t="s">
        <v>1011</v>
      </c>
      <c r="D188" s="2328"/>
      <c r="E188" s="2329"/>
      <c r="F188" s="2031"/>
      <c r="G188" s="2031"/>
      <c r="H188" s="2330"/>
      <c r="I188" s="2331"/>
    </row>
    <row r="189" spans="1:9" ht="14.1" customHeight="1">
      <c r="A189" s="3"/>
      <c r="B189" s="232"/>
      <c r="C189" s="201" t="s">
        <v>1013</v>
      </c>
      <c r="D189" s="221" t="s">
        <v>1014</v>
      </c>
      <c r="E189" s="226" t="s">
        <v>1015</v>
      </c>
      <c r="F189" s="217" t="s">
        <v>1012</v>
      </c>
      <c r="G189" s="225" t="s">
        <v>1015</v>
      </c>
      <c r="H189" s="201" t="s">
        <v>1012</v>
      </c>
      <c r="I189" s="197" t="s">
        <v>1015</v>
      </c>
    </row>
    <row r="190" spans="1:9" ht="14.1" customHeight="1">
      <c r="A190" s="208" t="s">
        <v>1017</v>
      </c>
      <c r="B190" s="211" t="s">
        <v>1018</v>
      </c>
      <c r="C190" s="208" t="s">
        <v>1019</v>
      </c>
      <c r="D190" s="222" t="s">
        <v>1019</v>
      </c>
      <c r="E190" s="223" t="s">
        <v>1020</v>
      </c>
      <c r="F190" s="208" t="s">
        <v>1016</v>
      </c>
      <c r="G190" s="223" t="s">
        <v>1020</v>
      </c>
      <c r="H190" s="208" t="s">
        <v>1016</v>
      </c>
      <c r="I190" s="224" t="s">
        <v>1020</v>
      </c>
    </row>
    <row r="191" spans="1:9" ht="14.1" customHeight="1">
      <c r="A191" s="201"/>
      <c r="B191" s="207"/>
      <c r="C191" s="201"/>
      <c r="D191" s="201"/>
      <c r="E191" s="249"/>
      <c r="F191" s="201"/>
      <c r="G191" s="249"/>
      <c r="H191" s="201"/>
      <c r="I191" s="201"/>
    </row>
    <row r="192" spans="1:9" ht="14.1" customHeight="1">
      <c r="A192" s="228">
        <v>9030310000</v>
      </c>
      <c r="B192" s="229" t="s">
        <v>1600</v>
      </c>
      <c r="C192" s="234" t="s">
        <v>1032</v>
      </c>
      <c r="D192" s="234">
        <v>18</v>
      </c>
      <c r="E192" s="234">
        <v>40</v>
      </c>
      <c r="F192" s="234">
        <v>0</v>
      </c>
      <c r="G192" s="234">
        <v>0</v>
      </c>
      <c r="H192" s="234" t="s">
        <v>546</v>
      </c>
      <c r="I192" s="234">
        <v>40</v>
      </c>
    </row>
    <row r="193" spans="1:9" ht="14.1" customHeight="1">
      <c r="A193" s="228">
        <v>9030908961</v>
      </c>
      <c r="B193" s="229" t="s">
        <v>1601</v>
      </c>
      <c r="C193" s="234" t="s">
        <v>1023</v>
      </c>
      <c r="D193" s="234">
        <v>102</v>
      </c>
      <c r="E193" s="234">
        <v>14</v>
      </c>
      <c r="F193" s="234">
        <v>0</v>
      </c>
      <c r="G193" s="234">
        <v>0</v>
      </c>
      <c r="H193" s="234" t="s">
        <v>546</v>
      </c>
      <c r="I193" s="234">
        <v>14</v>
      </c>
    </row>
    <row r="194" spans="1:9" ht="14.1" customHeight="1">
      <c r="A194" s="228">
        <v>9031808085</v>
      </c>
      <c r="B194" s="229" t="s">
        <v>1121</v>
      </c>
      <c r="C194" s="234" t="s">
        <v>1023</v>
      </c>
      <c r="D194" s="234">
        <v>68</v>
      </c>
      <c r="E194" s="234">
        <v>63</v>
      </c>
      <c r="F194" s="234">
        <v>0</v>
      </c>
      <c r="G194" s="234">
        <v>0</v>
      </c>
      <c r="H194" s="234" t="s">
        <v>546</v>
      </c>
      <c r="I194" s="234">
        <v>63</v>
      </c>
    </row>
    <row r="195" spans="1:9" ht="14.1" customHeight="1">
      <c r="A195" s="228">
        <v>9031909195</v>
      </c>
      <c r="B195" s="229" t="s">
        <v>1260</v>
      </c>
      <c r="C195" s="234" t="s">
        <v>1023</v>
      </c>
      <c r="D195" s="234">
        <v>115</v>
      </c>
      <c r="E195" s="234">
        <v>31</v>
      </c>
      <c r="F195" s="234">
        <v>0</v>
      </c>
      <c r="G195" s="234">
        <v>0</v>
      </c>
      <c r="H195" s="234" t="s">
        <v>546</v>
      </c>
      <c r="I195" s="234">
        <v>31</v>
      </c>
    </row>
    <row r="196" spans="1:9" ht="14.1" customHeight="1">
      <c r="A196" s="228">
        <v>9032896025</v>
      </c>
      <c r="B196" s="229" t="s">
        <v>1486</v>
      </c>
      <c r="C196" s="234" t="s">
        <v>1032</v>
      </c>
      <c r="D196" s="233">
        <v>142905</v>
      </c>
      <c r="E196" s="234">
        <v>53</v>
      </c>
      <c r="F196" s="234">
        <v>0</v>
      </c>
      <c r="G196" s="234">
        <v>0</v>
      </c>
      <c r="H196" s="234" t="s">
        <v>546</v>
      </c>
      <c r="I196" s="234">
        <v>53</v>
      </c>
    </row>
    <row r="197" spans="1:9" ht="17.25" customHeight="1">
      <c r="A197" s="228">
        <v>9032896030</v>
      </c>
      <c r="B197" s="229" t="s">
        <v>1122</v>
      </c>
      <c r="C197" s="234" t="s">
        <v>1032</v>
      </c>
      <c r="D197" s="234">
        <v>10</v>
      </c>
      <c r="E197" s="234">
        <v>10</v>
      </c>
      <c r="F197" s="234" t="s">
        <v>546</v>
      </c>
      <c r="G197" s="234">
        <v>3</v>
      </c>
      <c r="H197" s="234" t="s">
        <v>546</v>
      </c>
      <c r="I197" s="234">
        <v>7</v>
      </c>
    </row>
    <row r="198" spans="1:9" ht="16.5" customHeight="1">
      <c r="A198" s="228">
        <v>9032896075</v>
      </c>
      <c r="B198" s="229" t="s">
        <v>1602</v>
      </c>
      <c r="C198" s="234" t="s">
        <v>1023</v>
      </c>
      <c r="D198" s="234">
        <v>1</v>
      </c>
      <c r="E198" s="234">
        <v>6</v>
      </c>
      <c r="F198" s="234">
        <v>0</v>
      </c>
      <c r="G198" s="234">
        <v>0</v>
      </c>
      <c r="H198" s="234" t="s">
        <v>546</v>
      </c>
      <c r="I198" s="234">
        <v>6</v>
      </c>
    </row>
    <row r="199" spans="1:9" ht="12.95" customHeight="1">
      <c r="A199" s="228">
        <v>9032896085</v>
      </c>
      <c r="B199" s="229" t="s">
        <v>1603</v>
      </c>
      <c r="C199" s="234" t="s">
        <v>1023</v>
      </c>
      <c r="D199" s="234">
        <v>217</v>
      </c>
      <c r="E199" s="234">
        <v>53</v>
      </c>
      <c r="F199" s="234">
        <v>0</v>
      </c>
      <c r="G199" s="234">
        <v>0</v>
      </c>
      <c r="H199" s="234" t="s">
        <v>546</v>
      </c>
      <c r="I199" s="234">
        <v>53</v>
      </c>
    </row>
    <row r="200" spans="1:9" ht="12.95" customHeight="1">
      <c r="A200" s="228">
        <v>9401901085</v>
      </c>
      <c r="B200" s="229" t="s">
        <v>1604</v>
      </c>
      <c r="C200" s="234" t="s">
        <v>1032</v>
      </c>
      <c r="D200" s="234">
        <v>32</v>
      </c>
      <c r="E200" s="234">
        <v>1</v>
      </c>
      <c r="F200" s="234" t="s">
        <v>546</v>
      </c>
      <c r="G200" s="234">
        <v>1</v>
      </c>
      <c r="H200" s="234">
        <v>0</v>
      </c>
      <c r="I200" s="234">
        <v>0</v>
      </c>
    </row>
    <row r="201" spans="1:9" ht="12.95" customHeight="1">
      <c r="A201" s="228">
        <v>9405106020</v>
      </c>
      <c r="B201" s="229" t="s">
        <v>1605</v>
      </c>
      <c r="C201" s="234" t="s">
        <v>1032</v>
      </c>
      <c r="D201" s="234">
        <v>4</v>
      </c>
      <c r="E201" s="234">
        <v>5</v>
      </c>
      <c r="F201" s="234">
        <v>0</v>
      </c>
      <c r="G201" s="234">
        <v>0</v>
      </c>
      <c r="H201" s="234" t="s">
        <v>546</v>
      </c>
      <c r="I201" s="234">
        <v>5</v>
      </c>
    </row>
    <row r="202" spans="1:9" ht="12.95" customHeight="1">
      <c r="A202" s="228">
        <v>9405920000</v>
      </c>
      <c r="B202" s="229" t="s">
        <v>1606</v>
      </c>
      <c r="C202" s="234" t="s">
        <v>1023</v>
      </c>
      <c r="D202" s="234">
        <v>6</v>
      </c>
      <c r="E202" s="234">
        <v>7</v>
      </c>
      <c r="F202" s="234">
        <v>0</v>
      </c>
      <c r="G202" s="234">
        <v>0</v>
      </c>
      <c r="H202" s="234" t="s">
        <v>546</v>
      </c>
      <c r="I202" s="234">
        <v>7</v>
      </c>
    </row>
    <row r="203" spans="1:9" ht="15.75" customHeight="1">
      <c r="A203" s="228">
        <v>9405994090</v>
      </c>
      <c r="B203" s="229" t="s">
        <v>1607</v>
      </c>
      <c r="C203" s="234" t="s">
        <v>1023</v>
      </c>
      <c r="D203" s="234">
        <v>1</v>
      </c>
      <c r="E203" s="234">
        <v>1</v>
      </c>
      <c r="F203" s="234">
        <v>0</v>
      </c>
      <c r="G203" s="234">
        <v>0</v>
      </c>
      <c r="H203" s="234" t="s">
        <v>546</v>
      </c>
      <c r="I203" s="234">
        <v>1</v>
      </c>
    </row>
    <row r="204" spans="1:9" ht="16.5" customHeight="1">
      <c r="A204" s="228">
        <v>9504400000</v>
      </c>
      <c r="B204" s="229" t="s">
        <v>1608</v>
      </c>
      <c r="C204" s="234" t="s">
        <v>1609</v>
      </c>
      <c r="D204" s="234">
        <v>5</v>
      </c>
      <c r="E204" s="234">
        <v>5</v>
      </c>
      <c r="F204" s="234">
        <v>0</v>
      </c>
      <c r="G204" s="234">
        <v>0</v>
      </c>
      <c r="H204" s="234">
        <v>1</v>
      </c>
      <c r="I204" s="234">
        <v>5</v>
      </c>
    </row>
    <row r="205" spans="1:9" ht="12" customHeight="1">
      <c r="A205" s="228">
        <v>9506996080</v>
      </c>
      <c r="B205" s="229" t="s">
        <v>1382</v>
      </c>
      <c r="C205" s="234" t="s">
        <v>1032</v>
      </c>
      <c r="D205" s="234">
        <v>1</v>
      </c>
      <c r="E205" s="234">
        <v>3</v>
      </c>
      <c r="F205" s="234">
        <v>0</v>
      </c>
      <c r="G205" s="234">
        <v>0</v>
      </c>
      <c r="H205" s="234" t="s">
        <v>546</v>
      </c>
      <c r="I205" s="234">
        <v>3</v>
      </c>
    </row>
    <row r="206" spans="1:9" ht="17.25" customHeight="1">
      <c r="A206" s="228">
        <v>9801001027</v>
      </c>
      <c r="B206" s="229" t="s">
        <v>1126</v>
      </c>
      <c r="C206" s="234" t="s">
        <v>1023</v>
      </c>
      <c r="D206" s="234">
        <v>7</v>
      </c>
      <c r="E206" s="234">
        <v>6</v>
      </c>
      <c r="F206" s="234">
        <v>0</v>
      </c>
      <c r="G206" s="234">
        <v>0</v>
      </c>
      <c r="H206" s="234" t="s">
        <v>546</v>
      </c>
      <c r="I206" s="234">
        <v>6</v>
      </c>
    </row>
    <row r="207" spans="1:9" ht="14.1" customHeight="1">
      <c r="A207" s="228">
        <v>9801001028</v>
      </c>
      <c r="B207" s="229" t="s">
        <v>1127</v>
      </c>
      <c r="C207" s="234" t="s">
        <v>1023</v>
      </c>
      <c r="D207" s="234">
        <v>535</v>
      </c>
      <c r="E207" s="234">
        <v>159</v>
      </c>
      <c r="F207" s="234">
        <v>0</v>
      </c>
      <c r="G207" s="234">
        <v>0</v>
      </c>
      <c r="H207" s="234">
        <v>1</v>
      </c>
      <c r="I207" s="234">
        <v>159</v>
      </c>
    </row>
    <row r="208" spans="1:9" ht="17.25" customHeight="1">
      <c r="A208" s="228">
        <v>9801001030</v>
      </c>
      <c r="B208" s="229" t="s">
        <v>1128</v>
      </c>
      <c r="C208" s="234" t="s">
        <v>1129</v>
      </c>
      <c r="D208" s="234">
        <v>36</v>
      </c>
      <c r="E208" s="234">
        <v>235</v>
      </c>
      <c r="F208" s="234">
        <v>0</v>
      </c>
      <c r="G208" s="234">
        <v>0</v>
      </c>
      <c r="H208" s="234" t="s">
        <v>546</v>
      </c>
      <c r="I208" s="234">
        <v>226</v>
      </c>
    </row>
    <row r="209" spans="1:9" ht="14.1" customHeight="1">
      <c r="A209" s="228">
        <v>9801001031</v>
      </c>
      <c r="B209" s="229" t="s">
        <v>1130</v>
      </c>
      <c r="C209" s="234" t="s">
        <v>1129</v>
      </c>
      <c r="D209" s="234">
        <v>0</v>
      </c>
      <c r="E209" s="234">
        <v>76</v>
      </c>
      <c r="F209" s="234">
        <v>0</v>
      </c>
      <c r="G209" s="234">
        <v>0</v>
      </c>
      <c r="H209" s="234" t="s">
        <v>546</v>
      </c>
      <c r="I209" s="234">
        <v>76</v>
      </c>
    </row>
    <row r="210" spans="1:9" ht="17.25" customHeight="1">
      <c r="A210" s="228">
        <v>9801001035</v>
      </c>
      <c r="B210" s="229" t="s">
        <v>1131</v>
      </c>
      <c r="C210" s="234" t="s">
        <v>1032</v>
      </c>
      <c r="D210" s="234">
        <v>444</v>
      </c>
      <c r="E210" s="233">
        <v>4841</v>
      </c>
      <c r="F210" s="234">
        <v>0</v>
      </c>
      <c r="G210" s="234">
        <v>0</v>
      </c>
      <c r="H210" s="234">
        <v>6</v>
      </c>
      <c r="I210" s="233">
        <v>4841</v>
      </c>
    </row>
    <row r="211" spans="1:9" ht="14.1" customHeight="1">
      <c r="A211" s="228">
        <v>9801001037</v>
      </c>
      <c r="B211" s="229" t="s">
        <v>1610</v>
      </c>
      <c r="C211" s="234" t="s">
        <v>1032</v>
      </c>
      <c r="D211" s="234">
        <v>450</v>
      </c>
      <c r="E211" s="234">
        <v>55</v>
      </c>
      <c r="F211" s="234">
        <v>3</v>
      </c>
      <c r="G211" s="234">
        <v>10</v>
      </c>
      <c r="H211" s="234" t="s">
        <v>546</v>
      </c>
      <c r="I211" s="234">
        <v>45</v>
      </c>
    </row>
    <row r="212" spans="1:9" ht="14.1" customHeight="1">
      <c r="A212" s="228">
        <v>9801001043</v>
      </c>
      <c r="B212" s="229" t="s">
        <v>1133</v>
      </c>
      <c r="C212" s="234" t="s">
        <v>1032</v>
      </c>
      <c r="D212" s="233">
        <v>3488</v>
      </c>
      <c r="E212" s="233">
        <v>1676</v>
      </c>
      <c r="F212" s="234">
        <v>3</v>
      </c>
      <c r="G212" s="234">
        <v>33</v>
      </c>
      <c r="H212" s="234">
        <v>3</v>
      </c>
      <c r="I212" s="233">
        <v>1643</v>
      </c>
    </row>
    <row r="213" spans="1:9" ht="14.1" customHeight="1">
      <c r="A213" s="228">
        <v>9801001045</v>
      </c>
      <c r="B213" s="229" t="s">
        <v>1134</v>
      </c>
      <c r="C213" s="234" t="s">
        <v>1129</v>
      </c>
      <c r="D213" s="234">
        <v>497</v>
      </c>
      <c r="E213" s="233">
        <v>3134</v>
      </c>
      <c r="F213" s="234">
        <v>84</v>
      </c>
      <c r="G213" s="233">
        <v>1023</v>
      </c>
      <c r="H213" s="234">
        <v>5</v>
      </c>
      <c r="I213" s="233">
        <v>2111</v>
      </c>
    </row>
    <row r="214" spans="1:9" ht="14.1" customHeight="1">
      <c r="A214" s="228">
        <v>9801001049</v>
      </c>
      <c r="B214" s="229" t="s">
        <v>1135</v>
      </c>
      <c r="C214" s="234" t="s">
        <v>1032</v>
      </c>
      <c r="D214" s="234">
        <v>411</v>
      </c>
      <c r="E214" s="234">
        <v>461</v>
      </c>
      <c r="F214" s="234">
        <v>0</v>
      </c>
      <c r="G214" s="234">
        <v>0</v>
      </c>
      <c r="H214" s="234" t="s">
        <v>546</v>
      </c>
      <c r="I214" s="234">
        <v>461</v>
      </c>
    </row>
    <row r="215" spans="1:9" ht="14.1" customHeight="1">
      <c r="A215" s="228">
        <v>9801001051</v>
      </c>
      <c r="B215" s="229" t="s">
        <v>1136</v>
      </c>
      <c r="C215" s="234" t="s">
        <v>1032</v>
      </c>
      <c r="D215" s="233">
        <v>1200</v>
      </c>
      <c r="E215" s="234">
        <v>549</v>
      </c>
      <c r="F215" s="234">
        <v>0</v>
      </c>
      <c r="G215" s="234">
        <v>0</v>
      </c>
      <c r="H215" s="234">
        <v>1</v>
      </c>
      <c r="I215" s="234">
        <v>549</v>
      </c>
    </row>
    <row r="216" spans="1:9" ht="14.1" customHeight="1">
      <c r="A216" s="228">
        <v>9801001053</v>
      </c>
      <c r="B216" s="229" t="s">
        <v>1137</v>
      </c>
      <c r="C216" s="234" t="s">
        <v>1032</v>
      </c>
      <c r="D216" s="233">
        <v>28953</v>
      </c>
      <c r="E216" s="233">
        <v>3414</v>
      </c>
      <c r="F216" s="234">
        <v>0</v>
      </c>
      <c r="G216" s="234">
        <v>0</v>
      </c>
      <c r="H216" s="234">
        <v>5</v>
      </c>
      <c r="I216" s="233">
        <v>3414</v>
      </c>
    </row>
    <row r="217" spans="1:9" ht="14.1" customHeight="1">
      <c r="A217" s="228">
        <v>9801001055</v>
      </c>
      <c r="B217" s="229" t="s">
        <v>1138</v>
      </c>
      <c r="C217" s="234" t="s">
        <v>1129</v>
      </c>
      <c r="D217" s="233">
        <v>1120</v>
      </c>
      <c r="E217" s="233">
        <v>4151</v>
      </c>
      <c r="F217" s="234">
        <v>177</v>
      </c>
      <c r="G217" s="234">
        <v>339</v>
      </c>
      <c r="H217" s="234">
        <v>3</v>
      </c>
      <c r="I217" s="233">
        <v>3813</v>
      </c>
    </row>
    <row r="218" spans="1:9" ht="14.1" customHeight="1">
      <c r="A218" s="228">
        <v>9801001063</v>
      </c>
      <c r="B218" s="229" t="s">
        <v>1140</v>
      </c>
      <c r="C218" s="234" t="s">
        <v>1032</v>
      </c>
      <c r="D218" s="234">
        <v>1</v>
      </c>
      <c r="E218" s="234">
        <v>146</v>
      </c>
      <c r="F218" s="234">
        <v>20</v>
      </c>
      <c r="G218" s="234">
        <v>146</v>
      </c>
      <c r="H218" s="234">
        <v>0</v>
      </c>
      <c r="I218" s="234">
        <v>0</v>
      </c>
    </row>
    <row r="219" spans="1:9" ht="14.1" customHeight="1">
      <c r="A219" s="228">
        <v>9801001065</v>
      </c>
      <c r="B219" s="229" t="s">
        <v>1141</v>
      </c>
      <c r="C219" s="234" t="s">
        <v>1032</v>
      </c>
      <c r="D219" s="234">
        <v>61</v>
      </c>
      <c r="E219" s="234">
        <v>218</v>
      </c>
      <c r="F219" s="234">
        <v>27</v>
      </c>
      <c r="G219" s="234">
        <v>218</v>
      </c>
      <c r="H219" s="234">
        <v>0</v>
      </c>
      <c r="I219" s="234">
        <v>0</v>
      </c>
    </row>
    <row r="220" spans="1:9" ht="14.1" customHeight="1">
      <c r="A220" s="2347"/>
      <c r="B220" s="2347"/>
      <c r="C220" s="2347"/>
      <c r="D220" s="2347"/>
      <c r="E220" s="2347"/>
      <c r="F220" s="2347"/>
      <c r="G220" s="2347"/>
      <c r="H220" s="108"/>
      <c r="I220" s="108"/>
    </row>
    <row r="221" spans="1:9" ht="14.1" customHeight="1">
      <c r="A221" s="2"/>
      <c r="B221" s="2"/>
      <c r="C221" s="2"/>
      <c r="D221" s="2"/>
      <c r="E221" s="2"/>
      <c r="F221" s="2"/>
      <c r="G221" s="2"/>
      <c r="H221" s="2"/>
      <c r="I221" s="2"/>
    </row>
    <row r="222" spans="1:9" ht="14.1" customHeight="1">
      <c r="A222" s="2346" t="s">
        <v>1611</v>
      </c>
      <c r="B222" s="2346"/>
      <c r="C222" s="2346"/>
      <c r="D222" s="2346"/>
      <c r="E222" s="2346"/>
      <c r="F222" s="2346"/>
      <c r="G222" s="2346"/>
      <c r="H222" s="2346"/>
      <c r="I222" s="2"/>
    </row>
    <row r="223" spans="1:9" ht="14.1" customHeight="1">
      <c r="A223" s="108"/>
      <c r="B223" s="191"/>
      <c r="C223" s="114"/>
      <c r="D223" s="2023" t="s">
        <v>1157</v>
      </c>
      <c r="E223" s="2025"/>
      <c r="F223" s="2031" t="s">
        <v>1009</v>
      </c>
      <c r="G223" s="2031"/>
      <c r="H223" s="2330" t="s">
        <v>1010</v>
      </c>
      <c r="I223" s="2331"/>
    </row>
    <row r="224" spans="1:9" ht="14.1" customHeight="1">
      <c r="A224" s="3"/>
      <c r="B224" s="232"/>
      <c r="C224" s="201" t="s">
        <v>1011</v>
      </c>
      <c r="D224" s="2328"/>
      <c r="E224" s="2329"/>
      <c r="F224" s="2031"/>
      <c r="G224" s="2031"/>
      <c r="H224" s="2330"/>
      <c r="I224" s="2331"/>
    </row>
    <row r="225" spans="1:9" ht="14.1" customHeight="1">
      <c r="A225" s="3"/>
      <c r="B225" s="232"/>
      <c r="C225" s="201" t="s">
        <v>1013</v>
      </c>
      <c r="D225" s="221" t="s">
        <v>1014</v>
      </c>
      <c r="E225" s="226" t="s">
        <v>1015</v>
      </c>
      <c r="F225" s="217" t="s">
        <v>1012</v>
      </c>
      <c r="G225" s="225" t="s">
        <v>1015</v>
      </c>
      <c r="H225" s="201" t="s">
        <v>1012</v>
      </c>
      <c r="I225" s="197" t="s">
        <v>1015</v>
      </c>
    </row>
    <row r="226" spans="1:9" ht="14.1" customHeight="1">
      <c r="A226" s="208" t="s">
        <v>1017</v>
      </c>
      <c r="B226" s="211" t="s">
        <v>1018</v>
      </c>
      <c r="C226" s="208" t="s">
        <v>1019</v>
      </c>
      <c r="D226" s="222" t="s">
        <v>1019</v>
      </c>
      <c r="E226" s="223" t="s">
        <v>1020</v>
      </c>
      <c r="F226" s="208" t="s">
        <v>1016</v>
      </c>
      <c r="G226" s="223" t="s">
        <v>1020</v>
      </c>
      <c r="H226" s="208" t="s">
        <v>1016</v>
      </c>
      <c r="I226" s="224" t="s">
        <v>1020</v>
      </c>
    </row>
    <row r="227" spans="1:9" ht="14.1" customHeight="1">
      <c r="A227" s="206"/>
      <c r="B227" s="202"/>
      <c r="C227" s="206"/>
      <c r="D227" s="206"/>
      <c r="E227" s="264"/>
      <c r="F227" s="206"/>
      <c r="G227" s="264"/>
      <c r="H227" s="206"/>
      <c r="I227" s="206"/>
    </row>
    <row r="228" spans="1:9" ht="14.1" customHeight="1">
      <c r="A228" s="228">
        <v>9801001066</v>
      </c>
      <c r="B228" s="229" t="s">
        <v>1142</v>
      </c>
      <c r="C228" s="234" t="s">
        <v>1032</v>
      </c>
      <c r="D228" s="234">
        <v>3</v>
      </c>
      <c r="E228" s="234">
        <v>234</v>
      </c>
      <c r="F228" s="234">
        <v>21</v>
      </c>
      <c r="G228" s="234">
        <v>234</v>
      </c>
      <c r="H228" s="234">
        <v>0</v>
      </c>
      <c r="I228" s="234">
        <v>0</v>
      </c>
    </row>
    <row r="229" spans="1:9" ht="14.1" customHeight="1">
      <c r="A229" s="228">
        <v>9801001067</v>
      </c>
      <c r="B229" s="229" t="s">
        <v>1143</v>
      </c>
      <c r="C229" s="234" t="s">
        <v>1032</v>
      </c>
      <c r="D229" s="234">
        <v>12</v>
      </c>
      <c r="E229" s="234">
        <v>44</v>
      </c>
      <c r="F229" s="234">
        <v>3</v>
      </c>
      <c r="G229" s="234">
        <v>29</v>
      </c>
      <c r="H229" s="234">
        <v>2</v>
      </c>
      <c r="I229" s="234">
        <v>15</v>
      </c>
    </row>
    <row r="230" spans="1:9" ht="14.1" customHeight="1">
      <c r="A230" s="228">
        <v>9801001074</v>
      </c>
      <c r="B230" s="229" t="s">
        <v>1144</v>
      </c>
      <c r="C230" s="234" t="s">
        <v>1032</v>
      </c>
      <c r="D230" s="233">
        <v>3922</v>
      </c>
      <c r="E230" s="234">
        <v>71</v>
      </c>
      <c r="F230" s="234">
        <v>13</v>
      </c>
      <c r="G230" s="234">
        <v>55</v>
      </c>
      <c r="H230" s="234">
        <v>0</v>
      </c>
      <c r="I230" s="234">
        <v>0</v>
      </c>
    </row>
    <row r="231" spans="1:9" ht="14.1" customHeight="1">
      <c r="A231" s="228">
        <v>9801001075</v>
      </c>
      <c r="B231" s="229" t="s">
        <v>1145</v>
      </c>
      <c r="C231" s="234" t="s">
        <v>1032</v>
      </c>
      <c r="D231" s="234">
        <v>5</v>
      </c>
      <c r="E231" s="233">
        <v>70260</v>
      </c>
      <c r="F231" s="234">
        <v>0</v>
      </c>
      <c r="G231" s="234">
        <v>0</v>
      </c>
      <c r="H231" s="234">
        <v>0</v>
      </c>
      <c r="I231" s="234">
        <v>0</v>
      </c>
    </row>
    <row r="232" spans="1:9" ht="14.1" customHeight="1">
      <c r="A232" s="228">
        <v>9801001077</v>
      </c>
      <c r="B232" s="229" t="s">
        <v>1510</v>
      </c>
      <c r="C232" s="234" t="s">
        <v>1023</v>
      </c>
      <c r="D232" s="233">
        <v>9408</v>
      </c>
      <c r="E232" s="233">
        <v>2270</v>
      </c>
      <c r="F232" s="234">
        <v>1</v>
      </c>
      <c r="G232" s="234">
        <v>195</v>
      </c>
      <c r="H232" s="234">
        <v>10</v>
      </c>
      <c r="I232" s="233">
        <v>2075</v>
      </c>
    </row>
    <row r="233" spans="1:9" ht="14.1" customHeight="1">
      <c r="A233" s="228">
        <v>9801001079</v>
      </c>
      <c r="B233" s="229" t="s">
        <v>1612</v>
      </c>
      <c r="C233" s="234" t="s">
        <v>1023</v>
      </c>
      <c r="D233" s="234">
        <v>20</v>
      </c>
      <c r="E233" s="234">
        <v>24</v>
      </c>
      <c r="F233" s="234">
        <v>0</v>
      </c>
      <c r="G233" s="234">
        <v>0</v>
      </c>
      <c r="H233" s="234" t="s">
        <v>546</v>
      </c>
      <c r="I233" s="234">
        <v>24</v>
      </c>
    </row>
    <row r="234" spans="1:9" ht="14.1" customHeight="1">
      <c r="A234" s="228">
        <v>9801001089</v>
      </c>
      <c r="B234" s="229" t="s">
        <v>1273</v>
      </c>
      <c r="C234" s="234" t="s">
        <v>1032</v>
      </c>
      <c r="D234" s="233">
        <v>1485</v>
      </c>
      <c r="E234" s="234">
        <v>158</v>
      </c>
      <c r="F234" s="234">
        <v>3</v>
      </c>
      <c r="G234" s="234">
        <v>46</v>
      </c>
      <c r="H234" s="234" t="s">
        <v>546</v>
      </c>
      <c r="I234" s="234">
        <v>112</v>
      </c>
    </row>
    <row r="235" spans="1:9" ht="14.1" customHeight="1">
      <c r="A235" s="228">
        <v>9801001090</v>
      </c>
      <c r="B235" s="229" t="s">
        <v>1274</v>
      </c>
      <c r="C235" s="234" t="s">
        <v>1032</v>
      </c>
      <c r="D235" s="233">
        <v>6626</v>
      </c>
      <c r="E235" s="233">
        <v>4597</v>
      </c>
      <c r="F235" s="234">
        <v>24</v>
      </c>
      <c r="G235" s="234">
        <v>581</v>
      </c>
      <c r="H235" s="234">
        <v>5</v>
      </c>
      <c r="I235" s="233">
        <v>4016</v>
      </c>
    </row>
    <row r="236" spans="1:9" ht="14.1" customHeight="1">
      <c r="A236" s="228">
        <v>9801001092</v>
      </c>
      <c r="B236" s="229" t="s">
        <v>1275</v>
      </c>
      <c r="C236" s="234" t="s">
        <v>1032</v>
      </c>
      <c r="D236" s="234">
        <v>645</v>
      </c>
      <c r="E236" s="234">
        <v>155</v>
      </c>
      <c r="F236" s="234">
        <v>7</v>
      </c>
      <c r="G236" s="234">
        <v>34</v>
      </c>
      <c r="H236" s="234">
        <v>1</v>
      </c>
      <c r="I236" s="234">
        <v>120</v>
      </c>
    </row>
    <row r="237" spans="1:9" ht="14.1" customHeight="1">
      <c r="A237" s="228">
        <v>9801001094</v>
      </c>
      <c r="B237" s="229" t="s">
        <v>1276</v>
      </c>
      <c r="C237" s="234" t="s">
        <v>1129</v>
      </c>
      <c r="D237" s="234">
        <v>0</v>
      </c>
      <c r="E237" s="234">
        <v>39</v>
      </c>
      <c r="F237" s="234">
        <v>0</v>
      </c>
      <c r="G237" s="234">
        <v>0</v>
      </c>
      <c r="H237" s="234" t="s">
        <v>546</v>
      </c>
      <c r="I237" s="234">
        <v>39</v>
      </c>
    </row>
    <row r="238" spans="1:9" ht="14.1" customHeight="1">
      <c r="A238" s="228">
        <v>9801001098</v>
      </c>
      <c r="B238" s="229" t="s">
        <v>1277</v>
      </c>
      <c r="C238" s="234" t="s">
        <v>1129</v>
      </c>
      <c r="D238" s="233">
        <v>51994</v>
      </c>
      <c r="E238" s="233">
        <v>2237</v>
      </c>
      <c r="F238" s="233">
        <v>1088</v>
      </c>
      <c r="G238" s="233">
        <v>1025</v>
      </c>
      <c r="H238" s="234">
        <v>241</v>
      </c>
      <c r="I238" s="233">
        <v>1212</v>
      </c>
    </row>
    <row r="239" spans="1:9" ht="15.75" customHeight="1">
      <c r="A239" s="228">
        <v>9801002000</v>
      </c>
      <c r="B239" s="229" t="s">
        <v>1613</v>
      </c>
      <c r="C239" s="234" t="s">
        <v>1023</v>
      </c>
      <c r="D239" s="233">
        <v>1490</v>
      </c>
      <c r="E239" s="234">
        <v>5</v>
      </c>
      <c r="F239" s="234">
        <v>2</v>
      </c>
      <c r="G239" s="234">
        <v>5</v>
      </c>
      <c r="H239" s="234">
        <v>0</v>
      </c>
      <c r="I239" s="234">
        <v>0</v>
      </c>
    </row>
    <row r="240" spans="1:9" ht="12.95" customHeight="1">
      <c r="A240" s="228">
        <v>9801002500</v>
      </c>
      <c r="B240" s="229" t="s">
        <v>1278</v>
      </c>
      <c r="C240" s="234" t="s">
        <v>1023</v>
      </c>
      <c r="D240" s="234">
        <v>215</v>
      </c>
      <c r="E240" s="234">
        <v>17</v>
      </c>
      <c r="F240" s="234">
        <v>0</v>
      </c>
      <c r="G240" s="234">
        <v>0</v>
      </c>
      <c r="H240" s="234" t="s">
        <v>546</v>
      </c>
      <c r="I240" s="234">
        <v>17</v>
      </c>
    </row>
    <row r="241" spans="1:9" ht="12.95" customHeight="1">
      <c r="A241" s="231">
        <v>9808008000</v>
      </c>
      <c r="B241" s="235" t="s">
        <v>1280</v>
      </c>
      <c r="C241" s="236" t="s">
        <v>1129</v>
      </c>
      <c r="D241" s="236">
        <v>0</v>
      </c>
      <c r="E241" s="236">
        <v>97</v>
      </c>
      <c r="F241" s="236">
        <v>0</v>
      </c>
      <c r="G241" s="236">
        <v>0</v>
      </c>
      <c r="H241" s="236" t="s">
        <v>546</v>
      </c>
      <c r="I241" s="236">
        <v>97</v>
      </c>
    </row>
    <row r="242" spans="1:9" ht="12.95" customHeight="1">
      <c r="A242" s="2045" t="s">
        <v>1187</v>
      </c>
      <c r="B242" s="2045"/>
      <c r="C242" s="2045"/>
      <c r="D242" s="2045"/>
      <c r="E242" s="2045"/>
      <c r="F242" s="2045"/>
      <c r="G242" s="2045"/>
      <c r="H242" s="14"/>
      <c r="I242" s="14"/>
    </row>
    <row r="243" spans="1:9" ht="16.5" customHeight="1">
      <c r="A243" s="2045" t="s">
        <v>1056</v>
      </c>
      <c r="B243" s="2045"/>
      <c r="C243" s="2045"/>
      <c r="D243" s="2045"/>
      <c r="E243" s="14"/>
      <c r="F243" s="14"/>
      <c r="G243" s="14"/>
      <c r="H243" s="14"/>
      <c r="I243" s="14"/>
    </row>
    <row r="244" spans="1:9" ht="14.25" customHeight="1">
      <c r="A244" s="2045" t="s">
        <v>1326</v>
      </c>
      <c r="B244" s="2045"/>
      <c r="C244" s="2045"/>
      <c r="D244" s="2045"/>
      <c r="E244" s="2045"/>
      <c r="F244" s="2045"/>
      <c r="G244" s="2045"/>
      <c r="H244" s="2045"/>
      <c r="I244" s="2045"/>
    </row>
    <row r="245" spans="1:9" ht="16.5" customHeight="1">
      <c r="A245" s="2045" t="s">
        <v>1327</v>
      </c>
      <c r="B245" s="2045"/>
      <c r="C245" s="2045"/>
      <c r="D245" s="2045"/>
      <c r="E245" s="2045"/>
      <c r="F245" s="14"/>
      <c r="G245" s="14"/>
      <c r="H245" s="14"/>
      <c r="I245" s="14"/>
    </row>
    <row r="246" spans="1:9" ht="11.25" customHeight="1">
      <c r="A246" s="13" t="s">
        <v>1328</v>
      </c>
      <c r="B246" s="14"/>
      <c r="C246" s="14"/>
      <c r="D246" s="14"/>
      <c r="E246" s="14"/>
      <c r="F246" s="14"/>
      <c r="G246" s="14"/>
      <c r="H246" s="14"/>
      <c r="I246" s="14"/>
    </row>
    <row r="247" spans="1:9" ht="18" customHeight="1">
      <c r="A247" s="2"/>
      <c r="B247" s="2"/>
      <c r="C247" s="2"/>
      <c r="D247" s="2"/>
      <c r="E247" s="2"/>
      <c r="F247" s="2"/>
      <c r="G247" s="2"/>
      <c r="H247" s="2"/>
      <c r="I247" s="2"/>
    </row>
    <row r="248" spans="1:9" ht="14.1" customHeight="1"/>
    <row r="249" spans="1:9" ht="17.25" customHeight="1"/>
    <row r="250" spans="1:9" ht="14.1" customHeight="1"/>
    <row r="251" spans="1:9" ht="17.25" customHeight="1"/>
    <row r="252" spans="1:9" ht="14.1" customHeight="1"/>
    <row r="253" spans="1:9" ht="14.1" customHeight="1"/>
    <row r="254" spans="1:9" ht="14.1" customHeight="1"/>
    <row r="255" spans="1:9" ht="14.1" customHeight="1"/>
    <row r="256" spans="1:9"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6.5" customHeight="1"/>
    <row r="267" ht="12" customHeight="1"/>
    <row r="268" ht="12" customHeight="1"/>
    <row r="269" ht="12" customHeight="1"/>
    <row r="270" ht="12" customHeight="1"/>
    <row r="271" ht="12.95" customHeight="1"/>
  </sheetData>
  <mergeCells count="41">
    <mergeCell ref="A242:G242"/>
    <mergeCell ref="A243:D243"/>
    <mergeCell ref="A244:I244"/>
    <mergeCell ref="A245:E245"/>
    <mergeCell ref="D2:E3"/>
    <mergeCell ref="A222:H222"/>
    <mergeCell ref="F223:G224"/>
    <mergeCell ref="H223:I224"/>
    <mergeCell ref="D223:E224"/>
    <mergeCell ref="A150:H150"/>
    <mergeCell ref="F151:G152"/>
    <mergeCell ref="H151:I152"/>
    <mergeCell ref="F2:G3"/>
    <mergeCell ref="H2:I3"/>
    <mergeCell ref="A35:G35"/>
    <mergeCell ref="F79:G80"/>
    <mergeCell ref="A1:I1"/>
    <mergeCell ref="D43:E44"/>
    <mergeCell ref="D79:E80"/>
    <mergeCell ref="A220:G220"/>
    <mergeCell ref="F187:G188"/>
    <mergeCell ref="H187:I188"/>
    <mergeCell ref="D187:E188"/>
    <mergeCell ref="A184:G184"/>
    <mergeCell ref="A186:H186"/>
    <mergeCell ref="D151:E152"/>
    <mergeCell ref="A148:G148"/>
    <mergeCell ref="F115:G116"/>
    <mergeCell ref="H115:I116"/>
    <mergeCell ref="D115:E116"/>
    <mergeCell ref="A112:G112"/>
    <mergeCell ref="A114:H114"/>
    <mergeCell ref="H79:I80"/>
    <mergeCell ref="A36:D36"/>
    <mergeCell ref="A37:I37"/>
    <mergeCell ref="A38:E38"/>
    <mergeCell ref="A42:H42"/>
    <mergeCell ref="F43:G44"/>
    <mergeCell ref="H43:I44"/>
    <mergeCell ref="A76:G76"/>
    <mergeCell ref="A78:H7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AC778-4459-4693-B2F7-E82233B2099C}">
  <sheetPr>
    <tabColor rgb="FFFFFF00"/>
    <pageSetUpPr fitToPage="1"/>
  </sheetPr>
  <dimension ref="A1:BN288"/>
  <sheetViews>
    <sheetView showGridLines="0" topLeftCell="U1" zoomScale="90" zoomScaleNormal="90" workbookViewId="0">
      <selection activeCell="H14" sqref="H14"/>
    </sheetView>
  </sheetViews>
  <sheetFormatPr defaultRowHeight="12.75"/>
  <cols>
    <col min="1" max="1" width="14.7109375" style="585" customWidth="1"/>
    <col min="2" max="8" width="12.7109375" style="585" customWidth="1"/>
    <col min="9" max="9" width="9.140625" style="585"/>
    <col min="10" max="10" width="34.7109375" style="585" customWidth="1"/>
    <col min="11" max="15" width="10.7109375" style="585" customWidth="1"/>
    <col min="16" max="18" width="10.28515625" style="585" customWidth="1"/>
    <col min="19" max="19" width="29.85546875" style="585" customWidth="1"/>
    <col min="20" max="26" width="10.28515625" style="585" customWidth="1"/>
    <col min="27" max="27" width="9.140625" style="585"/>
    <col min="28" max="28" width="31.28515625" style="585" customWidth="1"/>
    <col min="29" max="43" width="11.7109375" style="585" customWidth="1"/>
    <col min="44" max="44" width="25.7109375" style="585" customWidth="1"/>
    <col min="45" max="47" width="14.7109375" style="585" customWidth="1"/>
    <col min="48" max="49" width="11.7109375" style="585" customWidth="1"/>
    <col min="50" max="50" width="9.140625" style="585"/>
    <col min="51" max="51" width="15.42578125" style="585" customWidth="1"/>
    <col min="52" max="256" width="9.140625" style="585"/>
    <col min="257" max="257" width="14.7109375" style="585" customWidth="1"/>
    <col min="258" max="264" width="12.7109375" style="585" customWidth="1"/>
    <col min="265" max="265" width="9.140625" style="585"/>
    <col min="266" max="266" width="34.7109375" style="585" customWidth="1"/>
    <col min="267" max="271" width="10.7109375" style="585" customWidth="1"/>
    <col min="272" max="274" width="10.28515625" style="585" customWidth="1"/>
    <col min="275" max="275" width="29.85546875" style="585" customWidth="1"/>
    <col min="276" max="282" width="10.28515625" style="585" customWidth="1"/>
    <col min="283" max="283" width="9.140625" style="585"/>
    <col min="284" max="284" width="31.28515625" style="585" customWidth="1"/>
    <col min="285" max="299" width="11.7109375" style="585" customWidth="1"/>
    <col min="300" max="300" width="25.7109375" style="585" customWidth="1"/>
    <col min="301" max="303" width="14.7109375" style="585" customWidth="1"/>
    <col min="304" max="305" width="11.7109375" style="585" customWidth="1"/>
    <col min="306" max="306" width="9.140625" style="585"/>
    <col min="307" max="307" width="15.42578125" style="585" customWidth="1"/>
    <col min="308" max="512" width="9.140625" style="585"/>
    <col min="513" max="513" width="14.7109375" style="585" customWidth="1"/>
    <col min="514" max="520" width="12.7109375" style="585" customWidth="1"/>
    <col min="521" max="521" width="9.140625" style="585"/>
    <col min="522" max="522" width="34.7109375" style="585" customWidth="1"/>
    <col min="523" max="527" width="10.7109375" style="585" customWidth="1"/>
    <col min="528" max="530" width="10.28515625" style="585" customWidth="1"/>
    <col min="531" max="531" width="29.85546875" style="585" customWidth="1"/>
    <col min="532" max="538" width="10.28515625" style="585" customWidth="1"/>
    <col min="539" max="539" width="9.140625" style="585"/>
    <col min="540" max="540" width="31.28515625" style="585" customWidth="1"/>
    <col min="541" max="555" width="11.7109375" style="585" customWidth="1"/>
    <col min="556" max="556" width="25.7109375" style="585" customWidth="1"/>
    <col min="557" max="559" width="14.7109375" style="585" customWidth="1"/>
    <col min="560" max="561" width="11.7109375" style="585" customWidth="1"/>
    <col min="562" max="562" width="9.140625" style="585"/>
    <col min="563" max="563" width="15.42578125" style="585" customWidth="1"/>
    <col min="564" max="768" width="9.140625" style="585"/>
    <col min="769" max="769" width="14.7109375" style="585" customWidth="1"/>
    <col min="770" max="776" width="12.7109375" style="585" customWidth="1"/>
    <col min="777" max="777" width="9.140625" style="585"/>
    <col min="778" max="778" width="34.7109375" style="585" customWidth="1"/>
    <col min="779" max="783" width="10.7109375" style="585" customWidth="1"/>
    <col min="784" max="786" width="10.28515625" style="585" customWidth="1"/>
    <col min="787" max="787" width="29.85546875" style="585" customWidth="1"/>
    <col min="788" max="794" width="10.28515625" style="585" customWidth="1"/>
    <col min="795" max="795" width="9.140625" style="585"/>
    <col min="796" max="796" width="31.28515625" style="585" customWidth="1"/>
    <col min="797" max="811" width="11.7109375" style="585" customWidth="1"/>
    <col min="812" max="812" width="25.7109375" style="585" customWidth="1"/>
    <col min="813" max="815" width="14.7109375" style="585" customWidth="1"/>
    <col min="816" max="817" width="11.7109375" style="585" customWidth="1"/>
    <col min="818" max="818" width="9.140625" style="585"/>
    <col min="819" max="819" width="15.42578125" style="585" customWidth="1"/>
    <col min="820" max="1024" width="9.140625" style="585"/>
    <col min="1025" max="1025" width="14.7109375" style="585" customWidth="1"/>
    <col min="1026" max="1032" width="12.7109375" style="585" customWidth="1"/>
    <col min="1033" max="1033" width="9.140625" style="585"/>
    <col min="1034" max="1034" width="34.7109375" style="585" customWidth="1"/>
    <col min="1035" max="1039" width="10.7109375" style="585" customWidth="1"/>
    <col min="1040" max="1042" width="10.28515625" style="585" customWidth="1"/>
    <col min="1043" max="1043" width="29.85546875" style="585" customWidth="1"/>
    <col min="1044" max="1050" width="10.28515625" style="585" customWidth="1"/>
    <col min="1051" max="1051" width="9.140625" style="585"/>
    <col min="1052" max="1052" width="31.28515625" style="585" customWidth="1"/>
    <col min="1053" max="1067" width="11.7109375" style="585" customWidth="1"/>
    <col min="1068" max="1068" width="25.7109375" style="585" customWidth="1"/>
    <col min="1069" max="1071" width="14.7109375" style="585" customWidth="1"/>
    <col min="1072" max="1073" width="11.7109375" style="585" customWidth="1"/>
    <col min="1074" max="1074" width="9.140625" style="585"/>
    <col min="1075" max="1075" width="15.42578125" style="585" customWidth="1"/>
    <col min="1076" max="1280" width="9.140625" style="585"/>
    <col min="1281" max="1281" width="14.7109375" style="585" customWidth="1"/>
    <col min="1282" max="1288" width="12.7109375" style="585" customWidth="1"/>
    <col min="1289" max="1289" width="9.140625" style="585"/>
    <col min="1290" max="1290" width="34.7109375" style="585" customWidth="1"/>
    <col min="1291" max="1295" width="10.7109375" style="585" customWidth="1"/>
    <col min="1296" max="1298" width="10.28515625" style="585" customWidth="1"/>
    <col min="1299" max="1299" width="29.85546875" style="585" customWidth="1"/>
    <col min="1300" max="1306" width="10.28515625" style="585" customWidth="1"/>
    <col min="1307" max="1307" width="9.140625" style="585"/>
    <col min="1308" max="1308" width="31.28515625" style="585" customWidth="1"/>
    <col min="1309" max="1323" width="11.7109375" style="585" customWidth="1"/>
    <col min="1324" max="1324" width="25.7109375" style="585" customWidth="1"/>
    <col min="1325" max="1327" width="14.7109375" style="585" customWidth="1"/>
    <col min="1328" max="1329" width="11.7109375" style="585" customWidth="1"/>
    <col min="1330" max="1330" width="9.140625" style="585"/>
    <col min="1331" max="1331" width="15.42578125" style="585" customWidth="1"/>
    <col min="1332" max="1536" width="9.140625" style="585"/>
    <col min="1537" max="1537" width="14.7109375" style="585" customWidth="1"/>
    <col min="1538" max="1544" width="12.7109375" style="585" customWidth="1"/>
    <col min="1545" max="1545" width="9.140625" style="585"/>
    <col min="1546" max="1546" width="34.7109375" style="585" customWidth="1"/>
    <col min="1547" max="1551" width="10.7109375" style="585" customWidth="1"/>
    <col min="1552" max="1554" width="10.28515625" style="585" customWidth="1"/>
    <col min="1555" max="1555" width="29.85546875" style="585" customWidth="1"/>
    <col min="1556" max="1562" width="10.28515625" style="585" customWidth="1"/>
    <col min="1563" max="1563" width="9.140625" style="585"/>
    <col min="1564" max="1564" width="31.28515625" style="585" customWidth="1"/>
    <col min="1565" max="1579" width="11.7109375" style="585" customWidth="1"/>
    <col min="1580" max="1580" width="25.7109375" style="585" customWidth="1"/>
    <col min="1581" max="1583" width="14.7109375" style="585" customWidth="1"/>
    <col min="1584" max="1585" width="11.7109375" style="585" customWidth="1"/>
    <col min="1586" max="1586" width="9.140625" style="585"/>
    <col min="1587" max="1587" width="15.42578125" style="585" customWidth="1"/>
    <col min="1588" max="1792" width="9.140625" style="585"/>
    <col min="1793" max="1793" width="14.7109375" style="585" customWidth="1"/>
    <col min="1794" max="1800" width="12.7109375" style="585" customWidth="1"/>
    <col min="1801" max="1801" width="9.140625" style="585"/>
    <col min="1802" max="1802" width="34.7109375" style="585" customWidth="1"/>
    <col min="1803" max="1807" width="10.7109375" style="585" customWidth="1"/>
    <col min="1808" max="1810" width="10.28515625" style="585" customWidth="1"/>
    <col min="1811" max="1811" width="29.85546875" style="585" customWidth="1"/>
    <col min="1812" max="1818" width="10.28515625" style="585" customWidth="1"/>
    <col min="1819" max="1819" width="9.140625" style="585"/>
    <col min="1820" max="1820" width="31.28515625" style="585" customWidth="1"/>
    <col min="1821" max="1835" width="11.7109375" style="585" customWidth="1"/>
    <col min="1836" max="1836" width="25.7109375" style="585" customWidth="1"/>
    <col min="1837" max="1839" width="14.7109375" style="585" customWidth="1"/>
    <col min="1840" max="1841" width="11.7109375" style="585" customWidth="1"/>
    <col min="1842" max="1842" width="9.140625" style="585"/>
    <col min="1843" max="1843" width="15.42578125" style="585" customWidth="1"/>
    <col min="1844" max="2048" width="9.140625" style="585"/>
    <col min="2049" max="2049" width="14.7109375" style="585" customWidth="1"/>
    <col min="2050" max="2056" width="12.7109375" style="585" customWidth="1"/>
    <col min="2057" max="2057" width="9.140625" style="585"/>
    <col min="2058" max="2058" width="34.7109375" style="585" customWidth="1"/>
    <col min="2059" max="2063" width="10.7109375" style="585" customWidth="1"/>
    <col min="2064" max="2066" width="10.28515625" style="585" customWidth="1"/>
    <col min="2067" max="2067" width="29.85546875" style="585" customWidth="1"/>
    <col min="2068" max="2074" width="10.28515625" style="585" customWidth="1"/>
    <col min="2075" max="2075" width="9.140625" style="585"/>
    <col min="2076" max="2076" width="31.28515625" style="585" customWidth="1"/>
    <col min="2077" max="2091" width="11.7109375" style="585" customWidth="1"/>
    <col min="2092" max="2092" width="25.7109375" style="585" customWidth="1"/>
    <col min="2093" max="2095" width="14.7109375" style="585" customWidth="1"/>
    <col min="2096" max="2097" width="11.7109375" style="585" customWidth="1"/>
    <col min="2098" max="2098" width="9.140625" style="585"/>
    <col min="2099" max="2099" width="15.42578125" style="585" customWidth="1"/>
    <col min="2100" max="2304" width="9.140625" style="585"/>
    <col min="2305" max="2305" width="14.7109375" style="585" customWidth="1"/>
    <col min="2306" max="2312" width="12.7109375" style="585" customWidth="1"/>
    <col min="2313" max="2313" width="9.140625" style="585"/>
    <col min="2314" max="2314" width="34.7109375" style="585" customWidth="1"/>
    <col min="2315" max="2319" width="10.7109375" style="585" customWidth="1"/>
    <col min="2320" max="2322" width="10.28515625" style="585" customWidth="1"/>
    <col min="2323" max="2323" width="29.85546875" style="585" customWidth="1"/>
    <col min="2324" max="2330" width="10.28515625" style="585" customWidth="1"/>
    <col min="2331" max="2331" width="9.140625" style="585"/>
    <col min="2332" max="2332" width="31.28515625" style="585" customWidth="1"/>
    <col min="2333" max="2347" width="11.7109375" style="585" customWidth="1"/>
    <col min="2348" max="2348" width="25.7109375" style="585" customWidth="1"/>
    <col min="2349" max="2351" width="14.7109375" style="585" customWidth="1"/>
    <col min="2352" max="2353" width="11.7109375" style="585" customWidth="1"/>
    <col min="2354" max="2354" width="9.140625" style="585"/>
    <col min="2355" max="2355" width="15.42578125" style="585" customWidth="1"/>
    <col min="2356" max="2560" width="9.140625" style="585"/>
    <col min="2561" max="2561" width="14.7109375" style="585" customWidth="1"/>
    <col min="2562" max="2568" width="12.7109375" style="585" customWidth="1"/>
    <col min="2569" max="2569" width="9.140625" style="585"/>
    <col min="2570" max="2570" width="34.7109375" style="585" customWidth="1"/>
    <col min="2571" max="2575" width="10.7109375" style="585" customWidth="1"/>
    <col min="2576" max="2578" width="10.28515625" style="585" customWidth="1"/>
    <col min="2579" max="2579" width="29.85546875" style="585" customWidth="1"/>
    <col min="2580" max="2586" width="10.28515625" style="585" customWidth="1"/>
    <col min="2587" max="2587" width="9.140625" style="585"/>
    <col min="2588" max="2588" width="31.28515625" style="585" customWidth="1"/>
    <col min="2589" max="2603" width="11.7109375" style="585" customWidth="1"/>
    <col min="2604" max="2604" width="25.7109375" style="585" customWidth="1"/>
    <col min="2605" max="2607" width="14.7109375" style="585" customWidth="1"/>
    <col min="2608" max="2609" width="11.7109375" style="585" customWidth="1"/>
    <col min="2610" max="2610" width="9.140625" style="585"/>
    <col min="2611" max="2611" width="15.42578125" style="585" customWidth="1"/>
    <col min="2612" max="2816" width="9.140625" style="585"/>
    <col min="2817" max="2817" width="14.7109375" style="585" customWidth="1"/>
    <col min="2818" max="2824" width="12.7109375" style="585" customWidth="1"/>
    <col min="2825" max="2825" width="9.140625" style="585"/>
    <col min="2826" max="2826" width="34.7109375" style="585" customWidth="1"/>
    <col min="2827" max="2831" width="10.7109375" style="585" customWidth="1"/>
    <col min="2832" max="2834" width="10.28515625" style="585" customWidth="1"/>
    <col min="2835" max="2835" width="29.85546875" style="585" customWidth="1"/>
    <col min="2836" max="2842" width="10.28515625" style="585" customWidth="1"/>
    <col min="2843" max="2843" width="9.140625" style="585"/>
    <col min="2844" max="2844" width="31.28515625" style="585" customWidth="1"/>
    <col min="2845" max="2859" width="11.7109375" style="585" customWidth="1"/>
    <col min="2860" max="2860" width="25.7109375" style="585" customWidth="1"/>
    <col min="2861" max="2863" width="14.7109375" style="585" customWidth="1"/>
    <col min="2864" max="2865" width="11.7109375" style="585" customWidth="1"/>
    <col min="2866" max="2866" width="9.140625" style="585"/>
    <col min="2867" max="2867" width="15.42578125" style="585" customWidth="1"/>
    <col min="2868" max="3072" width="9.140625" style="585"/>
    <col min="3073" max="3073" width="14.7109375" style="585" customWidth="1"/>
    <col min="3074" max="3080" width="12.7109375" style="585" customWidth="1"/>
    <col min="3081" max="3081" width="9.140625" style="585"/>
    <col min="3082" max="3082" width="34.7109375" style="585" customWidth="1"/>
    <col min="3083" max="3087" width="10.7109375" style="585" customWidth="1"/>
    <col min="3088" max="3090" width="10.28515625" style="585" customWidth="1"/>
    <col min="3091" max="3091" width="29.85546875" style="585" customWidth="1"/>
    <col min="3092" max="3098" width="10.28515625" style="585" customWidth="1"/>
    <col min="3099" max="3099" width="9.140625" style="585"/>
    <col min="3100" max="3100" width="31.28515625" style="585" customWidth="1"/>
    <col min="3101" max="3115" width="11.7109375" style="585" customWidth="1"/>
    <col min="3116" max="3116" width="25.7109375" style="585" customWidth="1"/>
    <col min="3117" max="3119" width="14.7109375" style="585" customWidth="1"/>
    <col min="3120" max="3121" width="11.7109375" style="585" customWidth="1"/>
    <col min="3122" max="3122" width="9.140625" style="585"/>
    <col min="3123" max="3123" width="15.42578125" style="585" customWidth="1"/>
    <col min="3124" max="3328" width="9.140625" style="585"/>
    <col min="3329" max="3329" width="14.7109375" style="585" customWidth="1"/>
    <col min="3330" max="3336" width="12.7109375" style="585" customWidth="1"/>
    <col min="3337" max="3337" width="9.140625" style="585"/>
    <col min="3338" max="3338" width="34.7109375" style="585" customWidth="1"/>
    <col min="3339" max="3343" width="10.7109375" style="585" customWidth="1"/>
    <col min="3344" max="3346" width="10.28515625" style="585" customWidth="1"/>
    <col min="3347" max="3347" width="29.85546875" style="585" customWidth="1"/>
    <col min="3348" max="3354" width="10.28515625" style="585" customWidth="1"/>
    <col min="3355" max="3355" width="9.140625" style="585"/>
    <col min="3356" max="3356" width="31.28515625" style="585" customWidth="1"/>
    <col min="3357" max="3371" width="11.7109375" style="585" customWidth="1"/>
    <col min="3372" max="3372" width="25.7109375" style="585" customWidth="1"/>
    <col min="3373" max="3375" width="14.7109375" style="585" customWidth="1"/>
    <col min="3376" max="3377" width="11.7109375" style="585" customWidth="1"/>
    <col min="3378" max="3378" width="9.140625" style="585"/>
    <col min="3379" max="3379" width="15.42578125" style="585" customWidth="1"/>
    <col min="3380" max="3584" width="9.140625" style="585"/>
    <col min="3585" max="3585" width="14.7109375" style="585" customWidth="1"/>
    <col min="3586" max="3592" width="12.7109375" style="585" customWidth="1"/>
    <col min="3593" max="3593" width="9.140625" style="585"/>
    <col min="3594" max="3594" width="34.7109375" style="585" customWidth="1"/>
    <col min="3595" max="3599" width="10.7109375" style="585" customWidth="1"/>
    <col min="3600" max="3602" width="10.28515625" style="585" customWidth="1"/>
    <col min="3603" max="3603" width="29.85546875" style="585" customWidth="1"/>
    <col min="3604" max="3610" width="10.28515625" style="585" customWidth="1"/>
    <col min="3611" max="3611" width="9.140625" style="585"/>
    <col min="3612" max="3612" width="31.28515625" style="585" customWidth="1"/>
    <col min="3613" max="3627" width="11.7109375" style="585" customWidth="1"/>
    <col min="3628" max="3628" width="25.7109375" style="585" customWidth="1"/>
    <col min="3629" max="3631" width="14.7109375" style="585" customWidth="1"/>
    <col min="3632" max="3633" width="11.7109375" style="585" customWidth="1"/>
    <col min="3634" max="3634" width="9.140625" style="585"/>
    <col min="3635" max="3635" width="15.42578125" style="585" customWidth="1"/>
    <col min="3636" max="3840" width="9.140625" style="585"/>
    <col min="3841" max="3841" width="14.7109375" style="585" customWidth="1"/>
    <col min="3842" max="3848" width="12.7109375" style="585" customWidth="1"/>
    <col min="3849" max="3849" width="9.140625" style="585"/>
    <col min="3850" max="3850" width="34.7109375" style="585" customWidth="1"/>
    <col min="3851" max="3855" width="10.7109375" style="585" customWidth="1"/>
    <col min="3856" max="3858" width="10.28515625" style="585" customWidth="1"/>
    <col min="3859" max="3859" width="29.85546875" style="585" customWidth="1"/>
    <col min="3860" max="3866" width="10.28515625" style="585" customWidth="1"/>
    <col min="3867" max="3867" width="9.140625" style="585"/>
    <col min="3868" max="3868" width="31.28515625" style="585" customWidth="1"/>
    <col min="3869" max="3883" width="11.7109375" style="585" customWidth="1"/>
    <col min="3884" max="3884" width="25.7109375" style="585" customWidth="1"/>
    <col min="3885" max="3887" width="14.7109375" style="585" customWidth="1"/>
    <col min="3888" max="3889" width="11.7109375" style="585" customWidth="1"/>
    <col min="3890" max="3890" width="9.140625" style="585"/>
    <col min="3891" max="3891" width="15.42578125" style="585" customWidth="1"/>
    <col min="3892" max="4096" width="9.140625" style="585"/>
    <col min="4097" max="4097" width="14.7109375" style="585" customWidth="1"/>
    <col min="4098" max="4104" width="12.7109375" style="585" customWidth="1"/>
    <col min="4105" max="4105" width="9.140625" style="585"/>
    <col min="4106" max="4106" width="34.7109375" style="585" customWidth="1"/>
    <col min="4107" max="4111" width="10.7109375" style="585" customWidth="1"/>
    <col min="4112" max="4114" width="10.28515625" style="585" customWidth="1"/>
    <col min="4115" max="4115" width="29.85546875" style="585" customWidth="1"/>
    <col min="4116" max="4122" width="10.28515625" style="585" customWidth="1"/>
    <col min="4123" max="4123" width="9.140625" style="585"/>
    <col min="4124" max="4124" width="31.28515625" style="585" customWidth="1"/>
    <col min="4125" max="4139" width="11.7109375" style="585" customWidth="1"/>
    <col min="4140" max="4140" width="25.7109375" style="585" customWidth="1"/>
    <col min="4141" max="4143" width="14.7109375" style="585" customWidth="1"/>
    <col min="4144" max="4145" width="11.7109375" style="585" customWidth="1"/>
    <col min="4146" max="4146" width="9.140625" style="585"/>
    <col min="4147" max="4147" width="15.42578125" style="585" customWidth="1"/>
    <col min="4148" max="4352" width="9.140625" style="585"/>
    <col min="4353" max="4353" width="14.7109375" style="585" customWidth="1"/>
    <col min="4354" max="4360" width="12.7109375" style="585" customWidth="1"/>
    <col min="4361" max="4361" width="9.140625" style="585"/>
    <col min="4362" max="4362" width="34.7109375" style="585" customWidth="1"/>
    <col min="4363" max="4367" width="10.7109375" style="585" customWidth="1"/>
    <col min="4368" max="4370" width="10.28515625" style="585" customWidth="1"/>
    <col min="4371" max="4371" width="29.85546875" style="585" customWidth="1"/>
    <col min="4372" max="4378" width="10.28515625" style="585" customWidth="1"/>
    <col min="4379" max="4379" width="9.140625" style="585"/>
    <col min="4380" max="4380" width="31.28515625" style="585" customWidth="1"/>
    <col min="4381" max="4395" width="11.7109375" style="585" customWidth="1"/>
    <col min="4396" max="4396" width="25.7109375" style="585" customWidth="1"/>
    <col min="4397" max="4399" width="14.7109375" style="585" customWidth="1"/>
    <col min="4400" max="4401" width="11.7109375" style="585" customWidth="1"/>
    <col min="4402" max="4402" width="9.140625" style="585"/>
    <col min="4403" max="4403" width="15.42578125" style="585" customWidth="1"/>
    <col min="4404" max="4608" width="9.140625" style="585"/>
    <col min="4609" max="4609" width="14.7109375" style="585" customWidth="1"/>
    <col min="4610" max="4616" width="12.7109375" style="585" customWidth="1"/>
    <col min="4617" max="4617" width="9.140625" style="585"/>
    <col min="4618" max="4618" width="34.7109375" style="585" customWidth="1"/>
    <col min="4619" max="4623" width="10.7109375" style="585" customWidth="1"/>
    <col min="4624" max="4626" width="10.28515625" style="585" customWidth="1"/>
    <col min="4627" max="4627" width="29.85546875" style="585" customWidth="1"/>
    <col min="4628" max="4634" width="10.28515625" style="585" customWidth="1"/>
    <col min="4635" max="4635" width="9.140625" style="585"/>
    <col min="4636" max="4636" width="31.28515625" style="585" customWidth="1"/>
    <col min="4637" max="4651" width="11.7109375" style="585" customWidth="1"/>
    <col min="4652" max="4652" width="25.7109375" style="585" customWidth="1"/>
    <col min="4653" max="4655" width="14.7109375" style="585" customWidth="1"/>
    <col min="4656" max="4657" width="11.7109375" style="585" customWidth="1"/>
    <col min="4658" max="4658" width="9.140625" style="585"/>
    <col min="4659" max="4659" width="15.42578125" style="585" customWidth="1"/>
    <col min="4660" max="4864" width="9.140625" style="585"/>
    <col min="4865" max="4865" width="14.7109375" style="585" customWidth="1"/>
    <col min="4866" max="4872" width="12.7109375" style="585" customWidth="1"/>
    <col min="4873" max="4873" width="9.140625" style="585"/>
    <col min="4874" max="4874" width="34.7109375" style="585" customWidth="1"/>
    <col min="4875" max="4879" width="10.7109375" style="585" customWidth="1"/>
    <col min="4880" max="4882" width="10.28515625" style="585" customWidth="1"/>
    <col min="4883" max="4883" width="29.85546875" style="585" customWidth="1"/>
    <col min="4884" max="4890" width="10.28515625" style="585" customWidth="1"/>
    <col min="4891" max="4891" width="9.140625" style="585"/>
    <col min="4892" max="4892" width="31.28515625" style="585" customWidth="1"/>
    <col min="4893" max="4907" width="11.7109375" style="585" customWidth="1"/>
    <col min="4908" max="4908" width="25.7109375" style="585" customWidth="1"/>
    <col min="4909" max="4911" width="14.7109375" style="585" customWidth="1"/>
    <col min="4912" max="4913" width="11.7109375" style="585" customWidth="1"/>
    <col min="4914" max="4914" width="9.140625" style="585"/>
    <col min="4915" max="4915" width="15.42578125" style="585" customWidth="1"/>
    <col min="4916" max="5120" width="9.140625" style="585"/>
    <col min="5121" max="5121" width="14.7109375" style="585" customWidth="1"/>
    <col min="5122" max="5128" width="12.7109375" style="585" customWidth="1"/>
    <col min="5129" max="5129" width="9.140625" style="585"/>
    <col min="5130" max="5130" width="34.7109375" style="585" customWidth="1"/>
    <col min="5131" max="5135" width="10.7109375" style="585" customWidth="1"/>
    <col min="5136" max="5138" width="10.28515625" style="585" customWidth="1"/>
    <col min="5139" max="5139" width="29.85546875" style="585" customWidth="1"/>
    <col min="5140" max="5146" width="10.28515625" style="585" customWidth="1"/>
    <col min="5147" max="5147" width="9.140625" style="585"/>
    <col min="5148" max="5148" width="31.28515625" style="585" customWidth="1"/>
    <col min="5149" max="5163" width="11.7109375" style="585" customWidth="1"/>
    <col min="5164" max="5164" width="25.7109375" style="585" customWidth="1"/>
    <col min="5165" max="5167" width="14.7109375" style="585" customWidth="1"/>
    <col min="5168" max="5169" width="11.7109375" style="585" customWidth="1"/>
    <col min="5170" max="5170" width="9.140625" style="585"/>
    <col min="5171" max="5171" width="15.42578125" style="585" customWidth="1"/>
    <col min="5172" max="5376" width="9.140625" style="585"/>
    <col min="5377" max="5377" width="14.7109375" style="585" customWidth="1"/>
    <col min="5378" max="5384" width="12.7109375" style="585" customWidth="1"/>
    <col min="5385" max="5385" width="9.140625" style="585"/>
    <col min="5386" max="5386" width="34.7109375" style="585" customWidth="1"/>
    <col min="5387" max="5391" width="10.7109375" style="585" customWidth="1"/>
    <col min="5392" max="5394" width="10.28515625" style="585" customWidth="1"/>
    <col min="5395" max="5395" width="29.85546875" style="585" customWidth="1"/>
    <col min="5396" max="5402" width="10.28515625" style="585" customWidth="1"/>
    <col min="5403" max="5403" width="9.140625" style="585"/>
    <col min="5404" max="5404" width="31.28515625" style="585" customWidth="1"/>
    <col min="5405" max="5419" width="11.7109375" style="585" customWidth="1"/>
    <col min="5420" max="5420" width="25.7109375" style="585" customWidth="1"/>
    <col min="5421" max="5423" width="14.7109375" style="585" customWidth="1"/>
    <col min="5424" max="5425" width="11.7109375" style="585" customWidth="1"/>
    <col min="5426" max="5426" width="9.140625" style="585"/>
    <col min="5427" max="5427" width="15.42578125" style="585" customWidth="1"/>
    <col min="5428" max="5632" width="9.140625" style="585"/>
    <col min="5633" max="5633" width="14.7109375" style="585" customWidth="1"/>
    <col min="5634" max="5640" width="12.7109375" style="585" customWidth="1"/>
    <col min="5641" max="5641" width="9.140625" style="585"/>
    <col min="5642" max="5642" width="34.7109375" style="585" customWidth="1"/>
    <col min="5643" max="5647" width="10.7109375" style="585" customWidth="1"/>
    <col min="5648" max="5650" width="10.28515625" style="585" customWidth="1"/>
    <col min="5651" max="5651" width="29.85546875" style="585" customWidth="1"/>
    <col min="5652" max="5658" width="10.28515625" style="585" customWidth="1"/>
    <col min="5659" max="5659" width="9.140625" style="585"/>
    <col min="5660" max="5660" width="31.28515625" style="585" customWidth="1"/>
    <col min="5661" max="5675" width="11.7109375" style="585" customWidth="1"/>
    <col min="5676" max="5676" width="25.7109375" style="585" customWidth="1"/>
    <col min="5677" max="5679" width="14.7109375" style="585" customWidth="1"/>
    <col min="5680" max="5681" width="11.7109375" style="585" customWidth="1"/>
    <col min="5682" max="5682" width="9.140625" style="585"/>
    <col min="5683" max="5683" width="15.42578125" style="585" customWidth="1"/>
    <col min="5684" max="5888" width="9.140625" style="585"/>
    <col min="5889" max="5889" width="14.7109375" style="585" customWidth="1"/>
    <col min="5890" max="5896" width="12.7109375" style="585" customWidth="1"/>
    <col min="5897" max="5897" width="9.140625" style="585"/>
    <col min="5898" max="5898" width="34.7109375" style="585" customWidth="1"/>
    <col min="5899" max="5903" width="10.7109375" style="585" customWidth="1"/>
    <col min="5904" max="5906" width="10.28515625" style="585" customWidth="1"/>
    <col min="5907" max="5907" width="29.85546875" style="585" customWidth="1"/>
    <col min="5908" max="5914" width="10.28515625" style="585" customWidth="1"/>
    <col min="5915" max="5915" width="9.140625" style="585"/>
    <col min="5916" max="5916" width="31.28515625" style="585" customWidth="1"/>
    <col min="5917" max="5931" width="11.7109375" style="585" customWidth="1"/>
    <col min="5932" max="5932" width="25.7109375" style="585" customWidth="1"/>
    <col min="5933" max="5935" width="14.7109375" style="585" customWidth="1"/>
    <col min="5936" max="5937" width="11.7109375" style="585" customWidth="1"/>
    <col min="5938" max="5938" width="9.140625" style="585"/>
    <col min="5939" max="5939" width="15.42578125" style="585" customWidth="1"/>
    <col min="5940" max="6144" width="9.140625" style="585"/>
    <col min="6145" max="6145" width="14.7109375" style="585" customWidth="1"/>
    <col min="6146" max="6152" width="12.7109375" style="585" customWidth="1"/>
    <col min="6153" max="6153" width="9.140625" style="585"/>
    <col min="6154" max="6154" width="34.7109375" style="585" customWidth="1"/>
    <col min="6155" max="6159" width="10.7109375" style="585" customWidth="1"/>
    <col min="6160" max="6162" width="10.28515625" style="585" customWidth="1"/>
    <col min="6163" max="6163" width="29.85546875" style="585" customWidth="1"/>
    <col min="6164" max="6170" width="10.28515625" style="585" customWidth="1"/>
    <col min="6171" max="6171" width="9.140625" style="585"/>
    <col min="6172" max="6172" width="31.28515625" style="585" customWidth="1"/>
    <col min="6173" max="6187" width="11.7109375" style="585" customWidth="1"/>
    <col min="6188" max="6188" width="25.7109375" style="585" customWidth="1"/>
    <col min="6189" max="6191" width="14.7109375" style="585" customWidth="1"/>
    <col min="6192" max="6193" width="11.7109375" style="585" customWidth="1"/>
    <col min="6194" max="6194" width="9.140625" style="585"/>
    <col min="6195" max="6195" width="15.42578125" style="585" customWidth="1"/>
    <col min="6196" max="6400" width="9.140625" style="585"/>
    <col min="6401" max="6401" width="14.7109375" style="585" customWidth="1"/>
    <col min="6402" max="6408" width="12.7109375" style="585" customWidth="1"/>
    <col min="6409" max="6409" width="9.140625" style="585"/>
    <col min="6410" max="6410" width="34.7109375" style="585" customWidth="1"/>
    <col min="6411" max="6415" width="10.7109375" style="585" customWidth="1"/>
    <col min="6416" max="6418" width="10.28515625" style="585" customWidth="1"/>
    <col min="6419" max="6419" width="29.85546875" style="585" customWidth="1"/>
    <col min="6420" max="6426" width="10.28515625" style="585" customWidth="1"/>
    <col min="6427" max="6427" width="9.140625" style="585"/>
    <col min="6428" max="6428" width="31.28515625" style="585" customWidth="1"/>
    <col min="6429" max="6443" width="11.7109375" style="585" customWidth="1"/>
    <col min="6444" max="6444" width="25.7109375" style="585" customWidth="1"/>
    <col min="6445" max="6447" width="14.7109375" style="585" customWidth="1"/>
    <col min="6448" max="6449" width="11.7109375" style="585" customWidth="1"/>
    <col min="6450" max="6450" width="9.140625" style="585"/>
    <col min="6451" max="6451" width="15.42578125" style="585" customWidth="1"/>
    <col min="6452" max="6656" width="9.140625" style="585"/>
    <col min="6657" max="6657" width="14.7109375" style="585" customWidth="1"/>
    <col min="6658" max="6664" width="12.7109375" style="585" customWidth="1"/>
    <col min="6665" max="6665" width="9.140625" style="585"/>
    <col min="6666" max="6666" width="34.7109375" style="585" customWidth="1"/>
    <col min="6667" max="6671" width="10.7109375" style="585" customWidth="1"/>
    <col min="6672" max="6674" width="10.28515625" style="585" customWidth="1"/>
    <col min="6675" max="6675" width="29.85546875" style="585" customWidth="1"/>
    <col min="6676" max="6682" width="10.28515625" style="585" customWidth="1"/>
    <col min="6683" max="6683" width="9.140625" style="585"/>
    <col min="6684" max="6684" width="31.28515625" style="585" customWidth="1"/>
    <col min="6685" max="6699" width="11.7109375" style="585" customWidth="1"/>
    <col min="6700" max="6700" width="25.7109375" style="585" customWidth="1"/>
    <col min="6701" max="6703" width="14.7109375" style="585" customWidth="1"/>
    <col min="6704" max="6705" width="11.7109375" style="585" customWidth="1"/>
    <col min="6706" max="6706" width="9.140625" style="585"/>
    <col min="6707" max="6707" width="15.42578125" style="585" customWidth="1"/>
    <col min="6708" max="6912" width="9.140625" style="585"/>
    <col min="6913" max="6913" width="14.7109375" style="585" customWidth="1"/>
    <col min="6914" max="6920" width="12.7109375" style="585" customWidth="1"/>
    <col min="6921" max="6921" width="9.140625" style="585"/>
    <col min="6922" max="6922" width="34.7109375" style="585" customWidth="1"/>
    <col min="6923" max="6927" width="10.7109375" style="585" customWidth="1"/>
    <col min="6928" max="6930" width="10.28515625" style="585" customWidth="1"/>
    <col min="6931" max="6931" width="29.85546875" style="585" customWidth="1"/>
    <col min="6932" max="6938" width="10.28515625" style="585" customWidth="1"/>
    <col min="6939" max="6939" width="9.140625" style="585"/>
    <col min="6940" max="6940" width="31.28515625" style="585" customWidth="1"/>
    <col min="6941" max="6955" width="11.7109375" style="585" customWidth="1"/>
    <col min="6956" max="6956" width="25.7109375" style="585" customWidth="1"/>
    <col min="6957" max="6959" width="14.7109375" style="585" customWidth="1"/>
    <col min="6960" max="6961" width="11.7109375" style="585" customWidth="1"/>
    <col min="6962" max="6962" width="9.140625" style="585"/>
    <col min="6963" max="6963" width="15.42578125" style="585" customWidth="1"/>
    <col min="6964" max="7168" width="9.140625" style="585"/>
    <col min="7169" max="7169" width="14.7109375" style="585" customWidth="1"/>
    <col min="7170" max="7176" width="12.7109375" style="585" customWidth="1"/>
    <col min="7177" max="7177" width="9.140625" style="585"/>
    <col min="7178" max="7178" width="34.7109375" style="585" customWidth="1"/>
    <col min="7179" max="7183" width="10.7109375" style="585" customWidth="1"/>
    <col min="7184" max="7186" width="10.28515625" style="585" customWidth="1"/>
    <col min="7187" max="7187" width="29.85546875" style="585" customWidth="1"/>
    <col min="7188" max="7194" width="10.28515625" style="585" customWidth="1"/>
    <col min="7195" max="7195" width="9.140625" style="585"/>
    <col min="7196" max="7196" width="31.28515625" style="585" customWidth="1"/>
    <col min="7197" max="7211" width="11.7109375" style="585" customWidth="1"/>
    <col min="7212" max="7212" width="25.7109375" style="585" customWidth="1"/>
    <col min="7213" max="7215" width="14.7109375" style="585" customWidth="1"/>
    <col min="7216" max="7217" width="11.7109375" style="585" customWidth="1"/>
    <col min="7218" max="7218" width="9.140625" style="585"/>
    <col min="7219" max="7219" width="15.42578125" style="585" customWidth="1"/>
    <col min="7220" max="7424" width="9.140625" style="585"/>
    <col min="7425" max="7425" width="14.7109375" style="585" customWidth="1"/>
    <col min="7426" max="7432" width="12.7109375" style="585" customWidth="1"/>
    <col min="7433" max="7433" width="9.140625" style="585"/>
    <col min="7434" max="7434" width="34.7109375" style="585" customWidth="1"/>
    <col min="7435" max="7439" width="10.7109375" style="585" customWidth="1"/>
    <col min="7440" max="7442" width="10.28515625" style="585" customWidth="1"/>
    <col min="7443" max="7443" width="29.85546875" style="585" customWidth="1"/>
    <col min="7444" max="7450" width="10.28515625" style="585" customWidth="1"/>
    <col min="7451" max="7451" width="9.140625" style="585"/>
    <col min="7452" max="7452" width="31.28515625" style="585" customWidth="1"/>
    <col min="7453" max="7467" width="11.7109375" style="585" customWidth="1"/>
    <col min="7468" max="7468" width="25.7109375" style="585" customWidth="1"/>
    <col min="7469" max="7471" width="14.7109375" style="585" customWidth="1"/>
    <col min="7472" max="7473" width="11.7109375" style="585" customWidth="1"/>
    <col min="7474" max="7474" width="9.140625" style="585"/>
    <col min="7475" max="7475" width="15.42578125" style="585" customWidth="1"/>
    <col min="7476" max="7680" width="9.140625" style="585"/>
    <col min="7681" max="7681" width="14.7109375" style="585" customWidth="1"/>
    <col min="7682" max="7688" width="12.7109375" style="585" customWidth="1"/>
    <col min="7689" max="7689" width="9.140625" style="585"/>
    <col min="7690" max="7690" width="34.7109375" style="585" customWidth="1"/>
    <col min="7691" max="7695" width="10.7109375" style="585" customWidth="1"/>
    <col min="7696" max="7698" width="10.28515625" style="585" customWidth="1"/>
    <col min="7699" max="7699" width="29.85546875" style="585" customWidth="1"/>
    <col min="7700" max="7706" width="10.28515625" style="585" customWidth="1"/>
    <col min="7707" max="7707" width="9.140625" style="585"/>
    <col min="7708" max="7708" width="31.28515625" style="585" customWidth="1"/>
    <col min="7709" max="7723" width="11.7109375" style="585" customWidth="1"/>
    <col min="7724" max="7724" width="25.7109375" style="585" customWidth="1"/>
    <col min="7725" max="7727" width="14.7109375" style="585" customWidth="1"/>
    <col min="7728" max="7729" width="11.7109375" style="585" customWidth="1"/>
    <col min="7730" max="7730" width="9.140625" style="585"/>
    <col min="7731" max="7731" width="15.42578125" style="585" customWidth="1"/>
    <col min="7732" max="7936" width="9.140625" style="585"/>
    <col min="7937" max="7937" width="14.7109375" style="585" customWidth="1"/>
    <col min="7938" max="7944" width="12.7109375" style="585" customWidth="1"/>
    <col min="7945" max="7945" width="9.140625" style="585"/>
    <col min="7946" max="7946" width="34.7109375" style="585" customWidth="1"/>
    <col min="7947" max="7951" width="10.7109375" style="585" customWidth="1"/>
    <col min="7952" max="7954" width="10.28515625" style="585" customWidth="1"/>
    <col min="7955" max="7955" width="29.85546875" style="585" customWidth="1"/>
    <col min="7956" max="7962" width="10.28515625" style="585" customWidth="1"/>
    <col min="7963" max="7963" width="9.140625" style="585"/>
    <col min="7964" max="7964" width="31.28515625" style="585" customWidth="1"/>
    <col min="7965" max="7979" width="11.7109375" style="585" customWidth="1"/>
    <col min="7980" max="7980" width="25.7109375" style="585" customWidth="1"/>
    <col min="7981" max="7983" width="14.7109375" style="585" customWidth="1"/>
    <col min="7984" max="7985" width="11.7109375" style="585" customWidth="1"/>
    <col min="7986" max="7986" width="9.140625" style="585"/>
    <col min="7987" max="7987" width="15.42578125" style="585" customWidth="1"/>
    <col min="7988" max="8192" width="9.140625" style="585"/>
    <col min="8193" max="8193" width="14.7109375" style="585" customWidth="1"/>
    <col min="8194" max="8200" width="12.7109375" style="585" customWidth="1"/>
    <col min="8201" max="8201" width="9.140625" style="585"/>
    <col min="8202" max="8202" width="34.7109375" style="585" customWidth="1"/>
    <col min="8203" max="8207" width="10.7109375" style="585" customWidth="1"/>
    <col min="8208" max="8210" width="10.28515625" style="585" customWidth="1"/>
    <col min="8211" max="8211" width="29.85546875" style="585" customWidth="1"/>
    <col min="8212" max="8218" width="10.28515625" style="585" customWidth="1"/>
    <col min="8219" max="8219" width="9.140625" style="585"/>
    <col min="8220" max="8220" width="31.28515625" style="585" customWidth="1"/>
    <col min="8221" max="8235" width="11.7109375" style="585" customWidth="1"/>
    <col min="8236" max="8236" width="25.7109375" style="585" customWidth="1"/>
    <col min="8237" max="8239" width="14.7109375" style="585" customWidth="1"/>
    <col min="8240" max="8241" width="11.7109375" style="585" customWidth="1"/>
    <col min="8242" max="8242" width="9.140625" style="585"/>
    <col min="8243" max="8243" width="15.42578125" style="585" customWidth="1"/>
    <col min="8244" max="8448" width="9.140625" style="585"/>
    <col min="8449" max="8449" width="14.7109375" style="585" customWidth="1"/>
    <col min="8450" max="8456" width="12.7109375" style="585" customWidth="1"/>
    <col min="8457" max="8457" width="9.140625" style="585"/>
    <col min="8458" max="8458" width="34.7109375" style="585" customWidth="1"/>
    <col min="8459" max="8463" width="10.7109375" style="585" customWidth="1"/>
    <col min="8464" max="8466" width="10.28515625" style="585" customWidth="1"/>
    <col min="8467" max="8467" width="29.85546875" style="585" customWidth="1"/>
    <col min="8468" max="8474" width="10.28515625" style="585" customWidth="1"/>
    <col min="8475" max="8475" width="9.140625" style="585"/>
    <col min="8476" max="8476" width="31.28515625" style="585" customWidth="1"/>
    <col min="8477" max="8491" width="11.7109375" style="585" customWidth="1"/>
    <col min="8492" max="8492" width="25.7109375" style="585" customWidth="1"/>
    <col min="8493" max="8495" width="14.7109375" style="585" customWidth="1"/>
    <col min="8496" max="8497" width="11.7109375" style="585" customWidth="1"/>
    <col min="8498" max="8498" width="9.140625" style="585"/>
    <col min="8499" max="8499" width="15.42578125" style="585" customWidth="1"/>
    <col min="8500" max="8704" width="9.140625" style="585"/>
    <col min="8705" max="8705" width="14.7109375" style="585" customWidth="1"/>
    <col min="8706" max="8712" width="12.7109375" style="585" customWidth="1"/>
    <col min="8713" max="8713" width="9.140625" style="585"/>
    <col min="8714" max="8714" width="34.7109375" style="585" customWidth="1"/>
    <col min="8715" max="8719" width="10.7109375" style="585" customWidth="1"/>
    <col min="8720" max="8722" width="10.28515625" style="585" customWidth="1"/>
    <col min="8723" max="8723" width="29.85546875" style="585" customWidth="1"/>
    <col min="8724" max="8730" width="10.28515625" style="585" customWidth="1"/>
    <col min="8731" max="8731" width="9.140625" style="585"/>
    <col min="8732" max="8732" width="31.28515625" style="585" customWidth="1"/>
    <col min="8733" max="8747" width="11.7109375" style="585" customWidth="1"/>
    <col min="8748" max="8748" width="25.7109375" style="585" customWidth="1"/>
    <col min="8749" max="8751" width="14.7109375" style="585" customWidth="1"/>
    <col min="8752" max="8753" width="11.7109375" style="585" customWidth="1"/>
    <col min="8754" max="8754" width="9.140625" style="585"/>
    <col min="8755" max="8755" width="15.42578125" style="585" customWidth="1"/>
    <col min="8756" max="8960" width="9.140625" style="585"/>
    <col min="8961" max="8961" width="14.7109375" style="585" customWidth="1"/>
    <col min="8962" max="8968" width="12.7109375" style="585" customWidth="1"/>
    <col min="8969" max="8969" width="9.140625" style="585"/>
    <col min="8970" max="8970" width="34.7109375" style="585" customWidth="1"/>
    <col min="8971" max="8975" width="10.7109375" style="585" customWidth="1"/>
    <col min="8976" max="8978" width="10.28515625" style="585" customWidth="1"/>
    <col min="8979" max="8979" width="29.85546875" style="585" customWidth="1"/>
    <col min="8980" max="8986" width="10.28515625" style="585" customWidth="1"/>
    <col min="8987" max="8987" width="9.140625" style="585"/>
    <col min="8988" max="8988" width="31.28515625" style="585" customWidth="1"/>
    <col min="8989" max="9003" width="11.7109375" style="585" customWidth="1"/>
    <col min="9004" max="9004" width="25.7109375" style="585" customWidth="1"/>
    <col min="9005" max="9007" width="14.7109375" style="585" customWidth="1"/>
    <col min="9008" max="9009" width="11.7109375" style="585" customWidth="1"/>
    <col min="9010" max="9010" width="9.140625" style="585"/>
    <col min="9011" max="9011" width="15.42578125" style="585" customWidth="1"/>
    <col min="9012" max="9216" width="9.140625" style="585"/>
    <col min="9217" max="9217" width="14.7109375" style="585" customWidth="1"/>
    <col min="9218" max="9224" width="12.7109375" style="585" customWidth="1"/>
    <col min="9225" max="9225" width="9.140625" style="585"/>
    <col min="9226" max="9226" width="34.7109375" style="585" customWidth="1"/>
    <col min="9227" max="9231" width="10.7109375" style="585" customWidth="1"/>
    <col min="9232" max="9234" width="10.28515625" style="585" customWidth="1"/>
    <col min="9235" max="9235" width="29.85546875" style="585" customWidth="1"/>
    <col min="9236" max="9242" width="10.28515625" style="585" customWidth="1"/>
    <col min="9243" max="9243" width="9.140625" style="585"/>
    <col min="9244" max="9244" width="31.28515625" style="585" customWidth="1"/>
    <col min="9245" max="9259" width="11.7109375" style="585" customWidth="1"/>
    <col min="9260" max="9260" width="25.7109375" style="585" customWidth="1"/>
    <col min="9261" max="9263" width="14.7109375" style="585" customWidth="1"/>
    <col min="9264" max="9265" width="11.7109375" style="585" customWidth="1"/>
    <col min="9266" max="9266" width="9.140625" style="585"/>
    <col min="9267" max="9267" width="15.42578125" style="585" customWidth="1"/>
    <col min="9268" max="9472" width="9.140625" style="585"/>
    <col min="9473" max="9473" width="14.7109375" style="585" customWidth="1"/>
    <col min="9474" max="9480" width="12.7109375" style="585" customWidth="1"/>
    <col min="9481" max="9481" width="9.140625" style="585"/>
    <col min="9482" max="9482" width="34.7109375" style="585" customWidth="1"/>
    <col min="9483" max="9487" width="10.7109375" style="585" customWidth="1"/>
    <col min="9488" max="9490" width="10.28515625" style="585" customWidth="1"/>
    <col min="9491" max="9491" width="29.85546875" style="585" customWidth="1"/>
    <col min="9492" max="9498" width="10.28515625" style="585" customWidth="1"/>
    <col min="9499" max="9499" width="9.140625" style="585"/>
    <col min="9500" max="9500" width="31.28515625" style="585" customWidth="1"/>
    <col min="9501" max="9515" width="11.7109375" style="585" customWidth="1"/>
    <col min="9516" max="9516" width="25.7109375" style="585" customWidth="1"/>
    <col min="9517" max="9519" width="14.7109375" style="585" customWidth="1"/>
    <col min="9520" max="9521" width="11.7109375" style="585" customWidth="1"/>
    <col min="9522" max="9522" width="9.140625" style="585"/>
    <col min="9523" max="9523" width="15.42578125" style="585" customWidth="1"/>
    <col min="9524" max="9728" width="9.140625" style="585"/>
    <col min="9729" max="9729" width="14.7109375" style="585" customWidth="1"/>
    <col min="9730" max="9736" width="12.7109375" style="585" customWidth="1"/>
    <col min="9737" max="9737" width="9.140625" style="585"/>
    <col min="9738" max="9738" width="34.7109375" style="585" customWidth="1"/>
    <col min="9739" max="9743" width="10.7109375" style="585" customWidth="1"/>
    <col min="9744" max="9746" width="10.28515625" style="585" customWidth="1"/>
    <col min="9747" max="9747" width="29.85546875" style="585" customWidth="1"/>
    <col min="9748" max="9754" width="10.28515625" style="585" customWidth="1"/>
    <col min="9755" max="9755" width="9.140625" style="585"/>
    <col min="9756" max="9756" width="31.28515625" style="585" customWidth="1"/>
    <col min="9757" max="9771" width="11.7109375" style="585" customWidth="1"/>
    <col min="9772" max="9772" width="25.7109375" style="585" customWidth="1"/>
    <col min="9773" max="9775" width="14.7109375" style="585" customWidth="1"/>
    <col min="9776" max="9777" width="11.7109375" style="585" customWidth="1"/>
    <col min="9778" max="9778" width="9.140625" style="585"/>
    <col min="9779" max="9779" width="15.42578125" style="585" customWidth="1"/>
    <col min="9780" max="9984" width="9.140625" style="585"/>
    <col min="9985" max="9985" width="14.7109375" style="585" customWidth="1"/>
    <col min="9986" max="9992" width="12.7109375" style="585" customWidth="1"/>
    <col min="9993" max="9993" width="9.140625" style="585"/>
    <col min="9994" max="9994" width="34.7109375" style="585" customWidth="1"/>
    <col min="9995" max="9999" width="10.7109375" style="585" customWidth="1"/>
    <col min="10000" max="10002" width="10.28515625" style="585" customWidth="1"/>
    <col min="10003" max="10003" width="29.85546875" style="585" customWidth="1"/>
    <col min="10004" max="10010" width="10.28515625" style="585" customWidth="1"/>
    <col min="10011" max="10011" width="9.140625" style="585"/>
    <col min="10012" max="10012" width="31.28515625" style="585" customWidth="1"/>
    <col min="10013" max="10027" width="11.7109375" style="585" customWidth="1"/>
    <col min="10028" max="10028" width="25.7109375" style="585" customWidth="1"/>
    <col min="10029" max="10031" width="14.7109375" style="585" customWidth="1"/>
    <col min="10032" max="10033" width="11.7109375" style="585" customWidth="1"/>
    <col min="10034" max="10034" width="9.140625" style="585"/>
    <col min="10035" max="10035" width="15.42578125" style="585" customWidth="1"/>
    <col min="10036" max="10240" width="9.140625" style="585"/>
    <col min="10241" max="10241" width="14.7109375" style="585" customWidth="1"/>
    <col min="10242" max="10248" width="12.7109375" style="585" customWidth="1"/>
    <col min="10249" max="10249" width="9.140625" style="585"/>
    <col min="10250" max="10250" width="34.7109375" style="585" customWidth="1"/>
    <col min="10251" max="10255" width="10.7109375" style="585" customWidth="1"/>
    <col min="10256" max="10258" width="10.28515625" style="585" customWidth="1"/>
    <col min="10259" max="10259" width="29.85546875" style="585" customWidth="1"/>
    <col min="10260" max="10266" width="10.28515625" style="585" customWidth="1"/>
    <col min="10267" max="10267" width="9.140625" style="585"/>
    <col min="10268" max="10268" width="31.28515625" style="585" customWidth="1"/>
    <col min="10269" max="10283" width="11.7109375" style="585" customWidth="1"/>
    <col min="10284" max="10284" width="25.7109375" style="585" customWidth="1"/>
    <col min="10285" max="10287" width="14.7109375" style="585" customWidth="1"/>
    <col min="10288" max="10289" width="11.7109375" style="585" customWidth="1"/>
    <col min="10290" max="10290" width="9.140625" style="585"/>
    <col min="10291" max="10291" width="15.42578125" style="585" customWidth="1"/>
    <col min="10292" max="10496" width="9.140625" style="585"/>
    <col min="10497" max="10497" width="14.7109375" style="585" customWidth="1"/>
    <col min="10498" max="10504" width="12.7109375" style="585" customWidth="1"/>
    <col min="10505" max="10505" width="9.140625" style="585"/>
    <col min="10506" max="10506" width="34.7109375" style="585" customWidth="1"/>
    <col min="10507" max="10511" width="10.7109375" style="585" customWidth="1"/>
    <col min="10512" max="10514" width="10.28515625" style="585" customWidth="1"/>
    <col min="10515" max="10515" width="29.85546875" style="585" customWidth="1"/>
    <col min="10516" max="10522" width="10.28515625" style="585" customWidth="1"/>
    <col min="10523" max="10523" width="9.140625" style="585"/>
    <col min="10524" max="10524" width="31.28515625" style="585" customWidth="1"/>
    <col min="10525" max="10539" width="11.7109375" style="585" customWidth="1"/>
    <col min="10540" max="10540" width="25.7109375" style="585" customWidth="1"/>
    <col min="10541" max="10543" width="14.7109375" style="585" customWidth="1"/>
    <col min="10544" max="10545" width="11.7109375" style="585" customWidth="1"/>
    <col min="10546" max="10546" width="9.140625" style="585"/>
    <col min="10547" max="10547" width="15.42578125" style="585" customWidth="1"/>
    <col min="10548" max="10752" width="9.140625" style="585"/>
    <col min="10753" max="10753" width="14.7109375" style="585" customWidth="1"/>
    <col min="10754" max="10760" width="12.7109375" style="585" customWidth="1"/>
    <col min="10761" max="10761" width="9.140625" style="585"/>
    <col min="10762" max="10762" width="34.7109375" style="585" customWidth="1"/>
    <col min="10763" max="10767" width="10.7109375" style="585" customWidth="1"/>
    <col min="10768" max="10770" width="10.28515625" style="585" customWidth="1"/>
    <col min="10771" max="10771" width="29.85546875" style="585" customWidth="1"/>
    <col min="10772" max="10778" width="10.28515625" style="585" customWidth="1"/>
    <col min="10779" max="10779" width="9.140625" style="585"/>
    <col min="10780" max="10780" width="31.28515625" style="585" customWidth="1"/>
    <col min="10781" max="10795" width="11.7109375" style="585" customWidth="1"/>
    <col min="10796" max="10796" width="25.7109375" style="585" customWidth="1"/>
    <col min="10797" max="10799" width="14.7109375" style="585" customWidth="1"/>
    <col min="10800" max="10801" width="11.7109375" style="585" customWidth="1"/>
    <col min="10802" max="10802" width="9.140625" style="585"/>
    <col min="10803" max="10803" width="15.42578125" style="585" customWidth="1"/>
    <col min="10804" max="11008" width="9.140625" style="585"/>
    <col min="11009" max="11009" width="14.7109375" style="585" customWidth="1"/>
    <col min="11010" max="11016" width="12.7109375" style="585" customWidth="1"/>
    <col min="11017" max="11017" width="9.140625" style="585"/>
    <col min="11018" max="11018" width="34.7109375" style="585" customWidth="1"/>
    <col min="11019" max="11023" width="10.7109375" style="585" customWidth="1"/>
    <col min="11024" max="11026" width="10.28515625" style="585" customWidth="1"/>
    <col min="11027" max="11027" width="29.85546875" style="585" customWidth="1"/>
    <col min="11028" max="11034" width="10.28515625" style="585" customWidth="1"/>
    <col min="11035" max="11035" width="9.140625" style="585"/>
    <col min="11036" max="11036" width="31.28515625" style="585" customWidth="1"/>
    <col min="11037" max="11051" width="11.7109375" style="585" customWidth="1"/>
    <col min="11052" max="11052" width="25.7109375" style="585" customWidth="1"/>
    <col min="11053" max="11055" width="14.7109375" style="585" customWidth="1"/>
    <col min="11056" max="11057" width="11.7109375" style="585" customWidth="1"/>
    <col min="11058" max="11058" width="9.140625" style="585"/>
    <col min="11059" max="11059" width="15.42578125" style="585" customWidth="1"/>
    <col min="11060" max="11264" width="9.140625" style="585"/>
    <col min="11265" max="11265" width="14.7109375" style="585" customWidth="1"/>
    <col min="11266" max="11272" width="12.7109375" style="585" customWidth="1"/>
    <col min="11273" max="11273" width="9.140625" style="585"/>
    <col min="11274" max="11274" width="34.7109375" style="585" customWidth="1"/>
    <col min="11275" max="11279" width="10.7109375" style="585" customWidth="1"/>
    <col min="11280" max="11282" width="10.28515625" style="585" customWidth="1"/>
    <col min="11283" max="11283" width="29.85546875" style="585" customWidth="1"/>
    <col min="11284" max="11290" width="10.28515625" style="585" customWidth="1"/>
    <col min="11291" max="11291" width="9.140625" style="585"/>
    <col min="11292" max="11292" width="31.28515625" style="585" customWidth="1"/>
    <col min="11293" max="11307" width="11.7109375" style="585" customWidth="1"/>
    <col min="11308" max="11308" width="25.7109375" style="585" customWidth="1"/>
    <col min="11309" max="11311" width="14.7109375" style="585" customWidth="1"/>
    <col min="11312" max="11313" width="11.7109375" style="585" customWidth="1"/>
    <col min="11314" max="11314" width="9.140625" style="585"/>
    <col min="11315" max="11315" width="15.42578125" style="585" customWidth="1"/>
    <col min="11316" max="11520" width="9.140625" style="585"/>
    <col min="11521" max="11521" width="14.7109375" style="585" customWidth="1"/>
    <col min="11522" max="11528" width="12.7109375" style="585" customWidth="1"/>
    <col min="11529" max="11529" width="9.140625" style="585"/>
    <col min="11530" max="11530" width="34.7109375" style="585" customWidth="1"/>
    <col min="11531" max="11535" width="10.7109375" style="585" customWidth="1"/>
    <col min="11536" max="11538" width="10.28515625" style="585" customWidth="1"/>
    <col min="11539" max="11539" width="29.85546875" style="585" customWidth="1"/>
    <col min="11540" max="11546" width="10.28515625" style="585" customWidth="1"/>
    <col min="11547" max="11547" width="9.140625" style="585"/>
    <col min="11548" max="11548" width="31.28515625" style="585" customWidth="1"/>
    <col min="11549" max="11563" width="11.7109375" style="585" customWidth="1"/>
    <col min="11564" max="11564" width="25.7109375" style="585" customWidth="1"/>
    <col min="11565" max="11567" width="14.7109375" style="585" customWidth="1"/>
    <col min="11568" max="11569" width="11.7109375" style="585" customWidth="1"/>
    <col min="11570" max="11570" width="9.140625" style="585"/>
    <col min="11571" max="11571" width="15.42578125" style="585" customWidth="1"/>
    <col min="11572" max="11776" width="9.140625" style="585"/>
    <col min="11777" max="11777" width="14.7109375" style="585" customWidth="1"/>
    <col min="11778" max="11784" width="12.7109375" style="585" customWidth="1"/>
    <col min="11785" max="11785" width="9.140625" style="585"/>
    <col min="11786" max="11786" width="34.7109375" style="585" customWidth="1"/>
    <col min="11787" max="11791" width="10.7109375" style="585" customWidth="1"/>
    <col min="11792" max="11794" width="10.28515625" style="585" customWidth="1"/>
    <col min="11795" max="11795" width="29.85546875" style="585" customWidth="1"/>
    <col min="11796" max="11802" width="10.28515625" style="585" customWidth="1"/>
    <col min="11803" max="11803" width="9.140625" style="585"/>
    <col min="11804" max="11804" width="31.28515625" style="585" customWidth="1"/>
    <col min="11805" max="11819" width="11.7109375" style="585" customWidth="1"/>
    <col min="11820" max="11820" width="25.7109375" style="585" customWidth="1"/>
    <col min="11821" max="11823" width="14.7109375" style="585" customWidth="1"/>
    <col min="11824" max="11825" width="11.7109375" style="585" customWidth="1"/>
    <col min="11826" max="11826" width="9.140625" style="585"/>
    <col min="11827" max="11827" width="15.42578125" style="585" customWidth="1"/>
    <col min="11828" max="12032" width="9.140625" style="585"/>
    <col min="12033" max="12033" width="14.7109375" style="585" customWidth="1"/>
    <col min="12034" max="12040" width="12.7109375" style="585" customWidth="1"/>
    <col min="12041" max="12041" width="9.140625" style="585"/>
    <col min="12042" max="12042" width="34.7109375" style="585" customWidth="1"/>
    <col min="12043" max="12047" width="10.7109375" style="585" customWidth="1"/>
    <col min="12048" max="12050" width="10.28515625" style="585" customWidth="1"/>
    <col min="12051" max="12051" width="29.85546875" style="585" customWidth="1"/>
    <col min="12052" max="12058" width="10.28515625" style="585" customWidth="1"/>
    <col min="12059" max="12059" width="9.140625" style="585"/>
    <col min="12060" max="12060" width="31.28515625" style="585" customWidth="1"/>
    <col min="12061" max="12075" width="11.7109375" style="585" customWidth="1"/>
    <col min="12076" max="12076" width="25.7109375" style="585" customWidth="1"/>
    <col min="12077" max="12079" width="14.7109375" style="585" customWidth="1"/>
    <col min="12080" max="12081" width="11.7109375" style="585" customWidth="1"/>
    <col min="12082" max="12082" width="9.140625" style="585"/>
    <col min="12083" max="12083" width="15.42578125" style="585" customWidth="1"/>
    <col min="12084" max="12288" width="9.140625" style="585"/>
    <col min="12289" max="12289" width="14.7109375" style="585" customWidth="1"/>
    <col min="12290" max="12296" width="12.7109375" style="585" customWidth="1"/>
    <col min="12297" max="12297" width="9.140625" style="585"/>
    <col min="12298" max="12298" width="34.7109375" style="585" customWidth="1"/>
    <col min="12299" max="12303" width="10.7109375" style="585" customWidth="1"/>
    <col min="12304" max="12306" width="10.28515625" style="585" customWidth="1"/>
    <col min="12307" max="12307" width="29.85546875" style="585" customWidth="1"/>
    <col min="12308" max="12314" width="10.28515625" style="585" customWidth="1"/>
    <col min="12315" max="12315" width="9.140625" style="585"/>
    <col min="12316" max="12316" width="31.28515625" style="585" customWidth="1"/>
    <col min="12317" max="12331" width="11.7109375" style="585" customWidth="1"/>
    <col min="12332" max="12332" width="25.7109375" style="585" customWidth="1"/>
    <col min="12333" max="12335" width="14.7109375" style="585" customWidth="1"/>
    <col min="12336" max="12337" width="11.7109375" style="585" customWidth="1"/>
    <col min="12338" max="12338" width="9.140625" style="585"/>
    <col min="12339" max="12339" width="15.42578125" style="585" customWidth="1"/>
    <col min="12340" max="12544" width="9.140625" style="585"/>
    <col min="12545" max="12545" width="14.7109375" style="585" customWidth="1"/>
    <col min="12546" max="12552" width="12.7109375" style="585" customWidth="1"/>
    <col min="12553" max="12553" width="9.140625" style="585"/>
    <col min="12554" max="12554" width="34.7109375" style="585" customWidth="1"/>
    <col min="12555" max="12559" width="10.7109375" style="585" customWidth="1"/>
    <col min="12560" max="12562" width="10.28515625" style="585" customWidth="1"/>
    <col min="12563" max="12563" width="29.85546875" style="585" customWidth="1"/>
    <col min="12564" max="12570" width="10.28515625" style="585" customWidth="1"/>
    <col min="12571" max="12571" width="9.140625" style="585"/>
    <col min="12572" max="12572" width="31.28515625" style="585" customWidth="1"/>
    <col min="12573" max="12587" width="11.7109375" style="585" customWidth="1"/>
    <col min="12588" max="12588" width="25.7109375" style="585" customWidth="1"/>
    <col min="12589" max="12591" width="14.7109375" style="585" customWidth="1"/>
    <col min="12592" max="12593" width="11.7109375" style="585" customWidth="1"/>
    <col min="12594" max="12594" width="9.140625" style="585"/>
    <col min="12595" max="12595" width="15.42578125" style="585" customWidth="1"/>
    <col min="12596" max="12800" width="9.140625" style="585"/>
    <col min="12801" max="12801" width="14.7109375" style="585" customWidth="1"/>
    <col min="12802" max="12808" width="12.7109375" style="585" customWidth="1"/>
    <col min="12809" max="12809" width="9.140625" style="585"/>
    <col min="12810" max="12810" width="34.7109375" style="585" customWidth="1"/>
    <col min="12811" max="12815" width="10.7109375" style="585" customWidth="1"/>
    <col min="12816" max="12818" width="10.28515625" style="585" customWidth="1"/>
    <col min="12819" max="12819" width="29.85546875" style="585" customWidth="1"/>
    <col min="12820" max="12826" width="10.28515625" style="585" customWidth="1"/>
    <col min="12827" max="12827" width="9.140625" style="585"/>
    <col min="12828" max="12828" width="31.28515625" style="585" customWidth="1"/>
    <col min="12829" max="12843" width="11.7109375" style="585" customWidth="1"/>
    <col min="12844" max="12844" width="25.7109375" style="585" customWidth="1"/>
    <col min="12845" max="12847" width="14.7109375" style="585" customWidth="1"/>
    <col min="12848" max="12849" width="11.7109375" style="585" customWidth="1"/>
    <col min="12850" max="12850" width="9.140625" style="585"/>
    <col min="12851" max="12851" width="15.42578125" style="585" customWidth="1"/>
    <col min="12852" max="13056" width="9.140625" style="585"/>
    <col min="13057" max="13057" width="14.7109375" style="585" customWidth="1"/>
    <col min="13058" max="13064" width="12.7109375" style="585" customWidth="1"/>
    <col min="13065" max="13065" width="9.140625" style="585"/>
    <col min="13066" max="13066" width="34.7109375" style="585" customWidth="1"/>
    <col min="13067" max="13071" width="10.7109375" style="585" customWidth="1"/>
    <col min="13072" max="13074" width="10.28515625" style="585" customWidth="1"/>
    <col min="13075" max="13075" width="29.85546875" style="585" customWidth="1"/>
    <col min="13076" max="13082" width="10.28515625" style="585" customWidth="1"/>
    <col min="13083" max="13083" width="9.140625" style="585"/>
    <col min="13084" max="13084" width="31.28515625" style="585" customWidth="1"/>
    <col min="13085" max="13099" width="11.7109375" style="585" customWidth="1"/>
    <col min="13100" max="13100" width="25.7109375" style="585" customWidth="1"/>
    <col min="13101" max="13103" width="14.7109375" style="585" customWidth="1"/>
    <col min="13104" max="13105" width="11.7109375" style="585" customWidth="1"/>
    <col min="13106" max="13106" width="9.140625" style="585"/>
    <col min="13107" max="13107" width="15.42578125" style="585" customWidth="1"/>
    <col min="13108" max="13312" width="9.140625" style="585"/>
    <col min="13313" max="13313" width="14.7109375" style="585" customWidth="1"/>
    <col min="13314" max="13320" width="12.7109375" style="585" customWidth="1"/>
    <col min="13321" max="13321" width="9.140625" style="585"/>
    <col min="13322" max="13322" width="34.7109375" style="585" customWidth="1"/>
    <col min="13323" max="13327" width="10.7109375" style="585" customWidth="1"/>
    <col min="13328" max="13330" width="10.28515625" style="585" customWidth="1"/>
    <col min="13331" max="13331" width="29.85546875" style="585" customWidth="1"/>
    <col min="13332" max="13338" width="10.28515625" style="585" customWidth="1"/>
    <col min="13339" max="13339" width="9.140625" style="585"/>
    <col min="13340" max="13340" width="31.28515625" style="585" customWidth="1"/>
    <col min="13341" max="13355" width="11.7109375" style="585" customWidth="1"/>
    <col min="13356" max="13356" width="25.7109375" style="585" customWidth="1"/>
    <col min="13357" max="13359" width="14.7109375" style="585" customWidth="1"/>
    <col min="13360" max="13361" width="11.7109375" style="585" customWidth="1"/>
    <col min="13362" max="13362" width="9.140625" style="585"/>
    <col min="13363" max="13363" width="15.42578125" style="585" customWidth="1"/>
    <col min="13364" max="13568" width="9.140625" style="585"/>
    <col min="13569" max="13569" width="14.7109375" style="585" customWidth="1"/>
    <col min="13570" max="13576" width="12.7109375" style="585" customWidth="1"/>
    <col min="13577" max="13577" width="9.140625" style="585"/>
    <col min="13578" max="13578" width="34.7109375" style="585" customWidth="1"/>
    <col min="13579" max="13583" width="10.7109375" style="585" customWidth="1"/>
    <col min="13584" max="13586" width="10.28515625" style="585" customWidth="1"/>
    <col min="13587" max="13587" width="29.85546875" style="585" customWidth="1"/>
    <col min="13588" max="13594" width="10.28515625" style="585" customWidth="1"/>
    <col min="13595" max="13595" width="9.140625" style="585"/>
    <col min="13596" max="13596" width="31.28515625" style="585" customWidth="1"/>
    <col min="13597" max="13611" width="11.7109375" style="585" customWidth="1"/>
    <col min="13612" max="13612" width="25.7109375" style="585" customWidth="1"/>
    <col min="13613" max="13615" width="14.7109375" style="585" customWidth="1"/>
    <col min="13616" max="13617" width="11.7109375" style="585" customWidth="1"/>
    <col min="13618" max="13618" width="9.140625" style="585"/>
    <col min="13619" max="13619" width="15.42578125" style="585" customWidth="1"/>
    <col min="13620" max="13824" width="9.140625" style="585"/>
    <col min="13825" max="13825" width="14.7109375" style="585" customWidth="1"/>
    <col min="13826" max="13832" width="12.7109375" style="585" customWidth="1"/>
    <col min="13833" max="13833" width="9.140625" style="585"/>
    <col min="13834" max="13834" width="34.7109375" style="585" customWidth="1"/>
    <col min="13835" max="13839" width="10.7109375" style="585" customWidth="1"/>
    <col min="13840" max="13842" width="10.28515625" style="585" customWidth="1"/>
    <col min="13843" max="13843" width="29.85546875" style="585" customWidth="1"/>
    <col min="13844" max="13850" width="10.28515625" style="585" customWidth="1"/>
    <col min="13851" max="13851" width="9.140625" style="585"/>
    <col min="13852" max="13852" width="31.28515625" style="585" customWidth="1"/>
    <col min="13853" max="13867" width="11.7109375" style="585" customWidth="1"/>
    <col min="13868" max="13868" width="25.7109375" style="585" customWidth="1"/>
    <col min="13869" max="13871" width="14.7109375" style="585" customWidth="1"/>
    <col min="13872" max="13873" width="11.7109375" style="585" customWidth="1"/>
    <col min="13874" max="13874" width="9.140625" style="585"/>
    <col min="13875" max="13875" width="15.42578125" style="585" customWidth="1"/>
    <col min="13876" max="14080" width="9.140625" style="585"/>
    <col min="14081" max="14081" width="14.7109375" style="585" customWidth="1"/>
    <col min="14082" max="14088" width="12.7109375" style="585" customWidth="1"/>
    <col min="14089" max="14089" width="9.140625" style="585"/>
    <col min="14090" max="14090" width="34.7109375" style="585" customWidth="1"/>
    <col min="14091" max="14095" width="10.7109375" style="585" customWidth="1"/>
    <col min="14096" max="14098" width="10.28515625" style="585" customWidth="1"/>
    <col min="14099" max="14099" width="29.85546875" style="585" customWidth="1"/>
    <col min="14100" max="14106" width="10.28515625" style="585" customWidth="1"/>
    <col min="14107" max="14107" width="9.140625" style="585"/>
    <col min="14108" max="14108" width="31.28515625" style="585" customWidth="1"/>
    <col min="14109" max="14123" width="11.7109375" style="585" customWidth="1"/>
    <col min="14124" max="14124" width="25.7109375" style="585" customWidth="1"/>
    <col min="14125" max="14127" width="14.7109375" style="585" customWidth="1"/>
    <col min="14128" max="14129" width="11.7109375" style="585" customWidth="1"/>
    <col min="14130" max="14130" width="9.140625" style="585"/>
    <col min="14131" max="14131" width="15.42578125" style="585" customWidth="1"/>
    <col min="14132" max="14336" width="9.140625" style="585"/>
    <col min="14337" max="14337" width="14.7109375" style="585" customWidth="1"/>
    <col min="14338" max="14344" width="12.7109375" style="585" customWidth="1"/>
    <col min="14345" max="14345" width="9.140625" style="585"/>
    <col min="14346" max="14346" width="34.7109375" style="585" customWidth="1"/>
    <col min="14347" max="14351" width="10.7109375" style="585" customWidth="1"/>
    <col min="14352" max="14354" width="10.28515625" style="585" customWidth="1"/>
    <col min="14355" max="14355" width="29.85546875" style="585" customWidth="1"/>
    <col min="14356" max="14362" width="10.28515625" style="585" customWidth="1"/>
    <col min="14363" max="14363" width="9.140625" style="585"/>
    <col min="14364" max="14364" width="31.28515625" style="585" customWidth="1"/>
    <col min="14365" max="14379" width="11.7109375" style="585" customWidth="1"/>
    <col min="14380" max="14380" width="25.7109375" style="585" customWidth="1"/>
    <col min="14381" max="14383" width="14.7109375" style="585" customWidth="1"/>
    <col min="14384" max="14385" width="11.7109375" style="585" customWidth="1"/>
    <col min="14386" max="14386" width="9.140625" style="585"/>
    <col min="14387" max="14387" width="15.42578125" style="585" customWidth="1"/>
    <col min="14388" max="14592" width="9.140625" style="585"/>
    <col min="14593" max="14593" width="14.7109375" style="585" customWidth="1"/>
    <col min="14594" max="14600" width="12.7109375" style="585" customWidth="1"/>
    <col min="14601" max="14601" width="9.140625" style="585"/>
    <col min="14602" max="14602" width="34.7109375" style="585" customWidth="1"/>
    <col min="14603" max="14607" width="10.7109375" style="585" customWidth="1"/>
    <col min="14608" max="14610" width="10.28515625" style="585" customWidth="1"/>
    <col min="14611" max="14611" width="29.85546875" style="585" customWidth="1"/>
    <col min="14612" max="14618" width="10.28515625" style="585" customWidth="1"/>
    <col min="14619" max="14619" width="9.140625" style="585"/>
    <col min="14620" max="14620" width="31.28515625" style="585" customWidth="1"/>
    <col min="14621" max="14635" width="11.7109375" style="585" customWidth="1"/>
    <col min="14636" max="14636" width="25.7109375" style="585" customWidth="1"/>
    <col min="14637" max="14639" width="14.7109375" style="585" customWidth="1"/>
    <col min="14640" max="14641" width="11.7109375" style="585" customWidth="1"/>
    <col min="14642" max="14642" width="9.140625" style="585"/>
    <col min="14643" max="14643" width="15.42578125" style="585" customWidth="1"/>
    <col min="14644" max="14848" width="9.140625" style="585"/>
    <col min="14849" max="14849" width="14.7109375" style="585" customWidth="1"/>
    <col min="14850" max="14856" width="12.7109375" style="585" customWidth="1"/>
    <col min="14857" max="14857" width="9.140625" style="585"/>
    <col min="14858" max="14858" width="34.7109375" style="585" customWidth="1"/>
    <col min="14859" max="14863" width="10.7109375" style="585" customWidth="1"/>
    <col min="14864" max="14866" width="10.28515625" style="585" customWidth="1"/>
    <col min="14867" max="14867" width="29.85546875" style="585" customWidth="1"/>
    <col min="14868" max="14874" width="10.28515625" style="585" customWidth="1"/>
    <col min="14875" max="14875" width="9.140625" style="585"/>
    <col min="14876" max="14876" width="31.28515625" style="585" customWidth="1"/>
    <col min="14877" max="14891" width="11.7109375" style="585" customWidth="1"/>
    <col min="14892" max="14892" width="25.7109375" style="585" customWidth="1"/>
    <col min="14893" max="14895" width="14.7109375" style="585" customWidth="1"/>
    <col min="14896" max="14897" width="11.7109375" style="585" customWidth="1"/>
    <col min="14898" max="14898" width="9.140625" style="585"/>
    <col min="14899" max="14899" width="15.42578125" style="585" customWidth="1"/>
    <col min="14900" max="15104" width="9.140625" style="585"/>
    <col min="15105" max="15105" width="14.7109375" style="585" customWidth="1"/>
    <col min="15106" max="15112" width="12.7109375" style="585" customWidth="1"/>
    <col min="15113" max="15113" width="9.140625" style="585"/>
    <col min="15114" max="15114" width="34.7109375" style="585" customWidth="1"/>
    <col min="15115" max="15119" width="10.7109375" style="585" customWidth="1"/>
    <col min="15120" max="15122" width="10.28515625" style="585" customWidth="1"/>
    <col min="15123" max="15123" width="29.85546875" style="585" customWidth="1"/>
    <col min="15124" max="15130" width="10.28515625" style="585" customWidth="1"/>
    <col min="15131" max="15131" width="9.140625" style="585"/>
    <col min="15132" max="15132" width="31.28515625" style="585" customWidth="1"/>
    <col min="15133" max="15147" width="11.7109375" style="585" customWidth="1"/>
    <col min="15148" max="15148" width="25.7109375" style="585" customWidth="1"/>
    <col min="15149" max="15151" width="14.7109375" style="585" customWidth="1"/>
    <col min="15152" max="15153" width="11.7109375" style="585" customWidth="1"/>
    <col min="15154" max="15154" width="9.140625" style="585"/>
    <col min="15155" max="15155" width="15.42578125" style="585" customWidth="1"/>
    <col min="15156" max="15360" width="9.140625" style="585"/>
    <col min="15361" max="15361" width="14.7109375" style="585" customWidth="1"/>
    <col min="15362" max="15368" width="12.7109375" style="585" customWidth="1"/>
    <col min="15369" max="15369" width="9.140625" style="585"/>
    <col min="15370" max="15370" width="34.7109375" style="585" customWidth="1"/>
    <col min="15371" max="15375" width="10.7109375" style="585" customWidth="1"/>
    <col min="15376" max="15378" width="10.28515625" style="585" customWidth="1"/>
    <col min="15379" max="15379" width="29.85546875" style="585" customWidth="1"/>
    <col min="15380" max="15386" width="10.28515625" style="585" customWidth="1"/>
    <col min="15387" max="15387" width="9.140625" style="585"/>
    <col min="15388" max="15388" width="31.28515625" style="585" customWidth="1"/>
    <col min="15389" max="15403" width="11.7109375" style="585" customWidth="1"/>
    <col min="15404" max="15404" width="25.7109375" style="585" customWidth="1"/>
    <col min="15405" max="15407" width="14.7109375" style="585" customWidth="1"/>
    <col min="15408" max="15409" width="11.7109375" style="585" customWidth="1"/>
    <col min="15410" max="15410" width="9.140625" style="585"/>
    <col min="15411" max="15411" width="15.42578125" style="585" customWidth="1"/>
    <col min="15412" max="15616" width="9.140625" style="585"/>
    <col min="15617" max="15617" width="14.7109375" style="585" customWidth="1"/>
    <col min="15618" max="15624" width="12.7109375" style="585" customWidth="1"/>
    <col min="15625" max="15625" width="9.140625" style="585"/>
    <col min="15626" max="15626" width="34.7109375" style="585" customWidth="1"/>
    <col min="15627" max="15631" width="10.7109375" style="585" customWidth="1"/>
    <col min="15632" max="15634" width="10.28515625" style="585" customWidth="1"/>
    <col min="15635" max="15635" width="29.85546875" style="585" customWidth="1"/>
    <col min="15636" max="15642" width="10.28515625" style="585" customWidth="1"/>
    <col min="15643" max="15643" width="9.140625" style="585"/>
    <col min="15644" max="15644" width="31.28515625" style="585" customWidth="1"/>
    <col min="15645" max="15659" width="11.7109375" style="585" customWidth="1"/>
    <col min="15660" max="15660" width="25.7109375" style="585" customWidth="1"/>
    <col min="15661" max="15663" width="14.7109375" style="585" customWidth="1"/>
    <col min="15664" max="15665" width="11.7109375" style="585" customWidth="1"/>
    <col min="15666" max="15666" width="9.140625" style="585"/>
    <col min="15667" max="15667" width="15.42578125" style="585" customWidth="1"/>
    <col min="15668" max="15872" width="9.140625" style="585"/>
    <col min="15873" max="15873" width="14.7109375" style="585" customWidth="1"/>
    <col min="15874" max="15880" width="12.7109375" style="585" customWidth="1"/>
    <col min="15881" max="15881" width="9.140625" style="585"/>
    <col min="15882" max="15882" width="34.7109375" style="585" customWidth="1"/>
    <col min="15883" max="15887" width="10.7109375" style="585" customWidth="1"/>
    <col min="15888" max="15890" width="10.28515625" style="585" customWidth="1"/>
    <col min="15891" max="15891" width="29.85546875" style="585" customWidth="1"/>
    <col min="15892" max="15898" width="10.28515625" style="585" customWidth="1"/>
    <col min="15899" max="15899" width="9.140625" style="585"/>
    <col min="15900" max="15900" width="31.28515625" style="585" customWidth="1"/>
    <col min="15901" max="15915" width="11.7109375" style="585" customWidth="1"/>
    <col min="15916" max="15916" width="25.7109375" style="585" customWidth="1"/>
    <col min="15917" max="15919" width="14.7109375" style="585" customWidth="1"/>
    <col min="15920" max="15921" width="11.7109375" style="585" customWidth="1"/>
    <col min="15922" max="15922" width="9.140625" style="585"/>
    <col min="15923" max="15923" width="15.42578125" style="585" customWidth="1"/>
    <col min="15924" max="16128" width="9.140625" style="585"/>
    <col min="16129" max="16129" width="14.7109375" style="585" customWidth="1"/>
    <col min="16130" max="16136" width="12.7109375" style="585" customWidth="1"/>
    <col min="16137" max="16137" width="9.140625" style="585"/>
    <col min="16138" max="16138" width="34.7109375" style="585" customWidth="1"/>
    <col min="16139" max="16143" width="10.7109375" style="585" customWidth="1"/>
    <col min="16144" max="16146" width="10.28515625" style="585" customWidth="1"/>
    <col min="16147" max="16147" width="29.85546875" style="585" customWidth="1"/>
    <col min="16148" max="16154" width="10.28515625" style="585" customWidth="1"/>
    <col min="16155" max="16155" width="9.140625" style="585"/>
    <col min="16156" max="16156" width="31.28515625" style="585" customWidth="1"/>
    <col min="16157" max="16171" width="11.7109375" style="585" customWidth="1"/>
    <col min="16172" max="16172" width="25.7109375" style="585" customWidth="1"/>
    <col min="16173" max="16175" width="14.7109375" style="585" customWidth="1"/>
    <col min="16176" max="16177" width="11.7109375" style="585" customWidth="1"/>
    <col min="16178" max="16178" width="9.140625" style="585"/>
    <col min="16179" max="16179" width="15.42578125" style="585" customWidth="1"/>
    <col min="16180" max="16384" width="9.140625" style="585"/>
  </cols>
  <sheetData>
    <row r="1" spans="1:63">
      <c r="A1" s="398" t="s">
        <v>8162</v>
      </c>
      <c r="B1" s="387"/>
      <c r="C1" s="398"/>
      <c r="D1" s="398"/>
      <c r="E1" s="398"/>
      <c r="F1" s="571"/>
      <c r="G1" s="1672"/>
      <c r="J1" s="398" t="s">
        <v>8163</v>
      </c>
      <c r="K1" s="387"/>
      <c r="L1" s="387"/>
      <c r="M1" s="387"/>
      <c r="N1" s="387"/>
      <c r="O1" s="387"/>
      <c r="P1" s="387"/>
      <c r="Q1" s="1672"/>
      <c r="S1" s="398" t="s">
        <v>8164</v>
      </c>
      <c r="T1" s="398"/>
      <c r="U1" s="398"/>
      <c r="V1" s="398"/>
      <c r="W1" s="398"/>
      <c r="X1" s="398"/>
      <c r="Y1" s="398"/>
      <c r="Z1" s="398"/>
      <c r="AB1" s="382" t="s">
        <v>8165</v>
      </c>
      <c r="AC1" s="382"/>
      <c r="AD1" s="382"/>
      <c r="AE1" s="382"/>
      <c r="AF1" s="382"/>
      <c r="AG1" s="382"/>
      <c r="AH1" s="382"/>
      <c r="AI1" s="382"/>
      <c r="AJ1" s="382"/>
      <c r="AK1" s="382"/>
      <c r="AL1" s="382"/>
      <c r="AM1" s="382"/>
      <c r="AR1" s="1673"/>
      <c r="AS1" s="1673"/>
      <c r="AT1" s="1673"/>
      <c r="AU1" s="1673"/>
      <c r="AY1" s="637"/>
    </row>
    <row r="2" spans="1:63">
      <c r="A2" s="909" t="s">
        <v>8166</v>
      </c>
      <c r="B2" s="389">
        <v>2024</v>
      </c>
      <c r="C2" s="389">
        <v>2023</v>
      </c>
      <c r="D2" s="389">
        <v>2022</v>
      </c>
      <c r="E2" s="389">
        <v>2021</v>
      </c>
      <c r="F2" s="389">
        <v>2020</v>
      </c>
      <c r="G2" s="390">
        <v>2019</v>
      </c>
      <c r="H2" s="549"/>
      <c r="J2" s="911" t="s">
        <v>8167</v>
      </c>
      <c r="K2" s="389">
        <v>2024</v>
      </c>
      <c r="L2" s="938">
        <v>2023</v>
      </c>
      <c r="M2" s="938">
        <v>2022</v>
      </c>
      <c r="N2" s="938">
        <v>2021</v>
      </c>
      <c r="O2" s="938">
        <v>2020</v>
      </c>
      <c r="P2" s="939">
        <v>2019</v>
      </c>
      <c r="Q2" s="385"/>
      <c r="S2" s="386" t="s">
        <v>8168</v>
      </c>
      <c r="T2" s="387"/>
      <c r="U2" s="387"/>
      <c r="V2" s="387"/>
      <c r="W2" s="387"/>
      <c r="X2" s="387"/>
      <c r="Y2" s="387"/>
      <c r="Z2" s="398"/>
      <c r="AB2" s="585" t="s">
        <v>8169</v>
      </c>
      <c r="AR2" s="1673"/>
      <c r="AS2" s="1673"/>
      <c r="AT2" s="1673"/>
      <c r="AU2" s="1673"/>
    </row>
    <row r="3" spans="1:63">
      <c r="A3" s="949" t="s">
        <v>4314</v>
      </c>
      <c r="B3" s="463">
        <f t="shared" ref="B3:G3" si="0">SUM(B4:B13)</f>
        <v>116636</v>
      </c>
      <c r="C3" s="463">
        <f t="shared" si="0"/>
        <v>114113</v>
      </c>
      <c r="D3" s="463">
        <f t="shared" si="0"/>
        <v>115763</v>
      </c>
      <c r="E3" s="463">
        <f t="shared" si="0"/>
        <v>118299</v>
      </c>
      <c r="F3" s="463">
        <f t="shared" si="0"/>
        <v>110220</v>
      </c>
      <c r="G3" s="463">
        <f t="shared" si="0"/>
        <v>123158</v>
      </c>
      <c r="H3" s="562"/>
      <c r="J3" s="386" t="s">
        <v>8170</v>
      </c>
      <c r="Q3" s="398"/>
      <c r="S3" s="1674" t="s">
        <v>8171</v>
      </c>
      <c r="T3" s="938">
        <v>2024</v>
      </c>
      <c r="U3" s="938">
        <v>2023</v>
      </c>
      <c r="V3" s="938">
        <v>2022</v>
      </c>
      <c r="W3" s="938">
        <v>2021</v>
      </c>
      <c r="X3" s="938">
        <v>2020</v>
      </c>
      <c r="Y3" s="939">
        <v>2019</v>
      </c>
      <c r="Z3" s="385"/>
      <c r="AB3" s="588" t="s">
        <v>8172</v>
      </c>
      <c r="AC3" s="938">
        <v>2024</v>
      </c>
      <c r="AD3" s="938">
        <v>2023</v>
      </c>
      <c r="AE3" s="938">
        <v>2021</v>
      </c>
      <c r="AF3" s="938">
        <v>2020</v>
      </c>
      <c r="AG3" s="938">
        <v>2019</v>
      </c>
      <c r="AH3" s="939">
        <v>2018</v>
      </c>
      <c r="AR3" s="1673"/>
      <c r="AS3" s="1675"/>
      <c r="AT3" s="1675"/>
      <c r="AU3" s="1675"/>
    </row>
    <row r="4" spans="1:63">
      <c r="A4" s="386" t="s">
        <v>8173</v>
      </c>
      <c r="B4" s="463">
        <v>79294</v>
      </c>
      <c r="C4" s="463">
        <v>77933</v>
      </c>
      <c r="D4" s="463">
        <v>78940</v>
      </c>
      <c r="E4" s="463">
        <v>80609</v>
      </c>
      <c r="F4" s="463">
        <v>75544</v>
      </c>
      <c r="G4" s="463">
        <v>84472</v>
      </c>
      <c r="H4" s="562"/>
      <c r="J4" s="1066" t="s">
        <v>129</v>
      </c>
      <c r="K4" s="491">
        <f t="shared" ref="K4:P4" si="1">SUM(K5:K7)</f>
        <v>1160.3999999999999</v>
      </c>
      <c r="L4" s="491">
        <f t="shared" si="1"/>
        <v>1167.3000000000002</v>
      </c>
      <c r="M4" s="855">
        <f t="shared" si="1"/>
        <v>1118</v>
      </c>
      <c r="N4" s="855">
        <f t="shared" si="1"/>
        <v>1084.3</v>
      </c>
      <c r="O4" s="855">
        <f t="shared" si="1"/>
        <v>1112</v>
      </c>
      <c r="P4" s="855">
        <f t="shared" si="1"/>
        <v>1153.1000000000001</v>
      </c>
      <c r="Q4" s="762"/>
      <c r="S4" s="949" t="s">
        <v>4314</v>
      </c>
      <c r="T4" s="525">
        <f t="shared" ref="T4:Y4" si="2">SUM(T5:T7)</f>
        <v>5119</v>
      </c>
      <c r="U4" s="525">
        <f t="shared" si="2"/>
        <v>5062</v>
      </c>
      <c r="V4" s="525">
        <f t="shared" si="2"/>
        <v>5280</v>
      </c>
      <c r="W4" s="525">
        <f t="shared" si="2"/>
        <v>5340</v>
      </c>
      <c r="X4" s="525">
        <f t="shared" si="2"/>
        <v>5758</v>
      </c>
      <c r="Y4" s="525">
        <f t="shared" si="2"/>
        <v>5855</v>
      </c>
      <c r="Z4" s="754"/>
      <c r="AB4" s="674" t="s">
        <v>3508</v>
      </c>
      <c r="AC4" s="855">
        <f t="shared" ref="AC4:AH4" si="3">SUM(AC5:AC11)</f>
        <v>140415</v>
      </c>
      <c r="AD4" s="855">
        <f t="shared" si="3"/>
        <v>188247</v>
      </c>
      <c r="AE4" s="855">
        <f t="shared" si="3"/>
        <v>123936</v>
      </c>
      <c r="AF4" s="855">
        <f t="shared" si="3"/>
        <v>192397.2</v>
      </c>
      <c r="AG4" s="763">
        <f t="shared" si="3"/>
        <v>192024.2</v>
      </c>
      <c r="AH4" s="761">
        <f t="shared" si="3"/>
        <v>156241.60000000001</v>
      </c>
      <c r="AI4" s="763"/>
      <c r="AJ4" s="761"/>
      <c r="AK4" s="763"/>
      <c r="AL4" s="763"/>
      <c r="AM4" s="761"/>
      <c r="AN4" s="761"/>
      <c r="AO4" s="855"/>
      <c r="AP4" s="855"/>
      <c r="AQ4" s="855"/>
      <c r="AR4" s="1676"/>
      <c r="AS4" s="1675"/>
      <c r="AT4" s="1675"/>
      <c r="AU4" s="1675"/>
      <c r="AV4" s="855"/>
      <c r="AW4" s="855"/>
      <c r="AY4" s="398"/>
      <c r="AZ4" s="398"/>
      <c r="BA4" s="398"/>
      <c r="BB4" s="398"/>
      <c r="BC4" s="398"/>
      <c r="BD4" s="398"/>
      <c r="BE4" s="398"/>
      <c r="BF4" s="382"/>
      <c r="BG4" s="382"/>
      <c r="BH4" s="382"/>
      <c r="BI4" s="382"/>
      <c r="BJ4" s="382"/>
      <c r="BK4" s="382"/>
    </row>
    <row r="5" spans="1:63">
      <c r="A5" s="386" t="s">
        <v>8174</v>
      </c>
      <c r="B5" s="463">
        <v>184</v>
      </c>
      <c r="C5" s="463">
        <v>185</v>
      </c>
      <c r="D5" s="463">
        <v>213</v>
      </c>
      <c r="E5" s="463">
        <v>251</v>
      </c>
      <c r="F5" s="463">
        <v>316</v>
      </c>
      <c r="G5" s="463">
        <v>351</v>
      </c>
      <c r="H5" s="562"/>
      <c r="J5" s="398" t="s">
        <v>8175</v>
      </c>
      <c r="K5" s="491">
        <v>806.4</v>
      </c>
      <c r="L5" s="855">
        <v>813.1</v>
      </c>
      <c r="M5" s="855">
        <v>737.2</v>
      </c>
      <c r="N5" s="855">
        <v>719.2</v>
      </c>
      <c r="O5" s="855">
        <v>745.5</v>
      </c>
      <c r="P5" s="855">
        <v>768.2</v>
      </c>
      <c r="Q5" s="762"/>
      <c r="S5" s="386" t="s">
        <v>2320</v>
      </c>
      <c r="T5" s="1677">
        <v>3116</v>
      </c>
      <c r="U5" s="1677">
        <v>3185</v>
      </c>
      <c r="V5" s="1677">
        <v>3451</v>
      </c>
      <c r="W5" s="1677">
        <v>3623</v>
      </c>
      <c r="X5" s="1677">
        <v>3713</v>
      </c>
      <c r="Y5" s="1677">
        <v>3360</v>
      </c>
      <c r="Z5" s="754"/>
      <c r="AB5" s="740" t="s">
        <v>8176</v>
      </c>
      <c r="AC5" s="855">
        <v>41108</v>
      </c>
      <c r="AD5" s="857">
        <v>42286</v>
      </c>
      <c r="AE5" s="855">
        <v>40387</v>
      </c>
      <c r="AF5" s="857">
        <v>40974.800000000003</v>
      </c>
      <c r="AG5" s="763">
        <v>52178.7</v>
      </c>
      <c r="AH5" s="1678">
        <v>47700.4</v>
      </c>
      <c r="AI5" s="763"/>
      <c r="AJ5" s="763"/>
      <c r="AK5" s="763"/>
      <c r="AL5" s="763"/>
      <c r="AM5" s="763"/>
      <c r="AN5" s="763"/>
      <c r="AO5" s="855"/>
      <c r="AP5" s="855"/>
      <c r="AQ5" s="761"/>
      <c r="AR5" s="1679"/>
      <c r="AS5" s="1680"/>
      <c r="AT5" s="1680"/>
      <c r="AU5" s="1680"/>
      <c r="AV5" s="761"/>
      <c r="AW5" s="761"/>
      <c r="AY5" s="2180"/>
      <c r="AZ5" s="2094"/>
      <c r="BA5" s="2094"/>
      <c r="BB5" s="2094"/>
      <c r="BC5" s="2154"/>
      <c r="BD5" s="2154"/>
      <c r="BE5" s="2154"/>
      <c r="BF5" s="2094"/>
      <c r="BG5" s="2094"/>
      <c r="BH5" s="2094"/>
      <c r="BI5" s="2094"/>
      <c r="BJ5" s="2094"/>
      <c r="BK5" s="2094"/>
    </row>
    <row r="6" spans="1:63">
      <c r="A6" s="386" t="s">
        <v>8177</v>
      </c>
      <c r="B6" s="463">
        <v>27859</v>
      </c>
      <c r="C6" s="463">
        <v>27443</v>
      </c>
      <c r="D6" s="463">
        <v>27646</v>
      </c>
      <c r="E6" s="463">
        <v>28054</v>
      </c>
      <c r="F6" s="463">
        <v>25550</v>
      </c>
      <c r="G6" s="463">
        <v>27649</v>
      </c>
      <c r="H6" s="562"/>
      <c r="J6" s="398" t="s">
        <v>8178</v>
      </c>
      <c r="K6" s="491">
        <v>115.4</v>
      </c>
      <c r="L6" s="855">
        <v>114.2</v>
      </c>
      <c r="M6" s="855">
        <v>111</v>
      </c>
      <c r="N6" s="855">
        <v>113.9</v>
      </c>
      <c r="O6" s="855">
        <v>97.7</v>
      </c>
      <c r="P6" s="855">
        <v>107.2</v>
      </c>
      <c r="Q6" s="762"/>
      <c r="S6" s="386" t="s">
        <v>8179</v>
      </c>
      <c r="T6" s="1677">
        <v>1940</v>
      </c>
      <c r="U6" s="1677">
        <v>1824</v>
      </c>
      <c r="V6" s="1677">
        <v>1758</v>
      </c>
      <c r="W6" s="1677">
        <v>1643</v>
      </c>
      <c r="X6" s="1677">
        <v>1952</v>
      </c>
      <c r="Y6" s="1677">
        <v>2396</v>
      </c>
      <c r="Z6" s="515"/>
      <c r="AB6" s="740" t="s">
        <v>8180</v>
      </c>
      <c r="AC6" s="855">
        <v>207</v>
      </c>
      <c r="AD6" s="855">
        <v>213</v>
      </c>
      <c r="AE6" s="855">
        <v>257</v>
      </c>
      <c r="AF6" s="855">
        <v>236</v>
      </c>
      <c r="AG6" s="763">
        <v>268</v>
      </c>
      <c r="AH6" s="1678">
        <v>282</v>
      </c>
      <c r="AI6" s="763"/>
      <c r="AJ6" s="763"/>
      <c r="AK6" s="763"/>
      <c r="AL6" s="763"/>
      <c r="AM6" s="763"/>
      <c r="AN6" s="763"/>
      <c r="AO6" s="855"/>
      <c r="AP6" s="855"/>
      <c r="AQ6" s="761"/>
      <c r="AR6" s="1679"/>
      <c r="AS6" s="1679"/>
      <c r="AT6" s="1679"/>
      <c r="AU6" s="1679"/>
      <c r="AV6" s="761"/>
      <c r="AW6" s="761"/>
      <c r="AY6" s="2180"/>
      <c r="AZ6" s="385"/>
      <c r="BA6" s="385"/>
      <c r="BB6" s="385"/>
      <c r="BC6" s="385"/>
      <c r="BD6" s="385"/>
      <c r="BE6" s="385"/>
      <c r="BF6" s="385"/>
      <c r="BG6" s="385"/>
      <c r="BH6" s="385"/>
      <c r="BI6" s="385"/>
      <c r="BJ6" s="385"/>
      <c r="BK6" s="385"/>
    </row>
    <row r="7" spans="1:63">
      <c r="A7" s="386" t="s">
        <v>8181</v>
      </c>
      <c r="B7" s="463">
        <v>3466</v>
      </c>
      <c r="C7" s="463">
        <v>3118</v>
      </c>
      <c r="D7" s="463">
        <v>3086</v>
      </c>
      <c r="E7" s="463">
        <v>3416</v>
      </c>
      <c r="F7" s="463">
        <v>3079</v>
      </c>
      <c r="G7" s="463">
        <v>3832</v>
      </c>
      <c r="H7" s="562"/>
      <c r="J7" s="398" t="s">
        <v>8182</v>
      </c>
      <c r="K7" s="491">
        <v>238.6</v>
      </c>
      <c r="L7" s="855">
        <v>240</v>
      </c>
      <c r="M7" s="855">
        <v>269.8</v>
      </c>
      <c r="N7" s="855">
        <v>251.2</v>
      </c>
      <c r="O7" s="855">
        <v>268.8</v>
      </c>
      <c r="P7" s="855">
        <v>277.7</v>
      </c>
      <c r="Q7" s="762"/>
      <c r="S7" s="384" t="s">
        <v>8183</v>
      </c>
      <c r="T7" s="1681">
        <v>63</v>
      </c>
      <c r="U7" s="1681">
        <v>53</v>
      </c>
      <c r="V7" s="1681">
        <v>71</v>
      </c>
      <c r="W7" s="1681">
        <v>74</v>
      </c>
      <c r="X7" s="1681">
        <v>93</v>
      </c>
      <c r="Y7" s="1681">
        <v>99</v>
      </c>
      <c r="Z7" s="515"/>
      <c r="AB7" s="740" t="s">
        <v>8184</v>
      </c>
      <c r="AC7" s="855">
        <v>6650</v>
      </c>
      <c r="AD7" s="855">
        <v>6715</v>
      </c>
      <c r="AE7" s="855">
        <v>7535</v>
      </c>
      <c r="AF7" s="855">
        <v>6539.7</v>
      </c>
      <c r="AG7" s="763">
        <v>6789.6</v>
      </c>
      <c r="AH7" s="1678">
        <v>6444.9</v>
      </c>
      <c r="AI7" s="763"/>
      <c r="AJ7" s="763"/>
      <c r="AK7" s="763"/>
      <c r="AL7" s="763"/>
      <c r="AM7" s="763"/>
      <c r="AN7" s="763"/>
      <c r="AO7" s="855"/>
      <c r="AP7" s="855"/>
      <c r="AQ7" s="761"/>
      <c r="AR7" s="761"/>
      <c r="AS7" s="761"/>
      <c r="AT7" s="761"/>
      <c r="AU7" s="761"/>
      <c r="AV7" s="761"/>
      <c r="AW7" s="761"/>
      <c r="AY7" s="1382"/>
      <c r="AZ7" s="918"/>
      <c r="BA7" s="918"/>
      <c r="BB7" s="918"/>
      <c r="BC7" s="886"/>
      <c r="BD7" s="886"/>
      <c r="BE7" s="886"/>
      <c r="BF7" s="1279"/>
      <c r="BG7" s="1279"/>
      <c r="BH7" s="1279"/>
      <c r="BI7" s="1279"/>
      <c r="BJ7" s="1279"/>
      <c r="BK7" s="1279"/>
    </row>
    <row r="8" spans="1:63">
      <c r="A8" s="386" t="s">
        <v>8185</v>
      </c>
      <c r="B8" s="463">
        <v>1292</v>
      </c>
      <c r="C8" s="463">
        <v>1289</v>
      </c>
      <c r="D8" s="463">
        <v>1401</v>
      </c>
      <c r="E8" s="463">
        <v>1436</v>
      </c>
      <c r="F8" s="463">
        <v>1394</v>
      </c>
      <c r="G8" s="463">
        <v>1784</v>
      </c>
      <c r="H8" s="562"/>
      <c r="J8" s="398" t="s">
        <v>8186</v>
      </c>
      <c r="Q8" s="762"/>
      <c r="S8" s="571" t="s">
        <v>8187</v>
      </c>
      <c r="T8" s="1506"/>
      <c r="U8" s="1506"/>
      <c r="V8" s="1506"/>
      <c r="W8" s="709"/>
      <c r="X8" s="398"/>
      <c r="Y8" s="398"/>
      <c r="Z8" s="398"/>
      <c r="AB8" s="740" t="s">
        <v>8188</v>
      </c>
      <c r="AC8" s="855">
        <v>52485</v>
      </c>
      <c r="AD8" s="855">
        <v>100224</v>
      </c>
      <c r="AE8" s="855">
        <v>47591</v>
      </c>
      <c r="AF8" s="855">
        <v>33342.800000000003</v>
      </c>
      <c r="AG8" s="763">
        <v>46617.9</v>
      </c>
      <c r="AH8" s="1678">
        <v>48840.7</v>
      </c>
      <c r="AI8" s="763"/>
      <c r="AJ8" s="763"/>
      <c r="AK8" s="763"/>
      <c r="AL8" s="804"/>
      <c r="AM8" s="763"/>
      <c r="AN8" s="763"/>
      <c r="AO8" s="855"/>
      <c r="AP8" s="855"/>
      <c r="AQ8" s="761"/>
      <c r="AR8" s="1682"/>
      <c r="AS8" s="761"/>
      <c r="AT8" s="761"/>
      <c r="AU8" s="761"/>
      <c r="AV8" s="761"/>
      <c r="AW8" s="761"/>
      <c r="AY8" s="1386"/>
      <c r="AZ8" s="918"/>
      <c r="BA8" s="918"/>
      <c r="BB8" s="918"/>
      <c r="BC8" s="886"/>
      <c r="BD8" s="886"/>
      <c r="BE8" s="886"/>
      <c r="BF8" s="1279"/>
      <c r="BG8" s="1279"/>
      <c r="BH8" s="1279"/>
      <c r="BI8" s="1279"/>
      <c r="BJ8" s="1279"/>
      <c r="BK8" s="1279"/>
    </row>
    <row r="9" spans="1:63">
      <c r="A9" s="386" t="s">
        <v>8189</v>
      </c>
      <c r="B9" s="463">
        <v>615</v>
      </c>
      <c r="C9" s="463">
        <v>402</v>
      </c>
      <c r="D9" s="463">
        <v>565</v>
      </c>
      <c r="E9" s="463">
        <v>511</v>
      </c>
      <c r="F9" s="463">
        <v>567</v>
      </c>
      <c r="G9" s="463">
        <v>598</v>
      </c>
      <c r="H9" s="562"/>
      <c r="J9" s="1066" t="s">
        <v>129</v>
      </c>
      <c r="K9" s="525">
        <f t="shared" ref="K9:P9" si="4">SUM(K10:K11)</f>
        <v>10663</v>
      </c>
      <c r="L9" s="525">
        <f t="shared" si="4"/>
        <v>10451</v>
      </c>
      <c r="M9" s="525">
        <f t="shared" si="4"/>
        <v>17076</v>
      </c>
      <c r="N9" s="525">
        <f t="shared" si="4"/>
        <v>20312</v>
      </c>
      <c r="O9" s="525">
        <f t="shared" si="4"/>
        <v>22636</v>
      </c>
      <c r="P9" s="525">
        <f t="shared" si="4"/>
        <v>12827</v>
      </c>
      <c r="Q9" s="515"/>
      <c r="S9" s="1683"/>
      <c r="T9" s="1684"/>
      <c r="U9" s="1684"/>
      <c r="V9" s="1672"/>
      <c r="W9" s="1672"/>
      <c r="X9" s="1672"/>
      <c r="Y9" s="1672"/>
      <c r="Z9" s="1672"/>
      <c r="AB9" s="740" t="s">
        <v>8190</v>
      </c>
      <c r="AC9" s="855">
        <v>36900</v>
      </c>
      <c r="AD9" s="855">
        <v>35727</v>
      </c>
      <c r="AE9" s="855">
        <v>25233</v>
      </c>
      <c r="AF9" s="855">
        <v>46046.9</v>
      </c>
      <c r="AG9" s="763">
        <v>53486</v>
      </c>
      <c r="AH9" s="1678">
        <v>48917.599999999999</v>
      </c>
      <c r="AI9" s="763"/>
      <c r="AJ9" s="763"/>
      <c r="AK9" s="763"/>
      <c r="AL9" s="763"/>
      <c r="AM9" s="763"/>
      <c r="AN9" s="763"/>
      <c r="AO9" s="855"/>
      <c r="AP9" s="855"/>
      <c r="AQ9" s="761"/>
      <c r="AR9" s="1682"/>
      <c r="AS9" s="1682"/>
      <c r="AT9" s="761"/>
      <c r="AU9" s="761"/>
      <c r="AV9" s="761"/>
      <c r="AW9" s="761"/>
      <c r="AY9" s="1386"/>
      <c r="AZ9" s="918"/>
      <c r="BA9" s="918"/>
      <c r="BB9" s="918"/>
      <c r="BC9" s="886"/>
      <c r="BD9" s="886"/>
      <c r="BE9" s="886"/>
      <c r="BF9" s="1279"/>
      <c r="BG9" s="1279"/>
      <c r="BH9" s="1279"/>
      <c r="BI9" s="1279"/>
      <c r="BJ9" s="1279"/>
      <c r="BK9" s="1279"/>
    </row>
    <row r="10" spans="1:63">
      <c r="A10" s="386" t="s">
        <v>8191</v>
      </c>
      <c r="B10" s="463">
        <v>484</v>
      </c>
      <c r="C10" s="463">
        <v>439</v>
      </c>
      <c r="D10" s="463">
        <v>459</v>
      </c>
      <c r="E10" s="463">
        <v>479</v>
      </c>
      <c r="F10" s="463">
        <v>561</v>
      </c>
      <c r="G10" s="463">
        <v>680</v>
      </c>
      <c r="H10" s="562"/>
      <c r="J10" s="398" t="s">
        <v>8175</v>
      </c>
      <c r="K10" s="525">
        <v>6073</v>
      </c>
      <c r="L10" s="525">
        <v>5452</v>
      </c>
      <c r="M10" s="525">
        <v>6473</v>
      </c>
      <c r="N10" s="525">
        <v>6239</v>
      </c>
      <c r="O10" s="525">
        <v>6228</v>
      </c>
      <c r="P10" s="525">
        <v>7448</v>
      </c>
      <c r="Q10" s="515"/>
      <c r="S10" s="1683"/>
      <c r="T10" s="1684"/>
      <c r="U10" s="1684"/>
      <c r="V10" s="1672"/>
      <c r="W10" s="1672"/>
      <c r="X10" s="1672"/>
      <c r="Y10" s="1672"/>
      <c r="Z10" s="1672"/>
      <c r="AB10" s="386" t="s">
        <v>8192</v>
      </c>
      <c r="AC10" s="857">
        <v>0</v>
      </c>
      <c r="AD10" s="857">
        <v>0</v>
      </c>
      <c r="AE10" s="857">
        <v>0</v>
      </c>
      <c r="AF10" s="857">
        <v>62414</v>
      </c>
      <c r="AG10" s="763">
        <v>28668</v>
      </c>
      <c r="AH10" s="1685">
        <v>0</v>
      </c>
      <c r="AI10" s="1685"/>
      <c r="AJ10" s="1685"/>
      <c r="AK10" s="1685"/>
      <c r="AL10" s="1685"/>
      <c r="AM10" s="763"/>
      <c r="AN10" s="763"/>
      <c r="AO10" s="855"/>
      <c r="AP10" s="855"/>
      <c r="AQ10" s="761"/>
      <c r="AR10" s="1682"/>
      <c r="AS10" s="761"/>
      <c r="AT10" s="761"/>
      <c r="AU10" s="761"/>
      <c r="AV10" s="761"/>
      <c r="AW10" s="761"/>
      <c r="AY10" s="1386"/>
      <c r="AZ10" s="918"/>
      <c r="BA10" s="918"/>
      <c r="BB10" s="918"/>
      <c r="BC10" s="886"/>
      <c r="BD10" s="886"/>
      <c r="BE10" s="886"/>
      <c r="BF10" s="1279"/>
      <c r="BG10" s="1279"/>
      <c r="BH10" s="1279"/>
      <c r="BI10" s="1279"/>
      <c r="BJ10" s="1279"/>
      <c r="BK10" s="1279"/>
    </row>
    <row r="11" spans="1:63">
      <c r="A11" s="386" t="s">
        <v>3172</v>
      </c>
      <c r="B11" s="463">
        <v>121</v>
      </c>
      <c r="C11" s="463">
        <v>112</v>
      </c>
      <c r="D11" s="463">
        <v>121</v>
      </c>
      <c r="E11" s="463">
        <v>130</v>
      </c>
      <c r="F11" s="463">
        <v>101</v>
      </c>
      <c r="G11" s="463">
        <v>119</v>
      </c>
      <c r="H11" s="562"/>
      <c r="J11" s="387" t="s">
        <v>8178</v>
      </c>
      <c r="K11" s="633">
        <v>4590</v>
      </c>
      <c r="L11" s="633">
        <v>4999</v>
      </c>
      <c r="M11" s="633">
        <v>10603</v>
      </c>
      <c r="N11" s="633">
        <v>14073</v>
      </c>
      <c r="O11" s="633">
        <v>16408</v>
      </c>
      <c r="P11" s="633">
        <v>5379</v>
      </c>
      <c r="Q11" s="515"/>
      <c r="S11" s="1683"/>
      <c r="T11" s="1672"/>
      <c r="U11" s="1672"/>
      <c r="V11" s="1672"/>
      <c r="W11" s="1672"/>
      <c r="X11" s="1672"/>
      <c r="Y11" s="1672"/>
      <c r="Z11" s="398"/>
      <c r="AB11" s="800" t="s">
        <v>8194</v>
      </c>
      <c r="AC11" s="867">
        <v>3065</v>
      </c>
      <c r="AD11" s="867">
        <v>3082</v>
      </c>
      <c r="AE11" s="867">
        <v>2933</v>
      </c>
      <c r="AF11" s="867">
        <v>2843</v>
      </c>
      <c r="AG11" s="1686">
        <v>4016</v>
      </c>
      <c r="AH11" s="1687">
        <v>4056</v>
      </c>
      <c r="AI11" s="763"/>
      <c r="AJ11" s="763"/>
      <c r="AK11" s="763"/>
      <c r="AL11" s="763"/>
      <c r="AM11" s="740"/>
      <c r="AN11" s="740"/>
      <c r="AP11" s="855"/>
      <c r="AQ11" s="761"/>
      <c r="AR11" s="1682"/>
      <c r="AS11" s="761"/>
      <c r="AT11" s="761"/>
      <c r="AU11" s="761"/>
      <c r="AV11" s="761"/>
      <c r="AW11" s="761"/>
      <c r="AY11" s="1386"/>
      <c r="AZ11" s="918"/>
      <c r="BA11" s="918"/>
      <c r="BB11" s="918"/>
      <c r="BC11" s="886"/>
      <c r="BD11" s="886"/>
      <c r="BE11" s="886"/>
      <c r="BF11" s="1279"/>
      <c r="BG11" s="1279"/>
      <c r="BH11" s="1279"/>
      <c r="BI11" s="1279"/>
      <c r="BJ11" s="1279"/>
      <c r="BK11" s="1279"/>
    </row>
    <row r="12" spans="1:63">
      <c r="A12" s="386" t="s">
        <v>8195</v>
      </c>
      <c r="B12" s="463">
        <v>2090</v>
      </c>
      <c r="C12" s="463">
        <v>2018</v>
      </c>
      <c r="D12" s="463">
        <v>2085</v>
      </c>
      <c r="E12" s="463">
        <v>2249</v>
      </c>
      <c r="F12" s="463">
        <v>2191</v>
      </c>
      <c r="G12" s="463">
        <v>2402</v>
      </c>
      <c r="H12" s="562"/>
      <c r="J12" s="571" t="s">
        <v>8196</v>
      </c>
      <c r="K12" s="571"/>
      <c r="L12" s="571"/>
      <c r="M12" s="571"/>
      <c r="N12" s="571"/>
      <c r="O12" s="398"/>
      <c r="P12" s="398"/>
      <c r="Q12" s="1672"/>
      <c r="S12" s="386" t="s">
        <v>8193</v>
      </c>
      <c r="T12" s="398"/>
      <c r="U12" s="398"/>
      <c r="V12" s="398"/>
      <c r="W12" s="398"/>
      <c r="X12" s="398"/>
      <c r="Y12" s="398"/>
      <c r="Z12" s="398"/>
      <c r="AB12" s="825" t="s">
        <v>8197</v>
      </c>
      <c r="AC12" s="825"/>
      <c r="AD12" s="740"/>
      <c r="AE12" s="740"/>
      <c r="AF12" s="740"/>
      <c r="AG12" s="740"/>
      <c r="AH12" s="740"/>
      <c r="AI12" s="740"/>
      <c r="AJ12" s="740"/>
      <c r="AK12" s="740"/>
      <c r="AL12" s="740"/>
      <c r="AM12" s="674"/>
      <c r="AN12" s="674"/>
      <c r="AQ12" s="761"/>
      <c r="AR12" s="761"/>
      <c r="AS12" s="761"/>
      <c r="AT12" s="761"/>
      <c r="AU12" s="761"/>
      <c r="AV12" s="761"/>
      <c r="AW12" s="761"/>
      <c r="AY12" s="1386"/>
      <c r="AZ12" s="918"/>
      <c r="BA12" s="918"/>
      <c r="BB12" s="918"/>
      <c r="BC12" s="886"/>
      <c r="BD12" s="886"/>
      <c r="BE12" s="886"/>
      <c r="BF12" s="1279"/>
      <c r="BG12" s="1279"/>
      <c r="BH12" s="1279"/>
      <c r="BI12" s="1279"/>
      <c r="BJ12" s="1279"/>
      <c r="BK12" s="1279"/>
    </row>
    <row r="13" spans="1:63">
      <c r="A13" s="384" t="s">
        <v>2334</v>
      </c>
      <c r="B13" s="497">
        <v>1231</v>
      </c>
      <c r="C13" s="497">
        <v>1174</v>
      </c>
      <c r="D13" s="497">
        <v>1247</v>
      </c>
      <c r="E13" s="497">
        <v>1164</v>
      </c>
      <c r="F13" s="497">
        <v>917</v>
      </c>
      <c r="G13" s="497">
        <v>1271</v>
      </c>
      <c r="J13" s="571" t="s">
        <v>8198</v>
      </c>
      <c r="K13" s="571"/>
      <c r="L13" s="571"/>
      <c r="M13" s="571"/>
      <c r="N13" s="571"/>
      <c r="O13" s="398"/>
      <c r="P13" s="398"/>
      <c r="Q13" s="1672"/>
      <c r="S13" s="386" t="s">
        <v>8168</v>
      </c>
      <c r="T13" s="387"/>
      <c r="U13" s="387"/>
      <c r="V13" s="387"/>
      <c r="W13" s="387"/>
      <c r="X13" s="387"/>
      <c r="Y13" s="387"/>
      <c r="Z13" s="385"/>
      <c r="AB13" s="571" t="s">
        <v>8199</v>
      </c>
      <c r="AC13" s="571"/>
      <c r="AD13" s="674"/>
      <c r="AE13" s="674"/>
      <c r="AF13" s="674"/>
      <c r="AG13" s="674"/>
      <c r="AH13" s="674"/>
      <c r="AI13" s="674"/>
      <c r="AJ13" s="674"/>
      <c r="AK13" s="674"/>
      <c r="AL13" s="674"/>
      <c r="AO13" s="525"/>
      <c r="AQ13" s="761"/>
      <c r="AR13" s="761"/>
      <c r="AS13" s="761"/>
      <c r="AT13" s="761"/>
      <c r="AU13" s="761"/>
      <c r="AV13" s="761"/>
      <c r="AW13" s="761"/>
      <c r="AY13" s="1386"/>
      <c r="AZ13" s="918"/>
      <c r="BA13" s="918"/>
      <c r="BB13" s="918"/>
      <c r="BC13" s="886"/>
      <c r="BD13" s="886"/>
      <c r="BE13" s="886"/>
      <c r="BF13" s="1279"/>
      <c r="BG13" s="1279"/>
      <c r="BH13" s="1279"/>
      <c r="BI13" s="1279"/>
      <c r="BJ13" s="1279"/>
      <c r="BK13" s="1279"/>
    </row>
    <row r="14" spans="1:63">
      <c r="A14" s="571" t="s">
        <v>2265</v>
      </c>
      <c r="B14" s="549"/>
      <c r="C14" s="549"/>
      <c r="D14" s="549"/>
      <c r="E14" s="549"/>
      <c r="F14" s="549"/>
      <c r="G14" s="1672"/>
      <c r="J14" s="571" t="s">
        <v>8200</v>
      </c>
      <c r="K14" s="571"/>
      <c r="L14" s="571"/>
      <c r="M14" s="571"/>
      <c r="N14" s="571"/>
      <c r="O14" s="398"/>
      <c r="P14" s="398"/>
      <c r="Q14" s="1672"/>
      <c r="S14" s="909" t="s">
        <v>8171</v>
      </c>
      <c r="T14" s="939">
        <v>2018</v>
      </c>
      <c r="U14" s="939">
        <v>2017</v>
      </c>
      <c r="V14" s="939">
        <v>2016</v>
      </c>
      <c r="W14" s="939">
        <v>2015</v>
      </c>
      <c r="X14" s="885">
        <v>2014</v>
      </c>
      <c r="Y14" s="885">
        <v>2013</v>
      </c>
      <c r="Z14" s="754"/>
      <c r="AB14" s="386"/>
      <c r="AL14" s="855"/>
      <c r="AM14" s="674"/>
      <c r="AN14" s="761"/>
      <c r="AO14" s="525"/>
      <c r="AP14" s="525"/>
      <c r="AQ14" s="761"/>
      <c r="AR14" s="761"/>
      <c r="AS14" s="761"/>
      <c r="AT14" s="761"/>
      <c r="AU14" s="761"/>
      <c r="AV14" s="761"/>
      <c r="AW14" s="761"/>
      <c r="AY14" s="1386"/>
      <c r="AZ14" s="918"/>
      <c r="BA14" s="918"/>
      <c r="BB14" s="918"/>
      <c r="BC14" s="886"/>
      <c r="BD14" s="886"/>
      <c r="BE14" s="886"/>
      <c r="BF14" s="1279"/>
      <c r="BG14" s="1279"/>
      <c r="BH14" s="1279"/>
      <c r="BI14" s="1279"/>
      <c r="BJ14" s="1279"/>
      <c r="BK14" s="1279"/>
    </row>
    <row r="15" spans="1:63">
      <c r="A15" s="571" t="s">
        <v>8201</v>
      </c>
      <c r="B15" s="549"/>
      <c r="C15" s="549"/>
      <c r="D15" s="549"/>
      <c r="E15" s="549"/>
      <c r="F15" s="549"/>
      <c r="G15" s="1672"/>
      <c r="J15" s="571" t="s">
        <v>8202</v>
      </c>
      <c r="K15" s="571"/>
      <c r="L15" s="571"/>
      <c r="M15" s="571"/>
      <c r="N15" s="571"/>
      <c r="O15" s="398"/>
      <c r="P15" s="398"/>
      <c r="Q15" s="1672"/>
      <c r="S15" s="949" t="s">
        <v>4314</v>
      </c>
      <c r="T15" s="525">
        <f>SUM(T16:T18)</f>
        <v>5759</v>
      </c>
      <c r="U15" s="525">
        <f>SUM(U16:U18)</f>
        <v>5711</v>
      </c>
      <c r="V15" s="525">
        <v>6034</v>
      </c>
      <c r="W15" s="525">
        <v>6037</v>
      </c>
      <c r="X15" s="525">
        <v>6098</v>
      </c>
      <c r="Y15" s="525">
        <v>6265</v>
      </c>
      <c r="Z15" s="754"/>
      <c r="AB15" s="386"/>
      <c r="AJ15" s="761"/>
      <c r="AK15" s="674"/>
      <c r="AL15" s="674"/>
      <c r="AM15" s="855"/>
      <c r="AN15" s="855"/>
      <c r="AO15" s="562"/>
      <c r="AP15" s="525"/>
      <c r="AR15" s="761"/>
      <c r="AS15" s="761"/>
      <c r="AT15" s="761"/>
      <c r="AU15" s="761"/>
      <c r="AY15" s="1386"/>
      <c r="AZ15" s="918"/>
      <c r="BA15" s="918"/>
      <c r="BB15" s="918"/>
      <c r="BC15" s="886"/>
      <c r="BD15" s="886"/>
      <c r="BE15" s="886"/>
      <c r="BF15" s="1279"/>
      <c r="BG15" s="1279"/>
      <c r="BH15" s="1279"/>
      <c r="BI15" s="1279"/>
      <c r="BJ15" s="1279"/>
      <c r="BK15" s="1279"/>
    </row>
    <row r="16" spans="1:63">
      <c r="A16" s="549"/>
      <c r="B16" s="562"/>
      <c r="C16" s="549"/>
      <c r="D16" s="549"/>
      <c r="E16" s="549"/>
      <c r="J16" s="571"/>
      <c r="K16" s="813"/>
      <c r="L16" s="813"/>
      <c r="M16" s="813"/>
      <c r="N16" s="571"/>
      <c r="O16" s="398"/>
      <c r="P16" s="398"/>
      <c r="Q16" s="1672"/>
      <c r="S16" s="386" t="s">
        <v>2320</v>
      </c>
      <c r="T16" s="525">
        <v>3314</v>
      </c>
      <c r="U16" s="525">
        <v>3204</v>
      </c>
      <c r="V16" s="525">
        <v>3430</v>
      </c>
      <c r="W16" s="525">
        <v>3416</v>
      </c>
      <c r="X16" s="525">
        <v>3509</v>
      </c>
      <c r="Y16" s="525">
        <v>3643</v>
      </c>
      <c r="Z16" s="754"/>
      <c r="AB16" s="386"/>
      <c r="AL16" s="855"/>
      <c r="AO16" s="562"/>
      <c r="AP16" s="562"/>
      <c r="AR16" s="761"/>
      <c r="AS16" s="761"/>
      <c r="AT16" s="761"/>
      <c r="AU16" s="761"/>
      <c r="AY16" s="1386"/>
      <c r="AZ16" s="918"/>
      <c r="BA16" s="918"/>
      <c r="BB16" s="918"/>
      <c r="BC16" s="886"/>
      <c r="BD16" s="886"/>
      <c r="BE16" s="886"/>
      <c r="BF16" s="1279"/>
      <c r="BG16" s="1279"/>
      <c r="BH16" s="1279"/>
      <c r="BI16" s="1279"/>
      <c r="BJ16" s="1279"/>
      <c r="BK16" s="1279"/>
    </row>
    <row r="17" spans="1:63">
      <c r="K17" s="855"/>
      <c r="L17" s="525"/>
      <c r="S17" s="386" t="s">
        <v>8179</v>
      </c>
      <c r="T17" s="525">
        <v>2355</v>
      </c>
      <c r="U17" s="525">
        <v>2428</v>
      </c>
      <c r="V17" s="525">
        <v>2512</v>
      </c>
      <c r="W17" s="525">
        <v>2543</v>
      </c>
      <c r="X17" s="525">
        <v>2483</v>
      </c>
      <c r="Y17" s="525">
        <v>2493</v>
      </c>
      <c r="Z17" s="754"/>
      <c r="AB17" s="674"/>
      <c r="AC17" s="674"/>
      <c r="AD17" s="674"/>
      <c r="AE17" s="674"/>
      <c r="AF17" s="674"/>
      <c r="AG17" s="674"/>
      <c r="AH17" s="674"/>
      <c r="AI17" s="763"/>
      <c r="AO17" s="562"/>
      <c r="AP17" s="562"/>
      <c r="AQ17" s="525"/>
      <c r="AV17" s="525"/>
      <c r="AW17" s="525"/>
      <c r="AY17" s="1386"/>
      <c r="AZ17" s="918"/>
      <c r="BA17" s="918"/>
      <c r="BB17" s="918"/>
      <c r="BC17" s="886"/>
      <c r="BD17" s="886"/>
      <c r="BE17" s="886"/>
      <c r="BF17" s="1279"/>
      <c r="BG17" s="1279"/>
      <c r="BH17" s="1279"/>
      <c r="BI17" s="1279"/>
      <c r="BJ17" s="1279"/>
      <c r="BK17" s="1279"/>
    </row>
    <row r="18" spans="1:63">
      <c r="S18" s="384" t="s">
        <v>8183</v>
      </c>
      <c r="T18" s="633">
        <v>90</v>
      </c>
      <c r="U18" s="633">
        <v>79</v>
      </c>
      <c r="V18" s="633">
        <v>92</v>
      </c>
      <c r="W18" s="633">
        <v>78</v>
      </c>
      <c r="X18" s="633">
        <v>106</v>
      </c>
      <c r="Y18" s="633">
        <v>130</v>
      </c>
      <c r="Z18" s="398"/>
      <c r="AB18" s="382" t="s">
        <v>8203</v>
      </c>
      <c r="AC18" s="382"/>
      <c r="AD18" s="382"/>
      <c r="AE18" s="382"/>
      <c r="AF18" s="382"/>
      <c r="AG18" s="382"/>
      <c r="AH18" s="382"/>
      <c r="AI18" s="763"/>
      <c r="AJ18" s="936"/>
      <c r="AK18" s="936"/>
      <c r="AM18" s="382"/>
      <c r="AP18" s="562"/>
      <c r="AQ18" s="737"/>
      <c r="AV18" s="737"/>
      <c r="AW18" s="737"/>
      <c r="AY18" s="1386"/>
      <c r="AZ18" s="918"/>
      <c r="BA18" s="918"/>
      <c r="BB18" s="918"/>
      <c r="BC18" s="886"/>
      <c r="BD18" s="886"/>
      <c r="BE18" s="886"/>
      <c r="BF18" s="1279"/>
      <c r="BG18" s="1279"/>
      <c r="BH18" s="1279"/>
      <c r="BI18" s="1279"/>
      <c r="BJ18" s="1279"/>
      <c r="BK18" s="1279"/>
    </row>
    <row r="19" spans="1:63">
      <c r="A19" s="398" t="s">
        <v>8204</v>
      </c>
      <c r="B19" s="398"/>
      <c r="C19" s="398"/>
      <c r="D19" s="398"/>
      <c r="E19" s="398"/>
      <c r="F19" s="571"/>
      <c r="G19" s="1672"/>
      <c r="H19" s="571"/>
      <c r="S19" s="825" t="s">
        <v>8187</v>
      </c>
      <c r="T19" s="571"/>
      <c r="U19" s="571"/>
      <c r="V19" s="571"/>
      <c r="W19" s="398"/>
      <c r="X19" s="398"/>
      <c r="Y19" s="398"/>
      <c r="Z19" s="1672"/>
      <c r="AB19" s="585" t="s">
        <v>8169</v>
      </c>
      <c r="AI19" s="763"/>
      <c r="AJ19" s="1512"/>
      <c r="AK19" s="1512"/>
      <c r="AL19" s="1512"/>
      <c r="AQ19" s="562"/>
      <c r="AR19" s="525"/>
      <c r="AS19" s="525"/>
      <c r="AT19" s="525"/>
      <c r="AU19" s="525"/>
      <c r="AV19" s="562"/>
      <c r="AW19" s="562"/>
      <c r="AY19" s="1386"/>
      <c r="AZ19" s="918"/>
      <c r="BA19" s="918"/>
      <c r="BB19" s="918"/>
      <c r="BC19" s="886"/>
      <c r="BD19" s="886"/>
      <c r="BE19" s="886"/>
      <c r="BF19" s="1279"/>
      <c r="BG19" s="1279"/>
      <c r="BH19" s="1279"/>
      <c r="BI19" s="1279"/>
      <c r="BJ19" s="1279"/>
      <c r="BK19" s="1279"/>
    </row>
    <row r="20" spans="1:63">
      <c r="A20" s="909" t="s">
        <v>8166</v>
      </c>
      <c r="B20" s="390">
        <v>2018</v>
      </c>
      <c r="C20" s="390">
        <v>2017</v>
      </c>
      <c r="D20" s="390">
        <v>2016</v>
      </c>
      <c r="E20" s="390">
        <v>2015</v>
      </c>
      <c r="F20" s="390">
        <v>2014</v>
      </c>
      <c r="G20" s="390">
        <v>2013</v>
      </c>
      <c r="H20" s="562"/>
      <c r="J20" s="398" t="s">
        <v>8205</v>
      </c>
      <c r="K20" s="387"/>
      <c r="L20" s="387"/>
      <c r="M20" s="387"/>
      <c r="N20" s="387"/>
      <c r="O20" s="387"/>
      <c r="P20" s="1688"/>
      <c r="S20" s="386"/>
      <c r="T20" s="398"/>
      <c r="U20" s="398"/>
      <c r="V20" s="398"/>
      <c r="W20" s="398"/>
      <c r="X20" s="398"/>
      <c r="Y20" s="398"/>
      <c r="Z20" s="1672"/>
      <c r="AB20" s="588" t="s">
        <v>8172</v>
      </c>
      <c r="AC20" s="938">
        <v>2017</v>
      </c>
      <c r="AD20" s="939">
        <v>2016</v>
      </c>
      <c r="AE20" s="939">
        <v>2015</v>
      </c>
      <c r="AF20" s="938">
        <v>2014</v>
      </c>
      <c r="AG20" s="938">
        <v>2013</v>
      </c>
      <c r="AH20" s="939">
        <v>2012</v>
      </c>
      <c r="AI20" s="763"/>
      <c r="AQ20" s="813"/>
      <c r="AR20" s="737"/>
      <c r="AS20" s="737"/>
      <c r="AT20" s="737"/>
      <c r="AU20" s="737"/>
      <c r="AV20" s="813"/>
      <c r="AW20" s="813"/>
      <c r="AY20" s="386"/>
      <c r="AZ20" s="386"/>
      <c r="BA20" s="386"/>
      <c r="BB20" s="386"/>
      <c r="BC20" s="771"/>
      <c r="BD20" s="771"/>
      <c r="BE20" s="771"/>
      <c r="BF20" s="382"/>
      <c r="BG20" s="382"/>
      <c r="BH20" s="382"/>
      <c r="BI20" s="382"/>
      <c r="BJ20" s="382"/>
      <c r="BK20" s="382"/>
    </row>
    <row r="21" spans="1:63">
      <c r="A21" s="949" t="s">
        <v>4314</v>
      </c>
      <c r="B21" s="463">
        <f>SUM(B22:B31)</f>
        <v>119481</v>
      </c>
      <c r="C21" s="463">
        <f>SUM(C22:C31)</f>
        <v>119906</v>
      </c>
      <c r="D21" s="463">
        <f>SUM(D22:D31)</f>
        <v>119303</v>
      </c>
      <c r="E21" s="463">
        <f>SUM(E22:E31)</f>
        <v>116291</v>
      </c>
      <c r="F21" s="463">
        <f>SUM(F22:F31)</f>
        <v>117002</v>
      </c>
      <c r="G21" s="463">
        <f>SUM(G22:G30)</f>
        <v>112450</v>
      </c>
      <c r="H21" s="562"/>
      <c r="J21" s="911" t="s">
        <v>8167</v>
      </c>
      <c r="K21" s="939">
        <v>2018</v>
      </c>
      <c r="L21" s="939">
        <v>2017</v>
      </c>
      <c r="M21" s="939">
        <v>2016</v>
      </c>
      <c r="N21" s="939">
        <v>2015</v>
      </c>
      <c r="O21" s="885">
        <v>2014</v>
      </c>
      <c r="P21" s="885">
        <v>2013</v>
      </c>
      <c r="Q21" s="398"/>
      <c r="S21" s="1683"/>
      <c r="T21" s="1672"/>
      <c r="U21" s="1672"/>
      <c r="V21" s="1672"/>
      <c r="W21" s="1672"/>
      <c r="X21" s="1672"/>
      <c r="Y21" s="1672"/>
      <c r="Z21" s="398"/>
      <c r="AB21" s="674" t="s">
        <v>3508</v>
      </c>
      <c r="AC21" s="763">
        <f>SUM(AC22:AC28)</f>
        <v>155178.29999999999</v>
      </c>
      <c r="AD21" s="761">
        <f>SUM(AD22:AD28)</f>
        <v>145988.6</v>
      </c>
      <c r="AE21" s="763">
        <f>SUM(AE22:AE28)</f>
        <v>126189.1</v>
      </c>
      <c r="AF21" s="761">
        <f>SUM(AF22:AF28)</f>
        <v>119847.6</v>
      </c>
      <c r="AG21" s="763">
        <f>SUM(AG22:AG28)</f>
        <v>116408.19</v>
      </c>
      <c r="AH21" s="763">
        <v>114732.1</v>
      </c>
      <c r="AI21" s="763"/>
      <c r="AM21" s="761"/>
      <c r="AN21" s="761"/>
      <c r="AO21" s="855"/>
      <c r="AQ21" s="813"/>
      <c r="AR21" s="562"/>
      <c r="AS21" s="562"/>
      <c r="AT21" s="562"/>
      <c r="AU21" s="562"/>
      <c r="AV21" s="813"/>
      <c r="AW21" s="813"/>
    </row>
    <row r="22" spans="1:63">
      <c r="A22" s="386" t="s">
        <v>8173</v>
      </c>
      <c r="B22" s="463">
        <v>81579</v>
      </c>
      <c r="C22" s="463">
        <v>81906</v>
      </c>
      <c r="D22" s="463">
        <v>81045</v>
      </c>
      <c r="E22" s="463">
        <v>78872</v>
      </c>
      <c r="F22" s="463">
        <v>79146</v>
      </c>
      <c r="G22" s="463">
        <v>76002</v>
      </c>
      <c r="H22" s="562"/>
      <c r="J22" s="386" t="s">
        <v>8170</v>
      </c>
      <c r="N22" s="855"/>
      <c r="O22" s="855"/>
      <c r="P22" s="855"/>
      <c r="Q22" s="398"/>
      <c r="S22" s="1683"/>
      <c r="T22" s="1672"/>
      <c r="U22" s="1672"/>
      <c r="V22" s="1672"/>
      <c r="W22" s="1672"/>
      <c r="X22" s="1672"/>
      <c r="Y22" s="1672"/>
      <c r="Z22" s="385"/>
      <c r="AB22" s="740" t="s">
        <v>8176</v>
      </c>
      <c r="AC22" s="763">
        <v>44712.800000000003</v>
      </c>
      <c r="AD22" s="855">
        <v>41620.699999999997</v>
      </c>
      <c r="AE22" s="763">
        <v>41134.1</v>
      </c>
      <c r="AF22" s="763">
        <v>41027</v>
      </c>
      <c r="AG22" s="763">
        <v>39932.769999999997</v>
      </c>
      <c r="AH22" s="763">
        <v>40435</v>
      </c>
      <c r="AI22" s="763"/>
      <c r="AJ22" s="674"/>
      <c r="AK22" s="674"/>
      <c r="AL22" s="674"/>
      <c r="AM22" s="763"/>
      <c r="AN22" s="763"/>
      <c r="AO22" s="855"/>
      <c r="AP22" s="855"/>
      <c r="AR22" s="813"/>
      <c r="AS22" s="813"/>
      <c r="AT22" s="813"/>
      <c r="AU22" s="813"/>
      <c r="AW22" s="813"/>
      <c r="AZ22" s="886"/>
      <c r="BA22" s="886"/>
      <c r="BB22" s="886"/>
    </row>
    <row r="23" spans="1:63">
      <c r="A23" s="386" t="s">
        <v>8174</v>
      </c>
      <c r="B23" s="463">
        <v>339</v>
      </c>
      <c r="C23" s="463">
        <v>325</v>
      </c>
      <c r="D23" s="463">
        <v>291</v>
      </c>
      <c r="E23" s="463">
        <v>283</v>
      </c>
      <c r="F23" s="463">
        <v>280</v>
      </c>
      <c r="G23" s="463">
        <v>258</v>
      </c>
      <c r="H23" s="562"/>
      <c r="J23" s="1066" t="s">
        <v>129</v>
      </c>
      <c r="K23" s="855">
        <f>SUM(K24:K26)</f>
        <v>1190.9000000000001</v>
      </c>
      <c r="L23" s="855">
        <f>SUM(L24:L26)</f>
        <v>1210.6000000000001</v>
      </c>
      <c r="M23" s="855">
        <v>2154.8999999999996</v>
      </c>
      <c r="N23" s="855">
        <v>2377</v>
      </c>
      <c r="O23" s="855">
        <v>1929.1</v>
      </c>
      <c r="P23" s="855">
        <v>1914.7</v>
      </c>
      <c r="Q23" s="762"/>
      <c r="S23" s="386" t="s">
        <v>8206</v>
      </c>
      <c r="T23" s="1514"/>
      <c r="U23" s="811"/>
      <c r="V23" s="811"/>
      <c r="W23" s="811"/>
      <c r="X23" s="398"/>
      <c r="Y23" s="398"/>
      <c r="Z23" s="754"/>
      <c r="AB23" s="740" t="s">
        <v>8180</v>
      </c>
      <c r="AC23" s="763">
        <v>306</v>
      </c>
      <c r="AD23" s="855">
        <v>320</v>
      </c>
      <c r="AE23" s="763">
        <v>314</v>
      </c>
      <c r="AF23" s="763">
        <v>312</v>
      </c>
      <c r="AG23" s="763">
        <v>300</v>
      </c>
      <c r="AH23" s="763">
        <v>298</v>
      </c>
      <c r="AI23" s="1685"/>
      <c r="AJ23" s="740"/>
      <c r="AK23" s="740"/>
      <c r="AL23" s="740"/>
      <c r="AM23" s="763"/>
      <c r="AN23" s="763"/>
      <c r="AO23" s="855"/>
      <c r="AP23" s="855"/>
      <c r="AR23" s="813"/>
      <c r="AS23" s="813"/>
      <c r="AT23" s="813"/>
      <c r="AU23" s="813"/>
      <c r="AW23" s="813"/>
    </row>
    <row r="24" spans="1:63">
      <c r="A24" s="386" t="s">
        <v>8177</v>
      </c>
      <c r="B24" s="463">
        <v>26820</v>
      </c>
      <c r="C24" s="463">
        <v>26928</v>
      </c>
      <c r="D24" s="463">
        <v>26839</v>
      </c>
      <c r="E24" s="463">
        <v>26792</v>
      </c>
      <c r="F24" s="463">
        <v>26272</v>
      </c>
      <c r="G24" s="463">
        <v>26275</v>
      </c>
      <c r="H24" s="822"/>
      <c r="J24" s="398" t="s">
        <v>8175</v>
      </c>
      <c r="K24" s="855">
        <v>726.4</v>
      </c>
      <c r="L24" s="855">
        <v>748.2</v>
      </c>
      <c r="M24" s="855">
        <v>1351.1</v>
      </c>
      <c r="N24" s="855">
        <v>1570.6</v>
      </c>
      <c r="O24" s="855">
        <v>1406.9</v>
      </c>
      <c r="P24" s="855">
        <v>1304.0999999999999</v>
      </c>
      <c r="Q24" s="762"/>
      <c r="S24" s="909" t="s">
        <v>3159</v>
      </c>
      <c r="T24" s="938">
        <v>2024</v>
      </c>
      <c r="U24" s="938">
        <v>2023</v>
      </c>
      <c r="V24" s="938">
        <v>2022</v>
      </c>
      <c r="W24" s="938">
        <v>2021</v>
      </c>
      <c r="X24" s="938">
        <v>2020</v>
      </c>
      <c r="Y24" s="939">
        <v>2019</v>
      </c>
      <c r="Z24" s="754"/>
      <c r="AB24" s="740" t="s">
        <v>8184</v>
      </c>
      <c r="AC24" s="763">
        <v>6333.6</v>
      </c>
      <c r="AD24" s="855">
        <v>5867.2</v>
      </c>
      <c r="AE24" s="763">
        <v>5187.8999999999996</v>
      </c>
      <c r="AF24" s="763">
        <v>5049.3</v>
      </c>
      <c r="AG24" s="763">
        <v>4465.3999999999996</v>
      </c>
      <c r="AH24" s="763">
        <v>4231</v>
      </c>
      <c r="AI24" s="763"/>
      <c r="AJ24" s="740"/>
      <c r="AK24" s="740"/>
      <c r="AL24" s="740"/>
      <c r="AM24" s="763"/>
      <c r="AN24" s="763"/>
      <c r="AO24" s="855"/>
      <c r="AP24" s="855"/>
      <c r="AW24" s="813"/>
      <c r="AY24" s="398"/>
      <c r="AZ24" s="398"/>
      <c r="BA24" s="398"/>
      <c r="BB24" s="398"/>
      <c r="BC24" s="398"/>
      <c r="BD24" s="398"/>
      <c r="BE24" s="398"/>
      <c r="BF24" s="382"/>
      <c r="BG24" s="382"/>
      <c r="BH24" s="382"/>
      <c r="BI24" s="382"/>
      <c r="BJ24" s="382"/>
      <c r="BK24" s="382"/>
    </row>
    <row r="25" spans="1:63">
      <c r="A25" s="386" t="s">
        <v>8181</v>
      </c>
      <c r="B25" s="463">
        <v>3541</v>
      </c>
      <c r="C25" s="463">
        <v>3285</v>
      </c>
      <c r="D25" s="463">
        <v>3429</v>
      </c>
      <c r="E25" s="463">
        <v>2521</v>
      </c>
      <c r="F25" s="463">
        <v>3034</v>
      </c>
      <c r="G25" s="463">
        <v>2533</v>
      </c>
      <c r="H25" s="822"/>
      <c r="J25" s="398" t="s">
        <v>8178</v>
      </c>
      <c r="K25" s="855">
        <v>140</v>
      </c>
      <c r="L25" s="855">
        <v>97.6</v>
      </c>
      <c r="M25" s="855">
        <v>343.3</v>
      </c>
      <c r="N25" s="855">
        <v>295.7</v>
      </c>
      <c r="O25" s="855">
        <v>214.6</v>
      </c>
      <c r="P25" s="855">
        <v>225.5</v>
      </c>
      <c r="Q25" s="762"/>
      <c r="S25" s="949" t="s">
        <v>4314</v>
      </c>
      <c r="T25" s="525">
        <f t="shared" ref="T25:Y25" si="5">SUM(T26:T28)</f>
        <v>43615</v>
      </c>
      <c r="U25" s="525">
        <f t="shared" si="5"/>
        <v>43574</v>
      </c>
      <c r="V25" s="525">
        <f t="shared" si="5"/>
        <v>43242</v>
      </c>
      <c r="W25" s="525">
        <f t="shared" si="5"/>
        <v>43149</v>
      </c>
      <c r="X25" s="525">
        <f t="shared" si="5"/>
        <v>42770</v>
      </c>
      <c r="Y25" s="525">
        <f t="shared" si="5"/>
        <v>42538</v>
      </c>
      <c r="Z25" s="754"/>
      <c r="AB25" s="740" t="s">
        <v>8188</v>
      </c>
      <c r="AC25" s="763">
        <v>49128.5</v>
      </c>
      <c r="AD25" s="855">
        <v>46465.1</v>
      </c>
      <c r="AE25" s="763">
        <v>29732.5</v>
      </c>
      <c r="AF25" s="763">
        <v>19910.3</v>
      </c>
      <c r="AG25" s="763">
        <v>16808.169999999998</v>
      </c>
      <c r="AH25" s="804">
        <v>15116.1</v>
      </c>
      <c r="AI25" s="740"/>
      <c r="AJ25" s="740"/>
      <c r="AK25" s="740"/>
      <c r="AL25" s="740"/>
      <c r="AM25" s="763"/>
      <c r="AN25" s="763"/>
      <c r="AO25" s="855"/>
      <c r="AP25" s="855"/>
      <c r="AQ25" s="855"/>
      <c r="AV25" s="855"/>
      <c r="AW25" s="813"/>
      <c r="AY25" s="2180"/>
      <c r="AZ25" s="2094"/>
      <c r="BA25" s="2094"/>
      <c r="BB25" s="2094"/>
      <c r="BC25" s="2094"/>
      <c r="BD25" s="2094"/>
      <c r="BE25" s="2094"/>
      <c r="BF25" s="2094"/>
      <c r="BG25" s="2094"/>
      <c r="BH25" s="2094"/>
      <c r="BI25" s="2094"/>
      <c r="BJ25" s="2094"/>
      <c r="BK25" s="2094"/>
    </row>
    <row r="26" spans="1:63">
      <c r="A26" s="386" t="s">
        <v>8185</v>
      </c>
      <c r="B26" s="463">
        <v>1927</v>
      </c>
      <c r="C26" s="463">
        <v>2079</v>
      </c>
      <c r="D26" s="463">
        <v>2264</v>
      </c>
      <c r="E26" s="463">
        <v>2436</v>
      </c>
      <c r="F26" s="463">
        <v>2493</v>
      </c>
      <c r="G26" s="463">
        <v>2769</v>
      </c>
      <c r="H26" s="822"/>
      <c r="J26" s="398" t="s">
        <v>8182</v>
      </c>
      <c r="K26" s="855">
        <v>324.5</v>
      </c>
      <c r="L26" s="855">
        <v>364.8</v>
      </c>
      <c r="M26" s="855">
        <v>460.5</v>
      </c>
      <c r="N26" s="855">
        <v>510.8</v>
      </c>
      <c r="O26" s="855">
        <v>307.60000000000002</v>
      </c>
      <c r="P26" s="855">
        <v>385.1</v>
      </c>
      <c r="Q26" s="762"/>
      <c r="S26" s="386" t="s">
        <v>2320</v>
      </c>
      <c r="T26" s="463">
        <v>40040</v>
      </c>
      <c r="U26" s="463">
        <v>39990</v>
      </c>
      <c r="V26" s="463">
        <v>39717</v>
      </c>
      <c r="W26" s="463">
        <v>39657</v>
      </c>
      <c r="X26" s="463">
        <v>39281</v>
      </c>
      <c r="Y26" s="463">
        <v>39055</v>
      </c>
      <c r="Z26" s="754"/>
      <c r="AB26" s="740" t="s">
        <v>8190</v>
      </c>
      <c r="AC26" s="763">
        <v>50568.4</v>
      </c>
      <c r="AD26" s="855">
        <v>47541.599999999999</v>
      </c>
      <c r="AE26" s="763">
        <v>45791.6</v>
      </c>
      <c r="AF26" s="763">
        <v>49479</v>
      </c>
      <c r="AG26" s="763">
        <v>50787.39</v>
      </c>
      <c r="AH26" s="763">
        <v>50416.3</v>
      </c>
      <c r="AI26" s="740"/>
      <c r="AJ26" s="740"/>
      <c r="AK26" s="740"/>
      <c r="AL26" s="740"/>
      <c r="AM26" s="763"/>
      <c r="AN26" s="763"/>
      <c r="AO26" s="855"/>
      <c r="AP26" s="855"/>
      <c r="AQ26" s="761"/>
      <c r="AV26" s="761"/>
      <c r="AW26" s="813"/>
      <c r="AY26" s="2180"/>
      <c r="AZ26" s="385"/>
      <c r="BA26" s="385"/>
      <c r="BB26" s="385"/>
      <c r="BC26" s="385"/>
      <c r="BD26" s="385"/>
      <c r="BE26" s="385"/>
      <c r="BF26" s="385"/>
      <c r="BG26" s="385"/>
      <c r="BH26" s="385"/>
      <c r="BI26" s="385"/>
      <c r="BJ26" s="385"/>
      <c r="BK26" s="385"/>
    </row>
    <row r="27" spans="1:63">
      <c r="A27" s="386" t="s">
        <v>8189</v>
      </c>
      <c r="B27" s="463">
        <v>638</v>
      </c>
      <c r="C27" s="463">
        <v>706</v>
      </c>
      <c r="D27" s="463">
        <v>715</v>
      </c>
      <c r="E27" s="463">
        <v>651</v>
      </c>
      <c r="F27" s="463">
        <v>1235</v>
      </c>
      <c r="G27" s="463">
        <v>1199</v>
      </c>
      <c r="H27" s="822"/>
      <c r="J27" s="398" t="s">
        <v>8186</v>
      </c>
      <c r="O27" s="855"/>
      <c r="P27" s="855"/>
      <c r="Q27" s="762"/>
      <c r="S27" s="386" t="s">
        <v>8179</v>
      </c>
      <c r="T27" s="463">
        <v>3233</v>
      </c>
      <c r="U27" s="463">
        <v>3227</v>
      </c>
      <c r="V27" s="463">
        <v>3163</v>
      </c>
      <c r="W27" s="463">
        <v>3132</v>
      </c>
      <c r="X27" s="463">
        <v>3134</v>
      </c>
      <c r="Y27" s="463">
        <v>3127</v>
      </c>
      <c r="Z27" s="398"/>
      <c r="AB27" s="386" t="s">
        <v>8192</v>
      </c>
      <c r="AC27" s="1685">
        <v>0</v>
      </c>
      <c r="AD27" s="1685">
        <v>0</v>
      </c>
      <c r="AE27" s="1685">
        <v>0</v>
      </c>
      <c r="AF27" s="1685">
        <v>0</v>
      </c>
      <c r="AG27" s="1685">
        <v>0</v>
      </c>
      <c r="AH27" s="1685">
        <v>0</v>
      </c>
      <c r="AI27" s="740"/>
      <c r="AJ27" s="740"/>
      <c r="AK27" s="740"/>
      <c r="AL27" s="740"/>
      <c r="AM27" s="763"/>
      <c r="AN27" s="763"/>
      <c r="AO27" s="855"/>
      <c r="AP27" s="855"/>
      <c r="AQ27" s="761"/>
      <c r="AR27" s="855"/>
      <c r="AS27" s="855"/>
      <c r="AT27" s="855"/>
      <c r="AU27" s="855"/>
      <c r="AV27" s="761"/>
      <c r="AY27" s="1382"/>
      <c r="AZ27" s="1279"/>
      <c r="BA27" s="1279"/>
      <c r="BB27" s="1279"/>
      <c r="BC27" s="1279"/>
      <c r="BD27" s="1279"/>
      <c r="BE27" s="1279"/>
      <c r="BF27" s="1279"/>
      <c r="BG27" s="1279"/>
      <c r="BH27" s="1279"/>
      <c r="BI27" s="1279"/>
      <c r="BJ27" s="1279"/>
      <c r="BK27" s="1279"/>
    </row>
    <row r="28" spans="1:63">
      <c r="A28" s="386" t="s">
        <v>8191</v>
      </c>
      <c r="B28" s="463">
        <v>733</v>
      </c>
      <c r="C28" s="463">
        <v>748</v>
      </c>
      <c r="D28" s="463">
        <v>793</v>
      </c>
      <c r="E28" s="463">
        <v>756</v>
      </c>
      <c r="F28" s="463">
        <v>753</v>
      </c>
      <c r="G28" s="463">
        <v>770</v>
      </c>
      <c r="H28" s="822"/>
      <c r="J28" s="1066" t="s">
        <v>129</v>
      </c>
      <c r="K28" s="525">
        <f>SUM(K29:K30)</f>
        <v>12793</v>
      </c>
      <c r="L28" s="525">
        <v>14239</v>
      </c>
      <c r="M28" s="525">
        <v>13469</v>
      </c>
      <c r="N28" s="525">
        <v>18906</v>
      </c>
      <c r="O28" s="525">
        <v>26563</v>
      </c>
      <c r="P28" s="525">
        <v>21094</v>
      </c>
      <c r="Q28" s="515"/>
      <c r="S28" s="384" t="s">
        <v>8183</v>
      </c>
      <c r="T28" s="497">
        <v>342</v>
      </c>
      <c r="U28" s="497">
        <v>357</v>
      </c>
      <c r="V28" s="497">
        <v>362</v>
      </c>
      <c r="W28" s="497">
        <v>360</v>
      </c>
      <c r="X28" s="497">
        <v>355</v>
      </c>
      <c r="Y28" s="497">
        <v>356</v>
      </c>
      <c r="Z28" s="398"/>
      <c r="AB28" s="800" t="s">
        <v>8194</v>
      </c>
      <c r="AC28" s="1686">
        <v>4129</v>
      </c>
      <c r="AD28" s="867">
        <v>4174</v>
      </c>
      <c r="AE28" s="1686">
        <v>4029</v>
      </c>
      <c r="AF28" s="1686">
        <v>4070</v>
      </c>
      <c r="AG28" s="1686">
        <v>4114.46</v>
      </c>
      <c r="AH28" s="1686">
        <v>4235.6000000000004</v>
      </c>
      <c r="AI28" s="740"/>
      <c r="AJ28" s="740"/>
      <c r="AK28" s="740"/>
      <c r="AL28" s="740"/>
      <c r="AM28" s="763"/>
      <c r="AN28" s="763"/>
      <c r="AO28" s="855"/>
      <c r="AP28" s="855"/>
      <c r="AQ28" s="761"/>
      <c r="AR28" s="761"/>
      <c r="AS28" s="761"/>
      <c r="AT28" s="761"/>
      <c r="AU28" s="761"/>
      <c r="AV28" s="761"/>
      <c r="AY28" s="1386"/>
      <c r="AZ28" s="1279"/>
      <c r="BA28" s="1279"/>
      <c r="BB28" s="1279"/>
      <c r="BC28" s="1279"/>
      <c r="BD28" s="1279"/>
      <c r="BE28" s="1279"/>
      <c r="BF28" s="1279"/>
      <c r="BG28" s="1279"/>
      <c r="BH28" s="1279"/>
      <c r="BI28" s="1279"/>
      <c r="BJ28" s="1279"/>
      <c r="BK28" s="1279"/>
    </row>
    <row r="29" spans="1:63">
      <c r="A29" s="386" t="s">
        <v>3172</v>
      </c>
      <c r="B29" s="463">
        <v>141</v>
      </c>
      <c r="C29" s="463">
        <v>152</v>
      </c>
      <c r="D29" s="463">
        <v>165</v>
      </c>
      <c r="E29" s="463">
        <v>192</v>
      </c>
      <c r="F29" s="463">
        <v>193</v>
      </c>
      <c r="G29" s="463">
        <v>219</v>
      </c>
      <c r="H29" s="901"/>
      <c r="J29" s="398" t="s">
        <v>8175</v>
      </c>
      <c r="K29" s="525">
        <v>7454</v>
      </c>
      <c r="L29" s="525">
        <v>8231</v>
      </c>
      <c r="M29" s="525">
        <v>8695</v>
      </c>
      <c r="N29" s="525">
        <v>13000</v>
      </c>
      <c r="O29" s="525">
        <v>18295</v>
      </c>
      <c r="P29" s="525">
        <v>15685</v>
      </c>
      <c r="Q29" s="754"/>
      <c r="S29" s="825" t="s">
        <v>8187</v>
      </c>
      <c r="T29" s="571"/>
      <c r="U29" s="571"/>
      <c r="V29" s="571"/>
      <c r="W29" s="398"/>
      <c r="X29" s="398"/>
      <c r="Y29" s="398"/>
      <c r="Z29" s="1672"/>
      <c r="AB29" s="825" t="s">
        <v>8197</v>
      </c>
      <c r="AC29" s="825"/>
      <c r="AD29" s="825"/>
      <c r="AE29" s="740"/>
      <c r="AF29" s="740"/>
      <c r="AG29" s="740"/>
      <c r="AH29" s="740"/>
      <c r="AI29" s="740"/>
      <c r="AJ29" s="740"/>
      <c r="AK29" s="740"/>
      <c r="AL29" s="740"/>
      <c r="AM29" s="763"/>
      <c r="AN29" s="763"/>
      <c r="AO29" s="855"/>
      <c r="AP29" s="855"/>
      <c r="AQ29" s="761"/>
      <c r="AR29" s="761"/>
      <c r="AS29" s="761"/>
      <c r="AT29" s="761"/>
      <c r="AU29" s="761"/>
      <c r="AV29" s="761"/>
      <c r="AY29" s="1386"/>
      <c r="AZ29" s="1279"/>
      <c r="BA29" s="1279"/>
      <c r="BB29" s="1279"/>
      <c r="BC29" s="1279"/>
      <c r="BD29" s="1279"/>
      <c r="BE29" s="1279"/>
      <c r="BF29" s="1279"/>
      <c r="BG29" s="1279"/>
      <c r="BH29" s="1279"/>
      <c r="BI29" s="1279"/>
      <c r="BJ29" s="1279"/>
      <c r="BK29" s="1279"/>
    </row>
    <row r="30" spans="1:63">
      <c r="A30" s="386" t="s">
        <v>8195</v>
      </c>
      <c r="B30" s="463">
        <v>2444</v>
      </c>
      <c r="C30" s="463">
        <v>2519</v>
      </c>
      <c r="D30" s="463">
        <v>2540</v>
      </c>
      <c r="E30" s="463">
        <v>2580</v>
      </c>
      <c r="F30" s="463">
        <v>2482</v>
      </c>
      <c r="G30" s="463">
        <v>2425</v>
      </c>
      <c r="J30" s="387" t="s">
        <v>8178</v>
      </c>
      <c r="K30" s="633">
        <v>5339</v>
      </c>
      <c r="L30" s="633">
        <v>6008</v>
      </c>
      <c r="M30" s="633">
        <v>4774</v>
      </c>
      <c r="N30" s="633">
        <v>5906</v>
      </c>
      <c r="O30" s="633">
        <v>8268</v>
      </c>
      <c r="P30" s="633">
        <v>5408</v>
      </c>
      <c r="Q30" s="754"/>
      <c r="S30" s="1683"/>
      <c r="T30" s="515"/>
      <c r="U30" s="398"/>
      <c r="V30" s="398"/>
      <c r="W30" s="398"/>
      <c r="X30" s="398"/>
      <c r="Y30" s="398"/>
      <c r="Z30" s="1672"/>
      <c r="AB30" s="740"/>
      <c r="AC30" s="740"/>
      <c r="AD30" s="740"/>
      <c r="AE30" s="740"/>
      <c r="AF30" s="740"/>
      <c r="AG30" s="740"/>
      <c r="AH30" s="740"/>
      <c r="AI30" s="740"/>
      <c r="AJ30" s="740"/>
      <c r="AK30" s="740"/>
      <c r="AL30" s="740"/>
      <c r="AM30" s="763"/>
      <c r="AN30" s="763"/>
      <c r="AO30" s="855"/>
      <c r="AP30" s="855"/>
      <c r="AQ30" s="761"/>
      <c r="AR30" s="761"/>
      <c r="AS30" s="761"/>
      <c r="AT30" s="761"/>
      <c r="AU30" s="761"/>
      <c r="AV30" s="761"/>
      <c r="AY30" s="1386"/>
      <c r="AZ30" s="1279"/>
      <c r="BA30" s="1279"/>
      <c r="BB30" s="1279"/>
      <c r="BC30" s="1279"/>
      <c r="BD30" s="1279"/>
      <c r="BE30" s="1279"/>
      <c r="BF30" s="1279"/>
      <c r="BG30" s="1279"/>
      <c r="BH30" s="1279"/>
      <c r="BI30" s="1279"/>
      <c r="BJ30" s="1279"/>
      <c r="BK30" s="1279"/>
    </row>
    <row r="31" spans="1:63" ht="12.75" customHeight="1">
      <c r="A31" s="384" t="s">
        <v>2334</v>
      </c>
      <c r="B31" s="497">
        <v>1319</v>
      </c>
      <c r="C31" s="497">
        <v>1258</v>
      </c>
      <c r="D31" s="497">
        <v>1222</v>
      </c>
      <c r="E31" s="497">
        <v>1208</v>
      </c>
      <c r="F31" s="497">
        <v>1114</v>
      </c>
      <c r="G31" s="1073" t="s">
        <v>546</v>
      </c>
      <c r="J31" s="571" t="s">
        <v>8196</v>
      </c>
      <c r="K31" s="571"/>
      <c r="L31" s="571"/>
      <c r="M31" s="571"/>
      <c r="N31" s="571"/>
      <c r="O31" s="398"/>
      <c r="P31" s="1672"/>
      <c r="S31" s="1683"/>
      <c r="T31" s="1684"/>
      <c r="U31" s="1672"/>
      <c r="V31" s="1672"/>
      <c r="W31" s="1672"/>
      <c r="X31" s="1672"/>
      <c r="Y31" s="1672"/>
      <c r="Z31" s="398"/>
      <c r="AB31" s="740"/>
      <c r="AC31" s="740"/>
      <c r="AD31" s="740"/>
      <c r="AE31" s="740"/>
      <c r="AF31" s="740"/>
      <c r="AG31" s="740"/>
      <c r="AH31" s="740"/>
      <c r="AI31" s="740"/>
      <c r="AJ31" s="740"/>
      <c r="AK31" s="740"/>
      <c r="AL31" s="740"/>
      <c r="AM31" s="763"/>
      <c r="AN31" s="763"/>
      <c r="AO31" s="855"/>
      <c r="AP31" s="855"/>
      <c r="AQ31" s="761"/>
      <c r="AR31" s="761"/>
      <c r="AS31" s="761"/>
      <c r="AT31" s="761"/>
      <c r="AU31" s="761"/>
      <c r="AV31" s="761"/>
      <c r="AY31" s="1386"/>
      <c r="AZ31" s="1279"/>
      <c r="BA31" s="1279"/>
      <c r="BB31" s="1279"/>
      <c r="BC31" s="1279"/>
      <c r="BD31" s="1279"/>
      <c r="BE31" s="1279"/>
      <c r="BF31" s="1279"/>
      <c r="BG31" s="1279"/>
      <c r="BH31" s="1279"/>
      <c r="BI31" s="1279"/>
      <c r="BJ31" s="1279"/>
      <c r="BK31" s="1279"/>
    </row>
    <row r="32" spans="1:63">
      <c r="A32" s="571" t="s">
        <v>2265</v>
      </c>
      <c r="B32" s="571"/>
      <c r="C32" s="571"/>
      <c r="D32" s="571"/>
      <c r="E32" s="571"/>
      <c r="F32" s="398"/>
      <c r="G32" s="398"/>
      <c r="J32" s="571" t="s">
        <v>8198</v>
      </c>
      <c r="K32" s="571"/>
      <c r="L32" s="571"/>
      <c r="M32" s="571"/>
      <c r="N32" s="571"/>
      <c r="O32" s="398"/>
      <c r="P32" s="1672"/>
      <c r="T32" s="1672"/>
      <c r="U32" s="1672"/>
      <c r="V32" s="1672"/>
      <c r="W32" s="1672"/>
      <c r="X32" s="1672"/>
      <c r="Y32" s="1672"/>
      <c r="Z32" s="385"/>
      <c r="AB32" s="740"/>
      <c r="AC32" s="740"/>
      <c r="AD32" s="740"/>
      <c r="AE32" s="740"/>
      <c r="AF32" s="740"/>
      <c r="AG32" s="740"/>
      <c r="AH32" s="740"/>
      <c r="AI32" s="674"/>
      <c r="AJ32" s="740"/>
      <c r="AK32" s="740"/>
      <c r="AL32" s="740"/>
      <c r="AM32" s="740"/>
      <c r="AN32" s="740"/>
      <c r="AP32" s="855"/>
      <c r="AQ32" s="761"/>
      <c r="AR32" s="761"/>
      <c r="AS32" s="761"/>
      <c r="AT32" s="761"/>
      <c r="AU32" s="761"/>
      <c r="AV32" s="761"/>
      <c r="AY32" s="1386"/>
      <c r="AZ32" s="1279"/>
      <c r="BA32" s="1279"/>
      <c r="BB32" s="1279"/>
      <c r="BC32" s="1279"/>
      <c r="BD32" s="1279"/>
      <c r="BE32" s="1279"/>
      <c r="BF32" s="1279"/>
      <c r="BG32" s="1279"/>
      <c r="BH32" s="1279"/>
      <c r="BI32" s="1279"/>
      <c r="BJ32" s="1279"/>
      <c r="BK32" s="1279"/>
    </row>
    <row r="33" spans="1:66">
      <c r="A33" s="571" t="s">
        <v>8201</v>
      </c>
      <c r="B33" s="571"/>
      <c r="C33" s="571"/>
      <c r="D33" s="571"/>
      <c r="E33" s="571"/>
      <c r="F33" s="398"/>
      <c r="G33" s="398"/>
      <c r="J33" s="571" t="s">
        <v>8200</v>
      </c>
      <c r="K33" s="571"/>
      <c r="L33" s="571"/>
      <c r="M33" s="571"/>
      <c r="N33" s="571"/>
      <c r="O33" s="398"/>
      <c r="P33" s="1672"/>
      <c r="S33" s="386" t="s">
        <v>8207</v>
      </c>
      <c r="T33" s="387"/>
      <c r="U33" s="398"/>
      <c r="V33" s="398"/>
      <c r="W33" s="398"/>
      <c r="X33" s="398"/>
      <c r="Y33" s="398"/>
      <c r="Z33" s="754"/>
      <c r="AB33" s="382" t="s">
        <v>8208</v>
      </c>
      <c r="AC33" s="740"/>
      <c r="AD33" s="740"/>
      <c r="AE33" s="740"/>
      <c r="AF33" s="740"/>
      <c r="AG33" s="740"/>
      <c r="AH33" s="740"/>
      <c r="AJ33" s="740"/>
      <c r="AK33" s="740"/>
      <c r="AL33" s="740"/>
      <c r="AM33" s="674"/>
      <c r="AN33" s="674"/>
      <c r="AQ33" s="761"/>
      <c r="AR33" s="761"/>
      <c r="AS33" s="761"/>
      <c r="AT33" s="761"/>
      <c r="AU33" s="761"/>
      <c r="AV33" s="761"/>
      <c r="AY33" s="1386"/>
      <c r="AZ33" s="1279"/>
      <c r="BA33" s="1279"/>
      <c r="BB33" s="1279"/>
      <c r="BC33" s="1279"/>
      <c r="BD33" s="1279"/>
      <c r="BE33" s="1279"/>
      <c r="BF33" s="1279"/>
      <c r="BG33" s="1279"/>
      <c r="BH33" s="1279"/>
      <c r="BI33" s="1279"/>
      <c r="BJ33" s="1279"/>
      <c r="BK33" s="1279"/>
    </row>
    <row r="34" spans="1:66">
      <c r="A34" s="571"/>
      <c r="B34" s="571"/>
      <c r="C34" s="571"/>
      <c r="D34" s="571"/>
      <c r="E34" s="571"/>
      <c r="F34" s="571"/>
      <c r="G34" s="1672"/>
      <c r="J34" s="571" t="s">
        <v>8202</v>
      </c>
      <c r="K34" s="571"/>
      <c r="L34" s="571"/>
      <c r="M34" s="571"/>
      <c r="N34" s="571"/>
      <c r="O34" s="398"/>
      <c r="P34" s="1672"/>
      <c r="S34" s="909" t="s">
        <v>3159</v>
      </c>
      <c r="T34" s="939">
        <v>2018</v>
      </c>
      <c r="U34" s="939">
        <v>2017</v>
      </c>
      <c r="V34" s="939">
        <v>2016</v>
      </c>
      <c r="W34" s="939">
        <v>2015</v>
      </c>
      <c r="X34" s="939">
        <v>2014</v>
      </c>
      <c r="Y34" s="939">
        <v>2013</v>
      </c>
      <c r="Z34" s="754"/>
      <c r="AB34" s="588" t="s">
        <v>8209</v>
      </c>
      <c r="AC34" s="938">
        <v>2024</v>
      </c>
      <c r="AD34" s="939">
        <v>2023</v>
      </c>
      <c r="AE34" s="939">
        <v>2022</v>
      </c>
      <c r="AF34" s="938">
        <v>2021</v>
      </c>
      <c r="AG34" s="938">
        <v>2020</v>
      </c>
      <c r="AH34" s="938">
        <v>2019</v>
      </c>
      <c r="AI34" s="939">
        <v>2018</v>
      </c>
      <c r="AJ34" s="674"/>
      <c r="AK34" s="674"/>
      <c r="AL34" s="674"/>
      <c r="AO34" s="525"/>
      <c r="AQ34" s="761"/>
      <c r="AR34" s="761"/>
      <c r="AS34" s="761"/>
      <c r="AT34" s="761"/>
      <c r="AU34" s="761"/>
      <c r="AV34" s="761"/>
      <c r="AY34" s="1386"/>
      <c r="AZ34" s="1279"/>
      <c r="BA34" s="1279"/>
      <c r="BB34" s="1279"/>
      <c r="BC34" s="1279"/>
      <c r="BD34" s="1279"/>
      <c r="BE34" s="1279"/>
      <c r="BF34" s="1279"/>
      <c r="BG34" s="1279"/>
      <c r="BH34" s="1279"/>
      <c r="BI34" s="1279"/>
      <c r="BJ34" s="1279"/>
      <c r="BK34" s="1279"/>
    </row>
    <row r="35" spans="1:66">
      <c r="A35" s="571"/>
      <c r="B35" s="571" t="s">
        <v>3348</v>
      </c>
      <c r="C35" s="571"/>
      <c r="D35" s="571"/>
      <c r="E35" s="571"/>
      <c r="F35" s="571"/>
      <c r="G35" s="1672"/>
      <c r="H35" s="571"/>
      <c r="J35" s="398"/>
      <c r="K35" s="398"/>
      <c r="L35" s="398"/>
      <c r="M35" s="398"/>
      <c r="N35" s="398"/>
      <c r="O35" s="398"/>
      <c r="P35" s="1672"/>
      <c r="S35" s="949" t="s">
        <v>4314</v>
      </c>
      <c r="T35" s="525">
        <f>SUM(T36:T38)</f>
        <v>42444</v>
      </c>
      <c r="U35" s="525">
        <f>SUM(U36:U38)</f>
        <v>42205</v>
      </c>
      <c r="V35" s="525">
        <f>SUM(V36:V38)</f>
        <v>41753.583333333328</v>
      </c>
      <c r="W35" s="525">
        <f>SUM(W36:W38)</f>
        <v>41530</v>
      </c>
      <c r="X35" s="525">
        <f>SUM(X36:X38)</f>
        <v>41767</v>
      </c>
      <c r="Y35" s="525">
        <v>41659</v>
      </c>
      <c r="Z35" s="754"/>
      <c r="AB35" s="674" t="s">
        <v>8210</v>
      </c>
      <c r="AC35" s="1690">
        <v>5.23</v>
      </c>
      <c r="AD35" s="1690">
        <v>5.0999999999999996</v>
      </c>
      <c r="AE35" s="1690">
        <v>5.58</v>
      </c>
      <c r="AF35" s="1691">
        <v>4.57</v>
      </c>
      <c r="AG35" s="1690">
        <v>3.6</v>
      </c>
      <c r="AH35" s="1690">
        <v>4.16</v>
      </c>
      <c r="AI35" s="1690">
        <v>4.29</v>
      </c>
      <c r="AM35" s="674"/>
      <c r="AN35" s="761"/>
      <c r="AO35" s="525"/>
      <c r="AP35" s="525"/>
      <c r="AQ35" s="761"/>
      <c r="AR35" s="761"/>
      <c r="AS35" s="761"/>
      <c r="AT35" s="761"/>
      <c r="AU35" s="761"/>
      <c r="AV35" s="761"/>
      <c r="AY35" s="1386"/>
      <c r="AZ35" s="1279"/>
      <c r="BA35" s="1279"/>
      <c r="BB35" s="1279"/>
      <c r="BC35" s="1279"/>
      <c r="BD35" s="1279"/>
      <c r="BE35" s="1279"/>
      <c r="BF35" s="1279"/>
      <c r="BG35" s="1279"/>
      <c r="BH35" s="1279"/>
      <c r="BI35" s="1279"/>
      <c r="BJ35" s="1279"/>
      <c r="BK35" s="1279"/>
    </row>
    <row r="36" spans="1:66">
      <c r="C36" s="562"/>
      <c r="D36" s="562"/>
      <c r="E36" s="562"/>
      <c r="F36" s="562"/>
      <c r="G36" s="562"/>
      <c r="H36" s="562"/>
      <c r="S36" s="386" t="s">
        <v>2320</v>
      </c>
      <c r="T36" s="1677">
        <v>38927</v>
      </c>
      <c r="U36" s="1689">
        <v>38672</v>
      </c>
      <c r="V36" s="1689">
        <v>38262.416666666664</v>
      </c>
      <c r="W36" s="525">
        <v>38042</v>
      </c>
      <c r="X36" s="525">
        <v>38335</v>
      </c>
      <c r="Y36" s="525">
        <v>38271</v>
      </c>
      <c r="Z36" s="754"/>
      <c r="AB36" s="740" t="s">
        <v>8211</v>
      </c>
      <c r="AC36" s="1690">
        <v>5.43</v>
      </c>
      <c r="AD36" s="1690">
        <v>5.3</v>
      </c>
      <c r="AE36" s="1690">
        <v>5.78</v>
      </c>
      <c r="AF36" s="1690">
        <v>4.7699999999999996</v>
      </c>
      <c r="AG36" s="1690">
        <v>3.8</v>
      </c>
      <c r="AH36" s="1690">
        <v>4.34</v>
      </c>
      <c r="AI36" s="1690">
        <v>4.46</v>
      </c>
      <c r="AJ36" s="674"/>
      <c r="AK36" s="674"/>
      <c r="AL36" s="674"/>
      <c r="AM36" s="674"/>
      <c r="AN36" s="744"/>
      <c r="AO36" s="744"/>
      <c r="AP36" s="744"/>
      <c r="AQ36" s="525"/>
      <c r="AS36" s="761"/>
      <c r="AT36" s="761"/>
      <c r="AU36" s="761"/>
      <c r="AV36" s="761"/>
      <c r="AZ36" s="1386"/>
      <c r="BA36" s="1279"/>
      <c r="BB36" s="1279"/>
      <c r="BC36" s="1279"/>
      <c r="BD36" s="1279"/>
      <c r="BE36" s="1279"/>
      <c r="BF36" s="1279"/>
      <c r="BG36" s="1279"/>
      <c r="BH36" s="1279"/>
      <c r="BI36" s="1279"/>
      <c r="BJ36" s="1279"/>
      <c r="BK36" s="1279"/>
      <c r="BL36" s="1279"/>
    </row>
    <row r="37" spans="1:66">
      <c r="A37" s="387" t="s">
        <v>8214</v>
      </c>
      <c r="B37" s="1695"/>
      <c r="C37" s="1696"/>
      <c r="D37" s="1696"/>
      <c r="E37" s="1696"/>
      <c r="F37" s="562"/>
      <c r="G37" s="562"/>
      <c r="H37" s="562"/>
      <c r="S37" s="386" t="s">
        <v>8179</v>
      </c>
      <c r="T37" s="1677">
        <v>3151</v>
      </c>
      <c r="U37" s="1689">
        <v>3157</v>
      </c>
      <c r="V37" s="1689">
        <v>3112.9166666666661</v>
      </c>
      <c r="W37" s="525">
        <v>3114</v>
      </c>
      <c r="X37" s="525">
        <v>3055</v>
      </c>
      <c r="Y37" s="525">
        <v>3022</v>
      </c>
      <c r="Z37" s="398"/>
      <c r="AB37" s="740" t="s">
        <v>8212</v>
      </c>
      <c r="AC37" s="1690">
        <v>5.63</v>
      </c>
      <c r="AD37" s="1690">
        <v>5.5</v>
      </c>
      <c r="AE37" s="1690">
        <v>5.98</v>
      </c>
      <c r="AF37" s="1690">
        <v>4.97</v>
      </c>
      <c r="AG37" s="1690">
        <v>4</v>
      </c>
      <c r="AH37" s="1690">
        <v>4.54</v>
      </c>
      <c r="AI37" s="1690">
        <v>4.63</v>
      </c>
      <c r="AJ37" s="744"/>
      <c r="AK37" s="744"/>
      <c r="AL37" s="744"/>
      <c r="AM37" s="744"/>
      <c r="AN37" s="744"/>
      <c r="AO37" s="744"/>
      <c r="AP37" s="744"/>
      <c r="AQ37" s="744"/>
      <c r="AS37" s="761"/>
      <c r="AT37" s="761"/>
      <c r="AU37" s="761"/>
      <c r="AV37" s="761"/>
      <c r="AZ37" s="1386"/>
      <c r="BA37" s="1279"/>
      <c r="BB37" s="1279"/>
      <c r="BC37" s="1279"/>
      <c r="BD37" s="1279"/>
      <c r="BE37" s="1279"/>
      <c r="BF37" s="1279"/>
      <c r="BG37" s="1279"/>
      <c r="BH37" s="1279"/>
      <c r="BI37" s="1279"/>
      <c r="BJ37" s="1279"/>
      <c r="BK37" s="1279"/>
      <c r="BL37" s="1279"/>
    </row>
    <row r="38" spans="1:66">
      <c r="A38" s="588" t="s">
        <v>1936</v>
      </c>
      <c r="B38" s="938">
        <v>2024</v>
      </c>
      <c r="C38" s="938">
        <v>2023</v>
      </c>
      <c r="D38" s="938">
        <v>2022</v>
      </c>
      <c r="E38" s="938">
        <v>2021</v>
      </c>
      <c r="F38" s="938">
        <v>2020</v>
      </c>
      <c r="G38" s="939">
        <v>2019</v>
      </c>
      <c r="H38" s="1654"/>
      <c r="S38" s="384" t="s">
        <v>8183</v>
      </c>
      <c r="T38" s="1692">
        <v>366</v>
      </c>
      <c r="U38" s="1693">
        <v>376</v>
      </c>
      <c r="V38" s="1693">
        <v>378.25</v>
      </c>
      <c r="W38" s="633">
        <v>374</v>
      </c>
      <c r="X38" s="633">
        <v>377</v>
      </c>
      <c r="Y38" s="633">
        <v>367</v>
      </c>
      <c r="Z38" s="1672"/>
      <c r="AB38" s="800" t="s">
        <v>8213</v>
      </c>
      <c r="AC38" s="1694">
        <v>5.61</v>
      </c>
      <c r="AD38" s="1694">
        <v>5.63</v>
      </c>
      <c r="AE38" s="1694">
        <v>6.45</v>
      </c>
      <c r="AF38" s="1694">
        <v>4.8</v>
      </c>
      <c r="AG38" s="1694">
        <v>4.01</v>
      </c>
      <c r="AH38" s="1694">
        <v>4.66</v>
      </c>
      <c r="AI38" s="1694">
        <v>4.8</v>
      </c>
      <c r="AJ38" s="744"/>
      <c r="AK38" s="744"/>
      <c r="AL38" s="744"/>
      <c r="AM38" s="744"/>
      <c r="AN38" s="744"/>
      <c r="AO38" s="744"/>
      <c r="AP38" s="744"/>
      <c r="AQ38" s="744"/>
      <c r="AR38" s="525"/>
      <c r="AW38" s="525"/>
      <c r="AZ38" s="1386"/>
      <c r="BA38" s="1279"/>
      <c r="BB38" s="1279"/>
      <c r="BC38" s="1279"/>
      <c r="BD38" s="1279"/>
      <c r="BE38" s="1279"/>
      <c r="BF38" s="1279"/>
      <c r="BG38" s="1279"/>
      <c r="BH38" s="1279"/>
      <c r="BI38" s="1279"/>
      <c r="BJ38" s="1279"/>
      <c r="BK38" s="1279"/>
      <c r="BL38" s="1279"/>
    </row>
    <row r="39" spans="1:66">
      <c r="A39" s="1697" t="s">
        <v>4314</v>
      </c>
      <c r="B39" s="525">
        <f t="shared" ref="B39:G39" si="6">SUM(B40:B41)</f>
        <v>18414</v>
      </c>
      <c r="C39" s="525">
        <f t="shared" si="6"/>
        <v>20579</v>
      </c>
      <c r="D39" s="525">
        <f t="shared" si="6"/>
        <v>26896</v>
      </c>
      <c r="E39" s="525">
        <f t="shared" si="6"/>
        <v>17369</v>
      </c>
      <c r="F39" s="525">
        <f t="shared" si="6"/>
        <v>14772</v>
      </c>
      <c r="G39" s="525">
        <f t="shared" si="6"/>
        <v>26231</v>
      </c>
      <c r="H39" s="525"/>
      <c r="J39" s="398" t="s">
        <v>8215</v>
      </c>
      <c r="K39" s="387"/>
      <c r="L39" s="398"/>
      <c r="M39" s="398"/>
      <c r="N39" s="398"/>
      <c r="O39" s="398"/>
      <c r="P39" s="398"/>
      <c r="Q39" s="1672"/>
      <c r="S39" s="825" t="s">
        <v>8187</v>
      </c>
      <c r="T39" s="571"/>
      <c r="U39" s="571"/>
      <c r="V39" s="571"/>
      <c r="W39" s="398"/>
      <c r="X39" s="398"/>
      <c r="Y39" s="398"/>
      <c r="Z39" s="1672"/>
      <c r="AB39" s="825" t="s">
        <v>8197</v>
      </c>
      <c r="AC39" s="825"/>
      <c r="AD39" s="1928"/>
      <c r="AE39" s="763"/>
      <c r="AF39" s="804"/>
      <c r="AG39" s="763"/>
      <c r="AH39" s="855"/>
      <c r="AI39" s="744"/>
      <c r="AN39" s="744"/>
      <c r="AO39" s="744"/>
      <c r="AP39" s="744"/>
      <c r="AQ39" s="744"/>
      <c r="AR39" s="737"/>
      <c r="AW39" s="737"/>
      <c r="AZ39" s="1386"/>
      <c r="BA39" s="1279"/>
      <c r="BB39" s="1279"/>
      <c r="BC39" s="1279"/>
      <c r="BD39" s="1279"/>
      <c r="BE39" s="1279"/>
      <c r="BF39" s="1279"/>
      <c r="BG39" s="1279"/>
      <c r="BH39" s="1279"/>
      <c r="BI39" s="1279"/>
      <c r="BJ39" s="1279"/>
      <c r="BK39" s="1279"/>
      <c r="BL39" s="1279"/>
    </row>
    <row r="40" spans="1:66">
      <c r="A40" s="585" t="s">
        <v>2366</v>
      </c>
      <c r="B40" s="525">
        <v>4324</v>
      </c>
      <c r="C40" s="525">
        <v>3981</v>
      </c>
      <c r="D40" s="525">
        <v>7763</v>
      </c>
      <c r="E40" s="525">
        <v>5353</v>
      </c>
      <c r="F40" s="525">
        <v>4622</v>
      </c>
      <c r="G40" s="525">
        <v>8128</v>
      </c>
      <c r="H40" s="562"/>
      <c r="J40" s="911" t="s">
        <v>8167</v>
      </c>
      <c r="K40" s="938">
        <v>2024</v>
      </c>
      <c r="L40" s="938">
        <v>2023</v>
      </c>
      <c r="M40" s="938">
        <v>2022</v>
      </c>
      <c r="N40" s="938">
        <v>2021</v>
      </c>
      <c r="O40" s="938">
        <v>2020</v>
      </c>
      <c r="P40" s="939">
        <v>2019</v>
      </c>
      <c r="Q40" s="385"/>
      <c r="S40" s="1683"/>
      <c r="T40" s="1672"/>
      <c r="U40" s="1672"/>
      <c r="V40" s="1672"/>
      <c r="W40" s="1672"/>
      <c r="X40" s="1672"/>
      <c r="Y40" s="1672"/>
      <c r="Z40" s="1672"/>
      <c r="AB40" s="740"/>
      <c r="AC40" s="763"/>
      <c r="AD40" s="763"/>
      <c r="AE40" s="763"/>
      <c r="AF40" s="763"/>
      <c r="AG40" s="763"/>
      <c r="AH40" s="855"/>
      <c r="AI40" s="744"/>
      <c r="AJ40" s="744"/>
      <c r="AK40" s="744"/>
      <c r="AL40" s="744"/>
      <c r="AM40" s="744"/>
      <c r="AN40" s="744"/>
      <c r="AO40" s="744"/>
      <c r="AP40" s="744"/>
      <c r="AQ40" s="744"/>
      <c r="AS40" s="525"/>
      <c r="AT40" s="525"/>
      <c r="AU40" s="525"/>
      <c r="AV40" s="525"/>
      <c r="AZ40" s="386"/>
      <c r="BA40" s="386"/>
      <c r="BB40" s="386"/>
      <c r="BC40" s="386"/>
      <c r="BD40" s="771"/>
      <c r="BE40" s="771"/>
      <c r="BF40" s="771"/>
      <c r="BG40" s="382"/>
      <c r="BH40" s="382"/>
      <c r="BI40" s="382"/>
      <c r="BJ40" s="382"/>
      <c r="BK40" s="382"/>
      <c r="BL40" s="382"/>
    </row>
    <row r="41" spans="1:66">
      <c r="A41" s="586" t="s">
        <v>8219</v>
      </c>
      <c r="B41" s="633">
        <v>14090</v>
      </c>
      <c r="C41" s="633">
        <v>16598</v>
      </c>
      <c r="D41" s="633">
        <v>19133</v>
      </c>
      <c r="E41" s="633">
        <v>12016</v>
      </c>
      <c r="F41" s="633">
        <v>10150</v>
      </c>
      <c r="G41" s="633">
        <v>18103</v>
      </c>
      <c r="H41" s="822"/>
      <c r="J41" s="398" t="s">
        <v>8216</v>
      </c>
      <c r="Q41" s="398"/>
      <c r="S41" s="1683"/>
      <c r="T41" s="1672"/>
      <c r="U41" s="1672"/>
      <c r="V41" s="1672"/>
      <c r="W41" s="1672"/>
      <c r="X41" s="1672"/>
      <c r="Y41" s="1672"/>
      <c r="Z41" s="398"/>
      <c r="AB41" s="386"/>
      <c r="AC41" s="1685"/>
      <c r="AI41" s="744"/>
      <c r="AJ41" s="744"/>
      <c r="AK41" s="744"/>
      <c r="AL41" s="744"/>
      <c r="AM41" s="744"/>
      <c r="AN41" s="744"/>
      <c r="AO41" s="744"/>
      <c r="AP41" s="744"/>
      <c r="AR41" s="737"/>
      <c r="AS41" s="737"/>
      <c r="AT41" s="737"/>
      <c r="AU41" s="737"/>
    </row>
    <row r="42" spans="1:66" ht="14.25">
      <c r="A42" s="585" t="s">
        <v>8222</v>
      </c>
      <c r="C42" s="562"/>
      <c r="D42" s="562"/>
      <c r="E42" s="562"/>
      <c r="F42" s="562"/>
      <c r="G42" s="822"/>
      <c r="H42" s="822"/>
      <c r="J42" s="1698" t="s">
        <v>8218</v>
      </c>
      <c r="K42" s="525">
        <v>921887</v>
      </c>
      <c r="L42" s="525">
        <v>746519</v>
      </c>
      <c r="M42" s="525">
        <v>327483</v>
      </c>
      <c r="N42" s="525">
        <v>88037</v>
      </c>
      <c r="O42" s="525">
        <v>794593</v>
      </c>
      <c r="P42" s="525">
        <v>1715346</v>
      </c>
      <c r="Q42" s="754"/>
      <c r="S42" s="1683"/>
      <c r="T42" s="1672"/>
      <c r="U42" s="1672"/>
      <c r="V42" s="1672"/>
      <c r="W42" s="1672"/>
      <c r="X42" s="1672"/>
      <c r="Y42" s="1672"/>
      <c r="Z42" s="398"/>
      <c r="AB42" s="740"/>
      <c r="AC42" s="763"/>
      <c r="AD42" s="1690"/>
      <c r="AE42" s="1691"/>
      <c r="AF42" s="1690"/>
      <c r="AG42" s="1690"/>
      <c r="AH42" s="1690"/>
      <c r="AJ42" s="744"/>
      <c r="AK42" s="744"/>
      <c r="AL42" s="744"/>
      <c r="AM42" s="744"/>
      <c r="AN42" s="744"/>
      <c r="AO42" s="744"/>
      <c r="AP42" s="744"/>
      <c r="BL42" s="2130"/>
      <c r="BM42" s="2130"/>
      <c r="BN42" s="2130"/>
    </row>
    <row r="43" spans="1:66" ht="14.25">
      <c r="C43" s="562"/>
      <c r="D43" s="562"/>
      <c r="E43" s="562"/>
      <c r="F43" s="562"/>
      <c r="G43" s="822"/>
      <c r="H43" s="822"/>
      <c r="J43" s="1698" t="s">
        <v>8220</v>
      </c>
      <c r="K43" s="525">
        <v>923885</v>
      </c>
      <c r="L43" s="525">
        <v>735429</v>
      </c>
      <c r="M43" s="525">
        <v>329193</v>
      </c>
      <c r="N43" s="525">
        <v>101696</v>
      </c>
      <c r="O43" s="525">
        <v>783532</v>
      </c>
      <c r="P43" s="525">
        <v>1720562</v>
      </c>
      <c r="Q43" s="754"/>
      <c r="S43" s="386" t="s">
        <v>8217</v>
      </c>
      <c r="T43" s="398"/>
      <c r="U43" s="398"/>
      <c r="V43" s="398"/>
      <c r="W43" s="398"/>
      <c r="X43" s="398"/>
      <c r="Y43" s="398"/>
      <c r="Z43" s="382"/>
      <c r="AB43" s="740"/>
      <c r="AC43" s="740"/>
      <c r="AD43" s="1690"/>
      <c r="AE43" s="1690"/>
      <c r="AF43" s="1690"/>
      <c r="AG43" s="1690"/>
      <c r="AH43" s="1690"/>
      <c r="AJ43" s="744"/>
      <c r="AK43" s="744"/>
      <c r="AL43" s="744"/>
      <c r="AO43" s="744"/>
      <c r="AP43" s="744"/>
      <c r="BL43" s="794"/>
      <c r="BM43" s="794"/>
      <c r="BN43" s="794"/>
    </row>
    <row r="44" spans="1:66" ht="14.25">
      <c r="C44" s="562"/>
      <c r="D44" s="562"/>
      <c r="E44" s="562"/>
      <c r="F44" s="562"/>
      <c r="G44" s="822"/>
      <c r="J44" s="1698" t="s">
        <v>8223</v>
      </c>
      <c r="K44" s="463">
        <v>126689</v>
      </c>
      <c r="L44" s="463">
        <v>147235</v>
      </c>
      <c r="M44" s="463">
        <v>89041</v>
      </c>
      <c r="N44" s="463">
        <v>33870</v>
      </c>
      <c r="O44" s="463">
        <v>100528</v>
      </c>
      <c r="P44" s="463">
        <v>164546</v>
      </c>
      <c r="Q44" s="754"/>
      <c r="S44" s="386" t="s">
        <v>127</v>
      </c>
      <c r="T44" s="387"/>
      <c r="U44" s="398"/>
      <c r="V44" s="398"/>
      <c r="W44" s="398"/>
      <c r="X44" s="398"/>
      <c r="Y44" s="398"/>
      <c r="Z44" s="463"/>
      <c r="AB44" s="744"/>
      <c r="AC44" s="744"/>
      <c r="AD44" s="1690"/>
      <c r="AE44" s="1690"/>
      <c r="AF44" s="1690"/>
      <c r="AG44" s="1690"/>
      <c r="AH44" s="1690"/>
      <c r="AP44" s="744"/>
      <c r="BL44" s="1699"/>
      <c r="BM44" s="1699"/>
      <c r="BN44" s="1699"/>
    </row>
    <row r="45" spans="1:66" ht="14.25">
      <c r="J45" s="398" t="s">
        <v>8224</v>
      </c>
      <c r="K45" s="525"/>
      <c r="L45" s="525"/>
      <c r="M45" s="525"/>
      <c r="N45" s="525"/>
      <c r="O45" s="525"/>
      <c r="P45" s="525"/>
      <c r="Q45" s="754"/>
      <c r="S45" s="909" t="s">
        <v>8221</v>
      </c>
      <c r="T45" s="938">
        <v>2024</v>
      </c>
      <c r="U45" s="938">
        <v>2023</v>
      </c>
      <c r="V45" s="938">
        <v>2022</v>
      </c>
      <c r="W45" s="938">
        <v>2021</v>
      </c>
      <c r="X45" s="938">
        <v>2020</v>
      </c>
      <c r="Y45" s="939">
        <v>2019</v>
      </c>
      <c r="Z45" s="463"/>
      <c r="AB45" s="744"/>
      <c r="AC45" s="744"/>
      <c r="AD45" s="1690"/>
      <c r="AE45" s="1690"/>
      <c r="AF45" s="1690"/>
      <c r="AG45" s="1690"/>
      <c r="AH45" s="1690"/>
      <c r="BL45" s="1699"/>
      <c r="BM45" s="1699"/>
      <c r="BN45" s="1699"/>
    </row>
    <row r="46" spans="1:66" ht="14.25">
      <c r="A46" s="387" t="s">
        <v>8227</v>
      </c>
      <c r="B46" s="1695"/>
      <c r="C46" s="1696"/>
      <c r="D46" s="1696"/>
      <c r="E46" s="1696"/>
      <c r="F46" s="562"/>
      <c r="G46" s="562"/>
      <c r="H46" s="562"/>
      <c r="J46" s="1066" t="s">
        <v>8225</v>
      </c>
      <c r="K46" s="525">
        <v>6073</v>
      </c>
      <c r="L46" s="525">
        <v>5452</v>
      </c>
      <c r="M46" s="525">
        <v>6473</v>
      </c>
      <c r="N46" s="525">
        <v>6239</v>
      </c>
      <c r="O46" s="525">
        <v>6228</v>
      </c>
      <c r="P46" s="525">
        <v>7448</v>
      </c>
      <c r="Q46" s="754"/>
      <c r="S46" s="949" t="s">
        <v>4314</v>
      </c>
      <c r="T46" s="525">
        <f t="shared" ref="T46:Y46" si="7">SUM(T47:T49)</f>
        <v>81926</v>
      </c>
      <c r="U46" s="525">
        <f t="shared" si="7"/>
        <v>68776</v>
      </c>
      <c r="V46" s="525">
        <f t="shared" si="7"/>
        <v>66735</v>
      </c>
      <c r="W46" s="525">
        <f t="shared" si="7"/>
        <v>67056</v>
      </c>
      <c r="X46" s="525">
        <f t="shared" si="7"/>
        <v>68351</v>
      </c>
      <c r="Y46" s="525">
        <f t="shared" si="7"/>
        <v>70369</v>
      </c>
      <c r="Z46" s="463"/>
      <c r="BL46" s="1699"/>
      <c r="BM46" s="1699"/>
      <c r="BN46" s="1699"/>
    </row>
    <row r="47" spans="1:66" ht="14.25">
      <c r="A47" s="588" t="s">
        <v>1936</v>
      </c>
      <c r="B47" s="938">
        <v>2018</v>
      </c>
      <c r="C47" s="939">
        <v>2017</v>
      </c>
      <c r="D47" s="939">
        <v>2016</v>
      </c>
      <c r="E47" s="939">
        <v>2015</v>
      </c>
      <c r="F47" s="939">
        <v>2014</v>
      </c>
      <c r="G47" s="939">
        <v>2013</v>
      </c>
      <c r="H47" s="1654"/>
      <c r="J47" s="1066" t="s">
        <v>8226</v>
      </c>
      <c r="K47" s="525">
        <v>4590</v>
      </c>
      <c r="L47" s="525">
        <v>4999</v>
      </c>
      <c r="M47" s="525">
        <v>10603</v>
      </c>
      <c r="N47" s="525">
        <v>14073</v>
      </c>
      <c r="O47" s="525">
        <v>16408</v>
      </c>
      <c r="P47" s="525">
        <v>5379</v>
      </c>
      <c r="Q47" s="754"/>
      <c r="S47" s="386" t="s">
        <v>2320</v>
      </c>
      <c r="T47" s="463">
        <v>42668</v>
      </c>
      <c r="U47" s="463">
        <v>37209</v>
      </c>
      <c r="V47" s="463">
        <v>37710</v>
      </c>
      <c r="W47" s="463">
        <v>39816</v>
      </c>
      <c r="X47" s="463">
        <v>38439</v>
      </c>
      <c r="Y47" s="463">
        <v>34690</v>
      </c>
      <c r="Z47" s="463"/>
      <c r="BL47" s="1699"/>
      <c r="BM47" s="1699"/>
      <c r="BN47" s="1699"/>
    </row>
    <row r="48" spans="1:66" ht="14.25">
      <c r="A48" s="1697" t="s">
        <v>4314</v>
      </c>
      <c r="B48" s="525">
        <f t="shared" ref="B48:G48" si="8">SUM(B49:B50)</f>
        <v>27987</v>
      </c>
      <c r="C48" s="525">
        <f t="shared" si="8"/>
        <v>26804</v>
      </c>
      <c r="D48" s="525">
        <f t="shared" si="8"/>
        <v>20204</v>
      </c>
      <c r="E48" s="525">
        <f t="shared" si="8"/>
        <v>22608</v>
      </c>
      <c r="F48" s="525">
        <f t="shared" si="8"/>
        <v>28735</v>
      </c>
      <c r="G48" s="525">
        <f t="shared" si="8"/>
        <v>30612</v>
      </c>
      <c r="H48" s="525"/>
      <c r="J48" s="398" t="s">
        <v>8228</v>
      </c>
      <c r="K48" s="525"/>
      <c r="L48" s="525"/>
      <c r="M48" s="525"/>
      <c r="N48" s="525"/>
      <c r="O48" s="525"/>
      <c r="P48" s="525"/>
      <c r="Q48" s="754"/>
      <c r="S48" s="386" t="s">
        <v>8179</v>
      </c>
      <c r="T48" s="463">
        <v>38718</v>
      </c>
      <c r="U48" s="463">
        <v>31163</v>
      </c>
      <c r="V48" s="463">
        <v>28555</v>
      </c>
      <c r="W48" s="463">
        <v>26752</v>
      </c>
      <c r="X48" s="463">
        <v>29369</v>
      </c>
      <c r="Y48" s="463">
        <f>70369-34690-548</f>
        <v>35131</v>
      </c>
      <c r="Z48" s="398"/>
      <c r="BL48" s="1699"/>
      <c r="BM48" s="1699"/>
      <c r="BN48" s="1699"/>
    </row>
    <row r="49" spans="1:66" ht="14.25">
      <c r="A49" s="585" t="s">
        <v>2366</v>
      </c>
      <c r="B49" s="525">
        <v>8612</v>
      </c>
      <c r="C49" s="525">
        <v>7920</v>
      </c>
      <c r="D49" s="525">
        <v>8920</v>
      </c>
      <c r="E49" s="525">
        <v>9032</v>
      </c>
      <c r="F49" s="525">
        <v>8494</v>
      </c>
      <c r="G49" s="525">
        <v>9259</v>
      </c>
      <c r="H49" s="562"/>
      <c r="J49" s="1066" t="s">
        <v>8229</v>
      </c>
      <c r="K49" s="525">
        <v>8823</v>
      </c>
      <c r="L49" s="525">
        <v>8709</v>
      </c>
      <c r="M49" s="525">
        <v>10642</v>
      </c>
      <c r="N49" s="525">
        <v>12169</v>
      </c>
      <c r="O49" s="525">
        <v>5806</v>
      </c>
      <c r="P49" s="525">
        <v>4762</v>
      </c>
      <c r="Q49" s="754"/>
      <c r="S49" s="384" t="s">
        <v>8183</v>
      </c>
      <c r="T49" s="497">
        <v>540</v>
      </c>
      <c r="U49" s="497">
        <v>404</v>
      </c>
      <c r="V49" s="497">
        <v>470</v>
      </c>
      <c r="W49" s="497">
        <v>488</v>
      </c>
      <c r="X49" s="497">
        <v>543</v>
      </c>
      <c r="Y49" s="497">
        <v>548</v>
      </c>
      <c r="Z49" s="1672"/>
      <c r="BL49" s="1699"/>
      <c r="BM49" s="1699"/>
      <c r="BN49" s="1699"/>
    </row>
    <row r="50" spans="1:66" ht="14.25">
      <c r="A50" s="586" t="s">
        <v>8219</v>
      </c>
      <c r="B50" s="633">
        <v>19375</v>
      </c>
      <c r="C50" s="633">
        <v>18884</v>
      </c>
      <c r="D50" s="633">
        <v>11284</v>
      </c>
      <c r="E50" s="633">
        <v>13576</v>
      </c>
      <c r="F50" s="633">
        <v>20241</v>
      </c>
      <c r="G50" s="633">
        <v>21353</v>
      </c>
      <c r="H50" s="822"/>
      <c r="J50" s="1066" t="s">
        <v>8230</v>
      </c>
      <c r="K50" s="525">
        <v>6049</v>
      </c>
      <c r="L50" s="525">
        <v>4527</v>
      </c>
      <c r="M50" s="525">
        <v>6327</v>
      </c>
      <c r="N50" s="525">
        <v>6258</v>
      </c>
      <c r="O50" s="525">
        <v>2535</v>
      </c>
      <c r="P50" s="525">
        <v>2118</v>
      </c>
      <c r="Q50" s="754"/>
      <c r="S50" s="825" t="s">
        <v>8187</v>
      </c>
      <c r="T50" s="571"/>
      <c r="U50" s="571"/>
      <c r="V50" s="398"/>
      <c r="W50" s="398"/>
      <c r="X50" s="398"/>
      <c r="Y50" s="398"/>
      <c r="Z50" s="1672"/>
      <c r="BL50" s="1699"/>
      <c r="BM50" s="1699"/>
      <c r="BN50" s="1699"/>
    </row>
    <row r="51" spans="1:66" ht="14.25">
      <c r="A51" s="585" t="s">
        <v>8222</v>
      </c>
      <c r="C51" s="562"/>
      <c r="D51" s="562"/>
      <c r="E51" s="562"/>
      <c r="F51" s="562"/>
      <c r="G51" s="822"/>
      <c r="H51" s="822"/>
      <c r="J51" s="398" t="s">
        <v>8231</v>
      </c>
      <c r="K51" s="525"/>
      <c r="L51" s="525"/>
      <c r="M51" s="525"/>
      <c r="N51" s="525"/>
      <c r="O51" s="525"/>
      <c r="P51" s="525"/>
      <c r="Q51" s="754"/>
      <c r="S51" s="1683"/>
      <c r="T51" s="1684"/>
      <c r="U51" s="1672"/>
      <c r="V51" s="1672"/>
      <c r="W51" s="1672"/>
      <c r="X51" s="1672"/>
      <c r="Y51" s="1684"/>
      <c r="Z51" s="1672"/>
      <c r="BL51" s="1699"/>
      <c r="BM51" s="1699"/>
      <c r="BN51" s="1699"/>
    </row>
    <row r="52" spans="1:66" ht="14.25">
      <c r="J52" s="1066" t="s">
        <v>1665</v>
      </c>
      <c r="K52" s="525">
        <v>31022</v>
      </c>
      <c r="L52" s="525">
        <v>27602</v>
      </c>
      <c r="M52" s="525">
        <v>18756</v>
      </c>
      <c r="N52" s="525">
        <v>12408</v>
      </c>
      <c r="O52" s="525">
        <v>29834</v>
      </c>
      <c r="P52" s="525">
        <v>54538</v>
      </c>
      <c r="Q52" s="754"/>
      <c r="S52" s="1683"/>
      <c r="T52" s="1672"/>
      <c r="U52" s="1672"/>
      <c r="V52" s="1672"/>
      <c r="W52" s="1672"/>
      <c r="X52" s="1672"/>
      <c r="Y52" s="1672"/>
      <c r="Z52" s="398"/>
      <c r="BL52" s="1699"/>
      <c r="BM52" s="1699"/>
      <c r="BN52" s="1699"/>
    </row>
    <row r="53" spans="1:66" ht="14.25">
      <c r="J53" s="1066" t="s">
        <v>8233</v>
      </c>
      <c r="K53" s="515">
        <v>2485619</v>
      </c>
      <c r="L53" s="515">
        <v>2317944</v>
      </c>
      <c r="M53" s="515">
        <v>1699584</v>
      </c>
      <c r="N53" s="515">
        <v>1582331</v>
      </c>
      <c r="O53" s="515">
        <v>2575582</v>
      </c>
      <c r="P53" s="515">
        <v>3372358</v>
      </c>
      <c r="Q53" s="754"/>
      <c r="S53" s="1683"/>
      <c r="T53" s="1672"/>
      <c r="U53" s="1672"/>
      <c r="V53" s="1672"/>
      <c r="W53" s="1672"/>
      <c r="X53" s="1672"/>
      <c r="Y53" s="1672"/>
      <c r="Z53" s="398"/>
      <c r="BL53" s="1699"/>
      <c r="BM53" s="1699"/>
      <c r="BN53" s="1699"/>
    </row>
    <row r="54" spans="1:66" ht="14.25">
      <c r="J54" s="398" t="s">
        <v>8234</v>
      </c>
      <c r="K54" s="525"/>
      <c r="L54" s="525"/>
      <c r="M54" s="525"/>
      <c r="N54" s="525"/>
      <c r="O54" s="525"/>
      <c r="P54" s="525"/>
      <c r="Q54" s="754"/>
      <c r="S54" s="386" t="s">
        <v>8232</v>
      </c>
      <c r="T54" s="398"/>
      <c r="U54" s="398"/>
      <c r="V54" s="398"/>
      <c r="W54" s="398"/>
      <c r="X54" s="398"/>
      <c r="Y54" s="398"/>
      <c r="Z54" s="385"/>
      <c r="BL54" s="1699"/>
      <c r="BM54" s="1699"/>
      <c r="BN54" s="1699"/>
    </row>
    <row r="55" spans="1:66" ht="14.25">
      <c r="J55" s="1273" t="s">
        <v>8235</v>
      </c>
      <c r="K55" s="633">
        <v>596</v>
      </c>
      <c r="L55" s="633">
        <v>530</v>
      </c>
      <c r="M55" s="633">
        <v>360</v>
      </c>
      <c r="N55" s="633">
        <v>239</v>
      </c>
      <c r="O55" s="633">
        <v>574</v>
      </c>
      <c r="P55" s="633">
        <v>1048</v>
      </c>
      <c r="S55" s="386" t="s">
        <v>127</v>
      </c>
      <c r="T55" s="398"/>
      <c r="U55" s="398"/>
      <c r="V55" s="398"/>
      <c r="W55" s="398"/>
      <c r="X55" s="398"/>
      <c r="Y55" s="398"/>
      <c r="Z55" s="754"/>
      <c r="BL55" s="1699"/>
      <c r="BM55" s="1699"/>
      <c r="BN55" s="1699"/>
    </row>
    <row r="56" spans="1:66" ht="14.25">
      <c r="J56" s="571" t="s">
        <v>8236</v>
      </c>
      <c r="K56" s="571"/>
      <c r="L56" s="571"/>
      <c r="M56" s="571"/>
      <c r="N56" s="398"/>
      <c r="O56" s="398"/>
      <c r="P56" s="398"/>
      <c r="Q56" s="1672"/>
      <c r="S56" s="909" t="s">
        <v>8221</v>
      </c>
      <c r="T56" s="939">
        <v>2018</v>
      </c>
      <c r="U56" s="939">
        <v>2017</v>
      </c>
      <c r="V56" s="939">
        <v>2016</v>
      </c>
      <c r="W56" s="939">
        <v>2015</v>
      </c>
      <c r="X56" s="939">
        <v>2014</v>
      </c>
      <c r="Y56" s="939">
        <v>2013</v>
      </c>
      <c r="Z56" s="754"/>
      <c r="BL56" s="1699"/>
      <c r="BM56" s="1699"/>
      <c r="BN56" s="1699"/>
    </row>
    <row r="57" spans="1:66">
      <c r="L57" s="382"/>
      <c r="N57" s="382"/>
      <c r="O57" s="398"/>
      <c r="P57" s="398"/>
      <c r="Q57" s="1672"/>
      <c r="S57" s="949" t="s">
        <v>4314</v>
      </c>
      <c r="T57" s="525">
        <f>SUM(T58:T60)</f>
        <v>68733</v>
      </c>
      <c r="U57" s="525">
        <v>66143</v>
      </c>
      <c r="V57" s="525">
        <v>66295</v>
      </c>
      <c r="W57" s="525">
        <v>58947</v>
      </c>
      <c r="X57" s="525">
        <v>49801</v>
      </c>
      <c r="Y57" s="525">
        <v>45349</v>
      </c>
      <c r="Z57" s="754"/>
    </row>
    <row r="58" spans="1:66">
      <c r="S58" s="386" t="s">
        <v>2320</v>
      </c>
      <c r="T58" s="525">
        <v>34100</v>
      </c>
      <c r="U58" s="525">
        <v>31807</v>
      </c>
      <c r="V58" s="525">
        <v>32453</v>
      </c>
      <c r="W58" s="525">
        <v>28705</v>
      </c>
      <c r="X58" s="525">
        <v>25489</v>
      </c>
      <c r="Y58" s="525">
        <v>24229</v>
      </c>
      <c r="Z58" s="754"/>
    </row>
    <row r="59" spans="1:66">
      <c r="S59" s="386" t="s">
        <v>8179</v>
      </c>
      <c r="T59" s="525">
        <v>34123</v>
      </c>
      <c r="U59" s="525">
        <v>33879</v>
      </c>
      <c r="V59" s="525">
        <v>33351</v>
      </c>
      <c r="W59" s="525">
        <v>29848</v>
      </c>
      <c r="X59" s="525">
        <v>23899</v>
      </c>
      <c r="Y59" s="525">
        <v>20701</v>
      </c>
      <c r="Z59" s="398"/>
    </row>
    <row r="60" spans="1:66">
      <c r="S60" s="384" t="s">
        <v>8183</v>
      </c>
      <c r="T60" s="633">
        <v>510</v>
      </c>
      <c r="U60" s="633">
        <v>456</v>
      </c>
      <c r="V60" s="633">
        <v>491</v>
      </c>
      <c r="W60" s="633">
        <v>394</v>
      </c>
      <c r="X60" s="633">
        <v>413</v>
      </c>
      <c r="Y60" s="633">
        <v>419</v>
      </c>
      <c r="Z60" s="398"/>
    </row>
    <row r="61" spans="1:66">
      <c r="J61" s="398" t="s">
        <v>8237</v>
      </c>
      <c r="K61" s="387"/>
      <c r="L61" s="398"/>
      <c r="M61" s="398"/>
      <c r="N61" s="398"/>
      <c r="O61" s="398"/>
      <c r="P61" s="1672"/>
      <c r="Q61" s="1672"/>
      <c r="S61" s="825" t="s">
        <v>8187</v>
      </c>
      <c r="T61" s="571"/>
      <c r="U61" s="571"/>
      <c r="V61" s="571"/>
      <c r="W61" s="398"/>
      <c r="X61" s="398"/>
      <c r="Y61" s="398"/>
    </row>
    <row r="62" spans="1:66">
      <c r="J62" s="911" t="s">
        <v>8167</v>
      </c>
      <c r="K62" s="939">
        <v>2018</v>
      </c>
      <c r="L62" s="939">
        <v>2017</v>
      </c>
      <c r="M62" s="939">
        <v>2016</v>
      </c>
      <c r="N62" s="939">
        <v>2015</v>
      </c>
      <c r="O62" s="939">
        <v>2014</v>
      </c>
      <c r="P62" s="939">
        <v>2013</v>
      </c>
      <c r="Z62" s="1672"/>
    </row>
    <row r="63" spans="1:66">
      <c r="J63" s="398" t="s">
        <v>8216</v>
      </c>
      <c r="S63" s="1683"/>
      <c r="T63" s="1672"/>
      <c r="U63" s="1672"/>
      <c r="V63" s="1672"/>
      <c r="W63" s="1672"/>
      <c r="X63" s="1672"/>
      <c r="Y63" s="1672"/>
      <c r="Z63" s="1672"/>
    </row>
    <row r="64" spans="1:66">
      <c r="J64" s="1698" t="s">
        <v>8218</v>
      </c>
      <c r="K64" s="525">
        <v>1625932</v>
      </c>
      <c r="L64" s="525">
        <v>1703240</v>
      </c>
      <c r="M64" s="525">
        <v>1579609</v>
      </c>
      <c r="N64" s="525">
        <v>1492347</v>
      </c>
      <c r="O64" s="525">
        <v>1489971</v>
      </c>
      <c r="P64" s="525">
        <v>1485648</v>
      </c>
      <c r="S64" s="1683"/>
      <c r="T64" s="1672"/>
      <c r="U64" s="1672"/>
      <c r="V64" s="1672"/>
      <c r="W64" s="1672"/>
      <c r="X64" s="1672"/>
      <c r="Y64" s="1672"/>
      <c r="Z64" s="398"/>
    </row>
    <row r="65" spans="10:26">
      <c r="J65" s="1698" t="s">
        <v>8220</v>
      </c>
      <c r="K65" s="525">
        <v>1596054</v>
      </c>
      <c r="L65" s="525">
        <v>1660548</v>
      </c>
      <c r="M65" s="525">
        <v>1559141</v>
      </c>
      <c r="N65" s="525">
        <v>1476574</v>
      </c>
      <c r="O65" s="525">
        <v>1480349</v>
      </c>
      <c r="P65" s="525">
        <v>1498419</v>
      </c>
      <c r="S65" s="386" t="s">
        <v>8238</v>
      </c>
      <c r="T65" s="398"/>
      <c r="U65" s="398"/>
      <c r="V65" s="398"/>
      <c r="W65" s="398"/>
      <c r="X65" s="398"/>
      <c r="Y65" s="398"/>
      <c r="Z65" s="398"/>
    </row>
    <row r="66" spans="10:26">
      <c r="J66" s="1698" t="s">
        <v>8223</v>
      </c>
      <c r="K66" s="463">
        <v>184518</v>
      </c>
      <c r="L66" s="525">
        <v>197831</v>
      </c>
      <c r="M66" s="525">
        <v>215449</v>
      </c>
      <c r="N66" s="525">
        <v>216639</v>
      </c>
      <c r="O66" s="525">
        <v>210551</v>
      </c>
      <c r="P66" s="525">
        <v>405117</v>
      </c>
      <c r="S66" s="386" t="s">
        <v>8168</v>
      </c>
      <c r="T66" s="387"/>
      <c r="U66" s="398"/>
      <c r="V66" s="398"/>
      <c r="W66" s="398"/>
      <c r="X66" s="398"/>
      <c r="Y66" s="398"/>
      <c r="Z66" s="385"/>
    </row>
    <row r="67" spans="10:26">
      <c r="J67" s="398" t="s">
        <v>8224</v>
      </c>
      <c r="K67" s="525"/>
      <c r="L67" s="525"/>
      <c r="M67" s="525"/>
      <c r="N67" s="525"/>
      <c r="O67" s="525"/>
      <c r="P67" s="525"/>
      <c r="S67" s="909" t="s">
        <v>8239</v>
      </c>
      <c r="T67" s="938">
        <v>2024</v>
      </c>
      <c r="U67" s="938">
        <v>2023</v>
      </c>
      <c r="V67" s="938">
        <v>2022</v>
      </c>
      <c r="W67" s="938">
        <v>2021</v>
      </c>
      <c r="X67" s="938">
        <v>2020</v>
      </c>
      <c r="Y67" s="939">
        <v>2019</v>
      </c>
      <c r="Z67" s="515"/>
    </row>
    <row r="68" spans="10:26">
      <c r="J68" s="1066" t="s">
        <v>8225</v>
      </c>
      <c r="K68" s="525">
        <v>7454</v>
      </c>
      <c r="L68" s="525">
        <v>8231</v>
      </c>
      <c r="M68" s="525">
        <v>8695</v>
      </c>
      <c r="N68" s="525">
        <v>13000</v>
      </c>
      <c r="O68" s="525">
        <v>18295</v>
      </c>
      <c r="P68" s="525">
        <v>15685.48</v>
      </c>
      <c r="S68" s="949" t="s">
        <v>4314</v>
      </c>
      <c r="T68" s="525">
        <f t="shared" ref="T68:Y68" si="9">SUM(T69:T70)</f>
        <v>3806</v>
      </c>
      <c r="U68" s="525">
        <f t="shared" si="9"/>
        <v>3754</v>
      </c>
      <c r="V68" s="525">
        <f t="shared" si="9"/>
        <v>3830</v>
      </c>
      <c r="W68" s="525">
        <f t="shared" si="9"/>
        <v>3812</v>
      </c>
      <c r="X68" s="525">
        <f t="shared" si="9"/>
        <v>4033</v>
      </c>
      <c r="Y68" s="525">
        <f t="shared" si="9"/>
        <v>4121</v>
      </c>
      <c r="Z68" s="515"/>
    </row>
    <row r="69" spans="10:26">
      <c r="J69" s="1066" t="s">
        <v>8226</v>
      </c>
      <c r="K69" s="525">
        <v>5339</v>
      </c>
      <c r="L69" s="525">
        <v>6008</v>
      </c>
      <c r="M69" s="525">
        <v>4774</v>
      </c>
      <c r="N69" s="525">
        <v>5906</v>
      </c>
      <c r="O69" s="525">
        <v>8268</v>
      </c>
      <c r="P69" s="525">
        <v>5408.16</v>
      </c>
      <c r="S69" s="386" t="s">
        <v>2320</v>
      </c>
      <c r="T69" s="463">
        <v>1957</v>
      </c>
      <c r="U69" s="463">
        <v>1906</v>
      </c>
      <c r="V69" s="463">
        <v>2051</v>
      </c>
      <c r="W69" s="463">
        <v>2151</v>
      </c>
      <c r="X69" s="463">
        <v>2118</v>
      </c>
      <c r="Y69" s="463">
        <v>1836</v>
      </c>
      <c r="Z69" s="515"/>
    </row>
    <row r="70" spans="10:26">
      <c r="J70" s="398" t="s">
        <v>8228</v>
      </c>
      <c r="K70" s="525"/>
      <c r="L70" s="525"/>
      <c r="M70" s="525"/>
      <c r="N70" s="525"/>
      <c r="O70" s="525"/>
      <c r="P70" s="525"/>
      <c r="S70" s="384" t="s">
        <v>8240</v>
      </c>
      <c r="T70" s="497">
        <v>1849</v>
      </c>
      <c r="U70" s="497">
        <v>1848</v>
      </c>
      <c r="V70" s="497">
        <v>1779</v>
      </c>
      <c r="W70" s="497">
        <v>1661</v>
      </c>
      <c r="X70" s="497">
        <v>1915</v>
      </c>
      <c r="Y70" s="497">
        <f>4121-1836</f>
        <v>2285</v>
      </c>
      <c r="Z70" s="398"/>
    </row>
    <row r="71" spans="10:26">
      <c r="J71" s="1066" t="s">
        <v>8229</v>
      </c>
      <c r="K71" s="525">
        <v>4387</v>
      </c>
      <c r="L71" s="525">
        <v>4845</v>
      </c>
      <c r="M71" s="525">
        <v>4902</v>
      </c>
      <c r="N71" s="525">
        <v>4017</v>
      </c>
      <c r="O71" s="525">
        <v>3750</v>
      </c>
      <c r="P71" s="525">
        <v>5025.26</v>
      </c>
      <c r="S71" s="825" t="s">
        <v>8187</v>
      </c>
      <c r="T71" s="571"/>
      <c r="U71" s="571"/>
      <c r="V71" s="398"/>
      <c r="W71" s="398"/>
      <c r="X71" s="398"/>
      <c r="Y71" s="398"/>
      <c r="Z71" s="1672"/>
    </row>
    <row r="72" spans="10:26">
      <c r="J72" s="1066" t="s">
        <v>8230</v>
      </c>
      <c r="K72" s="525">
        <v>2085</v>
      </c>
      <c r="L72" s="525">
        <v>1967</v>
      </c>
      <c r="M72" s="525">
        <v>1741</v>
      </c>
      <c r="N72" s="525">
        <v>1438</v>
      </c>
      <c r="O72" s="525">
        <v>1110</v>
      </c>
      <c r="P72" s="525">
        <v>1046.42</v>
      </c>
      <c r="S72" s="1683"/>
      <c r="T72" s="1684"/>
      <c r="U72" s="1672"/>
      <c r="V72" s="1672"/>
      <c r="W72" s="1672"/>
      <c r="X72" s="1672"/>
      <c r="Y72" s="1672"/>
      <c r="Z72" s="1672"/>
    </row>
    <row r="73" spans="10:26">
      <c r="J73" s="398" t="s">
        <v>8231</v>
      </c>
      <c r="K73" s="525"/>
      <c r="L73" s="525"/>
      <c r="M73" s="525"/>
      <c r="N73" s="525"/>
      <c r="O73" s="525"/>
      <c r="P73" s="525"/>
      <c r="S73" s="1683"/>
      <c r="T73" s="1684"/>
      <c r="U73" s="1672"/>
      <c r="V73" s="1672"/>
      <c r="W73" s="1672"/>
      <c r="X73" s="1672"/>
      <c r="Y73" s="1672"/>
      <c r="Z73" s="1672"/>
    </row>
    <row r="74" spans="10:26">
      <c r="J74" s="1066" t="s">
        <v>1665</v>
      </c>
      <c r="K74" s="525">
        <v>54592</v>
      </c>
      <c r="L74" s="525">
        <v>60434</v>
      </c>
      <c r="M74" s="525">
        <v>59424</v>
      </c>
      <c r="N74" s="525">
        <v>55974</v>
      </c>
      <c r="O74" s="525">
        <v>53228</v>
      </c>
      <c r="P74" s="525">
        <v>52725</v>
      </c>
      <c r="S74" s="1683"/>
      <c r="T74" s="1672"/>
      <c r="U74" s="1672"/>
      <c r="V74" s="1672"/>
      <c r="W74" s="1672"/>
      <c r="X74" s="1672"/>
      <c r="Y74" s="1672"/>
      <c r="Z74" s="398"/>
    </row>
    <row r="75" spans="10:26">
      <c r="J75" s="1066" t="s">
        <v>8233</v>
      </c>
      <c r="K75" s="515">
        <v>3061959</v>
      </c>
      <c r="L75" s="525">
        <v>3332805</v>
      </c>
      <c r="M75" s="525">
        <v>3302529</v>
      </c>
      <c r="N75" s="525">
        <v>3351229</v>
      </c>
      <c r="O75" s="525">
        <v>3605575</v>
      </c>
      <c r="P75" s="525">
        <v>3258721</v>
      </c>
      <c r="S75" s="386" t="s">
        <v>8241</v>
      </c>
      <c r="T75" s="398"/>
      <c r="U75" s="398"/>
      <c r="V75" s="398"/>
      <c r="W75" s="398"/>
      <c r="X75" s="398"/>
      <c r="Y75" s="398"/>
      <c r="Z75" s="398"/>
    </row>
    <row r="76" spans="10:26">
      <c r="J76" s="398" t="s">
        <v>8234</v>
      </c>
      <c r="K76" s="525"/>
      <c r="L76" s="525"/>
      <c r="M76" s="525"/>
      <c r="N76" s="525"/>
      <c r="S76" s="386" t="s">
        <v>8168</v>
      </c>
      <c r="T76" s="398"/>
      <c r="U76" s="398"/>
      <c r="V76" s="398"/>
      <c r="W76" s="398"/>
      <c r="X76" s="398"/>
      <c r="Y76" s="398"/>
    </row>
    <row r="77" spans="10:26">
      <c r="J77" s="1273" t="s">
        <v>8235</v>
      </c>
      <c r="K77" s="633">
        <v>1050</v>
      </c>
      <c r="L77" s="633">
        <v>1160</v>
      </c>
      <c r="M77" s="633">
        <v>1143</v>
      </c>
      <c r="N77" s="633">
        <v>1076</v>
      </c>
      <c r="O77" s="633">
        <v>1024</v>
      </c>
      <c r="P77" s="633">
        <v>1013</v>
      </c>
      <c r="S77" s="909" t="s">
        <v>8239</v>
      </c>
      <c r="T77" s="939">
        <v>2018</v>
      </c>
      <c r="U77" s="939">
        <v>2017</v>
      </c>
      <c r="V77" s="939">
        <v>2016</v>
      </c>
      <c r="W77" s="939">
        <v>2015</v>
      </c>
      <c r="X77" s="939">
        <v>2014</v>
      </c>
      <c r="Y77" s="939">
        <v>2013</v>
      </c>
    </row>
    <row r="78" spans="10:26">
      <c r="J78" s="571" t="s">
        <v>8236</v>
      </c>
      <c r="K78" s="571"/>
      <c r="L78" s="571"/>
      <c r="M78" s="571"/>
      <c r="N78" s="398"/>
      <c r="O78" s="398"/>
      <c r="P78" s="1672"/>
      <c r="Q78" s="1672"/>
      <c r="S78" s="949" t="s">
        <v>4314</v>
      </c>
      <c r="T78" s="525">
        <f>SUM(T79:T80)</f>
        <v>4077</v>
      </c>
      <c r="U78" s="525">
        <f>SUM(U79:U80)</f>
        <v>4073</v>
      </c>
      <c r="V78" s="525">
        <f>SUM(V79:V80)</f>
        <v>4340.6260000000002</v>
      </c>
      <c r="W78" s="525">
        <v>4275</v>
      </c>
      <c r="X78" s="525">
        <v>4313</v>
      </c>
      <c r="Y78" s="525">
        <v>4431</v>
      </c>
    </row>
    <row r="79" spans="10:26">
      <c r="J79" s="398"/>
      <c r="K79" s="398"/>
      <c r="L79" s="398"/>
      <c r="M79" s="398"/>
      <c r="N79" s="398"/>
      <c r="O79" s="398"/>
      <c r="P79" s="1672"/>
      <c r="Q79" s="1672"/>
      <c r="S79" s="386" t="s">
        <v>2320</v>
      </c>
      <c r="T79" s="1700">
        <v>1837</v>
      </c>
      <c r="U79" s="1700">
        <v>1862</v>
      </c>
      <c r="V79" s="1700">
        <f>2008350/1000</f>
        <v>2008.35</v>
      </c>
      <c r="W79" s="525">
        <v>2027</v>
      </c>
      <c r="X79" s="525">
        <v>2121</v>
      </c>
      <c r="Y79" s="525">
        <v>2146</v>
      </c>
    </row>
    <row r="80" spans="10:26">
      <c r="J80" s="809"/>
      <c r="K80" s="398"/>
      <c r="L80" s="398"/>
      <c r="M80" s="398"/>
      <c r="N80" s="398"/>
      <c r="O80" s="398"/>
      <c r="P80" s="1672"/>
      <c r="Q80" s="1672"/>
      <c r="S80" s="384" t="s">
        <v>8240</v>
      </c>
      <c r="T80" s="1701">
        <v>2240</v>
      </c>
      <c r="U80" s="1701">
        <v>2211</v>
      </c>
      <c r="V80" s="1701">
        <f>(478280+758600+155234+614008+326154)/1000</f>
        <v>2332.2759999999998</v>
      </c>
      <c r="W80" s="633">
        <v>2248</v>
      </c>
      <c r="X80" s="633">
        <v>2192</v>
      </c>
      <c r="Y80" s="633">
        <v>2284</v>
      </c>
      <c r="Z80" s="398"/>
    </row>
    <row r="81" spans="10:26">
      <c r="J81" s="398"/>
      <c r="K81" s="398"/>
      <c r="L81" s="398"/>
      <c r="M81" s="398"/>
      <c r="N81" s="398"/>
      <c r="O81" s="398"/>
      <c r="P81" s="1672"/>
      <c r="Q81" s="1672"/>
      <c r="S81" s="825" t="s">
        <v>8187</v>
      </c>
      <c r="T81" s="571"/>
      <c r="U81" s="571"/>
      <c r="V81" s="571"/>
      <c r="W81" s="398"/>
      <c r="X81" s="398"/>
      <c r="Y81" s="398"/>
    </row>
    <row r="82" spans="10:26">
      <c r="K82" s="398"/>
      <c r="L82" s="398"/>
      <c r="M82" s="398"/>
      <c r="N82" s="398"/>
      <c r="O82" s="398"/>
      <c r="P82" s="1672"/>
      <c r="Q82" s="1672"/>
    </row>
    <row r="84" spans="10:26">
      <c r="X84" s="585" t="s">
        <v>3663</v>
      </c>
      <c r="Z84" s="398"/>
    </row>
    <row r="85" spans="10:26">
      <c r="S85" s="386" t="s">
        <v>8242</v>
      </c>
      <c r="T85" s="387"/>
      <c r="U85" s="387"/>
      <c r="V85" s="387"/>
      <c r="W85" s="387"/>
      <c r="X85" s="387"/>
      <c r="Y85" s="387"/>
      <c r="Z85" s="385"/>
    </row>
    <row r="86" spans="10:26">
      <c r="J86" s="398"/>
      <c r="K86" s="382"/>
      <c r="L86" s="398"/>
      <c r="M86" s="398"/>
      <c r="N86" s="398"/>
      <c r="O86" s="398"/>
      <c r="S86" s="937" t="s">
        <v>8243</v>
      </c>
      <c r="T86" s="938">
        <v>2024</v>
      </c>
      <c r="U86" s="938">
        <v>2023</v>
      </c>
      <c r="V86" s="938">
        <v>2022</v>
      </c>
      <c r="W86" s="938">
        <v>2021</v>
      </c>
      <c r="X86" s="938">
        <v>2020</v>
      </c>
      <c r="Y86" s="939">
        <v>2019</v>
      </c>
      <c r="Z86" s="515"/>
    </row>
    <row r="87" spans="10:26">
      <c r="J87" s="398"/>
      <c r="N87" s="382"/>
      <c r="P87" s="385"/>
      <c r="Q87" s="382"/>
      <c r="S87" s="949" t="s">
        <v>4314</v>
      </c>
      <c r="T87" s="525">
        <f t="shared" ref="T87:Y87" si="10">SUM(T88:T89)</f>
        <v>31080</v>
      </c>
      <c r="U87" s="525">
        <f t="shared" si="10"/>
        <v>30742</v>
      </c>
      <c r="V87" s="525">
        <f t="shared" si="10"/>
        <v>30489</v>
      </c>
      <c r="W87" s="525">
        <f t="shared" si="10"/>
        <v>29795</v>
      </c>
      <c r="X87" s="525">
        <f t="shared" si="10"/>
        <v>29482</v>
      </c>
      <c r="Y87" s="525">
        <f t="shared" si="10"/>
        <v>29331</v>
      </c>
      <c r="Z87" s="515"/>
    </row>
    <row r="88" spans="10:26">
      <c r="N88" s="463"/>
      <c r="P88" s="754"/>
      <c r="Q88" s="754"/>
      <c r="S88" s="386" t="s">
        <v>2320</v>
      </c>
      <c r="T88" s="463">
        <v>28726</v>
      </c>
      <c r="U88" s="463">
        <v>28388</v>
      </c>
      <c r="V88" s="463">
        <v>28166</v>
      </c>
      <c r="W88" s="463">
        <v>27501</v>
      </c>
      <c r="X88" s="463">
        <v>27172</v>
      </c>
      <c r="Y88" s="463">
        <v>27010</v>
      </c>
      <c r="Z88" s="515"/>
    </row>
    <row r="89" spans="10:26">
      <c r="J89" s="398"/>
      <c r="K89" s="463"/>
      <c r="L89" s="754"/>
      <c r="M89" s="754"/>
      <c r="N89" s="754"/>
      <c r="O89" s="754"/>
      <c r="S89" s="384" t="s">
        <v>8240</v>
      </c>
      <c r="T89" s="497">
        <v>2354</v>
      </c>
      <c r="U89" s="497">
        <v>2354</v>
      </c>
      <c r="V89" s="497">
        <v>2323</v>
      </c>
      <c r="W89" s="497">
        <v>2294</v>
      </c>
      <c r="X89" s="497">
        <v>2310</v>
      </c>
      <c r="Y89" s="497">
        <f>29331-27010</f>
        <v>2321</v>
      </c>
      <c r="Z89" s="398"/>
    </row>
    <row r="90" spans="10:26">
      <c r="K90" s="382"/>
      <c r="S90" s="825" t="s">
        <v>8187</v>
      </c>
      <c r="T90" s="571"/>
      <c r="U90" s="571"/>
      <c r="V90" s="571"/>
      <c r="W90" s="398"/>
      <c r="X90" s="398"/>
      <c r="Y90" s="398"/>
      <c r="Z90" s="1672"/>
    </row>
    <row r="91" spans="10:26">
      <c r="K91" s="463"/>
      <c r="S91" s="386"/>
      <c r="T91" s="1684"/>
      <c r="U91" s="1672"/>
      <c r="V91" s="1672"/>
      <c r="W91" s="1672"/>
      <c r="X91" s="1672"/>
      <c r="Y91" s="1672"/>
    </row>
    <row r="92" spans="10:26">
      <c r="K92" s="463"/>
      <c r="L92" s="754"/>
      <c r="M92" s="754"/>
      <c r="N92" s="754"/>
      <c r="O92" s="754"/>
    </row>
    <row r="93" spans="10:26">
      <c r="J93" s="398"/>
      <c r="K93" s="382"/>
      <c r="L93" s="754"/>
      <c r="M93" s="754"/>
      <c r="N93" s="754"/>
      <c r="O93" s="754"/>
    </row>
    <row r="94" spans="10:26">
      <c r="J94" s="398"/>
      <c r="K94" s="382"/>
      <c r="L94" s="385"/>
      <c r="M94" s="382"/>
      <c r="N94" s="385"/>
      <c r="O94" s="385"/>
      <c r="P94" s="382"/>
      <c r="Q94" s="385"/>
      <c r="Z94" s="398"/>
    </row>
    <row r="95" spans="10:26">
      <c r="K95" s="463"/>
      <c r="L95" s="754"/>
      <c r="M95" s="754"/>
      <c r="N95" s="754"/>
      <c r="P95" s="435"/>
      <c r="S95" s="386" t="s">
        <v>8244</v>
      </c>
      <c r="T95" s="387"/>
      <c r="U95" s="387"/>
      <c r="V95" s="387"/>
      <c r="W95" s="387"/>
      <c r="X95" s="387"/>
      <c r="Y95" s="387"/>
    </row>
    <row r="96" spans="10:26">
      <c r="J96" s="398"/>
      <c r="K96" s="382"/>
      <c r="L96" s="754"/>
      <c r="M96" s="754"/>
      <c r="N96" s="754"/>
      <c r="O96" s="754"/>
      <c r="S96" s="909" t="s">
        <v>8243</v>
      </c>
      <c r="T96" s="939">
        <v>2018</v>
      </c>
      <c r="U96" s="939">
        <v>2017</v>
      </c>
      <c r="V96" s="939">
        <v>2016</v>
      </c>
      <c r="W96" s="939">
        <v>2015</v>
      </c>
      <c r="X96" s="885">
        <v>2014</v>
      </c>
      <c r="Y96" s="885">
        <v>2013</v>
      </c>
    </row>
    <row r="97" spans="10:26">
      <c r="J97" s="398"/>
      <c r="K97" s="382"/>
      <c r="L97" s="754"/>
      <c r="M97" s="754"/>
      <c r="N97" s="754"/>
      <c r="O97" s="754"/>
      <c r="S97" s="949" t="s">
        <v>4314</v>
      </c>
      <c r="T97" s="525">
        <f>SUM(T98:T99)</f>
        <v>29378</v>
      </c>
      <c r="U97" s="525">
        <f>SUM(U98:U99)</f>
        <v>29065</v>
      </c>
      <c r="V97" s="525">
        <v>28766</v>
      </c>
      <c r="W97" s="525">
        <v>28089</v>
      </c>
      <c r="X97" s="525">
        <v>25697</v>
      </c>
      <c r="Y97" s="525">
        <v>25663</v>
      </c>
    </row>
    <row r="98" spans="10:26">
      <c r="S98" s="386" t="s">
        <v>2320</v>
      </c>
      <c r="T98" s="525">
        <v>27029</v>
      </c>
      <c r="U98" s="525">
        <v>26731</v>
      </c>
      <c r="V98" s="525">
        <v>26476</v>
      </c>
      <c r="W98" s="525">
        <v>25774</v>
      </c>
      <c r="X98" s="525">
        <v>23344</v>
      </c>
      <c r="Y98" s="525">
        <v>23329</v>
      </c>
    </row>
    <row r="99" spans="10:26">
      <c r="L99" s="382"/>
      <c r="M99" s="385"/>
      <c r="N99" s="382"/>
      <c r="O99" s="385"/>
      <c r="P99" s="385"/>
      <c r="Q99" s="385"/>
      <c r="S99" s="384" t="s">
        <v>8240</v>
      </c>
      <c r="T99" s="633">
        <v>2349</v>
      </c>
      <c r="U99" s="633">
        <v>2334</v>
      </c>
      <c r="V99" s="633">
        <v>2290</v>
      </c>
      <c r="W99" s="633">
        <v>2315</v>
      </c>
      <c r="X99" s="633">
        <v>2353</v>
      </c>
      <c r="Y99" s="633">
        <v>2334</v>
      </c>
      <c r="Z99" s="398"/>
    </row>
    <row r="100" spans="10:26">
      <c r="L100" s="435"/>
      <c r="M100" s="754"/>
      <c r="N100" s="754"/>
      <c r="O100" s="754"/>
      <c r="P100" s="754"/>
      <c r="S100" s="825" t="s">
        <v>8187</v>
      </c>
      <c r="T100" s="571"/>
      <c r="U100" s="571"/>
      <c r="V100" s="571"/>
      <c r="W100" s="398"/>
      <c r="X100" s="398"/>
      <c r="Y100" s="398"/>
      <c r="Z100" s="1672"/>
    </row>
    <row r="101" spans="10:26">
      <c r="S101" s="825"/>
      <c r="T101" s="571"/>
      <c r="U101" s="571"/>
      <c r="V101" s="571"/>
      <c r="W101" s="1672"/>
      <c r="X101" s="1672"/>
      <c r="Y101" s="1672"/>
    </row>
    <row r="104" spans="10:26">
      <c r="Z104" s="1672"/>
    </row>
    <row r="105" spans="10:26">
      <c r="S105" s="386" t="s">
        <v>8245</v>
      </c>
      <c r="T105" s="1672"/>
      <c r="U105" s="1672"/>
      <c r="V105" s="1672"/>
      <c r="W105" s="1672"/>
      <c r="X105" s="1672"/>
      <c r="Y105" s="1672"/>
      <c r="Z105" s="398"/>
    </row>
    <row r="106" spans="10:26">
      <c r="S106" s="386" t="s">
        <v>127</v>
      </c>
      <c r="T106" s="387"/>
      <c r="U106" s="398"/>
      <c r="V106" s="398"/>
      <c r="W106" s="398"/>
      <c r="X106" s="398"/>
      <c r="Y106" s="398"/>
      <c r="Z106" s="385"/>
    </row>
    <row r="107" spans="10:26">
      <c r="S107" s="937" t="s">
        <v>8246</v>
      </c>
      <c r="T107" s="938">
        <v>2024</v>
      </c>
      <c r="U107" s="938">
        <v>2023</v>
      </c>
      <c r="V107" s="938">
        <v>2022</v>
      </c>
      <c r="W107" s="938">
        <v>2021</v>
      </c>
      <c r="X107" s="938">
        <v>2020</v>
      </c>
      <c r="Y107" s="939">
        <v>2019</v>
      </c>
      <c r="Z107" s="515"/>
    </row>
    <row r="108" spans="10:26">
      <c r="S108" s="949" t="s">
        <v>4314</v>
      </c>
      <c r="T108" s="525">
        <f t="shared" ref="T108:Y108" si="11">SUM(T109:T110)</f>
        <v>45870</v>
      </c>
      <c r="U108" s="525">
        <f t="shared" si="11"/>
        <v>37479</v>
      </c>
      <c r="V108" s="525">
        <f t="shared" si="11"/>
        <v>34726</v>
      </c>
      <c r="W108" s="525">
        <f t="shared" si="11"/>
        <v>32509</v>
      </c>
      <c r="X108" s="525">
        <f t="shared" si="11"/>
        <v>35599</v>
      </c>
      <c r="Y108" s="525">
        <f t="shared" si="11"/>
        <v>40823</v>
      </c>
      <c r="Z108" s="515"/>
    </row>
    <row r="109" spans="10:26">
      <c r="S109" s="386" t="s">
        <v>2320</v>
      </c>
      <c r="T109" s="463">
        <v>11077</v>
      </c>
      <c r="U109" s="463">
        <v>9389</v>
      </c>
      <c r="V109" s="463">
        <v>9327</v>
      </c>
      <c r="W109" s="463">
        <v>9096</v>
      </c>
      <c r="X109" s="463">
        <v>8978</v>
      </c>
      <c r="Y109" s="463">
        <v>8934</v>
      </c>
      <c r="Z109" s="515"/>
    </row>
    <row r="110" spans="10:26">
      <c r="S110" s="384" t="s">
        <v>8240</v>
      </c>
      <c r="T110" s="497">
        <v>34793</v>
      </c>
      <c r="U110" s="497">
        <v>28090</v>
      </c>
      <c r="V110" s="497">
        <v>25399</v>
      </c>
      <c r="W110" s="497">
        <v>23413</v>
      </c>
      <c r="X110" s="497">
        <v>26621</v>
      </c>
      <c r="Y110" s="497">
        <v>31889</v>
      </c>
      <c r="Z110" s="398"/>
    </row>
    <row r="111" spans="10:26">
      <c r="S111" s="386" t="s">
        <v>8187</v>
      </c>
      <c r="T111" s="398"/>
      <c r="U111" s="398"/>
      <c r="V111" s="398"/>
      <c r="W111" s="398"/>
      <c r="X111" s="398"/>
      <c r="Y111" s="398"/>
    </row>
    <row r="112" spans="10:26">
      <c r="T112" s="525"/>
    </row>
    <row r="114" spans="19:26">
      <c r="Z114" s="1672"/>
    </row>
    <row r="115" spans="19:26">
      <c r="S115" s="386" t="s">
        <v>8247</v>
      </c>
      <c r="T115" s="1672"/>
      <c r="U115" s="1672"/>
      <c r="V115" s="1672"/>
      <c r="W115" s="1672"/>
      <c r="X115" s="1672"/>
      <c r="Y115" s="1672"/>
      <c r="Z115" s="398"/>
    </row>
    <row r="116" spans="19:26">
      <c r="S116" s="386" t="s">
        <v>127</v>
      </c>
      <c r="T116" s="398"/>
      <c r="U116" s="398"/>
      <c r="V116" s="398"/>
      <c r="W116" s="398"/>
      <c r="X116" s="398"/>
      <c r="Y116" s="398"/>
    </row>
    <row r="117" spans="19:26">
      <c r="S117" s="909" t="s">
        <v>8246</v>
      </c>
      <c r="T117" s="939">
        <v>2018</v>
      </c>
      <c r="U117" s="939">
        <v>2017</v>
      </c>
      <c r="V117" s="939">
        <v>2016</v>
      </c>
      <c r="W117" s="939">
        <v>2015</v>
      </c>
      <c r="X117" s="939">
        <v>2014</v>
      </c>
      <c r="Y117" s="939">
        <v>2013</v>
      </c>
    </row>
    <row r="118" spans="19:26">
      <c r="S118" s="949" t="s">
        <v>4314</v>
      </c>
      <c r="T118" s="525">
        <f>SUM(T119:T120)</f>
        <v>39415</v>
      </c>
      <c r="U118" s="525">
        <f>SUM(U119:U120)</f>
        <v>38235</v>
      </c>
      <c r="V118" s="525">
        <v>38158</v>
      </c>
      <c r="W118" s="525">
        <v>33276</v>
      </c>
      <c r="X118" s="525">
        <v>27903</v>
      </c>
      <c r="Y118" s="525">
        <v>25828</v>
      </c>
    </row>
    <row r="119" spans="19:26">
      <c r="S119" s="386" t="s">
        <v>2320</v>
      </c>
      <c r="T119" s="525">
        <v>8619</v>
      </c>
      <c r="U119" s="525">
        <v>8819</v>
      </c>
      <c r="V119" s="525">
        <v>8457</v>
      </c>
      <c r="W119" s="525">
        <v>8768</v>
      </c>
      <c r="X119" s="525">
        <v>8427</v>
      </c>
      <c r="Y119" s="525">
        <v>8387</v>
      </c>
    </row>
    <row r="120" spans="19:26">
      <c r="S120" s="384" t="s">
        <v>8240</v>
      </c>
      <c r="T120" s="633">
        <v>30796</v>
      </c>
      <c r="U120" s="633">
        <v>29416</v>
      </c>
      <c r="V120" s="633">
        <v>29701</v>
      </c>
      <c r="W120" s="633">
        <v>24508</v>
      </c>
      <c r="X120" s="633">
        <v>19476</v>
      </c>
      <c r="Y120" s="633">
        <v>17441</v>
      </c>
      <c r="Z120" s="398"/>
    </row>
    <row r="121" spans="19:26">
      <c r="S121" s="386" t="s">
        <v>8187</v>
      </c>
      <c r="T121" s="398"/>
      <c r="U121" s="398"/>
      <c r="V121" s="398"/>
      <c r="W121" s="398"/>
      <c r="X121" s="398"/>
      <c r="Y121" s="398"/>
    </row>
    <row r="124" spans="19:26">
      <c r="Z124" s="398"/>
    </row>
    <row r="125" spans="19:26">
      <c r="S125" s="398" t="s">
        <v>8248</v>
      </c>
      <c r="T125" s="398"/>
      <c r="U125" s="398"/>
      <c r="V125" s="398"/>
      <c r="W125" s="398"/>
      <c r="X125" s="398"/>
      <c r="Y125" s="398"/>
      <c r="Z125" s="398"/>
    </row>
    <row r="126" spans="19:26">
      <c r="S126" s="386" t="s">
        <v>8249</v>
      </c>
      <c r="T126" s="387"/>
      <c r="U126" s="387"/>
      <c r="V126" s="387"/>
      <c r="W126" s="387"/>
      <c r="X126" s="387"/>
      <c r="Y126" s="387"/>
      <c r="Z126" s="385"/>
    </row>
    <row r="127" spans="19:26">
      <c r="S127" s="909" t="s">
        <v>8250</v>
      </c>
      <c r="T127" s="938">
        <v>2024</v>
      </c>
      <c r="U127" s="938">
        <v>2023</v>
      </c>
      <c r="V127" s="938">
        <v>2022</v>
      </c>
      <c r="W127" s="938">
        <v>2021</v>
      </c>
      <c r="X127" s="938">
        <v>2020</v>
      </c>
      <c r="Y127" s="939">
        <v>2019</v>
      </c>
      <c r="Z127" s="857"/>
    </row>
    <row r="128" spans="19:26">
      <c r="S128" s="709" t="s">
        <v>4314</v>
      </c>
      <c r="T128" s="855">
        <f t="shared" ref="T128:Y128" si="12">SUM(T129:T132)</f>
        <v>1556.3999999999999</v>
      </c>
      <c r="U128" s="855">
        <f t="shared" si="12"/>
        <v>1447.6</v>
      </c>
      <c r="V128" s="855">
        <f t="shared" si="12"/>
        <v>1540.1999999999998</v>
      </c>
      <c r="W128" s="855">
        <f t="shared" si="12"/>
        <v>1554.952</v>
      </c>
      <c r="X128" s="855">
        <f t="shared" si="12"/>
        <v>1523.4</v>
      </c>
      <c r="Y128" s="855">
        <f t="shared" si="12"/>
        <v>1568.3</v>
      </c>
      <c r="Z128" s="382"/>
    </row>
    <row r="129" spans="19:26">
      <c r="S129" s="398" t="s">
        <v>2320</v>
      </c>
      <c r="T129" s="771">
        <v>537.9</v>
      </c>
      <c r="U129" s="771">
        <v>495.4</v>
      </c>
      <c r="V129" s="771">
        <v>555.6</v>
      </c>
      <c r="W129" s="771">
        <v>584.34400000000005</v>
      </c>
      <c r="X129" s="398">
        <v>532.20000000000005</v>
      </c>
      <c r="Y129" s="398">
        <v>496.8</v>
      </c>
      <c r="Z129" s="382"/>
    </row>
    <row r="130" spans="19:26">
      <c r="S130" s="398" t="s">
        <v>8179</v>
      </c>
      <c r="T130" s="771">
        <v>690.9</v>
      </c>
      <c r="U130" s="771">
        <v>655.4</v>
      </c>
      <c r="V130" s="771">
        <v>665.5</v>
      </c>
      <c r="W130" s="771">
        <v>651.40800000000002</v>
      </c>
      <c r="X130" s="398">
        <v>674.4</v>
      </c>
      <c r="Y130" s="398">
        <v>748.1</v>
      </c>
      <c r="Z130" s="382"/>
    </row>
    <row r="131" spans="19:26">
      <c r="S131" s="398" t="s">
        <v>8251</v>
      </c>
      <c r="T131" s="398">
        <v>5.8</v>
      </c>
      <c r="U131" s="398">
        <v>5.5</v>
      </c>
      <c r="V131" s="398">
        <v>5.7</v>
      </c>
      <c r="W131" s="398">
        <v>7.5</v>
      </c>
      <c r="X131" s="398">
        <v>7.4</v>
      </c>
      <c r="Y131" s="398">
        <v>9.6</v>
      </c>
      <c r="Z131" s="382"/>
    </row>
    <row r="132" spans="19:26">
      <c r="S132" s="387" t="s">
        <v>8252</v>
      </c>
      <c r="T132" s="387">
        <v>321.8</v>
      </c>
      <c r="U132" s="387">
        <v>291.3</v>
      </c>
      <c r="V132" s="387">
        <v>313.39999999999998</v>
      </c>
      <c r="W132" s="387">
        <v>311.7</v>
      </c>
      <c r="X132" s="387">
        <v>309.39999999999998</v>
      </c>
      <c r="Y132" s="387">
        <v>313.8</v>
      </c>
      <c r="Z132" s="398"/>
    </row>
    <row r="133" spans="19:26">
      <c r="S133" s="398" t="s">
        <v>8253</v>
      </c>
      <c r="T133" s="398"/>
      <c r="U133" s="398"/>
      <c r="V133" s="771"/>
      <c r="W133" s="398"/>
      <c r="X133" s="398"/>
      <c r="Y133" s="398"/>
    </row>
    <row r="134" spans="19:26">
      <c r="T134" s="623"/>
      <c r="U134" s="855"/>
    </row>
    <row r="135" spans="19:26">
      <c r="Z135" s="398"/>
    </row>
    <row r="136" spans="19:26">
      <c r="S136" s="398" t="s">
        <v>8254</v>
      </c>
      <c r="T136" s="398"/>
      <c r="U136" s="398"/>
      <c r="V136" s="398"/>
      <c r="W136" s="398"/>
      <c r="X136" s="398"/>
      <c r="Y136" s="398"/>
      <c r="Z136" s="398"/>
    </row>
    <row r="137" spans="19:26">
      <c r="S137" s="386" t="s">
        <v>8249</v>
      </c>
      <c r="T137" s="387"/>
      <c r="U137" s="387"/>
      <c r="V137" s="387"/>
      <c r="W137" s="387"/>
      <c r="X137" s="387"/>
      <c r="Y137" s="398"/>
      <c r="Z137" s="385"/>
    </row>
    <row r="138" spans="19:26">
      <c r="S138" s="909" t="s">
        <v>8250</v>
      </c>
      <c r="T138" s="939">
        <v>2018</v>
      </c>
      <c r="U138" s="939">
        <v>2017</v>
      </c>
      <c r="V138" s="939">
        <v>2016</v>
      </c>
      <c r="W138" s="885">
        <v>2015</v>
      </c>
      <c r="X138" s="885">
        <v>2014</v>
      </c>
      <c r="Y138" s="939">
        <v>2013</v>
      </c>
      <c r="Z138" s="804"/>
    </row>
    <row r="139" spans="19:26">
      <c r="S139" s="709" t="s">
        <v>4314</v>
      </c>
      <c r="T139" s="855">
        <f t="shared" ref="T139:Y139" si="13">SUM(T140:T143)</f>
        <v>1567.1</v>
      </c>
      <c r="U139" s="855">
        <f t="shared" si="13"/>
        <v>1610.1</v>
      </c>
      <c r="V139" s="855">
        <f t="shared" si="13"/>
        <v>1574.4</v>
      </c>
      <c r="W139" s="855">
        <f t="shared" si="13"/>
        <v>1539.6</v>
      </c>
      <c r="X139" s="855">
        <f t="shared" si="13"/>
        <v>1533.3</v>
      </c>
      <c r="Y139" s="855">
        <f t="shared" si="13"/>
        <v>1565.1</v>
      </c>
      <c r="Z139" s="772"/>
    </row>
    <row r="140" spans="19:26">
      <c r="S140" s="398" t="s">
        <v>2320</v>
      </c>
      <c r="T140" s="623">
        <v>495.3</v>
      </c>
      <c r="U140" s="623">
        <v>506.3</v>
      </c>
      <c r="V140" s="623">
        <v>487</v>
      </c>
      <c r="W140" s="855">
        <v>461.6</v>
      </c>
      <c r="X140" s="855">
        <v>457.8</v>
      </c>
      <c r="Y140" s="623">
        <v>462.2</v>
      </c>
      <c r="Z140" s="772"/>
    </row>
    <row r="141" spans="19:26">
      <c r="S141" s="398" t="s">
        <v>8179</v>
      </c>
      <c r="T141" s="623">
        <v>755.8</v>
      </c>
      <c r="U141" s="623">
        <v>775.2</v>
      </c>
      <c r="V141" s="585">
        <v>757.3</v>
      </c>
      <c r="W141" s="855">
        <v>748.5</v>
      </c>
      <c r="X141" s="855">
        <v>739.3</v>
      </c>
      <c r="Y141" s="623">
        <v>744.1</v>
      </c>
      <c r="Z141" s="772"/>
    </row>
    <row r="142" spans="19:26">
      <c r="S142" s="398" t="s">
        <v>8251</v>
      </c>
      <c r="T142" s="623">
        <v>9.5</v>
      </c>
      <c r="U142" s="623">
        <v>10</v>
      </c>
      <c r="V142" s="623">
        <v>12</v>
      </c>
      <c r="W142" s="855">
        <v>12.1</v>
      </c>
      <c r="X142" s="855">
        <v>12</v>
      </c>
      <c r="Y142" s="623">
        <v>12</v>
      </c>
      <c r="Z142" s="772"/>
    </row>
    <row r="143" spans="19:26">
      <c r="S143" s="387" t="s">
        <v>8252</v>
      </c>
      <c r="T143" s="634">
        <v>306.5</v>
      </c>
      <c r="U143" s="634">
        <v>318.60000000000002</v>
      </c>
      <c r="V143" s="586">
        <v>318.10000000000002</v>
      </c>
      <c r="W143" s="867">
        <v>317.39999999999998</v>
      </c>
      <c r="X143" s="867">
        <v>324.2</v>
      </c>
      <c r="Y143" s="634">
        <v>346.8</v>
      </c>
      <c r="Z143" s="398"/>
    </row>
    <row r="144" spans="19:26">
      <c r="S144" s="398" t="s">
        <v>8253</v>
      </c>
      <c r="T144" s="398"/>
      <c r="U144" s="398"/>
      <c r="V144" s="398"/>
      <c r="W144" s="398"/>
      <c r="X144" s="398"/>
      <c r="Y144" s="398"/>
    </row>
    <row r="147" spans="19:26">
      <c r="Z147" s="398"/>
    </row>
    <row r="148" spans="19:26">
      <c r="S148" s="398" t="s">
        <v>8255</v>
      </c>
      <c r="T148" s="387"/>
      <c r="U148" s="398"/>
      <c r="V148" s="398"/>
      <c r="W148" s="398"/>
      <c r="X148" s="398"/>
      <c r="Y148" s="398"/>
      <c r="Z148" s="385"/>
    </row>
    <row r="149" spans="19:26">
      <c r="S149" s="909" t="s">
        <v>8256</v>
      </c>
      <c r="T149" s="938">
        <v>2024</v>
      </c>
      <c r="U149" s="938">
        <v>2023</v>
      </c>
      <c r="V149" s="938">
        <v>2022</v>
      </c>
      <c r="W149" s="938">
        <v>2021</v>
      </c>
      <c r="X149" s="938">
        <v>2020</v>
      </c>
      <c r="Y149" s="939">
        <v>2019</v>
      </c>
      <c r="Z149" s="463"/>
    </row>
    <row r="150" spans="19:26">
      <c r="S150" s="709" t="s">
        <v>4314</v>
      </c>
      <c r="T150" s="525">
        <f t="shared" ref="T150:Y150" si="14">SUM(T151:T154)</f>
        <v>53560</v>
      </c>
      <c r="U150" s="525">
        <f t="shared" si="14"/>
        <v>53010</v>
      </c>
      <c r="V150" s="525">
        <f t="shared" si="14"/>
        <v>52873</v>
      </c>
      <c r="W150" s="525">
        <f t="shared" si="14"/>
        <v>52264</v>
      </c>
      <c r="X150" s="525">
        <f t="shared" si="14"/>
        <v>51938</v>
      </c>
      <c r="Y150" s="525">
        <f t="shared" si="14"/>
        <v>51743</v>
      </c>
      <c r="Z150" s="463"/>
    </row>
    <row r="151" spans="19:26">
      <c r="S151" s="398" t="s">
        <v>2320</v>
      </c>
      <c r="T151" s="1702">
        <v>45808</v>
      </c>
      <c r="U151" s="1702">
        <v>45302</v>
      </c>
      <c r="V151" s="1702">
        <v>45271</v>
      </c>
      <c r="W151" s="1702">
        <v>44749</v>
      </c>
      <c r="X151" s="1702">
        <v>44420</v>
      </c>
      <c r="Y151" s="1702">
        <v>44226</v>
      </c>
      <c r="Z151" s="463"/>
    </row>
    <row r="152" spans="19:26">
      <c r="S152" s="398" t="s">
        <v>8179</v>
      </c>
      <c r="T152" s="1702">
        <v>6607</v>
      </c>
      <c r="U152" s="1702">
        <v>6543</v>
      </c>
      <c r="V152" s="1702">
        <v>6442</v>
      </c>
      <c r="W152" s="1702">
        <v>6381</v>
      </c>
      <c r="X152" s="1702">
        <v>6855</v>
      </c>
      <c r="Y152" s="1702">
        <v>6371</v>
      </c>
      <c r="Z152" s="463"/>
    </row>
    <row r="153" spans="19:26">
      <c r="S153" s="398" t="s">
        <v>8251</v>
      </c>
      <c r="T153" s="1702">
        <v>1144</v>
      </c>
      <c r="U153" s="1702">
        <v>1164</v>
      </c>
      <c r="V153" s="1702">
        <v>1159</v>
      </c>
      <c r="W153" s="1702">
        <v>1133</v>
      </c>
      <c r="X153" s="1702">
        <v>662</v>
      </c>
      <c r="Y153" s="1702">
        <v>1145</v>
      </c>
      <c r="Z153" s="385"/>
    </row>
    <row r="154" spans="19:26">
      <c r="S154" s="387" t="s">
        <v>8252</v>
      </c>
      <c r="T154" s="1703">
        <v>1</v>
      </c>
      <c r="U154" s="1703">
        <v>1</v>
      </c>
      <c r="V154" s="1703">
        <v>1</v>
      </c>
      <c r="W154" s="1703">
        <v>1</v>
      </c>
      <c r="X154" s="1703">
        <v>1</v>
      </c>
      <c r="Y154" s="1703">
        <v>1</v>
      </c>
      <c r="Z154" s="398"/>
    </row>
    <row r="155" spans="19:26">
      <c r="S155" s="398" t="s">
        <v>8253</v>
      </c>
      <c r="T155" s="398"/>
      <c r="U155" s="398"/>
      <c r="V155" s="398"/>
      <c r="W155" s="398"/>
      <c r="X155" s="398"/>
      <c r="Y155" s="398"/>
      <c r="Z155" s="402"/>
    </row>
    <row r="156" spans="19:26">
      <c r="S156" s="398"/>
      <c r="T156" s="515"/>
      <c r="U156" s="398" t="s">
        <v>3348</v>
      </c>
      <c r="V156" s="515"/>
      <c r="W156" s="515"/>
      <c r="X156" s="515"/>
      <c r="Y156" s="515"/>
      <c r="Z156" s="525"/>
    </row>
    <row r="157" spans="19:26">
      <c r="T157" s="525"/>
      <c r="U157" s="525"/>
      <c r="V157" s="525"/>
      <c r="W157" s="525"/>
      <c r="X157" s="525"/>
      <c r="Y157" s="525"/>
    </row>
    <row r="159" spans="19:26">
      <c r="Z159" s="398"/>
    </row>
    <row r="160" spans="19:26">
      <c r="S160" s="398" t="s">
        <v>8257</v>
      </c>
      <c r="T160" s="387"/>
      <c r="U160" s="398"/>
      <c r="V160" s="398"/>
      <c r="W160" s="398"/>
      <c r="X160" s="398"/>
      <c r="Y160" s="398"/>
      <c r="Z160" s="385"/>
    </row>
    <row r="161" spans="19:26">
      <c r="S161" s="909" t="s">
        <v>8256</v>
      </c>
      <c r="T161" s="939">
        <v>2018</v>
      </c>
      <c r="U161" s="939">
        <v>2017</v>
      </c>
      <c r="V161" s="939">
        <v>2016</v>
      </c>
      <c r="W161" s="939">
        <v>2015</v>
      </c>
      <c r="X161" s="939">
        <v>2014</v>
      </c>
      <c r="Y161" s="939">
        <v>2013</v>
      </c>
      <c r="Z161" s="754"/>
    </row>
    <row r="162" spans="19:26">
      <c r="S162" s="709" t="s">
        <v>4314</v>
      </c>
      <c r="T162" s="525">
        <f t="shared" ref="T162:Y162" si="15">SUM(T163:T166)</f>
        <v>51372</v>
      </c>
      <c r="U162" s="525">
        <f t="shared" si="15"/>
        <v>49769</v>
      </c>
      <c r="V162" s="525">
        <f t="shared" si="15"/>
        <v>50208</v>
      </c>
      <c r="W162" s="525">
        <f t="shared" si="15"/>
        <v>49530</v>
      </c>
      <c r="X162" s="525">
        <f t="shared" si="15"/>
        <v>48918</v>
      </c>
      <c r="Y162" s="525">
        <f t="shared" si="15"/>
        <v>48597</v>
      </c>
      <c r="Z162" s="754"/>
    </row>
    <row r="163" spans="19:26">
      <c r="S163" s="398" t="s">
        <v>2320</v>
      </c>
      <c r="T163" s="525">
        <v>44006</v>
      </c>
      <c r="U163" s="525">
        <v>43756</v>
      </c>
      <c r="V163" s="525">
        <v>43252</v>
      </c>
      <c r="W163" s="525">
        <v>42590</v>
      </c>
      <c r="X163" s="525">
        <v>41993</v>
      </c>
      <c r="Y163" s="525">
        <v>41708</v>
      </c>
      <c r="Z163" s="754"/>
    </row>
    <row r="164" spans="19:26">
      <c r="S164" s="398" t="s">
        <v>8179</v>
      </c>
      <c r="T164" s="525">
        <v>6347</v>
      </c>
      <c r="U164" s="525">
        <v>5233</v>
      </c>
      <c r="V164" s="525">
        <v>6263</v>
      </c>
      <c r="W164" s="525">
        <v>6234</v>
      </c>
      <c r="X164" s="525">
        <v>6210</v>
      </c>
      <c r="Y164" s="525">
        <v>6159</v>
      </c>
      <c r="Z164" s="754"/>
    </row>
    <row r="165" spans="19:26">
      <c r="S165" s="398" t="s">
        <v>8251</v>
      </c>
      <c r="T165" s="862">
        <v>1018</v>
      </c>
      <c r="U165" s="862">
        <v>779</v>
      </c>
      <c r="V165" s="862">
        <v>692</v>
      </c>
      <c r="W165" s="525">
        <v>705</v>
      </c>
      <c r="X165" s="525">
        <v>714</v>
      </c>
      <c r="Y165" s="525">
        <v>729</v>
      </c>
      <c r="Z165" s="385"/>
    </row>
    <row r="166" spans="19:26">
      <c r="S166" s="387" t="s">
        <v>8252</v>
      </c>
      <c r="T166" s="633">
        <v>1</v>
      </c>
      <c r="U166" s="633">
        <v>1</v>
      </c>
      <c r="V166" s="633">
        <v>1</v>
      </c>
      <c r="W166" s="633">
        <v>1</v>
      </c>
      <c r="X166" s="633">
        <v>1</v>
      </c>
      <c r="Y166" s="633">
        <v>1</v>
      </c>
      <c r="Z166" s="382"/>
    </row>
    <row r="167" spans="19:26">
      <c r="S167" s="398" t="s">
        <v>8253</v>
      </c>
      <c r="T167" s="382"/>
      <c r="U167" s="382"/>
      <c r="V167" s="382"/>
      <c r="W167" s="382"/>
      <c r="X167" s="382"/>
      <c r="Y167" s="382"/>
      <c r="Z167" s="382"/>
    </row>
    <row r="168" spans="19:26">
      <c r="S168" s="398"/>
      <c r="T168" s="463"/>
      <c r="U168" s="463"/>
      <c r="V168" s="463"/>
      <c r="W168" s="463"/>
      <c r="X168" s="463"/>
      <c r="Y168" s="463"/>
      <c r="Z168" s="525"/>
    </row>
    <row r="169" spans="19:26">
      <c r="T169" s="525"/>
      <c r="U169" s="525"/>
      <c r="V169" s="525"/>
      <c r="W169" s="525"/>
      <c r="X169" s="525"/>
      <c r="Y169" s="525"/>
    </row>
    <row r="171" spans="19:26">
      <c r="Z171" s="398"/>
    </row>
    <row r="172" spans="19:26">
      <c r="S172" s="386" t="s">
        <v>8258</v>
      </c>
      <c r="T172" s="398"/>
      <c r="U172" s="398"/>
      <c r="V172" s="398"/>
      <c r="W172" s="398"/>
      <c r="X172" s="398"/>
      <c r="Y172" s="398"/>
      <c r="Z172" s="398"/>
    </row>
    <row r="173" spans="19:26">
      <c r="S173" s="386" t="s">
        <v>127</v>
      </c>
      <c r="T173" s="387"/>
      <c r="U173" s="398"/>
      <c r="V173" s="398"/>
      <c r="W173" s="398"/>
      <c r="X173" s="398"/>
      <c r="Y173" s="398"/>
      <c r="Z173" s="385"/>
    </row>
    <row r="174" spans="19:26">
      <c r="S174" s="909" t="s">
        <v>8259</v>
      </c>
      <c r="T174" s="938">
        <v>2024</v>
      </c>
      <c r="U174" s="938">
        <v>2023</v>
      </c>
      <c r="V174" s="938">
        <v>2022</v>
      </c>
      <c r="W174" s="938">
        <v>2021</v>
      </c>
      <c r="X174" s="938">
        <v>2020</v>
      </c>
      <c r="Y174" s="939">
        <v>2019</v>
      </c>
      <c r="Z174" s="463"/>
    </row>
    <row r="175" spans="19:26">
      <c r="S175" s="709" t="s">
        <v>4314</v>
      </c>
      <c r="T175" s="525">
        <f t="shared" ref="T175:Y175" si="16">SUM(T176:T179)</f>
        <v>542778</v>
      </c>
      <c r="U175" s="525">
        <f t="shared" si="16"/>
        <v>548681</v>
      </c>
      <c r="V175" s="525">
        <f t="shared" si="16"/>
        <v>473561</v>
      </c>
      <c r="W175" s="525">
        <f t="shared" si="16"/>
        <v>324234.36500000005</v>
      </c>
      <c r="X175" s="525">
        <f t="shared" si="16"/>
        <v>333567</v>
      </c>
      <c r="Y175" s="525">
        <f t="shared" si="16"/>
        <v>399733</v>
      </c>
      <c r="Z175" s="463"/>
    </row>
    <row r="176" spans="19:26">
      <c r="S176" s="398" t="s">
        <v>2320</v>
      </c>
      <c r="T176" s="1704">
        <v>187362</v>
      </c>
      <c r="U176" s="1704">
        <v>188415</v>
      </c>
      <c r="V176" s="1704">
        <v>167564</v>
      </c>
      <c r="W176" s="1704">
        <v>116589.776</v>
      </c>
      <c r="X176" s="1704">
        <v>111984</v>
      </c>
      <c r="Y176" s="1702">
        <v>124466</v>
      </c>
      <c r="Z176" s="463"/>
    </row>
    <row r="177" spans="19:26">
      <c r="S177" s="398" t="s">
        <v>8179</v>
      </c>
      <c r="T177" s="1704">
        <v>253845</v>
      </c>
      <c r="U177" s="1704">
        <v>263485</v>
      </c>
      <c r="V177" s="1704">
        <v>213267</v>
      </c>
      <c r="W177" s="1704">
        <v>144639.78899999999</v>
      </c>
      <c r="X177" s="1704">
        <v>163665</v>
      </c>
      <c r="Y177" s="1702">
        <v>203441</v>
      </c>
      <c r="Z177" s="463"/>
    </row>
    <row r="178" spans="19:26">
      <c r="S178" s="398" t="s">
        <v>8251</v>
      </c>
      <c r="T178" s="1704">
        <v>5990</v>
      </c>
      <c r="U178" s="1704">
        <v>5914</v>
      </c>
      <c r="V178" s="1704">
        <v>5430</v>
      </c>
      <c r="W178" s="1704">
        <v>5126.1880000000001</v>
      </c>
      <c r="X178" s="1704">
        <v>5066</v>
      </c>
      <c r="Y178" s="1702">
        <v>6119</v>
      </c>
      <c r="Z178" s="463"/>
    </row>
    <row r="179" spans="19:26">
      <c r="S179" s="387" t="s">
        <v>8252</v>
      </c>
      <c r="T179" s="1703">
        <v>95581</v>
      </c>
      <c r="U179" s="1703">
        <v>90867</v>
      </c>
      <c r="V179" s="1703">
        <v>87300</v>
      </c>
      <c r="W179" s="1703">
        <v>57878.612000000001</v>
      </c>
      <c r="X179" s="1703">
        <v>52852</v>
      </c>
      <c r="Y179" s="1703">
        <v>65707</v>
      </c>
      <c r="Z179" s="398"/>
    </row>
    <row r="180" spans="19:26">
      <c r="S180" s="398" t="s">
        <v>8253</v>
      </c>
      <c r="T180" s="398"/>
      <c r="U180" s="398"/>
      <c r="V180" s="398"/>
      <c r="W180" s="398"/>
      <c r="X180" s="398"/>
      <c r="Y180" s="398"/>
    </row>
    <row r="181" spans="19:26">
      <c r="T181" s="525"/>
      <c r="Z181" s="525"/>
    </row>
    <row r="182" spans="19:26">
      <c r="T182" s="525"/>
      <c r="U182" s="525"/>
      <c r="V182" s="525"/>
      <c r="W182" s="525"/>
      <c r="X182" s="525"/>
      <c r="Y182" s="525"/>
    </row>
    <row r="183" spans="19:26">
      <c r="Z183" s="398"/>
    </row>
    <row r="184" spans="19:26">
      <c r="S184" s="386" t="s">
        <v>8260</v>
      </c>
      <c r="T184" s="398"/>
      <c r="U184" s="398"/>
      <c r="V184" s="398"/>
      <c r="W184" s="398"/>
      <c r="X184" s="398"/>
      <c r="Y184" s="398"/>
      <c r="Z184" s="398"/>
    </row>
    <row r="185" spans="19:26">
      <c r="S185" s="386" t="s">
        <v>127</v>
      </c>
      <c r="T185" s="387"/>
      <c r="U185" s="398"/>
      <c r="V185" s="398"/>
      <c r="W185" s="398"/>
      <c r="X185" s="398"/>
      <c r="Y185" s="398"/>
      <c r="Z185" s="385"/>
    </row>
    <row r="186" spans="19:26">
      <c r="S186" s="909" t="s">
        <v>8259</v>
      </c>
      <c r="T186" s="939">
        <v>2018</v>
      </c>
      <c r="U186" s="939">
        <v>2017</v>
      </c>
      <c r="V186" s="939">
        <v>2016</v>
      </c>
      <c r="W186" s="939">
        <v>2015</v>
      </c>
      <c r="X186" s="939">
        <v>2014</v>
      </c>
      <c r="Y186" s="939">
        <v>2013</v>
      </c>
      <c r="Z186" s="754"/>
    </row>
    <row r="187" spans="19:26">
      <c r="S187" s="709" t="s">
        <v>4314</v>
      </c>
      <c r="T187" s="525">
        <f t="shared" ref="T187:Y187" si="17">SUM(T188:T191)</f>
        <v>378329</v>
      </c>
      <c r="U187" s="525">
        <f t="shared" si="17"/>
        <v>331075</v>
      </c>
      <c r="V187" s="525">
        <f t="shared" si="17"/>
        <v>306896.75136462296</v>
      </c>
      <c r="W187" s="525">
        <f t="shared" si="17"/>
        <v>366185</v>
      </c>
      <c r="X187" s="525">
        <f t="shared" si="17"/>
        <v>434462</v>
      </c>
      <c r="Y187" s="525">
        <f t="shared" si="17"/>
        <v>449029</v>
      </c>
      <c r="Z187" s="754"/>
    </row>
    <row r="188" spans="19:26">
      <c r="S188" s="398" t="s">
        <v>2320</v>
      </c>
      <c r="T188" s="515">
        <v>117823</v>
      </c>
      <c r="U188" s="515">
        <v>100602</v>
      </c>
      <c r="V188" s="515">
        <v>92057.359757887607</v>
      </c>
      <c r="W188" s="525">
        <v>105533</v>
      </c>
      <c r="X188" s="525">
        <v>125023</v>
      </c>
      <c r="Y188" s="525">
        <v>125932</v>
      </c>
      <c r="Z188" s="754"/>
    </row>
    <row r="189" spans="19:26">
      <c r="S189" s="398" t="s">
        <v>8179</v>
      </c>
      <c r="T189" s="515">
        <v>195520</v>
      </c>
      <c r="U189" s="515">
        <v>169822</v>
      </c>
      <c r="V189" s="515">
        <v>159917.58978161501</v>
      </c>
      <c r="W189" s="525">
        <v>192390</v>
      </c>
      <c r="X189" s="525">
        <v>226716</v>
      </c>
      <c r="Y189" s="525">
        <v>230729</v>
      </c>
      <c r="Z189" s="754"/>
    </row>
    <row r="190" spans="19:26">
      <c r="S190" s="398" t="s">
        <v>8251</v>
      </c>
      <c r="T190" s="515">
        <v>5867</v>
      </c>
      <c r="U190" s="515">
        <v>5746</v>
      </c>
      <c r="V190" s="515">
        <v>5728.38802512036</v>
      </c>
      <c r="W190" s="525">
        <v>6676</v>
      </c>
      <c r="X190" s="525">
        <v>7400</v>
      </c>
      <c r="Y190" s="525">
        <v>7469</v>
      </c>
      <c r="Z190" s="754"/>
    </row>
    <row r="191" spans="19:26">
      <c r="S191" s="387" t="s">
        <v>8252</v>
      </c>
      <c r="T191" s="766">
        <v>59119</v>
      </c>
      <c r="U191" s="766">
        <v>54905</v>
      </c>
      <c r="V191" s="766">
        <v>49193.413799999988</v>
      </c>
      <c r="W191" s="633">
        <v>61586</v>
      </c>
      <c r="X191" s="633">
        <v>75323</v>
      </c>
      <c r="Y191" s="633">
        <v>84899</v>
      </c>
      <c r="Z191" s="398"/>
    </row>
    <row r="192" spans="19:26">
      <c r="S192" s="398" t="s">
        <v>8253</v>
      </c>
      <c r="T192" s="398"/>
      <c r="U192" s="398"/>
      <c r="V192" s="398"/>
      <c r="W192" s="398"/>
      <c r="X192" s="398"/>
      <c r="Y192" s="398"/>
    </row>
    <row r="193" spans="19:26">
      <c r="Z193" s="525"/>
    </row>
    <row r="194" spans="19:26">
      <c r="T194" s="525"/>
      <c r="U194" s="525"/>
      <c r="V194" s="525"/>
      <c r="W194" s="525"/>
      <c r="X194" s="525"/>
      <c r="Y194" s="525"/>
    </row>
    <row r="195" spans="19:26">
      <c r="Z195" s="398"/>
    </row>
    <row r="196" spans="19:26">
      <c r="S196" s="398" t="s">
        <v>8261</v>
      </c>
      <c r="T196" s="387"/>
      <c r="U196" s="398"/>
      <c r="V196" s="398"/>
      <c r="W196" s="398"/>
      <c r="X196" s="398"/>
      <c r="Y196" s="398"/>
      <c r="Z196" s="385"/>
    </row>
    <row r="197" spans="19:26">
      <c r="S197" s="911" t="s">
        <v>8262</v>
      </c>
      <c r="T197" s="938">
        <v>2024</v>
      </c>
      <c r="U197" s="938">
        <v>2023</v>
      </c>
      <c r="V197" s="938">
        <v>2022</v>
      </c>
      <c r="W197" s="938">
        <v>2021</v>
      </c>
      <c r="X197" s="938">
        <v>2020</v>
      </c>
      <c r="Y197" s="939">
        <v>2019</v>
      </c>
      <c r="Z197" s="463"/>
    </row>
    <row r="198" spans="19:26">
      <c r="S198" s="709" t="s">
        <v>8263</v>
      </c>
      <c r="T198" s="525">
        <v>11742</v>
      </c>
      <c r="U198" s="525">
        <v>10936</v>
      </c>
      <c r="V198" s="525">
        <v>12272</v>
      </c>
      <c r="W198" s="525">
        <v>13058</v>
      </c>
      <c r="X198" s="525">
        <v>11982</v>
      </c>
      <c r="Y198" s="525">
        <v>11233</v>
      </c>
      <c r="Z198" s="1706"/>
    </row>
    <row r="199" spans="19:26">
      <c r="S199" s="398" t="s">
        <v>8264</v>
      </c>
      <c r="T199" s="1705">
        <v>0.3483</v>
      </c>
      <c r="U199" s="1705">
        <v>0.38030000000000003</v>
      </c>
      <c r="V199" s="1705">
        <v>0.30159999999999998</v>
      </c>
      <c r="W199" s="1705">
        <v>0.19950000000000001</v>
      </c>
      <c r="X199" s="1705">
        <v>0.2104</v>
      </c>
      <c r="Y199" s="1705">
        <v>0.2505</v>
      </c>
      <c r="Z199" s="463"/>
    </row>
    <row r="200" spans="19:26">
      <c r="S200" s="387" t="s">
        <v>8265</v>
      </c>
      <c r="T200" s="633">
        <v>4090</v>
      </c>
      <c r="U200" s="633">
        <v>4159</v>
      </c>
      <c r="V200" s="633">
        <v>3701</v>
      </c>
      <c r="W200" s="633">
        <v>2605</v>
      </c>
      <c r="X200" s="633">
        <v>2521</v>
      </c>
      <c r="Y200" s="633">
        <v>2814</v>
      </c>
      <c r="Z200" s="398"/>
    </row>
    <row r="201" spans="19:26">
      <c r="S201" s="398" t="s">
        <v>8253</v>
      </c>
      <c r="T201" s="398"/>
      <c r="U201" s="398"/>
      <c r="V201" s="398"/>
      <c r="W201" s="398"/>
      <c r="X201" s="398"/>
      <c r="Y201" s="398"/>
      <c r="Z201" s="385"/>
    </row>
    <row r="202" spans="19:26">
      <c r="W202" s="932"/>
      <c r="X202" s="385"/>
      <c r="Y202" s="932"/>
    </row>
    <row r="204" spans="19:26">
      <c r="Z204" s="398"/>
    </row>
    <row r="205" spans="19:26">
      <c r="S205" s="398" t="s">
        <v>8266</v>
      </c>
      <c r="T205" s="398"/>
      <c r="U205" s="398"/>
      <c r="V205" s="398"/>
      <c r="W205" s="398"/>
      <c r="X205" s="398"/>
      <c r="Y205" s="398"/>
      <c r="Z205" s="385"/>
    </row>
    <row r="206" spans="19:26">
      <c r="S206" s="911" t="s">
        <v>8262</v>
      </c>
      <c r="T206" s="939">
        <v>2018</v>
      </c>
      <c r="U206" s="939">
        <v>2017</v>
      </c>
      <c r="V206" s="939">
        <v>2016</v>
      </c>
      <c r="W206" s="939">
        <v>2015</v>
      </c>
      <c r="X206" s="939">
        <v>2014</v>
      </c>
      <c r="Y206" s="939">
        <v>2013</v>
      </c>
      <c r="Z206" s="754"/>
    </row>
    <row r="207" spans="19:26">
      <c r="S207" s="709" t="s">
        <v>8263</v>
      </c>
      <c r="T207" s="525">
        <v>11255</v>
      </c>
      <c r="U207" s="525">
        <v>11572</v>
      </c>
      <c r="V207" s="525">
        <v>11260</v>
      </c>
      <c r="W207" s="525">
        <v>10838</v>
      </c>
      <c r="X207" s="525">
        <v>10902</v>
      </c>
      <c r="Y207" s="525">
        <v>11082</v>
      </c>
      <c r="Z207" s="1707"/>
    </row>
    <row r="208" spans="19:26">
      <c r="S208" s="398" t="s">
        <v>8264</v>
      </c>
      <c r="T208" s="1705">
        <v>0.2379</v>
      </c>
      <c r="U208" s="1705">
        <v>0.19869999999999999</v>
      </c>
      <c r="V208" s="585">
        <v>0.189</v>
      </c>
      <c r="W208" s="585">
        <v>0.2286</v>
      </c>
      <c r="X208" s="585">
        <v>0.27310000000000001</v>
      </c>
      <c r="Y208" s="1705">
        <v>0.27250000000000002</v>
      </c>
      <c r="Z208" s="754"/>
    </row>
    <row r="209" spans="19:26">
      <c r="S209" s="387" t="s">
        <v>8267</v>
      </c>
      <c r="T209" s="633">
        <v>2677</v>
      </c>
      <c r="U209" s="633">
        <v>2299</v>
      </c>
      <c r="V209" s="633">
        <v>2128</v>
      </c>
      <c r="W209" s="633">
        <v>2478</v>
      </c>
      <c r="X209" s="633">
        <v>2977</v>
      </c>
      <c r="Y209" s="633">
        <v>3019</v>
      </c>
      <c r="Z209" s="398"/>
    </row>
    <row r="210" spans="19:26">
      <c r="S210" s="398" t="s">
        <v>8253</v>
      </c>
      <c r="T210" s="398"/>
      <c r="U210" s="398"/>
      <c r="V210" s="398"/>
      <c r="W210" s="398"/>
      <c r="X210" s="398"/>
      <c r="Y210" s="398"/>
    </row>
    <row r="212" spans="19:26">
      <c r="Z212" s="1540"/>
    </row>
    <row r="213" spans="19:26">
      <c r="T213" s="1540"/>
      <c r="U213" s="1540"/>
      <c r="V213" s="1540"/>
      <c r="W213" s="1540"/>
      <c r="X213" s="1540"/>
      <c r="Y213" s="1540"/>
    </row>
    <row r="221" spans="19:26">
      <c r="Z221" s="1708"/>
    </row>
    <row r="222" spans="19:26">
      <c r="S222" s="1672"/>
      <c r="T222" s="1672"/>
      <c r="U222" s="1672" t="s">
        <v>3348</v>
      </c>
      <c r="V222" s="1672"/>
      <c r="W222" s="1672"/>
      <c r="X222" s="1672"/>
      <c r="Y222" s="1708"/>
    </row>
    <row r="267" spans="19:26">
      <c r="Z267" s="1672"/>
    </row>
    <row r="268" spans="19:26">
      <c r="S268" s="1683"/>
      <c r="T268" s="1672"/>
      <c r="U268" s="1672"/>
      <c r="V268" s="1672"/>
      <c r="W268" s="1672"/>
      <c r="X268" s="1672"/>
      <c r="Y268" s="1672"/>
    </row>
    <row r="277" spans="19:26">
      <c r="Z277" s="398"/>
    </row>
    <row r="278" spans="19:26">
      <c r="S278" s="386"/>
      <c r="T278" s="398"/>
      <c r="U278" s="398"/>
      <c r="V278" s="398"/>
      <c r="W278" s="398"/>
      <c r="X278" s="398"/>
      <c r="Y278" s="398"/>
      <c r="Z278" s="398"/>
    </row>
    <row r="279" spans="19:26">
      <c r="S279" s="386"/>
      <c r="T279" s="398"/>
      <c r="U279" s="398"/>
      <c r="V279" s="398"/>
      <c r="W279" s="398"/>
      <c r="X279" s="398"/>
      <c r="Y279" s="398"/>
    </row>
    <row r="285" spans="19:26">
      <c r="Z285" s="398"/>
    </row>
    <row r="286" spans="19:26">
      <c r="S286" s="386"/>
      <c r="T286" s="398"/>
      <c r="U286" s="398"/>
      <c r="V286" s="398"/>
      <c r="W286" s="398"/>
      <c r="X286" s="398"/>
      <c r="Y286" s="398"/>
      <c r="Z286" s="398"/>
    </row>
    <row r="287" spans="19:26">
      <c r="S287" s="386"/>
      <c r="T287" s="398"/>
      <c r="U287" s="398"/>
      <c r="V287" s="398"/>
      <c r="W287" s="398"/>
      <c r="X287" s="398"/>
      <c r="Y287" s="398"/>
      <c r="Z287" s="398"/>
    </row>
    <row r="288" spans="19:26">
      <c r="S288" s="386"/>
      <c r="T288" s="398"/>
      <c r="U288" s="398"/>
      <c r="V288" s="398"/>
      <c r="W288" s="398"/>
      <c r="X288" s="398"/>
      <c r="Y288" s="398"/>
    </row>
  </sheetData>
  <mergeCells count="11">
    <mergeCell ref="BL42:BN42"/>
    <mergeCell ref="AY5:AY6"/>
    <mergeCell ref="AZ5:BB5"/>
    <mergeCell ref="BC5:BE5"/>
    <mergeCell ref="BF5:BH5"/>
    <mergeCell ref="BI5:BK5"/>
    <mergeCell ref="AY25:AY26"/>
    <mergeCell ref="AZ25:BB25"/>
    <mergeCell ref="BC25:BE25"/>
    <mergeCell ref="BF25:BH25"/>
    <mergeCell ref="BI25:BK25"/>
  </mergeCells>
  <pageMargins left="0.75" right="0.75" top="1" bottom="1" header="0.5" footer="0.5"/>
  <pageSetup scale="11"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25107-ED5F-4D48-A7ED-656A239A3922}">
  <sheetPr>
    <tabColor rgb="FFFFFF00"/>
    <pageSetUpPr fitToPage="1"/>
  </sheetPr>
  <dimension ref="A1:IO624"/>
  <sheetViews>
    <sheetView showGridLines="0" topLeftCell="GC1" zoomScale="90" zoomScaleNormal="90" workbookViewId="0">
      <selection activeCell="GU41" sqref="GU41"/>
    </sheetView>
  </sheetViews>
  <sheetFormatPr defaultColWidth="10.7109375" defaultRowHeight="12.75"/>
  <cols>
    <col min="1" max="1" width="23" style="585" customWidth="1"/>
    <col min="2" max="10" width="10.7109375" style="585" customWidth="1"/>
    <col min="11" max="11" width="8.5703125" style="585" customWidth="1"/>
    <col min="12" max="12" width="8.140625" style="585" customWidth="1"/>
    <col min="13" max="13" width="17.7109375" style="585" customWidth="1"/>
    <col min="14" max="21" width="10.5703125" style="585" customWidth="1"/>
    <col min="22" max="22" width="10.140625" style="585" customWidth="1"/>
    <col min="23" max="23" width="17.140625" style="585" customWidth="1"/>
    <col min="24" max="32" width="10.7109375" style="585" customWidth="1"/>
    <col min="33" max="33" width="10.140625" style="585" customWidth="1"/>
    <col min="34" max="34" width="9.140625" style="585" customWidth="1"/>
    <col min="35" max="35" width="24.7109375" style="585" customWidth="1"/>
    <col min="36" max="40" width="12.7109375" style="585" customWidth="1"/>
    <col min="41" max="42" width="10.7109375" style="585" customWidth="1"/>
    <col min="43" max="43" width="12.7109375" style="585" customWidth="1"/>
    <col min="44" max="53" width="10.7109375" style="585" customWidth="1"/>
    <col min="54" max="54" width="11.5703125" style="585" customWidth="1"/>
    <col min="55" max="55" width="9.140625" style="585" customWidth="1"/>
    <col min="56" max="56" width="16.5703125" style="585" customWidth="1"/>
    <col min="57" max="61" width="13.7109375" style="585" customWidth="1"/>
    <col min="62" max="62" width="10.85546875" style="585" customWidth="1"/>
    <col min="63" max="63" width="11.28515625" style="585" customWidth="1"/>
    <col min="64" max="64" width="38.85546875" style="585" customWidth="1"/>
    <col min="65" max="65" width="11.140625" style="585" customWidth="1"/>
    <col min="66" max="66" width="13.85546875" style="585" customWidth="1"/>
    <col min="67" max="80" width="9.140625" style="585" customWidth="1"/>
    <col min="81" max="81" width="10.28515625" style="585" customWidth="1"/>
    <col min="82" max="94" width="10.7109375" style="585" customWidth="1"/>
    <col min="95" max="96" width="9.140625" style="585" customWidth="1"/>
    <col min="97" max="97" width="14.7109375" style="585" customWidth="1"/>
    <col min="98" max="107" width="12.7109375" style="585" customWidth="1"/>
    <col min="108" max="108" width="12" style="585" customWidth="1"/>
    <col min="109" max="109" width="13.140625" style="585" customWidth="1"/>
    <col min="110" max="110" width="14" style="585" customWidth="1"/>
    <col min="111" max="125" width="12.7109375" style="585" customWidth="1"/>
    <col min="126" max="126" width="14.28515625" style="585" customWidth="1"/>
    <col min="127" max="127" width="11.5703125" style="585" customWidth="1"/>
    <col min="128" max="128" width="20.7109375" style="585" customWidth="1"/>
    <col min="129" max="129" width="12.7109375" style="585" customWidth="1"/>
    <col min="130" max="134" width="10.7109375" style="585" customWidth="1"/>
    <col min="135" max="135" width="14.7109375" style="585" customWidth="1"/>
    <col min="136" max="136" width="13.5703125" style="585" customWidth="1"/>
    <col min="137" max="137" width="13.28515625" style="585" customWidth="1"/>
    <col min="138" max="138" width="19.85546875" style="585" customWidth="1"/>
    <col min="139" max="145" width="11.7109375" style="585" customWidth="1"/>
    <col min="146" max="146" width="12.7109375" style="585" customWidth="1"/>
    <col min="147" max="147" width="11.7109375" style="585" customWidth="1"/>
    <col min="148" max="148" width="23.85546875" style="585" customWidth="1"/>
    <col min="149" max="163" width="11.7109375" style="585" customWidth="1"/>
    <col min="164" max="164" width="13.5703125" style="585" customWidth="1"/>
    <col min="165" max="165" width="12" style="585" customWidth="1"/>
    <col min="166" max="166" width="56.140625" style="585" customWidth="1"/>
    <col min="167" max="176" width="12.7109375" style="585" customWidth="1"/>
    <col min="177" max="177" width="12.5703125" style="585" customWidth="1"/>
    <col min="178" max="178" width="10.7109375" style="585" customWidth="1"/>
    <col min="179" max="179" width="12.7109375" style="585" customWidth="1"/>
    <col min="180" max="191" width="10.7109375" style="585" customWidth="1"/>
    <col min="192" max="192" width="14.5703125" style="585" customWidth="1"/>
    <col min="193" max="193" width="14.28515625" style="585" customWidth="1"/>
    <col min="194" max="194" width="13.140625" style="585" customWidth="1"/>
    <col min="195" max="195" width="20.7109375" style="585" customWidth="1"/>
    <col min="196" max="203" width="13.7109375" style="585" customWidth="1"/>
    <col min="204" max="219" width="12.7109375" style="585" customWidth="1"/>
    <col min="220" max="220" width="14.42578125" style="585" customWidth="1"/>
    <col min="221" max="221" width="20.7109375" style="585" customWidth="1"/>
    <col min="222" max="231" width="12.7109375" style="585" customWidth="1"/>
    <col min="232" max="237" width="10.7109375" style="585" customWidth="1"/>
    <col min="238" max="240" width="9.140625" style="585" customWidth="1"/>
    <col min="241" max="241" width="20.7109375" style="585" customWidth="1"/>
    <col min="242" max="251" width="10.7109375" style="585"/>
    <col min="252" max="252" width="23" style="585" customWidth="1"/>
    <col min="253" max="262" width="10.7109375" style="585"/>
    <col min="263" max="264" width="10.140625" style="585" customWidth="1"/>
    <col min="265" max="265" width="17.7109375" style="585" customWidth="1"/>
    <col min="266" max="274" width="10.5703125" style="585" customWidth="1"/>
    <col min="275" max="275" width="10.140625" style="585" customWidth="1"/>
    <col min="276" max="276" width="17.140625" style="585" customWidth="1"/>
    <col min="277" max="285" width="10.7109375" style="585"/>
    <col min="286" max="286" width="10.140625" style="585" customWidth="1"/>
    <col min="287" max="287" width="9.140625" style="585" customWidth="1"/>
    <col min="288" max="288" width="24.7109375" style="585" customWidth="1"/>
    <col min="289" max="290" width="9.7109375" style="585" customWidth="1"/>
    <col min="291" max="295" width="10.7109375" style="585"/>
    <col min="296" max="307" width="12.7109375" style="585" customWidth="1"/>
    <col min="308" max="308" width="10.7109375" style="585"/>
    <col min="309" max="309" width="9.140625" style="585" customWidth="1"/>
    <col min="310" max="310" width="18.7109375" style="585" customWidth="1"/>
    <col min="311" max="318" width="12.7109375" style="585" customWidth="1"/>
    <col min="319" max="319" width="32.7109375" style="585" customWidth="1"/>
    <col min="320" max="320" width="11.140625" style="585" customWidth="1"/>
    <col min="321" max="321" width="13.85546875" style="585" customWidth="1"/>
    <col min="322" max="335" width="9.140625" style="585" customWidth="1"/>
    <col min="336" max="336" width="10.28515625" style="585" customWidth="1"/>
    <col min="337" max="351" width="9.140625" style="585" customWidth="1"/>
    <col min="352" max="352" width="14.7109375" style="585" customWidth="1"/>
    <col min="353" max="356" width="9.7109375" style="585" customWidth="1"/>
    <col min="357" max="357" width="8.7109375" style="585" customWidth="1"/>
    <col min="358" max="358" width="10.7109375" style="585"/>
    <col min="359" max="359" width="12.7109375" style="585" customWidth="1"/>
    <col min="360" max="362" width="9.7109375" style="585" customWidth="1"/>
    <col min="363" max="363" width="9.140625" style="585" customWidth="1"/>
    <col min="364" max="364" width="9.140625" style="585" bestFit="1" customWidth="1"/>
    <col min="365" max="365" width="14" style="585" customWidth="1"/>
    <col min="366" max="380" width="9.140625" style="585" customWidth="1"/>
    <col min="381" max="381" width="9" style="585" bestFit="1" customWidth="1"/>
    <col min="382" max="382" width="9.140625" style="585" customWidth="1"/>
    <col min="383" max="383" width="20.7109375" style="585" customWidth="1"/>
    <col min="384" max="384" width="12.7109375" style="585" customWidth="1"/>
    <col min="385" max="389" width="10.7109375" style="585"/>
    <col min="390" max="390" width="12.7109375" style="585" customWidth="1"/>
    <col min="391" max="392" width="10.7109375" style="585"/>
    <col min="393" max="393" width="20.7109375" style="585" customWidth="1"/>
    <col min="394" max="400" width="11.7109375" style="585" customWidth="1"/>
    <col min="401" max="402" width="9.140625" style="585" customWidth="1"/>
    <col min="403" max="403" width="14.140625" style="585" customWidth="1"/>
    <col min="404" max="404" width="10.140625" style="585" customWidth="1"/>
    <col min="405" max="410" width="9.140625" style="585" customWidth="1"/>
    <col min="411" max="411" width="12.7109375" style="585" customWidth="1"/>
    <col min="412" max="415" width="9.140625" style="585" customWidth="1"/>
    <col min="416" max="416" width="9.7109375" style="585" customWidth="1"/>
    <col min="417" max="417" width="10.7109375" style="585"/>
    <col min="418" max="420" width="9.140625" style="585" customWidth="1"/>
    <col min="421" max="421" width="52.7109375" style="585" customWidth="1"/>
    <col min="422" max="434" width="10.7109375" style="585"/>
    <col min="435" max="435" width="12.7109375" style="585" customWidth="1"/>
    <col min="436" max="447" width="10.7109375" style="585"/>
    <col min="448" max="448" width="12.7109375" style="585" customWidth="1"/>
    <col min="449" max="449" width="10.7109375" style="585"/>
    <col min="450" max="450" width="9.140625" style="585" customWidth="1"/>
    <col min="451" max="451" width="20.7109375" style="585" customWidth="1"/>
    <col min="452" max="475" width="12.7109375" style="585" customWidth="1"/>
    <col min="476" max="476" width="14.42578125" style="585" customWidth="1"/>
    <col min="477" max="477" width="20.7109375" style="585" customWidth="1"/>
    <col min="478" max="487" width="12.7109375" style="585" customWidth="1"/>
    <col min="488" max="493" width="10.7109375" style="585"/>
    <col min="494" max="496" width="9.140625" style="585" customWidth="1"/>
    <col min="497" max="497" width="20.7109375" style="585" customWidth="1"/>
    <col min="498" max="507" width="10.7109375" style="585"/>
    <col min="508" max="508" width="23" style="585" customWidth="1"/>
    <col min="509" max="518" width="10.7109375" style="585"/>
    <col min="519" max="520" width="10.140625" style="585" customWidth="1"/>
    <col min="521" max="521" width="17.7109375" style="585" customWidth="1"/>
    <col min="522" max="530" width="10.5703125" style="585" customWidth="1"/>
    <col min="531" max="531" width="10.140625" style="585" customWidth="1"/>
    <col min="532" max="532" width="17.140625" style="585" customWidth="1"/>
    <col min="533" max="541" width="10.7109375" style="585"/>
    <col min="542" max="542" width="10.140625" style="585" customWidth="1"/>
    <col min="543" max="543" width="9.140625" style="585" customWidth="1"/>
    <col min="544" max="544" width="24.7109375" style="585" customWidth="1"/>
    <col min="545" max="546" width="9.7109375" style="585" customWidth="1"/>
    <col min="547" max="551" width="10.7109375" style="585"/>
    <col min="552" max="563" width="12.7109375" style="585" customWidth="1"/>
    <col min="564" max="564" width="10.7109375" style="585"/>
    <col min="565" max="565" width="9.140625" style="585" customWidth="1"/>
    <col min="566" max="566" width="18.7109375" style="585" customWidth="1"/>
    <col min="567" max="574" width="12.7109375" style="585" customWidth="1"/>
    <col min="575" max="575" width="32.7109375" style="585" customWidth="1"/>
    <col min="576" max="576" width="11.140625" style="585" customWidth="1"/>
    <col min="577" max="577" width="13.85546875" style="585" customWidth="1"/>
    <col min="578" max="591" width="9.140625" style="585" customWidth="1"/>
    <col min="592" max="592" width="10.28515625" style="585" customWidth="1"/>
    <col min="593" max="607" width="9.140625" style="585" customWidth="1"/>
    <col min="608" max="608" width="14.7109375" style="585" customWidth="1"/>
    <col min="609" max="612" width="9.7109375" style="585" customWidth="1"/>
    <col min="613" max="613" width="8.7109375" style="585" customWidth="1"/>
    <col min="614" max="614" width="10.7109375" style="585"/>
    <col min="615" max="615" width="12.7109375" style="585" customWidth="1"/>
    <col min="616" max="618" width="9.7109375" style="585" customWidth="1"/>
    <col min="619" max="619" width="9.140625" style="585" customWidth="1"/>
    <col min="620" max="620" width="9.140625" style="585" bestFit="1" customWidth="1"/>
    <col min="621" max="621" width="14" style="585" customWidth="1"/>
    <col min="622" max="636" width="9.140625" style="585" customWidth="1"/>
    <col min="637" max="637" width="9" style="585" bestFit="1" customWidth="1"/>
    <col min="638" max="638" width="9.140625" style="585" customWidth="1"/>
    <col min="639" max="639" width="20.7109375" style="585" customWidth="1"/>
    <col min="640" max="640" width="12.7109375" style="585" customWidth="1"/>
    <col min="641" max="645" width="10.7109375" style="585"/>
    <col min="646" max="646" width="12.7109375" style="585" customWidth="1"/>
    <col min="647" max="648" width="10.7109375" style="585"/>
    <col min="649" max="649" width="20.7109375" style="585" customWidth="1"/>
    <col min="650" max="656" width="11.7109375" style="585" customWidth="1"/>
    <col min="657" max="658" width="9.140625" style="585" customWidth="1"/>
    <col min="659" max="659" width="14.140625" style="585" customWidth="1"/>
    <col min="660" max="660" width="10.140625" style="585" customWidth="1"/>
    <col min="661" max="666" width="9.140625" style="585" customWidth="1"/>
    <col min="667" max="667" width="12.7109375" style="585" customWidth="1"/>
    <col min="668" max="671" width="9.140625" style="585" customWidth="1"/>
    <col min="672" max="672" width="9.7109375" style="585" customWidth="1"/>
    <col min="673" max="673" width="10.7109375" style="585"/>
    <col min="674" max="676" width="9.140625" style="585" customWidth="1"/>
    <col min="677" max="677" width="52.7109375" style="585" customWidth="1"/>
    <col min="678" max="690" width="10.7109375" style="585"/>
    <col min="691" max="691" width="12.7109375" style="585" customWidth="1"/>
    <col min="692" max="703" width="10.7109375" style="585"/>
    <col min="704" max="704" width="12.7109375" style="585" customWidth="1"/>
    <col min="705" max="705" width="10.7109375" style="585"/>
    <col min="706" max="706" width="9.140625" style="585" customWidth="1"/>
    <col min="707" max="707" width="20.7109375" style="585" customWidth="1"/>
    <col min="708" max="731" width="12.7109375" style="585" customWidth="1"/>
    <col min="732" max="732" width="14.42578125" style="585" customWidth="1"/>
    <col min="733" max="733" width="20.7109375" style="585" customWidth="1"/>
    <col min="734" max="743" width="12.7109375" style="585" customWidth="1"/>
    <col min="744" max="749" width="10.7109375" style="585"/>
    <col min="750" max="752" width="9.140625" style="585" customWidth="1"/>
    <col min="753" max="753" width="20.7109375" style="585" customWidth="1"/>
    <col min="754" max="763" width="10.7109375" style="585"/>
    <col min="764" max="764" width="23" style="585" customWidth="1"/>
    <col min="765" max="774" width="10.7109375" style="585"/>
    <col min="775" max="776" width="10.140625" style="585" customWidth="1"/>
    <col min="777" max="777" width="17.7109375" style="585" customWidth="1"/>
    <col min="778" max="786" width="10.5703125" style="585" customWidth="1"/>
    <col min="787" max="787" width="10.140625" style="585" customWidth="1"/>
    <col min="788" max="788" width="17.140625" style="585" customWidth="1"/>
    <col min="789" max="797" width="10.7109375" style="585"/>
    <col min="798" max="798" width="10.140625" style="585" customWidth="1"/>
    <col min="799" max="799" width="9.140625" style="585" customWidth="1"/>
    <col min="800" max="800" width="24.7109375" style="585" customWidth="1"/>
    <col min="801" max="802" width="9.7109375" style="585" customWidth="1"/>
    <col min="803" max="807" width="10.7109375" style="585"/>
    <col min="808" max="819" width="12.7109375" style="585" customWidth="1"/>
    <col min="820" max="820" width="10.7109375" style="585"/>
    <col min="821" max="821" width="9.140625" style="585" customWidth="1"/>
    <col min="822" max="822" width="18.7109375" style="585" customWidth="1"/>
    <col min="823" max="830" width="12.7109375" style="585" customWidth="1"/>
    <col min="831" max="831" width="32.7109375" style="585" customWidth="1"/>
    <col min="832" max="832" width="11.140625" style="585" customWidth="1"/>
    <col min="833" max="833" width="13.85546875" style="585" customWidth="1"/>
    <col min="834" max="847" width="9.140625" style="585" customWidth="1"/>
    <col min="848" max="848" width="10.28515625" style="585" customWidth="1"/>
    <col min="849" max="863" width="9.140625" style="585" customWidth="1"/>
    <col min="864" max="864" width="14.7109375" style="585" customWidth="1"/>
    <col min="865" max="868" width="9.7109375" style="585" customWidth="1"/>
    <col min="869" max="869" width="8.7109375" style="585" customWidth="1"/>
    <col min="870" max="870" width="10.7109375" style="585"/>
    <col min="871" max="871" width="12.7109375" style="585" customWidth="1"/>
    <col min="872" max="874" width="9.7109375" style="585" customWidth="1"/>
    <col min="875" max="875" width="9.140625" style="585" customWidth="1"/>
    <col min="876" max="876" width="9.140625" style="585" bestFit="1" customWidth="1"/>
    <col min="877" max="877" width="14" style="585" customWidth="1"/>
    <col min="878" max="892" width="9.140625" style="585" customWidth="1"/>
    <col min="893" max="893" width="9" style="585" bestFit="1" customWidth="1"/>
    <col min="894" max="894" width="9.140625" style="585" customWidth="1"/>
    <col min="895" max="895" width="20.7109375" style="585" customWidth="1"/>
    <col min="896" max="896" width="12.7109375" style="585" customWidth="1"/>
    <col min="897" max="901" width="10.7109375" style="585"/>
    <col min="902" max="902" width="12.7109375" style="585" customWidth="1"/>
    <col min="903" max="904" width="10.7109375" style="585"/>
    <col min="905" max="905" width="20.7109375" style="585" customWidth="1"/>
    <col min="906" max="912" width="11.7109375" style="585" customWidth="1"/>
    <col min="913" max="914" width="9.140625" style="585" customWidth="1"/>
    <col min="915" max="915" width="14.140625" style="585" customWidth="1"/>
    <col min="916" max="916" width="10.140625" style="585" customWidth="1"/>
    <col min="917" max="922" width="9.140625" style="585" customWidth="1"/>
    <col min="923" max="923" width="12.7109375" style="585" customWidth="1"/>
    <col min="924" max="927" width="9.140625" style="585" customWidth="1"/>
    <col min="928" max="928" width="9.7109375" style="585" customWidth="1"/>
    <col min="929" max="929" width="10.7109375" style="585"/>
    <col min="930" max="932" width="9.140625" style="585" customWidth="1"/>
    <col min="933" max="933" width="52.7109375" style="585" customWidth="1"/>
    <col min="934" max="946" width="10.7109375" style="585"/>
    <col min="947" max="947" width="12.7109375" style="585" customWidth="1"/>
    <col min="948" max="959" width="10.7109375" style="585"/>
    <col min="960" max="960" width="12.7109375" style="585" customWidth="1"/>
    <col min="961" max="961" width="10.7109375" style="585"/>
    <col min="962" max="962" width="9.140625" style="585" customWidth="1"/>
    <col min="963" max="963" width="20.7109375" style="585" customWidth="1"/>
    <col min="964" max="987" width="12.7109375" style="585" customWidth="1"/>
    <col min="988" max="988" width="14.42578125" style="585" customWidth="1"/>
    <col min="989" max="989" width="20.7109375" style="585" customWidth="1"/>
    <col min="990" max="999" width="12.7109375" style="585" customWidth="1"/>
    <col min="1000" max="1005" width="10.7109375" style="585"/>
    <col min="1006" max="1008" width="9.140625" style="585" customWidth="1"/>
    <col min="1009" max="1009" width="20.7109375" style="585" customWidth="1"/>
    <col min="1010" max="1019" width="10.7109375" style="585"/>
    <col min="1020" max="1020" width="23" style="585" customWidth="1"/>
    <col min="1021" max="1030" width="10.7109375" style="585"/>
    <col min="1031" max="1032" width="10.140625" style="585" customWidth="1"/>
    <col min="1033" max="1033" width="17.7109375" style="585" customWidth="1"/>
    <col min="1034" max="1042" width="10.5703125" style="585" customWidth="1"/>
    <col min="1043" max="1043" width="10.140625" style="585" customWidth="1"/>
    <col min="1044" max="1044" width="17.140625" style="585" customWidth="1"/>
    <col min="1045" max="1053" width="10.7109375" style="585"/>
    <col min="1054" max="1054" width="10.140625" style="585" customWidth="1"/>
    <col min="1055" max="1055" width="9.140625" style="585" customWidth="1"/>
    <col min="1056" max="1056" width="24.7109375" style="585" customWidth="1"/>
    <col min="1057" max="1058" width="9.7109375" style="585" customWidth="1"/>
    <col min="1059" max="1063" width="10.7109375" style="585"/>
    <col min="1064" max="1075" width="12.7109375" style="585" customWidth="1"/>
    <col min="1076" max="1076" width="10.7109375" style="585"/>
    <col min="1077" max="1077" width="9.140625" style="585" customWidth="1"/>
    <col min="1078" max="1078" width="18.7109375" style="585" customWidth="1"/>
    <col min="1079" max="1086" width="12.7109375" style="585" customWidth="1"/>
    <col min="1087" max="1087" width="32.7109375" style="585" customWidth="1"/>
    <col min="1088" max="1088" width="11.140625" style="585" customWidth="1"/>
    <col min="1089" max="1089" width="13.85546875" style="585" customWidth="1"/>
    <col min="1090" max="1103" width="9.140625" style="585" customWidth="1"/>
    <col min="1104" max="1104" width="10.28515625" style="585" customWidth="1"/>
    <col min="1105" max="1119" width="9.140625" style="585" customWidth="1"/>
    <col min="1120" max="1120" width="14.7109375" style="585" customWidth="1"/>
    <col min="1121" max="1124" width="9.7109375" style="585" customWidth="1"/>
    <col min="1125" max="1125" width="8.7109375" style="585" customWidth="1"/>
    <col min="1126" max="1126" width="10.7109375" style="585"/>
    <col min="1127" max="1127" width="12.7109375" style="585" customWidth="1"/>
    <col min="1128" max="1130" width="9.7109375" style="585" customWidth="1"/>
    <col min="1131" max="1131" width="9.140625" style="585" customWidth="1"/>
    <col min="1132" max="1132" width="9.140625" style="585" bestFit="1" customWidth="1"/>
    <col min="1133" max="1133" width="14" style="585" customWidth="1"/>
    <col min="1134" max="1148" width="9.140625" style="585" customWidth="1"/>
    <col min="1149" max="1149" width="9" style="585" bestFit="1" customWidth="1"/>
    <col min="1150" max="1150" width="9.140625" style="585" customWidth="1"/>
    <col min="1151" max="1151" width="20.7109375" style="585" customWidth="1"/>
    <col min="1152" max="1152" width="12.7109375" style="585" customWidth="1"/>
    <col min="1153" max="1157" width="10.7109375" style="585"/>
    <col min="1158" max="1158" width="12.7109375" style="585" customWidth="1"/>
    <col min="1159" max="1160" width="10.7109375" style="585"/>
    <col min="1161" max="1161" width="20.7109375" style="585" customWidth="1"/>
    <col min="1162" max="1168" width="11.7109375" style="585" customWidth="1"/>
    <col min="1169" max="1170" width="9.140625" style="585" customWidth="1"/>
    <col min="1171" max="1171" width="14.140625" style="585" customWidth="1"/>
    <col min="1172" max="1172" width="10.140625" style="585" customWidth="1"/>
    <col min="1173" max="1178" width="9.140625" style="585" customWidth="1"/>
    <col min="1179" max="1179" width="12.7109375" style="585" customWidth="1"/>
    <col min="1180" max="1183" width="9.140625" style="585" customWidth="1"/>
    <col min="1184" max="1184" width="9.7109375" style="585" customWidth="1"/>
    <col min="1185" max="1185" width="10.7109375" style="585"/>
    <col min="1186" max="1188" width="9.140625" style="585" customWidth="1"/>
    <col min="1189" max="1189" width="52.7109375" style="585" customWidth="1"/>
    <col min="1190" max="1202" width="10.7109375" style="585"/>
    <col min="1203" max="1203" width="12.7109375" style="585" customWidth="1"/>
    <col min="1204" max="1215" width="10.7109375" style="585"/>
    <col min="1216" max="1216" width="12.7109375" style="585" customWidth="1"/>
    <col min="1217" max="1217" width="10.7109375" style="585"/>
    <col min="1218" max="1218" width="9.140625" style="585" customWidth="1"/>
    <col min="1219" max="1219" width="20.7109375" style="585" customWidth="1"/>
    <col min="1220" max="1243" width="12.7109375" style="585" customWidth="1"/>
    <col min="1244" max="1244" width="14.42578125" style="585" customWidth="1"/>
    <col min="1245" max="1245" width="20.7109375" style="585" customWidth="1"/>
    <col min="1246" max="1255" width="12.7109375" style="585" customWidth="1"/>
    <col min="1256" max="1261" width="10.7109375" style="585"/>
    <col min="1262" max="1264" width="9.140625" style="585" customWidth="1"/>
    <col min="1265" max="1265" width="20.7109375" style="585" customWidth="1"/>
    <col min="1266" max="1275" width="10.7109375" style="585"/>
    <col min="1276" max="1276" width="23" style="585" customWidth="1"/>
    <col min="1277" max="1286" width="10.7109375" style="585"/>
    <col min="1287" max="1288" width="10.140625" style="585" customWidth="1"/>
    <col min="1289" max="1289" width="17.7109375" style="585" customWidth="1"/>
    <col min="1290" max="1298" width="10.5703125" style="585" customWidth="1"/>
    <col min="1299" max="1299" width="10.140625" style="585" customWidth="1"/>
    <col min="1300" max="1300" width="17.140625" style="585" customWidth="1"/>
    <col min="1301" max="1309" width="10.7109375" style="585"/>
    <col min="1310" max="1310" width="10.140625" style="585" customWidth="1"/>
    <col min="1311" max="1311" width="9.140625" style="585" customWidth="1"/>
    <col min="1312" max="1312" width="24.7109375" style="585" customWidth="1"/>
    <col min="1313" max="1314" width="9.7109375" style="585" customWidth="1"/>
    <col min="1315" max="1319" width="10.7109375" style="585"/>
    <col min="1320" max="1331" width="12.7109375" style="585" customWidth="1"/>
    <col min="1332" max="1332" width="10.7109375" style="585"/>
    <col min="1333" max="1333" width="9.140625" style="585" customWidth="1"/>
    <col min="1334" max="1334" width="18.7109375" style="585" customWidth="1"/>
    <col min="1335" max="1342" width="12.7109375" style="585" customWidth="1"/>
    <col min="1343" max="1343" width="32.7109375" style="585" customWidth="1"/>
    <col min="1344" max="1344" width="11.140625" style="585" customWidth="1"/>
    <col min="1345" max="1345" width="13.85546875" style="585" customWidth="1"/>
    <col min="1346" max="1359" width="9.140625" style="585" customWidth="1"/>
    <col min="1360" max="1360" width="10.28515625" style="585" customWidth="1"/>
    <col min="1361" max="1375" width="9.140625" style="585" customWidth="1"/>
    <col min="1376" max="1376" width="14.7109375" style="585" customWidth="1"/>
    <col min="1377" max="1380" width="9.7109375" style="585" customWidth="1"/>
    <col min="1381" max="1381" width="8.7109375" style="585" customWidth="1"/>
    <col min="1382" max="1382" width="10.7109375" style="585"/>
    <col min="1383" max="1383" width="12.7109375" style="585" customWidth="1"/>
    <col min="1384" max="1386" width="9.7109375" style="585" customWidth="1"/>
    <col min="1387" max="1387" width="9.140625" style="585" customWidth="1"/>
    <col min="1388" max="1388" width="9.140625" style="585" bestFit="1" customWidth="1"/>
    <col min="1389" max="1389" width="14" style="585" customWidth="1"/>
    <col min="1390" max="1404" width="9.140625" style="585" customWidth="1"/>
    <col min="1405" max="1405" width="9" style="585" bestFit="1" customWidth="1"/>
    <col min="1406" max="1406" width="9.140625" style="585" customWidth="1"/>
    <col min="1407" max="1407" width="20.7109375" style="585" customWidth="1"/>
    <col min="1408" max="1408" width="12.7109375" style="585" customWidth="1"/>
    <col min="1409" max="1413" width="10.7109375" style="585"/>
    <col min="1414" max="1414" width="12.7109375" style="585" customWidth="1"/>
    <col min="1415" max="1416" width="10.7109375" style="585"/>
    <col min="1417" max="1417" width="20.7109375" style="585" customWidth="1"/>
    <col min="1418" max="1424" width="11.7109375" style="585" customWidth="1"/>
    <col min="1425" max="1426" width="9.140625" style="585" customWidth="1"/>
    <col min="1427" max="1427" width="14.140625" style="585" customWidth="1"/>
    <col min="1428" max="1428" width="10.140625" style="585" customWidth="1"/>
    <col min="1429" max="1434" width="9.140625" style="585" customWidth="1"/>
    <col min="1435" max="1435" width="12.7109375" style="585" customWidth="1"/>
    <col min="1436" max="1439" width="9.140625" style="585" customWidth="1"/>
    <col min="1440" max="1440" width="9.7109375" style="585" customWidth="1"/>
    <col min="1441" max="1441" width="10.7109375" style="585"/>
    <col min="1442" max="1444" width="9.140625" style="585" customWidth="1"/>
    <col min="1445" max="1445" width="52.7109375" style="585" customWidth="1"/>
    <col min="1446" max="1458" width="10.7109375" style="585"/>
    <col min="1459" max="1459" width="12.7109375" style="585" customWidth="1"/>
    <col min="1460" max="1471" width="10.7109375" style="585"/>
    <col min="1472" max="1472" width="12.7109375" style="585" customWidth="1"/>
    <col min="1473" max="1473" width="10.7109375" style="585"/>
    <col min="1474" max="1474" width="9.140625" style="585" customWidth="1"/>
    <col min="1475" max="1475" width="20.7109375" style="585" customWidth="1"/>
    <col min="1476" max="1499" width="12.7109375" style="585" customWidth="1"/>
    <col min="1500" max="1500" width="14.42578125" style="585" customWidth="1"/>
    <col min="1501" max="1501" width="20.7109375" style="585" customWidth="1"/>
    <col min="1502" max="1511" width="12.7109375" style="585" customWidth="1"/>
    <col min="1512" max="1517" width="10.7109375" style="585"/>
    <col min="1518" max="1520" width="9.140625" style="585" customWidth="1"/>
    <col min="1521" max="1521" width="20.7109375" style="585" customWidth="1"/>
    <col min="1522" max="1531" width="10.7109375" style="585"/>
    <col min="1532" max="1532" width="23" style="585" customWidth="1"/>
    <col min="1533" max="1542" width="10.7109375" style="585"/>
    <col min="1543" max="1544" width="10.140625" style="585" customWidth="1"/>
    <col min="1545" max="1545" width="17.7109375" style="585" customWidth="1"/>
    <col min="1546" max="1554" width="10.5703125" style="585" customWidth="1"/>
    <col min="1555" max="1555" width="10.140625" style="585" customWidth="1"/>
    <col min="1556" max="1556" width="17.140625" style="585" customWidth="1"/>
    <col min="1557" max="1565" width="10.7109375" style="585"/>
    <col min="1566" max="1566" width="10.140625" style="585" customWidth="1"/>
    <col min="1567" max="1567" width="9.140625" style="585" customWidth="1"/>
    <col min="1568" max="1568" width="24.7109375" style="585" customWidth="1"/>
    <col min="1569" max="1570" width="9.7109375" style="585" customWidth="1"/>
    <col min="1571" max="1575" width="10.7109375" style="585"/>
    <col min="1576" max="1587" width="12.7109375" style="585" customWidth="1"/>
    <col min="1588" max="1588" width="10.7109375" style="585"/>
    <col min="1589" max="1589" width="9.140625" style="585" customWidth="1"/>
    <col min="1590" max="1590" width="18.7109375" style="585" customWidth="1"/>
    <col min="1591" max="1598" width="12.7109375" style="585" customWidth="1"/>
    <col min="1599" max="1599" width="32.7109375" style="585" customWidth="1"/>
    <col min="1600" max="1600" width="11.140625" style="585" customWidth="1"/>
    <col min="1601" max="1601" width="13.85546875" style="585" customWidth="1"/>
    <col min="1602" max="1615" width="9.140625" style="585" customWidth="1"/>
    <col min="1616" max="1616" width="10.28515625" style="585" customWidth="1"/>
    <col min="1617" max="1631" width="9.140625" style="585" customWidth="1"/>
    <col min="1632" max="1632" width="14.7109375" style="585" customWidth="1"/>
    <col min="1633" max="1636" width="9.7109375" style="585" customWidth="1"/>
    <col min="1637" max="1637" width="8.7109375" style="585" customWidth="1"/>
    <col min="1638" max="1638" width="10.7109375" style="585"/>
    <col min="1639" max="1639" width="12.7109375" style="585" customWidth="1"/>
    <col min="1640" max="1642" width="9.7109375" style="585" customWidth="1"/>
    <col min="1643" max="1643" width="9.140625" style="585" customWidth="1"/>
    <col min="1644" max="1644" width="9.140625" style="585" bestFit="1" customWidth="1"/>
    <col min="1645" max="1645" width="14" style="585" customWidth="1"/>
    <col min="1646" max="1660" width="9.140625" style="585" customWidth="1"/>
    <col min="1661" max="1661" width="9" style="585" bestFit="1" customWidth="1"/>
    <col min="1662" max="1662" width="9.140625" style="585" customWidth="1"/>
    <col min="1663" max="1663" width="20.7109375" style="585" customWidth="1"/>
    <col min="1664" max="1664" width="12.7109375" style="585" customWidth="1"/>
    <col min="1665" max="1669" width="10.7109375" style="585"/>
    <col min="1670" max="1670" width="12.7109375" style="585" customWidth="1"/>
    <col min="1671" max="1672" width="10.7109375" style="585"/>
    <col min="1673" max="1673" width="20.7109375" style="585" customWidth="1"/>
    <col min="1674" max="1680" width="11.7109375" style="585" customWidth="1"/>
    <col min="1681" max="1682" width="9.140625" style="585" customWidth="1"/>
    <col min="1683" max="1683" width="14.140625" style="585" customWidth="1"/>
    <col min="1684" max="1684" width="10.140625" style="585" customWidth="1"/>
    <col min="1685" max="1690" width="9.140625" style="585" customWidth="1"/>
    <col min="1691" max="1691" width="12.7109375" style="585" customWidth="1"/>
    <col min="1692" max="1695" width="9.140625" style="585" customWidth="1"/>
    <col min="1696" max="1696" width="9.7109375" style="585" customWidth="1"/>
    <col min="1697" max="1697" width="10.7109375" style="585"/>
    <col min="1698" max="1700" width="9.140625" style="585" customWidth="1"/>
    <col min="1701" max="1701" width="52.7109375" style="585" customWidth="1"/>
    <col min="1702" max="1714" width="10.7109375" style="585"/>
    <col min="1715" max="1715" width="12.7109375" style="585" customWidth="1"/>
    <col min="1716" max="1727" width="10.7109375" style="585"/>
    <col min="1728" max="1728" width="12.7109375" style="585" customWidth="1"/>
    <col min="1729" max="1729" width="10.7109375" style="585"/>
    <col min="1730" max="1730" width="9.140625" style="585" customWidth="1"/>
    <col min="1731" max="1731" width="20.7109375" style="585" customWidth="1"/>
    <col min="1732" max="1755" width="12.7109375" style="585" customWidth="1"/>
    <col min="1756" max="1756" width="14.42578125" style="585" customWidth="1"/>
    <col min="1757" max="1757" width="20.7109375" style="585" customWidth="1"/>
    <col min="1758" max="1767" width="12.7109375" style="585" customWidth="1"/>
    <col min="1768" max="1773" width="10.7109375" style="585"/>
    <col min="1774" max="1776" width="9.140625" style="585" customWidth="1"/>
    <col min="1777" max="1777" width="20.7109375" style="585" customWidth="1"/>
    <col min="1778" max="1787" width="10.7109375" style="585"/>
    <col min="1788" max="1788" width="23" style="585" customWidth="1"/>
    <col min="1789" max="1798" width="10.7109375" style="585"/>
    <col min="1799" max="1800" width="10.140625" style="585" customWidth="1"/>
    <col min="1801" max="1801" width="17.7109375" style="585" customWidth="1"/>
    <col min="1802" max="1810" width="10.5703125" style="585" customWidth="1"/>
    <col min="1811" max="1811" width="10.140625" style="585" customWidth="1"/>
    <col min="1812" max="1812" width="17.140625" style="585" customWidth="1"/>
    <col min="1813" max="1821" width="10.7109375" style="585"/>
    <col min="1822" max="1822" width="10.140625" style="585" customWidth="1"/>
    <col min="1823" max="1823" width="9.140625" style="585" customWidth="1"/>
    <col min="1824" max="1824" width="24.7109375" style="585" customWidth="1"/>
    <col min="1825" max="1826" width="9.7109375" style="585" customWidth="1"/>
    <col min="1827" max="1831" width="10.7109375" style="585"/>
    <col min="1832" max="1843" width="12.7109375" style="585" customWidth="1"/>
    <col min="1844" max="1844" width="10.7109375" style="585"/>
    <col min="1845" max="1845" width="9.140625" style="585" customWidth="1"/>
    <col min="1846" max="1846" width="18.7109375" style="585" customWidth="1"/>
    <col min="1847" max="1854" width="12.7109375" style="585" customWidth="1"/>
    <col min="1855" max="1855" width="32.7109375" style="585" customWidth="1"/>
    <col min="1856" max="1856" width="11.140625" style="585" customWidth="1"/>
    <col min="1857" max="1857" width="13.85546875" style="585" customWidth="1"/>
    <col min="1858" max="1871" width="9.140625" style="585" customWidth="1"/>
    <col min="1872" max="1872" width="10.28515625" style="585" customWidth="1"/>
    <col min="1873" max="1887" width="9.140625" style="585" customWidth="1"/>
    <col min="1888" max="1888" width="14.7109375" style="585" customWidth="1"/>
    <col min="1889" max="1892" width="9.7109375" style="585" customWidth="1"/>
    <col min="1893" max="1893" width="8.7109375" style="585" customWidth="1"/>
    <col min="1894" max="1894" width="10.7109375" style="585"/>
    <col min="1895" max="1895" width="12.7109375" style="585" customWidth="1"/>
    <col min="1896" max="1898" width="9.7109375" style="585" customWidth="1"/>
    <col min="1899" max="1899" width="9.140625" style="585" customWidth="1"/>
    <col min="1900" max="1900" width="9.140625" style="585" bestFit="1" customWidth="1"/>
    <col min="1901" max="1901" width="14" style="585" customWidth="1"/>
    <col min="1902" max="1916" width="9.140625" style="585" customWidth="1"/>
    <col min="1917" max="1917" width="9" style="585" bestFit="1" customWidth="1"/>
    <col min="1918" max="1918" width="9.140625" style="585" customWidth="1"/>
    <col min="1919" max="1919" width="20.7109375" style="585" customWidth="1"/>
    <col min="1920" max="1920" width="12.7109375" style="585" customWidth="1"/>
    <col min="1921" max="1925" width="10.7109375" style="585"/>
    <col min="1926" max="1926" width="12.7109375" style="585" customWidth="1"/>
    <col min="1927" max="1928" width="10.7109375" style="585"/>
    <col min="1929" max="1929" width="20.7109375" style="585" customWidth="1"/>
    <col min="1930" max="1936" width="11.7109375" style="585" customWidth="1"/>
    <col min="1937" max="1938" width="9.140625" style="585" customWidth="1"/>
    <col min="1939" max="1939" width="14.140625" style="585" customWidth="1"/>
    <col min="1940" max="1940" width="10.140625" style="585" customWidth="1"/>
    <col min="1941" max="1946" width="9.140625" style="585" customWidth="1"/>
    <col min="1947" max="1947" width="12.7109375" style="585" customWidth="1"/>
    <col min="1948" max="1951" width="9.140625" style="585" customWidth="1"/>
    <col min="1952" max="1952" width="9.7109375" style="585" customWidth="1"/>
    <col min="1953" max="1953" width="10.7109375" style="585"/>
    <col min="1954" max="1956" width="9.140625" style="585" customWidth="1"/>
    <col min="1957" max="1957" width="52.7109375" style="585" customWidth="1"/>
    <col min="1958" max="1970" width="10.7109375" style="585"/>
    <col min="1971" max="1971" width="12.7109375" style="585" customWidth="1"/>
    <col min="1972" max="1983" width="10.7109375" style="585"/>
    <col min="1984" max="1984" width="12.7109375" style="585" customWidth="1"/>
    <col min="1985" max="1985" width="10.7109375" style="585"/>
    <col min="1986" max="1986" width="9.140625" style="585" customWidth="1"/>
    <col min="1987" max="1987" width="20.7109375" style="585" customWidth="1"/>
    <col min="1988" max="2011" width="12.7109375" style="585" customWidth="1"/>
    <col min="2012" max="2012" width="14.42578125" style="585" customWidth="1"/>
    <col min="2013" max="2013" width="20.7109375" style="585" customWidth="1"/>
    <col min="2014" max="2023" width="12.7109375" style="585" customWidth="1"/>
    <col min="2024" max="2029" width="10.7109375" style="585"/>
    <col min="2030" max="2032" width="9.140625" style="585" customWidth="1"/>
    <col min="2033" max="2033" width="20.7109375" style="585" customWidth="1"/>
    <col min="2034" max="2043" width="10.7109375" style="585"/>
    <col min="2044" max="2044" width="23" style="585" customWidth="1"/>
    <col min="2045" max="2054" width="10.7109375" style="585"/>
    <col min="2055" max="2056" width="10.140625" style="585" customWidth="1"/>
    <col min="2057" max="2057" width="17.7109375" style="585" customWidth="1"/>
    <col min="2058" max="2066" width="10.5703125" style="585" customWidth="1"/>
    <col min="2067" max="2067" width="10.140625" style="585" customWidth="1"/>
    <col min="2068" max="2068" width="17.140625" style="585" customWidth="1"/>
    <col min="2069" max="2077" width="10.7109375" style="585"/>
    <col min="2078" max="2078" width="10.140625" style="585" customWidth="1"/>
    <col min="2079" max="2079" width="9.140625" style="585" customWidth="1"/>
    <col min="2080" max="2080" width="24.7109375" style="585" customWidth="1"/>
    <col min="2081" max="2082" width="9.7109375" style="585" customWidth="1"/>
    <col min="2083" max="2087" width="10.7109375" style="585"/>
    <col min="2088" max="2099" width="12.7109375" style="585" customWidth="1"/>
    <col min="2100" max="2100" width="10.7109375" style="585"/>
    <col min="2101" max="2101" width="9.140625" style="585" customWidth="1"/>
    <col min="2102" max="2102" width="18.7109375" style="585" customWidth="1"/>
    <col min="2103" max="2110" width="12.7109375" style="585" customWidth="1"/>
    <col min="2111" max="2111" width="32.7109375" style="585" customWidth="1"/>
    <col min="2112" max="2112" width="11.140625" style="585" customWidth="1"/>
    <col min="2113" max="2113" width="13.85546875" style="585" customWidth="1"/>
    <col min="2114" max="2127" width="9.140625" style="585" customWidth="1"/>
    <col min="2128" max="2128" width="10.28515625" style="585" customWidth="1"/>
    <col min="2129" max="2143" width="9.140625" style="585" customWidth="1"/>
    <col min="2144" max="2144" width="14.7109375" style="585" customWidth="1"/>
    <col min="2145" max="2148" width="9.7109375" style="585" customWidth="1"/>
    <col min="2149" max="2149" width="8.7109375" style="585" customWidth="1"/>
    <col min="2150" max="2150" width="10.7109375" style="585"/>
    <col min="2151" max="2151" width="12.7109375" style="585" customWidth="1"/>
    <col min="2152" max="2154" width="9.7109375" style="585" customWidth="1"/>
    <col min="2155" max="2155" width="9.140625" style="585" customWidth="1"/>
    <col min="2156" max="2156" width="9.140625" style="585" bestFit="1" customWidth="1"/>
    <col min="2157" max="2157" width="14" style="585" customWidth="1"/>
    <col min="2158" max="2172" width="9.140625" style="585" customWidth="1"/>
    <col min="2173" max="2173" width="9" style="585" bestFit="1" customWidth="1"/>
    <col min="2174" max="2174" width="9.140625" style="585" customWidth="1"/>
    <col min="2175" max="2175" width="20.7109375" style="585" customWidth="1"/>
    <col min="2176" max="2176" width="12.7109375" style="585" customWidth="1"/>
    <col min="2177" max="2181" width="10.7109375" style="585"/>
    <col min="2182" max="2182" width="12.7109375" style="585" customWidth="1"/>
    <col min="2183" max="2184" width="10.7109375" style="585"/>
    <col min="2185" max="2185" width="20.7109375" style="585" customWidth="1"/>
    <col min="2186" max="2192" width="11.7109375" style="585" customWidth="1"/>
    <col min="2193" max="2194" width="9.140625" style="585" customWidth="1"/>
    <col min="2195" max="2195" width="14.140625" style="585" customWidth="1"/>
    <col min="2196" max="2196" width="10.140625" style="585" customWidth="1"/>
    <col min="2197" max="2202" width="9.140625" style="585" customWidth="1"/>
    <col min="2203" max="2203" width="12.7109375" style="585" customWidth="1"/>
    <col min="2204" max="2207" width="9.140625" style="585" customWidth="1"/>
    <col min="2208" max="2208" width="9.7109375" style="585" customWidth="1"/>
    <col min="2209" max="2209" width="10.7109375" style="585"/>
    <col min="2210" max="2212" width="9.140625" style="585" customWidth="1"/>
    <col min="2213" max="2213" width="52.7109375" style="585" customWidth="1"/>
    <col min="2214" max="2226" width="10.7109375" style="585"/>
    <col min="2227" max="2227" width="12.7109375" style="585" customWidth="1"/>
    <col min="2228" max="2239" width="10.7109375" style="585"/>
    <col min="2240" max="2240" width="12.7109375" style="585" customWidth="1"/>
    <col min="2241" max="2241" width="10.7109375" style="585"/>
    <col min="2242" max="2242" width="9.140625" style="585" customWidth="1"/>
    <col min="2243" max="2243" width="20.7109375" style="585" customWidth="1"/>
    <col min="2244" max="2267" width="12.7109375" style="585" customWidth="1"/>
    <col min="2268" max="2268" width="14.42578125" style="585" customWidth="1"/>
    <col min="2269" max="2269" width="20.7109375" style="585" customWidth="1"/>
    <col min="2270" max="2279" width="12.7109375" style="585" customWidth="1"/>
    <col min="2280" max="2285" width="10.7109375" style="585"/>
    <col min="2286" max="2288" width="9.140625" style="585" customWidth="1"/>
    <col min="2289" max="2289" width="20.7109375" style="585" customWidth="1"/>
    <col min="2290" max="2299" width="10.7109375" style="585"/>
    <col min="2300" max="2300" width="23" style="585" customWidth="1"/>
    <col min="2301" max="2310" width="10.7109375" style="585"/>
    <col min="2311" max="2312" width="10.140625" style="585" customWidth="1"/>
    <col min="2313" max="2313" width="17.7109375" style="585" customWidth="1"/>
    <col min="2314" max="2322" width="10.5703125" style="585" customWidth="1"/>
    <col min="2323" max="2323" width="10.140625" style="585" customWidth="1"/>
    <col min="2324" max="2324" width="17.140625" style="585" customWidth="1"/>
    <col min="2325" max="2333" width="10.7109375" style="585"/>
    <col min="2334" max="2334" width="10.140625" style="585" customWidth="1"/>
    <col min="2335" max="2335" width="9.140625" style="585" customWidth="1"/>
    <col min="2336" max="2336" width="24.7109375" style="585" customWidth="1"/>
    <col min="2337" max="2338" width="9.7109375" style="585" customWidth="1"/>
    <col min="2339" max="2343" width="10.7109375" style="585"/>
    <col min="2344" max="2355" width="12.7109375" style="585" customWidth="1"/>
    <col min="2356" max="2356" width="10.7109375" style="585"/>
    <col min="2357" max="2357" width="9.140625" style="585" customWidth="1"/>
    <col min="2358" max="2358" width="18.7109375" style="585" customWidth="1"/>
    <col min="2359" max="2366" width="12.7109375" style="585" customWidth="1"/>
    <col min="2367" max="2367" width="32.7109375" style="585" customWidth="1"/>
    <col min="2368" max="2368" width="11.140625" style="585" customWidth="1"/>
    <col min="2369" max="2369" width="13.85546875" style="585" customWidth="1"/>
    <col min="2370" max="2383" width="9.140625" style="585" customWidth="1"/>
    <col min="2384" max="2384" width="10.28515625" style="585" customWidth="1"/>
    <col min="2385" max="2399" width="9.140625" style="585" customWidth="1"/>
    <col min="2400" max="2400" width="14.7109375" style="585" customWidth="1"/>
    <col min="2401" max="2404" width="9.7109375" style="585" customWidth="1"/>
    <col min="2405" max="2405" width="8.7109375" style="585" customWidth="1"/>
    <col min="2406" max="2406" width="10.7109375" style="585"/>
    <col min="2407" max="2407" width="12.7109375" style="585" customWidth="1"/>
    <col min="2408" max="2410" width="9.7109375" style="585" customWidth="1"/>
    <col min="2411" max="2411" width="9.140625" style="585" customWidth="1"/>
    <col min="2412" max="2412" width="9.140625" style="585" bestFit="1" customWidth="1"/>
    <col min="2413" max="2413" width="14" style="585" customWidth="1"/>
    <col min="2414" max="2428" width="9.140625" style="585" customWidth="1"/>
    <col min="2429" max="2429" width="9" style="585" bestFit="1" customWidth="1"/>
    <col min="2430" max="2430" width="9.140625" style="585" customWidth="1"/>
    <col min="2431" max="2431" width="20.7109375" style="585" customWidth="1"/>
    <col min="2432" max="2432" width="12.7109375" style="585" customWidth="1"/>
    <col min="2433" max="2437" width="10.7109375" style="585"/>
    <col min="2438" max="2438" width="12.7109375" style="585" customWidth="1"/>
    <col min="2439" max="2440" width="10.7109375" style="585"/>
    <col min="2441" max="2441" width="20.7109375" style="585" customWidth="1"/>
    <col min="2442" max="2448" width="11.7109375" style="585" customWidth="1"/>
    <col min="2449" max="2450" width="9.140625" style="585" customWidth="1"/>
    <col min="2451" max="2451" width="14.140625" style="585" customWidth="1"/>
    <col min="2452" max="2452" width="10.140625" style="585" customWidth="1"/>
    <col min="2453" max="2458" width="9.140625" style="585" customWidth="1"/>
    <col min="2459" max="2459" width="12.7109375" style="585" customWidth="1"/>
    <col min="2460" max="2463" width="9.140625" style="585" customWidth="1"/>
    <col min="2464" max="2464" width="9.7109375" style="585" customWidth="1"/>
    <col min="2465" max="2465" width="10.7109375" style="585"/>
    <col min="2466" max="2468" width="9.140625" style="585" customWidth="1"/>
    <col min="2469" max="2469" width="52.7109375" style="585" customWidth="1"/>
    <col min="2470" max="2482" width="10.7109375" style="585"/>
    <col min="2483" max="2483" width="12.7109375" style="585" customWidth="1"/>
    <col min="2484" max="2495" width="10.7109375" style="585"/>
    <col min="2496" max="2496" width="12.7109375" style="585" customWidth="1"/>
    <col min="2497" max="2497" width="10.7109375" style="585"/>
    <col min="2498" max="2498" width="9.140625" style="585" customWidth="1"/>
    <col min="2499" max="2499" width="20.7109375" style="585" customWidth="1"/>
    <col min="2500" max="2523" width="12.7109375" style="585" customWidth="1"/>
    <col min="2524" max="2524" width="14.42578125" style="585" customWidth="1"/>
    <col min="2525" max="2525" width="20.7109375" style="585" customWidth="1"/>
    <col min="2526" max="2535" width="12.7109375" style="585" customWidth="1"/>
    <col min="2536" max="2541" width="10.7109375" style="585"/>
    <col min="2542" max="2544" width="9.140625" style="585" customWidth="1"/>
    <col min="2545" max="2545" width="20.7109375" style="585" customWidth="1"/>
    <col min="2546" max="2555" width="10.7109375" style="585"/>
    <col min="2556" max="2556" width="23" style="585" customWidth="1"/>
    <col min="2557" max="2566" width="10.7109375" style="585"/>
    <col min="2567" max="2568" width="10.140625" style="585" customWidth="1"/>
    <col min="2569" max="2569" width="17.7109375" style="585" customWidth="1"/>
    <col min="2570" max="2578" width="10.5703125" style="585" customWidth="1"/>
    <col min="2579" max="2579" width="10.140625" style="585" customWidth="1"/>
    <col min="2580" max="2580" width="17.140625" style="585" customWidth="1"/>
    <col min="2581" max="2589" width="10.7109375" style="585"/>
    <col min="2590" max="2590" width="10.140625" style="585" customWidth="1"/>
    <col min="2591" max="2591" width="9.140625" style="585" customWidth="1"/>
    <col min="2592" max="2592" width="24.7109375" style="585" customWidth="1"/>
    <col min="2593" max="2594" width="9.7109375" style="585" customWidth="1"/>
    <col min="2595" max="2599" width="10.7109375" style="585"/>
    <col min="2600" max="2611" width="12.7109375" style="585" customWidth="1"/>
    <col min="2612" max="2612" width="10.7109375" style="585"/>
    <col min="2613" max="2613" width="9.140625" style="585" customWidth="1"/>
    <col min="2614" max="2614" width="18.7109375" style="585" customWidth="1"/>
    <col min="2615" max="2622" width="12.7109375" style="585" customWidth="1"/>
    <col min="2623" max="2623" width="32.7109375" style="585" customWidth="1"/>
    <col min="2624" max="2624" width="11.140625" style="585" customWidth="1"/>
    <col min="2625" max="2625" width="13.85546875" style="585" customWidth="1"/>
    <col min="2626" max="2639" width="9.140625" style="585" customWidth="1"/>
    <col min="2640" max="2640" width="10.28515625" style="585" customWidth="1"/>
    <col min="2641" max="2655" width="9.140625" style="585" customWidth="1"/>
    <col min="2656" max="2656" width="14.7109375" style="585" customWidth="1"/>
    <col min="2657" max="2660" width="9.7109375" style="585" customWidth="1"/>
    <col min="2661" max="2661" width="8.7109375" style="585" customWidth="1"/>
    <col min="2662" max="2662" width="10.7109375" style="585"/>
    <col min="2663" max="2663" width="12.7109375" style="585" customWidth="1"/>
    <col min="2664" max="2666" width="9.7109375" style="585" customWidth="1"/>
    <col min="2667" max="2667" width="9.140625" style="585" customWidth="1"/>
    <col min="2668" max="2668" width="9.140625" style="585" bestFit="1" customWidth="1"/>
    <col min="2669" max="2669" width="14" style="585" customWidth="1"/>
    <col min="2670" max="2684" width="9.140625" style="585" customWidth="1"/>
    <col min="2685" max="2685" width="9" style="585" bestFit="1" customWidth="1"/>
    <col min="2686" max="2686" width="9.140625" style="585" customWidth="1"/>
    <col min="2687" max="2687" width="20.7109375" style="585" customWidth="1"/>
    <col min="2688" max="2688" width="12.7109375" style="585" customWidth="1"/>
    <col min="2689" max="2693" width="10.7109375" style="585"/>
    <col min="2694" max="2694" width="12.7109375" style="585" customWidth="1"/>
    <col min="2695" max="2696" width="10.7109375" style="585"/>
    <col min="2697" max="2697" width="20.7109375" style="585" customWidth="1"/>
    <col min="2698" max="2704" width="11.7109375" style="585" customWidth="1"/>
    <col min="2705" max="2706" width="9.140625" style="585" customWidth="1"/>
    <col min="2707" max="2707" width="14.140625" style="585" customWidth="1"/>
    <col min="2708" max="2708" width="10.140625" style="585" customWidth="1"/>
    <col min="2709" max="2714" width="9.140625" style="585" customWidth="1"/>
    <col min="2715" max="2715" width="12.7109375" style="585" customWidth="1"/>
    <col min="2716" max="2719" width="9.140625" style="585" customWidth="1"/>
    <col min="2720" max="2720" width="9.7109375" style="585" customWidth="1"/>
    <col min="2721" max="2721" width="10.7109375" style="585"/>
    <col min="2722" max="2724" width="9.140625" style="585" customWidth="1"/>
    <col min="2725" max="2725" width="52.7109375" style="585" customWidth="1"/>
    <col min="2726" max="2738" width="10.7109375" style="585"/>
    <col min="2739" max="2739" width="12.7109375" style="585" customWidth="1"/>
    <col min="2740" max="2751" width="10.7109375" style="585"/>
    <col min="2752" max="2752" width="12.7109375" style="585" customWidth="1"/>
    <col min="2753" max="2753" width="10.7109375" style="585"/>
    <col min="2754" max="2754" width="9.140625" style="585" customWidth="1"/>
    <col min="2755" max="2755" width="20.7109375" style="585" customWidth="1"/>
    <col min="2756" max="2779" width="12.7109375" style="585" customWidth="1"/>
    <col min="2780" max="2780" width="14.42578125" style="585" customWidth="1"/>
    <col min="2781" max="2781" width="20.7109375" style="585" customWidth="1"/>
    <col min="2782" max="2791" width="12.7109375" style="585" customWidth="1"/>
    <col min="2792" max="2797" width="10.7109375" style="585"/>
    <col min="2798" max="2800" width="9.140625" style="585" customWidth="1"/>
    <col min="2801" max="2801" width="20.7109375" style="585" customWidth="1"/>
    <col min="2802" max="2811" width="10.7109375" style="585"/>
    <col min="2812" max="2812" width="23" style="585" customWidth="1"/>
    <col min="2813" max="2822" width="10.7109375" style="585"/>
    <col min="2823" max="2824" width="10.140625" style="585" customWidth="1"/>
    <col min="2825" max="2825" width="17.7109375" style="585" customWidth="1"/>
    <col min="2826" max="2834" width="10.5703125" style="585" customWidth="1"/>
    <col min="2835" max="2835" width="10.140625" style="585" customWidth="1"/>
    <col min="2836" max="2836" width="17.140625" style="585" customWidth="1"/>
    <col min="2837" max="2845" width="10.7109375" style="585"/>
    <col min="2846" max="2846" width="10.140625" style="585" customWidth="1"/>
    <col min="2847" max="2847" width="9.140625" style="585" customWidth="1"/>
    <col min="2848" max="2848" width="24.7109375" style="585" customWidth="1"/>
    <col min="2849" max="2850" width="9.7109375" style="585" customWidth="1"/>
    <col min="2851" max="2855" width="10.7109375" style="585"/>
    <col min="2856" max="2867" width="12.7109375" style="585" customWidth="1"/>
    <col min="2868" max="2868" width="10.7109375" style="585"/>
    <col min="2869" max="2869" width="9.140625" style="585" customWidth="1"/>
    <col min="2870" max="2870" width="18.7109375" style="585" customWidth="1"/>
    <col min="2871" max="2878" width="12.7109375" style="585" customWidth="1"/>
    <col min="2879" max="2879" width="32.7109375" style="585" customWidth="1"/>
    <col min="2880" max="2880" width="11.140625" style="585" customWidth="1"/>
    <col min="2881" max="2881" width="13.85546875" style="585" customWidth="1"/>
    <col min="2882" max="2895" width="9.140625" style="585" customWidth="1"/>
    <col min="2896" max="2896" width="10.28515625" style="585" customWidth="1"/>
    <col min="2897" max="2911" width="9.140625" style="585" customWidth="1"/>
    <col min="2912" max="2912" width="14.7109375" style="585" customWidth="1"/>
    <col min="2913" max="2916" width="9.7109375" style="585" customWidth="1"/>
    <col min="2917" max="2917" width="8.7109375" style="585" customWidth="1"/>
    <col min="2918" max="2918" width="10.7109375" style="585"/>
    <col min="2919" max="2919" width="12.7109375" style="585" customWidth="1"/>
    <col min="2920" max="2922" width="9.7109375" style="585" customWidth="1"/>
    <col min="2923" max="2923" width="9.140625" style="585" customWidth="1"/>
    <col min="2924" max="2924" width="9.140625" style="585" bestFit="1" customWidth="1"/>
    <col min="2925" max="2925" width="14" style="585" customWidth="1"/>
    <col min="2926" max="2940" width="9.140625" style="585" customWidth="1"/>
    <col min="2941" max="2941" width="9" style="585" bestFit="1" customWidth="1"/>
    <col min="2942" max="2942" width="9.140625" style="585" customWidth="1"/>
    <col min="2943" max="2943" width="20.7109375" style="585" customWidth="1"/>
    <col min="2944" max="2944" width="12.7109375" style="585" customWidth="1"/>
    <col min="2945" max="2949" width="10.7109375" style="585"/>
    <col min="2950" max="2950" width="12.7109375" style="585" customWidth="1"/>
    <col min="2951" max="2952" width="10.7109375" style="585"/>
    <col min="2953" max="2953" width="20.7109375" style="585" customWidth="1"/>
    <col min="2954" max="2960" width="11.7109375" style="585" customWidth="1"/>
    <col min="2961" max="2962" width="9.140625" style="585" customWidth="1"/>
    <col min="2963" max="2963" width="14.140625" style="585" customWidth="1"/>
    <col min="2964" max="2964" width="10.140625" style="585" customWidth="1"/>
    <col min="2965" max="2970" width="9.140625" style="585" customWidth="1"/>
    <col min="2971" max="2971" width="12.7109375" style="585" customWidth="1"/>
    <col min="2972" max="2975" width="9.140625" style="585" customWidth="1"/>
    <col min="2976" max="2976" width="9.7109375" style="585" customWidth="1"/>
    <col min="2977" max="2977" width="10.7109375" style="585"/>
    <col min="2978" max="2980" width="9.140625" style="585" customWidth="1"/>
    <col min="2981" max="2981" width="52.7109375" style="585" customWidth="1"/>
    <col min="2982" max="2994" width="10.7109375" style="585"/>
    <col min="2995" max="2995" width="12.7109375" style="585" customWidth="1"/>
    <col min="2996" max="3007" width="10.7109375" style="585"/>
    <col min="3008" max="3008" width="12.7109375" style="585" customWidth="1"/>
    <col min="3009" max="3009" width="10.7109375" style="585"/>
    <col min="3010" max="3010" width="9.140625" style="585" customWidth="1"/>
    <col min="3011" max="3011" width="20.7109375" style="585" customWidth="1"/>
    <col min="3012" max="3035" width="12.7109375" style="585" customWidth="1"/>
    <col min="3036" max="3036" width="14.42578125" style="585" customWidth="1"/>
    <col min="3037" max="3037" width="20.7109375" style="585" customWidth="1"/>
    <col min="3038" max="3047" width="12.7109375" style="585" customWidth="1"/>
    <col min="3048" max="3053" width="10.7109375" style="585"/>
    <col min="3054" max="3056" width="9.140625" style="585" customWidth="1"/>
    <col min="3057" max="3057" width="20.7109375" style="585" customWidth="1"/>
    <col min="3058" max="3067" width="10.7109375" style="585"/>
    <col min="3068" max="3068" width="23" style="585" customWidth="1"/>
    <col min="3069" max="3078" width="10.7109375" style="585"/>
    <col min="3079" max="3080" width="10.140625" style="585" customWidth="1"/>
    <col min="3081" max="3081" width="17.7109375" style="585" customWidth="1"/>
    <col min="3082" max="3090" width="10.5703125" style="585" customWidth="1"/>
    <col min="3091" max="3091" width="10.140625" style="585" customWidth="1"/>
    <col min="3092" max="3092" width="17.140625" style="585" customWidth="1"/>
    <col min="3093" max="3101" width="10.7109375" style="585"/>
    <col min="3102" max="3102" width="10.140625" style="585" customWidth="1"/>
    <col min="3103" max="3103" width="9.140625" style="585" customWidth="1"/>
    <col min="3104" max="3104" width="24.7109375" style="585" customWidth="1"/>
    <col min="3105" max="3106" width="9.7109375" style="585" customWidth="1"/>
    <col min="3107" max="3111" width="10.7109375" style="585"/>
    <col min="3112" max="3123" width="12.7109375" style="585" customWidth="1"/>
    <col min="3124" max="3124" width="10.7109375" style="585"/>
    <col min="3125" max="3125" width="9.140625" style="585" customWidth="1"/>
    <col min="3126" max="3126" width="18.7109375" style="585" customWidth="1"/>
    <col min="3127" max="3134" width="12.7109375" style="585" customWidth="1"/>
    <col min="3135" max="3135" width="32.7109375" style="585" customWidth="1"/>
    <col min="3136" max="3136" width="11.140625" style="585" customWidth="1"/>
    <col min="3137" max="3137" width="13.85546875" style="585" customWidth="1"/>
    <col min="3138" max="3151" width="9.140625" style="585" customWidth="1"/>
    <col min="3152" max="3152" width="10.28515625" style="585" customWidth="1"/>
    <col min="3153" max="3167" width="9.140625" style="585" customWidth="1"/>
    <col min="3168" max="3168" width="14.7109375" style="585" customWidth="1"/>
    <col min="3169" max="3172" width="9.7109375" style="585" customWidth="1"/>
    <col min="3173" max="3173" width="8.7109375" style="585" customWidth="1"/>
    <col min="3174" max="3174" width="10.7109375" style="585"/>
    <col min="3175" max="3175" width="12.7109375" style="585" customWidth="1"/>
    <col min="3176" max="3178" width="9.7109375" style="585" customWidth="1"/>
    <col min="3179" max="3179" width="9.140625" style="585" customWidth="1"/>
    <col min="3180" max="3180" width="9.140625" style="585" bestFit="1" customWidth="1"/>
    <col min="3181" max="3181" width="14" style="585" customWidth="1"/>
    <col min="3182" max="3196" width="9.140625" style="585" customWidth="1"/>
    <col min="3197" max="3197" width="9" style="585" bestFit="1" customWidth="1"/>
    <col min="3198" max="3198" width="9.140625" style="585" customWidth="1"/>
    <col min="3199" max="3199" width="20.7109375" style="585" customWidth="1"/>
    <col min="3200" max="3200" width="12.7109375" style="585" customWidth="1"/>
    <col min="3201" max="3205" width="10.7109375" style="585"/>
    <col min="3206" max="3206" width="12.7109375" style="585" customWidth="1"/>
    <col min="3207" max="3208" width="10.7109375" style="585"/>
    <col min="3209" max="3209" width="20.7109375" style="585" customWidth="1"/>
    <col min="3210" max="3216" width="11.7109375" style="585" customWidth="1"/>
    <col min="3217" max="3218" width="9.140625" style="585" customWidth="1"/>
    <col min="3219" max="3219" width="14.140625" style="585" customWidth="1"/>
    <col min="3220" max="3220" width="10.140625" style="585" customWidth="1"/>
    <col min="3221" max="3226" width="9.140625" style="585" customWidth="1"/>
    <col min="3227" max="3227" width="12.7109375" style="585" customWidth="1"/>
    <col min="3228" max="3231" width="9.140625" style="585" customWidth="1"/>
    <col min="3232" max="3232" width="9.7109375" style="585" customWidth="1"/>
    <col min="3233" max="3233" width="10.7109375" style="585"/>
    <col min="3234" max="3236" width="9.140625" style="585" customWidth="1"/>
    <col min="3237" max="3237" width="52.7109375" style="585" customWidth="1"/>
    <col min="3238" max="3250" width="10.7109375" style="585"/>
    <col min="3251" max="3251" width="12.7109375" style="585" customWidth="1"/>
    <col min="3252" max="3263" width="10.7109375" style="585"/>
    <col min="3264" max="3264" width="12.7109375" style="585" customWidth="1"/>
    <col min="3265" max="3265" width="10.7109375" style="585"/>
    <col min="3266" max="3266" width="9.140625" style="585" customWidth="1"/>
    <col min="3267" max="3267" width="20.7109375" style="585" customWidth="1"/>
    <col min="3268" max="3291" width="12.7109375" style="585" customWidth="1"/>
    <col min="3292" max="3292" width="14.42578125" style="585" customWidth="1"/>
    <col min="3293" max="3293" width="20.7109375" style="585" customWidth="1"/>
    <col min="3294" max="3303" width="12.7109375" style="585" customWidth="1"/>
    <col min="3304" max="3309" width="10.7109375" style="585"/>
    <col min="3310" max="3312" width="9.140625" style="585" customWidth="1"/>
    <col min="3313" max="3313" width="20.7109375" style="585" customWidth="1"/>
    <col min="3314" max="3323" width="10.7109375" style="585"/>
    <col min="3324" max="3324" width="23" style="585" customWidth="1"/>
    <col min="3325" max="3334" width="10.7109375" style="585"/>
    <col min="3335" max="3336" width="10.140625" style="585" customWidth="1"/>
    <col min="3337" max="3337" width="17.7109375" style="585" customWidth="1"/>
    <col min="3338" max="3346" width="10.5703125" style="585" customWidth="1"/>
    <col min="3347" max="3347" width="10.140625" style="585" customWidth="1"/>
    <col min="3348" max="3348" width="17.140625" style="585" customWidth="1"/>
    <col min="3349" max="3357" width="10.7109375" style="585"/>
    <col min="3358" max="3358" width="10.140625" style="585" customWidth="1"/>
    <col min="3359" max="3359" width="9.140625" style="585" customWidth="1"/>
    <col min="3360" max="3360" width="24.7109375" style="585" customWidth="1"/>
    <col min="3361" max="3362" width="9.7109375" style="585" customWidth="1"/>
    <col min="3363" max="3367" width="10.7109375" style="585"/>
    <col min="3368" max="3379" width="12.7109375" style="585" customWidth="1"/>
    <col min="3380" max="3380" width="10.7109375" style="585"/>
    <col min="3381" max="3381" width="9.140625" style="585" customWidth="1"/>
    <col min="3382" max="3382" width="18.7109375" style="585" customWidth="1"/>
    <col min="3383" max="3390" width="12.7109375" style="585" customWidth="1"/>
    <col min="3391" max="3391" width="32.7109375" style="585" customWidth="1"/>
    <col min="3392" max="3392" width="11.140625" style="585" customWidth="1"/>
    <col min="3393" max="3393" width="13.85546875" style="585" customWidth="1"/>
    <col min="3394" max="3407" width="9.140625" style="585" customWidth="1"/>
    <col min="3408" max="3408" width="10.28515625" style="585" customWidth="1"/>
    <col min="3409" max="3423" width="9.140625" style="585" customWidth="1"/>
    <col min="3424" max="3424" width="14.7109375" style="585" customWidth="1"/>
    <col min="3425" max="3428" width="9.7109375" style="585" customWidth="1"/>
    <col min="3429" max="3429" width="8.7109375" style="585" customWidth="1"/>
    <col min="3430" max="3430" width="10.7109375" style="585"/>
    <col min="3431" max="3431" width="12.7109375" style="585" customWidth="1"/>
    <col min="3432" max="3434" width="9.7109375" style="585" customWidth="1"/>
    <col min="3435" max="3435" width="9.140625" style="585" customWidth="1"/>
    <col min="3436" max="3436" width="9.140625" style="585" bestFit="1" customWidth="1"/>
    <col min="3437" max="3437" width="14" style="585" customWidth="1"/>
    <col min="3438" max="3452" width="9.140625" style="585" customWidth="1"/>
    <col min="3453" max="3453" width="9" style="585" bestFit="1" customWidth="1"/>
    <col min="3454" max="3454" width="9.140625" style="585" customWidth="1"/>
    <col min="3455" max="3455" width="20.7109375" style="585" customWidth="1"/>
    <col min="3456" max="3456" width="12.7109375" style="585" customWidth="1"/>
    <col min="3457" max="3461" width="10.7109375" style="585"/>
    <col min="3462" max="3462" width="12.7109375" style="585" customWidth="1"/>
    <col min="3463" max="3464" width="10.7109375" style="585"/>
    <col min="3465" max="3465" width="20.7109375" style="585" customWidth="1"/>
    <col min="3466" max="3472" width="11.7109375" style="585" customWidth="1"/>
    <col min="3473" max="3474" width="9.140625" style="585" customWidth="1"/>
    <col min="3475" max="3475" width="14.140625" style="585" customWidth="1"/>
    <col min="3476" max="3476" width="10.140625" style="585" customWidth="1"/>
    <col min="3477" max="3482" width="9.140625" style="585" customWidth="1"/>
    <col min="3483" max="3483" width="12.7109375" style="585" customWidth="1"/>
    <col min="3484" max="3487" width="9.140625" style="585" customWidth="1"/>
    <col min="3488" max="3488" width="9.7109375" style="585" customWidth="1"/>
    <col min="3489" max="3489" width="10.7109375" style="585"/>
    <col min="3490" max="3492" width="9.140625" style="585" customWidth="1"/>
    <col min="3493" max="3493" width="52.7109375" style="585" customWidth="1"/>
    <col min="3494" max="3506" width="10.7109375" style="585"/>
    <col min="3507" max="3507" width="12.7109375" style="585" customWidth="1"/>
    <col min="3508" max="3519" width="10.7109375" style="585"/>
    <col min="3520" max="3520" width="12.7109375" style="585" customWidth="1"/>
    <col min="3521" max="3521" width="10.7109375" style="585"/>
    <col min="3522" max="3522" width="9.140625" style="585" customWidth="1"/>
    <col min="3523" max="3523" width="20.7109375" style="585" customWidth="1"/>
    <col min="3524" max="3547" width="12.7109375" style="585" customWidth="1"/>
    <col min="3548" max="3548" width="14.42578125" style="585" customWidth="1"/>
    <col min="3549" max="3549" width="20.7109375" style="585" customWidth="1"/>
    <col min="3550" max="3559" width="12.7109375" style="585" customWidth="1"/>
    <col min="3560" max="3565" width="10.7109375" style="585"/>
    <col min="3566" max="3568" width="9.140625" style="585" customWidth="1"/>
    <col min="3569" max="3569" width="20.7109375" style="585" customWidth="1"/>
    <col min="3570" max="3579" width="10.7109375" style="585"/>
    <col min="3580" max="3580" width="23" style="585" customWidth="1"/>
    <col min="3581" max="3590" width="10.7109375" style="585"/>
    <col min="3591" max="3592" width="10.140625" style="585" customWidth="1"/>
    <col min="3593" max="3593" width="17.7109375" style="585" customWidth="1"/>
    <col min="3594" max="3602" width="10.5703125" style="585" customWidth="1"/>
    <col min="3603" max="3603" width="10.140625" style="585" customWidth="1"/>
    <col min="3604" max="3604" width="17.140625" style="585" customWidth="1"/>
    <col min="3605" max="3613" width="10.7109375" style="585"/>
    <col min="3614" max="3614" width="10.140625" style="585" customWidth="1"/>
    <col min="3615" max="3615" width="9.140625" style="585" customWidth="1"/>
    <col min="3616" max="3616" width="24.7109375" style="585" customWidth="1"/>
    <col min="3617" max="3618" width="9.7109375" style="585" customWidth="1"/>
    <col min="3619" max="3623" width="10.7109375" style="585"/>
    <col min="3624" max="3635" width="12.7109375" style="585" customWidth="1"/>
    <col min="3636" max="3636" width="10.7109375" style="585"/>
    <col min="3637" max="3637" width="9.140625" style="585" customWidth="1"/>
    <col min="3638" max="3638" width="18.7109375" style="585" customWidth="1"/>
    <col min="3639" max="3646" width="12.7109375" style="585" customWidth="1"/>
    <col min="3647" max="3647" width="32.7109375" style="585" customWidth="1"/>
    <col min="3648" max="3648" width="11.140625" style="585" customWidth="1"/>
    <col min="3649" max="3649" width="13.85546875" style="585" customWidth="1"/>
    <col min="3650" max="3663" width="9.140625" style="585" customWidth="1"/>
    <col min="3664" max="3664" width="10.28515625" style="585" customWidth="1"/>
    <col min="3665" max="3679" width="9.140625" style="585" customWidth="1"/>
    <col min="3680" max="3680" width="14.7109375" style="585" customWidth="1"/>
    <col min="3681" max="3684" width="9.7109375" style="585" customWidth="1"/>
    <col min="3685" max="3685" width="8.7109375" style="585" customWidth="1"/>
    <col min="3686" max="3686" width="10.7109375" style="585"/>
    <col min="3687" max="3687" width="12.7109375" style="585" customWidth="1"/>
    <col min="3688" max="3690" width="9.7109375" style="585" customWidth="1"/>
    <col min="3691" max="3691" width="9.140625" style="585" customWidth="1"/>
    <col min="3692" max="3692" width="9.140625" style="585" bestFit="1" customWidth="1"/>
    <col min="3693" max="3693" width="14" style="585" customWidth="1"/>
    <col min="3694" max="3708" width="9.140625" style="585" customWidth="1"/>
    <col min="3709" max="3709" width="9" style="585" bestFit="1" customWidth="1"/>
    <col min="3710" max="3710" width="9.140625" style="585" customWidth="1"/>
    <col min="3711" max="3711" width="20.7109375" style="585" customWidth="1"/>
    <col min="3712" max="3712" width="12.7109375" style="585" customWidth="1"/>
    <col min="3713" max="3717" width="10.7109375" style="585"/>
    <col min="3718" max="3718" width="12.7109375" style="585" customWidth="1"/>
    <col min="3719" max="3720" width="10.7109375" style="585"/>
    <col min="3721" max="3721" width="20.7109375" style="585" customWidth="1"/>
    <col min="3722" max="3728" width="11.7109375" style="585" customWidth="1"/>
    <col min="3729" max="3730" width="9.140625" style="585" customWidth="1"/>
    <col min="3731" max="3731" width="14.140625" style="585" customWidth="1"/>
    <col min="3732" max="3732" width="10.140625" style="585" customWidth="1"/>
    <col min="3733" max="3738" width="9.140625" style="585" customWidth="1"/>
    <col min="3739" max="3739" width="12.7109375" style="585" customWidth="1"/>
    <col min="3740" max="3743" width="9.140625" style="585" customWidth="1"/>
    <col min="3744" max="3744" width="9.7109375" style="585" customWidth="1"/>
    <col min="3745" max="3745" width="10.7109375" style="585"/>
    <col min="3746" max="3748" width="9.140625" style="585" customWidth="1"/>
    <col min="3749" max="3749" width="52.7109375" style="585" customWidth="1"/>
    <col min="3750" max="3762" width="10.7109375" style="585"/>
    <col min="3763" max="3763" width="12.7109375" style="585" customWidth="1"/>
    <col min="3764" max="3775" width="10.7109375" style="585"/>
    <col min="3776" max="3776" width="12.7109375" style="585" customWidth="1"/>
    <col min="3777" max="3777" width="10.7109375" style="585"/>
    <col min="3778" max="3778" width="9.140625" style="585" customWidth="1"/>
    <col min="3779" max="3779" width="20.7109375" style="585" customWidth="1"/>
    <col min="3780" max="3803" width="12.7109375" style="585" customWidth="1"/>
    <col min="3804" max="3804" width="14.42578125" style="585" customWidth="1"/>
    <col min="3805" max="3805" width="20.7109375" style="585" customWidth="1"/>
    <col min="3806" max="3815" width="12.7109375" style="585" customWidth="1"/>
    <col min="3816" max="3821" width="10.7109375" style="585"/>
    <col min="3822" max="3824" width="9.140625" style="585" customWidth="1"/>
    <col min="3825" max="3825" width="20.7109375" style="585" customWidth="1"/>
    <col min="3826" max="3835" width="10.7109375" style="585"/>
    <col min="3836" max="3836" width="23" style="585" customWidth="1"/>
    <col min="3837" max="3846" width="10.7109375" style="585"/>
    <col min="3847" max="3848" width="10.140625" style="585" customWidth="1"/>
    <col min="3849" max="3849" width="17.7109375" style="585" customWidth="1"/>
    <col min="3850" max="3858" width="10.5703125" style="585" customWidth="1"/>
    <col min="3859" max="3859" width="10.140625" style="585" customWidth="1"/>
    <col min="3860" max="3860" width="17.140625" style="585" customWidth="1"/>
    <col min="3861" max="3869" width="10.7109375" style="585"/>
    <col min="3870" max="3870" width="10.140625" style="585" customWidth="1"/>
    <col min="3871" max="3871" width="9.140625" style="585" customWidth="1"/>
    <col min="3872" max="3872" width="24.7109375" style="585" customWidth="1"/>
    <col min="3873" max="3874" width="9.7109375" style="585" customWidth="1"/>
    <col min="3875" max="3879" width="10.7109375" style="585"/>
    <col min="3880" max="3891" width="12.7109375" style="585" customWidth="1"/>
    <col min="3892" max="3892" width="10.7109375" style="585"/>
    <col min="3893" max="3893" width="9.140625" style="585" customWidth="1"/>
    <col min="3894" max="3894" width="18.7109375" style="585" customWidth="1"/>
    <col min="3895" max="3902" width="12.7109375" style="585" customWidth="1"/>
    <col min="3903" max="3903" width="32.7109375" style="585" customWidth="1"/>
    <col min="3904" max="3904" width="11.140625" style="585" customWidth="1"/>
    <col min="3905" max="3905" width="13.85546875" style="585" customWidth="1"/>
    <col min="3906" max="3919" width="9.140625" style="585" customWidth="1"/>
    <col min="3920" max="3920" width="10.28515625" style="585" customWidth="1"/>
    <col min="3921" max="3935" width="9.140625" style="585" customWidth="1"/>
    <col min="3936" max="3936" width="14.7109375" style="585" customWidth="1"/>
    <col min="3937" max="3940" width="9.7109375" style="585" customWidth="1"/>
    <col min="3941" max="3941" width="8.7109375" style="585" customWidth="1"/>
    <col min="3942" max="3942" width="10.7109375" style="585"/>
    <col min="3943" max="3943" width="12.7109375" style="585" customWidth="1"/>
    <col min="3944" max="3946" width="9.7109375" style="585" customWidth="1"/>
    <col min="3947" max="3947" width="9.140625" style="585" customWidth="1"/>
    <col min="3948" max="3948" width="9.140625" style="585" bestFit="1" customWidth="1"/>
    <col min="3949" max="3949" width="14" style="585" customWidth="1"/>
    <col min="3950" max="3964" width="9.140625" style="585" customWidth="1"/>
    <col min="3965" max="3965" width="9" style="585" bestFit="1" customWidth="1"/>
    <col min="3966" max="3966" width="9.140625" style="585" customWidth="1"/>
    <col min="3967" max="3967" width="20.7109375" style="585" customWidth="1"/>
    <col min="3968" max="3968" width="12.7109375" style="585" customWidth="1"/>
    <col min="3969" max="3973" width="10.7109375" style="585"/>
    <col min="3974" max="3974" width="12.7109375" style="585" customWidth="1"/>
    <col min="3975" max="3976" width="10.7109375" style="585"/>
    <col min="3977" max="3977" width="20.7109375" style="585" customWidth="1"/>
    <col min="3978" max="3984" width="11.7109375" style="585" customWidth="1"/>
    <col min="3985" max="3986" width="9.140625" style="585" customWidth="1"/>
    <col min="3987" max="3987" width="14.140625" style="585" customWidth="1"/>
    <col min="3988" max="3988" width="10.140625" style="585" customWidth="1"/>
    <col min="3989" max="3994" width="9.140625" style="585" customWidth="1"/>
    <col min="3995" max="3995" width="12.7109375" style="585" customWidth="1"/>
    <col min="3996" max="3999" width="9.140625" style="585" customWidth="1"/>
    <col min="4000" max="4000" width="9.7109375" style="585" customWidth="1"/>
    <col min="4001" max="4001" width="10.7109375" style="585"/>
    <col min="4002" max="4004" width="9.140625" style="585" customWidth="1"/>
    <col min="4005" max="4005" width="52.7109375" style="585" customWidth="1"/>
    <col min="4006" max="4018" width="10.7109375" style="585"/>
    <col min="4019" max="4019" width="12.7109375" style="585" customWidth="1"/>
    <col min="4020" max="4031" width="10.7109375" style="585"/>
    <col min="4032" max="4032" width="12.7109375" style="585" customWidth="1"/>
    <col min="4033" max="4033" width="10.7109375" style="585"/>
    <col min="4034" max="4034" width="9.140625" style="585" customWidth="1"/>
    <col min="4035" max="4035" width="20.7109375" style="585" customWidth="1"/>
    <col min="4036" max="4059" width="12.7109375" style="585" customWidth="1"/>
    <col min="4060" max="4060" width="14.42578125" style="585" customWidth="1"/>
    <col min="4061" max="4061" width="20.7109375" style="585" customWidth="1"/>
    <col min="4062" max="4071" width="12.7109375" style="585" customWidth="1"/>
    <col min="4072" max="4077" width="10.7109375" style="585"/>
    <col min="4078" max="4080" width="9.140625" style="585" customWidth="1"/>
    <col min="4081" max="4081" width="20.7109375" style="585" customWidth="1"/>
    <col min="4082" max="4091" width="10.7109375" style="585"/>
    <col min="4092" max="4092" width="23" style="585" customWidth="1"/>
    <col min="4093" max="4102" width="10.7109375" style="585"/>
    <col min="4103" max="4104" width="10.140625" style="585" customWidth="1"/>
    <col min="4105" max="4105" width="17.7109375" style="585" customWidth="1"/>
    <col min="4106" max="4114" width="10.5703125" style="585" customWidth="1"/>
    <col min="4115" max="4115" width="10.140625" style="585" customWidth="1"/>
    <col min="4116" max="4116" width="17.140625" style="585" customWidth="1"/>
    <col min="4117" max="4125" width="10.7109375" style="585"/>
    <col min="4126" max="4126" width="10.140625" style="585" customWidth="1"/>
    <col min="4127" max="4127" width="9.140625" style="585" customWidth="1"/>
    <col min="4128" max="4128" width="24.7109375" style="585" customWidth="1"/>
    <col min="4129" max="4130" width="9.7109375" style="585" customWidth="1"/>
    <col min="4131" max="4135" width="10.7109375" style="585"/>
    <col min="4136" max="4147" width="12.7109375" style="585" customWidth="1"/>
    <col min="4148" max="4148" width="10.7109375" style="585"/>
    <col min="4149" max="4149" width="9.140625" style="585" customWidth="1"/>
    <col min="4150" max="4150" width="18.7109375" style="585" customWidth="1"/>
    <col min="4151" max="4158" width="12.7109375" style="585" customWidth="1"/>
    <col min="4159" max="4159" width="32.7109375" style="585" customWidth="1"/>
    <col min="4160" max="4160" width="11.140625" style="585" customWidth="1"/>
    <col min="4161" max="4161" width="13.85546875" style="585" customWidth="1"/>
    <col min="4162" max="4175" width="9.140625" style="585" customWidth="1"/>
    <col min="4176" max="4176" width="10.28515625" style="585" customWidth="1"/>
    <col min="4177" max="4191" width="9.140625" style="585" customWidth="1"/>
    <col min="4192" max="4192" width="14.7109375" style="585" customWidth="1"/>
    <col min="4193" max="4196" width="9.7109375" style="585" customWidth="1"/>
    <col min="4197" max="4197" width="8.7109375" style="585" customWidth="1"/>
    <col min="4198" max="4198" width="10.7109375" style="585"/>
    <col min="4199" max="4199" width="12.7109375" style="585" customWidth="1"/>
    <col min="4200" max="4202" width="9.7109375" style="585" customWidth="1"/>
    <col min="4203" max="4203" width="9.140625" style="585" customWidth="1"/>
    <col min="4204" max="4204" width="9.140625" style="585" bestFit="1" customWidth="1"/>
    <col min="4205" max="4205" width="14" style="585" customWidth="1"/>
    <col min="4206" max="4220" width="9.140625" style="585" customWidth="1"/>
    <col min="4221" max="4221" width="9" style="585" bestFit="1" customWidth="1"/>
    <col min="4222" max="4222" width="9.140625" style="585" customWidth="1"/>
    <col min="4223" max="4223" width="20.7109375" style="585" customWidth="1"/>
    <col min="4224" max="4224" width="12.7109375" style="585" customWidth="1"/>
    <col min="4225" max="4229" width="10.7109375" style="585"/>
    <col min="4230" max="4230" width="12.7109375" style="585" customWidth="1"/>
    <col min="4231" max="4232" width="10.7109375" style="585"/>
    <col min="4233" max="4233" width="20.7109375" style="585" customWidth="1"/>
    <col min="4234" max="4240" width="11.7109375" style="585" customWidth="1"/>
    <col min="4241" max="4242" width="9.140625" style="585" customWidth="1"/>
    <col min="4243" max="4243" width="14.140625" style="585" customWidth="1"/>
    <col min="4244" max="4244" width="10.140625" style="585" customWidth="1"/>
    <col min="4245" max="4250" width="9.140625" style="585" customWidth="1"/>
    <col min="4251" max="4251" width="12.7109375" style="585" customWidth="1"/>
    <col min="4252" max="4255" width="9.140625" style="585" customWidth="1"/>
    <col min="4256" max="4256" width="9.7109375" style="585" customWidth="1"/>
    <col min="4257" max="4257" width="10.7109375" style="585"/>
    <col min="4258" max="4260" width="9.140625" style="585" customWidth="1"/>
    <col min="4261" max="4261" width="52.7109375" style="585" customWidth="1"/>
    <col min="4262" max="4274" width="10.7109375" style="585"/>
    <col min="4275" max="4275" width="12.7109375" style="585" customWidth="1"/>
    <col min="4276" max="4287" width="10.7109375" style="585"/>
    <col min="4288" max="4288" width="12.7109375" style="585" customWidth="1"/>
    <col min="4289" max="4289" width="10.7109375" style="585"/>
    <col min="4290" max="4290" width="9.140625" style="585" customWidth="1"/>
    <col min="4291" max="4291" width="20.7109375" style="585" customWidth="1"/>
    <col min="4292" max="4315" width="12.7109375" style="585" customWidth="1"/>
    <col min="4316" max="4316" width="14.42578125" style="585" customWidth="1"/>
    <col min="4317" max="4317" width="20.7109375" style="585" customWidth="1"/>
    <col min="4318" max="4327" width="12.7109375" style="585" customWidth="1"/>
    <col min="4328" max="4333" width="10.7109375" style="585"/>
    <col min="4334" max="4336" width="9.140625" style="585" customWidth="1"/>
    <col min="4337" max="4337" width="20.7109375" style="585" customWidth="1"/>
    <col min="4338" max="4347" width="10.7109375" style="585"/>
    <col min="4348" max="4348" width="23" style="585" customWidth="1"/>
    <col min="4349" max="4358" width="10.7109375" style="585"/>
    <col min="4359" max="4360" width="10.140625" style="585" customWidth="1"/>
    <col min="4361" max="4361" width="17.7109375" style="585" customWidth="1"/>
    <col min="4362" max="4370" width="10.5703125" style="585" customWidth="1"/>
    <col min="4371" max="4371" width="10.140625" style="585" customWidth="1"/>
    <col min="4372" max="4372" width="17.140625" style="585" customWidth="1"/>
    <col min="4373" max="4381" width="10.7109375" style="585"/>
    <col min="4382" max="4382" width="10.140625" style="585" customWidth="1"/>
    <col min="4383" max="4383" width="9.140625" style="585" customWidth="1"/>
    <col min="4384" max="4384" width="24.7109375" style="585" customWidth="1"/>
    <col min="4385" max="4386" width="9.7109375" style="585" customWidth="1"/>
    <col min="4387" max="4391" width="10.7109375" style="585"/>
    <col min="4392" max="4403" width="12.7109375" style="585" customWidth="1"/>
    <col min="4404" max="4404" width="10.7109375" style="585"/>
    <col min="4405" max="4405" width="9.140625" style="585" customWidth="1"/>
    <col min="4406" max="4406" width="18.7109375" style="585" customWidth="1"/>
    <col min="4407" max="4414" width="12.7109375" style="585" customWidth="1"/>
    <col min="4415" max="4415" width="32.7109375" style="585" customWidth="1"/>
    <col min="4416" max="4416" width="11.140625" style="585" customWidth="1"/>
    <col min="4417" max="4417" width="13.85546875" style="585" customWidth="1"/>
    <col min="4418" max="4431" width="9.140625" style="585" customWidth="1"/>
    <col min="4432" max="4432" width="10.28515625" style="585" customWidth="1"/>
    <col min="4433" max="4447" width="9.140625" style="585" customWidth="1"/>
    <col min="4448" max="4448" width="14.7109375" style="585" customWidth="1"/>
    <col min="4449" max="4452" width="9.7109375" style="585" customWidth="1"/>
    <col min="4453" max="4453" width="8.7109375" style="585" customWidth="1"/>
    <col min="4454" max="4454" width="10.7109375" style="585"/>
    <col min="4455" max="4455" width="12.7109375" style="585" customWidth="1"/>
    <col min="4456" max="4458" width="9.7109375" style="585" customWidth="1"/>
    <col min="4459" max="4459" width="9.140625" style="585" customWidth="1"/>
    <col min="4460" max="4460" width="9.140625" style="585" bestFit="1" customWidth="1"/>
    <col min="4461" max="4461" width="14" style="585" customWidth="1"/>
    <col min="4462" max="4476" width="9.140625" style="585" customWidth="1"/>
    <col min="4477" max="4477" width="9" style="585" bestFit="1" customWidth="1"/>
    <col min="4478" max="4478" width="9.140625" style="585" customWidth="1"/>
    <col min="4479" max="4479" width="20.7109375" style="585" customWidth="1"/>
    <col min="4480" max="4480" width="12.7109375" style="585" customWidth="1"/>
    <col min="4481" max="4485" width="10.7109375" style="585"/>
    <col min="4486" max="4486" width="12.7109375" style="585" customWidth="1"/>
    <col min="4487" max="4488" width="10.7109375" style="585"/>
    <col min="4489" max="4489" width="20.7109375" style="585" customWidth="1"/>
    <col min="4490" max="4496" width="11.7109375" style="585" customWidth="1"/>
    <col min="4497" max="4498" width="9.140625" style="585" customWidth="1"/>
    <col min="4499" max="4499" width="14.140625" style="585" customWidth="1"/>
    <col min="4500" max="4500" width="10.140625" style="585" customWidth="1"/>
    <col min="4501" max="4506" width="9.140625" style="585" customWidth="1"/>
    <col min="4507" max="4507" width="12.7109375" style="585" customWidth="1"/>
    <col min="4508" max="4511" width="9.140625" style="585" customWidth="1"/>
    <col min="4512" max="4512" width="9.7109375" style="585" customWidth="1"/>
    <col min="4513" max="4513" width="10.7109375" style="585"/>
    <col min="4514" max="4516" width="9.140625" style="585" customWidth="1"/>
    <col min="4517" max="4517" width="52.7109375" style="585" customWidth="1"/>
    <col min="4518" max="4530" width="10.7109375" style="585"/>
    <col min="4531" max="4531" width="12.7109375" style="585" customWidth="1"/>
    <col min="4532" max="4543" width="10.7109375" style="585"/>
    <col min="4544" max="4544" width="12.7109375" style="585" customWidth="1"/>
    <col min="4545" max="4545" width="10.7109375" style="585"/>
    <col min="4546" max="4546" width="9.140625" style="585" customWidth="1"/>
    <col min="4547" max="4547" width="20.7109375" style="585" customWidth="1"/>
    <col min="4548" max="4571" width="12.7109375" style="585" customWidth="1"/>
    <col min="4572" max="4572" width="14.42578125" style="585" customWidth="1"/>
    <col min="4573" max="4573" width="20.7109375" style="585" customWidth="1"/>
    <col min="4574" max="4583" width="12.7109375" style="585" customWidth="1"/>
    <col min="4584" max="4589" width="10.7109375" style="585"/>
    <col min="4590" max="4592" width="9.140625" style="585" customWidth="1"/>
    <col min="4593" max="4593" width="20.7109375" style="585" customWidth="1"/>
    <col min="4594" max="4603" width="10.7109375" style="585"/>
    <col min="4604" max="4604" width="23" style="585" customWidth="1"/>
    <col min="4605" max="4614" width="10.7109375" style="585"/>
    <col min="4615" max="4616" width="10.140625" style="585" customWidth="1"/>
    <col min="4617" max="4617" width="17.7109375" style="585" customWidth="1"/>
    <col min="4618" max="4626" width="10.5703125" style="585" customWidth="1"/>
    <col min="4627" max="4627" width="10.140625" style="585" customWidth="1"/>
    <col min="4628" max="4628" width="17.140625" style="585" customWidth="1"/>
    <col min="4629" max="4637" width="10.7109375" style="585"/>
    <col min="4638" max="4638" width="10.140625" style="585" customWidth="1"/>
    <col min="4639" max="4639" width="9.140625" style="585" customWidth="1"/>
    <col min="4640" max="4640" width="24.7109375" style="585" customWidth="1"/>
    <col min="4641" max="4642" width="9.7109375" style="585" customWidth="1"/>
    <col min="4643" max="4647" width="10.7109375" style="585"/>
    <col min="4648" max="4659" width="12.7109375" style="585" customWidth="1"/>
    <col min="4660" max="4660" width="10.7109375" style="585"/>
    <col min="4661" max="4661" width="9.140625" style="585" customWidth="1"/>
    <col min="4662" max="4662" width="18.7109375" style="585" customWidth="1"/>
    <col min="4663" max="4670" width="12.7109375" style="585" customWidth="1"/>
    <col min="4671" max="4671" width="32.7109375" style="585" customWidth="1"/>
    <col min="4672" max="4672" width="11.140625" style="585" customWidth="1"/>
    <col min="4673" max="4673" width="13.85546875" style="585" customWidth="1"/>
    <col min="4674" max="4687" width="9.140625" style="585" customWidth="1"/>
    <col min="4688" max="4688" width="10.28515625" style="585" customWidth="1"/>
    <col min="4689" max="4703" width="9.140625" style="585" customWidth="1"/>
    <col min="4704" max="4704" width="14.7109375" style="585" customWidth="1"/>
    <col min="4705" max="4708" width="9.7109375" style="585" customWidth="1"/>
    <col min="4709" max="4709" width="8.7109375" style="585" customWidth="1"/>
    <col min="4710" max="4710" width="10.7109375" style="585"/>
    <col min="4711" max="4711" width="12.7109375" style="585" customWidth="1"/>
    <col min="4712" max="4714" width="9.7109375" style="585" customWidth="1"/>
    <col min="4715" max="4715" width="9.140625" style="585" customWidth="1"/>
    <col min="4716" max="4716" width="9.140625" style="585" bestFit="1" customWidth="1"/>
    <col min="4717" max="4717" width="14" style="585" customWidth="1"/>
    <col min="4718" max="4732" width="9.140625" style="585" customWidth="1"/>
    <col min="4733" max="4733" width="9" style="585" bestFit="1" customWidth="1"/>
    <col min="4734" max="4734" width="9.140625" style="585" customWidth="1"/>
    <col min="4735" max="4735" width="20.7109375" style="585" customWidth="1"/>
    <col min="4736" max="4736" width="12.7109375" style="585" customWidth="1"/>
    <col min="4737" max="4741" width="10.7109375" style="585"/>
    <col min="4742" max="4742" width="12.7109375" style="585" customWidth="1"/>
    <col min="4743" max="4744" width="10.7109375" style="585"/>
    <col min="4745" max="4745" width="20.7109375" style="585" customWidth="1"/>
    <col min="4746" max="4752" width="11.7109375" style="585" customWidth="1"/>
    <col min="4753" max="4754" width="9.140625" style="585" customWidth="1"/>
    <col min="4755" max="4755" width="14.140625" style="585" customWidth="1"/>
    <col min="4756" max="4756" width="10.140625" style="585" customWidth="1"/>
    <col min="4757" max="4762" width="9.140625" style="585" customWidth="1"/>
    <col min="4763" max="4763" width="12.7109375" style="585" customWidth="1"/>
    <col min="4764" max="4767" width="9.140625" style="585" customWidth="1"/>
    <col min="4768" max="4768" width="9.7109375" style="585" customWidth="1"/>
    <col min="4769" max="4769" width="10.7109375" style="585"/>
    <col min="4770" max="4772" width="9.140625" style="585" customWidth="1"/>
    <col min="4773" max="4773" width="52.7109375" style="585" customWidth="1"/>
    <col min="4774" max="4786" width="10.7109375" style="585"/>
    <col min="4787" max="4787" width="12.7109375" style="585" customWidth="1"/>
    <col min="4788" max="4799" width="10.7109375" style="585"/>
    <col min="4800" max="4800" width="12.7109375" style="585" customWidth="1"/>
    <col min="4801" max="4801" width="10.7109375" style="585"/>
    <col min="4802" max="4802" width="9.140625" style="585" customWidth="1"/>
    <col min="4803" max="4803" width="20.7109375" style="585" customWidth="1"/>
    <col min="4804" max="4827" width="12.7109375" style="585" customWidth="1"/>
    <col min="4828" max="4828" width="14.42578125" style="585" customWidth="1"/>
    <col min="4829" max="4829" width="20.7109375" style="585" customWidth="1"/>
    <col min="4830" max="4839" width="12.7109375" style="585" customWidth="1"/>
    <col min="4840" max="4845" width="10.7109375" style="585"/>
    <col min="4846" max="4848" width="9.140625" style="585" customWidth="1"/>
    <col min="4849" max="4849" width="20.7109375" style="585" customWidth="1"/>
    <col min="4850" max="4859" width="10.7109375" style="585"/>
    <col min="4860" max="4860" width="23" style="585" customWidth="1"/>
    <col min="4861" max="4870" width="10.7109375" style="585"/>
    <col min="4871" max="4872" width="10.140625" style="585" customWidth="1"/>
    <col min="4873" max="4873" width="17.7109375" style="585" customWidth="1"/>
    <col min="4874" max="4882" width="10.5703125" style="585" customWidth="1"/>
    <col min="4883" max="4883" width="10.140625" style="585" customWidth="1"/>
    <col min="4884" max="4884" width="17.140625" style="585" customWidth="1"/>
    <col min="4885" max="4893" width="10.7109375" style="585"/>
    <col min="4894" max="4894" width="10.140625" style="585" customWidth="1"/>
    <col min="4895" max="4895" width="9.140625" style="585" customWidth="1"/>
    <col min="4896" max="4896" width="24.7109375" style="585" customWidth="1"/>
    <col min="4897" max="4898" width="9.7109375" style="585" customWidth="1"/>
    <col min="4899" max="4903" width="10.7109375" style="585"/>
    <col min="4904" max="4915" width="12.7109375" style="585" customWidth="1"/>
    <col min="4916" max="4916" width="10.7109375" style="585"/>
    <col min="4917" max="4917" width="9.140625" style="585" customWidth="1"/>
    <col min="4918" max="4918" width="18.7109375" style="585" customWidth="1"/>
    <col min="4919" max="4926" width="12.7109375" style="585" customWidth="1"/>
    <col min="4927" max="4927" width="32.7109375" style="585" customWidth="1"/>
    <col min="4928" max="4928" width="11.140625" style="585" customWidth="1"/>
    <col min="4929" max="4929" width="13.85546875" style="585" customWidth="1"/>
    <col min="4930" max="4943" width="9.140625" style="585" customWidth="1"/>
    <col min="4944" max="4944" width="10.28515625" style="585" customWidth="1"/>
    <col min="4945" max="4959" width="9.140625" style="585" customWidth="1"/>
    <col min="4960" max="4960" width="14.7109375" style="585" customWidth="1"/>
    <col min="4961" max="4964" width="9.7109375" style="585" customWidth="1"/>
    <col min="4965" max="4965" width="8.7109375" style="585" customWidth="1"/>
    <col min="4966" max="4966" width="10.7109375" style="585"/>
    <col min="4967" max="4967" width="12.7109375" style="585" customWidth="1"/>
    <col min="4968" max="4970" width="9.7109375" style="585" customWidth="1"/>
    <col min="4971" max="4971" width="9.140625" style="585" customWidth="1"/>
    <col min="4972" max="4972" width="9.140625" style="585" bestFit="1" customWidth="1"/>
    <col min="4973" max="4973" width="14" style="585" customWidth="1"/>
    <col min="4974" max="4988" width="9.140625" style="585" customWidth="1"/>
    <col min="4989" max="4989" width="9" style="585" bestFit="1" customWidth="1"/>
    <col min="4990" max="4990" width="9.140625" style="585" customWidth="1"/>
    <col min="4991" max="4991" width="20.7109375" style="585" customWidth="1"/>
    <col min="4992" max="4992" width="12.7109375" style="585" customWidth="1"/>
    <col min="4993" max="4997" width="10.7109375" style="585"/>
    <col min="4998" max="4998" width="12.7109375" style="585" customWidth="1"/>
    <col min="4999" max="5000" width="10.7109375" style="585"/>
    <col min="5001" max="5001" width="20.7109375" style="585" customWidth="1"/>
    <col min="5002" max="5008" width="11.7109375" style="585" customWidth="1"/>
    <col min="5009" max="5010" width="9.140625" style="585" customWidth="1"/>
    <col min="5011" max="5011" width="14.140625" style="585" customWidth="1"/>
    <col min="5012" max="5012" width="10.140625" style="585" customWidth="1"/>
    <col min="5013" max="5018" width="9.140625" style="585" customWidth="1"/>
    <col min="5019" max="5019" width="12.7109375" style="585" customWidth="1"/>
    <col min="5020" max="5023" width="9.140625" style="585" customWidth="1"/>
    <col min="5024" max="5024" width="9.7109375" style="585" customWidth="1"/>
    <col min="5025" max="5025" width="10.7109375" style="585"/>
    <col min="5026" max="5028" width="9.140625" style="585" customWidth="1"/>
    <col min="5029" max="5029" width="52.7109375" style="585" customWidth="1"/>
    <col min="5030" max="5042" width="10.7109375" style="585"/>
    <col min="5043" max="5043" width="12.7109375" style="585" customWidth="1"/>
    <col min="5044" max="5055" width="10.7109375" style="585"/>
    <col min="5056" max="5056" width="12.7109375" style="585" customWidth="1"/>
    <col min="5057" max="5057" width="10.7109375" style="585"/>
    <col min="5058" max="5058" width="9.140625" style="585" customWidth="1"/>
    <col min="5059" max="5059" width="20.7109375" style="585" customWidth="1"/>
    <col min="5060" max="5083" width="12.7109375" style="585" customWidth="1"/>
    <col min="5084" max="5084" width="14.42578125" style="585" customWidth="1"/>
    <col min="5085" max="5085" width="20.7109375" style="585" customWidth="1"/>
    <col min="5086" max="5095" width="12.7109375" style="585" customWidth="1"/>
    <col min="5096" max="5101" width="10.7109375" style="585"/>
    <col min="5102" max="5104" width="9.140625" style="585" customWidth="1"/>
    <col min="5105" max="5105" width="20.7109375" style="585" customWidth="1"/>
    <col min="5106" max="5115" width="10.7109375" style="585"/>
    <col min="5116" max="5116" width="23" style="585" customWidth="1"/>
    <col min="5117" max="5126" width="10.7109375" style="585"/>
    <col min="5127" max="5128" width="10.140625" style="585" customWidth="1"/>
    <col min="5129" max="5129" width="17.7109375" style="585" customWidth="1"/>
    <col min="5130" max="5138" width="10.5703125" style="585" customWidth="1"/>
    <col min="5139" max="5139" width="10.140625" style="585" customWidth="1"/>
    <col min="5140" max="5140" width="17.140625" style="585" customWidth="1"/>
    <col min="5141" max="5149" width="10.7109375" style="585"/>
    <col min="5150" max="5150" width="10.140625" style="585" customWidth="1"/>
    <col min="5151" max="5151" width="9.140625" style="585" customWidth="1"/>
    <col min="5152" max="5152" width="24.7109375" style="585" customWidth="1"/>
    <col min="5153" max="5154" width="9.7109375" style="585" customWidth="1"/>
    <col min="5155" max="5159" width="10.7109375" style="585"/>
    <col min="5160" max="5171" width="12.7109375" style="585" customWidth="1"/>
    <col min="5172" max="5172" width="10.7109375" style="585"/>
    <col min="5173" max="5173" width="9.140625" style="585" customWidth="1"/>
    <col min="5174" max="5174" width="18.7109375" style="585" customWidth="1"/>
    <col min="5175" max="5182" width="12.7109375" style="585" customWidth="1"/>
    <col min="5183" max="5183" width="32.7109375" style="585" customWidth="1"/>
    <col min="5184" max="5184" width="11.140625" style="585" customWidth="1"/>
    <col min="5185" max="5185" width="13.85546875" style="585" customWidth="1"/>
    <col min="5186" max="5199" width="9.140625" style="585" customWidth="1"/>
    <col min="5200" max="5200" width="10.28515625" style="585" customWidth="1"/>
    <col min="5201" max="5215" width="9.140625" style="585" customWidth="1"/>
    <col min="5216" max="5216" width="14.7109375" style="585" customWidth="1"/>
    <col min="5217" max="5220" width="9.7109375" style="585" customWidth="1"/>
    <col min="5221" max="5221" width="8.7109375" style="585" customWidth="1"/>
    <col min="5222" max="5222" width="10.7109375" style="585"/>
    <col min="5223" max="5223" width="12.7109375" style="585" customWidth="1"/>
    <col min="5224" max="5226" width="9.7109375" style="585" customWidth="1"/>
    <col min="5227" max="5227" width="9.140625" style="585" customWidth="1"/>
    <col min="5228" max="5228" width="9.140625" style="585" bestFit="1" customWidth="1"/>
    <col min="5229" max="5229" width="14" style="585" customWidth="1"/>
    <col min="5230" max="5244" width="9.140625" style="585" customWidth="1"/>
    <col min="5245" max="5245" width="9" style="585" bestFit="1" customWidth="1"/>
    <col min="5246" max="5246" width="9.140625" style="585" customWidth="1"/>
    <col min="5247" max="5247" width="20.7109375" style="585" customWidth="1"/>
    <col min="5248" max="5248" width="12.7109375" style="585" customWidth="1"/>
    <col min="5249" max="5253" width="10.7109375" style="585"/>
    <col min="5254" max="5254" width="12.7109375" style="585" customWidth="1"/>
    <col min="5255" max="5256" width="10.7109375" style="585"/>
    <col min="5257" max="5257" width="20.7109375" style="585" customWidth="1"/>
    <col min="5258" max="5264" width="11.7109375" style="585" customWidth="1"/>
    <col min="5265" max="5266" width="9.140625" style="585" customWidth="1"/>
    <col min="5267" max="5267" width="14.140625" style="585" customWidth="1"/>
    <col min="5268" max="5268" width="10.140625" style="585" customWidth="1"/>
    <col min="5269" max="5274" width="9.140625" style="585" customWidth="1"/>
    <col min="5275" max="5275" width="12.7109375" style="585" customWidth="1"/>
    <col min="5276" max="5279" width="9.140625" style="585" customWidth="1"/>
    <col min="5280" max="5280" width="9.7109375" style="585" customWidth="1"/>
    <col min="5281" max="5281" width="10.7109375" style="585"/>
    <col min="5282" max="5284" width="9.140625" style="585" customWidth="1"/>
    <col min="5285" max="5285" width="52.7109375" style="585" customWidth="1"/>
    <col min="5286" max="5298" width="10.7109375" style="585"/>
    <col min="5299" max="5299" width="12.7109375" style="585" customWidth="1"/>
    <col min="5300" max="5311" width="10.7109375" style="585"/>
    <col min="5312" max="5312" width="12.7109375" style="585" customWidth="1"/>
    <col min="5313" max="5313" width="10.7109375" style="585"/>
    <col min="5314" max="5314" width="9.140625" style="585" customWidth="1"/>
    <col min="5315" max="5315" width="20.7109375" style="585" customWidth="1"/>
    <col min="5316" max="5339" width="12.7109375" style="585" customWidth="1"/>
    <col min="5340" max="5340" width="14.42578125" style="585" customWidth="1"/>
    <col min="5341" max="5341" width="20.7109375" style="585" customWidth="1"/>
    <col min="5342" max="5351" width="12.7109375" style="585" customWidth="1"/>
    <col min="5352" max="5357" width="10.7109375" style="585"/>
    <col min="5358" max="5360" width="9.140625" style="585" customWidth="1"/>
    <col min="5361" max="5361" width="20.7109375" style="585" customWidth="1"/>
    <col min="5362" max="5371" width="10.7109375" style="585"/>
    <col min="5372" max="5372" width="23" style="585" customWidth="1"/>
    <col min="5373" max="5382" width="10.7109375" style="585"/>
    <col min="5383" max="5384" width="10.140625" style="585" customWidth="1"/>
    <col min="5385" max="5385" width="17.7109375" style="585" customWidth="1"/>
    <col min="5386" max="5394" width="10.5703125" style="585" customWidth="1"/>
    <col min="5395" max="5395" width="10.140625" style="585" customWidth="1"/>
    <col min="5396" max="5396" width="17.140625" style="585" customWidth="1"/>
    <col min="5397" max="5405" width="10.7109375" style="585"/>
    <col min="5406" max="5406" width="10.140625" style="585" customWidth="1"/>
    <col min="5407" max="5407" width="9.140625" style="585" customWidth="1"/>
    <col min="5408" max="5408" width="24.7109375" style="585" customWidth="1"/>
    <col min="5409" max="5410" width="9.7109375" style="585" customWidth="1"/>
    <col min="5411" max="5415" width="10.7109375" style="585"/>
    <col min="5416" max="5427" width="12.7109375" style="585" customWidth="1"/>
    <col min="5428" max="5428" width="10.7109375" style="585"/>
    <col min="5429" max="5429" width="9.140625" style="585" customWidth="1"/>
    <col min="5430" max="5430" width="18.7109375" style="585" customWidth="1"/>
    <col min="5431" max="5438" width="12.7109375" style="585" customWidth="1"/>
    <col min="5439" max="5439" width="32.7109375" style="585" customWidth="1"/>
    <col min="5440" max="5440" width="11.140625" style="585" customWidth="1"/>
    <col min="5441" max="5441" width="13.85546875" style="585" customWidth="1"/>
    <col min="5442" max="5455" width="9.140625" style="585" customWidth="1"/>
    <col min="5456" max="5456" width="10.28515625" style="585" customWidth="1"/>
    <col min="5457" max="5471" width="9.140625" style="585" customWidth="1"/>
    <col min="5472" max="5472" width="14.7109375" style="585" customWidth="1"/>
    <col min="5473" max="5476" width="9.7109375" style="585" customWidth="1"/>
    <col min="5477" max="5477" width="8.7109375" style="585" customWidth="1"/>
    <col min="5478" max="5478" width="10.7109375" style="585"/>
    <col min="5479" max="5479" width="12.7109375" style="585" customWidth="1"/>
    <col min="5480" max="5482" width="9.7109375" style="585" customWidth="1"/>
    <col min="5483" max="5483" width="9.140625" style="585" customWidth="1"/>
    <col min="5484" max="5484" width="9.140625" style="585" bestFit="1" customWidth="1"/>
    <col min="5485" max="5485" width="14" style="585" customWidth="1"/>
    <col min="5486" max="5500" width="9.140625" style="585" customWidth="1"/>
    <col min="5501" max="5501" width="9" style="585" bestFit="1" customWidth="1"/>
    <col min="5502" max="5502" width="9.140625" style="585" customWidth="1"/>
    <col min="5503" max="5503" width="20.7109375" style="585" customWidth="1"/>
    <col min="5504" max="5504" width="12.7109375" style="585" customWidth="1"/>
    <col min="5505" max="5509" width="10.7109375" style="585"/>
    <col min="5510" max="5510" width="12.7109375" style="585" customWidth="1"/>
    <col min="5511" max="5512" width="10.7109375" style="585"/>
    <col min="5513" max="5513" width="20.7109375" style="585" customWidth="1"/>
    <col min="5514" max="5520" width="11.7109375" style="585" customWidth="1"/>
    <col min="5521" max="5522" width="9.140625" style="585" customWidth="1"/>
    <col min="5523" max="5523" width="14.140625" style="585" customWidth="1"/>
    <col min="5524" max="5524" width="10.140625" style="585" customWidth="1"/>
    <col min="5525" max="5530" width="9.140625" style="585" customWidth="1"/>
    <col min="5531" max="5531" width="12.7109375" style="585" customWidth="1"/>
    <col min="5532" max="5535" width="9.140625" style="585" customWidth="1"/>
    <col min="5536" max="5536" width="9.7109375" style="585" customWidth="1"/>
    <col min="5537" max="5537" width="10.7109375" style="585"/>
    <col min="5538" max="5540" width="9.140625" style="585" customWidth="1"/>
    <col min="5541" max="5541" width="52.7109375" style="585" customWidth="1"/>
    <col min="5542" max="5554" width="10.7109375" style="585"/>
    <col min="5555" max="5555" width="12.7109375" style="585" customWidth="1"/>
    <col min="5556" max="5567" width="10.7109375" style="585"/>
    <col min="5568" max="5568" width="12.7109375" style="585" customWidth="1"/>
    <col min="5569" max="5569" width="10.7109375" style="585"/>
    <col min="5570" max="5570" width="9.140625" style="585" customWidth="1"/>
    <col min="5571" max="5571" width="20.7109375" style="585" customWidth="1"/>
    <col min="5572" max="5595" width="12.7109375" style="585" customWidth="1"/>
    <col min="5596" max="5596" width="14.42578125" style="585" customWidth="1"/>
    <col min="5597" max="5597" width="20.7109375" style="585" customWidth="1"/>
    <col min="5598" max="5607" width="12.7109375" style="585" customWidth="1"/>
    <col min="5608" max="5613" width="10.7109375" style="585"/>
    <col min="5614" max="5616" width="9.140625" style="585" customWidth="1"/>
    <col min="5617" max="5617" width="20.7109375" style="585" customWidth="1"/>
    <col min="5618" max="5627" width="10.7109375" style="585"/>
    <col min="5628" max="5628" width="23" style="585" customWidth="1"/>
    <col min="5629" max="5638" width="10.7109375" style="585"/>
    <col min="5639" max="5640" width="10.140625" style="585" customWidth="1"/>
    <col min="5641" max="5641" width="17.7109375" style="585" customWidth="1"/>
    <col min="5642" max="5650" width="10.5703125" style="585" customWidth="1"/>
    <col min="5651" max="5651" width="10.140625" style="585" customWidth="1"/>
    <col min="5652" max="5652" width="17.140625" style="585" customWidth="1"/>
    <col min="5653" max="5661" width="10.7109375" style="585"/>
    <col min="5662" max="5662" width="10.140625" style="585" customWidth="1"/>
    <col min="5663" max="5663" width="9.140625" style="585" customWidth="1"/>
    <col min="5664" max="5664" width="24.7109375" style="585" customWidth="1"/>
    <col min="5665" max="5666" width="9.7109375" style="585" customWidth="1"/>
    <col min="5667" max="5671" width="10.7109375" style="585"/>
    <col min="5672" max="5683" width="12.7109375" style="585" customWidth="1"/>
    <col min="5684" max="5684" width="10.7109375" style="585"/>
    <col min="5685" max="5685" width="9.140625" style="585" customWidth="1"/>
    <col min="5686" max="5686" width="18.7109375" style="585" customWidth="1"/>
    <col min="5687" max="5694" width="12.7109375" style="585" customWidth="1"/>
    <col min="5695" max="5695" width="32.7109375" style="585" customWidth="1"/>
    <col min="5696" max="5696" width="11.140625" style="585" customWidth="1"/>
    <col min="5697" max="5697" width="13.85546875" style="585" customWidth="1"/>
    <col min="5698" max="5711" width="9.140625" style="585" customWidth="1"/>
    <col min="5712" max="5712" width="10.28515625" style="585" customWidth="1"/>
    <col min="5713" max="5727" width="9.140625" style="585" customWidth="1"/>
    <col min="5728" max="5728" width="14.7109375" style="585" customWidth="1"/>
    <col min="5729" max="5732" width="9.7109375" style="585" customWidth="1"/>
    <col min="5733" max="5733" width="8.7109375" style="585" customWidth="1"/>
    <col min="5734" max="5734" width="10.7109375" style="585"/>
    <col min="5735" max="5735" width="12.7109375" style="585" customWidth="1"/>
    <col min="5736" max="5738" width="9.7109375" style="585" customWidth="1"/>
    <col min="5739" max="5739" width="9.140625" style="585" customWidth="1"/>
    <col min="5740" max="5740" width="9.140625" style="585" bestFit="1" customWidth="1"/>
    <col min="5741" max="5741" width="14" style="585" customWidth="1"/>
    <col min="5742" max="5756" width="9.140625" style="585" customWidth="1"/>
    <col min="5757" max="5757" width="9" style="585" bestFit="1" customWidth="1"/>
    <col min="5758" max="5758" width="9.140625" style="585" customWidth="1"/>
    <col min="5759" max="5759" width="20.7109375" style="585" customWidth="1"/>
    <col min="5760" max="5760" width="12.7109375" style="585" customWidth="1"/>
    <col min="5761" max="5765" width="10.7109375" style="585"/>
    <col min="5766" max="5766" width="12.7109375" style="585" customWidth="1"/>
    <col min="5767" max="5768" width="10.7109375" style="585"/>
    <col min="5769" max="5769" width="20.7109375" style="585" customWidth="1"/>
    <col min="5770" max="5776" width="11.7109375" style="585" customWidth="1"/>
    <col min="5777" max="5778" width="9.140625" style="585" customWidth="1"/>
    <col min="5779" max="5779" width="14.140625" style="585" customWidth="1"/>
    <col min="5780" max="5780" width="10.140625" style="585" customWidth="1"/>
    <col min="5781" max="5786" width="9.140625" style="585" customWidth="1"/>
    <col min="5787" max="5787" width="12.7109375" style="585" customWidth="1"/>
    <col min="5788" max="5791" width="9.140625" style="585" customWidth="1"/>
    <col min="5792" max="5792" width="9.7109375" style="585" customWidth="1"/>
    <col min="5793" max="5793" width="10.7109375" style="585"/>
    <col min="5794" max="5796" width="9.140625" style="585" customWidth="1"/>
    <col min="5797" max="5797" width="52.7109375" style="585" customWidth="1"/>
    <col min="5798" max="5810" width="10.7109375" style="585"/>
    <col min="5811" max="5811" width="12.7109375" style="585" customWidth="1"/>
    <col min="5812" max="5823" width="10.7109375" style="585"/>
    <col min="5824" max="5824" width="12.7109375" style="585" customWidth="1"/>
    <col min="5825" max="5825" width="10.7109375" style="585"/>
    <col min="5826" max="5826" width="9.140625" style="585" customWidth="1"/>
    <col min="5827" max="5827" width="20.7109375" style="585" customWidth="1"/>
    <col min="5828" max="5851" width="12.7109375" style="585" customWidth="1"/>
    <col min="5852" max="5852" width="14.42578125" style="585" customWidth="1"/>
    <col min="5853" max="5853" width="20.7109375" style="585" customWidth="1"/>
    <col min="5854" max="5863" width="12.7109375" style="585" customWidth="1"/>
    <col min="5864" max="5869" width="10.7109375" style="585"/>
    <col min="5870" max="5872" width="9.140625" style="585" customWidth="1"/>
    <col min="5873" max="5873" width="20.7109375" style="585" customWidth="1"/>
    <col min="5874" max="5883" width="10.7109375" style="585"/>
    <col min="5884" max="5884" width="23" style="585" customWidth="1"/>
    <col min="5885" max="5894" width="10.7109375" style="585"/>
    <col min="5895" max="5896" width="10.140625" style="585" customWidth="1"/>
    <col min="5897" max="5897" width="17.7109375" style="585" customWidth="1"/>
    <col min="5898" max="5906" width="10.5703125" style="585" customWidth="1"/>
    <col min="5907" max="5907" width="10.140625" style="585" customWidth="1"/>
    <col min="5908" max="5908" width="17.140625" style="585" customWidth="1"/>
    <col min="5909" max="5917" width="10.7109375" style="585"/>
    <col min="5918" max="5918" width="10.140625" style="585" customWidth="1"/>
    <col min="5919" max="5919" width="9.140625" style="585" customWidth="1"/>
    <col min="5920" max="5920" width="24.7109375" style="585" customWidth="1"/>
    <col min="5921" max="5922" width="9.7109375" style="585" customWidth="1"/>
    <col min="5923" max="5927" width="10.7109375" style="585"/>
    <col min="5928" max="5939" width="12.7109375" style="585" customWidth="1"/>
    <col min="5940" max="5940" width="10.7109375" style="585"/>
    <col min="5941" max="5941" width="9.140625" style="585" customWidth="1"/>
    <col min="5942" max="5942" width="18.7109375" style="585" customWidth="1"/>
    <col min="5943" max="5950" width="12.7109375" style="585" customWidth="1"/>
    <col min="5951" max="5951" width="32.7109375" style="585" customWidth="1"/>
    <col min="5952" max="5952" width="11.140625" style="585" customWidth="1"/>
    <col min="5953" max="5953" width="13.85546875" style="585" customWidth="1"/>
    <col min="5954" max="5967" width="9.140625" style="585" customWidth="1"/>
    <col min="5968" max="5968" width="10.28515625" style="585" customWidth="1"/>
    <col min="5969" max="5983" width="9.140625" style="585" customWidth="1"/>
    <col min="5984" max="5984" width="14.7109375" style="585" customWidth="1"/>
    <col min="5985" max="5988" width="9.7109375" style="585" customWidth="1"/>
    <col min="5989" max="5989" width="8.7109375" style="585" customWidth="1"/>
    <col min="5990" max="5990" width="10.7109375" style="585"/>
    <col min="5991" max="5991" width="12.7109375" style="585" customWidth="1"/>
    <col min="5992" max="5994" width="9.7109375" style="585" customWidth="1"/>
    <col min="5995" max="5995" width="9.140625" style="585" customWidth="1"/>
    <col min="5996" max="5996" width="9.140625" style="585" bestFit="1" customWidth="1"/>
    <col min="5997" max="5997" width="14" style="585" customWidth="1"/>
    <col min="5998" max="6012" width="9.140625" style="585" customWidth="1"/>
    <col min="6013" max="6013" width="9" style="585" bestFit="1" customWidth="1"/>
    <col min="6014" max="6014" width="9.140625" style="585" customWidth="1"/>
    <col min="6015" max="6015" width="20.7109375" style="585" customWidth="1"/>
    <col min="6016" max="6016" width="12.7109375" style="585" customWidth="1"/>
    <col min="6017" max="6021" width="10.7109375" style="585"/>
    <col min="6022" max="6022" width="12.7109375" style="585" customWidth="1"/>
    <col min="6023" max="6024" width="10.7109375" style="585"/>
    <col min="6025" max="6025" width="20.7109375" style="585" customWidth="1"/>
    <col min="6026" max="6032" width="11.7109375" style="585" customWidth="1"/>
    <col min="6033" max="6034" width="9.140625" style="585" customWidth="1"/>
    <col min="6035" max="6035" width="14.140625" style="585" customWidth="1"/>
    <col min="6036" max="6036" width="10.140625" style="585" customWidth="1"/>
    <col min="6037" max="6042" width="9.140625" style="585" customWidth="1"/>
    <col min="6043" max="6043" width="12.7109375" style="585" customWidth="1"/>
    <col min="6044" max="6047" width="9.140625" style="585" customWidth="1"/>
    <col min="6048" max="6048" width="9.7109375" style="585" customWidth="1"/>
    <col min="6049" max="6049" width="10.7109375" style="585"/>
    <col min="6050" max="6052" width="9.140625" style="585" customWidth="1"/>
    <col min="6053" max="6053" width="52.7109375" style="585" customWidth="1"/>
    <col min="6054" max="6066" width="10.7109375" style="585"/>
    <col min="6067" max="6067" width="12.7109375" style="585" customWidth="1"/>
    <col min="6068" max="6079" width="10.7109375" style="585"/>
    <col min="6080" max="6080" width="12.7109375" style="585" customWidth="1"/>
    <col min="6081" max="6081" width="10.7109375" style="585"/>
    <col min="6082" max="6082" width="9.140625" style="585" customWidth="1"/>
    <col min="6083" max="6083" width="20.7109375" style="585" customWidth="1"/>
    <col min="6084" max="6107" width="12.7109375" style="585" customWidth="1"/>
    <col min="6108" max="6108" width="14.42578125" style="585" customWidth="1"/>
    <col min="6109" max="6109" width="20.7109375" style="585" customWidth="1"/>
    <col min="6110" max="6119" width="12.7109375" style="585" customWidth="1"/>
    <col min="6120" max="6125" width="10.7109375" style="585"/>
    <col min="6126" max="6128" width="9.140625" style="585" customWidth="1"/>
    <col min="6129" max="6129" width="20.7109375" style="585" customWidth="1"/>
    <col min="6130" max="6139" width="10.7109375" style="585"/>
    <col min="6140" max="6140" width="23" style="585" customWidth="1"/>
    <col min="6141" max="6150" width="10.7109375" style="585"/>
    <col min="6151" max="6152" width="10.140625" style="585" customWidth="1"/>
    <col min="6153" max="6153" width="17.7109375" style="585" customWidth="1"/>
    <col min="6154" max="6162" width="10.5703125" style="585" customWidth="1"/>
    <col min="6163" max="6163" width="10.140625" style="585" customWidth="1"/>
    <col min="6164" max="6164" width="17.140625" style="585" customWidth="1"/>
    <col min="6165" max="6173" width="10.7109375" style="585"/>
    <col min="6174" max="6174" width="10.140625" style="585" customWidth="1"/>
    <col min="6175" max="6175" width="9.140625" style="585" customWidth="1"/>
    <col min="6176" max="6176" width="24.7109375" style="585" customWidth="1"/>
    <col min="6177" max="6178" width="9.7109375" style="585" customWidth="1"/>
    <col min="6179" max="6183" width="10.7109375" style="585"/>
    <col min="6184" max="6195" width="12.7109375" style="585" customWidth="1"/>
    <col min="6196" max="6196" width="10.7109375" style="585"/>
    <col min="6197" max="6197" width="9.140625" style="585" customWidth="1"/>
    <col min="6198" max="6198" width="18.7109375" style="585" customWidth="1"/>
    <col min="6199" max="6206" width="12.7109375" style="585" customWidth="1"/>
    <col min="6207" max="6207" width="32.7109375" style="585" customWidth="1"/>
    <col min="6208" max="6208" width="11.140625" style="585" customWidth="1"/>
    <col min="6209" max="6209" width="13.85546875" style="585" customWidth="1"/>
    <col min="6210" max="6223" width="9.140625" style="585" customWidth="1"/>
    <col min="6224" max="6224" width="10.28515625" style="585" customWidth="1"/>
    <col min="6225" max="6239" width="9.140625" style="585" customWidth="1"/>
    <col min="6240" max="6240" width="14.7109375" style="585" customWidth="1"/>
    <col min="6241" max="6244" width="9.7109375" style="585" customWidth="1"/>
    <col min="6245" max="6245" width="8.7109375" style="585" customWidth="1"/>
    <col min="6246" max="6246" width="10.7109375" style="585"/>
    <col min="6247" max="6247" width="12.7109375" style="585" customWidth="1"/>
    <col min="6248" max="6250" width="9.7109375" style="585" customWidth="1"/>
    <col min="6251" max="6251" width="9.140625" style="585" customWidth="1"/>
    <col min="6252" max="6252" width="9.140625" style="585" bestFit="1" customWidth="1"/>
    <col min="6253" max="6253" width="14" style="585" customWidth="1"/>
    <col min="6254" max="6268" width="9.140625" style="585" customWidth="1"/>
    <col min="6269" max="6269" width="9" style="585" bestFit="1" customWidth="1"/>
    <col min="6270" max="6270" width="9.140625" style="585" customWidth="1"/>
    <col min="6271" max="6271" width="20.7109375" style="585" customWidth="1"/>
    <col min="6272" max="6272" width="12.7109375" style="585" customWidth="1"/>
    <col min="6273" max="6277" width="10.7109375" style="585"/>
    <col min="6278" max="6278" width="12.7109375" style="585" customWidth="1"/>
    <col min="6279" max="6280" width="10.7109375" style="585"/>
    <col min="6281" max="6281" width="20.7109375" style="585" customWidth="1"/>
    <col min="6282" max="6288" width="11.7109375" style="585" customWidth="1"/>
    <col min="6289" max="6290" width="9.140625" style="585" customWidth="1"/>
    <col min="6291" max="6291" width="14.140625" style="585" customWidth="1"/>
    <col min="6292" max="6292" width="10.140625" style="585" customWidth="1"/>
    <col min="6293" max="6298" width="9.140625" style="585" customWidth="1"/>
    <col min="6299" max="6299" width="12.7109375" style="585" customWidth="1"/>
    <col min="6300" max="6303" width="9.140625" style="585" customWidth="1"/>
    <col min="6304" max="6304" width="9.7109375" style="585" customWidth="1"/>
    <col min="6305" max="6305" width="10.7109375" style="585"/>
    <col min="6306" max="6308" width="9.140625" style="585" customWidth="1"/>
    <col min="6309" max="6309" width="52.7109375" style="585" customWidth="1"/>
    <col min="6310" max="6322" width="10.7109375" style="585"/>
    <col min="6323" max="6323" width="12.7109375" style="585" customWidth="1"/>
    <col min="6324" max="6335" width="10.7109375" style="585"/>
    <col min="6336" max="6336" width="12.7109375" style="585" customWidth="1"/>
    <col min="6337" max="6337" width="10.7109375" style="585"/>
    <col min="6338" max="6338" width="9.140625" style="585" customWidth="1"/>
    <col min="6339" max="6339" width="20.7109375" style="585" customWidth="1"/>
    <col min="6340" max="6363" width="12.7109375" style="585" customWidth="1"/>
    <col min="6364" max="6364" width="14.42578125" style="585" customWidth="1"/>
    <col min="6365" max="6365" width="20.7109375" style="585" customWidth="1"/>
    <col min="6366" max="6375" width="12.7109375" style="585" customWidth="1"/>
    <col min="6376" max="6381" width="10.7109375" style="585"/>
    <col min="6382" max="6384" width="9.140625" style="585" customWidth="1"/>
    <col min="6385" max="6385" width="20.7109375" style="585" customWidth="1"/>
    <col min="6386" max="6395" width="10.7109375" style="585"/>
    <col min="6396" max="6396" width="23" style="585" customWidth="1"/>
    <col min="6397" max="6406" width="10.7109375" style="585"/>
    <col min="6407" max="6408" width="10.140625" style="585" customWidth="1"/>
    <col min="6409" max="6409" width="17.7109375" style="585" customWidth="1"/>
    <col min="6410" max="6418" width="10.5703125" style="585" customWidth="1"/>
    <col min="6419" max="6419" width="10.140625" style="585" customWidth="1"/>
    <col min="6420" max="6420" width="17.140625" style="585" customWidth="1"/>
    <col min="6421" max="6429" width="10.7109375" style="585"/>
    <col min="6430" max="6430" width="10.140625" style="585" customWidth="1"/>
    <col min="6431" max="6431" width="9.140625" style="585" customWidth="1"/>
    <col min="6432" max="6432" width="24.7109375" style="585" customWidth="1"/>
    <col min="6433" max="6434" width="9.7109375" style="585" customWidth="1"/>
    <col min="6435" max="6439" width="10.7109375" style="585"/>
    <col min="6440" max="6451" width="12.7109375" style="585" customWidth="1"/>
    <col min="6452" max="6452" width="10.7109375" style="585"/>
    <col min="6453" max="6453" width="9.140625" style="585" customWidth="1"/>
    <col min="6454" max="6454" width="18.7109375" style="585" customWidth="1"/>
    <col min="6455" max="6462" width="12.7109375" style="585" customWidth="1"/>
    <col min="6463" max="6463" width="32.7109375" style="585" customWidth="1"/>
    <col min="6464" max="6464" width="11.140625" style="585" customWidth="1"/>
    <col min="6465" max="6465" width="13.85546875" style="585" customWidth="1"/>
    <col min="6466" max="6479" width="9.140625" style="585" customWidth="1"/>
    <col min="6480" max="6480" width="10.28515625" style="585" customWidth="1"/>
    <col min="6481" max="6495" width="9.140625" style="585" customWidth="1"/>
    <col min="6496" max="6496" width="14.7109375" style="585" customWidth="1"/>
    <col min="6497" max="6500" width="9.7109375" style="585" customWidth="1"/>
    <col min="6501" max="6501" width="8.7109375" style="585" customWidth="1"/>
    <col min="6502" max="6502" width="10.7109375" style="585"/>
    <col min="6503" max="6503" width="12.7109375" style="585" customWidth="1"/>
    <col min="6504" max="6506" width="9.7109375" style="585" customWidth="1"/>
    <col min="6507" max="6507" width="9.140625" style="585" customWidth="1"/>
    <col min="6508" max="6508" width="9.140625" style="585" bestFit="1" customWidth="1"/>
    <col min="6509" max="6509" width="14" style="585" customWidth="1"/>
    <col min="6510" max="6524" width="9.140625" style="585" customWidth="1"/>
    <col min="6525" max="6525" width="9" style="585" bestFit="1" customWidth="1"/>
    <col min="6526" max="6526" width="9.140625" style="585" customWidth="1"/>
    <col min="6527" max="6527" width="20.7109375" style="585" customWidth="1"/>
    <col min="6528" max="6528" width="12.7109375" style="585" customWidth="1"/>
    <col min="6529" max="6533" width="10.7109375" style="585"/>
    <col min="6534" max="6534" width="12.7109375" style="585" customWidth="1"/>
    <col min="6535" max="6536" width="10.7109375" style="585"/>
    <col min="6537" max="6537" width="20.7109375" style="585" customWidth="1"/>
    <col min="6538" max="6544" width="11.7109375" style="585" customWidth="1"/>
    <col min="6545" max="6546" width="9.140625" style="585" customWidth="1"/>
    <col min="6547" max="6547" width="14.140625" style="585" customWidth="1"/>
    <col min="6548" max="6548" width="10.140625" style="585" customWidth="1"/>
    <col min="6549" max="6554" width="9.140625" style="585" customWidth="1"/>
    <col min="6555" max="6555" width="12.7109375" style="585" customWidth="1"/>
    <col min="6556" max="6559" width="9.140625" style="585" customWidth="1"/>
    <col min="6560" max="6560" width="9.7109375" style="585" customWidth="1"/>
    <col min="6561" max="6561" width="10.7109375" style="585"/>
    <col min="6562" max="6564" width="9.140625" style="585" customWidth="1"/>
    <col min="6565" max="6565" width="52.7109375" style="585" customWidth="1"/>
    <col min="6566" max="6578" width="10.7109375" style="585"/>
    <col min="6579" max="6579" width="12.7109375" style="585" customWidth="1"/>
    <col min="6580" max="6591" width="10.7109375" style="585"/>
    <col min="6592" max="6592" width="12.7109375" style="585" customWidth="1"/>
    <col min="6593" max="6593" width="10.7109375" style="585"/>
    <col min="6594" max="6594" width="9.140625" style="585" customWidth="1"/>
    <col min="6595" max="6595" width="20.7109375" style="585" customWidth="1"/>
    <col min="6596" max="6619" width="12.7109375" style="585" customWidth="1"/>
    <col min="6620" max="6620" width="14.42578125" style="585" customWidth="1"/>
    <col min="6621" max="6621" width="20.7109375" style="585" customWidth="1"/>
    <col min="6622" max="6631" width="12.7109375" style="585" customWidth="1"/>
    <col min="6632" max="6637" width="10.7109375" style="585"/>
    <col min="6638" max="6640" width="9.140625" style="585" customWidth="1"/>
    <col min="6641" max="6641" width="20.7109375" style="585" customWidth="1"/>
    <col min="6642" max="6651" width="10.7109375" style="585"/>
    <col min="6652" max="6652" width="23" style="585" customWidth="1"/>
    <col min="6653" max="6662" width="10.7109375" style="585"/>
    <col min="6663" max="6664" width="10.140625" style="585" customWidth="1"/>
    <col min="6665" max="6665" width="17.7109375" style="585" customWidth="1"/>
    <col min="6666" max="6674" width="10.5703125" style="585" customWidth="1"/>
    <col min="6675" max="6675" width="10.140625" style="585" customWidth="1"/>
    <col min="6676" max="6676" width="17.140625" style="585" customWidth="1"/>
    <col min="6677" max="6685" width="10.7109375" style="585"/>
    <col min="6686" max="6686" width="10.140625" style="585" customWidth="1"/>
    <col min="6687" max="6687" width="9.140625" style="585" customWidth="1"/>
    <col min="6688" max="6688" width="24.7109375" style="585" customWidth="1"/>
    <col min="6689" max="6690" width="9.7109375" style="585" customWidth="1"/>
    <col min="6691" max="6695" width="10.7109375" style="585"/>
    <col min="6696" max="6707" width="12.7109375" style="585" customWidth="1"/>
    <col min="6708" max="6708" width="10.7109375" style="585"/>
    <col min="6709" max="6709" width="9.140625" style="585" customWidth="1"/>
    <col min="6710" max="6710" width="18.7109375" style="585" customWidth="1"/>
    <col min="6711" max="6718" width="12.7109375" style="585" customWidth="1"/>
    <col min="6719" max="6719" width="32.7109375" style="585" customWidth="1"/>
    <col min="6720" max="6720" width="11.140625" style="585" customWidth="1"/>
    <col min="6721" max="6721" width="13.85546875" style="585" customWidth="1"/>
    <col min="6722" max="6735" width="9.140625" style="585" customWidth="1"/>
    <col min="6736" max="6736" width="10.28515625" style="585" customWidth="1"/>
    <col min="6737" max="6751" width="9.140625" style="585" customWidth="1"/>
    <col min="6752" max="6752" width="14.7109375" style="585" customWidth="1"/>
    <col min="6753" max="6756" width="9.7109375" style="585" customWidth="1"/>
    <col min="6757" max="6757" width="8.7109375" style="585" customWidth="1"/>
    <col min="6758" max="6758" width="10.7109375" style="585"/>
    <col min="6759" max="6759" width="12.7109375" style="585" customWidth="1"/>
    <col min="6760" max="6762" width="9.7109375" style="585" customWidth="1"/>
    <col min="6763" max="6763" width="9.140625" style="585" customWidth="1"/>
    <col min="6764" max="6764" width="9.140625" style="585" bestFit="1" customWidth="1"/>
    <col min="6765" max="6765" width="14" style="585" customWidth="1"/>
    <col min="6766" max="6780" width="9.140625" style="585" customWidth="1"/>
    <col min="6781" max="6781" width="9" style="585" bestFit="1" customWidth="1"/>
    <col min="6782" max="6782" width="9.140625" style="585" customWidth="1"/>
    <col min="6783" max="6783" width="20.7109375" style="585" customWidth="1"/>
    <col min="6784" max="6784" width="12.7109375" style="585" customWidth="1"/>
    <col min="6785" max="6789" width="10.7109375" style="585"/>
    <col min="6790" max="6790" width="12.7109375" style="585" customWidth="1"/>
    <col min="6791" max="6792" width="10.7109375" style="585"/>
    <col min="6793" max="6793" width="20.7109375" style="585" customWidth="1"/>
    <col min="6794" max="6800" width="11.7109375" style="585" customWidth="1"/>
    <col min="6801" max="6802" width="9.140625" style="585" customWidth="1"/>
    <col min="6803" max="6803" width="14.140625" style="585" customWidth="1"/>
    <col min="6804" max="6804" width="10.140625" style="585" customWidth="1"/>
    <col min="6805" max="6810" width="9.140625" style="585" customWidth="1"/>
    <col min="6811" max="6811" width="12.7109375" style="585" customWidth="1"/>
    <col min="6812" max="6815" width="9.140625" style="585" customWidth="1"/>
    <col min="6816" max="6816" width="9.7109375" style="585" customWidth="1"/>
    <col min="6817" max="6817" width="10.7109375" style="585"/>
    <col min="6818" max="6820" width="9.140625" style="585" customWidth="1"/>
    <col min="6821" max="6821" width="52.7109375" style="585" customWidth="1"/>
    <col min="6822" max="6834" width="10.7109375" style="585"/>
    <col min="6835" max="6835" width="12.7109375" style="585" customWidth="1"/>
    <col min="6836" max="6847" width="10.7109375" style="585"/>
    <col min="6848" max="6848" width="12.7109375" style="585" customWidth="1"/>
    <col min="6849" max="6849" width="10.7109375" style="585"/>
    <col min="6850" max="6850" width="9.140625" style="585" customWidth="1"/>
    <col min="6851" max="6851" width="20.7109375" style="585" customWidth="1"/>
    <col min="6852" max="6875" width="12.7109375" style="585" customWidth="1"/>
    <col min="6876" max="6876" width="14.42578125" style="585" customWidth="1"/>
    <col min="6877" max="6877" width="20.7109375" style="585" customWidth="1"/>
    <col min="6878" max="6887" width="12.7109375" style="585" customWidth="1"/>
    <col min="6888" max="6893" width="10.7109375" style="585"/>
    <col min="6894" max="6896" width="9.140625" style="585" customWidth="1"/>
    <col min="6897" max="6897" width="20.7109375" style="585" customWidth="1"/>
    <col min="6898" max="6907" width="10.7109375" style="585"/>
    <col min="6908" max="6908" width="23" style="585" customWidth="1"/>
    <col min="6909" max="6918" width="10.7109375" style="585"/>
    <col min="6919" max="6920" width="10.140625" style="585" customWidth="1"/>
    <col min="6921" max="6921" width="17.7109375" style="585" customWidth="1"/>
    <col min="6922" max="6930" width="10.5703125" style="585" customWidth="1"/>
    <col min="6931" max="6931" width="10.140625" style="585" customWidth="1"/>
    <col min="6932" max="6932" width="17.140625" style="585" customWidth="1"/>
    <col min="6933" max="6941" width="10.7109375" style="585"/>
    <col min="6942" max="6942" width="10.140625" style="585" customWidth="1"/>
    <col min="6943" max="6943" width="9.140625" style="585" customWidth="1"/>
    <col min="6944" max="6944" width="24.7109375" style="585" customWidth="1"/>
    <col min="6945" max="6946" width="9.7109375" style="585" customWidth="1"/>
    <col min="6947" max="6951" width="10.7109375" style="585"/>
    <col min="6952" max="6963" width="12.7109375" style="585" customWidth="1"/>
    <col min="6964" max="6964" width="10.7109375" style="585"/>
    <col min="6965" max="6965" width="9.140625" style="585" customWidth="1"/>
    <col min="6966" max="6966" width="18.7109375" style="585" customWidth="1"/>
    <col min="6967" max="6974" width="12.7109375" style="585" customWidth="1"/>
    <col min="6975" max="6975" width="32.7109375" style="585" customWidth="1"/>
    <col min="6976" max="6976" width="11.140625" style="585" customWidth="1"/>
    <col min="6977" max="6977" width="13.85546875" style="585" customWidth="1"/>
    <col min="6978" max="6991" width="9.140625" style="585" customWidth="1"/>
    <col min="6992" max="6992" width="10.28515625" style="585" customWidth="1"/>
    <col min="6993" max="7007" width="9.140625" style="585" customWidth="1"/>
    <col min="7008" max="7008" width="14.7109375" style="585" customWidth="1"/>
    <col min="7009" max="7012" width="9.7109375" style="585" customWidth="1"/>
    <col min="7013" max="7013" width="8.7109375" style="585" customWidth="1"/>
    <col min="7014" max="7014" width="10.7109375" style="585"/>
    <col min="7015" max="7015" width="12.7109375" style="585" customWidth="1"/>
    <col min="7016" max="7018" width="9.7109375" style="585" customWidth="1"/>
    <col min="7019" max="7019" width="9.140625" style="585" customWidth="1"/>
    <col min="7020" max="7020" width="9.140625" style="585" bestFit="1" customWidth="1"/>
    <col min="7021" max="7021" width="14" style="585" customWidth="1"/>
    <col min="7022" max="7036" width="9.140625" style="585" customWidth="1"/>
    <col min="7037" max="7037" width="9" style="585" bestFit="1" customWidth="1"/>
    <col min="7038" max="7038" width="9.140625" style="585" customWidth="1"/>
    <col min="7039" max="7039" width="20.7109375" style="585" customWidth="1"/>
    <col min="7040" max="7040" width="12.7109375" style="585" customWidth="1"/>
    <col min="7041" max="7045" width="10.7109375" style="585"/>
    <col min="7046" max="7046" width="12.7109375" style="585" customWidth="1"/>
    <col min="7047" max="7048" width="10.7109375" style="585"/>
    <col min="7049" max="7049" width="20.7109375" style="585" customWidth="1"/>
    <col min="7050" max="7056" width="11.7109375" style="585" customWidth="1"/>
    <col min="7057" max="7058" width="9.140625" style="585" customWidth="1"/>
    <col min="7059" max="7059" width="14.140625" style="585" customWidth="1"/>
    <col min="7060" max="7060" width="10.140625" style="585" customWidth="1"/>
    <col min="7061" max="7066" width="9.140625" style="585" customWidth="1"/>
    <col min="7067" max="7067" width="12.7109375" style="585" customWidth="1"/>
    <col min="7068" max="7071" width="9.140625" style="585" customWidth="1"/>
    <col min="7072" max="7072" width="9.7109375" style="585" customWidth="1"/>
    <col min="7073" max="7073" width="10.7109375" style="585"/>
    <col min="7074" max="7076" width="9.140625" style="585" customWidth="1"/>
    <col min="7077" max="7077" width="52.7109375" style="585" customWidth="1"/>
    <col min="7078" max="7090" width="10.7109375" style="585"/>
    <col min="7091" max="7091" width="12.7109375" style="585" customWidth="1"/>
    <col min="7092" max="7103" width="10.7109375" style="585"/>
    <col min="7104" max="7104" width="12.7109375" style="585" customWidth="1"/>
    <col min="7105" max="7105" width="10.7109375" style="585"/>
    <col min="7106" max="7106" width="9.140625" style="585" customWidth="1"/>
    <col min="7107" max="7107" width="20.7109375" style="585" customWidth="1"/>
    <col min="7108" max="7131" width="12.7109375" style="585" customWidth="1"/>
    <col min="7132" max="7132" width="14.42578125" style="585" customWidth="1"/>
    <col min="7133" max="7133" width="20.7109375" style="585" customWidth="1"/>
    <col min="7134" max="7143" width="12.7109375" style="585" customWidth="1"/>
    <col min="7144" max="7149" width="10.7109375" style="585"/>
    <col min="7150" max="7152" width="9.140625" style="585" customWidth="1"/>
    <col min="7153" max="7153" width="20.7109375" style="585" customWidth="1"/>
    <col min="7154" max="7163" width="10.7109375" style="585"/>
    <col min="7164" max="7164" width="23" style="585" customWidth="1"/>
    <col min="7165" max="7174" width="10.7109375" style="585"/>
    <col min="7175" max="7176" width="10.140625" style="585" customWidth="1"/>
    <col min="7177" max="7177" width="17.7109375" style="585" customWidth="1"/>
    <col min="7178" max="7186" width="10.5703125" style="585" customWidth="1"/>
    <col min="7187" max="7187" width="10.140625" style="585" customWidth="1"/>
    <col min="7188" max="7188" width="17.140625" style="585" customWidth="1"/>
    <col min="7189" max="7197" width="10.7109375" style="585"/>
    <col min="7198" max="7198" width="10.140625" style="585" customWidth="1"/>
    <col min="7199" max="7199" width="9.140625" style="585" customWidth="1"/>
    <col min="7200" max="7200" width="24.7109375" style="585" customWidth="1"/>
    <col min="7201" max="7202" width="9.7109375" style="585" customWidth="1"/>
    <col min="7203" max="7207" width="10.7109375" style="585"/>
    <col min="7208" max="7219" width="12.7109375" style="585" customWidth="1"/>
    <col min="7220" max="7220" width="10.7109375" style="585"/>
    <col min="7221" max="7221" width="9.140625" style="585" customWidth="1"/>
    <col min="7222" max="7222" width="18.7109375" style="585" customWidth="1"/>
    <col min="7223" max="7230" width="12.7109375" style="585" customWidth="1"/>
    <col min="7231" max="7231" width="32.7109375" style="585" customWidth="1"/>
    <col min="7232" max="7232" width="11.140625" style="585" customWidth="1"/>
    <col min="7233" max="7233" width="13.85546875" style="585" customWidth="1"/>
    <col min="7234" max="7247" width="9.140625" style="585" customWidth="1"/>
    <col min="7248" max="7248" width="10.28515625" style="585" customWidth="1"/>
    <col min="7249" max="7263" width="9.140625" style="585" customWidth="1"/>
    <col min="7264" max="7264" width="14.7109375" style="585" customWidth="1"/>
    <col min="7265" max="7268" width="9.7109375" style="585" customWidth="1"/>
    <col min="7269" max="7269" width="8.7109375" style="585" customWidth="1"/>
    <col min="7270" max="7270" width="10.7109375" style="585"/>
    <col min="7271" max="7271" width="12.7109375" style="585" customWidth="1"/>
    <col min="7272" max="7274" width="9.7109375" style="585" customWidth="1"/>
    <col min="7275" max="7275" width="9.140625" style="585" customWidth="1"/>
    <col min="7276" max="7276" width="9.140625" style="585" bestFit="1" customWidth="1"/>
    <col min="7277" max="7277" width="14" style="585" customWidth="1"/>
    <col min="7278" max="7292" width="9.140625" style="585" customWidth="1"/>
    <col min="7293" max="7293" width="9" style="585" bestFit="1" customWidth="1"/>
    <col min="7294" max="7294" width="9.140625" style="585" customWidth="1"/>
    <col min="7295" max="7295" width="20.7109375" style="585" customWidth="1"/>
    <col min="7296" max="7296" width="12.7109375" style="585" customWidth="1"/>
    <col min="7297" max="7301" width="10.7109375" style="585"/>
    <col min="7302" max="7302" width="12.7109375" style="585" customWidth="1"/>
    <col min="7303" max="7304" width="10.7109375" style="585"/>
    <col min="7305" max="7305" width="20.7109375" style="585" customWidth="1"/>
    <col min="7306" max="7312" width="11.7109375" style="585" customWidth="1"/>
    <col min="7313" max="7314" width="9.140625" style="585" customWidth="1"/>
    <col min="7315" max="7315" width="14.140625" style="585" customWidth="1"/>
    <col min="7316" max="7316" width="10.140625" style="585" customWidth="1"/>
    <col min="7317" max="7322" width="9.140625" style="585" customWidth="1"/>
    <col min="7323" max="7323" width="12.7109375" style="585" customWidth="1"/>
    <col min="7324" max="7327" width="9.140625" style="585" customWidth="1"/>
    <col min="7328" max="7328" width="9.7109375" style="585" customWidth="1"/>
    <col min="7329" max="7329" width="10.7109375" style="585"/>
    <col min="7330" max="7332" width="9.140625" style="585" customWidth="1"/>
    <col min="7333" max="7333" width="52.7109375" style="585" customWidth="1"/>
    <col min="7334" max="7346" width="10.7109375" style="585"/>
    <col min="7347" max="7347" width="12.7109375" style="585" customWidth="1"/>
    <col min="7348" max="7359" width="10.7109375" style="585"/>
    <col min="7360" max="7360" width="12.7109375" style="585" customWidth="1"/>
    <col min="7361" max="7361" width="10.7109375" style="585"/>
    <col min="7362" max="7362" width="9.140625" style="585" customWidth="1"/>
    <col min="7363" max="7363" width="20.7109375" style="585" customWidth="1"/>
    <col min="7364" max="7387" width="12.7109375" style="585" customWidth="1"/>
    <col min="7388" max="7388" width="14.42578125" style="585" customWidth="1"/>
    <col min="7389" max="7389" width="20.7109375" style="585" customWidth="1"/>
    <col min="7390" max="7399" width="12.7109375" style="585" customWidth="1"/>
    <col min="7400" max="7405" width="10.7109375" style="585"/>
    <col min="7406" max="7408" width="9.140625" style="585" customWidth="1"/>
    <col min="7409" max="7409" width="20.7109375" style="585" customWidth="1"/>
    <col min="7410" max="7419" width="10.7109375" style="585"/>
    <col min="7420" max="7420" width="23" style="585" customWidth="1"/>
    <col min="7421" max="7430" width="10.7109375" style="585"/>
    <col min="7431" max="7432" width="10.140625" style="585" customWidth="1"/>
    <col min="7433" max="7433" width="17.7109375" style="585" customWidth="1"/>
    <col min="7434" max="7442" width="10.5703125" style="585" customWidth="1"/>
    <col min="7443" max="7443" width="10.140625" style="585" customWidth="1"/>
    <col min="7444" max="7444" width="17.140625" style="585" customWidth="1"/>
    <col min="7445" max="7453" width="10.7109375" style="585"/>
    <col min="7454" max="7454" width="10.140625" style="585" customWidth="1"/>
    <col min="7455" max="7455" width="9.140625" style="585" customWidth="1"/>
    <col min="7456" max="7456" width="24.7109375" style="585" customWidth="1"/>
    <col min="7457" max="7458" width="9.7109375" style="585" customWidth="1"/>
    <col min="7459" max="7463" width="10.7109375" style="585"/>
    <col min="7464" max="7475" width="12.7109375" style="585" customWidth="1"/>
    <col min="7476" max="7476" width="10.7109375" style="585"/>
    <col min="7477" max="7477" width="9.140625" style="585" customWidth="1"/>
    <col min="7478" max="7478" width="18.7109375" style="585" customWidth="1"/>
    <col min="7479" max="7486" width="12.7109375" style="585" customWidth="1"/>
    <col min="7487" max="7487" width="32.7109375" style="585" customWidth="1"/>
    <col min="7488" max="7488" width="11.140625" style="585" customWidth="1"/>
    <col min="7489" max="7489" width="13.85546875" style="585" customWidth="1"/>
    <col min="7490" max="7503" width="9.140625" style="585" customWidth="1"/>
    <col min="7504" max="7504" width="10.28515625" style="585" customWidth="1"/>
    <col min="7505" max="7519" width="9.140625" style="585" customWidth="1"/>
    <col min="7520" max="7520" width="14.7109375" style="585" customWidth="1"/>
    <col min="7521" max="7524" width="9.7109375" style="585" customWidth="1"/>
    <col min="7525" max="7525" width="8.7109375" style="585" customWidth="1"/>
    <col min="7526" max="7526" width="10.7109375" style="585"/>
    <col min="7527" max="7527" width="12.7109375" style="585" customWidth="1"/>
    <col min="7528" max="7530" width="9.7109375" style="585" customWidth="1"/>
    <col min="7531" max="7531" width="9.140625" style="585" customWidth="1"/>
    <col min="7532" max="7532" width="9.140625" style="585" bestFit="1" customWidth="1"/>
    <col min="7533" max="7533" width="14" style="585" customWidth="1"/>
    <col min="7534" max="7548" width="9.140625" style="585" customWidth="1"/>
    <col min="7549" max="7549" width="9" style="585" bestFit="1" customWidth="1"/>
    <col min="7550" max="7550" width="9.140625" style="585" customWidth="1"/>
    <col min="7551" max="7551" width="20.7109375" style="585" customWidth="1"/>
    <col min="7552" max="7552" width="12.7109375" style="585" customWidth="1"/>
    <col min="7553" max="7557" width="10.7109375" style="585"/>
    <col min="7558" max="7558" width="12.7109375" style="585" customWidth="1"/>
    <col min="7559" max="7560" width="10.7109375" style="585"/>
    <col min="7561" max="7561" width="20.7109375" style="585" customWidth="1"/>
    <col min="7562" max="7568" width="11.7109375" style="585" customWidth="1"/>
    <col min="7569" max="7570" width="9.140625" style="585" customWidth="1"/>
    <col min="7571" max="7571" width="14.140625" style="585" customWidth="1"/>
    <col min="7572" max="7572" width="10.140625" style="585" customWidth="1"/>
    <col min="7573" max="7578" width="9.140625" style="585" customWidth="1"/>
    <col min="7579" max="7579" width="12.7109375" style="585" customWidth="1"/>
    <col min="7580" max="7583" width="9.140625" style="585" customWidth="1"/>
    <col min="7584" max="7584" width="9.7109375" style="585" customWidth="1"/>
    <col min="7585" max="7585" width="10.7109375" style="585"/>
    <col min="7586" max="7588" width="9.140625" style="585" customWidth="1"/>
    <col min="7589" max="7589" width="52.7109375" style="585" customWidth="1"/>
    <col min="7590" max="7602" width="10.7109375" style="585"/>
    <col min="7603" max="7603" width="12.7109375" style="585" customWidth="1"/>
    <col min="7604" max="7615" width="10.7109375" style="585"/>
    <col min="7616" max="7616" width="12.7109375" style="585" customWidth="1"/>
    <col min="7617" max="7617" width="10.7109375" style="585"/>
    <col min="7618" max="7618" width="9.140625" style="585" customWidth="1"/>
    <col min="7619" max="7619" width="20.7109375" style="585" customWidth="1"/>
    <col min="7620" max="7643" width="12.7109375" style="585" customWidth="1"/>
    <col min="7644" max="7644" width="14.42578125" style="585" customWidth="1"/>
    <col min="7645" max="7645" width="20.7109375" style="585" customWidth="1"/>
    <col min="7646" max="7655" width="12.7109375" style="585" customWidth="1"/>
    <col min="7656" max="7661" width="10.7109375" style="585"/>
    <col min="7662" max="7664" width="9.140625" style="585" customWidth="1"/>
    <col min="7665" max="7665" width="20.7109375" style="585" customWidth="1"/>
    <col min="7666" max="7675" width="10.7109375" style="585"/>
    <col min="7676" max="7676" width="23" style="585" customWidth="1"/>
    <col min="7677" max="7686" width="10.7109375" style="585"/>
    <col min="7687" max="7688" width="10.140625" style="585" customWidth="1"/>
    <col min="7689" max="7689" width="17.7109375" style="585" customWidth="1"/>
    <col min="7690" max="7698" width="10.5703125" style="585" customWidth="1"/>
    <col min="7699" max="7699" width="10.140625" style="585" customWidth="1"/>
    <col min="7700" max="7700" width="17.140625" style="585" customWidth="1"/>
    <col min="7701" max="7709" width="10.7109375" style="585"/>
    <col min="7710" max="7710" width="10.140625" style="585" customWidth="1"/>
    <col min="7711" max="7711" width="9.140625" style="585" customWidth="1"/>
    <col min="7712" max="7712" width="24.7109375" style="585" customWidth="1"/>
    <col min="7713" max="7714" width="9.7109375" style="585" customWidth="1"/>
    <col min="7715" max="7719" width="10.7109375" style="585"/>
    <col min="7720" max="7731" width="12.7109375" style="585" customWidth="1"/>
    <col min="7732" max="7732" width="10.7109375" style="585"/>
    <col min="7733" max="7733" width="9.140625" style="585" customWidth="1"/>
    <col min="7734" max="7734" width="18.7109375" style="585" customWidth="1"/>
    <col min="7735" max="7742" width="12.7109375" style="585" customWidth="1"/>
    <col min="7743" max="7743" width="32.7109375" style="585" customWidth="1"/>
    <col min="7744" max="7744" width="11.140625" style="585" customWidth="1"/>
    <col min="7745" max="7745" width="13.85546875" style="585" customWidth="1"/>
    <col min="7746" max="7759" width="9.140625" style="585" customWidth="1"/>
    <col min="7760" max="7760" width="10.28515625" style="585" customWidth="1"/>
    <col min="7761" max="7775" width="9.140625" style="585" customWidth="1"/>
    <col min="7776" max="7776" width="14.7109375" style="585" customWidth="1"/>
    <col min="7777" max="7780" width="9.7109375" style="585" customWidth="1"/>
    <col min="7781" max="7781" width="8.7109375" style="585" customWidth="1"/>
    <col min="7782" max="7782" width="10.7109375" style="585"/>
    <col min="7783" max="7783" width="12.7109375" style="585" customWidth="1"/>
    <col min="7784" max="7786" width="9.7109375" style="585" customWidth="1"/>
    <col min="7787" max="7787" width="9.140625" style="585" customWidth="1"/>
    <col min="7788" max="7788" width="9.140625" style="585" bestFit="1" customWidth="1"/>
    <col min="7789" max="7789" width="14" style="585" customWidth="1"/>
    <col min="7790" max="7804" width="9.140625" style="585" customWidth="1"/>
    <col min="7805" max="7805" width="9" style="585" bestFit="1" customWidth="1"/>
    <col min="7806" max="7806" width="9.140625" style="585" customWidth="1"/>
    <col min="7807" max="7807" width="20.7109375" style="585" customWidth="1"/>
    <col min="7808" max="7808" width="12.7109375" style="585" customWidth="1"/>
    <col min="7809" max="7813" width="10.7109375" style="585"/>
    <col min="7814" max="7814" width="12.7109375" style="585" customWidth="1"/>
    <col min="7815" max="7816" width="10.7109375" style="585"/>
    <col min="7817" max="7817" width="20.7109375" style="585" customWidth="1"/>
    <col min="7818" max="7824" width="11.7109375" style="585" customWidth="1"/>
    <col min="7825" max="7826" width="9.140625" style="585" customWidth="1"/>
    <col min="7827" max="7827" width="14.140625" style="585" customWidth="1"/>
    <col min="7828" max="7828" width="10.140625" style="585" customWidth="1"/>
    <col min="7829" max="7834" width="9.140625" style="585" customWidth="1"/>
    <col min="7835" max="7835" width="12.7109375" style="585" customWidth="1"/>
    <col min="7836" max="7839" width="9.140625" style="585" customWidth="1"/>
    <col min="7840" max="7840" width="9.7109375" style="585" customWidth="1"/>
    <col min="7841" max="7841" width="10.7109375" style="585"/>
    <col min="7842" max="7844" width="9.140625" style="585" customWidth="1"/>
    <col min="7845" max="7845" width="52.7109375" style="585" customWidth="1"/>
    <col min="7846" max="7858" width="10.7109375" style="585"/>
    <col min="7859" max="7859" width="12.7109375" style="585" customWidth="1"/>
    <col min="7860" max="7871" width="10.7109375" style="585"/>
    <col min="7872" max="7872" width="12.7109375" style="585" customWidth="1"/>
    <col min="7873" max="7873" width="10.7109375" style="585"/>
    <col min="7874" max="7874" width="9.140625" style="585" customWidth="1"/>
    <col min="7875" max="7875" width="20.7109375" style="585" customWidth="1"/>
    <col min="7876" max="7899" width="12.7109375" style="585" customWidth="1"/>
    <col min="7900" max="7900" width="14.42578125" style="585" customWidth="1"/>
    <col min="7901" max="7901" width="20.7109375" style="585" customWidth="1"/>
    <col min="7902" max="7911" width="12.7109375" style="585" customWidth="1"/>
    <col min="7912" max="7917" width="10.7109375" style="585"/>
    <col min="7918" max="7920" width="9.140625" style="585" customWidth="1"/>
    <col min="7921" max="7921" width="20.7109375" style="585" customWidth="1"/>
    <col min="7922" max="7931" width="10.7109375" style="585"/>
    <col min="7932" max="7932" width="23" style="585" customWidth="1"/>
    <col min="7933" max="7942" width="10.7109375" style="585"/>
    <col min="7943" max="7944" width="10.140625" style="585" customWidth="1"/>
    <col min="7945" max="7945" width="17.7109375" style="585" customWidth="1"/>
    <col min="7946" max="7954" width="10.5703125" style="585" customWidth="1"/>
    <col min="7955" max="7955" width="10.140625" style="585" customWidth="1"/>
    <col min="7956" max="7956" width="17.140625" style="585" customWidth="1"/>
    <col min="7957" max="7965" width="10.7109375" style="585"/>
    <col min="7966" max="7966" width="10.140625" style="585" customWidth="1"/>
    <col min="7967" max="7967" width="9.140625" style="585" customWidth="1"/>
    <col min="7968" max="7968" width="24.7109375" style="585" customWidth="1"/>
    <col min="7969" max="7970" width="9.7109375" style="585" customWidth="1"/>
    <col min="7971" max="7975" width="10.7109375" style="585"/>
    <col min="7976" max="7987" width="12.7109375" style="585" customWidth="1"/>
    <col min="7988" max="7988" width="10.7109375" style="585"/>
    <col min="7989" max="7989" width="9.140625" style="585" customWidth="1"/>
    <col min="7990" max="7990" width="18.7109375" style="585" customWidth="1"/>
    <col min="7991" max="7998" width="12.7109375" style="585" customWidth="1"/>
    <col min="7999" max="7999" width="32.7109375" style="585" customWidth="1"/>
    <col min="8000" max="8000" width="11.140625" style="585" customWidth="1"/>
    <col min="8001" max="8001" width="13.85546875" style="585" customWidth="1"/>
    <col min="8002" max="8015" width="9.140625" style="585" customWidth="1"/>
    <col min="8016" max="8016" width="10.28515625" style="585" customWidth="1"/>
    <col min="8017" max="8031" width="9.140625" style="585" customWidth="1"/>
    <col min="8032" max="8032" width="14.7109375" style="585" customWidth="1"/>
    <col min="8033" max="8036" width="9.7109375" style="585" customWidth="1"/>
    <col min="8037" max="8037" width="8.7109375" style="585" customWidth="1"/>
    <col min="8038" max="8038" width="10.7109375" style="585"/>
    <col min="8039" max="8039" width="12.7109375" style="585" customWidth="1"/>
    <col min="8040" max="8042" width="9.7109375" style="585" customWidth="1"/>
    <col min="8043" max="8043" width="9.140625" style="585" customWidth="1"/>
    <col min="8044" max="8044" width="9.140625" style="585" bestFit="1" customWidth="1"/>
    <col min="8045" max="8045" width="14" style="585" customWidth="1"/>
    <col min="8046" max="8060" width="9.140625" style="585" customWidth="1"/>
    <col min="8061" max="8061" width="9" style="585" bestFit="1" customWidth="1"/>
    <col min="8062" max="8062" width="9.140625" style="585" customWidth="1"/>
    <col min="8063" max="8063" width="20.7109375" style="585" customWidth="1"/>
    <col min="8064" max="8064" width="12.7109375" style="585" customWidth="1"/>
    <col min="8065" max="8069" width="10.7109375" style="585"/>
    <col min="8070" max="8070" width="12.7109375" style="585" customWidth="1"/>
    <col min="8071" max="8072" width="10.7109375" style="585"/>
    <col min="8073" max="8073" width="20.7109375" style="585" customWidth="1"/>
    <col min="8074" max="8080" width="11.7109375" style="585" customWidth="1"/>
    <col min="8081" max="8082" width="9.140625" style="585" customWidth="1"/>
    <col min="8083" max="8083" width="14.140625" style="585" customWidth="1"/>
    <col min="8084" max="8084" width="10.140625" style="585" customWidth="1"/>
    <col min="8085" max="8090" width="9.140625" style="585" customWidth="1"/>
    <col min="8091" max="8091" width="12.7109375" style="585" customWidth="1"/>
    <col min="8092" max="8095" width="9.140625" style="585" customWidth="1"/>
    <col min="8096" max="8096" width="9.7109375" style="585" customWidth="1"/>
    <col min="8097" max="8097" width="10.7109375" style="585"/>
    <col min="8098" max="8100" width="9.140625" style="585" customWidth="1"/>
    <col min="8101" max="8101" width="52.7109375" style="585" customWidth="1"/>
    <col min="8102" max="8114" width="10.7109375" style="585"/>
    <col min="8115" max="8115" width="12.7109375" style="585" customWidth="1"/>
    <col min="8116" max="8127" width="10.7109375" style="585"/>
    <col min="8128" max="8128" width="12.7109375" style="585" customWidth="1"/>
    <col min="8129" max="8129" width="10.7109375" style="585"/>
    <col min="8130" max="8130" width="9.140625" style="585" customWidth="1"/>
    <col min="8131" max="8131" width="20.7109375" style="585" customWidth="1"/>
    <col min="8132" max="8155" width="12.7109375" style="585" customWidth="1"/>
    <col min="8156" max="8156" width="14.42578125" style="585" customWidth="1"/>
    <col min="8157" max="8157" width="20.7109375" style="585" customWidth="1"/>
    <col min="8158" max="8167" width="12.7109375" style="585" customWidth="1"/>
    <col min="8168" max="8173" width="10.7109375" style="585"/>
    <col min="8174" max="8176" width="9.140625" style="585" customWidth="1"/>
    <col min="8177" max="8177" width="20.7109375" style="585" customWidth="1"/>
    <col min="8178" max="8187" width="10.7109375" style="585"/>
    <col min="8188" max="8188" width="23" style="585" customWidth="1"/>
    <col min="8189" max="8198" width="10.7109375" style="585"/>
    <col min="8199" max="8200" width="10.140625" style="585" customWidth="1"/>
    <col min="8201" max="8201" width="17.7109375" style="585" customWidth="1"/>
    <col min="8202" max="8210" width="10.5703125" style="585" customWidth="1"/>
    <col min="8211" max="8211" width="10.140625" style="585" customWidth="1"/>
    <col min="8212" max="8212" width="17.140625" style="585" customWidth="1"/>
    <col min="8213" max="8221" width="10.7109375" style="585"/>
    <col min="8222" max="8222" width="10.140625" style="585" customWidth="1"/>
    <col min="8223" max="8223" width="9.140625" style="585" customWidth="1"/>
    <col min="8224" max="8224" width="24.7109375" style="585" customWidth="1"/>
    <col min="8225" max="8226" width="9.7109375" style="585" customWidth="1"/>
    <col min="8227" max="8231" width="10.7109375" style="585"/>
    <col min="8232" max="8243" width="12.7109375" style="585" customWidth="1"/>
    <col min="8244" max="8244" width="10.7109375" style="585"/>
    <col min="8245" max="8245" width="9.140625" style="585" customWidth="1"/>
    <col min="8246" max="8246" width="18.7109375" style="585" customWidth="1"/>
    <col min="8247" max="8254" width="12.7109375" style="585" customWidth="1"/>
    <col min="8255" max="8255" width="32.7109375" style="585" customWidth="1"/>
    <col min="8256" max="8256" width="11.140625" style="585" customWidth="1"/>
    <col min="8257" max="8257" width="13.85546875" style="585" customWidth="1"/>
    <col min="8258" max="8271" width="9.140625" style="585" customWidth="1"/>
    <col min="8272" max="8272" width="10.28515625" style="585" customWidth="1"/>
    <col min="8273" max="8287" width="9.140625" style="585" customWidth="1"/>
    <col min="8288" max="8288" width="14.7109375" style="585" customWidth="1"/>
    <col min="8289" max="8292" width="9.7109375" style="585" customWidth="1"/>
    <col min="8293" max="8293" width="8.7109375" style="585" customWidth="1"/>
    <col min="8294" max="8294" width="10.7109375" style="585"/>
    <col min="8295" max="8295" width="12.7109375" style="585" customWidth="1"/>
    <col min="8296" max="8298" width="9.7109375" style="585" customWidth="1"/>
    <col min="8299" max="8299" width="9.140625" style="585" customWidth="1"/>
    <col min="8300" max="8300" width="9.140625" style="585" bestFit="1" customWidth="1"/>
    <col min="8301" max="8301" width="14" style="585" customWidth="1"/>
    <col min="8302" max="8316" width="9.140625" style="585" customWidth="1"/>
    <col min="8317" max="8317" width="9" style="585" bestFit="1" customWidth="1"/>
    <col min="8318" max="8318" width="9.140625" style="585" customWidth="1"/>
    <col min="8319" max="8319" width="20.7109375" style="585" customWidth="1"/>
    <col min="8320" max="8320" width="12.7109375" style="585" customWidth="1"/>
    <col min="8321" max="8325" width="10.7109375" style="585"/>
    <col min="8326" max="8326" width="12.7109375" style="585" customWidth="1"/>
    <col min="8327" max="8328" width="10.7109375" style="585"/>
    <col min="8329" max="8329" width="20.7109375" style="585" customWidth="1"/>
    <col min="8330" max="8336" width="11.7109375" style="585" customWidth="1"/>
    <col min="8337" max="8338" width="9.140625" style="585" customWidth="1"/>
    <col min="8339" max="8339" width="14.140625" style="585" customWidth="1"/>
    <col min="8340" max="8340" width="10.140625" style="585" customWidth="1"/>
    <col min="8341" max="8346" width="9.140625" style="585" customWidth="1"/>
    <col min="8347" max="8347" width="12.7109375" style="585" customWidth="1"/>
    <col min="8348" max="8351" width="9.140625" style="585" customWidth="1"/>
    <col min="8352" max="8352" width="9.7109375" style="585" customWidth="1"/>
    <col min="8353" max="8353" width="10.7109375" style="585"/>
    <col min="8354" max="8356" width="9.140625" style="585" customWidth="1"/>
    <col min="8357" max="8357" width="52.7109375" style="585" customWidth="1"/>
    <col min="8358" max="8370" width="10.7109375" style="585"/>
    <col min="8371" max="8371" width="12.7109375" style="585" customWidth="1"/>
    <col min="8372" max="8383" width="10.7109375" style="585"/>
    <col min="8384" max="8384" width="12.7109375" style="585" customWidth="1"/>
    <col min="8385" max="8385" width="10.7109375" style="585"/>
    <col min="8386" max="8386" width="9.140625" style="585" customWidth="1"/>
    <col min="8387" max="8387" width="20.7109375" style="585" customWidth="1"/>
    <col min="8388" max="8411" width="12.7109375" style="585" customWidth="1"/>
    <col min="8412" max="8412" width="14.42578125" style="585" customWidth="1"/>
    <col min="8413" max="8413" width="20.7109375" style="585" customWidth="1"/>
    <col min="8414" max="8423" width="12.7109375" style="585" customWidth="1"/>
    <col min="8424" max="8429" width="10.7109375" style="585"/>
    <col min="8430" max="8432" width="9.140625" style="585" customWidth="1"/>
    <col min="8433" max="8433" width="20.7109375" style="585" customWidth="1"/>
    <col min="8434" max="8443" width="10.7109375" style="585"/>
    <col min="8444" max="8444" width="23" style="585" customWidth="1"/>
    <col min="8445" max="8454" width="10.7109375" style="585"/>
    <col min="8455" max="8456" width="10.140625" style="585" customWidth="1"/>
    <col min="8457" max="8457" width="17.7109375" style="585" customWidth="1"/>
    <col min="8458" max="8466" width="10.5703125" style="585" customWidth="1"/>
    <col min="8467" max="8467" width="10.140625" style="585" customWidth="1"/>
    <col min="8468" max="8468" width="17.140625" style="585" customWidth="1"/>
    <col min="8469" max="8477" width="10.7109375" style="585"/>
    <col min="8478" max="8478" width="10.140625" style="585" customWidth="1"/>
    <col min="8479" max="8479" width="9.140625" style="585" customWidth="1"/>
    <col min="8480" max="8480" width="24.7109375" style="585" customWidth="1"/>
    <col min="8481" max="8482" width="9.7109375" style="585" customWidth="1"/>
    <col min="8483" max="8487" width="10.7109375" style="585"/>
    <col min="8488" max="8499" width="12.7109375" style="585" customWidth="1"/>
    <col min="8500" max="8500" width="10.7109375" style="585"/>
    <col min="8501" max="8501" width="9.140625" style="585" customWidth="1"/>
    <col min="8502" max="8502" width="18.7109375" style="585" customWidth="1"/>
    <col min="8503" max="8510" width="12.7109375" style="585" customWidth="1"/>
    <col min="8511" max="8511" width="32.7109375" style="585" customWidth="1"/>
    <col min="8512" max="8512" width="11.140625" style="585" customWidth="1"/>
    <col min="8513" max="8513" width="13.85546875" style="585" customWidth="1"/>
    <col min="8514" max="8527" width="9.140625" style="585" customWidth="1"/>
    <col min="8528" max="8528" width="10.28515625" style="585" customWidth="1"/>
    <col min="8529" max="8543" width="9.140625" style="585" customWidth="1"/>
    <col min="8544" max="8544" width="14.7109375" style="585" customWidth="1"/>
    <col min="8545" max="8548" width="9.7109375" style="585" customWidth="1"/>
    <col min="8549" max="8549" width="8.7109375" style="585" customWidth="1"/>
    <col min="8550" max="8550" width="10.7109375" style="585"/>
    <col min="8551" max="8551" width="12.7109375" style="585" customWidth="1"/>
    <col min="8552" max="8554" width="9.7109375" style="585" customWidth="1"/>
    <col min="8555" max="8555" width="9.140625" style="585" customWidth="1"/>
    <col min="8556" max="8556" width="9.140625" style="585" bestFit="1" customWidth="1"/>
    <col min="8557" max="8557" width="14" style="585" customWidth="1"/>
    <col min="8558" max="8572" width="9.140625" style="585" customWidth="1"/>
    <col min="8573" max="8573" width="9" style="585" bestFit="1" customWidth="1"/>
    <col min="8574" max="8574" width="9.140625" style="585" customWidth="1"/>
    <col min="8575" max="8575" width="20.7109375" style="585" customWidth="1"/>
    <col min="8576" max="8576" width="12.7109375" style="585" customWidth="1"/>
    <col min="8577" max="8581" width="10.7109375" style="585"/>
    <col min="8582" max="8582" width="12.7109375" style="585" customWidth="1"/>
    <col min="8583" max="8584" width="10.7109375" style="585"/>
    <col min="8585" max="8585" width="20.7109375" style="585" customWidth="1"/>
    <col min="8586" max="8592" width="11.7109375" style="585" customWidth="1"/>
    <col min="8593" max="8594" width="9.140625" style="585" customWidth="1"/>
    <col min="8595" max="8595" width="14.140625" style="585" customWidth="1"/>
    <col min="8596" max="8596" width="10.140625" style="585" customWidth="1"/>
    <col min="8597" max="8602" width="9.140625" style="585" customWidth="1"/>
    <col min="8603" max="8603" width="12.7109375" style="585" customWidth="1"/>
    <col min="8604" max="8607" width="9.140625" style="585" customWidth="1"/>
    <col min="8608" max="8608" width="9.7109375" style="585" customWidth="1"/>
    <col min="8609" max="8609" width="10.7109375" style="585"/>
    <col min="8610" max="8612" width="9.140625" style="585" customWidth="1"/>
    <col min="8613" max="8613" width="52.7109375" style="585" customWidth="1"/>
    <col min="8614" max="8626" width="10.7109375" style="585"/>
    <col min="8627" max="8627" width="12.7109375" style="585" customWidth="1"/>
    <col min="8628" max="8639" width="10.7109375" style="585"/>
    <col min="8640" max="8640" width="12.7109375" style="585" customWidth="1"/>
    <col min="8641" max="8641" width="10.7109375" style="585"/>
    <col min="8642" max="8642" width="9.140625" style="585" customWidth="1"/>
    <col min="8643" max="8643" width="20.7109375" style="585" customWidth="1"/>
    <col min="8644" max="8667" width="12.7109375" style="585" customWidth="1"/>
    <col min="8668" max="8668" width="14.42578125" style="585" customWidth="1"/>
    <col min="8669" max="8669" width="20.7109375" style="585" customWidth="1"/>
    <col min="8670" max="8679" width="12.7109375" style="585" customWidth="1"/>
    <col min="8680" max="8685" width="10.7109375" style="585"/>
    <col min="8686" max="8688" width="9.140625" style="585" customWidth="1"/>
    <col min="8689" max="8689" width="20.7109375" style="585" customWidth="1"/>
    <col min="8690" max="8699" width="10.7109375" style="585"/>
    <col min="8700" max="8700" width="23" style="585" customWidth="1"/>
    <col min="8701" max="8710" width="10.7109375" style="585"/>
    <col min="8711" max="8712" width="10.140625" style="585" customWidth="1"/>
    <col min="8713" max="8713" width="17.7109375" style="585" customWidth="1"/>
    <col min="8714" max="8722" width="10.5703125" style="585" customWidth="1"/>
    <col min="8723" max="8723" width="10.140625" style="585" customWidth="1"/>
    <col min="8724" max="8724" width="17.140625" style="585" customWidth="1"/>
    <col min="8725" max="8733" width="10.7109375" style="585"/>
    <col min="8734" max="8734" width="10.140625" style="585" customWidth="1"/>
    <col min="8735" max="8735" width="9.140625" style="585" customWidth="1"/>
    <col min="8736" max="8736" width="24.7109375" style="585" customWidth="1"/>
    <col min="8737" max="8738" width="9.7109375" style="585" customWidth="1"/>
    <col min="8739" max="8743" width="10.7109375" style="585"/>
    <col min="8744" max="8755" width="12.7109375" style="585" customWidth="1"/>
    <col min="8756" max="8756" width="10.7109375" style="585"/>
    <col min="8757" max="8757" width="9.140625" style="585" customWidth="1"/>
    <col min="8758" max="8758" width="18.7109375" style="585" customWidth="1"/>
    <col min="8759" max="8766" width="12.7109375" style="585" customWidth="1"/>
    <col min="8767" max="8767" width="32.7109375" style="585" customWidth="1"/>
    <col min="8768" max="8768" width="11.140625" style="585" customWidth="1"/>
    <col min="8769" max="8769" width="13.85546875" style="585" customWidth="1"/>
    <col min="8770" max="8783" width="9.140625" style="585" customWidth="1"/>
    <col min="8784" max="8784" width="10.28515625" style="585" customWidth="1"/>
    <col min="8785" max="8799" width="9.140625" style="585" customWidth="1"/>
    <col min="8800" max="8800" width="14.7109375" style="585" customWidth="1"/>
    <col min="8801" max="8804" width="9.7109375" style="585" customWidth="1"/>
    <col min="8805" max="8805" width="8.7109375" style="585" customWidth="1"/>
    <col min="8806" max="8806" width="10.7109375" style="585"/>
    <col min="8807" max="8807" width="12.7109375" style="585" customWidth="1"/>
    <col min="8808" max="8810" width="9.7109375" style="585" customWidth="1"/>
    <col min="8811" max="8811" width="9.140625" style="585" customWidth="1"/>
    <col min="8812" max="8812" width="9.140625" style="585" bestFit="1" customWidth="1"/>
    <col min="8813" max="8813" width="14" style="585" customWidth="1"/>
    <col min="8814" max="8828" width="9.140625" style="585" customWidth="1"/>
    <col min="8829" max="8829" width="9" style="585" bestFit="1" customWidth="1"/>
    <col min="8830" max="8830" width="9.140625" style="585" customWidth="1"/>
    <col min="8831" max="8831" width="20.7109375" style="585" customWidth="1"/>
    <col min="8832" max="8832" width="12.7109375" style="585" customWidth="1"/>
    <col min="8833" max="8837" width="10.7109375" style="585"/>
    <col min="8838" max="8838" width="12.7109375" style="585" customWidth="1"/>
    <col min="8839" max="8840" width="10.7109375" style="585"/>
    <col min="8841" max="8841" width="20.7109375" style="585" customWidth="1"/>
    <col min="8842" max="8848" width="11.7109375" style="585" customWidth="1"/>
    <col min="8849" max="8850" width="9.140625" style="585" customWidth="1"/>
    <col min="8851" max="8851" width="14.140625" style="585" customWidth="1"/>
    <col min="8852" max="8852" width="10.140625" style="585" customWidth="1"/>
    <col min="8853" max="8858" width="9.140625" style="585" customWidth="1"/>
    <col min="8859" max="8859" width="12.7109375" style="585" customWidth="1"/>
    <col min="8860" max="8863" width="9.140625" style="585" customWidth="1"/>
    <col min="8864" max="8864" width="9.7109375" style="585" customWidth="1"/>
    <col min="8865" max="8865" width="10.7109375" style="585"/>
    <col min="8866" max="8868" width="9.140625" style="585" customWidth="1"/>
    <col min="8869" max="8869" width="52.7109375" style="585" customWidth="1"/>
    <col min="8870" max="8882" width="10.7109375" style="585"/>
    <col min="8883" max="8883" width="12.7109375" style="585" customWidth="1"/>
    <col min="8884" max="8895" width="10.7109375" style="585"/>
    <col min="8896" max="8896" width="12.7109375" style="585" customWidth="1"/>
    <col min="8897" max="8897" width="10.7109375" style="585"/>
    <col min="8898" max="8898" width="9.140625" style="585" customWidth="1"/>
    <col min="8899" max="8899" width="20.7109375" style="585" customWidth="1"/>
    <col min="8900" max="8923" width="12.7109375" style="585" customWidth="1"/>
    <col min="8924" max="8924" width="14.42578125" style="585" customWidth="1"/>
    <col min="8925" max="8925" width="20.7109375" style="585" customWidth="1"/>
    <col min="8926" max="8935" width="12.7109375" style="585" customWidth="1"/>
    <col min="8936" max="8941" width="10.7109375" style="585"/>
    <col min="8942" max="8944" width="9.140625" style="585" customWidth="1"/>
    <col min="8945" max="8945" width="20.7109375" style="585" customWidth="1"/>
    <col min="8946" max="8955" width="10.7109375" style="585"/>
    <col min="8956" max="8956" width="23" style="585" customWidth="1"/>
    <col min="8957" max="8966" width="10.7109375" style="585"/>
    <col min="8967" max="8968" width="10.140625" style="585" customWidth="1"/>
    <col min="8969" max="8969" width="17.7109375" style="585" customWidth="1"/>
    <col min="8970" max="8978" width="10.5703125" style="585" customWidth="1"/>
    <col min="8979" max="8979" width="10.140625" style="585" customWidth="1"/>
    <col min="8980" max="8980" width="17.140625" style="585" customWidth="1"/>
    <col min="8981" max="8989" width="10.7109375" style="585"/>
    <col min="8990" max="8990" width="10.140625" style="585" customWidth="1"/>
    <col min="8991" max="8991" width="9.140625" style="585" customWidth="1"/>
    <col min="8992" max="8992" width="24.7109375" style="585" customWidth="1"/>
    <col min="8993" max="8994" width="9.7109375" style="585" customWidth="1"/>
    <col min="8995" max="8999" width="10.7109375" style="585"/>
    <col min="9000" max="9011" width="12.7109375" style="585" customWidth="1"/>
    <col min="9012" max="9012" width="10.7109375" style="585"/>
    <col min="9013" max="9013" width="9.140625" style="585" customWidth="1"/>
    <col min="9014" max="9014" width="18.7109375" style="585" customWidth="1"/>
    <col min="9015" max="9022" width="12.7109375" style="585" customWidth="1"/>
    <col min="9023" max="9023" width="32.7109375" style="585" customWidth="1"/>
    <col min="9024" max="9024" width="11.140625" style="585" customWidth="1"/>
    <col min="9025" max="9025" width="13.85546875" style="585" customWidth="1"/>
    <col min="9026" max="9039" width="9.140625" style="585" customWidth="1"/>
    <col min="9040" max="9040" width="10.28515625" style="585" customWidth="1"/>
    <col min="9041" max="9055" width="9.140625" style="585" customWidth="1"/>
    <col min="9056" max="9056" width="14.7109375" style="585" customWidth="1"/>
    <col min="9057" max="9060" width="9.7109375" style="585" customWidth="1"/>
    <col min="9061" max="9061" width="8.7109375" style="585" customWidth="1"/>
    <col min="9062" max="9062" width="10.7109375" style="585"/>
    <col min="9063" max="9063" width="12.7109375" style="585" customWidth="1"/>
    <col min="9064" max="9066" width="9.7109375" style="585" customWidth="1"/>
    <col min="9067" max="9067" width="9.140625" style="585" customWidth="1"/>
    <col min="9068" max="9068" width="9.140625" style="585" bestFit="1" customWidth="1"/>
    <col min="9069" max="9069" width="14" style="585" customWidth="1"/>
    <col min="9070" max="9084" width="9.140625" style="585" customWidth="1"/>
    <col min="9085" max="9085" width="9" style="585" bestFit="1" customWidth="1"/>
    <col min="9086" max="9086" width="9.140625" style="585" customWidth="1"/>
    <col min="9087" max="9087" width="20.7109375" style="585" customWidth="1"/>
    <col min="9088" max="9088" width="12.7109375" style="585" customWidth="1"/>
    <col min="9089" max="9093" width="10.7109375" style="585"/>
    <col min="9094" max="9094" width="12.7109375" style="585" customWidth="1"/>
    <col min="9095" max="9096" width="10.7109375" style="585"/>
    <col min="9097" max="9097" width="20.7109375" style="585" customWidth="1"/>
    <col min="9098" max="9104" width="11.7109375" style="585" customWidth="1"/>
    <col min="9105" max="9106" width="9.140625" style="585" customWidth="1"/>
    <col min="9107" max="9107" width="14.140625" style="585" customWidth="1"/>
    <col min="9108" max="9108" width="10.140625" style="585" customWidth="1"/>
    <col min="9109" max="9114" width="9.140625" style="585" customWidth="1"/>
    <col min="9115" max="9115" width="12.7109375" style="585" customWidth="1"/>
    <col min="9116" max="9119" width="9.140625" style="585" customWidth="1"/>
    <col min="9120" max="9120" width="9.7109375" style="585" customWidth="1"/>
    <col min="9121" max="9121" width="10.7109375" style="585"/>
    <col min="9122" max="9124" width="9.140625" style="585" customWidth="1"/>
    <col min="9125" max="9125" width="52.7109375" style="585" customWidth="1"/>
    <col min="9126" max="9138" width="10.7109375" style="585"/>
    <col min="9139" max="9139" width="12.7109375" style="585" customWidth="1"/>
    <col min="9140" max="9151" width="10.7109375" style="585"/>
    <col min="9152" max="9152" width="12.7109375" style="585" customWidth="1"/>
    <col min="9153" max="9153" width="10.7109375" style="585"/>
    <col min="9154" max="9154" width="9.140625" style="585" customWidth="1"/>
    <col min="9155" max="9155" width="20.7109375" style="585" customWidth="1"/>
    <col min="9156" max="9179" width="12.7109375" style="585" customWidth="1"/>
    <col min="9180" max="9180" width="14.42578125" style="585" customWidth="1"/>
    <col min="9181" max="9181" width="20.7109375" style="585" customWidth="1"/>
    <col min="9182" max="9191" width="12.7109375" style="585" customWidth="1"/>
    <col min="9192" max="9197" width="10.7109375" style="585"/>
    <col min="9198" max="9200" width="9.140625" style="585" customWidth="1"/>
    <col min="9201" max="9201" width="20.7109375" style="585" customWidth="1"/>
    <col min="9202" max="9211" width="10.7109375" style="585"/>
    <col min="9212" max="9212" width="23" style="585" customWidth="1"/>
    <col min="9213" max="9222" width="10.7109375" style="585"/>
    <col min="9223" max="9224" width="10.140625" style="585" customWidth="1"/>
    <col min="9225" max="9225" width="17.7109375" style="585" customWidth="1"/>
    <col min="9226" max="9234" width="10.5703125" style="585" customWidth="1"/>
    <col min="9235" max="9235" width="10.140625" style="585" customWidth="1"/>
    <col min="9236" max="9236" width="17.140625" style="585" customWidth="1"/>
    <col min="9237" max="9245" width="10.7109375" style="585"/>
    <col min="9246" max="9246" width="10.140625" style="585" customWidth="1"/>
    <col min="9247" max="9247" width="9.140625" style="585" customWidth="1"/>
    <col min="9248" max="9248" width="24.7109375" style="585" customWidth="1"/>
    <col min="9249" max="9250" width="9.7109375" style="585" customWidth="1"/>
    <col min="9251" max="9255" width="10.7109375" style="585"/>
    <col min="9256" max="9267" width="12.7109375" style="585" customWidth="1"/>
    <col min="9268" max="9268" width="10.7109375" style="585"/>
    <col min="9269" max="9269" width="9.140625" style="585" customWidth="1"/>
    <col min="9270" max="9270" width="18.7109375" style="585" customWidth="1"/>
    <col min="9271" max="9278" width="12.7109375" style="585" customWidth="1"/>
    <col min="9279" max="9279" width="32.7109375" style="585" customWidth="1"/>
    <col min="9280" max="9280" width="11.140625" style="585" customWidth="1"/>
    <col min="9281" max="9281" width="13.85546875" style="585" customWidth="1"/>
    <col min="9282" max="9295" width="9.140625" style="585" customWidth="1"/>
    <col min="9296" max="9296" width="10.28515625" style="585" customWidth="1"/>
    <col min="9297" max="9311" width="9.140625" style="585" customWidth="1"/>
    <col min="9312" max="9312" width="14.7109375" style="585" customWidth="1"/>
    <col min="9313" max="9316" width="9.7109375" style="585" customWidth="1"/>
    <col min="9317" max="9317" width="8.7109375" style="585" customWidth="1"/>
    <col min="9318" max="9318" width="10.7109375" style="585"/>
    <col min="9319" max="9319" width="12.7109375" style="585" customWidth="1"/>
    <col min="9320" max="9322" width="9.7109375" style="585" customWidth="1"/>
    <col min="9323" max="9323" width="9.140625" style="585" customWidth="1"/>
    <col min="9324" max="9324" width="9.140625" style="585" bestFit="1" customWidth="1"/>
    <col min="9325" max="9325" width="14" style="585" customWidth="1"/>
    <col min="9326" max="9340" width="9.140625" style="585" customWidth="1"/>
    <col min="9341" max="9341" width="9" style="585" bestFit="1" customWidth="1"/>
    <col min="9342" max="9342" width="9.140625" style="585" customWidth="1"/>
    <col min="9343" max="9343" width="20.7109375" style="585" customWidth="1"/>
    <col min="9344" max="9344" width="12.7109375" style="585" customWidth="1"/>
    <col min="9345" max="9349" width="10.7109375" style="585"/>
    <col min="9350" max="9350" width="12.7109375" style="585" customWidth="1"/>
    <col min="9351" max="9352" width="10.7109375" style="585"/>
    <col min="9353" max="9353" width="20.7109375" style="585" customWidth="1"/>
    <col min="9354" max="9360" width="11.7109375" style="585" customWidth="1"/>
    <col min="9361" max="9362" width="9.140625" style="585" customWidth="1"/>
    <col min="9363" max="9363" width="14.140625" style="585" customWidth="1"/>
    <col min="9364" max="9364" width="10.140625" style="585" customWidth="1"/>
    <col min="9365" max="9370" width="9.140625" style="585" customWidth="1"/>
    <col min="9371" max="9371" width="12.7109375" style="585" customWidth="1"/>
    <col min="9372" max="9375" width="9.140625" style="585" customWidth="1"/>
    <col min="9376" max="9376" width="9.7109375" style="585" customWidth="1"/>
    <col min="9377" max="9377" width="10.7109375" style="585"/>
    <col min="9378" max="9380" width="9.140625" style="585" customWidth="1"/>
    <col min="9381" max="9381" width="52.7109375" style="585" customWidth="1"/>
    <col min="9382" max="9394" width="10.7109375" style="585"/>
    <col min="9395" max="9395" width="12.7109375" style="585" customWidth="1"/>
    <col min="9396" max="9407" width="10.7109375" style="585"/>
    <col min="9408" max="9408" width="12.7109375" style="585" customWidth="1"/>
    <col min="9409" max="9409" width="10.7109375" style="585"/>
    <col min="9410" max="9410" width="9.140625" style="585" customWidth="1"/>
    <col min="9411" max="9411" width="20.7109375" style="585" customWidth="1"/>
    <col min="9412" max="9435" width="12.7109375" style="585" customWidth="1"/>
    <col min="9436" max="9436" width="14.42578125" style="585" customWidth="1"/>
    <col min="9437" max="9437" width="20.7109375" style="585" customWidth="1"/>
    <col min="9438" max="9447" width="12.7109375" style="585" customWidth="1"/>
    <col min="9448" max="9453" width="10.7109375" style="585"/>
    <col min="9454" max="9456" width="9.140625" style="585" customWidth="1"/>
    <col min="9457" max="9457" width="20.7109375" style="585" customWidth="1"/>
    <col min="9458" max="9467" width="10.7109375" style="585"/>
    <col min="9468" max="9468" width="23" style="585" customWidth="1"/>
    <col min="9469" max="9478" width="10.7109375" style="585"/>
    <col min="9479" max="9480" width="10.140625" style="585" customWidth="1"/>
    <col min="9481" max="9481" width="17.7109375" style="585" customWidth="1"/>
    <col min="9482" max="9490" width="10.5703125" style="585" customWidth="1"/>
    <col min="9491" max="9491" width="10.140625" style="585" customWidth="1"/>
    <col min="9492" max="9492" width="17.140625" style="585" customWidth="1"/>
    <col min="9493" max="9501" width="10.7109375" style="585"/>
    <col min="9502" max="9502" width="10.140625" style="585" customWidth="1"/>
    <col min="9503" max="9503" width="9.140625" style="585" customWidth="1"/>
    <col min="9504" max="9504" width="24.7109375" style="585" customWidth="1"/>
    <col min="9505" max="9506" width="9.7109375" style="585" customWidth="1"/>
    <col min="9507" max="9511" width="10.7109375" style="585"/>
    <col min="9512" max="9523" width="12.7109375" style="585" customWidth="1"/>
    <col min="9524" max="9524" width="10.7109375" style="585"/>
    <col min="9525" max="9525" width="9.140625" style="585" customWidth="1"/>
    <col min="9526" max="9526" width="18.7109375" style="585" customWidth="1"/>
    <col min="9527" max="9534" width="12.7109375" style="585" customWidth="1"/>
    <col min="9535" max="9535" width="32.7109375" style="585" customWidth="1"/>
    <col min="9536" max="9536" width="11.140625" style="585" customWidth="1"/>
    <col min="9537" max="9537" width="13.85546875" style="585" customWidth="1"/>
    <col min="9538" max="9551" width="9.140625" style="585" customWidth="1"/>
    <col min="9552" max="9552" width="10.28515625" style="585" customWidth="1"/>
    <col min="9553" max="9567" width="9.140625" style="585" customWidth="1"/>
    <col min="9568" max="9568" width="14.7109375" style="585" customWidth="1"/>
    <col min="9569" max="9572" width="9.7109375" style="585" customWidth="1"/>
    <col min="9573" max="9573" width="8.7109375" style="585" customWidth="1"/>
    <col min="9574" max="9574" width="10.7109375" style="585"/>
    <col min="9575" max="9575" width="12.7109375" style="585" customWidth="1"/>
    <col min="9576" max="9578" width="9.7109375" style="585" customWidth="1"/>
    <col min="9579" max="9579" width="9.140625" style="585" customWidth="1"/>
    <col min="9580" max="9580" width="9.140625" style="585" bestFit="1" customWidth="1"/>
    <col min="9581" max="9581" width="14" style="585" customWidth="1"/>
    <col min="9582" max="9596" width="9.140625" style="585" customWidth="1"/>
    <col min="9597" max="9597" width="9" style="585" bestFit="1" customWidth="1"/>
    <col min="9598" max="9598" width="9.140625" style="585" customWidth="1"/>
    <col min="9599" max="9599" width="20.7109375" style="585" customWidth="1"/>
    <col min="9600" max="9600" width="12.7109375" style="585" customWidth="1"/>
    <col min="9601" max="9605" width="10.7109375" style="585"/>
    <col min="9606" max="9606" width="12.7109375" style="585" customWidth="1"/>
    <col min="9607" max="9608" width="10.7109375" style="585"/>
    <col min="9609" max="9609" width="20.7109375" style="585" customWidth="1"/>
    <col min="9610" max="9616" width="11.7109375" style="585" customWidth="1"/>
    <col min="9617" max="9618" width="9.140625" style="585" customWidth="1"/>
    <col min="9619" max="9619" width="14.140625" style="585" customWidth="1"/>
    <col min="9620" max="9620" width="10.140625" style="585" customWidth="1"/>
    <col min="9621" max="9626" width="9.140625" style="585" customWidth="1"/>
    <col min="9627" max="9627" width="12.7109375" style="585" customWidth="1"/>
    <col min="9628" max="9631" width="9.140625" style="585" customWidth="1"/>
    <col min="9632" max="9632" width="9.7109375" style="585" customWidth="1"/>
    <col min="9633" max="9633" width="10.7109375" style="585"/>
    <col min="9634" max="9636" width="9.140625" style="585" customWidth="1"/>
    <col min="9637" max="9637" width="52.7109375" style="585" customWidth="1"/>
    <col min="9638" max="9650" width="10.7109375" style="585"/>
    <col min="9651" max="9651" width="12.7109375" style="585" customWidth="1"/>
    <col min="9652" max="9663" width="10.7109375" style="585"/>
    <col min="9664" max="9664" width="12.7109375" style="585" customWidth="1"/>
    <col min="9665" max="9665" width="10.7109375" style="585"/>
    <col min="9666" max="9666" width="9.140625" style="585" customWidth="1"/>
    <col min="9667" max="9667" width="20.7109375" style="585" customWidth="1"/>
    <col min="9668" max="9691" width="12.7109375" style="585" customWidth="1"/>
    <col min="9692" max="9692" width="14.42578125" style="585" customWidth="1"/>
    <col min="9693" max="9693" width="20.7109375" style="585" customWidth="1"/>
    <col min="9694" max="9703" width="12.7109375" style="585" customWidth="1"/>
    <col min="9704" max="9709" width="10.7109375" style="585"/>
    <col min="9710" max="9712" width="9.140625" style="585" customWidth="1"/>
    <col min="9713" max="9713" width="20.7109375" style="585" customWidth="1"/>
    <col min="9714" max="9723" width="10.7109375" style="585"/>
    <col min="9724" max="9724" width="23" style="585" customWidth="1"/>
    <col min="9725" max="9734" width="10.7109375" style="585"/>
    <col min="9735" max="9736" width="10.140625" style="585" customWidth="1"/>
    <col min="9737" max="9737" width="17.7109375" style="585" customWidth="1"/>
    <col min="9738" max="9746" width="10.5703125" style="585" customWidth="1"/>
    <col min="9747" max="9747" width="10.140625" style="585" customWidth="1"/>
    <col min="9748" max="9748" width="17.140625" style="585" customWidth="1"/>
    <col min="9749" max="9757" width="10.7109375" style="585"/>
    <col min="9758" max="9758" width="10.140625" style="585" customWidth="1"/>
    <col min="9759" max="9759" width="9.140625" style="585" customWidth="1"/>
    <col min="9760" max="9760" width="24.7109375" style="585" customWidth="1"/>
    <col min="9761" max="9762" width="9.7109375" style="585" customWidth="1"/>
    <col min="9763" max="9767" width="10.7109375" style="585"/>
    <col min="9768" max="9779" width="12.7109375" style="585" customWidth="1"/>
    <col min="9780" max="9780" width="10.7109375" style="585"/>
    <col min="9781" max="9781" width="9.140625" style="585" customWidth="1"/>
    <col min="9782" max="9782" width="18.7109375" style="585" customWidth="1"/>
    <col min="9783" max="9790" width="12.7109375" style="585" customWidth="1"/>
    <col min="9791" max="9791" width="32.7109375" style="585" customWidth="1"/>
    <col min="9792" max="9792" width="11.140625" style="585" customWidth="1"/>
    <col min="9793" max="9793" width="13.85546875" style="585" customWidth="1"/>
    <col min="9794" max="9807" width="9.140625" style="585" customWidth="1"/>
    <col min="9808" max="9808" width="10.28515625" style="585" customWidth="1"/>
    <col min="9809" max="9823" width="9.140625" style="585" customWidth="1"/>
    <col min="9824" max="9824" width="14.7109375" style="585" customWidth="1"/>
    <col min="9825" max="9828" width="9.7109375" style="585" customWidth="1"/>
    <col min="9829" max="9829" width="8.7109375" style="585" customWidth="1"/>
    <col min="9830" max="9830" width="10.7109375" style="585"/>
    <col min="9831" max="9831" width="12.7109375" style="585" customWidth="1"/>
    <col min="9832" max="9834" width="9.7109375" style="585" customWidth="1"/>
    <col min="9835" max="9835" width="9.140625" style="585" customWidth="1"/>
    <col min="9836" max="9836" width="9.140625" style="585" bestFit="1" customWidth="1"/>
    <col min="9837" max="9837" width="14" style="585" customWidth="1"/>
    <col min="9838" max="9852" width="9.140625" style="585" customWidth="1"/>
    <col min="9853" max="9853" width="9" style="585" bestFit="1" customWidth="1"/>
    <col min="9854" max="9854" width="9.140625" style="585" customWidth="1"/>
    <col min="9855" max="9855" width="20.7109375" style="585" customWidth="1"/>
    <col min="9856" max="9856" width="12.7109375" style="585" customWidth="1"/>
    <col min="9857" max="9861" width="10.7109375" style="585"/>
    <col min="9862" max="9862" width="12.7109375" style="585" customWidth="1"/>
    <col min="9863" max="9864" width="10.7109375" style="585"/>
    <col min="9865" max="9865" width="20.7109375" style="585" customWidth="1"/>
    <col min="9866" max="9872" width="11.7109375" style="585" customWidth="1"/>
    <col min="9873" max="9874" width="9.140625" style="585" customWidth="1"/>
    <col min="9875" max="9875" width="14.140625" style="585" customWidth="1"/>
    <col min="9876" max="9876" width="10.140625" style="585" customWidth="1"/>
    <col min="9877" max="9882" width="9.140625" style="585" customWidth="1"/>
    <col min="9883" max="9883" width="12.7109375" style="585" customWidth="1"/>
    <col min="9884" max="9887" width="9.140625" style="585" customWidth="1"/>
    <col min="9888" max="9888" width="9.7109375" style="585" customWidth="1"/>
    <col min="9889" max="9889" width="10.7109375" style="585"/>
    <col min="9890" max="9892" width="9.140625" style="585" customWidth="1"/>
    <col min="9893" max="9893" width="52.7109375" style="585" customWidth="1"/>
    <col min="9894" max="9906" width="10.7109375" style="585"/>
    <col min="9907" max="9907" width="12.7109375" style="585" customWidth="1"/>
    <col min="9908" max="9919" width="10.7109375" style="585"/>
    <col min="9920" max="9920" width="12.7109375" style="585" customWidth="1"/>
    <col min="9921" max="9921" width="10.7109375" style="585"/>
    <col min="9922" max="9922" width="9.140625" style="585" customWidth="1"/>
    <col min="9923" max="9923" width="20.7109375" style="585" customWidth="1"/>
    <col min="9924" max="9947" width="12.7109375" style="585" customWidth="1"/>
    <col min="9948" max="9948" width="14.42578125" style="585" customWidth="1"/>
    <col min="9949" max="9949" width="20.7109375" style="585" customWidth="1"/>
    <col min="9950" max="9959" width="12.7109375" style="585" customWidth="1"/>
    <col min="9960" max="9965" width="10.7109375" style="585"/>
    <col min="9966" max="9968" width="9.140625" style="585" customWidth="1"/>
    <col min="9969" max="9969" width="20.7109375" style="585" customWidth="1"/>
    <col min="9970" max="9979" width="10.7109375" style="585"/>
    <col min="9980" max="9980" width="23" style="585" customWidth="1"/>
    <col min="9981" max="9990" width="10.7109375" style="585"/>
    <col min="9991" max="9992" width="10.140625" style="585" customWidth="1"/>
    <col min="9993" max="9993" width="17.7109375" style="585" customWidth="1"/>
    <col min="9994" max="10002" width="10.5703125" style="585" customWidth="1"/>
    <col min="10003" max="10003" width="10.140625" style="585" customWidth="1"/>
    <col min="10004" max="10004" width="17.140625" style="585" customWidth="1"/>
    <col min="10005" max="10013" width="10.7109375" style="585"/>
    <col min="10014" max="10014" width="10.140625" style="585" customWidth="1"/>
    <col min="10015" max="10015" width="9.140625" style="585" customWidth="1"/>
    <col min="10016" max="10016" width="24.7109375" style="585" customWidth="1"/>
    <col min="10017" max="10018" width="9.7109375" style="585" customWidth="1"/>
    <col min="10019" max="10023" width="10.7109375" style="585"/>
    <col min="10024" max="10035" width="12.7109375" style="585" customWidth="1"/>
    <col min="10036" max="10036" width="10.7109375" style="585"/>
    <col min="10037" max="10037" width="9.140625" style="585" customWidth="1"/>
    <col min="10038" max="10038" width="18.7109375" style="585" customWidth="1"/>
    <col min="10039" max="10046" width="12.7109375" style="585" customWidth="1"/>
    <col min="10047" max="10047" width="32.7109375" style="585" customWidth="1"/>
    <col min="10048" max="10048" width="11.140625" style="585" customWidth="1"/>
    <col min="10049" max="10049" width="13.85546875" style="585" customWidth="1"/>
    <col min="10050" max="10063" width="9.140625" style="585" customWidth="1"/>
    <col min="10064" max="10064" width="10.28515625" style="585" customWidth="1"/>
    <col min="10065" max="10079" width="9.140625" style="585" customWidth="1"/>
    <col min="10080" max="10080" width="14.7109375" style="585" customWidth="1"/>
    <col min="10081" max="10084" width="9.7109375" style="585" customWidth="1"/>
    <col min="10085" max="10085" width="8.7109375" style="585" customWidth="1"/>
    <col min="10086" max="10086" width="10.7109375" style="585"/>
    <col min="10087" max="10087" width="12.7109375" style="585" customWidth="1"/>
    <col min="10088" max="10090" width="9.7109375" style="585" customWidth="1"/>
    <col min="10091" max="10091" width="9.140625" style="585" customWidth="1"/>
    <col min="10092" max="10092" width="9.140625" style="585" bestFit="1" customWidth="1"/>
    <col min="10093" max="10093" width="14" style="585" customWidth="1"/>
    <col min="10094" max="10108" width="9.140625" style="585" customWidth="1"/>
    <col min="10109" max="10109" width="9" style="585" bestFit="1" customWidth="1"/>
    <col min="10110" max="10110" width="9.140625" style="585" customWidth="1"/>
    <col min="10111" max="10111" width="20.7109375" style="585" customWidth="1"/>
    <col min="10112" max="10112" width="12.7109375" style="585" customWidth="1"/>
    <col min="10113" max="10117" width="10.7109375" style="585"/>
    <col min="10118" max="10118" width="12.7109375" style="585" customWidth="1"/>
    <col min="10119" max="10120" width="10.7109375" style="585"/>
    <col min="10121" max="10121" width="20.7109375" style="585" customWidth="1"/>
    <col min="10122" max="10128" width="11.7109375" style="585" customWidth="1"/>
    <col min="10129" max="10130" width="9.140625" style="585" customWidth="1"/>
    <col min="10131" max="10131" width="14.140625" style="585" customWidth="1"/>
    <col min="10132" max="10132" width="10.140625" style="585" customWidth="1"/>
    <col min="10133" max="10138" width="9.140625" style="585" customWidth="1"/>
    <col min="10139" max="10139" width="12.7109375" style="585" customWidth="1"/>
    <col min="10140" max="10143" width="9.140625" style="585" customWidth="1"/>
    <col min="10144" max="10144" width="9.7109375" style="585" customWidth="1"/>
    <col min="10145" max="10145" width="10.7109375" style="585"/>
    <col min="10146" max="10148" width="9.140625" style="585" customWidth="1"/>
    <col min="10149" max="10149" width="52.7109375" style="585" customWidth="1"/>
    <col min="10150" max="10162" width="10.7109375" style="585"/>
    <col min="10163" max="10163" width="12.7109375" style="585" customWidth="1"/>
    <col min="10164" max="10175" width="10.7109375" style="585"/>
    <col min="10176" max="10176" width="12.7109375" style="585" customWidth="1"/>
    <col min="10177" max="10177" width="10.7109375" style="585"/>
    <col min="10178" max="10178" width="9.140625" style="585" customWidth="1"/>
    <col min="10179" max="10179" width="20.7109375" style="585" customWidth="1"/>
    <col min="10180" max="10203" width="12.7109375" style="585" customWidth="1"/>
    <col min="10204" max="10204" width="14.42578125" style="585" customWidth="1"/>
    <col min="10205" max="10205" width="20.7109375" style="585" customWidth="1"/>
    <col min="10206" max="10215" width="12.7109375" style="585" customWidth="1"/>
    <col min="10216" max="10221" width="10.7109375" style="585"/>
    <col min="10222" max="10224" width="9.140625" style="585" customWidth="1"/>
    <col min="10225" max="10225" width="20.7109375" style="585" customWidth="1"/>
    <col min="10226" max="10235" width="10.7109375" style="585"/>
    <col min="10236" max="10236" width="23" style="585" customWidth="1"/>
    <col min="10237" max="10246" width="10.7109375" style="585"/>
    <col min="10247" max="10248" width="10.140625" style="585" customWidth="1"/>
    <col min="10249" max="10249" width="17.7109375" style="585" customWidth="1"/>
    <col min="10250" max="10258" width="10.5703125" style="585" customWidth="1"/>
    <col min="10259" max="10259" width="10.140625" style="585" customWidth="1"/>
    <col min="10260" max="10260" width="17.140625" style="585" customWidth="1"/>
    <col min="10261" max="10269" width="10.7109375" style="585"/>
    <col min="10270" max="10270" width="10.140625" style="585" customWidth="1"/>
    <col min="10271" max="10271" width="9.140625" style="585" customWidth="1"/>
    <col min="10272" max="10272" width="24.7109375" style="585" customWidth="1"/>
    <col min="10273" max="10274" width="9.7109375" style="585" customWidth="1"/>
    <col min="10275" max="10279" width="10.7109375" style="585"/>
    <col min="10280" max="10291" width="12.7109375" style="585" customWidth="1"/>
    <col min="10292" max="10292" width="10.7109375" style="585"/>
    <col min="10293" max="10293" width="9.140625" style="585" customWidth="1"/>
    <col min="10294" max="10294" width="18.7109375" style="585" customWidth="1"/>
    <col min="10295" max="10302" width="12.7109375" style="585" customWidth="1"/>
    <col min="10303" max="10303" width="32.7109375" style="585" customWidth="1"/>
    <col min="10304" max="10304" width="11.140625" style="585" customWidth="1"/>
    <col min="10305" max="10305" width="13.85546875" style="585" customWidth="1"/>
    <col min="10306" max="10319" width="9.140625" style="585" customWidth="1"/>
    <col min="10320" max="10320" width="10.28515625" style="585" customWidth="1"/>
    <col min="10321" max="10335" width="9.140625" style="585" customWidth="1"/>
    <col min="10336" max="10336" width="14.7109375" style="585" customWidth="1"/>
    <col min="10337" max="10340" width="9.7109375" style="585" customWidth="1"/>
    <col min="10341" max="10341" width="8.7109375" style="585" customWidth="1"/>
    <col min="10342" max="10342" width="10.7109375" style="585"/>
    <col min="10343" max="10343" width="12.7109375" style="585" customWidth="1"/>
    <col min="10344" max="10346" width="9.7109375" style="585" customWidth="1"/>
    <col min="10347" max="10347" width="9.140625" style="585" customWidth="1"/>
    <col min="10348" max="10348" width="9.140625" style="585" bestFit="1" customWidth="1"/>
    <col min="10349" max="10349" width="14" style="585" customWidth="1"/>
    <col min="10350" max="10364" width="9.140625" style="585" customWidth="1"/>
    <col min="10365" max="10365" width="9" style="585" bestFit="1" customWidth="1"/>
    <col min="10366" max="10366" width="9.140625" style="585" customWidth="1"/>
    <col min="10367" max="10367" width="20.7109375" style="585" customWidth="1"/>
    <col min="10368" max="10368" width="12.7109375" style="585" customWidth="1"/>
    <col min="10369" max="10373" width="10.7109375" style="585"/>
    <col min="10374" max="10374" width="12.7109375" style="585" customWidth="1"/>
    <col min="10375" max="10376" width="10.7109375" style="585"/>
    <col min="10377" max="10377" width="20.7109375" style="585" customWidth="1"/>
    <col min="10378" max="10384" width="11.7109375" style="585" customWidth="1"/>
    <col min="10385" max="10386" width="9.140625" style="585" customWidth="1"/>
    <col min="10387" max="10387" width="14.140625" style="585" customWidth="1"/>
    <col min="10388" max="10388" width="10.140625" style="585" customWidth="1"/>
    <col min="10389" max="10394" width="9.140625" style="585" customWidth="1"/>
    <col min="10395" max="10395" width="12.7109375" style="585" customWidth="1"/>
    <col min="10396" max="10399" width="9.140625" style="585" customWidth="1"/>
    <col min="10400" max="10400" width="9.7109375" style="585" customWidth="1"/>
    <col min="10401" max="10401" width="10.7109375" style="585"/>
    <col min="10402" max="10404" width="9.140625" style="585" customWidth="1"/>
    <col min="10405" max="10405" width="52.7109375" style="585" customWidth="1"/>
    <col min="10406" max="10418" width="10.7109375" style="585"/>
    <col min="10419" max="10419" width="12.7109375" style="585" customWidth="1"/>
    <col min="10420" max="10431" width="10.7109375" style="585"/>
    <col min="10432" max="10432" width="12.7109375" style="585" customWidth="1"/>
    <col min="10433" max="10433" width="10.7109375" style="585"/>
    <col min="10434" max="10434" width="9.140625" style="585" customWidth="1"/>
    <col min="10435" max="10435" width="20.7109375" style="585" customWidth="1"/>
    <col min="10436" max="10459" width="12.7109375" style="585" customWidth="1"/>
    <col min="10460" max="10460" width="14.42578125" style="585" customWidth="1"/>
    <col min="10461" max="10461" width="20.7109375" style="585" customWidth="1"/>
    <col min="10462" max="10471" width="12.7109375" style="585" customWidth="1"/>
    <col min="10472" max="10477" width="10.7109375" style="585"/>
    <col min="10478" max="10480" width="9.140625" style="585" customWidth="1"/>
    <col min="10481" max="10481" width="20.7109375" style="585" customWidth="1"/>
    <col min="10482" max="10491" width="10.7109375" style="585"/>
    <col min="10492" max="10492" width="23" style="585" customWidth="1"/>
    <col min="10493" max="10502" width="10.7109375" style="585"/>
    <col min="10503" max="10504" width="10.140625" style="585" customWidth="1"/>
    <col min="10505" max="10505" width="17.7109375" style="585" customWidth="1"/>
    <col min="10506" max="10514" width="10.5703125" style="585" customWidth="1"/>
    <col min="10515" max="10515" width="10.140625" style="585" customWidth="1"/>
    <col min="10516" max="10516" width="17.140625" style="585" customWidth="1"/>
    <col min="10517" max="10525" width="10.7109375" style="585"/>
    <col min="10526" max="10526" width="10.140625" style="585" customWidth="1"/>
    <col min="10527" max="10527" width="9.140625" style="585" customWidth="1"/>
    <col min="10528" max="10528" width="24.7109375" style="585" customWidth="1"/>
    <col min="10529" max="10530" width="9.7109375" style="585" customWidth="1"/>
    <col min="10531" max="10535" width="10.7109375" style="585"/>
    <col min="10536" max="10547" width="12.7109375" style="585" customWidth="1"/>
    <col min="10548" max="10548" width="10.7109375" style="585"/>
    <col min="10549" max="10549" width="9.140625" style="585" customWidth="1"/>
    <col min="10550" max="10550" width="18.7109375" style="585" customWidth="1"/>
    <col min="10551" max="10558" width="12.7109375" style="585" customWidth="1"/>
    <col min="10559" max="10559" width="32.7109375" style="585" customWidth="1"/>
    <col min="10560" max="10560" width="11.140625" style="585" customWidth="1"/>
    <col min="10561" max="10561" width="13.85546875" style="585" customWidth="1"/>
    <col min="10562" max="10575" width="9.140625" style="585" customWidth="1"/>
    <col min="10576" max="10576" width="10.28515625" style="585" customWidth="1"/>
    <col min="10577" max="10591" width="9.140625" style="585" customWidth="1"/>
    <col min="10592" max="10592" width="14.7109375" style="585" customWidth="1"/>
    <col min="10593" max="10596" width="9.7109375" style="585" customWidth="1"/>
    <col min="10597" max="10597" width="8.7109375" style="585" customWidth="1"/>
    <col min="10598" max="10598" width="10.7109375" style="585"/>
    <col min="10599" max="10599" width="12.7109375" style="585" customWidth="1"/>
    <col min="10600" max="10602" width="9.7109375" style="585" customWidth="1"/>
    <col min="10603" max="10603" width="9.140625" style="585" customWidth="1"/>
    <col min="10604" max="10604" width="9.140625" style="585" bestFit="1" customWidth="1"/>
    <col min="10605" max="10605" width="14" style="585" customWidth="1"/>
    <col min="10606" max="10620" width="9.140625" style="585" customWidth="1"/>
    <col min="10621" max="10621" width="9" style="585" bestFit="1" customWidth="1"/>
    <col min="10622" max="10622" width="9.140625" style="585" customWidth="1"/>
    <col min="10623" max="10623" width="20.7109375" style="585" customWidth="1"/>
    <col min="10624" max="10624" width="12.7109375" style="585" customWidth="1"/>
    <col min="10625" max="10629" width="10.7109375" style="585"/>
    <col min="10630" max="10630" width="12.7109375" style="585" customWidth="1"/>
    <col min="10631" max="10632" width="10.7109375" style="585"/>
    <col min="10633" max="10633" width="20.7109375" style="585" customWidth="1"/>
    <col min="10634" max="10640" width="11.7109375" style="585" customWidth="1"/>
    <col min="10641" max="10642" width="9.140625" style="585" customWidth="1"/>
    <col min="10643" max="10643" width="14.140625" style="585" customWidth="1"/>
    <col min="10644" max="10644" width="10.140625" style="585" customWidth="1"/>
    <col min="10645" max="10650" width="9.140625" style="585" customWidth="1"/>
    <col min="10651" max="10651" width="12.7109375" style="585" customWidth="1"/>
    <col min="10652" max="10655" width="9.140625" style="585" customWidth="1"/>
    <col min="10656" max="10656" width="9.7109375" style="585" customWidth="1"/>
    <col min="10657" max="10657" width="10.7109375" style="585"/>
    <col min="10658" max="10660" width="9.140625" style="585" customWidth="1"/>
    <col min="10661" max="10661" width="52.7109375" style="585" customWidth="1"/>
    <col min="10662" max="10674" width="10.7109375" style="585"/>
    <col min="10675" max="10675" width="12.7109375" style="585" customWidth="1"/>
    <col min="10676" max="10687" width="10.7109375" style="585"/>
    <col min="10688" max="10688" width="12.7109375" style="585" customWidth="1"/>
    <col min="10689" max="10689" width="10.7109375" style="585"/>
    <col min="10690" max="10690" width="9.140625" style="585" customWidth="1"/>
    <col min="10691" max="10691" width="20.7109375" style="585" customWidth="1"/>
    <col min="10692" max="10715" width="12.7109375" style="585" customWidth="1"/>
    <col min="10716" max="10716" width="14.42578125" style="585" customWidth="1"/>
    <col min="10717" max="10717" width="20.7109375" style="585" customWidth="1"/>
    <col min="10718" max="10727" width="12.7109375" style="585" customWidth="1"/>
    <col min="10728" max="10733" width="10.7109375" style="585"/>
    <col min="10734" max="10736" width="9.140625" style="585" customWidth="1"/>
    <col min="10737" max="10737" width="20.7109375" style="585" customWidth="1"/>
    <col min="10738" max="10747" width="10.7109375" style="585"/>
    <col min="10748" max="10748" width="23" style="585" customWidth="1"/>
    <col min="10749" max="10758" width="10.7109375" style="585"/>
    <col min="10759" max="10760" width="10.140625" style="585" customWidth="1"/>
    <col min="10761" max="10761" width="17.7109375" style="585" customWidth="1"/>
    <col min="10762" max="10770" width="10.5703125" style="585" customWidth="1"/>
    <col min="10771" max="10771" width="10.140625" style="585" customWidth="1"/>
    <col min="10772" max="10772" width="17.140625" style="585" customWidth="1"/>
    <col min="10773" max="10781" width="10.7109375" style="585"/>
    <col min="10782" max="10782" width="10.140625" style="585" customWidth="1"/>
    <col min="10783" max="10783" width="9.140625" style="585" customWidth="1"/>
    <col min="10784" max="10784" width="24.7109375" style="585" customWidth="1"/>
    <col min="10785" max="10786" width="9.7109375" style="585" customWidth="1"/>
    <col min="10787" max="10791" width="10.7109375" style="585"/>
    <col min="10792" max="10803" width="12.7109375" style="585" customWidth="1"/>
    <col min="10804" max="10804" width="10.7109375" style="585"/>
    <col min="10805" max="10805" width="9.140625" style="585" customWidth="1"/>
    <col min="10806" max="10806" width="18.7109375" style="585" customWidth="1"/>
    <col min="10807" max="10814" width="12.7109375" style="585" customWidth="1"/>
    <col min="10815" max="10815" width="32.7109375" style="585" customWidth="1"/>
    <col min="10816" max="10816" width="11.140625" style="585" customWidth="1"/>
    <col min="10817" max="10817" width="13.85546875" style="585" customWidth="1"/>
    <col min="10818" max="10831" width="9.140625" style="585" customWidth="1"/>
    <col min="10832" max="10832" width="10.28515625" style="585" customWidth="1"/>
    <col min="10833" max="10847" width="9.140625" style="585" customWidth="1"/>
    <col min="10848" max="10848" width="14.7109375" style="585" customWidth="1"/>
    <col min="10849" max="10852" width="9.7109375" style="585" customWidth="1"/>
    <col min="10853" max="10853" width="8.7109375" style="585" customWidth="1"/>
    <col min="10854" max="10854" width="10.7109375" style="585"/>
    <col min="10855" max="10855" width="12.7109375" style="585" customWidth="1"/>
    <col min="10856" max="10858" width="9.7109375" style="585" customWidth="1"/>
    <col min="10859" max="10859" width="9.140625" style="585" customWidth="1"/>
    <col min="10860" max="10860" width="9.140625" style="585" bestFit="1" customWidth="1"/>
    <col min="10861" max="10861" width="14" style="585" customWidth="1"/>
    <col min="10862" max="10876" width="9.140625" style="585" customWidth="1"/>
    <col min="10877" max="10877" width="9" style="585" bestFit="1" customWidth="1"/>
    <col min="10878" max="10878" width="9.140625" style="585" customWidth="1"/>
    <col min="10879" max="10879" width="20.7109375" style="585" customWidth="1"/>
    <col min="10880" max="10880" width="12.7109375" style="585" customWidth="1"/>
    <col min="10881" max="10885" width="10.7109375" style="585"/>
    <col min="10886" max="10886" width="12.7109375" style="585" customWidth="1"/>
    <col min="10887" max="10888" width="10.7109375" style="585"/>
    <col min="10889" max="10889" width="20.7109375" style="585" customWidth="1"/>
    <col min="10890" max="10896" width="11.7109375" style="585" customWidth="1"/>
    <col min="10897" max="10898" width="9.140625" style="585" customWidth="1"/>
    <col min="10899" max="10899" width="14.140625" style="585" customWidth="1"/>
    <col min="10900" max="10900" width="10.140625" style="585" customWidth="1"/>
    <col min="10901" max="10906" width="9.140625" style="585" customWidth="1"/>
    <col min="10907" max="10907" width="12.7109375" style="585" customWidth="1"/>
    <col min="10908" max="10911" width="9.140625" style="585" customWidth="1"/>
    <col min="10912" max="10912" width="9.7109375" style="585" customWidth="1"/>
    <col min="10913" max="10913" width="10.7109375" style="585"/>
    <col min="10914" max="10916" width="9.140625" style="585" customWidth="1"/>
    <col min="10917" max="10917" width="52.7109375" style="585" customWidth="1"/>
    <col min="10918" max="10930" width="10.7109375" style="585"/>
    <col min="10931" max="10931" width="12.7109375" style="585" customWidth="1"/>
    <col min="10932" max="10943" width="10.7109375" style="585"/>
    <col min="10944" max="10944" width="12.7109375" style="585" customWidth="1"/>
    <col min="10945" max="10945" width="10.7109375" style="585"/>
    <col min="10946" max="10946" width="9.140625" style="585" customWidth="1"/>
    <col min="10947" max="10947" width="20.7109375" style="585" customWidth="1"/>
    <col min="10948" max="10971" width="12.7109375" style="585" customWidth="1"/>
    <col min="10972" max="10972" width="14.42578125" style="585" customWidth="1"/>
    <col min="10973" max="10973" width="20.7109375" style="585" customWidth="1"/>
    <col min="10974" max="10983" width="12.7109375" style="585" customWidth="1"/>
    <col min="10984" max="10989" width="10.7109375" style="585"/>
    <col min="10990" max="10992" width="9.140625" style="585" customWidth="1"/>
    <col min="10993" max="10993" width="20.7109375" style="585" customWidth="1"/>
    <col min="10994" max="11003" width="10.7109375" style="585"/>
    <col min="11004" max="11004" width="23" style="585" customWidth="1"/>
    <col min="11005" max="11014" width="10.7109375" style="585"/>
    <col min="11015" max="11016" width="10.140625" style="585" customWidth="1"/>
    <col min="11017" max="11017" width="17.7109375" style="585" customWidth="1"/>
    <col min="11018" max="11026" width="10.5703125" style="585" customWidth="1"/>
    <col min="11027" max="11027" width="10.140625" style="585" customWidth="1"/>
    <col min="11028" max="11028" width="17.140625" style="585" customWidth="1"/>
    <col min="11029" max="11037" width="10.7109375" style="585"/>
    <col min="11038" max="11038" width="10.140625" style="585" customWidth="1"/>
    <col min="11039" max="11039" width="9.140625" style="585" customWidth="1"/>
    <col min="11040" max="11040" width="24.7109375" style="585" customWidth="1"/>
    <col min="11041" max="11042" width="9.7109375" style="585" customWidth="1"/>
    <col min="11043" max="11047" width="10.7109375" style="585"/>
    <col min="11048" max="11059" width="12.7109375" style="585" customWidth="1"/>
    <col min="11060" max="11060" width="10.7109375" style="585"/>
    <col min="11061" max="11061" width="9.140625" style="585" customWidth="1"/>
    <col min="11062" max="11062" width="18.7109375" style="585" customWidth="1"/>
    <col min="11063" max="11070" width="12.7109375" style="585" customWidth="1"/>
    <col min="11071" max="11071" width="32.7109375" style="585" customWidth="1"/>
    <col min="11072" max="11072" width="11.140625" style="585" customWidth="1"/>
    <col min="11073" max="11073" width="13.85546875" style="585" customWidth="1"/>
    <col min="11074" max="11087" width="9.140625" style="585" customWidth="1"/>
    <col min="11088" max="11088" width="10.28515625" style="585" customWidth="1"/>
    <col min="11089" max="11103" width="9.140625" style="585" customWidth="1"/>
    <col min="11104" max="11104" width="14.7109375" style="585" customWidth="1"/>
    <col min="11105" max="11108" width="9.7109375" style="585" customWidth="1"/>
    <col min="11109" max="11109" width="8.7109375" style="585" customWidth="1"/>
    <col min="11110" max="11110" width="10.7109375" style="585"/>
    <col min="11111" max="11111" width="12.7109375" style="585" customWidth="1"/>
    <col min="11112" max="11114" width="9.7109375" style="585" customWidth="1"/>
    <col min="11115" max="11115" width="9.140625" style="585" customWidth="1"/>
    <col min="11116" max="11116" width="9.140625" style="585" bestFit="1" customWidth="1"/>
    <col min="11117" max="11117" width="14" style="585" customWidth="1"/>
    <col min="11118" max="11132" width="9.140625" style="585" customWidth="1"/>
    <col min="11133" max="11133" width="9" style="585" bestFit="1" customWidth="1"/>
    <col min="11134" max="11134" width="9.140625" style="585" customWidth="1"/>
    <col min="11135" max="11135" width="20.7109375" style="585" customWidth="1"/>
    <col min="11136" max="11136" width="12.7109375" style="585" customWidth="1"/>
    <col min="11137" max="11141" width="10.7109375" style="585"/>
    <col min="11142" max="11142" width="12.7109375" style="585" customWidth="1"/>
    <col min="11143" max="11144" width="10.7109375" style="585"/>
    <col min="11145" max="11145" width="20.7109375" style="585" customWidth="1"/>
    <col min="11146" max="11152" width="11.7109375" style="585" customWidth="1"/>
    <col min="11153" max="11154" width="9.140625" style="585" customWidth="1"/>
    <col min="11155" max="11155" width="14.140625" style="585" customWidth="1"/>
    <col min="11156" max="11156" width="10.140625" style="585" customWidth="1"/>
    <col min="11157" max="11162" width="9.140625" style="585" customWidth="1"/>
    <col min="11163" max="11163" width="12.7109375" style="585" customWidth="1"/>
    <col min="11164" max="11167" width="9.140625" style="585" customWidth="1"/>
    <col min="11168" max="11168" width="9.7109375" style="585" customWidth="1"/>
    <col min="11169" max="11169" width="10.7109375" style="585"/>
    <col min="11170" max="11172" width="9.140625" style="585" customWidth="1"/>
    <col min="11173" max="11173" width="52.7109375" style="585" customWidth="1"/>
    <col min="11174" max="11186" width="10.7109375" style="585"/>
    <col min="11187" max="11187" width="12.7109375" style="585" customWidth="1"/>
    <col min="11188" max="11199" width="10.7109375" style="585"/>
    <col min="11200" max="11200" width="12.7109375" style="585" customWidth="1"/>
    <col min="11201" max="11201" width="10.7109375" style="585"/>
    <col min="11202" max="11202" width="9.140625" style="585" customWidth="1"/>
    <col min="11203" max="11203" width="20.7109375" style="585" customWidth="1"/>
    <col min="11204" max="11227" width="12.7109375" style="585" customWidth="1"/>
    <col min="11228" max="11228" width="14.42578125" style="585" customWidth="1"/>
    <col min="11229" max="11229" width="20.7109375" style="585" customWidth="1"/>
    <col min="11230" max="11239" width="12.7109375" style="585" customWidth="1"/>
    <col min="11240" max="11245" width="10.7109375" style="585"/>
    <col min="11246" max="11248" width="9.140625" style="585" customWidth="1"/>
    <col min="11249" max="11249" width="20.7109375" style="585" customWidth="1"/>
    <col min="11250" max="11259" width="10.7109375" style="585"/>
    <col min="11260" max="11260" width="23" style="585" customWidth="1"/>
    <col min="11261" max="11270" width="10.7109375" style="585"/>
    <col min="11271" max="11272" width="10.140625" style="585" customWidth="1"/>
    <col min="11273" max="11273" width="17.7109375" style="585" customWidth="1"/>
    <col min="11274" max="11282" width="10.5703125" style="585" customWidth="1"/>
    <col min="11283" max="11283" width="10.140625" style="585" customWidth="1"/>
    <col min="11284" max="11284" width="17.140625" style="585" customWidth="1"/>
    <col min="11285" max="11293" width="10.7109375" style="585"/>
    <col min="11294" max="11294" width="10.140625" style="585" customWidth="1"/>
    <col min="11295" max="11295" width="9.140625" style="585" customWidth="1"/>
    <col min="11296" max="11296" width="24.7109375" style="585" customWidth="1"/>
    <col min="11297" max="11298" width="9.7109375" style="585" customWidth="1"/>
    <col min="11299" max="11303" width="10.7109375" style="585"/>
    <col min="11304" max="11315" width="12.7109375" style="585" customWidth="1"/>
    <col min="11316" max="11316" width="10.7109375" style="585"/>
    <col min="11317" max="11317" width="9.140625" style="585" customWidth="1"/>
    <col min="11318" max="11318" width="18.7109375" style="585" customWidth="1"/>
    <col min="11319" max="11326" width="12.7109375" style="585" customWidth="1"/>
    <col min="11327" max="11327" width="32.7109375" style="585" customWidth="1"/>
    <col min="11328" max="11328" width="11.140625" style="585" customWidth="1"/>
    <col min="11329" max="11329" width="13.85546875" style="585" customWidth="1"/>
    <col min="11330" max="11343" width="9.140625" style="585" customWidth="1"/>
    <col min="11344" max="11344" width="10.28515625" style="585" customWidth="1"/>
    <col min="11345" max="11359" width="9.140625" style="585" customWidth="1"/>
    <col min="11360" max="11360" width="14.7109375" style="585" customWidth="1"/>
    <col min="11361" max="11364" width="9.7109375" style="585" customWidth="1"/>
    <col min="11365" max="11365" width="8.7109375" style="585" customWidth="1"/>
    <col min="11366" max="11366" width="10.7109375" style="585"/>
    <col min="11367" max="11367" width="12.7109375" style="585" customWidth="1"/>
    <col min="11368" max="11370" width="9.7109375" style="585" customWidth="1"/>
    <col min="11371" max="11371" width="9.140625" style="585" customWidth="1"/>
    <col min="11372" max="11372" width="9.140625" style="585" bestFit="1" customWidth="1"/>
    <col min="11373" max="11373" width="14" style="585" customWidth="1"/>
    <col min="11374" max="11388" width="9.140625" style="585" customWidth="1"/>
    <col min="11389" max="11389" width="9" style="585" bestFit="1" customWidth="1"/>
    <col min="11390" max="11390" width="9.140625" style="585" customWidth="1"/>
    <col min="11391" max="11391" width="20.7109375" style="585" customWidth="1"/>
    <col min="11392" max="11392" width="12.7109375" style="585" customWidth="1"/>
    <col min="11393" max="11397" width="10.7109375" style="585"/>
    <col min="11398" max="11398" width="12.7109375" style="585" customWidth="1"/>
    <col min="11399" max="11400" width="10.7109375" style="585"/>
    <col min="11401" max="11401" width="20.7109375" style="585" customWidth="1"/>
    <col min="11402" max="11408" width="11.7109375" style="585" customWidth="1"/>
    <col min="11409" max="11410" width="9.140625" style="585" customWidth="1"/>
    <col min="11411" max="11411" width="14.140625" style="585" customWidth="1"/>
    <col min="11412" max="11412" width="10.140625" style="585" customWidth="1"/>
    <col min="11413" max="11418" width="9.140625" style="585" customWidth="1"/>
    <col min="11419" max="11419" width="12.7109375" style="585" customWidth="1"/>
    <col min="11420" max="11423" width="9.140625" style="585" customWidth="1"/>
    <col min="11424" max="11424" width="9.7109375" style="585" customWidth="1"/>
    <col min="11425" max="11425" width="10.7109375" style="585"/>
    <col min="11426" max="11428" width="9.140625" style="585" customWidth="1"/>
    <col min="11429" max="11429" width="52.7109375" style="585" customWidth="1"/>
    <col min="11430" max="11442" width="10.7109375" style="585"/>
    <col min="11443" max="11443" width="12.7109375" style="585" customWidth="1"/>
    <col min="11444" max="11455" width="10.7109375" style="585"/>
    <col min="11456" max="11456" width="12.7109375" style="585" customWidth="1"/>
    <col min="11457" max="11457" width="10.7109375" style="585"/>
    <col min="11458" max="11458" width="9.140625" style="585" customWidth="1"/>
    <col min="11459" max="11459" width="20.7109375" style="585" customWidth="1"/>
    <col min="11460" max="11483" width="12.7109375" style="585" customWidth="1"/>
    <col min="11484" max="11484" width="14.42578125" style="585" customWidth="1"/>
    <col min="11485" max="11485" width="20.7109375" style="585" customWidth="1"/>
    <col min="11486" max="11495" width="12.7109375" style="585" customWidth="1"/>
    <col min="11496" max="11501" width="10.7109375" style="585"/>
    <col min="11502" max="11504" width="9.140625" style="585" customWidth="1"/>
    <col min="11505" max="11505" width="20.7109375" style="585" customWidth="1"/>
    <col min="11506" max="11515" width="10.7109375" style="585"/>
    <col min="11516" max="11516" width="23" style="585" customWidth="1"/>
    <col min="11517" max="11526" width="10.7109375" style="585"/>
    <col min="11527" max="11528" width="10.140625" style="585" customWidth="1"/>
    <col min="11529" max="11529" width="17.7109375" style="585" customWidth="1"/>
    <col min="11530" max="11538" width="10.5703125" style="585" customWidth="1"/>
    <col min="11539" max="11539" width="10.140625" style="585" customWidth="1"/>
    <col min="11540" max="11540" width="17.140625" style="585" customWidth="1"/>
    <col min="11541" max="11549" width="10.7109375" style="585"/>
    <col min="11550" max="11550" width="10.140625" style="585" customWidth="1"/>
    <col min="11551" max="11551" width="9.140625" style="585" customWidth="1"/>
    <col min="11552" max="11552" width="24.7109375" style="585" customWidth="1"/>
    <col min="11553" max="11554" width="9.7109375" style="585" customWidth="1"/>
    <col min="11555" max="11559" width="10.7109375" style="585"/>
    <col min="11560" max="11571" width="12.7109375" style="585" customWidth="1"/>
    <col min="11572" max="11572" width="10.7109375" style="585"/>
    <col min="11573" max="11573" width="9.140625" style="585" customWidth="1"/>
    <col min="11574" max="11574" width="18.7109375" style="585" customWidth="1"/>
    <col min="11575" max="11582" width="12.7109375" style="585" customWidth="1"/>
    <col min="11583" max="11583" width="32.7109375" style="585" customWidth="1"/>
    <col min="11584" max="11584" width="11.140625" style="585" customWidth="1"/>
    <col min="11585" max="11585" width="13.85546875" style="585" customWidth="1"/>
    <col min="11586" max="11599" width="9.140625" style="585" customWidth="1"/>
    <col min="11600" max="11600" width="10.28515625" style="585" customWidth="1"/>
    <col min="11601" max="11615" width="9.140625" style="585" customWidth="1"/>
    <col min="11616" max="11616" width="14.7109375" style="585" customWidth="1"/>
    <col min="11617" max="11620" width="9.7109375" style="585" customWidth="1"/>
    <col min="11621" max="11621" width="8.7109375" style="585" customWidth="1"/>
    <col min="11622" max="11622" width="10.7109375" style="585"/>
    <col min="11623" max="11623" width="12.7109375" style="585" customWidth="1"/>
    <col min="11624" max="11626" width="9.7109375" style="585" customWidth="1"/>
    <col min="11627" max="11627" width="9.140625" style="585" customWidth="1"/>
    <col min="11628" max="11628" width="9.140625" style="585" bestFit="1" customWidth="1"/>
    <col min="11629" max="11629" width="14" style="585" customWidth="1"/>
    <col min="11630" max="11644" width="9.140625" style="585" customWidth="1"/>
    <col min="11645" max="11645" width="9" style="585" bestFit="1" customWidth="1"/>
    <col min="11646" max="11646" width="9.140625" style="585" customWidth="1"/>
    <col min="11647" max="11647" width="20.7109375" style="585" customWidth="1"/>
    <col min="11648" max="11648" width="12.7109375" style="585" customWidth="1"/>
    <col min="11649" max="11653" width="10.7109375" style="585"/>
    <col min="11654" max="11654" width="12.7109375" style="585" customWidth="1"/>
    <col min="11655" max="11656" width="10.7109375" style="585"/>
    <col min="11657" max="11657" width="20.7109375" style="585" customWidth="1"/>
    <col min="11658" max="11664" width="11.7109375" style="585" customWidth="1"/>
    <col min="11665" max="11666" width="9.140625" style="585" customWidth="1"/>
    <col min="11667" max="11667" width="14.140625" style="585" customWidth="1"/>
    <col min="11668" max="11668" width="10.140625" style="585" customWidth="1"/>
    <col min="11669" max="11674" width="9.140625" style="585" customWidth="1"/>
    <col min="11675" max="11675" width="12.7109375" style="585" customWidth="1"/>
    <col min="11676" max="11679" width="9.140625" style="585" customWidth="1"/>
    <col min="11680" max="11680" width="9.7109375" style="585" customWidth="1"/>
    <col min="11681" max="11681" width="10.7109375" style="585"/>
    <col min="11682" max="11684" width="9.140625" style="585" customWidth="1"/>
    <col min="11685" max="11685" width="52.7109375" style="585" customWidth="1"/>
    <col min="11686" max="11698" width="10.7109375" style="585"/>
    <col min="11699" max="11699" width="12.7109375" style="585" customWidth="1"/>
    <col min="11700" max="11711" width="10.7109375" style="585"/>
    <col min="11712" max="11712" width="12.7109375" style="585" customWidth="1"/>
    <col min="11713" max="11713" width="10.7109375" style="585"/>
    <col min="11714" max="11714" width="9.140625" style="585" customWidth="1"/>
    <col min="11715" max="11715" width="20.7109375" style="585" customWidth="1"/>
    <col min="11716" max="11739" width="12.7109375" style="585" customWidth="1"/>
    <col min="11740" max="11740" width="14.42578125" style="585" customWidth="1"/>
    <col min="11741" max="11741" width="20.7109375" style="585" customWidth="1"/>
    <col min="11742" max="11751" width="12.7109375" style="585" customWidth="1"/>
    <col min="11752" max="11757" width="10.7109375" style="585"/>
    <col min="11758" max="11760" width="9.140625" style="585" customWidth="1"/>
    <col min="11761" max="11761" width="20.7109375" style="585" customWidth="1"/>
    <col min="11762" max="11771" width="10.7109375" style="585"/>
    <col min="11772" max="11772" width="23" style="585" customWidth="1"/>
    <col min="11773" max="11782" width="10.7109375" style="585"/>
    <col min="11783" max="11784" width="10.140625" style="585" customWidth="1"/>
    <col min="11785" max="11785" width="17.7109375" style="585" customWidth="1"/>
    <col min="11786" max="11794" width="10.5703125" style="585" customWidth="1"/>
    <col min="11795" max="11795" width="10.140625" style="585" customWidth="1"/>
    <col min="11796" max="11796" width="17.140625" style="585" customWidth="1"/>
    <col min="11797" max="11805" width="10.7109375" style="585"/>
    <col min="11806" max="11806" width="10.140625" style="585" customWidth="1"/>
    <col min="11807" max="11807" width="9.140625" style="585" customWidth="1"/>
    <col min="11808" max="11808" width="24.7109375" style="585" customWidth="1"/>
    <col min="11809" max="11810" width="9.7109375" style="585" customWidth="1"/>
    <col min="11811" max="11815" width="10.7109375" style="585"/>
    <col min="11816" max="11827" width="12.7109375" style="585" customWidth="1"/>
    <col min="11828" max="11828" width="10.7109375" style="585"/>
    <col min="11829" max="11829" width="9.140625" style="585" customWidth="1"/>
    <col min="11830" max="11830" width="18.7109375" style="585" customWidth="1"/>
    <col min="11831" max="11838" width="12.7109375" style="585" customWidth="1"/>
    <col min="11839" max="11839" width="32.7109375" style="585" customWidth="1"/>
    <col min="11840" max="11840" width="11.140625" style="585" customWidth="1"/>
    <col min="11841" max="11841" width="13.85546875" style="585" customWidth="1"/>
    <col min="11842" max="11855" width="9.140625" style="585" customWidth="1"/>
    <col min="11856" max="11856" width="10.28515625" style="585" customWidth="1"/>
    <col min="11857" max="11871" width="9.140625" style="585" customWidth="1"/>
    <col min="11872" max="11872" width="14.7109375" style="585" customWidth="1"/>
    <col min="11873" max="11876" width="9.7109375" style="585" customWidth="1"/>
    <col min="11877" max="11877" width="8.7109375" style="585" customWidth="1"/>
    <col min="11878" max="11878" width="10.7109375" style="585"/>
    <col min="11879" max="11879" width="12.7109375" style="585" customWidth="1"/>
    <col min="11880" max="11882" width="9.7109375" style="585" customWidth="1"/>
    <col min="11883" max="11883" width="9.140625" style="585" customWidth="1"/>
    <col min="11884" max="11884" width="9.140625" style="585" bestFit="1" customWidth="1"/>
    <col min="11885" max="11885" width="14" style="585" customWidth="1"/>
    <col min="11886" max="11900" width="9.140625" style="585" customWidth="1"/>
    <col min="11901" max="11901" width="9" style="585" bestFit="1" customWidth="1"/>
    <col min="11902" max="11902" width="9.140625" style="585" customWidth="1"/>
    <col min="11903" max="11903" width="20.7109375" style="585" customWidth="1"/>
    <col min="11904" max="11904" width="12.7109375" style="585" customWidth="1"/>
    <col min="11905" max="11909" width="10.7109375" style="585"/>
    <col min="11910" max="11910" width="12.7109375" style="585" customWidth="1"/>
    <col min="11911" max="11912" width="10.7109375" style="585"/>
    <col min="11913" max="11913" width="20.7109375" style="585" customWidth="1"/>
    <col min="11914" max="11920" width="11.7109375" style="585" customWidth="1"/>
    <col min="11921" max="11922" width="9.140625" style="585" customWidth="1"/>
    <col min="11923" max="11923" width="14.140625" style="585" customWidth="1"/>
    <col min="11924" max="11924" width="10.140625" style="585" customWidth="1"/>
    <col min="11925" max="11930" width="9.140625" style="585" customWidth="1"/>
    <col min="11931" max="11931" width="12.7109375" style="585" customWidth="1"/>
    <col min="11932" max="11935" width="9.140625" style="585" customWidth="1"/>
    <col min="11936" max="11936" width="9.7109375" style="585" customWidth="1"/>
    <col min="11937" max="11937" width="10.7109375" style="585"/>
    <col min="11938" max="11940" width="9.140625" style="585" customWidth="1"/>
    <col min="11941" max="11941" width="52.7109375" style="585" customWidth="1"/>
    <col min="11942" max="11954" width="10.7109375" style="585"/>
    <col min="11955" max="11955" width="12.7109375" style="585" customWidth="1"/>
    <col min="11956" max="11967" width="10.7109375" style="585"/>
    <col min="11968" max="11968" width="12.7109375" style="585" customWidth="1"/>
    <col min="11969" max="11969" width="10.7109375" style="585"/>
    <col min="11970" max="11970" width="9.140625" style="585" customWidth="1"/>
    <col min="11971" max="11971" width="20.7109375" style="585" customWidth="1"/>
    <col min="11972" max="11995" width="12.7109375" style="585" customWidth="1"/>
    <col min="11996" max="11996" width="14.42578125" style="585" customWidth="1"/>
    <col min="11997" max="11997" width="20.7109375" style="585" customWidth="1"/>
    <col min="11998" max="12007" width="12.7109375" style="585" customWidth="1"/>
    <col min="12008" max="12013" width="10.7109375" style="585"/>
    <col min="12014" max="12016" width="9.140625" style="585" customWidth="1"/>
    <col min="12017" max="12017" width="20.7109375" style="585" customWidth="1"/>
    <col min="12018" max="12027" width="10.7109375" style="585"/>
    <col min="12028" max="12028" width="23" style="585" customWidth="1"/>
    <col min="12029" max="12038" width="10.7109375" style="585"/>
    <col min="12039" max="12040" width="10.140625" style="585" customWidth="1"/>
    <col min="12041" max="12041" width="17.7109375" style="585" customWidth="1"/>
    <col min="12042" max="12050" width="10.5703125" style="585" customWidth="1"/>
    <col min="12051" max="12051" width="10.140625" style="585" customWidth="1"/>
    <col min="12052" max="12052" width="17.140625" style="585" customWidth="1"/>
    <col min="12053" max="12061" width="10.7109375" style="585"/>
    <col min="12062" max="12062" width="10.140625" style="585" customWidth="1"/>
    <col min="12063" max="12063" width="9.140625" style="585" customWidth="1"/>
    <col min="12064" max="12064" width="24.7109375" style="585" customWidth="1"/>
    <col min="12065" max="12066" width="9.7109375" style="585" customWidth="1"/>
    <col min="12067" max="12071" width="10.7109375" style="585"/>
    <col min="12072" max="12083" width="12.7109375" style="585" customWidth="1"/>
    <col min="12084" max="12084" width="10.7109375" style="585"/>
    <col min="12085" max="12085" width="9.140625" style="585" customWidth="1"/>
    <col min="12086" max="12086" width="18.7109375" style="585" customWidth="1"/>
    <col min="12087" max="12094" width="12.7109375" style="585" customWidth="1"/>
    <col min="12095" max="12095" width="32.7109375" style="585" customWidth="1"/>
    <col min="12096" max="12096" width="11.140625" style="585" customWidth="1"/>
    <col min="12097" max="12097" width="13.85546875" style="585" customWidth="1"/>
    <col min="12098" max="12111" width="9.140625" style="585" customWidth="1"/>
    <col min="12112" max="12112" width="10.28515625" style="585" customWidth="1"/>
    <col min="12113" max="12127" width="9.140625" style="585" customWidth="1"/>
    <col min="12128" max="12128" width="14.7109375" style="585" customWidth="1"/>
    <col min="12129" max="12132" width="9.7109375" style="585" customWidth="1"/>
    <col min="12133" max="12133" width="8.7109375" style="585" customWidth="1"/>
    <col min="12134" max="12134" width="10.7109375" style="585"/>
    <col min="12135" max="12135" width="12.7109375" style="585" customWidth="1"/>
    <col min="12136" max="12138" width="9.7109375" style="585" customWidth="1"/>
    <col min="12139" max="12139" width="9.140625" style="585" customWidth="1"/>
    <col min="12140" max="12140" width="9.140625" style="585" bestFit="1" customWidth="1"/>
    <col min="12141" max="12141" width="14" style="585" customWidth="1"/>
    <col min="12142" max="12156" width="9.140625" style="585" customWidth="1"/>
    <col min="12157" max="12157" width="9" style="585" bestFit="1" customWidth="1"/>
    <col min="12158" max="12158" width="9.140625" style="585" customWidth="1"/>
    <col min="12159" max="12159" width="20.7109375" style="585" customWidth="1"/>
    <col min="12160" max="12160" width="12.7109375" style="585" customWidth="1"/>
    <col min="12161" max="12165" width="10.7109375" style="585"/>
    <col min="12166" max="12166" width="12.7109375" style="585" customWidth="1"/>
    <col min="12167" max="12168" width="10.7109375" style="585"/>
    <col min="12169" max="12169" width="20.7109375" style="585" customWidth="1"/>
    <col min="12170" max="12176" width="11.7109375" style="585" customWidth="1"/>
    <col min="12177" max="12178" width="9.140625" style="585" customWidth="1"/>
    <col min="12179" max="12179" width="14.140625" style="585" customWidth="1"/>
    <col min="12180" max="12180" width="10.140625" style="585" customWidth="1"/>
    <col min="12181" max="12186" width="9.140625" style="585" customWidth="1"/>
    <col min="12187" max="12187" width="12.7109375" style="585" customWidth="1"/>
    <col min="12188" max="12191" width="9.140625" style="585" customWidth="1"/>
    <col min="12192" max="12192" width="9.7109375" style="585" customWidth="1"/>
    <col min="12193" max="12193" width="10.7109375" style="585"/>
    <col min="12194" max="12196" width="9.140625" style="585" customWidth="1"/>
    <col min="12197" max="12197" width="52.7109375" style="585" customWidth="1"/>
    <col min="12198" max="12210" width="10.7109375" style="585"/>
    <col min="12211" max="12211" width="12.7109375" style="585" customWidth="1"/>
    <col min="12212" max="12223" width="10.7109375" style="585"/>
    <col min="12224" max="12224" width="12.7109375" style="585" customWidth="1"/>
    <col min="12225" max="12225" width="10.7109375" style="585"/>
    <col min="12226" max="12226" width="9.140625" style="585" customWidth="1"/>
    <col min="12227" max="12227" width="20.7109375" style="585" customWidth="1"/>
    <col min="12228" max="12251" width="12.7109375" style="585" customWidth="1"/>
    <col min="12252" max="12252" width="14.42578125" style="585" customWidth="1"/>
    <col min="12253" max="12253" width="20.7109375" style="585" customWidth="1"/>
    <col min="12254" max="12263" width="12.7109375" style="585" customWidth="1"/>
    <col min="12264" max="12269" width="10.7109375" style="585"/>
    <col min="12270" max="12272" width="9.140625" style="585" customWidth="1"/>
    <col min="12273" max="12273" width="20.7109375" style="585" customWidth="1"/>
    <col min="12274" max="12283" width="10.7109375" style="585"/>
    <col min="12284" max="12284" width="23" style="585" customWidth="1"/>
    <col min="12285" max="12294" width="10.7109375" style="585"/>
    <col min="12295" max="12296" width="10.140625" style="585" customWidth="1"/>
    <col min="12297" max="12297" width="17.7109375" style="585" customWidth="1"/>
    <col min="12298" max="12306" width="10.5703125" style="585" customWidth="1"/>
    <col min="12307" max="12307" width="10.140625" style="585" customWidth="1"/>
    <col min="12308" max="12308" width="17.140625" style="585" customWidth="1"/>
    <col min="12309" max="12317" width="10.7109375" style="585"/>
    <col min="12318" max="12318" width="10.140625" style="585" customWidth="1"/>
    <col min="12319" max="12319" width="9.140625" style="585" customWidth="1"/>
    <col min="12320" max="12320" width="24.7109375" style="585" customWidth="1"/>
    <col min="12321" max="12322" width="9.7109375" style="585" customWidth="1"/>
    <col min="12323" max="12327" width="10.7109375" style="585"/>
    <col min="12328" max="12339" width="12.7109375" style="585" customWidth="1"/>
    <col min="12340" max="12340" width="10.7109375" style="585"/>
    <col min="12341" max="12341" width="9.140625" style="585" customWidth="1"/>
    <col min="12342" max="12342" width="18.7109375" style="585" customWidth="1"/>
    <col min="12343" max="12350" width="12.7109375" style="585" customWidth="1"/>
    <col min="12351" max="12351" width="32.7109375" style="585" customWidth="1"/>
    <col min="12352" max="12352" width="11.140625" style="585" customWidth="1"/>
    <col min="12353" max="12353" width="13.85546875" style="585" customWidth="1"/>
    <col min="12354" max="12367" width="9.140625" style="585" customWidth="1"/>
    <col min="12368" max="12368" width="10.28515625" style="585" customWidth="1"/>
    <col min="12369" max="12383" width="9.140625" style="585" customWidth="1"/>
    <col min="12384" max="12384" width="14.7109375" style="585" customWidth="1"/>
    <col min="12385" max="12388" width="9.7109375" style="585" customWidth="1"/>
    <col min="12389" max="12389" width="8.7109375" style="585" customWidth="1"/>
    <col min="12390" max="12390" width="10.7109375" style="585"/>
    <col min="12391" max="12391" width="12.7109375" style="585" customWidth="1"/>
    <col min="12392" max="12394" width="9.7109375" style="585" customWidth="1"/>
    <col min="12395" max="12395" width="9.140625" style="585" customWidth="1"/>
    <col min="12396" max="12396" width="9.140625" style="585" bestFit="1" customWidth="1"/>
    <col min="12397" max="12397" width="14" style="585" customWidth="1"/>
    <col min="12398" max="12412" width="9.140625" style="585" customWidth="1"/>
    <col min="12413" max="12413" width="9" style="585" bestFit="1" customWidth="1"/>
    <col min="12414" max="12414" width="9.140625" style="585" customWidth="1"/>
    <col min="12415" max="12415" width="20.7109375" style="585" customWidth="1"/>
    <col min="12416" max="12416" width="12.7109375" style="585" customWidth="1"/>
    <col min="12417" max="12421" width="10.7109375" style="585"/>
    <col min="12422" max="12422" width="12.7109375" style="585" customWidth="1"/>
    <col min="12423" max="12424" width="10.7109375" style="585"/>
    <col min="12425" max="12425" width="20.7109375" style="585" customWidth="1"/>
    <col min="12426" max="12432" width="11.7109375" style="585" customWidth="1"/>
    <col min="12433" max="12434" width="9.140625" style="585" customWidth="1"/>
    <col min="12435" max="12435" width="14.140625" style="585" customWidth="1"/>
    <col min="12436" max="12436" width="10.140625" style="585" customWidth="1"/>
    <col min="12437" max="12442" width="9.140625" style="585" customWidth="1"/>
    <col min="12443" max="12443" width="12.7109375" style="585" customWidth="1"/>
    <col min="12444" max="12447" width="9.140625" style="585" customWidth="1"/>
    <col min="12448" max="12448" width="9.7109375" style="585" customWidth="1"/>
    <col min="12449" max="12449" width="10.7109375" style="585"/>
    <col min="12450" max="12452" width="9.140625" style="585" customWidth="1"/>
    <col min="12453" max="12453" width="52.7109375" style="585" customWidth="1"/>
    <col min="12454" max="12466" width="10.7109375" style="585"/>
    <col min="12467" max="12467" width="12.7109375" style="585" customWidth="1"/>
    <col min="12468" max="12479" width="10.7109375" style="585"/>
    <col min="12480" max="12480" width="12.7109375" style="585" customWidth="1"/>
    <col min="12481" max="12481" width="10.7109375" style="585"/>
    <col min="12482" max="12482" width="9.140625" style="585" customWidth="1"/>
    <col min="12483" max="12483" width="20.7109375" style="585" customWidth="1"/>
    <col min="12484" max="12507" width="12.7109375" style="585" customWidth="1"/>
    <col min="12508" max="12508" width="14.42578125" style="585" customWidth="1"/>
    <col min="12509" max="12509" width="20.7109375" style="585" customWidth="1"/>
    <col min="12510" max="12519" width="12.7109375" style="585" customWidth="1"/>
    <col min="12520" max="12525" width="10.7109375" style="585"/>
    <col min="12526" max="12528" width="9.140625" style="585" customWidth="1"/>
    <col min="12529" max="12529" width="20.7109375" style="585" customWidth="1"/>
    <col min="12530" max="12539" width="10.7109375" style="585"/>
    <col min="12540" max="12540" width="23" style="585" customWidth="1"/>
    <col min="12541" max="12550" width="10.7109375" style="585"/>
    <col min="12551" max="12552" width="10.140625" style="585" customWidth="1"/>
    <col min="12553" max="12553" width="17.7109375" style="585" customWidth="1"/>
    <col min="12554" max="12562" width="10.5703125" style="585" customWidth="1"/>
    <col min="12563" max="12563" width="10.140625" style="585" customWidth="1"/>
    <col min="12564" max="12564" width="17.140625" style="585" customWidth="1"/>
    <col min="12565" max="12573" width="10.7109375" style="585"/>
    <col min="12574" max="12574" width="10.140625" style="585" customWidth="1"/>
    <col min="12575" max="12575" width="9.140625" style="585" customWidth="1"/>
    <col min="12576" max="12576" width="24.7109375" style="585" customWidth="1"/>
    <col min="12577" max="12578" width="9.7109375" style="585" customWidth="1"/>
    <col min="12579" max="12583" width="10.7109375" style="585"/>
    <col min="12584" max="12595" width="12.7109375" style="585" customWidth="1"/>
    <col min="12596" max="12596" width="10.7109375" style="585"/>
    <col min="12597" max="12597" width="9.140625" style="585" customWidth="1"/>
    <col min="12598" max="12598" width="18.7109375" style="585" customWidth="1"/>
    <col min="12599" max="12606" width="12.7109375" style="585" customWidth="1"/>
    <col min="12607" max="12607" width="32.7109375" style="585" customWidth="1"/>
    <col min="12608" max="12608" width="11.140625" style="585" customWidth="1"/>
    <col min="12609" max="12609" width="13.85546875" style="585" customWidth="1"/>
    <col min="12610" max="12623" width="9.140625" style="585" customWidth="1"/>
    <col min="12624" max="12624" width="10.28515625" style="585" customWidth="1"/>
    <col min="12625" max="12639" width="9.140625" style="585" customWidth="1"/>
    <col min="12640" max="12640" width="14.7109375" style="585" customWidth="1"/>
    <col min="12641" max="12644" width="9.7109375" style="585" customWidth="1"/>
    <col min="12645" max="12645" width="8.7109375" style="585" customWidth="1"/>
    <col min="12646" max="12646" width="10.7109375" style="585"/>
    <col min="12647" max="12647" width="12.7109375" style="585" customWidth="1"/>
    <col min="12648" max="12650" width="9.7109375" style="585" customWidth="1"/>
    <col min="12651" max="12651" width="9.140625" style="585" customWidth="1"/>
    <col min="12652" max="12652" width="9.140625" style="585" bestFit="1" customWidth="1"/>
    <col min="12653" max="12653" width="14" style="585" customWidth="1"/>
    <col min="12654" max="12668" width="9.140625" style="585" customWidth="1"/>
    <col min="12669" max="12669" width="9" style="585" bestFit="1" customWidth="1"/>
    <col min="12670" max="12670" width="9.140625" style="585" customWidth="1"/>
    <col min="12671" max="12671" width="20.7109375" style="585" customWidth="1"/>
    <col min="12672" max="12672" width="12.7109375" style="585" customWidth="1"/>
    <col min="12673" max="12677" width="10.7109375" style="585"/>
    <col min="12678" max="12678" width="12.7109375" style="585" customWidth="1"/>
    <col min="12679" max="12680" width="10.7109375" style="585"/>
    <col min="12681" max="12681" width="20.7109375" style="585" customWidth="1"/>
    <col min="12682" max="12688" width="11.7109375" style="585" customWidth="1"/>
    <col min="12689" max="12690" width="9.140625" style="585" customWidth="1"/>
    <col min="12691" max="12691" width="14.140625" style="585" customWidth="1"/>
    <col min="12692" max="12692" width="10.140625" style="585" customWidth="1"/>
    <col min="12693" max="12698" width="9.140625" style="585" customWidth="1"/>
    <col min="12699" max="12699" width="12.7109375" style="585" customWidth="1"/>
    <col min="12700" max="12703" width="9.140625" style="585" customWidth="1"/>
    <col min="12704" max="12704" width="9.7109375" style="585" customWidth="1"/>
    <col min="12705" max="12705" width="10.7109375" style="585"/>
    <col min="12706" max="12708" width="9.140625" style="585" customWidth="1"/>
    <col min="12709" max="12709" width="52.7109375" style="585" customWidth="1"/>
    <col min="12710" max="12722" width="10.7109375" style="585"/>
    <col min="12723" max="12723" width="12.7109375" style="585" customWidth="1"/>
    <col min="12724" max="12735" width="10.7109375" style="585"/>
    <col min="12736" max="12736" width="12.7109375" style="585" customWidth="1"/>
    <col min="12737" max="12737" width="10.7109375" style="585"/>
    <col min="12738" max="12738" width="9.140625" style="585" customWidth="1"/>
    <col min="12739" max="12739" width="20.7109375" style="585" customWidth="1"/>
    <col min="12740" max="12763" width="12.7109375" style="585" customWidth="1"/>
    <col min="12764" max="12764" width="14.42578125" style="585" customWidth="1"/>
    <col min="12765" max="12765" width="20.7109375" style="585" customWidth="1"/>
    <col min="12766" max="12775" width="12.7109375" style="585" customWidth="1"/>
    <col min="12776" max="12781" width="10.7109375" style="585"/>
    <col min="12782" max="12784" width="9.140625" style="585" customWidth="1"/>
    <col min="12785" max="12785" width="20.7109375" style="585" customWidth="1"/>
    <col min="12786" max="12795" width="10.7109375" style="585"/>
    <col min="12796" max="12796" width="23" style="585" customWidth="1"/>
    <col min="12797" max="12806" width="10.7109375" style="585"/>
    <col min="12807" max="12808" width="10.140625" style="585" customWidth="1"/>
    <col min="12809" max="12809" width="17.7109375" style="585" customWidth="1"/>
    <col min="12810" max="12818" width="10.5703125" style="585" customWidth="1"/>
    <col min="12819" max="12819" width="10.140625" style="585" customWidth="1"/>
    <col min="12820" max="12820" width="17.140625" style="585" customWidth="1"/>
    <col min="12821" max="12829" width="10.7109375" style="585"/>
    <col min="12830" max="12830" width="10.140625" style="585" customWidth="1"/>
    <col min="12831" max="12831" width="9.140625" style="585" customWidth="1"/>
    <col min="12832" max="12832" width="24.7109375" style="585" customWidth="1"/>
    <col min="12833" max="12834" width="9.7109375" style="585" customWidth="1"/>
    <col min="12835" max="12839" width="10.7109375" style="585"/>
    <col min="12840" max="12851" width="12.7109375" style="585" customWidth="1"/>
    <col min="12852" max="12852" width="10.7109375" style="585"/>
    <col min="12853" max="12853" width="9.140625" style="585" customWidth="1"/>
    <col min="12854" max="12854" width="18.7109375" style="585" customWidth="1"/>
    <col min="12855" max="12862" width="12.7109375" style="585" customWidth="1"/>
    <col min="12863" max="12863" width="32.7109375" style="585" customWidth="1"/>
    <col min="12864" max="12864" width="11.140625" style="585" customWidth="1"/>
    <col min="12865" max="12865" width="13.85546875" style="585" customWidth="1"/>
    <col min="12866" max="12879" width="9.140625" style="585" customWidth="1"/>
    <col min="12880" max="12880" width="10.28515625" style="585" customWidth="1"/>
    <col min="12881" max="12895" width="9.140625" style="585" customWidth="1"/>
    <col min="12896" max="12896" width="14.7109375" style="585" customWidth="1"/>
    <col min="12897" max="12900" width="9.7109375" style="585" customWidth="1"/>
    <col min="12901" max="12901" width="8.7109375" style="585" customWidth="1"/>
    <col min="12902" max="12902" width="10.7109375" style="585"/>
    <col min="12903" max="12903" width="12.7109375" style="585" customWidth="1"/>
    <col min="12904" max="12906" width="9.7109375" style="585" customWidth="1"/>
    <col min="12907" max="12907" width="9.140625" style="585" customWidth="1"/>
    <col min="12908" max="12908" width="9.140625" style="585" bestFit="1" customWidth="1"/>
    <col min="12909" max="12909" width="14" style="585" customWidth="1"/>
    <col min="12910" max="12924" width="9.140625" style="585" customWidth="1"/>
    <col min="12925" max="12925" width="9" style="585" bestFit="1" customWidth="1"/>
    <col min="12926" max="12926" width="9.140625" style="585" customWidth="1"/>
    <col min="12927" max="12927" width="20.7109375" style="585" customWidth="1"/>
    <col min="12928" max="12928" width="12.7109375" style="585" customWidth="1"/>
    <col min="12929" max="12933" width="10.7109375" style="585"/>
    <col min="12934" max="12934" width="12.7109375" style="585" customWidth="1"/>
    <col min="12935" max="12936" width="10.7109375" style="585"/>
    <col min="12937" max="12937" width="20.7109375" style="585" customWidth="1"/>
    <col min="12938" max="12944" width="11.7109375" style="585" customWidth="1"/>
    <col min="12945" max="12946" width="9.140625" style="585" customWidth="1"/>
    <col min="12947" max="12947" width="14.140625" style="585" customWidth="1"/>
    <col min="12948" max="12948" width="10.140625" style="585" customWidth="1"/>
    <col min="12949" max="12954" width="9.140625" style="585" customWidth="1"/>
    <col min="12955" max="12955" width="12.7109375" style="585" customWidth="1"/>
    <col min="12956" max="12959" width="9.140625" style="585" customWidth="1"/>
    <col min="12960" max="12960" width="9.7109375" style="585" customWidth="1"/>
    <col min="12961" max="12961" width="10.7109375" style="585"/>
    <col min="12962" max="12964" width="9.140625" style="585" customWidth="1"/>
    <col min="12965" max="12965" width="52.7109375" style="585" customWidth="1"/>
    <col min="12966" max="12978" width="10.7109375" style="585"/>
    <col min="12979" max="12979" width="12.7109375" style="585" customWidth="1"/>
    <col min="12980" max="12991" width="10.7109375" style="585"/>
    <col min="12992" max="12992" width="12.7109375" style="585" customWidth="1"/>
    <col min="12993" max="12993" width="10.7109375" style="585"/>
    <col min="12994" max="12994" width="9.140625" style="585" customWidth="1"/>
    <col min="12995" max="12995" width="20.7109375" style="585" customWidth="1"/>
    <col min="12996" max="13019" width="12.7109375" style="585" customWidth="1"/>
    <col min="13020" max="13020" width="14.42578125" style="585" customWidth="1"/>
    <col min="13021" max="13021" width="20.7109375" style="585" customWidth="1"/>
    <col min="13022" max="13031" width="12.7109375" style="585" customWidth="1"/>
    <col min="13032" max="13037" width="10.7109375" style="585"/>
    <col min="13038" max="13040" width="9.140625" style="585" customWidth="1"/>
    <col min="13041" max="13041" width="20.7109375" style="585" customWidth="1"/>
    <col min="13042" max="13051" width="10.7109375" style="585"/>
    <col min="13052" max="13052" width="23" style="585" customWidth="1"/>
    <col min="13053" max="13062" width="10.7109375" style="585"/>
    <col min="13063" max="13064" width="10.140625" style="585" customWidth="1"/>
    <col min="13065" max="13065" width="17.7109375" style="585" customWidth="1"/>
    <col min="13066" max="13074" width="10.5703125" style="585" customWidth="1"/>
    <col min="13075" max="13075" width="10.140625" style="585" customWidth="1"/>
    <col min="13076" max="13076" width="17.140625" style="585" customWidth="1"/>
    <col min="13077" max="13085" width="10.7109375" style="585"/>
    <col min="13086" max="13086" width="10.140625" style="585" customWidth="1"/>
    <col min="13087" max="13087" width="9.140625" style="585" customWidth="1"/>
    <col min="13088" max="13088" width="24.7109375" style="585" customWidth="1"/>
    <col min="13089" max="13090" width="9.7109375" style="585" customWidth="1"/>
    <col min="13091" max="13095" width="10.7109375" style="585"/>
    <col min="13096" max="13107" width="12.7109375" style="585" customWidth="1"/>
    <col min="13108" max="13108" width="10.7109375" style="585"/>
    <col min="13109" max="13109" width="9.140625" style="585" customWidth="1"/>
    <col min="13110" max="13110" width="18.7109375" style="585" customWidth="1"/>
    <col min="13111" max="13118" width="12.7109375" style="585" customWidth="1"/>
    <col min="13119" max="13119" width="32.7109375" style="585" customWidth="1"/>
    <col min="13120" max="13120" width="11.140625" style="585" customWidth="1"/>
    <col min="13121" max="13121" width="13.85546875" style="585" customWidth="1"/>
    <col min="13122" max="13135" width="9.140625" style="585" customWidth="1"/>
    <col min="13136" max="13136" width="10.28515625" style="585" customWidth="1"/>
    <col min="13137" max="13151" width="9.140625" style="585" customWidth="1"/>
    <col min="13152" max="13152" width="14.7109375" style="585" customWidth="1"/>
    <col min="13153" max="13156" width="9.7109375" style="585" customWidth="1"/>
    <col min="13157" max="13157" width="8.7109375" style="585" customWidth="1"/>
    <col min="13158" max="13158" width="10.7109375" style="585"/>
    <col min="13159" max="13159" width="12.7109375" style="585" customWidth="1"/>
    <col min="13160" max="13162" width="9.7109375" style="585" customWidth="1"/>
    <col min="13163" max="13163" width="9.140625" style="585" customWidth="1"/>
    <col min="13164" max="13164" width="9.140625" style="585" bestFit="1" customWidth="1"/>
    <col min="13165" max="13165" width="14" style="585" customWidth="1"/>
    <col min="13166" max="13180" width="9.140625" style="585" customWidth="1"/>
    <col min="13181" max="13181" width="9" style="585" bestFit="1" customWidth="1"/>
    <col min="13182" max="13182" width="9.140625" style="585" customWidth="1"/>
    <col min="13183" max="13183" width="20.7109375" style="585" customWidth="1"/>
    <col min="13184" max="13184" width="12.7109375" style="585" customWidth="1"/>
    <col min="13185" max="13189" width="10.7109375" style="585"/>
    <col min="13190" max="13190" width="12.7109375" style="585" customWidth="1"/>
    <col min="13191" max="13192" width="10.7109375" style="585"/>
    <col min="13193" max="13193" width="20.7109375" style="585" customWidth="1"/>
    <col min="13194" max="13200" width="11.7109375" style="585" customWidth="1"/>
    <col min="13201" max="13202" width="9.140625" style="585" customWidth="1"/>
    <col min="13203" max="13203" width="14.140625" style="585" customWidth="1"/>
    <col min="13204" max="13204" width="10.140625" style="585" customWidth="1"/>
    <col min="13205" max="13210" width="9.140625" style="585" customWidth="1"/>
    <col min="13211" max="13211" width="12.7109375" style="585" customWidth="1"/>
    <col min="13212" max="13215" width="9.140625" style="585" customWidth="1"/>
    <col min="13216" max="13216" width="9.7109375" style="585" customWidth="1"/>
    <col min="13217" max="13217" width="10.7109375" style="585"/>
    <col min="13218" max="13220" width="9.140625" style="585" customWidth="1"/>
    <col min="13221" max="13221" width="52.7109375" style="585" customWidth="1"/>
    <col min="13222" max="13234" width="10.7109375" style="585"/>
    <col min="13235" max="13235" width="12.7109375" style="585" customWidth="1"/>
    <col min="13236" max="13247" width="10.7109375" style="585"/>
    <col min="13248" max="13248" width="12.7109375" style="585" customWidth="1"/>
    <col min="13249" max="13249" width="10.7109375" style="585"/>
    <col min="13250" max="13250" width="9.140625" style="585" customWidth="1"/>
    <col min="13251" max="13251" width="20.7109375" style="585" customWidth="1"/>
    <col min="13252" max="13275" width="12.7109375" style="585" customWidth="1"/>
    <col min="13276" max="13276" width="14.42578125" style="585" customWidth="1"/>
    <col min="13277" max="13277" width="20.7109375" style="585" customWidth="1"/>
    <col min="13278" max="13287" width="12.7109375" style="585" customWidth="1"/>
    <col min="13288" max="13293" width="10.7109375" style="585"/>
    <col min="13294" max="13296" width="9.140625" style="585" customWidth="1"/>
    <col min="13297" max="13297" width="20.7109375" style="585" customWidth="1"/>
    <col min="13298" max="13307" width="10.7109375" style="585"/>
    <col min="13308" max="13308" width="23" style="585" customWidth="1"/>
    <col min="13309" max="13318" width="10.7109375" style="585"/>
    <col min="13319" max="13320" width="10.140625" style="585" customWidth="1"/>
    <col min="13321" max="13321" width="17.7109375" style="585" customWidth="1"/>
    <col min="13322" max="13330" width="10.5703125" style="585" customWidth="1"/>
    <col min="13331" max="13331" width="10.140625" style="585" customWidth="1"/>
    <col min="13332" max="13332" width="17.140625" style="585" customWidth="1"/>
    <col min="13333" max="13341" width="10.7109375" style="585"/>
    <col min="13342" max="13342" width="10.140625" style="585" customWidth="1"/>
    <col min="13343" max="13343" width="9.140625" style="585" customWidth="1"/>
    <col min="13344" max="13344" width="24.7109375" style="585" customWidth="1"/>
    <col min="13345" max="13346" width="9.7109375" style="585" customWidth="1"/>
    <col min="13347" max="13351" width="10.7109375" style="585"/>
    <col min="13352" max="13363" width="12.7109375" style="585" customWidth="1"/>
    <col min="13364" max="13364" width="10.7109375" style="585"/>
    <col min="13365" max="13365" width="9.140625" style="585" customWidth="1"/>
    <col min="13366" max="13366" width="18.7109375" style="585" customWidth="1"/>
    <col min="13367" max="13374" width="12.7109375" style="585" customWidth="1"/>
    <col min="13375" max="13375" width="32.7109375" style="585" customWidth="1"/>
    <col min="13376" max="13376" width="11.140625" style="585" customWidth="1"/>
    <col min="13377" max="13377" width="13.85546875" style="585" customWidth="1"/>
    <col min="13378" max="13391" width="9.140625" style="585" customWidth="1"/>
    <col min="13392" max="13392" width="10.28515625" style="585" customWidth="1"/>
    <col min="13393" max="13407" width="9.140625" style="585" customWidth="1"/>
    <col min="13408" max="13408" width="14.7109375" style="585" customWidth="1"/>
    <col min="13409" max="13412" width="9.7109375" style="585" customWidth="1"/>
    <col min="13413" max="13413" width="8.7109375" style="585" customWidth="1"/>
    <col min="13414" max="13414" width="10.7109375" style="585"/>
    <col min="13415" max="13415" width="12.7109375" style="585" customWidth="1"/>
    <col min="13416" max="13418" width="9.7109375" style="585" customWidth="1"/>
    <col min="13419" max="13419" width="9.140625" style="585" customWidth="1"/>
    <col min="13420" max="13420" width="9.140625" style="585" bestFit="1" customWidth="1"/>
    <col min="13421" max="13421" width="14" style="585" customWidth="1"/>
    <col min="13422" max="13436" width="9.140625" style="585" customWidth="1"/>
    <col min="13437" max="13437" width="9" style="585" bestFit="1" customWidth="1"/>
    <col min="13438" max="13438" width="9.140625" style="585" customWidth="1"/>
    <col min="13439" max="13439" width="20.7109375" style="585" customWidth="1"/>
    <col min="13440" max="13440" width="12.7109375" style="585" customWidth="1"/>
    <col min="13441" max="13445" width="10.7109375" style="585"/>
    <col min="13446" max="13446" width="12.7109375" style="585" customWidth="1"/>
    <col min="13447" max="13448" width="10.7109375" style="585"/>
    <col min="13449" max="13449" width="20.7109375" style="585" customWidth="1"/>
    <col min="13450" max="13456" width="11.7109375" style="585" customWidth="1"/>
    <col min="13457" max="13458" width="9.140625" style="585" customWidth="1"/>
    <col min="13459" max="13459" width="14.140625" style="585" customWidth="1"/>
    <col min="13460" max="13460" width="10.140625" style="585" customWidth="1"/>
    <col min="13461" max="13466" width="9.140625" style="585" customWidth="1"/>
    <col min="13467" max="13467" width="12.7109375" style="585" customWidth="1"/>
    <col min="13468" max="13471" width="9.140625" style="585" customWidth="1"/>
    <col min="13472" max="13472" width="9.7109375" style="585" customWidth="1"/>
    <col min="13473" max="13473" width="10.7109375" style="585"/>
    <col min="13474" max="13476" width="9.140625" style="585" customWidth="1"/>
    <col min="13477" max="13477" width="52.7109375" style="585" customWidth="1"/>
    <col min="13478" max="13490" width="10.7109375" style="585"/>
    <col min="13491" max="13491" width="12.7109375" style="585" customWidth="1"/>
    <col min="13492" max="13503" width="10.7109375" style="585"/>
    <col min="13504" max="13504" width="12.7109375" style="585" customWidth="1"/>
    <col min="13505" max="13505" width="10.7109375" style="585"/>
    <col min="13506" max="13506" width="9.140625" style="585" customWidth="1"/>
    <col min="13507" max="13507" width="20.7109375" style="585" customWidth="1"/>
    <col min="13508" max="13531" width="12.7109375" style="585" customWidth="1"/>
    <col min="13532" max="13532" width="14.42578125" style="585" customWidth="1"/>
    <col min="13533" max="13533" width="20.7109375" style="585" customWidth="1"/>
    <col min="13534" max="13543" width="12.7109375" style="585" customWidth="1"/>
    <col min="13544" max="13549" width="10.7109375" style="585"/>
    <col min="13550" max="13552" width="9.140625" style="585" customWidth="1"/>
    <col min="13553" max="13553" width="20.7109375" style="585" customWidth="1"/>
    <col min="13554" max="13563" width="10.7109375" style="585"/>
    <col min="13564" max="13564" width="23" style="585" customWidth="1"/>
    <col min="13565" max="13574" width="10.7109375" style="585"/>
    <col min="13575" max="13576" width="10.140625" style="585" customWidth="1"/>
    <col min="13577" max="13577" width="17.7109375" style="585" customWidth="1"/>
    <col min="13578" max="13586" width="10.5703125" style="585" customWidth="1"/>
    <col min="13587" max="13587" width="10.140625" style="585" customWidth="1"/>
    <col min="13588" max="13588" width="17.140625" style="585" customWidth="1"/>
    <col min="13589" max="13597" width="10.7109375" style="585"/>
    <col min="13598" max="13598" width="10.140625" style="585" customWidth="1"/>
    <col min="13599" max="13599" width="9.140625" style="585" customWidth="1"/>
    <col min="13600" max="13600" width="24.7109375" style="585" customWidth="1"/>
    <col min="13601" max="13602" width="9.7109375" style="585" customWidth="1"/>
    <col min="13603" max="13607" width="10.7109375" style="585"/>
    <col min="13608" max="13619" width="12.7109375" style="585" customWidth="1"/>
    <col min="13620" max="13620" width="10.7109375" style="585"/>
    <col min="13621" max="13621" width="9.140625" style="585" customWidth="1"/>
    <col min="13622" max="13622" width="18.7109375" style="585" customWidth="1"/>
    <col min="13623" max="13630" width="12.7109375" style="585" customWidth="1"/>
    <col min="13631" max="13631" width="32.7109375" style="585" customWidth="1"/>
    <col min="13632" max="13632" width="11.140625" style="585" customWidth="1"/>
    <col min="13633" max="13633" width="13.85546875" style="585" customWidth="1"/>
    <col min="13634" max="13647" width="9.140625" style="585" customWidth="1"/>
    <col min="13648" max="13648" width="10.28515625" style="585" customWidth="1"/>
    <col min="13649" max="13663" width="9.140625" style="585" customWidth="1"/>
    <col min="13664" max="13664" width="14.7109375" style="585" customWidth="1"/>
    <col min="13665" max="13668" width="9.7109375" style="585" customWidth="1"/>
    <col min="13669" max="13669" width="8.7109375" style="585" customWidth="1"/>
    <col min="13670" max="13670" width="10.7109375" style="585"/>
    <col min="13671" max="13671" width="12.7109375" style="585" customWidth="1"/>
    <col min="13672" max="13674" width="9.7109375" style="585" customWidth="1"/>
    <col min="13675" max="13675" width="9.140625" style="585" customWidth="1"/>
    <col min="13676" max="13676" width="9.140625" style="585" bestFit="1" customWidth="1"/>
    <col min="13677" max="13677" width="14" style="585" customWidth="1"/>
    <col min="13678" max="13692" width="9.140625" style="585" customWidth="1"/>
    <col min="13693" max="13693" width="9" style="585" bestFit="1" customWidth="1"/>
    <col min="13694" max="13694" width="9.140625" style="585" customWidth="1"/>
    <col min="13695" max="13695" width="20.7109375" style="585" customWidth="1"/>
    <col min="13696" max="13696" width="12.7109375" style="585" customWidth="1"/>
    <col min="13697" max="13701" width="10.7109375" style="585"/>
    <col min="13702" max="13702" width="12.7109375" style="585" customWidth="1"/>
    <col min="13703" max="13704" width="10.7109375" style="585"/>
    <col min="13705" max="13705" width="20.7109375" style="585" customWidth="1"/>
    <col min="13706" max="13712" width="11.7109375" style="585" customWidth="1"/>
    <col min="13713" max="13714" width="9.140625" style="585" customWidth="1"/>
    <col min="13715" max="13715" width="14.140625" style="585" customWidth="1"/>
    <col min="13716" max="13716" width="10.140625" style="585" customWidth="1"/>
    <col min="13717" max="13722" width="9.140625" style="585" customWidth="1"/>
    <col min="13723" max="13723" width="12.7109375" style="585" customWidth="1"/>
    <col min="13724" max="13727" width="9.140625" style="585" customWidth="1"/>
    <col min="13728" max="13728" width="9.7109375" style="585" customWidth="1"/>
    <col min="13729" max="13729" width="10.7109375" style="585"/>
    <col min="13730" max="13732" width="9.140625" style="585" customWidth="1"/>
    <col min="13733" max="13733" width="52.7109375" style="585" customWidth="1"/>
    <col min="13734" max="13746" width="10.7109375" style="585"/>
    <col min="13747" max="13747" width="12.7109375" style="585" customWidth="1"/>
    <col min="13748" max="13759" width="10.7109375" style="585"/>
    <col min="13760" max="13760" width="12.7109375" style="585" customWidth="1"/>
    <col min="13761" max="13761" width="10.7109375" style="585"/>
    <col min="13762" max="13762" width="9.140625" style="585" customWidth="1"/>
    <col min="13763" max="13763" width="20.7109375" style="585" customWidth="1"/>
    <col min="13764" max="13787" width="12.7109375" style="585" customWidth="1"/>
    <col min="13788" max="13788" width="14.42578125" style="585" customWidth="1"/>
    <col min="13789" max="13789" width="20.7109375" style="585" customWidth="1"/>
    <col min="13790" max="13799" width="12.7109375" style="585" customWidth="1"/>
    <col min="13800" max="13805" width="10.7109375" style="585"/>
    <col min="13806" max="13808" width="9.140625" style="585" customWidth="1"/>
    <col min="13809" max="13809" width="20.7109375" style="585" customWidth="1"/>
    <col min="13810" max="13819" width="10.7109375" style="585"/>
    <col min="13820" max="13820" width="23" style="585" customWidth="1"/>
    <col min="13821" max="13830" width="10.7109375" style="585"/>
    <col min="13831" max="13832" width="10.140625" style="585" customWidth="1"/>
    <col min="13833" max="13833" width="17.7109375" style="585" customWidth="1"/>
    <col min="13834" max="13842" width="10.5703125" style="585" customWidth="1"/>
    <col min="13843" max="13843" width="10.140625" style="585" customWidth="1"/>
    <col min="13844" max="13844" width="17.140625" style="585" customWidth="1"/>
    <col min="13845" max="13853" width="10.7109375" style="585"/>
    <col min="13854" max="13854" width="10.140625" style="585" customWidth="1"/>
    <col min="13855" max="13855" width="9.140625" style="585" customWidth="1"/>
    <col min="13856" max="13856" width="24.7109375" style="585" customWidth="1"/>
    <col min="13857" max="13858" width="9.7109375" style="585" customWidth="1"/>
    <col min="13859" max="13863" width="10.7109375" style="585"/>
    <col min="13864" max="13875" width="12.7109375" style="585" customWidth="1"/>
    <col min="13876" max="13876" width="10.7109375" style="585"/>
    <col min="13877" max="13877" width="9.140625" style="585" customWidth="1"/>
    <col min="13878" max="13878" width="18.7109375" style="585" customWidth="1"/>
    <col min="13879" max="13886" width="12.7109375" style="585" customWidth="1"/>
    <col min="13887" max="13887" width="32.7109375" style="585" customWidth="1"/>
    <col min="13888" max="13888" width="11.140625" style="585" customWidth="1"/>
    <col min="13889" max="13889" width="13.85546875" style="585" customWidth="1"/>
    <col min="13890" max="13903" width="9.140625" style="585" customWidth="1"/>
    <col min="13904" max="13904" width="10.28515625" style="585" customWidth="1"/>
    <col min="13905" max="13919" width="9.140625" style="585" customWidth="1"/>
    <col min="13920" max="13920" width="14.7109375" style="585" customWidth="1"/>
    <col min="13921" max="13924" width="9.7109375" style="585" customWidth="1"/>
    <col min="13925" max="13925" width="8.7109375" style="585" customWidth="1"/>
    <col min="13926" max="13926" width="10.7109375" style="585"/>
    <col min="13927" max="13927" width="12.7109375" style="585" customWidth="1"/>
    <col min="13928" max="13930" width="9.7109375" style="585" customWidth="1"/>
    <col min="13931" max="13931" width="9.140625" style="585" customWidth="1"/>
    <col min="13932" max="13932" width="9.140625" style="585" bestFit="1" customWidth="1"/>
    <col min="13933" max="13933" width="14" style="585" customWidth="1"/>
    <col min="13934" max="13948" width="9.140625" style="585" customWidth="1"/>
    <col min="13949" max="13949" width="9" style="585" bestFit="1" customWidth="1"/>
    <col min="13950" max="13950" width="9.140625" style="585" customWidth="1"/>
    <col min="13951" max="13951" width="20.7109375" style="585" customWidth="1"/>
    <col min="13952" max="13952" width="12.7109375" style="585" customWidth="1"/>
    <col min="13953" max="13957" width="10.7109375" style="585"/>
    <col min="13958" max="13958" width="12.7109375" style="585" customWidth="1"/>
    <col min="13959" max="13960" width="10.7109375" style="585"/>
    <col min="13961" max="13961" width="20.7109375" style="585" customWidth="1"/>
    <col min="13962" max="13968" width="11.7109375" style="585" customWidth="1"/>
    <col min="13969" max="13970" width="9.140625" style="585" customWidth="1"/>
    <col min="13971" max="13971" width="14.140625" style="585" customWidth="1"/>
    <col min="13972" max="13972" width="10.140625" style="585" customWidth="1"/>
    <col min="13973" max="13978" width="9.140625" style="585" customWidth="1"/>
    <col min="13979" max="13979" width="12.7109375" style="585" customWidth="1"/>
    <col min="13980" max="13983" width="9.140625" style="585" customWidth="1"/>
    <col min="13984" max="13984" width="9.7109375" style="585" customWidth="1"/>
    <col min="13985" max="13985" width="10.7109375" style="585"/>
    <col min="13986" max="13988" width="9.140625" style="585" customWidth="1"/>
    <col min="13989" max="13989" width="52.7109375" style="585" customWidth="1"/>
    <col min="13990" max="14002" width="10.7109375" style="585"/>
    <col min="14003" max="14003" width="12.7109375" style="585" customWidth="1"/>
    <col min="14004" max="14015" width="10.7109375" style="585"/>
    <col min="14016" max="14016" width="12.7109375" style="585" customWidth="1"/>
    <col min="14017" max="14017" width="10.7109375" style="585"/>
    <col min="14018" max="14018" width="9.140625" style="585" customWidth="1"/>
    <col min="14019" max="14019" width="20.7109375" style="585" customWidth="1"/>
    <col min="14020" max="14043" width="12.7109375" style="585" customWidth="1"/>
    <col min="14044" max="14044" width="14.42578125" style="585" customWidth="1"/>
    <col min="14045" max="14045" width="20.7109375" style="585" customWidth="1"/>
    <col min="14046" max="14055" width="12.7109375" style="585" customWidth="1"/>
    <col min="14056" max="14061" width="10.7109375" style="585"/>
    <col min="14062" max="14064" width="9.140625" style="585" customWidth="1"/>
    <col min="14065" max="14065" width="20.7109375" style="585" customWidth="1"/>
    <col min="14066" max="14075" width="10.7109375" style="585"/>
    <col min="14076" max="14076" width="23" style="585" customWidth="1"/>
    <col min="14077" max="14086" width="10.7109375" style="585"/>
    <col min="14087" max="14088" width="10.140625" style="585" customWidth="1"/>
    <col min="14089" max="14089" width="17.7109375" style="585" customWidth="1"/>
    <col min="14090" max="14098" width="10.5703125" style="585" customWidth="1"/>
    <col min="14099" max="14099" width="10.140625" style="585" customWidth="1"/>
    <col min="14100" max="14100" width="17.140625" style="585" customWidth="1"/>
    <col min="14101" max="14109" width="10.7109375" style="585"/>
    <col min="14110" max="14110" width="10.140625" style="585" customWidth="1"/>
    <col min="14111" max="14111" width="9.140625" style="585" customWidth="1"/>
    <col min="14112" max="14112" width="24.7109375" style="585" customWidth="1"/>
    <col min="14113" max="14114" width="9.7109375" style="585" customWidth="1"/>
    <col min="14115" max="14119" width="10.7109375" style="585"/>
    <col min="14120" max="14131" width="12.7109375" style="585" customWidth="1"/>
    <col min="14132" max="14132" width="10.7109375" style="585"/>
    <col min="14133" max="14133" width="9.140625" style="585" customWidth="1"/>
    <col min="14134" max="14134" width="18.7109375" style="585" customWidth="1"/>
    <col min="14135" max="14142" width="12.7109375" style="585" customWidth="1"/>
    <col min="14143" max="14143" width="32.7109375" style="585" customWidth="1"/>
    <col min="14144" max="14144" width="11.140625" style="585" customWidth="1"/>
    <col min="14145" max="14145" width="13.85546875" style="585" customWidth="1"/>
    <col min="14146" max="14159" width="9.140625" style="585" customWidth="1"/>
    <col min="14160" max="14160" width="10.28515625" style="585" customWidth="1"/>
    <col min="14161" max="14175" width="9.140625" style="585" customWidth="1"/>
    <col min="14176" max="14176" width="14.7109375" style="585" customWidth="1"/>
    <col min="14177" max="14180" width="9.7109375" style="585" customWidth="1"/>
    <col min="14181" max="14181" width="8.7109375" style="585" customWidth="1"/>
    <col min="14182" max="14182" width="10.7109375" style="585"/>
    <col min="14183" max="14183" width="12.7109375" style="585" customWidth="1"/>
    <col min="14184" max="14186" width="9.7109375" style="585" customWidth="1"/>
    <col min="14187" max="14187" width="9.140625" style="585" customWidth="1"/>
    <col min="14188" max="14188" width="9.140625" style="585" bestFit="1" customWidth="1"/>
    <col min="14189" max="14189" width="14" style="585" customWidth="1"/>
    <col min="14190" max="14204" width="9.140625" style="585" customWidth="1"/>
    <col min="14205" max="14205" width="9" style="585" bestFit="1" customWidth="1"/>
    <col min="14206" max="14206" width="9.140625" style="585" customWidth="1"/>
    <col min="14207" max="14207" width="20.7109375" style="585" customWidth="1"/>
    <col min="14208" max="14208" width="12.7109375" style="585" customWidth="1"/>
    <col min="14209" max="14213" width="10.7109375" style="585"/>
    <col min="14214" max="14214" width="12.7109375" style="585" customWidth="1"/>
    <col min="14215" max="14216" width="10.7109375" style="585"/>
    <col min="14217" max="14217" width="20.7109375" style="585" customWidth="1"/>
    <col min="14218" max="14224" width="11.7109375" style="585" customWidth="1"/>
    <col min="14225" max="14226" width="9.140625" style="585" customWidth="1"/>
    <col min="14227" max="14227" width="14.140625" style="585" customWidth="1"/>
    <col min="14228" max="14228" width="10.140625" style="585" customWidth="1"/>
    <col min="14229" max="14234" width="9.140625" style="585" customWidth="1"/>
    <col min="14235" max="14235" width="12.7109375" style="585" customWidth="1"/>
    <col min="14236" max="14239" width="9.140625" style="585" customWidth="1"/>
    <col min="14240" max="14240" width="9.7109375" style="585" customWidth="1"/>
    <col min="14241" max="14241" width="10.7109375" style="585"/>
    <col min="14242" max="14244" width="9.140625" style="585" customWidth="1"/>
    <col min="14245" max="14245" width="52.7109375" style="585" customWidth="1"/>
    <col min="14246" max="14258" width="10.7109375" style="585"/>
    <col min="14259" max="14259" width="12.7109375" style="585" customWidth="1"/>
    <col min="14260" max="14271" width="10.7109375" style="585"/>
    <col min="14272" max="14272" width="12.7109375" style="585" customWidth="1"/>
    <col min="14273" max="14273" width="10.7109375" style="585"/>
    <col min="14274" max="14274" width="9.140625" style="585" customWidth="1"/>
    <col min="14275" max="14275" width="20.7109375" style="585" customWidth="1"/>
    <col min="14276" max="14299" width="12.7109375" style="585" customWidth="1"/>
    <col min="14300" max="14300" width="14.42578125" style="585" customWidth="1"/>
    <col min="14301" max="14301" width="20.7109375" style="585" customWidth="1"/>
    <col min="14302" max="14311" width="12.7109375" style="585" customWidth="1"/>
    <col min="14312" max="14317" width="10.7109375" style="585"/>
    <col min="14318" max="14320" width="9.140625" style="585" customWidth="1"/>
    <col min="14321" max="14321" width="20.7109375" style="585" customWidth="1"/>
    <col min="14322" max="14331" width="10.7109375" style="585"/>
    <col min="14332" max="14332" width="23" style="585" customWidth="1"/>
    <col min="14333" max="14342" width="10.7109375" style="585"/>
    <col min="14343" max="14344" width="10.140625" style="585" customWidth="1"/>
    <col min="14345" max="14345" width="17.7109375" style="585" customWidth="1"/>
    <col min="14346" max="14354" width="10.5703125" style="585" customWidth="1"/>
    <col min="14355" max="14355" width="10.140625" style="585" customWidth="1"/>
    <col min="14356" max="14356" width="17.140625" style="585" customWidth="1"/>
    <col min="14357" max="14365" width="10.7109375" style="585"/>
    <col min="14366" max="14366" width="10.140625" style="585" customWidth="1"/>
    <col min="14367" max="14367" width="9.140625" style="585" customWidth="1"/>
    <col min="14368" max="14368" width="24.7109375" style="585" customWidth="1"/>
    <col min="14369" max="14370" width="9.7109375" style="585" customWidth="1"/>
    <col min="14371" max="14375" width="10.7109375" style="585"/>
    <col min="14376" max="14387" width="12.7109375" style="585" customWidth="1"/>
    <col min="14388" max="14388" width="10.7109375" style="585"/>
    <col min="14389" max="14389" width="9.140625" style="585" customWidth="1"/>
    <col min="14390" max="14390" width="18.7109375" style="585" customWidth="1"/>
    <col min="14391" max="14398" width="12.7109375" style="585" customWidth="1"/>
    <col min="14399" max="14399" width="32.7109375" style="585" customWidth="1"/>
    <col min="14400" max="14400" width="11.140625" style="585" customWidth="1"/>
    <col min="14401" max="14401" width="13.85546875" style="585" customWidth="1"/>
    <col min="14402" max="14415" width="9.140625" style="585" customWidth="1"/>
    <col min="14416" max="14416" width="10.28515625" style="585" customWidth="1"/>
    <col min="14417" max="14431" width="9.140625" style="585" customWidth="1"/>
    <col min="14432" max="14432" width="14.7109375" style="585" customWidth="1"/>
    <col min="14433" max="14436" width="9.7109375" style="585" customWidth="1"/>
    <col min="14437" max="14437" width="8.7109375" style="585" customWidth="1"/>
    <col min="14438" max="14438" width="10.7109375" style="585"/>
    <col min="14439" max="14439" width="12.7109375" style="585" customWidth="1"/>
    <col min="14440" max="14442" width="9.7109375" style="585" customWidth="1"/>
    <col min="14443" max="14443" width="9.140625" style="585" customWidth="1"/>
    <col min="14444" max="14444" width="9.140625" style="585" bestFit="1" customWidth="1"/>
    <col min="14445" max="14445" width="14" style="585" customWidth="1"/>
    <col min="14446" max="14460" width="9.140625" style="585" customWidth="1"/>
    <col min="14461" max="14461" width="9" style="585" bestFit="1" customWidth="1"/>
    <col min="14462" max="14462" width="9.140625" style="585" customWidth="1"/>
    <col min="14463" max="14463" width="20.7109375" style="585" customWidth="1"/>
    <col min="14464" max="14464" width="12.7109375" style="585" customWidth="1"/>
    <col min="14465" max="14469" width="10.7109375" style="585"/>
    <col min="14470" max="14470" width="12.7109375" style="585" customWidth="1"/>
    <col min="14471" max="14472" width="10.7109375" style="585"/>
    <col min="14473" max="14473" width="20.7109375" style="585" customWidth="1"/>
    <col min="14474" max="14480" width="11.7109375" style="585" customWidth="1"/>
    <col min="14481" max="14482" width="9.140625" style="585" customWidth="1"/>
    <col min="14483" max="14483" width="14.140625" style="585" customWidth="1"/>
    <col min="14484" max="14484" width="10.140625" style="585" customWidth="1"/>
    <col min="14485" max="14490" width="9.140625" style="585" customWidth="1"/>
    <col min="14491" max="14491" width="12.7109375" style="585" customWidth="1"/>
    <col min="14492" max="14495" width="9.140625" style="585" customWidth="1"/>
    <col min="14496" max="14496" width="9.7109375" style="585" customWidth="1"/>
    <col min="14497" max="14497" width="10.7109375" style="585"/>
    <col min="14498" max="14500" width="9.140625" style="585" customWidth="1"/>
    <col min="14501" max="14501" width="52.7109375" style="585" customWidth="1"/>
    <col min="14502" max="14514" width="10.7109375" style="585"/>
    <col min="14515" max="14515" width="12.7109375" style="585" customWidth="1"/>
    <col min="14516" max="14527" width="10.7109375" style="585"/>
    <col min="14528" max="14528" width="12.7109375" style="585" customWidth="1"/>
    <col min="14529" max="14529" width="10.7109375" style="585"/>
    <col min="14530" max="14530" width="9.140625" style="585" customWidth="1"/>
    <col min="14531" max="14531" width="20.7109375" style="585" customWidth="1"/>
    <col min="14532" max="14555" width="12.7109375" style="585" customWidth="1"/>
    <col min="14556" max="14556" width="14.42578125" style="585" customWidth="1"/>
    <col min="14557" max="14557" width="20.7109375" style="585" customWidth="1"/>
    <col min="14558" max="14567" width="12.7109375" style="585" customWidth="1"/>
    <col min="14568" max="14573" width="10.7109375" style="585"/>
    <col min="14574" max="14576" width="9.140625" style="585" customWidth="1"/>
    <col min="14577" max="14577" width="20.7109375" style="585" customWidth="1"/>
    <col min="14578" max="14587" width="10.7109375" style="585"/>
    <col min="14588" max="14588" width="23" style="585" customWidth="1"/>
    <col min="14589" max="14598" width="10.7109375" style="585"/>
    <col min="14599" max="14600" width="10.140625" style="585" customWidth="1"/>
    <col min="14601" max="14601" width="17.7109375" style="585" customWidth="1"/>
    <col min="14602" max="14610" width="10.5703125" style="585" customWidth="1"/>
    <col min="14611" max="14611" width="10.140625" style="585" customWidth="1"/>
    <col min="14612" max="14612" width="17.140625" style="585" customWidth="1"/>
    <col min="14613" max="14621" width="10.7109375" style="585"/>
    <col min="14622" max="14622" width="10.140625" style="585" customWidth="1"/>
    <col min="14623" max="14623" width="9.140625" style="585" customWidth="1"/>
    <col min="14624" max="14624" width="24.7109375" style="585" customWidth="1"/>
    <col min="14625" max="14626" width="9.7109375" style="585" customWidth="1"/>
    <col min="14627" max="14631" width="10.7109375" style="585"/>
    <col min="14632" max="14643" width="12.7109375" style="585" customWidth="1"/>
    <col min="14644" max="14644" width="10.7109375" style="585"/>
    <col min="14645" max="14645" width="9.140625" style="585" customWidth="1"/>
    <col min="14646" max="14646" width="18.7109375" style="585" customWidth="1"/>
    <col min="14647" max="14654" width="12.7109375" style="585" customWidth="1"/>
    <col min="14655" max="14655" width="32.7109375" style="585" customWidth="1"/>
    <col min="14656" max="14656" width="11.140625" style="585" customWidth="1"/>
    <col min="14657" max="14657" width="13.85546875" style="585" customWidth="1"/>
    <col min="14658" max="14671" width="9.140625" style="585" customWidth="1"/>
    <col min="14672" max="14672" width="10.28515625" style="585" customWidth="1"/>
    <col min="14673" max="14687" width="9.140625" style="585" customWidth="1"/>
    <col min="14688" max="14688" width="14.7109375" style="585" customWidth="1"/>
    <col min="14689" max="14692" width="9.7109375" style="585" customWidth="1"/>
    <col min="14693" max="14693" width="8.7109375" style="585" customWidth="1"/>
    <col min="14694" max="14694" width="10.7109375" style="585"/>
    <col min="14695" max="14695" width="12.7109375" style="585" customWidth="1"/>
    <col min="14696" max="14698" width="9.7109375" style="585" customWidth="1"/>
    <col min="14699" max="14699" width="9.140625" style="585" customWidth="1"/>
    <col min="14700" max="14700" width="9.140625" style="585" bestFit="1" customWidth="1"/>
    <col min="14701" max="14701" width="14" style="585" customWidth="1"/>
    <col min="14702" max="14716" width="9.140625" style="585" customWidth="1"/>
    <col min="14717" max="14717" width="9" style="585" bestFit="1" customWidth="1"/>
    <col min="14718" max="14718" width="9.140625" style="585" customWidth="1"/>
    <col min="14719" max="14719" width="20.7109375" style="585" customWidth="1"/>
    <col min="14720" max="14720" width="12.7109375" style="585" customWidth="1"/>
    <col min="14721" max="14725" width="10.7109375" style="585"/>
    <col min="14726" max="14726" width="12.7109375" style="585" customWidth="1"/>
    <col min="14727" max="14728" width="10.7109375" style="585"/>
    <col min="14729" max="14729" width="20.7109375" style="585" customWidth="1"/>
    <col min="14730" max="14736" width="11.7109375" style="585" customWidth="1"/>
    <col min="14737" max="14738" width="9.140625" style="585" customWidth="1"/>
    <col min="14739" max="14739" width="14.140625" style="585" customWidth="1"/>
    <col min="14740" max="14740" width="10.140625" style="585" customWidth="1"/>
    <col min="14741" max="14746" width="9.140625" style="585" customWidth="1"/>
    <col min="14747" max="14747" width="12.7109375" style="585" customWidth="1"/>
    <col min="14748" max="14751" width="9.140625" style="585" customWidth="1"/>
    <col min="14752" max="14752" width="9.7109375" style="585" customWidth="1"/>
    <col min="14753" max="14753" width="10.7109375" style="585"/>
    <col min="14754" max="14756" width="9.140625" style="585" customWidth="1"/>
    <col min="14757" max="14757" width="52.7109375" style="585" customWidth="1"/>
    <col min="14758" max="14770" width="10.7109375" style="585"/>
    <col min="14771" max="14771" width="12.7109375" style="585" customWidth="1"/>
    <col min="14772" max="14783" width="10.7109375" style="585"/>
    <col min="14784" max="14784" width="12.7109375" style="585" customWidth="1"/>
    <col min="14785" max="14785" width="10.7109375" style="585"/>
    <col min="14786" max="14786" width="9.140625" style="585" customWidth="1"/>
    <col min="14787" max="14787" width="20.7109375" style="585" customWidth="1"/>
    <col min="14788" max="14811" width="12.7109375" style="585" customWidth="1"/>
    <col min="14812" max="14812" width="14.42578125" style="585" customWidth="1"/>
    <col min="14813" max="14813" width="20.7109375" style="585" customWidth="1"/>
    <col min="14814" max="14823" width="12.7109375" style="585" customWidth="1"/>
    <col min="14824" max="14829" width="10.7109375" style="585"/>
    <col min="14830" max="14832" width="9.140625" style="585" customWidth="1"/>
    <col min="14833" max="14833" width="20.7109375" style="585" customWidth="1"/>
    <col min="14834" max="14843" width="10.7109375" style="585"/>
    <col min="14844" max="14844" width="23" style="585" customWidth="1"/>
    <col min="14845" max="14854" width="10.7109375" style="585"/>
    <col min="14855" max="14856" width="10.140625" style="585" customWidth="1"/>
    <col min="14857" max="14857" width="17.7109375" style="585" customWidth="1"/>
    <col min="14858" max="14866" width="10.5703125" style="585" customWidth="1"/>
    <col min="14867" max="14867" width="10.140625" style="585" customWidth="1"/>
    <col min="14868" max="14868" width="17.140625" style="585" customWidth="1"/>
    <col min="14869" max="14877" width="10.7109375" style="585"/>
    <col min="14878" max="14878" width="10.140625" style="585" customWidth="1"/>
    <col min="14879" max="14879" width="9.140625" style="585" customWidth="1"/>
    <col min="14880" max="14880" width="24.7109375" style="585" customWidth="1"/>
    <col min="14881" max="14882" width="9.7109375" style="585" customWidth="1"/>
    <col min="14883" max="14887" width="10.7109375" style="585"/>
    <col min="14888" max="14899" width="12.7109375" style="585" customWidth="1"/>
    <col min="14900" max="14900" width="10.7109375" style="585"/>
    <col min="14901" max="14901" width="9.140625" style="585" customWidth="1"/>
    <col min="14902" max="14902" width="18.7109375" style="585" customWidth="1"/>
    <col min="14903" max="14910" width="12.7109375" style="585" customWidth="1"/>
    <col min="14911" max="14911" width="32.7109375" style="585" customWidth="1"/>
    <col min="14912" max="14912" width="11.140625" style="585" customWidth="1"/>
    <col min="14913" max="14913" width="13.85546875" style="585" customWidth="1"/>
    <col min="14914" max="14927" width="9.140625" style="585" customWidth="1"/>
    <col min="14928" max="14928" width="10.28515625" style="585" customWidth="1"/>
    <col min="14929" max="14943" width="9.140625" style="585" customWidth="1"/>
    <col min="14944" max="14944" width="14.7109375" style="585" customWidth="1"/>
    <col min="14945" max="14948" width="9.7109375" style="585" customWidth="1"/>
    <col min="14949" max="14949" width="8.7109375" style="585" customWidth="1"/>
    <col min="14950" max="14950" width="10.7109375" style="585"/>
    <col min="14951" max="14951" width="12.7109375" style="585" customWidth="1"/>
    <col min="14952" max="14954" width="9.7109375" style="585" customWidth="1"/>
    <col min="14955" max="14955" width="9.140625" style="585" customWidth="1"/>
    <col min="14956" max="14956" width="9.140625" style="585" bestFit="1" customWidth="1"/>
    <col min="14957" max="14957" width="14" style="585" customWidth="1"/>
    <col min="14958" max="14972" width="9.140625" style="585" customWidth="1"/>
    <col min="14973" max="14973" width="9" style="585" bestFit="1" customWidth="1"/>
    <col min="14974" max="14974" width="9.140625" style="585" customWidth="1"/>
    <col min="14975" max="14975" width="20.7109375" style="585" customWidth="1"/>
    <col min="14976" max="14976" width="12.7109375" style="585" customWidth="1"/>
    <col min="14977" max="14981" width="10.7109375" style="585"/>
    <col min="14982" max="14982" width="12.7109375" style="585" customWidth="1"/>
    <col min="14983" max="14984" width="10.7109375" style="585"/>
    <col min="14985" max="14985" width="20.7109375" style="585" customWidth="1"/>
    <col min="14986" max="14992" width="11.7109375" style="585" customWidth="1"/>
    <col min="14993" max="14994" width="9.140625" style="585" customWidth="1"/>
    <col min="14995" max="14995" width="14.140625" style="585" customWidth="1"/>
    <col min="14996" max="14996" width="10.140625" style="585" customWidth="1"/>
    <col min="14997" max="15002" width="9.140625" style="585" customWidth="1"/>
    <col min="15003" max="15003" width="12.7109375" style="585" customWidth="1"/>
    <col min="15004" max="15007" width="9.140625" style="585" customWidth="1"/>
    <col min="15008" max="15008" width="9.7109375" style="585" customWidth="1"/>
    <col min="15009" max="15009" width="10.7109375" style="585"/>
    <col min="15010" max="15012" width="9.140625" style="585" customWidth="1"/>
    <col min="15013" max="15013" width="52.7109375" style="585" customWidth="1"/>
    <col min="15014" max="15026" width="10.7109375" style="585"/>
    <col min="15027" max="15027" width="12.7109375" style="585" customWidth="1"/>
    <col min="15028" max="15039" width="10.7109375" style="585"/>
    <col min="15040" max="15040" width="12.7109375" style="585" customWidth="1"/>
    <col min="15041" max="15041" width="10.7109375" style="585"/>
    <col min="15042" max="15042" width="9.140625" style="585" customWidth="1"/>
    <col min="15043" max="15043" width="20.7109375" style="585" customWidth="1"/>
    <col min="15044" max="15067" width="12.7109375" style="585" customWidth="1"/>
    <col min="15068" max="15068" width="14.42578125" style="585" customWidth="1"/>
    <col min="15069" max="15069" width="20.7109375" style="585" customWidth="1"/>
    <col min="15070" max="15079" width="12.7109375" style="585" customWidth="1"/>
    <col min="15080" max="15085" width="10.7109375" style="585"/>
    <col min="15086" max="15088" width="9.140625" style="585" customWidth="1"/>
    <col min="15089" max="15089" width="20.7109375" style="585" customWidth="1"/>
    <col min="15090" max="15099" width="10.7109375" style="585"/>
    <col min="15100" max="15100" width="23" style="585" customWidth="1"/>
    <col min="15101" max="15110" width="10.7109375" style="585"/>
    <col min="15111" max="15112" width="10.140625" style="585" customWidth="1"/>
    <col min="15113" max="15113" width="17.7109375" style="585" customWidth="1"/>
    <col min="15114" max="15122" width="10.5703125" style="585" customWidth="1"/>
    <col min="15123" max="15123" width="10.140625" style="585" customWidth="1"/>
    <col min="15124" max="15124" width="17.140625" style="585" customWidth="1"/>
    <col min="15125" max="15133" width="10.7109375" style="585"/>
    <col min="15134" max="15134" width="10.140625" style="585" customWidth="1"/>
    <col min="15135" max="15135" width="9.140625" style="585" customWidth="1"/>
    <col min="15136" max="15136" width="24.7109375" style="585" customWidth="1"/>
    <col min="15137" max="15138" width="9.7109375" style="585" customWidth="1"/>
    <col min="15139" max="15143" width="10.7109375" style="585"/>
    <col min="15144" max="15155" width="12.7109375" style="585" customWidth="1"/>
    <col min="15156" max="15156" width="10.7109375" style="585"/>
    <col min="15157" max="15157" width="9.140625" style="585" customWidth="1"/>
    <col min="15158" max="15158" width="18.7109375" style="585" customWidth="1"/>
    <col min="15159" max="15166" width="12.7109375" style="585" customWidth="1"/>
    <col min="15167" max="15167" width="32.7109375" style="585" customWidth="1"/>
    <col min="15168" max="15168" width="11.140625" style="585" customWidth="1"/>
    <col min="15169" max="15169" width="13.85546875" style="585" customWidth="1"/>
    <col min="15170" max="15183" width="9.140625" style="585" customWidth="1"/>
    <col min="15184" max="15184" width="10.28515625" style="585" customWidth="1"/>
    <col min="15185" max="15199" width="9.140625" style="585" customWidth="1"/>
    <col min="15200" max="15200" width="14.7109375" style="585" customWidth="1"/>
    <col min="15201" max="15204" width="9.7109375" style="585" customWidth="1"/>
    <col min="15205" max="15205" width="8.7109375" style="585" customWidth="1"/>
    <col min="15206" max="15206" width="10.7109375" style="585"/>
    <col min="15207" max="15207" width="12.7109375" style="585" customWidth="1"/>
    <col min="15208" max="15210" width="9.7109375" style="585" customWidth="1"/>
    <col min="15211" max="15211" width="9.140625" style="585" customWidth="1"/>
    <col min="15212" max="15212" width="9.140625" style="585" bestFit="1" customWidth="1"/>
    <col min="15213" max="15213" width="14" style="585" customWidth="1"/>
    <col min="15214" max="15228" width="9.140625" style="585" customWidth="1"/>
    <col min="15229" max="15229" width="9" style="585" bestFit="1" customWidth="1"/>
    <col min="15230" max="15230" width="9.140625" style="585" customWidth="1"/>
    <col min="15231" max="15231" width="20.7109375" style="585" customWidth="1"/>
    <col min="15232" max="15232" width="12.7109375" style="585" customWidth="1"/>
    <col min="15233" max="15237" width="10.7109375" style="585"/>
    <col min="15238" max="15238" width="12.7109375" style="585" customWidth="1"/>
    <col min="15239" max="15240" width="10.7109375" style="585"/>
    <col min="15241" max="15241" width="20.7109375" style="585" customWidth="1"/>
    <col min="15242" max="15248" width="11.7109375" style="585" customWidth="1"/>
    <col min="15249" max="15250" width="9.140625" style="585" customWidth="1"/>
    <col min="15251" max="15251" width="14.140625" style="585" customWidth="1"/>
    <col min="15252" max="15252" width="10.140625" style="585" customWidth="1"/>
    <col min="15253" max="15258" width="9.140625" style="585" customWidth="1"/>
    <col min="15259" max="15259" width="12.7109375" style="585" customWidth="1"/>
    <col min="15260" max="15263" width="9.140625" style="585" customWidth="1"/>
    <col min="15264" max="15264" width="9.7109375" style="585" customWidth="1"/>
    <col min="15265" max="15265" width="10.7109375" style="585"/>
    <col min="15266" max="15268" width="9.140625" style="585" customWidth="1"/>
    <col min="15269" max="15269" width="52.7109375" style="585" customWidth="1"/>
    <col min="15270" max="15282" width="10.7109375" style="585"/>
    <col min="15283" max="15283" width="12.7109375" style="585" customWidth="1"/>
    <col min="15284" max="15295" width="10.7109375" style="585"/>
    <col min="15296" max="15296" width="12.7109375" style="585" customWidth="1"/>
    <col min="15297" max="15297" width="10.7109375" style="585"/>
    <col min="15298" max="15298" width="9.140625" style="585" customWidth="1"/>
    <col min="15299" max="15299" width="20.7109375" style="585" customWidth="1"/>
    <col min="15300" max="15323" width="12.7109375" style="585" customWidth="1"/>
    <col min="15324" max="15324" width="14.42578125" style="585" customWidth="1"/>
    <col min="15325" max="15325" width="20.7109375" style="585" customWidth="1"/>
    <col min="15326" max="15335" width="12.7109375" style="585" customWidth="1"/>
    <col min="15336" max="15341" width="10.7109375" style="585"/>
    <col min="15342" max="15344" width="9.140625" style="585" customWidth="1"/>
    <col min="15345" max="15345" width="20.7109375" style="585" customWidth="1"/>
    <col min="15346" max="15355" width="10.7109375" style="585"/>
    <col min="15356" max="15356" width="23" style="585" customWidth="1"/>
    <col min="15357" max="15366" width="10.7109375" style="585"/>
    <col min="15367" max="15368" width="10.140625" style="585" customWidth="1"/>
    <col min="15369" max="15369" width="17.7109375" style="585" customWidth="1"/>
    <col min="15370" max="15378" width="10.5703125" style="585" customWidth="1"/>
    <col min="15379" max="15379" width="10.140625" style="585" customWidth="1"/>
    <col min="15380" max="15380" width="17.140625" style="585" customWidth="1"/>
    <col min="15381" max="15389" width="10.7109375" style="585"/>
    <col min="15390" max="15390" width="10.140625" style="585" customWidth="1"/>
    <col min="15391" max="15391" width="9.140625" style="585" customWidth="1"/>
    <col min="15392" max="15392" width="24.7109375" style="585" customWidth="1"/>
    <col min="15393" max="15394" width="9.7109375" style="585" customWidth="1"/>
    <col min="15395" max="15399" width="10.7109375" style="585"/>
    <col min="15400" max="15411" width="12.7109375" style="585" customWidth="1"/>
    <col min="15412" max="15412" width="10.7109375" style="585"/>
    <col min="15413" max="15413" width="9.140625" style="585" customWidth="1"/>
    <col min="15414" max="15414" width="18.7109375" style="585" customWidth="1"/>
    <col min="15415" max="15422" width="12.7109375" style="585" customWidth="1"/>
    <col min="15423" max="15423" width="32.7109375" style="585" customWidth="1"/>
    <col min="15424" max="15424" width="11.140625" style="585" customWidth="1"/>
    <col min="15425" max="15425" width="13.85546875" style="585" customWidth="1"/>
    <col min="15426" max="15439" width="9.140625" style="585" customWidth="1"/>
    <col min="15440" max="15440" width="10.28515625" style="585" customWidth="1"/>
    <col min="15441" max="15455" width="9.140625" style="585" customWidth="1"/>
    <col min="15456" max="15456" width="14.7109375" style="585" customWidth="1"/>
    <col min="15457" max="15460" width="9.7109375" style="585" customWidth="1"/>
    <col min="15461" max="15461" width="8.7109375" style="585" customWidth="1"/>
    <col min="15462" max="15462" width="10.7109375" style="585"/>
    <col min="15463" max="15463" width="12.7109375" style="585" customWidth="1"/>
    <col min="15464" max="15466" width="9.7109375" style="585" customWidth="1"/>
    <col min="15467" max="15467" width="9.140625" style="585" customWidth="1"/>
    <col min="15468" max="15468" width="9.140625" style="585" bestFit="1" customWidth="1"/>
    <col min="15469" max="15469" width="14" style="585" customWidth="1"/>
    <col min="15470" max="15484" width="9.140625" style="585" customWidth="1"/>
    <col min="15485" max="15485" width="9" style="585" bestFit="1" customWidth="1"/>
    <col min="15486" max="15486" width="9.140625" style="585" customWidth="1"/>
    <col min="15487" max="15487" width="20.7109375" style="585" customWidth="1"/>
    <col min="15488" max="15488" width="12.7109375" style="585" customWidth="1"/>
    <col min="15489" max="15493" width="10.7109375" style="585"/>
    <col min="15494" max="15494" width="12.7109375" style="585" customWidth="1"/>
    <col min="15495" max="15496" width="10.7109375" style="585"/>
    <col min="15497" max="15497" width="20.7109375" style="585" customWidth="1"/>
    <col min="15498" max="15504" width="11.7109375" style="585" customWidth="1"/>
    <col min="15505" max="15506" width="9.140625" style="585" customWidth="1"/>
    <col min="15507" max="15507" width="14.140625" style="585" customWidth="1"/>
    <col min="15508" max="15508" width="10.140625" style="585" customWidth="1"/>
    <col min="15509" max="15514" width="9.140625" style="585" customWidth="1"/>
    <col min="15515" max="15515" width="12.7109375" style="585" customWidth="1"/>
    <col min="15516" max="15519" width="9.140625" style="585" customWidth="1"/>
    <col min="15520" max="15520" width="9.7109375" style="585" customWidth="1"/>
    <col min="15521" max="15521" width="10.7109375" style="585"/>
    <col min="15522" max="15524" width="9.140625" style="585" customWidth="1"/>
    <col min="15525" max="15525" width="52.7109375" style="585" customWidth="1"/>
    <col min="15526" max="15538" width="10.7109375" style="585"/>
    <col min="15539" max="15539" width="12.7109375" style="585" customWidth="1"/>
    <col min="15540" max="15551" width="10.7109375" style="585"/>
    <col min="15552" max="15552" width="12.7109375" style="585" customWidth="1"/>
    <col min="15553" max="15553" width="10.7109375" style="585"/>
    <col min="15554" max="15554" width="9.140625" style="585" customWidth="1"/>
    <col min="15555" max="15555" width="20.7109375" style="585" customWidth="1"/>
    <col min="15556" max="15579" width="12.7109375" style="585" customWidth="1"/>
    <col min="15580" max="15580" width="14.42578125" style="585" customWidth="1"/>
    <col min="15581" max="15581" width="20.7109375" style="585" customWidth="1"/>
    <col min="15582" max="15591" width="12.7109375" style="585" customWidth="1"/>
    <col min="15592" max="15597" width="10.7109375" style="585"/>
    <col min="15598" max="15600" width="9.140625" style="585" customWidth="1"/>
    <col min="15601" max="15601" width="20.7109375" style="585" customWidth="1"/>
    <col min="15602" max="15611" width="10.7109375" style="585"/>
    <col min="15612" max="15612" width="23" style="585" customWidth="1"/>
    <col min="15613" max="15622" width="10.7109375" style="585"/>
    <col min="15623" max="15624" width="10.140625" style="585" customWidth="1"/>
    <col min="15625" max="15625" width="17.7109375" style="585" customWidth="1"/>
    <col min="15626" max="15634" width="10.5703125" style="585" customWidth="1"/>
    <col min="15635" max="15635" width="10.140625" style="585" customWidth="1"/>
    <col min="15636" max="15636" width="17.140625" style="585" customWidth="1"/>
    <col min="15637" max="15645" width="10.7109375" style="585"/>
    <col min="15646" max="15646" width="10.140625" style="585" customWidth="1"/>
    <col min="15647" max="15647" width="9.140625" style="585" customWidth="1"/>
    <col min="15648" max="15648" width="24.7109375" style="585" customWidth="1"/>
    <col min="15649" max="15650" width="9.7109375" style="585" customWidth="1"/>
    <col min="15651" max="15655" width="10.7109375" style="585"/>
    <col min="15656" max="15667" width="12.7109375" style="585" customWidth="1"/>
    <col min="15668" max="15668" width="10.7109375" style="585"/>
    <col min="15669" max="15669" width="9.140625" style="585" customWidth="1"/>
    <col min="15670" max="15670" width="18.7109375" style="585" customWidth="1"/>
    <col min="15671" max="15678" width="12.7109375" style="585" customWidth="1"/>
    <col min="15679" max="15679" width="32.7109375" style="585" customWidth="1"/>
    <col min="15680" max="15680" width="11.140625" style="585" customWidth="1"/>
    <col min="15681" max="15681" width="13.85546875" style="585" customWidth="1"/>
    <col min="15682" max="15695" width="9.140625" style="585" customWidth="1"/>
    <col min="15696" max="15696" width="10.28515625" style="585" customWidth="1"/>
    <col min="15697" max="15711" width="9.140625" style="585" customWidth="1"/>
    <col min="15712" max="15712" width="14.7109375" style="585" customWidth="1"/>
    <col min="15713" max="15716" width="9.7109375" style="585" customWidth="1"/>
    <col min="15717" max="15717" width="8.7109375" style="585" customWidth="1"/>
    <col min="15718" max="15718" width="10.7109375" style="585"/>
    <col min="15719" max="15719" width="12.7109375" style="585" customWidth="1"/>
    <col min="15720" max="15722" width="9.7109375" style="585" customWidth="1"/>
    <col min="15723" max="15723" width="9.140625" style="585" customWidth="1"/>
    <col min="15724" max="15724" width="9.140625" style="585" bestFit="1" customWidth="1"/>
    <col min="15725" max="15725" width="14" style="585" customWidth="1"/>
    <col min="15726" max="15740" width="9.140625" style="585" customWidth="1"/>
    <col min="15741" max="15741" width="9" style="585" bestFit="1" customWidth="1"/>
    <col min="15742" max="15742" width="9.140625" style="585" customWidth="1"/>
    <col min="15743" max="15743" width="20.7109375" style="585" customWidth="1"/>
    <col min="15744" max="15744" width="12.7109375" style="585" customWidth="1"/>
    <col min="15745" max="15749" width="10.7109375" style="585"/>
    <col min="15750" max="15750" width="12.7109375" style="585" customWidth="1"/>
    <col min="15751" max="15752" width="10.7109375" style="585"/>
    <col min="15753" max="15753" width="20.7109375" style="585" customWidth="1"/>
    <col min="15754" max="15760" width="11.7109375" style="585" customWidth="1"/>
    <col min="15761" max="15762" width="9.140625" style="585" customWidth="1"/>
    <col min="15763" max="15763" width="14.140625" style="585" customWidth="1"/>
    <col min="15764" max="15764" width="10.140625" style="585" customWidth="1"/>
    <col min="15765" max="15770" width="9.140625" style="585" customWidth="1"/>
    <col min="15771" max="15771" width="12.7109375" style="585" customWidth="1"/>
    <col min="15772" max="15775" width="9.140625" style="585" customWidth="1"/>
    <col min="15776" max="15776" width="9.7109375" style="585" customWidth="1"/>
    <col min="15777" max="15777" width="10.7109375" style="585"/>
    <col min="15778" max="15780" width="9.140625" style="585" customWidth="1"/>
    <col min="15781" max="15781" width="52.7109375" style="585" customWidth="1"/>
    <col min="15782" max="15794" width="10.7109375" style="585"/>
    <col min="15795" max="15795" width="12.7109375" style="585" customWidth="1"/>
    <col min="15796" max="15807" width="10.7109375" style="585"/>
    <col min="15808" max="15808" width="12.7109375" style="585" customWidth="1"/>
    <col min="15809" max="15809" width="10.7109375" style="585"/>
    <col min="15810" max="15810" width="9.140625" style="585" customWidth="1"/>
    <col min="15811" max="15811" width="20.7109375" style="585" customWidth="1"/>
    <col min="15812" max="15835" width="12.7109375" style="585" customWidth="1"/>
    <col min="15836" max="15836" width="14.42578125" style="585" customWidth="1"/>
    <col min="15837" max="15837" width="20.7109375" style="585" customWidth="1"/>
    <col min="15838" max="15847" width="12.7109375" style="585" customWidth="1"/>
    <col min="15848" max="15853" width="10.7109375" style="585"/>
    <col min="15854" max="15856" width="9.140625" style="585" customWidth="1"/>
    <col min="15857" max="15857" width="20.7109375" style="585" customWidth="1"/>
    <col min="15858" max="15867" width="10.7109375" style="585"/>
    <col min="15868" max="15868" width="23" style="585" customWidth="1"/>
    <col min="15869" max="15878" width="10.7109375" style="585"/>
    <col min="15879" max="15880" width="10.140625" style="585" customWidth="1"/>
    <col min="15881" max="15881" width="17.7109375" style="585" customWidth="1"/>
    <col min="15882" max="15890" width="10.5703125" style="585" customWidth="1"/>
    <col min="15891" max="15891" width="10.140625" style="585" customWidth="1"/>
    <col min="15892" max="15892" width="17.140625" style="585" customWidth="1"/>
    <col min="15893" max="15901" width="10.7109375" style="585"/>
    <col min="15902" max="15902" width="10.140625" style="585" customWidth="1"/>
    <col min="15903" max="15903" width="9.140625" style="585" customWidth="1"/>
    <col min="15904" max="15904" width="24.7109375" style="585" customWidth="1"/>
    <col min="15905" max="15906" width="9.7109375" style="585" customWidth="1"/>
    <col min="15907" max="15911" width="10.7109375" style="585"/>
    <col min="15912" max="15923" width="12.7109375" style="585" customWidth="1"/>
    <col min="15924" max="15924" width="10.7109375" style="585"/>
    <col min="15925" max="15925" width="9.140625" style="585" customWidth="1"/>
    <col min="15926" max="15926" width="18.7109375" style="585" customWidth="1"/>
    <col min="15927" max="15934" width="12.7109375" style="585" customWidth="1"/>
    <col min="15935" max="15935" width="32.7109375" style="585" customWidth="1"/>
    <col min="15936" max="15936" width="11.140625" style="585" customWidth="1"/>
    <col min="15937" max="15937" width="13.85546875" style="585" customWidth="1"/>
    <col min="15938" max="15951" width="9.140625" style="585" customWidth="1"/>
    <col min="15952" max="15952" width="10.28515625" style="585" customWidth="1"/>
    <col min="15953" max="15967" width="9.140625" style="585" customWidth="1"/>
    <col min="15968" max="15968" width="14.7109375" style="585" customWidth="1"/>
    <col min="15969" max="15972" width="9.7109375" style="585" customWidth="1"/>
    <col min="15973" max="15973" width="8.7109375" style="585" customWidth="1"/>
    <col min="15974" max="15974" width="10.7109375" style="585"/>
    <col min="15975" max="15975" width="12.7109375" style="585" customWidth="1"/>
    <col min="15976" max="15978" width="9.7109375" style="585" customWidth="1"/>
    <col min="15979" max="15979" width="9.140625" style="585" customWidth="1"/>
    <col min="15980" max="15980" width="9.140625" style="585" bestFit="1" customWidth="1"/>
    <col min="15981" max="15981" width="14" style="585" customWidth="1"/>
    <col min="15982" max="15996" width="9.140625" style="585" customWidth="1"/>
    <col min="15997" max="15997" width="9" style="585" bestFit="1" customWidth="1"/>
    <col min="15998" max="15998" width="9.140625" style="585" customWidth="1"/>
    <col min="15999" max="15999" width="20.7109375" style="585" customWidth="1"/>
    <col min="16000" max="16000" width="12.7109375" style="585" customWidth="1"/>
    <col min="16001" max="16005" width="10.7109375" style="585"/>
    <col min="16006" max="16006" width="12.7109375" style="585" customWidth="1"/>
    <col min="16007" max="16008" width="10.7109375" style="585"/>
    <col min="16009" max="16009" width="20.7109375" style="585" customWidth="1"/>
    <col min="16010" max="16016" width="11.7109375" style="585" customWidth="1"/>
    <col min="16017" max="16018" width="9.140625" style="585" customWidth="1"/>
    <col min="16019" max="16019" width="14.140625" style="585" customWidth="1"/>
    <col min="16020" max="16020" width="10.140625" style="585" customWidth="1"/>
    <col min="16021" max="16026" width="9.140625" style="585" customWidth="1"/>
    <col min="16027" max="16027" width="12.7109375" style="585" customWidth="1"/>
    <col min="16028" max="16031" width="9.140625" style="585" customWidth="1"/>
    <col min="16032" max="16032" width="9.7109375" style="585" customWidth="1"/>
    <col min="16033" max="16033" width="10.7109375" style="585"/>
    <col min="16034" max="16036" width="9.140625" style="585" customWidth="1"/>
    <col min="16037" max="16037" width="52.7109375" style="585" customWidth="1"/>
    <col min="16038" max="16050" width="10.7109375" style="585"/>
    <col min="16051" max="16051" width="12.7109375" style="585" customWidth="1"/>
    <col min="16052" max="16063" width="10.7109375" style="585"/>
    <col min="16064" max="16064" width="12.7109375" style="585" customWidth="1"/>
    <col min="16065" max="16065" width="10.7109375" style="585"/>
    <col min="16066" max="16066" width="9.140625" style="585" customWidth="1"/>
    <col min="16067" max="16067" width="20.7109375" style="585" customWidth="1"/>
    <col min="16068" max="16091" width="12.7109375" style="585" customWidth="1"/>
    <col min="16092" max="16092" width="14.42578125" style="585" customWidth="1"/>
    <col min="16093" max="16093" width="20.7109375" style="585" customWidth="1"/>
    <col min="16094" max="16103" width="12.7109375" style="585" customWidth="1"/>
    <col min="16104" max="16109" width="10.7109375" style="585"/>
    <col min="16110" max="16112" width="9.140625" style="585" customWidth="1"/>
    <col min="16113" max="16113" width="20.7109375" style="585" customWidth="1"/>
    <col min="16114" max="16123" width="10.7109375" style="585"/>
    <col min="16124" max="16124" width="23" style="585" customWidth="1"/>
    <col min="16125" max="16134" width="10.7109375" style="585"/>
    <col min="16135" max="16136" width="10.140625" style="585" customWidth="1"/>
    <col min="16137" max="16137" width="17.7109375" style="585" customWidth="1"/>
    <col min="16138" max="16146" width="10.5703125" style="585" customWidth="1"/>
    <col min="16147" max="16147" width="10.140625" style="585" customWidth="1"/>
    <col min="16148" max="16148" width="17.140625" style="585" customWidth="1"/>
    <col min="16149" max="16157" width="10.7109375" style="585"/>
    <col min="16158" max="16158" width="10.140625" style="585" customWidth="1"/>
    <col min="16159" max="16159" width="9.140625" style="585" customWidth="1"/>
    <col min="16160" max="16160" width="24.7109375" style="585" customWidth="1"/>
    <col min="16161" max="16162" width="9.7109375" style="585" customWidth="1"/>
    <col min="16163" max="16167" width="10.7109375" style="585"/>
    <col min="16168" max="16179" width="12.7109375" style="585" customWidth="1"/>
    <col min="16180" max="16180" width="10.7109375" style="585"/>
    <col min="16181" max="16181" width="9.140625" style="585" customWidth="1"/>
    <col min="16182" max="16182" width="18.7109375" style="585" customWidth="1"/>
    <col min="16183" max="16190" width="12.7109375" style="585" customWidth="1"/>
    <col min="16191" max="16191" width="32.7109375" style="585" customWidth="1"/>
    <col min="16192" max="16192" width="11.140625" style="585" customWidth="1"/>
    <col min="16193" max="16193" width="13.85546875" style="585" customWidth="1"/>
    <col min="16194" max="16207" width="9.140625" style="585" customWidth="1"/>
    <col min="16208" max="16208" width="10.28515625" style="585" customWidth="1"/>
    <col min="16209" max="16223" width="9.140625" style="585" customWidth="1"/>
    <col min="16224" max="16224" width="14.7109375" style="585" customWidth="1"/>
    <col min="16225" max="16228" width="9.7109375" style="585" customWidth="1"/>
    <col min="16229" max="16229" width="8.7109375" style="585" customWidth="1"/>
    <col min="16230" max="16230" width="10.7109375" style="585"/>
    <col min="16231" max="16231" width="12.7109375" style="585" customWidth="1"/>
    <col min="16232" max="16234" width="9.7109375" style="585" customWidth="1"/>
    <col min="16235" max="16235" width="9.140625" style="585" customWidth="1"/>
    <col min="16236" max="16236" width="9.140625" style="585" bestFit="1" customWidth="1"/>
    <col min="16237" max="16237" width="14" style="585" customWidth="1"/>
    <col min="16238" max="16252" width="9.140625" style="585" customWidth="1"/>
    <col min="16253" max="16253" width="9" style="585" bestFit="1" customWidth="1"/>
    <col min="16254" max="16254" width="9.140625" style="585" customWidth="1"/>
    <col min="16255" max="16255" width="20.7109375" style="585" customWidth="1"/>
    <col min="16256" max="16256" width="12.7109375" style="585" customWidth="1"/>
    <col min="16257" max="16261" width="10.7109375" style="585"/>
    <col min="16262" max="16262" width="12.7109375" style="585" customWidth="1"/>
    <col min="16263" max="16264" width="10.7109375" style="585"/>
    <col min="16265" max="16265" width="20.7109375" style="585" customWidth="1"/>
    <col min="16266" max="16272" width="11.7109375" style="585" customWidth="1"/>
    <col min="16273" max="16274" width="9.140625" style="585" customWidth="1"/>
    <col min="16275" max="16275" width="14.140625" style="585" customWidth="1"/>
    <col min="16276" max="16276" width="10.140625" style="585" customWidth="1"/>
    <col min="16277" max="16282" width="9.140625" style="585" customWidth="1"/>
    <col min="16283" max="16283" width="12.7109375" style="585" customWidth="1"/>
    <col min="16284" max="16287" width="9.140625" style="585" customWidth="1"/>
    <col min="16288" max="16288" width="9.7109375" style="585" customWidth="1"/>
    <col min="16289" max="16289" width="10.7109375" style="585"/>
    <col min="16290" max="16292" width="9.140625" style="585" customWidth="1"/>
    <col min="16293" max="16293" width="52.7109375" style="585" customWidth="1"/>
    <col min="16294" max="16306" width="10.7109375" style="585"/>
    <col min="16307" max="16307" width="12.7109375" style="585" customWidth="1"/>
    <col min="16308" max="16319" width="10.7109375" style="585"/>
    <col min="16320" max="16320" width="12.7109375" style="585" customWidth="1"/>
    <col min="16321" max="16321" width="10.7109375" style="585"/>
    <col min="16322" max="16322" width="9.140625" style="585" customWidth="1"/>
    <col min="16323" max="16323" width="20.7109375" style="585" customWidth="1"/>
    <col min="16324" max="16347" width="12.7109375" style="585" customWidth="1"/>
    <col min="16348" max="16348" width="14.42578125" style="585" customWidth="1"/>
    <col min="16349" max="16349" width="20.7109375" style="585" customWidth="1"/>
    <col min="16350" max="16359" width="12.7109375" style="585" customWidth="1"/>
    <col min="16360" max="16365" width="10.7109375" style="585"/>
    <col min="16366" max="16368" width="9.140625" style="585" customWidth="1"/>
    <col min="16369" max="16369" width="20.7109375" style="585" customWidth="1"/>
    <col min="16370" max="16384" width="10.7109375" style="585"/>
  </cols>
  <sheetData>
    <row r="1" spans="1:249" ht="14.1" customHeight="1">
      <c r="A1" s="571" t="s">
        <v>8268</v>
      </c>
      <c r="B1" s="571"/>
      <c r="C1" s="571"/>
      <c r="D1" s="571"/>
      <c r="E1" s="571"/>
      <c r="F1" s="571"/>
      <c r="G1" s="571"/>
      <c r="H1" s="571"/>
      <c r="I1" s="571"/>
      <c r="J1" s="571"/>
      <c r="K1" s="571"/>
      <c r="L1" s="571"/>
      <c r="M1" s="549" t="s">
        <v>8269</v>
      </c>
      <c r="N1" s="549"/>
      <c r="O1" s="549"/>
      <c r="P1" s="549"/>
      <c r="Q1" s="1603"/>
      <c r="R1" s="549"/>
      <c r="S1" s="1603"/>
      <c r="T1" s="549"/>
      <c r="U1" s="549"/>
      <c r="V1" s="571"/>
      <c r="W1" s="382" t="s">
        <v>8270</v>
      </c>
      <c r="X1" s="382"/>
      <c r="Y1" s="381"/>
      <c r="Z1" s="382"/>
      <c r="AA1" s="382"/>
      <c r="AB1" s="381"/>
      <c r="AC1" s="381"/>
      <c r="AD1" s="381"/>
      <c r="AE1" s="381"/>
      <c r="AF1" s="381"/>
      <c r="AG1" s="571"/>
      <c r="AI1" s="825" t="s">
        <v>8271</v>
      </c>
      <c r="AJ1" s="825"/>
      <c r="AK1" s="825"/>
      <c r="AL1" s="825"/>
      <c r="AM1" s="825"/>
      <c r="AN1" s="825"/>
      <c r="AO1" s="825"/>
      <c r="AP1" s="825"/>
      <c r="AQ1" s="398" t="s">
        <v>8272</v>
      </c>
      <c r="AR1" s="398"/>
      <c r="AS1" s="398"/>
      <c r="AT1" s="398"/>
      <c r="AU1" s="398"/>
      <c r="AV1" s="398"/>
      <c r="AW1" s="398"/>
      <c r="AX1" s="398"/>
      <c r="AY1" s="398"/>
      <c r="AZ1" s="398"/>
      <c r="BA1" s="398"/>
      <c r="BB1" s="398"/>
      <c r="BD1" s="1709" t="s">
        <v>8273</v>
      </c>
      <c r="BE1" s="1709"/>
      <c r="BF1" s="1709"/>
      <c r="BG1" s="1709"/>
      <c r="BH1" s="1709"/>
      <c r="BI1" s="1709"/>
      <c r="BJ1" s="1710"/>
      <c r="BK1" s="1710"/>
      <c r="BL1" s="398" t="s">
        <v>8274</v>
      </c>
      <c r="BM1" s="398"/>
      <c r="BN1" s="385"/>
      <c r="BO1" s="385"/>
      <c r="BP1" s="385"/>
      <c r="BQ1" s="385"/>
      <c r="BR1" s="385"/>
      <c r="BS1" s="385"/>
      <c r="BT1" s="385"/>
      <c r="BU1" s="385"/>
      <c r="BV1" s="385"/>
      <c r="BW1" s="385"/>
      <c r="BX1" s="385"/>
      <c r="BY1" s="385"/>
      <c r="BZ1" s="385"/>
      <c r="CA1" s="385"/>
      <c r="CB1" s="385"/>
      <c r="CC1" s="391" t="s">
        <v>8275</v>
      </c>
      <c r="CD1" s="382"/>
      <c r="CE1" s="382"/>
      <c r="CF1" s="382"/>
      <c r="CG1" s="382"/>
      <c r="CH1" s="382"/>
      <c r="CI1" s="382"/>
      <c r="CJ1" s="382"/>
      <c r="CK1" s="382"/>
      <c r="CL1" s="382"/>
      <c r="CM1" s="382"/>
      <c r="CN1" s="382"/>
      <c r="CO1" s="382"/>
      <c r="CP1" s="382"/>
      <c r="CQ1" s="385"/>
      <c r="CR1" s="549"/>
      <c r="CS1" s="381" t="s">
        <v>8276</v>
      </c>
      <c r="CT1" s="381"/>
      <c r="CU1" s="381"/>
      <c r="CV1" s="381"/>
      <c r="CW1" s="381"/>
      <c r="CX1" s="381"/>
      <c r="CY1" s="381"/>
      <c r="CZ1" s="381"/>
      <c r="DA1" s="381"/>
      <c r="DB1" s="381"/>
      <c r="DC1" s="381"/>
      <c r="DF1" s="381" t="s">
        <v>8277</v>
      </c>
      <c r="DG1" s="381"/>
      <c r="DH1" s="381"/>
      <c r="DI1" s="381"/>
      <c r="DJ1" s="381"/>
      <c r="DK1" s="381"/>
      <c r="DL1" s="381"/>
      <c r="DM1" s="381"/>
      <c r="DN1" s="381"/>
      <c r="DO1" s="586"/>
      <c r="DP1" s="586"/>
      <c r="DQ1" s="586"/>
      <c r="DR1" s="586"/>
      <c r="DS1" s="586"/>
      <c r="DT1" s="586"/>
      <c r="DU1" s="586"/>
      <c r="DV1" s="382"/>
      <c r="DX1" s="382" t="s">
        <v>8278</v>
      </c>
      <c r="DY1" s="387"/>
      <c r="DZ1" s="398"/>
      <c r="EA1" s="398"/>
      <c r="EB1" s="398"/>
      <c r="EC1" s="398"/>
      <c r="ED1" s="398"/>
      <c r="EE1" s="398"/>
      <c r="EH1" s="382" t="s">
        <v>8279</v>
      </c>
      <c r="EI1" s="884"/>
      <c r="EJ1" s="884"/>
      <c r="EK1" s="884"/>
      <c r="EL1" s="884"/>
      <c r="EM1" s="884"/>
      <c r="EN1" s="884"/>
      <c r="EO1" s="884"/>
      <c r="ER1" s="382" t="s">
        <v>8280</v>
      </c>
      <c r="ES1" s="382"/>
      <c r="ET1" s="382"/>
      <c r="EU1" s="382"/>
      <c r="EV1" s="382"/>
      <c r="EW1" s="382"/>
      <c r="EX1" s="382"/>
      <c r="EY1" s="382"/>
      <c r="EZ1" s="381"/>
      <c r="FA1" s="382"/>
      <c r="FB1" s="870"/>
      <c r="FC1" s="870"/>
      <c r="FD1" s="870"/>
      <c r="FE1" s="870"/>
      <c r="FF1" s="586"/>
      <c r="FJ1" s="423" t="s">
        <v>8281</v>
      </c>
      <c r="FK1" s="423"/>
      <c r="FL1" s="423"/>
      <c r="FM1" s="423"/>
      <c r="FN1" s="423"/>
      <c r="FO1" s="423"/>
      <c r="FP1" s="423"/>
      <c r="FQ1" s="423"/>
      <c r="FR1" s="423"/>
      <c r="FS1" s="423"/>
      <c r="FT1" s="423"/>
      <c r="FU1" s="391"/>
      <c r="FV1" s="382"/>
      <c r="FW1" s="2349" t="s">
        <v>8282</v>
      </c>
      <c r="FX1" s="2349"/>
      <c r="FY1" s="2349"/>
      <c r="FZ1" s="2349"/>
      <c r="GA1" s="2349"/>
      <c r="GB1" s="2349"/>
      <c r="GC1" s="2349"/>
      <c r="GD1" s="2349"/>
      <c r="GE1" s="2349"/>
      <c r="GF1" s="2349"/>
      <c r="GG1" s="2349"/>
      <c r="GH1" s="2349"/>
      <c r="GI1" s="2349"/>
      <c r="GJ1" s="2349"/>
      <c r="GK1" s="386"/>
      <c r="GM1" s="387" t="s">
        <v>8283</v>
      </c>
      <c r="GN1" s="387"/>
      <c r="GO1" s="387"/>
      <c r="GP1" s="387"/>
      <c r="GQ1" s="387"/>
      <c r="GR1" s="387"/>
      <c r="GS1" s="387"/>
      <c r="GT1" s="387"/>
      <c r="GU1" s="387"/>
      <c r="GV1" s="398"/>
      <c r="GW1" s="398"/>
      <c r="GX1" s="398"/>
      <c r="GY1" s="398"/>
      <c r="GZ1" s="398"/>
      <c r="HA1" s="398"/>
      <c r="HB1" s="398"/>
      <c r="HC1" s="398"/>
      <c r="HD1" s="398"/>
      <c r="HE1" s="398"/>
      <c r="HF1" s="398"/>
      <c r="HG1" s="398"/>
      <c r="HH1" s="398"/>
      <c r="HI1" s="398"/>
      <c r="HJ1" s="398"/>
      <c r="HK1" s="398"/>
      <c r="HL1" s="382"/>
      <c r="HM1" s="398"/>
      <c r="HN1" s="398"/>
      <c r="HO1" s="398"/>
      <c r="HP1" s="398"/>
      <c r="HQ1" s="398"/>
      <c r="HR1" s="398"/>
      <c r="HS1" s="398"/>
      <c r="HT1" s="398"/>
      <c r="HU1" s="398"/>
      <c r="HV1" s="398"/>
      <c r="HW1" s="398"/>
      <c r="HX1" s="398"/>
      <c r="HY1" s="398"/>
      <c r="HZ1" s="398"/>
      <c r="IA1" s="398"/>
      <c r="IB1" s="398"/>
      <c r="IC1" s="398"/>
      <c r="ID1" s="549"/>
      <c r="IE1" s="549"/>
      <c r="IF1" s="549"/>
      <c r="IG1" s="398"/>
      <c r="IH1" s="398"/>
      <c r="II1" s="398"/>
      <c r="IJ1" s="398"/>
      <c r="IK1" s="398"/>
      <c r="IL1" s="398"/>
      <c r="IM1" s="398"/>
      <c r="IN1" s="549"/>
      <c r="IO1" s="549"/>
    </row>
    <row r="2" spans="1:249" ht="14.1" customHeight="1">
      <c r="A2" s="1711" t="s">
        <v>501</v>
      </c>
      <c r="B2" s="1613">
        <v>2024</v>
      </c>
      <c r="C2" s="1611">
        <v>2023</v>
      </c>
      <c r="D2" s="1613">
        <v>2022</v>
      </c>
      <c r="E2" s="1613">
        <v>2021</v>
      </c>
      <c r="F2" s="1613">
        <v>2020</v>
      </c>
      <c r="G2" s="1613">
        <v>2019</v>
      </c>
      <c r="H2" s="1613">
        <v>2018</v>
      </c>
      <c r="I2" s="1613">
        <v>2017</v>
      </c>
      <c r="J2" s="1609">
        <v>2016</v>
      </c>
      <c r="K2" s="549"/>
      <c r="L2" s="861"/>
      <c r="M2" s="1506"/>
      <c r="N2" s="2101" t="s">
        <v>8284</v>
      </c>
      <c r="O2" s="2102"/>
      <c r="P2" s="2102"/>
      <c r="Q2" s="2103"/>
      <c r="R2" s="592"/>
      <c r="S2" s="588" t="s">
        <v>8285</v>
      </c>
      <c r="T2" s="588"/>
      <c r="V2" s="861"/>
      <c r="W2" s="1712" t="s">
        <v>8286</v>
      </c>
      <c r="X2" s="1713"/>
      <c r="Y2" s="1714"/>
      <c r="Z2" s="688" t="s">
        <v>2804</v>
      </c>
      <c r="AA2" s="1715" t="s">
        <v>8287</v>
      </c>
      <c r="AB2" s="382"/>
      <c r="AC2" s="1716"/>
      <c r="AD2" s="1716"/>
      <c r="AE2" s="1715" t="s">
        <v>8288</v>
      </c>
      <c r="AG2" s="861"/>
      <c r="AI2" s="1717" t="s">
        <v>1648</v>
      </c>
      <c r="AJ2" s="1613">
        <v>2024</v>
      </c>
      <c r="AK2" s="1613">
        <v>2023</v>
      </c>
      <c r="AL2" s="1613">
        <v>2022</v>
      </c>
      <c r="AM2" s="1613">
        <v>2021</v>
      </c>
      <c r="AN2" s="1610">
        <v>2020</v>
      </c>
      <c r="AO2" s="861"/>
      <c r="AP2" s="861"/>
      <c r="AQ2" s="937" t="s">
        <v>6403</v>
      </c>
      <c r="AR2" s="728">
        <v>2020</v>
      </c>
      <c r="AS2" s="728">
        <v>2019</v>
      </c>
      <c r="AT2" s="728">
        <v>2018</v>
      </c>
      <c r="AU2" s="728">
        <v>2017</v>
      </c>
      <c r="AV2" s="939">
        <v>2016</v>
      </c>
      <c r="AW2" s="939">
        <v>2015</v>
      </c>
      <c r="AX2" s="728">
        <v>2014</v>
      </c>
      <c r="AY2" s="1094">
        <v>2013</v>
      </c>
      <c r="AZ2" s="1094">
        <v>2012</v>
      </c>
      <c r="BA2" s="658">
        <v>2011</v>
      </c>
      <c r="BB2" s="385"/>
      <c r="BD2" s="398" t="s">
        <v>8289</v>
      </c>
      <c r="BE2" s="398"/>
      <c r="BF2" s="387"/>
      <c r="BG2" s="398"/>
      <c r="BH2" s="398"/>
      <c r="BI2" s="398"/>
      <c r="BJ2" s="571"/>
      <c r="BK2" s="571"/>
      <c r="BL2" s="387" t="s">
        <v>8290</v>
      </c>
      <c r="BM2" s="387"/>
      <c r="BN2" s="824"/>
      <c r="BO2" s="824"/>
      <c r="BP2" s="824"/>
      <c r="BQ2" s="824"/>
      <c r="BR2" s="824"/>
      <c r="BS2" s="824"/>
      <c r="BT2" s="824"/>
      <c r="BU2" s="824"/>
      <c r="BV2" s="824"/>
      <c r="BW2" s="824"/>
      <c r="BX2" s="824"/>
      <c r="BY2" s="824"/>
      <c r="BZ2" s="385"/>
      <c r="CA2" s="385"/>
      <c r="CB2" s="385"/>
      <c r="CC2" s="937" t="s">
        <v>8291</v>
      </c>
      <c r="CD2" s="728" t="s">
        <v>129</v>
      </c>
      <c r="CE2" s="728" t="s">
        <v>8292</v>
      </c>
      <c r="CF2" s="728" t="s">
        <v>8293</v>
      </c>
      <c r="CG2" s="728" t="s">
        <v>6815</v>
      </c>
      <c r="CH2" s="728" t="s">
        <v>8294</v>
      </c>
      <c r="CI2" s="728" t="s">
        <v>1948</v>
      </c>
      <c r="CJ2" s="728" t="s">
        <v>6816</v>
      </c>
      <c r="CK2" s="728" t="s">
        <v>1950</v>
      </c>
      <c r="CL2" s="728" t="s">
        <v>8295</v>
      </c>
      <c r="CM2" s="728" t="s">
        <v>6817</v>
      </c>
      <c r="CN2" s="728" t="s">
        <v>8296</v>
      </c>
      <c r="CO2" s="728" t="s">
        <v>8297</v>
      </c>
      <c r="CP2" s="729" t="s">
        <v>6818</v>
      </c>
      <c r="CQ2" s="385"/>
      <c r="CR2" s="901"/>
      <c r="CS2" s="493"/>
      <c r="CT2" s="667"/>
      <c r="CU2" s="667"/>
      <c r="CV2" s="667"/>
      <c r="CW2" s="2078" t="s">
        <v>8298</v>
      </c>
      <c r="CX2" s="2102"/>
      <c r="CY2" s="2103"/>
      <c r="CZ2" s="667" t="s">
        <v>8299</v>
      </c>
      <c r="DA2" s="667"/>
      <c r="DB2" s="465"/>
      <c r="DC2" s="465"/>
      <c r="DF2" s="585" t="s">
        <v>8300</v>
      </c>
      <c r="DG2" s="605"/>
      <c r="DH2" s="603">
        <v>1</v>
      </c>
      <c r="DI2" s="605">
        <v>2</v>
      </c>
      <c r="DJ2" s="603">
        <v>3</v>
      </c>
      <c r="DK2" s="603">
        <v>4</v>
      </c>
      <c r="DL2" s="603">
        <v>5</v>
      </c>
      <c r="DM2" s="603">
        <v>6</v>
      </c>
      <c r="DN2" s="603" t="s">
        <v>8301</v>
      </c>
      <c r="DO2" s="603" t="s">
        <v>8302</v>
      </c>
      <c r="DP2" s="603" t="s">
        <v>8303</v>
      </c>
      <c r="DQ2" s="603" t="s">
        <v>8304</v>
      </c>
      <c r="DR2" s="603" t="s">
        <v>8305</v>
      </c>
      <c r="DS2" s="603" t="s">
        <v>8306</v>
      </c>
      <c r="DT2" s="603" t="s">
        <v>8307</v>
      </c>
      <c r="DU2" s="605" t="s">
        <v>8308</v>
      </c>
      <c r="DV2" s="439"/>
      <c r="DX2" s="597" t="s">
        <v>8300</v>
      </c>
      <c r="DY2" s="401"/>
      <c r="DZ2" s="2149" t="s">
        <v>8309</v>
      </c>
      <c r="EA2" s="2076"/>
      <c r="EB2" s="2076"/>
      <c r="EC2" s="2076"/>
      <c r="ED2" s="2076"/>
      <c r="EE2" s="2076"/>
      <c r="EH2" s="597"/>
      <c r="EI2" s="404"/>
      <c r="EJ2" s="2078" t="s">
        <v>8310</v>
      </c>
      <c r="EK2" s="2079"/>
      <c r="EL2" s="2079"/>
      <c r="EM2" s="2079"/>
      <c r="EN2" s="2079"/>
      <c r="EO2" s="2079"/>
      <c r="ER2" s="1718"/>
      <c r="ES2" s="1719"/>
      <c r="ET2" s="2078" t="s">
        <v>8311</v>
      </c>
      <c r="EU2" s="2079"/>
      <c r="EV2" s="2079"/>
      <c r="EW2" s="2079"/>
      <c r="EX2" s="2079"/>
      <c r="EY2" s="2079"/>
      <c r="EZ2" s="2079"/>
      <c r="FA2" s="2079"/>
      <c r="FB2" s="2079"/>
      <c r="FC2" s="2079"/>
      <c r="FD2" s="2079"/>
      <c r="FE2" s="2079"/>
      <c r="FF2" s="2079"/>
      <c r="FG2" s="2079"/>
      <c r="FJ2" s="1655"/>
      <c r="FK2" s="2078" t="s">
        <v>8312</v>
      </c>
      <c r="FL2" s="2080"/>
      <c r="FM2" s="2078" t="s">
        <v>3151</v>
      </c>
      <c r="FN2" s="2080"/>
      <c r="FO2" s="2078" t="s">
        <v>3165</v>
      </c>
      <c r="FP2" s="2080"/>
      <c r="FQ2" s="2078" t="s">
        <v>3181</v>
      </c>
      <c r="FR2" s="2080"/>
      <c r="FS2" s="2078" t="s">
        <v>3200</v>
      </c>
      <c r="FT2" s="2079"/>
      <c r="FU2" s="382"/>
      <c r="FV2" s="382"/>
      <c r="FW2" s="399"/>
      <c r="FX2" s="642" t="s">
        <v>1944</v>
      </c>
      <c r="FY2" s="642" t="s">
        <v>1945</v>
      </c>
      <c r="FZ2" s="642" t="s">
        <v>1946</v>
      </c>
      <c r="GA2" s="642" t="s">
        <v>1947</v>
      </c>
      <c r="GB2" s="642" t="s">
        <v>1948</v>
      </c>
      <c r="GC2" s="642" t="s">
        <v>8313</v>
      </c>
      <c r="GD2" s="642" t="s">
        <v>1950</v>
      </c>
      <c r="GE2" s="642" t="s">
        <v>1951</v>
      </c>
      <c r="GF2" s="642" t="s">
        <v>1952</v>
      </c>
      <c r="GG2" s="642" t="s">
        <v>1953</v>
      </c>
      <c r="GH2" s="642" t="s">
        <v>1954</v>
      </c>
      <c r="GI2" s="894" t="s">
        <v>1955</v>
      </c>
      <c r="GJ2" s="664" t="s">
        <v>8314</v>
      </c>
      <c r="GK2" s="439"/>
      <c r="GM2" s="382"/>
      <c r="GN2" s="2078">
        <v>2023</v>
      </c>
      <c r="GO2" s="2080"/>
      <c r="GP2" s="2078">
        <v>2022</v>
      </c>
      <c r="GQ2" s="2080"/>
      <c r="GR2" s="2078">
        <v>2021</v>
      </c>
      <c r="GS2" s="2080"/>
      <c r="GT2" s="390">
        <v>2020</v>
      </c>
      <c r="GU2" s="388"/>
      <c r="GV2" s="382"/>
      <c r="GW2" s="382"/>
      <c r="GX2" s="382"/>
      <c r="GY2" s="382"/>
      <c r="GZ2" s="382"/>
      <c r="HA2" s="382"/>
      <c r="HB2" s="382"/>
      <c r="HC2" s="382"/>
      <c r="HD2" s="382"/>
      <c r="HE2" s="382"/>
      <c r="HF2" s="382"/>
      <c r="HG2" s="382"/>
      <c r="HH2" s="398"/>
      <c r="HI2" s="398"/>
      <c r="HJ2" s="398"/>
      <c r="HK2" s="398"/>
      <c r="HL2" s="382"/>
      <c r="HM2" s="382"/>
      <c r="HN2" s="2073"/>
      <c r="HO2" s="2073"/>
      <c r="HP2" s="2073"/>
      <c r="HQ2" s="2073"/>
      <c r="HR2" s="2073"/>
      <c r="HS2" s="2073"/>
      <c r="HT2" s="2073"/>
      <c r="HU2" s="2073"/>
      <c r="HV2" s="2073"/>
      <c r="HW2" s="2073"/>
      <c r="HX2" s="2094"/>
      <c r="HY2" s="2094"/>
      <c r="HZ2" s="2094"/>
      <c r="IA2" s="2094"/>
      <c r="IB2" s="382"/>
      <c r="IC2" s="382"/>
      <c r="ID2" s="549"/>
      <c r="IE2" s="549"/>
      <c r="IF2" s="549"/>
      <c r="IG2" s="398"/>
      <c r="IH2" s="2073"/>
      <c r="II2" s="2073"/>
      <c r="IJ2" s="414"/>
      <c r="IK2" s="414"/>
      <c r="IL2" s="2094"/>
      <c r="IM2" s="2094"/>
      <c r="IN2" s="2275"/>
      <c r="IO2" s="2275"/>
    </row>
    <row r="3" spans="1:249" ht="14.1" customHeight="1">
      <c r="A3" s="1619" t="s">
        <v>129</v>
      </c>
      <c r="B3" s="562">
        <f>SUM(B4:B11)</f>
        <v>730192</v>
      </c>
      <c r="C3" s="562">
        <f>SUM(C4:C11)</f>
        <v>652842</v>
      </c>
      <c r="D3" s="562">
        <f>SUM(D4:D11)</f>
        <v>326119</v>
      </c>
      <c r="E3" s="562">
        <f t="shared" ref="E3:J3" si="0">SUM(E4:E11)</f>
        <v>78469</v>
      </c>
      <c r="F3" s="562">
        <f t="shared" si="0"/>
        <v>326592</v>
      </c>
      <c r="G3" s="562">
        <f t="shared" si="0"/>
        <v>1655670</v>
      </c>
      <c r="H3" s="562">
        <f t="shared" si="0"/>
        <v>1532412</v>
      </c>
      <c r="I3" s="641">
        <f t="shared" si="0"/>
        <v>1522351</v>
      </c>
      <c r="J3" s="562">
        <f t="shared" si="0"/>
        <v>1517432</v>
      </c>
      <c r="K3" s="562"/>
      <c r="L3" s="813"/>
      <c r="M3" s="1603" t="s">
        <v>6403</v>
      </c>
      <c r="N3" s="1720">
        <v>2024</v>
      </c>
      <c r="O3" s="1721">
        <v>2023</v>
      </c>
      <c r="P3" s="1720">
        <v>2022</v>
      </c>
      <c r="Q3" s="1721">
        <v>2021</v>
      </c>
      <c r="R3" s="1612" t="s">
        <v>3556</v>
      </c>
      <c r="S3" s="1610" t="s">
        <v>3570</v>
      </c>
      <c r="T3" s="1610" t="s">
        <v>3584</v>
      </c>
      <c r="U3" s="861"/>
      <c r="V3" s="813"/>
      <c r="W3" s="387" t="s">
        <v>8315</v>
      </c>
      <c r="X3" s="457" t="s">
        <v>129</v>
      </c>
      <c r="Y3" s="1722" t="s">
        <v>392</v>
      </c>
      <c r="Z3" s="1722" t="s">
        <v>2816</v>
      </c>
      <c r="AA3" s="458" t="s">
        <v>8316</v>
      </c>
      <c r="AB3" s="441" t="s">
        <v>399</v>
      </c>
      <c r="AC3" s="1722" t="s">
        <v>397</v>
      </c>
      <c r="AD3" s="1722" t="s">
        <v>390</v>
      </c>
      <c r="AE3" s="457" t="s">
        <v>8317</v>
      </c>
      <c r="AF3" s="611" t="s">
        <v>1709</v>
      </c>
      <c r="AG3" s="813"/>
      <c r="AI3" s="1507" t="s">
        <v>8318</v>
      </c>
      <c r="AJ3" s="986">
        <v>739146</v>
      </c>
      <c r="AK3" s="986">
        <v>656518</v>
      </c>
      <c r="AL3" s="986">
        <v>328446</v>
      </c>
      <c r="AM3" s="986">
        <v>79389</v>
      </c>
      <c r="AN3" s="986">
        <v>328173</v>
      </c>
      <c r="AO3" s="986"/>
      <c r="AP3" s="986"/>
      <c r="AQ3" s="709" t="s">
        <v>1944</v>
      </c>
      <c r="AR3" s="398">
        <v>98</v>
      </c>
      <c r="AS3" s="398">
        <v>87</v>
      </c>
      <c r="AT3" s="398">
        <v>81</v>
      </c>
      <c r="AU3" s="398">
        <v>83</v>
      </c>
      <c r="AV3" s="585">
        <v>82</v>
      </c>
      <c r="AW3" s="585">
        <v>78</v>
      </c>
      <c r="AX3" s="709">
        <v>84</v>
      </c>
      <c r="AY3" s="709">
        <v>87</v>
      </c>
      <c r="AZ3" s="1134">
        <v>86</v>
      </c>
      <c r="BA3" s="709">
        <v>75</v>
      </c>
      <c r="BB3" s="398"/>
      <c r="BD3" s="1723" t="s">
        <v>6403</v>
      </c>
      <c r="BE3" s="1724">
        <v>2024</v>
      </c>
      <c r="BF3" s="1724">
        <v>2023</v>
      </c>
      <c r="BG3" s="1724">
        <v>2022</v>
      </c>
      <c r="BH3" s="1724">
        <v>2021</v>
      </c>
      <c r="BI3" s="1725">
        <v>2020</v>
      </c>
      <c r="BJ3" s="1726"/>
      <c r="BK3" s="1726"/>
      <c r="BL3" s="937" t="s">
        <v>8319</v>
      </c>
      <c r="BM3" s="728" t="s">
        <v>8320</v>
      </c>
      <c r="BN3" s="1727" t="s">
        <v>7901</v>
      </c>
      <c r="BO3" s="389">
        <v>2023</v>
      </c>
      <c r="BP3" s="905">
        <v>2022</v>
      </c>
      <c r="BQ3" s="905">
        <v>2021</v>
      </c>
      <c r="BR3" s="642">
        <v>2020</v>
      </c>
      <c r="BS3" s="1728">
        <v>2019</v>
      </c>
      <c r="BT3" s="1728">
        <v>2018</v>
      </c>
      <c r="BU3" s="1728">
        <v>2017</v>
      </c>
      <c r="BV3" s="389">
        <v>2016</v>
      </c>
      <c r="BW3" s="389">
        <v>2015</v>
      </c>
      <c r="BX3" s="389">
        <v>2014</v>
      </c>
      <c r="BY3" s="390">
        <v>2013</v>
      </c>
      <c r="BZ3" s="382"/>
      <c r="CA3" s="385"/>
      <c r="CB3" s="398"/>
      <c r="CC3" s="908" t="s">
        <v>392</v>
      </c>
      <c r="CD3" s="895"/>
      <c r="CE3" s="415"/>
      <c r="CF3" s="415"/>
      <c r="CG3" s="415"/>
      <c r="CH3" s="415"/>
      <c r="CI3" s="415"/>
      <c r="CJ3" s="415"/>
      <c r="CK3" s="415"/>
      <c r="CL3" s="415"/>
      <c r="CM3" s="415"/>
      <c r="CN3" s="415"/>
      <c r="CO3" s="415"/>
      <c r="CP3" s="415"/>
      <c r="CQ3" s="398"/>
      <c r="CR3" s="549"/>
      <c r="CS3" s="680"/>
      <c r="CT3" s="910"/>
      <c r="CU3" s="416" t="s">
        <v>129</v>
      </c>
      <c r="CV3" s="416" t="s">
        <v>8318</v>
      </c>
      <c r="CW3" s="416" t="s">
        <v>8321</v>
      </c>
      <c r="CX3" s="416" t="s">
        <v>8308</v>
      </c>
      <c r="CY3" s="416" t="s">
        <v>4373</v>
      </c>
      <c r="CZ3" s="416" t="s">
        <v>8322</v>
      </c>
      <c r="DB3" s="416" t="s">
        <v>8323</v>
      </c>
      <c r="DC3" s="385" t="s">
        <v>1709</v>
      </c>
      <c r="DF3" s="586" t="s">
        <v>8324</v>
      </c>
      <c r="DG3" s="611" t="s">
        <v>129</v>
      </c>
      <c r="DH3" s="614" t="s">
        <v>8325</v>
      </c>
      <c r="DI3" s="611" t="s">
        <v>8326</v>
      </c>
      <c r="DJ3" s="614" t="s">
        <v>8326</v>
      </c>
      <c r="DK3" s="614" t="s">
        <v>8326</v>
      </c>
      <c r="DL3" s="614" t="s">
        <v>8326</v>
      </c>
      <c r="DM3" s="614" t="s">
        <v>8326</v>
      </c>
      <c r="DN3" s="614" t="s">
        <v>8326</v>
      </c>
      <c r="DO3" s="614" t="s">
        <v>8326</v>
      </c>
      <c r="DP3" s="614" t="s">
        <v>8326</v>
      </c>
      <c r="DQ3" s="614" t="s">
        <v>8326</v>
      </c>
      <c r="DR3" s="614" t="s">
        <v>8327</v>
      </c>
      <c r="DS3" s="614" t="s">
        <v>8328</v>
      </c>
      <c r="DT3" s="614" t="s">
        <v>8328</v>
      </c>
      <c r="DU3" s="611" t="s">
        <v>8329</v>
      </c>
      <c r="DV3" s="439"/>
      <c r="DX3" s="610" t="s">
        <v>8324</v>
      </c>
      <c r="DY3" s="441" t="s">
        <v>129</v>
      </c>
      <c r="DZ3" s="642" t="s">
        <v>115</v>
      </c>
      <c r="EA3" s="642" t="s">
        <v>116</v>
      </c>
      <c r="EB3" s="642" t="s">
        <v>117</v>
      </c>
      <c r="EC3" s="642" t="s">
        <v>118</v>
      </c>
      <c r="ED3" s="642" t="s">
        <v>3447</v>
      </c>
      <c r="EE3" s="664" t="s">
        <v>8330</v>
      </c>
      <c r="EH3" s="493" t="s">
        <v>8331</v>
      </c>
      <c r="EI3" s="464"/>
      <c r="EJ3" s="404" t="s">
        <v>8332</v>
      </c>
      <c r="EK3" s="404" t="s">
        <v>8333</v>
      </c>
      <c r="EL3" s="404" t="s">
        <v>8334</v>
      </c>
      <c r="EM3" s="404" t="s">
        <v>4373</v>
      </c>
      <c r="EN3" s="404" t="s">
        <v>8335</v>
      </c>
      <c r="EO3" s="405"/>
      <c r="ER3" s="493" t="s">
        <v>8331</v>
      </c>
      <c r="ES3" s="404"/>
      <c r="ET3" s="688" t="s">
        <v>8336</v>
      </c>
      <c r="EU3" s="688" t="s">
        <v>8337</v>
      </c>
      <c r="EV3" s="688"/>
      <c r="EW3" s="688" t="s">
        <v>8338</v>
      </c>
      <c r="EX3" s="688" t="s">
        <v>8339</v>
      </c>
      <c r="EY3" s="688" t="s">
        <v>8340</v>
      </c>
      <c r="EZ3" s="416" t="s">
        <v>8341</v>
      </c>
      <c r="FA3" s="688" t="s">
        <v>8334</v>
      </c>
      <c r="FB3" s="688" t="s">
        <v>8342</v>
      </c>
      <c r="FC3" s="688"/>
      <c r="FD3" s="688" t="s">
        <v>8343</v>
      </c>
      <c r="FE3" s="688" t="s">
        <v>8344</v>
      </c>
      <c r="FF3" s="419" t="s">
        <v>8345</v>
      </c>
      <c r="FG3" s="1852"/>
      <c r="FJ3" s="1655"/>
      <c r="FK3" s="2161" t="s">
        <v>8346</v>
      </c>
      <c r="FL3" s="404" t="s">
        <v>8347</v>
      </c>
      <c r="FM3" s="2161" t="s">
        <v>8346</v>
      </c>
      <c r="FN3" s="404" t="s">
        <v>8347</v>
      </c>
      <c r="FO3" s="2161" t="s">
        <v>8346</v>
      </c>
      <c r="FP3" s="404" t="s">
        <v>8347</v>
      </c>
      <c r="FQ3" s="1934"/>
      <c r="FR3" s="404" t="s">
        <v>8347</v>
      </c>
      <c r="FS3" s="1934"/>
      <c r="FT3" s="405" t="s">
        <v>8347</v>
      </c>
      <c r="FU3" s="1655"/>
      <c r="FV3" s="414"/>
      <c r="FW3" s="414">
        <v>2024</v>
      </c>
      <c r="FX3" s="752">
        <v>3.6495000000000002</v>
      </c>
      <c r="FY3" s="752">
        <v>3.5781000000000001</v>
      </c>
      <c r="FZ3" s="752">
        <v>3.5636000000000001</v>
      </c>
      <c r="GA3" s="752">
        <v>3.6097999999999999</v>
      </c>
      <c r="GB3" s="752">
        <v>3.5924999999999998</v>
      </c>
      <c r="GC3" s="752">
        <v>3.6076999999999999</v>
      </c>
      <c r="GD3" s="752">
        <v>3.7097000000000002</v>
      </c>
      <c r="GE3" s="752">
        <v>3.6503999999999999</v>
      </c>
      <c r="GF3" s="752">
        <v>3.5632000000000001</v>
      </c>
      <c r="GG3" s="752">
        <v>3.5867</v>
      </c>
      <c r="GH3" s="752">
        <v>3.5722</v>
      </c>
      <c r="GI3" s="752">
        <v>3.7951000000000001</v>
      </c>
      <c r="GJ3" s="752">
        <v>3.62</v>
      </c>
      <c r="GK3" s="473"/>
      <c r="GM3" s="398" t="s">
        <v>8348</v>
      </c>
      <c r="GN3" s="2127" t="s">
        <v>8349</v>
      </c>
      <c r="GO3" s="2136"/>
      <c r="GP3" s="2127" t="s">
        <v>8349</v>
      </c>
      <c r="GQ3" s="2136"/>
      <c r="GR3" s="2127" t="s">
        <v>8349</v>
      </c>
      <c r="GS3" s="2136"/>
      <c r="GT3" s="2127" t="s">
        <v>8349</v>
      </c>
      <c r="GU3" s="2128"/>
      <c r="GV3" s="2094"/>
      <c r="GW3" s="2094"/>
      <c r="GX3" s="2094"/>
      <c r="GY3" s="2094"/>
      <c r="GZ3" s="2094"/>
      <c r="HA3" s="2094"/>
      <c r="HB3" s="2094"/>
      <c r="HC3" s="2094"/>
      <c r="HD3" s="2094"/>
      <c r="HE3" s="2094"/>
      <c r="HF3" s="2094"/>
      <c r="HG3" s="2094"/>
      <c r="HH3" s="2094"/>
      <c r="HI3" s="2094"/>
      <c r="HJ3" s="2094"/>
      <c r="HK3" s="2094"/>
      <c r="HL3" s="382"/>
      <c r="HM3" s="398"/>
      <c r="HN3" s="2094"/>
      <c r="HO3" s="2094"/>
      <c r="HP3" s="2094"/>
      <c r="HQ3" s="2094"/>
      <c r="HR3" s="2094"/>
      <c r="HS3" s="2094"/>
      <c r="HT3" s="2094"/>
      <c r="HU3" s="2094"/>
      <c r="HV3" s="2094"/>
      <c r="HW3" s="2094"/>
      <c r="HX3" s="2094"/>
      <c r="HY3" s="2094"/>
      <c r="HZ3" s="2094"/>
      <c r="IA3" s="2094"/>
      <c r="IB3" s="2094"/>
      <c r="IC3" s="2094"/>
      <c r="ID3" s="901"/>
      <c r="IE3" s="901"/>
      <c r="IF3" s="901"/>
      <c r="IG3" s="398"/>
      <c r="IH3" s="385"/>
      <c r="II3" s="385"/>
      <c r="IJ3" s="385"/>
      <c r="IK3" s="385"/>
      <c r="IL3" s="385"/>
      <c r="IM3" s="385"/>
      <c r="IN3" s="549"/>
      <c r="IO3" s="861"/>
    </row>
    <row r="4" spans="1:249" ht="14.1" customHeight="1">
      <c r="A4" s="562" t="s">
        <v>392</v>
      </c>
      <c r="B4" s="562">
        <v>208755</v>
      </c>
      <c r="C4" s="562">
        <v>157361</v>
      </c>
      <c r="D4" s="562">
        <v>23501</v>
      </c>
      <c r="E4" s="562">
        <v>4168</v>
      </c>
      <c r="F4" s="562">
        <v>144240</v>
      </c>
      <c r="G4" s="562">
        <v>684802</v>
      </c>
      <c r="H4" s="562">
        <v>563386</v>
      </c>
      <c r="I4" s="641">
        <v>620376</v>
      </c>
      <c r="J4" s="562">
        <v>745680</v>
      </c>
      <c r="K4" s="562"/>
      <c r="L4" s="562"/>
      <c r="M4" s="1508" t="s">
        <v>8350</v>
      </c>
      <c r="N4" s="562">
        <f>N18+N32</f>
        <v>739146</v>
      </c>
      <c r="O4" s="562">
        <f>SUM(O5:O16)</f>
        <v>656518</v>
      </c>
      <c r="P4" s="562">
        <f>SUM(P5:P16)</f>
        <v>326878</v>
      </c>
      <c r="Q4" s="562">
        <f>SUM(Q5:Q16)</f>
        <v>79389</v>
      </c>
      <c r="R4" s="1729">
        <f>(N4-O4)/O4*100</f>
        <v>12.585793534983047</v>
      </c>
      <c r="S4" s="1729">
        <f>(O4-P4)/P4*100</f>
        <v>100.84496356438794</v>
      </c>
      <c r="T4" s="1730">
        <f>(P4-Q4)/Q4*100</f>
        <v>311.74218090667472</v>
      </c>
      <c r="U4" s="1729"/>
      <c r="V4" s="562"/>
      <c r="W4" s="1731" t="s">
        <v>3502</v>
      </c>
      <c r="X4" s="463">
        <f t="shared" ref="X4:AE4" si="1">SUM(X5:X16)</f>
        <v>730192</v>
      </c>
      <c r="Y4" s="463">
        <f>SUM(Y5:Y16)</f>
        <v>208755</v>
      </c>
      <c r="Z4" s="463">
        <f t="shared" si="1"/>
        <v>85119</v>
      </c>
      <c r="AA4" s="463">
        <f t="shared" si="1"/>
        <v>30031</v>
      </c>
      <c r="AB4" s="463">
        <f t="shared" si="1"/>
        <v>3596</v>
      </c>
      <c r="AC4" s="463">
        <f t="shared" si="1"/>
        <v>13544</v>
      </c>
      <c r="AD4" s="463">
        <f t="shared" si="1"/>
        <v>374373</v>
      </c>
      <c r="AE4" s="463">
        <f t="shared" si="1"/>
        <v>702</v>
      </c>
      <c r="AF4" s="463">
        <f>SUM(AF5:AF16)</f>
        <v>14072</v>
      </c>
      <c r="AG4" s="562"/>
      <c r="AI4" s="583" t="s">
        <v>8351</v>
      </c>
      <c r="AJ4" s="986">
        <v>8343</v>
      </c>
      <c r="AK4" s="986">
        <v>8868</v>
      </c>
      <c r="AL4" s="986">
        <v>8404</v>
      </c>
      <c r="AM4" s="986">
        <v>8220</v>
      </c>
      <c r="AN4" s="986">
        <v>8506</v>
      </c>
      <c r="AO4" s="986"/>
      <c r="AP4" s="986"/>
      <c r="AQ4" s="398" t="s">
        <v>1945</v>
      </c>
      <c r="AR4" s="398">
        <v>79</v>
      </c>
      <c r="AS4" s="398">
        <v>70</v>
      </c>
      <c r="AT4" s="398">
        <v>78</v>
      </c>
      <c r="AU4" s="398">
        <v>89</v>
      </c>
      <c r="AV4" s="585">
        <v>88</v>
      </c>
      <c r="AW4" s="585">
        <v>83</v>
      </c>
      <c r="AX4" s="398">
        <v>92</v>
      </c>
      <c r="AY4" s="398">
        <v>91</v>
      </c>
      <c r="AZ4" s="385">
        <v>90</v>
      </c>
      <c r="BA4" s="398">
        <v>87</v>
      </c>
      <c r="BB4" s="398"/>
      <c r="BD4" s="1732" t="s">
        <v>3502</v>
      </c>
      <c r="BE4" s="1733">
        <f>SUM(BE5:BE16)</f>
        <v>32081000</v>
      </c>
      <c r="BF4" s="1733">
        <f>SUM(BF5:BF16)</f>
        <v>27796516.510000002</v>
      </c>
      <c r="BG4" s="1733">
        <f>SUM(BG5:BG16)</f>
        <v>19279849.759999998</v>
      </c>
      <c r="BH4" s="1733">
        <f>SUM(BH5:BH16)</f>
        <v>13145461.459999999</v>
      </c>
      <c r="BI4" s="1733">
        <f>SUM(BI5:BI16)</f>
        <v>21181433.960000005</v>
      </c>
      <c r="BJ4" s="1733"/>
      <c r="BK4" s="1733"/>
      <c r="BL4" s="398" t="s">
        <v>8352</v>
      </c>
      <c r="BM4" s="402">
        <v>1998</v>
      </c>
      <c r="BN4" s="1066" t="s">
        <v>8028</v>
      </c>
      <c r="BO4" s="382">
        <v>145</v>
      </c>
      <c r="BP4" s="382">
        <v>147</v>
      </c>
      <c r="BQ4" s="1734">
        <v>147</v>
      </c>
      <c r="BR4" s="382">
        <v>147</v>
      </c>
      <c r="BS4" s="382">
        <v>148</v>
      </c>
      <c r="BT4" s="382">
        <v>148</v>
      </c>
      <c r="BU4" s="382">
        <v>148</v>
      </c>
      <c r="BV4" s="382">
        <v>148</v>
      </c>
      <c r="BW4" s="382">
        <v>148</v>
      </c>
      <c r="BX4" s="382">
        <v>148</v>
      </c>
      <c r="BY4" s="439">
        <v>148</v>
      </c>
      <c r="BZ4" s="382"/>
      <c r="CA4" s="382"/>
      <c r="CB4" s="385"/>
      <c r="CC4" s="391">
        <v>2024</v>
      </c>
      <c r="CD4" s="463">
        <f>SUM(CE4:CP4)</f>
        <v>527897</v>
      </c>
      <c r="CE4" s="463">
        <v>44284</v>
      </c>
      <c r="CF4" s="463">
        <v>40102</v>
      </c>
      <c r="CG4" s="463">
        <v>44494</v>
      </c>
      <c r="CH4" s="463">
        <v>47040</v>
      </c>
      <c r="CI4" s="463">
        <v>47239</v>
      </c>
      <c r="CJ4" s="463">
        <v>44417</v>
      </c>
      <c r="CK4" s="463">
        <v>45911</v>
      </c>
      <c r="CL4" s="463">
        <v>52316</v>
      </c>
      <c r="CM4" s="463">
        <v>44052</v>
      </c>
      <c r="CN4" s="463">
        <v>41993</v>
      </c>
      <c r="CO4" s="463">
        <v>34688</v>
      </c>
      <c r="CP4" s="463">
        <v>41361</v>
      </c>
      <c r="CQ4" s="385"/>
      <c r="CR4" s="549"/>
      <c r="CS4" s="610" t="s">
        <v>501</v>
      </c>
      <c r="CT4" s="441" t="s">
        <v>129</v>
      </c>
      <c r="CU4" s="441" t="s">
        <v>8318</v>
      </c>
      <c r="CV4" s="441" t="s">
        <v>8353</v>
      </c>
      <c r="CW4" s="441" t="s">
        <v>8354</v>
      </c>
      <c r="CX4" s="441" t="s">
        <v>8355</v>
      </c>
      <c r="CY4" s="441" t="s">
        <v>8356</v>
      </c>
      <c r="CZ4" s="441" t="s">
        <v>8357</v>
      </c>
      <c r="DA4" s="441" t="s">
        <v>128</v>
      </c>
      <c r="DB4" s="441" t="s">
        <v>8358</v>
      </c>
      <c r="DC4" s="442" t="s">
        <v>8356</v>
      </c>
      <c r="DE4" s="525"/>
      <c r="DF4" s="585" t="s">
        <v>3502</v>
      </c>
      <c r="DG4" s="933">
        <f>SUM(DG5:DG19)</f>
        <v>730192</v>
      </c>
      <c r="DH4" s="933">
        <f>SUM(DH5:DH19)</f>
        <v>19153</v>
      </c>
      <c r="DI4" s="933">
        <f>SUM(DI5:DI19)</f>
        <v>38432</v>
      </c>
      <c r="DJ4" s="933">
        <f t="shared" ref="DJ4:DQ4" si="2">SUM(DJ5:DJ19)</f>
        <v>243861</v>
      </c>
      <c r="DK4" s="933">
        <f t="shared" si="2"/>
        <v>207639</v>
      </c>
      <c r="DL4" s="933">
        <f t="shared" si="2"/>
        <v>64840</v>
      </c>
      <c r="DM4" s="933">
        <f t="shared" si="2"/>
        <v>26542</v>
      </c>
      <c r="DN4" s="933">
        <f t="shared" si="2"/>
        <v>29623</v>
      </c>
      <c r="DO4" s="933">
        <f t="shared" si="2"/>
        <v>13383</v>
      </c>
      <c r="DP4" s="933">
        <f t="shared" si="2"/>
        <v>11382</v>
      </c>
      <c r="DQ4" s="933">
        <f t="shared" si="2"/>
        <v>8163</v>
      </c>
      <c r="DR4" s="933">
        <f>SUM(DR5:DR19)</f>
        <v>34</v>
      </c>
      <c r="DS4" s="933">
        <f>SUM(DS5:DS19)</f>
        <v>0</v>
      </c>
      <c r="DT4" s="933">
        <f>SUM(DT5:DT19)</f>
        <v>0</v>
      </c>
      <c r="DU4" s="933">
        <f>SUM(DU5:DU19)</f>
        <v>2233</v>
      </c>
      <c r="DV4" s="862"/>
      <c r="DX4" s="382" t="s">
        <v>3502</v>
      </c>
      <c r="DY4" s="853">
        <f t="shared" ref="DY4:EE4" si="3">SUM(DY5:DY19)</f>
        <v>730192</v>
      </c>
      <c r="DZ4" s="853">
        <f t="shared" si="3"/>
        <v>341015</v>
      </c>
      <c r="EA4" s="853">
        <f t="shared" si="3"/>
        <v>126620</v>
      </c>
      <c r="EB4" s="853">
        <f t="shared" si="3"/>
        <v>52335</v>
      </c>
      <c r="EC4" s="853">
        <f t="shared" si="3"/>
        <v>24361</v>
      </c>
      <c r="ED4" s="853">
        <f t="shared" si="3"/>
        <v>15086</v>
      </c>
      <c r="EE4" s="853">
        <f t="shared" si="3"/>
        <v>75705</v>
      </c>
      <c r="EF4" s="525"/>
      <c r="EH4" s="610" t="s">
        <v>8324</v>
      </c>
      <c r="EI4" s="441" t="s">
        <v>129</v>
      </c>
      <c r="EJ4" s="441" t="s">
        <v>8359</v>
      </c>
      <c r="EK4" s="441" t="s">
        <v>8360</v>
      </c>
      <c r="EL4" s="441" t="s">
        <v>8361</v>
      </c>
      <c r="EM4" s="441" t="s">
        <v>13</v>
      </c>
      <c r="EN4" s="441" t="s">
        <v>8362</v>
      </c>
      <c r="EO4" s="442" t="s">
        <v>1709</v>
      </c>
      <c r="ER4" s="610" t="s">
        <v>8324</v>
      </c>
      <c r="ES4" s="441" t="s">
        <v>129</v>
      </c>
      <c r="ET4" s="457" t="s">
        <v>8363</v>
      </c>
      <c r="EU4" s="457" t="s">
        <v>8364</v>
      </c>
      <c r="EV4" s="457" t="s">
        <v>8365</v>
      </c>
      <c r="EW4" s="457" t="s">
        <v>8366</v>
      </c>
      <c r="EX4" s="457" t="s">
        <v>8367</v>
      </c>
      <c r="EY4" s="457" t="s">
        <v>8368</v>
      </c>
      <c r="EZ4" s="457" t="s">
        <v>8369</v>
      </c>
      <c r="FA4" s="457" t="s">
        <v>8361</v>
      </c>
      <c r="FB4" s="457" t="s">
        <v>8370</v>
      </c>
      <c r="FC4" s="457" t="s">
        <v>3472</v>
      </c>
      <c r="FD4" s="457" t="s">
        <v>4373</v>
      </c>
      <c r="FE4" s="457" t="s">
        <v>8371</v>
      </c>
      <c r="FF4" s="458" t="s">
        <v>8372</v>
      </c>
      <c r="FG4" s="458" t="s">
        <v>1709</v>
      </c>
      <c r="FJ4" s="423" t="s">
        <v>8291</v>
      </c>
      <c r="FK4" s="2163"/>
      <c r="FL4" s="441" t="s">
        <v>8373</v>
      </c>
      <c r="FM4" s="2163"/>
      <c r="FN4" s="441" t="s">
        <v>8373</v>
      </c>
      <c r="FO4" s="2163"/>
      <c r="FP4" s="441" t="s">
        <v>8373</v>
      </c>
      <c r="FQ4" s="441" t="s">
        <v>8346</v>
      </c>
      <c r="FR4" s="441" t="s">
        <v>8373</v>
      </c>
      <c r="FS4" s="441" t="s">
        <v>8346</v>
      </c>
      <c r="FT4" s="442" t="s">
        <v>8373</v>
      </c>
      <c r="FU4" s="414"/>
      <c r="FV4" s="414"/>
      <c r="FW4" s="414">
        <v>2023</v>
      </c>
      <c r="FX4" s="752">
        <v>3.8538999999999999</v>
      </c>
      <c r="FY4" s="752">
        <v>3.7971000000000004</v>
      </c>
      <c r="FZ4" s="752">
        <v>3.5099</v>
      </c>
      <c r="GA4" s="752">
        <v>3.7140999999999997</v>
      </c>
      <c r="GB4" s="752">
        <v>3.7132000000000001</v>
      </c>
      <c r="GC4" s="752">
        <v>3.8323999999999998</v>
      </c>
      <c r="GD4" s="752">
        <v>3.8397999999999999</v>
      </c>
      <c r="GE4" s="752">
        <v>3.7328999999999999</v>
      </c>
      <c r="GF4" s="752">
        <v>3.6252999999999997</v>
      </c>
      <c r="GG4" s="752">
        <v>3.6393000000000004</v>
      </c>
      <c r="GH4" s="752">
        <v>3.6410999999999998</v>
      </c>
      <c r="GI4" s="752">
        <v>3.8174000000000001</v>
      </c>
      <c r="GJ4" s="752">
        <v>3.73</v>
      </c>
      <c r="GK4" s="473"/>
      <c r="GM4" s="387" t="s">
        <v>8374</v>
      </c>
      <c r="GN4" s="719" t="s">
        <v>8375</v>
      </c>
      <c r="GO4" s="1137" t="s">
        <v>8376</v>
      </c>
      <c r="GP4" s="719" t="s">
        <v>8375</v>
      </c>
      <c r="GQ4" s="1137" t="s">
        <v>8376</v>
      </c>
      <c r="GR4" s="719" t="s">
        <v>8375</v>
      </c>
      <c r="GS4" s="1137" t="s">
        <v>8376</v>
      </c>
      <c r="GT4" s="719" t="s">
        <v>8375</v>
      </c>
      <c r="GU4" s="703" t="s">
        <v>8376</v>
      </c>
      <c r="GV4" s="402"/>
      <c r="GW4" s="402"/>
      <c r="GX4" s="402"/>
      <c r="GY4" s="402"/>
      <c r="GZ4" s="402"/>
      <c r="HA4" s="402"/>
      <c r="HB4" s="402"/>
      <c r="HC4" s="402"/>
      <c r="HD4" s="402"/>
      <c r="HE4" s="402"/>
      <c r="HF4" s="402"/>
      <c r="HG4" s="402"/>
      <c r="HH4" s="439"/>
      <c r="HI4" s="439"/>
      <c r="HJ4" s="439"/>
      <c r="HK4" s="439"/>
      <c r="HL4" s="382"/>
      <c r="HM4" s="398"/>
      <c r="HN4" s="402"/>
      <c r="HO4" s="402"/>
      <c r="HP4" s="402"/>
      <c r="HQ4" s="402"/>
      <c r="HR4" s="402"/>
      <c r="HS4" s="402"/>
      <c r="HT4" s="402"/>
      <c r="HU4" s="402"/>
      <c r="HV4" s="402"/>
      <c r="HW4" s="402"/>
      <c r="HX4" s="439"/>
      <c r="HY4" s="439"/>
      <c r="HZ4" s="439"/>
      <c r="IA4" s="439"/>
      <c r="IB4" s="385"/>
      <c r="IC4" s="385"/>
      <c r="IF4" s="549"/>
      <c r="IG4" s="398"/>
      <c r="IH4" s="463"/>
      <c r="II4" s="463"/>
      <c r="IJ4" s="515"/>
      <c r="IK4" s="463"/>
      <c r="IL4" s="463"/>
      <c r="IM4" s="463"/>
      <c r="IN4" s="549"/>
      <c r="IO4" s="562"/>
    </row>
    <row r="5" spans="1:249" ht="14.1" customHeight="1">
      <c r="A5" s="562" t="s">
        <v>388</v>
      </c>
      <c r="B5" s="562">
        <v>85119</v>
      </c>
      <c r="C5" s="562">
        <v>83677</v>
      </c>
      <c r="D5" s="562">
        <v>70412</v>
      </c>
      <c r="E5" s="562">
        <v>49666</v>
      </c>
      <c r="F5" s="562">
        <v>33666</v>
      </c>
      <c r="G5" s="562">
        <v>90994</v>
      </c>
      <c r="H5" s="562">
        <v>93269</v>
      </c>
      <c r="I5" s="641">
        <f>63740+13337</f>
        <v>77077</v>
      </c>
      <c r="J5" s="562">
        <v>77706</v>
      </c>
      <c r="K5" s="562"/>
      <c r="L5" s="562"/>
      <c r="M5" s="549" t="s">
        <v>1944</v>
      </c>
      <c r="N5" s="562">
        <f>N19+N33</f>
        <v>82670</v>
      </c>
      <c r="O5" s="562">
        <f t="shared" ref="O5:Q16" si="4">O19+O33</f>
        <v>56687</v>
      </c>
      <c r="P5" s="562">
        <f t="shared" si="4"/>
        <v>9060</v>
      </c>
      <c r="Q5" s="562">
        <f t="shared" si="4"/>
        <v>4526</v>
      </c>
      <c r="R5" s="1729">
        <f>(N5-O5)/O5*100</f>
        <v>45.835905939633427</v>
      </c>
      <c r="S5" s="1729">
        <f>(O5-P5)/P5*100</f>
        <v>525.68432671081678</v>
      </c>
      <c r="T5" s="1729">
        <f t="shared" ref="T5:T16" si="5">(P5-Q5)/Q5*100</f>
        <v>100.17675651789659</v>
      </c>
      <c r="U5" s="1729"/>
      <c r="V5" s="562"/>
      <c r="W5" s="1735" t="s">
        <v>1944</v>
      </c>
      <c r="X5" s="463">
        <f>SUM(Y5:AF5)</f>
        <v>78969</v>
      </c>
      <c r="Y5" s="463">
        <v>18955</v>
      </c>
      <c r="Z5" s="463">
        <v>8507</v>
      </c>
      <c r="AA5" s="463">
        <v>2109</v>
      </c>
      <c r="AB5" s="463">
        <v>197</v>
      </c>
      <c r="AC5" s="463">
        <v>1017</v>
      </c>
      <c r="AD5" s="463">
        <v>46740</v>
      </c>
      <c r="AE5" s="463">
        <v>31</v>
      </c>
      <c r="AF5" s="463">
        <v>1413</v>
      </c>
      <c r="AG5" s="562"/>
      <c r="AI5" s="571" t="s">
        <v>8377</v>
      </c>
      <c r="AJ5" s="1736">
        <f>AJ3/AJ4</f>
        <v>88.594750089895726</v>
      </c>
      <c r="AK5" s="1736">
        <f>AK3/AK4</f>
        <v>74.03225078935499</v>
      </c>
      <c r="AL5" s="1736">
        <f>AL3/AL4</f>
        <v>39.082103760114229</v>
      </c>
      <c r="AM5" s="1736">
        <f>AM3/AM4</f>
        <v>9.6580291970802925</v>
      </c>
      <c r="AN5" s="1736">
        <v>38.6</v>
      </c>
      <c r="AO5" s="972"/>
      <c r="AP5" s="972"/>
      <c r="AQ5" s="398" t="s">
        <v>1946</v>
      </c>
      <c r="AR5" s="398">
        <v>35</v>
      </c>
      <c r="AS5" s="398">
        <v>88</v>
      </c>
      <c r="AT5" s="398">
        <v>81</v>
      </c>
      <c r="AU5" s="398">
        <v>85</v>
      </c>
      <c r="AV5" s="585">
        <v>78</v>
      </c>
      <c r="AW5" s="585">
        <v>82</v>
      </c>
      <c r="AX5" s="398">
        <v>88</v>
      </c>
      <c r="AY5" s="398">
        <v>88</v>
      </c>
      <c r="AZ5" s="385">
        <v>89</v>
      </c>
      <c r="BA5" s="398">
        <v>76</v>
      </c>
      <c r="BB5" s="398"/>
      <c r="BD5" s="1709" t="s">
        <v>1944</v>
      </c>
      <c r="BE5" s="1737">
        <v>3180778</v>
      </c>
      <c r="BF5" s="1737">
        <v>2167400.59</v>
      </c>
      <c r="BG5" s="1738">
        <v>1375451.51</v>
      </c>
      <c r="BH5" s="1738">
        <v>715019.58</v>
      </c>
      <c r="BI5" s="1738">
        <v>4415409.68</v>
      </c>
      <c r="BJ5" s="1733"/>
      <c r="BK5" s="1733"/>
      <c r="BL5" s="398" t="s">
        <v>8378</v>
      </c>
      <c r="BM5" s="402">
        <v>2005</v>
      </c>
      <c r="BN5" s="1066" t="s">
        <v>2202</v>
      </c>
      <c r="BO5" s="382">
        <v>48</v>
      </c>
      <c r="BP5" s="382">
        <v>48</v>
      </c>
      <c r="BQ5" s="1734">
        <v>48</v>
      </c>
      <c r="BR5" s="382">
        <v>48</v>
      </c>
      <c r="BS5" s="382">
        <v>48</v>
      </c>
      <c r="BT5" s="382">
        <v>48</v>
      </c>
      <c r="BU5" s="382">
        <v>48</v>
      </c>
      <c r="BV5" s="382">
        <v>48</v>
      </c>
      <c r="BW5" s="382">
        <v>48</v>
      </c>
      <c r="BX5" s="382">
        <v>48</v>
      </c>
      <c r="BY5" s="439">
        <v>46</v>
      </c>
      <c r="BZ5" s="382"/>
      <c r="CA5" s="439"/>
      <c r="CB5" s="385"/>
      <c r="CC5" s="391">
        <v>2023</v>
      </c>
      <c r="CD5" s="463">
        <f>SUM(CE5:CP5)</f>
        <v>446149</v>
      </c>
      <c r="CE5" s="463">
        <v>23253</v>
      </c>
      <c r="CF5" s="463">
        <v>18591</v>
      </c>
      <c r="CG5" s="463">
        <v>24184</v>
      </c>
      <c r="CH5" s="463">
        <v>34918</v>
      </c>
      <c r="CI5" s="463">
        <v>40718</v>
      </c>
      <c r="CJ5" s="463">
        <v>27186</v>
      </c>
      <c r="CK5" s="463">
        <v>36401</v>
      </c>
      <c r="CL5" s="463">
        <v>50609</v>
      </c>
      <c r="CM5" s="463">
        <v>51051</v>
      </c>
      <c r="CN5" s="463">
        <v>51901</v>
      </c>
      <c r="CO5" s="463">
        <v>42988</v>
      </c>
      <c r="CP5" s="463">
        <v>44349</v>
      </c>
      <c r="CQ5" s="385"/>
      <c r="CR5" s="525"/>
      <c r="CS5" s="382" t="s">
        <v>3502</v>
      </c>
      <c r="CT5" s="862">
        <f>SUM(CT6:CT25)</f>
        <v>1094274</v>
      </c>
      <c r="CU5" s="862">
        <f t="shared" ref="CU5:DC5" si="6">SUM(CU6:CU25)</f>
        <v>939189</v>
      </c>
      <c r="CV5" s="435">
        <f t="shared" si="6"/>
        <v>729784</v>
      </c>
      <c r="CW5" s="862">
        <f t="shared" si="6"/>
        <v>725789</v>
      </c>
      <c r="CX5" s="862">
        <f t="shared" si="6"/>
        <v>2228</v>
      </c>
      <c r="CY5" s="862">
        <f t="shared" si="6"/>
        <v>2999</v>
      </c>
      <c r="CZ5" s="862">
        <f t="shared" si="6"/>
        <v>3995</v>
      </c>
      <c r="DA5" s="862">
        <f t="shared" si="6"/>
        <v>92090</v>
      </c>
      <c r="DB5" s="862">
        <f t="shared" si="6"/>
        <v>235459</v>
      </c>
      <c r="DC5" s="862">
        <f t="shared" si="6"/>
        <v>62995</v>
      </c>
      <c r="DD5" s="862"/>
      <c r="DE5" s="525"/>
      <c r="DF5" s="585" t="s">
        <v>392</v>
      </c>
      <c r="DG5" s="1739">
        <v>208755</v>
      </c>
      <c r="DH5" s="1739">
        <v>2736</v>
      </c>
      <c r="DI5" s="1739">
        <v>21720</v>
      </c>
      <c r="DJ5" s="1739">
        <v>96200</v>
      </c>
      <c r="DK5" s="1739">
        <v>48610</v>
      </c>
      <c r="DL5" s="1739">
        <v>13058</v>
      </c>
      <c r="DM5" s="1739">
        <v>4728</v>
      </c>
      <c r="DN5" s="1739">
        <v>4060</v>
      </c>
      <c r="DO5" s="1739">
        <v>1188</v>
      </c>
      <c r="DP5" s="1739">
        <v>1175</v>
      </c>
      <c r="DQ5" s="1739">
        <v>324</v>
      </c>
      <c r="DR5" s="1739">
        <v>0</v>
      </c>
      <c r="DS5" s="1739">
        <v>0</v>
      </c>
      <c r="DT5" s="1739">
        <v>0</v>
      </c>
      <c r="DU5" s="1739">
        <v>229</v>
      </c>
      <c r="DV5" s="862"/>
      <c r="DW5" s="463"/>
      <c r="DX5" s="382" t="s">
        <v>392</v>
      </c>
      <c r="DY5" s="1740">
        <v>208755</v>
      </c>
      <c r="DZ5" s="1740">
        <v>84732</v>
      </c>
      <c r="EA5" s="1741">
        <v>38654</v>
      </c>
      <c r="EB5" s="1741">
        <v>20528</v>
      </c>
      <c r="EC5" s="1741">
        <v>10302</v>
      </c>
      <c r="ED5" s="1741">
        <v>7328</v>
      </c>
      <c r="EE5" s="1741">
        <v>23374</v>
      </c>
      <c r="EF5" s="525"/>
      <c r="EH5" s="382" t="s">
        <v>3502</v>
      </c>
      <c r="EI5" s="525">
        <f>SUM(EI6:EI20)</f>
        <v>730192</v>
      </c>
      <c r="EJ5" s="525">
        <f>SUM(EJ6:EJ20)</f>
        <v>586039</v>
      </c>
      <c r="EK5" s="1576">
        <v>0</v>
      </c>
      <c r="EL5" s="525">
        <f>SUM(EL6:EL20)</f>
        <v>22451</v>
      </c>
      <c r="EM5" s="525">
        <f>SUM(EM6:EM20)</f>
        <v>4597</v>
      </c>
      <c r="EN5" s="525">
        <f>SUM(EN6:EN20)</f>
        <v>1187</v>
      </c>
      <c r="EO5" s="525">
        <f>SUM(EO6:EO20)</f>
        <v>32347</v>
      </c>
      <c r="EQ5" s="525"/>
      <c r="ER5" s="382" t="s">
        <v>3502</v>
      </c>
      <c r="ES5" s="933">
        <f>SUM(ES6:ES20)</f>
        <v>730192</v>
      </c>
      <c r="ET5" s="525">
        <f>SUM(ET6:ET20)</f>
        <v>496250</v>
      </c>
      <c r="EU5" s="525">
        <f>SUM(EU6:EU20)</f>
        <v>6671</v>
      </c>
      <c r="EV5" s="435" t="s">
        <v>546</v>
      </c>
      <c r="EW5" s="525">
        <f>SUM(EW6:EW20)</f>
        <v>7476</v>
      </c>
      <c r="EX5" s="525">
        <f>SUM(EX6:EX20)</f>
        <v>13318</v>
      </c>
      <c r="EY5" s="525">
        <f>SUM(EY6:EY20)</f>
        <v>4540</v>
      </c>
      <c r="EZ5" s="435" t="s">
        <v>546</v>
      </c>
      <c r="FA5" s="525">
        <f>SUM(FA6:FA20)</f>
        <v>15540</v>
      </c>
      <c r="FB5" s="435" t="s">
        <v>546</v>
      </c>
      <c r="FC5" s="525">
        <f>SUM(FC6:FC20)</f>
        <v>6256</v>
      </c>
      <c r="FD5" s="525">
        <f>SUM(FD6:FD20)</f>
        <v>24045</v>
      </c>
      <c r="FE5" s="525">
        <f>SUM(FE6:FE20)</f>
        <v>18152</v>
      </c>
      <c r="FF5" s="525">
        <f>SUM(FF6:FF20)</f>
        <v>7598</v>
      </c>
      <c r="FG5" s="525">
        <f>SUM(FG6:FG20)</f>
        <v>16348</v>
      </c>
      <c r="FH5" s="862"/>
      <c r="FI5" s="862"/>
      <c r="FJ5" s="382" t="s">
        <v>392</v>
      </c>
      <c r="FK5" s="382"/>
      <c r="FL5" s="382"/>
      <c r="FM5" s="382"/>
      <c r="FN5" s="382"/>
      <c r="FO5" s="382"/>
      <c r="FP5" s="382"/>
      <c r="FQ5" s="382"/>
      <c r="FR5" s="382"/>
      <c r="FS5" s="382"/>
      <c r="FT5" s="382"/>
      <c r="FU5" s="382"/>
      <c r="FW5" s="414">
        <v>2022</v>
      </c>
      <c r="FX5" s="752">
        <v>4.2518000000000002</v>
      </c>
      <c r="FY5" s="752">
        <v>4.1086</v>
      </c>
      <c r="FZ5" s="752">
        <v>4.0239000000000003</v>
      </c>
      <c r="GA5" s="752">
        <v>3.9461999999999997</v>
      </c>
      <c r="GB5" s="752">
        <v>3.8929999999999998</v>
      </c>
      <c r="GC5" s="752">
        <v>3.8485</v>
      </c>
      <c r="GD5" s="752">
        <v>3.8938999999999995</v>
      </c>
      <c r="GE5" s="752">
        <v>3.7441</v>
      </c>
      <c r="GF5" s="752">
        <v>3.6938000000000004</v>
      </c>
      <c r="GG5" s="752">
        <v>3.8001</v>
      </c>
      <c r="GH5" s="752">
        <v>3.7699999999999996</v>
      </c>
      <c r="GI5" s="752">
        <v>3.9077999999999999</v>
      </c>
      <c r="GJ5" s="439">
        <v>3.9</v>
      </c>
      <c r="GK5" s="473"/>
      <c r="GM5" s="398" t="s">
        <v>3507</v>
      </c>
      <c r="GN5" s="515">
        <f t="shared" ref="GN5:GU5" si="7">SUM(GN6:GN22)</f>
        <v>537440</v>
      </c>
      <c r="GO5" s="398">
        <f t="shared" si="7"/>
        <v>830</v>
      </c>
      <c r="GP5" s="515">
        <f t="shared" si="7"/>
        <v>130502</v>
      </c>
      <c r="GQ5" s="515">
        <f t="shared" si="7"/>
        <v>531</v>
      </c>
      <c r="GR5" s="515">
        <f t="shared" si="7"/>
        <v>1997</v>
      </c>
      <c r="GS5" s="515">
        <f t="shared" si="7"/>
        <v>65</v>
      </c>
      <c r="GT5" s="515">
        <f t="shared" si="7"/>
        <v>565120</v>
      </c>
      <c r="GU5" s="515">
        <f t="shared" si="7"/>
        <v>1485</v>
      </c>
      <c r="GV5" s="515"/>
      <c r="GW5" s="515"/>
      <c r="GX5" s="515"/>
      <c r="GY5" s="515"/>
      <c r="GZ5" s="515"/>
      <c r="HA5" s="515"/>
      <c r="HB5" s="515"/>
      <c r="HC5" s="515"/>
      <c r="HD5" s="515"/>
      <c r="HE5" s="515"/>
      <c r="HF5" s="515"/>
      <c r="HG5" s="515"/>
      <c r="HH5" s="515"/>
      <c r="HI5" s="515"/>
      <c r="HJ5" s="515"/>
      <c r="HK5" s="515"/>
      <c r="HL5" s="382"/>
      <c r="HM5" s="398"/>
      <c r="HN5" s="515"/>
      <c r="HO5" s="515"/>
      <c r="HP5" s="515"/>
      <c r="HQ5" s="515"/>
      <c r="HR5" s="515"/>
      <c r="HS5" s="515"/>
      <c r="HT5" s="515"/>
      <c r="HU5" s="515"/>
      <c r="HV5" s="515"/>
      <c r="HW5" s="515"/>
      <c r="HX5" s="515"/>
      <c r="HY5" s="515"/>
      <c r="HZ5" s="515"/>
      <c r="IA5" s="515"/>
      <c r="IB5" s="515"/>
      <c r="IC5" s="515"/>
      <c r="ID5" s="549"/>
      <c r="IE5" s="549"/>
      <c r="IF5" s="549"/>
      <c r="IG5" s="398"/>
      <c r="IH5" s="463"/>
      <c r="II5" s="463"/>
      <c r="IJ5" s="515"/>
      <c r="IK5" s="463"/>
      <c r="IL5" s="463"/>
      <c r="IM5" s="463"/>
      <c r="IN5" s="549"/>
      <c r="IO5" s="562"/>
    </row>
    <row r="6" spans="1:249" ht="14.1" customHeight="1">
      <c r="A6" s="562" t="s">
        <v>8379</v>
      </c>
      <c r="B6" s="562">
        <v>30031</v>
      </c>
      <c r="C6" s="562">
        <f>13063+2873+12903+707</f>
        <v>29546</v>
      </c>
      <c r="D6" s="562">
        <v>23853</v>
      </c>
      <c r="E6" s="562">
        <v>7368</v>
      </c>
      <c r="F6" s="562">
        <v>5229</v>
      </c>
      <c r="G6" s="562">
        <f>22988+14755+1634+4331</f>
        <v>43708</v>
      </c>
      <c r="H6" s="562">
        <f>20601+4031+14422+1629</f>
        <v>40683</v>
      </c>
      <c r="I6" s="641">
        <f>19325+4165+11541+1275</f>
        <v>36306</v>
      </c>
      <c r="J6" s="562">
        <v>34710</v>
      </c>
      <c r="K6" s="562"/>
      <c r="L6" s="562"/>
      <c r="M6" s="549" t="s">
        <v>1945</v>
      </c>
      <c r="N6" s="562">
        <f>N20+N34</f>
        <v>74154</v>
      </c>
      <c r="O6" s="562">
        <f t="shared" si="4"/>
        <v>56253</v>
      </c>
      <c r="P6" s="562">
        <f t="shared" si="4"/>
        <v>7096</v>
      </c>
      <c r="Q6" s="562">
        <f t="shared" si="4"/>
        <v>3478</v>
      </c>
      <c r="R6" s="1729">
        <f t="shared" ref="R6:S16" si="8">(N6-O6)/O6*100</f>
        <v>31.822302810516774</v>
      </c>
      <c r="S6" s="1729">
        <f t="shared" si="8"/>
        <v>692.74239007891765</v>
      </c>
      <c r="T6" s="1729">
        <f t="shared" si="5"/>
        <v>104.02530189764232</v>
      </c>
      <c r="U6" s="1729"/>
      <c r="V6" s="562"/>
      <c r="W6" s="1735" t="s">
        <v>1945</v>
      </c>
      <c r="X6" s="463">
        <f t="shared" ref="X6:X16" si="9">SUM(Y6:AF6)</f>
        <v>71535</v>
      </c>
      <c r="Y6" s="463">
        <v>17600</v>
      </c>
      <c r="Z6" s="463">
        <v>6822</v>
      </c>
      <c r="AA6" s="463">
        <v>2028</v>
      </c>
      <c r="AB6" s="463">
        <v>593</v>
      </c>
      <c r="AC6" s="463">
        <v>886</v>
      </c>
      <c r="AD6" s="463">
        <v>41853</v>
      </c>
      <c r="AE6" s="463">
        <v>84</v>
      </c>
      <c r="AF6" s="463">
        <v>1669</v>
      </c>
      <c r="AG6" s="562"/>
      <c r="AI6" s="1742" t="s">
        <v>8380</v>
      </c>
      <c r="AJ6" s="1743">
        <v>32.1</v>
      </c>
      <c r="AK6" s="1743">
        <v>27.8</v>
      </c>
      <c r="AL6" s="1743">
        <v>19.3</v>
      </c>
      <c r="AM6" s="1743">
        <v>13.1</v>
      </c>
      <c r="AN6" s="1743">
        <v>21</v>
      </c>
      <c r="AO6" s="861"/>
      <c r="AP6" s="861"/>
      <c r="AQ6" s="398" t="s">
        <v>1947</v>
      </c>
      <c r="AR6" s="398">
        <v>38</v>
      </c>
      <c r="AS6" s="398">
        <v>72</v>
      </c>
      <c r="AT6" s="398">
        <v>70</v>
      </c>
      <c r="AU6" s="398">
        <v>78</v>
      </c>
      <c r="AV6" s="585">
        <v>66</v>
      </c>
      <c r="AW6" s="585">
        <v>65</v>
      </c>
      <c r="AX6" s="398">
        <v>72</v>
      </c>
      <c r="AY6" s="398">
        <v>69</v>
      </c>
      <c r="AZ6" s="385">
        <v>69</v>
      </c>
      <c r="BA6" s="398">
        <v>59</v>
      </c>
      <c r="BB6" s="398"/>
      <c r="BD6" s="1709" t="s">
        <v>1945</v>
      </c>
      <c r="BE6" s="1737">
        <v>3629881</v>
      </c>
      <c r="BF6" s="1737">
        <v>2395133.71</v>
      </c>
      <c r="BG6" s="1738">
        <v>1118262.25</v>
      </c>
      <c r="BH6" s="1738">
        <v>997381.95</v>
      </c>
      <c r="BI6" s="1738">
        <v>5004076.21</v>
      </c>
      <c r="BJ6" s="1733"/>
      <c r="BK6" s="1733"/>
      <c r="BL6" s="398" t="s">
        <v>8381</v>
      </c>
      <c r="BM6" s="402">
        <v>2015</v>
      </c>
      <c r="BN6" s="1066" t="s">
        <v>8028</v>
      </c>
      <c r="BO6" s="382">
        <v>419</v>
      </c>
      <c r="BP6" s="382">
        <v>419</v>
      </c>
      <c r="BQ6" s="1734">
        <v>419</v>
      </c>
      <c r="BR6" s="382">
        <v>421</v>
      </c>
      <c r="BS6" s="382">
        <v>419</v>
      </c>
      <c r="BT6" s="382">
        <v>419</v>
      </c>
      <c r="BU6" s="382">
        <v>419</v>
      </c>
      <c r="BV6" s="382">
        <v>419</v>
      </c>
      <c r="BW6" s="382">
        <v>419</v>
      </c>
      <c r="BX6" s="439" t="s">
        <v>1627</v>
      </c>
      <c r="BY6" s="439" t="s">
        <v>1627</v>
      </c>
      <c r="BZ6" s="439"/>
      <c r="CA6" s="382"/>
      <c r="CB6" s="385"/>
      <c r="CC6" s="391">
        <v>2022</v>
      </c>
      <c r="CD6" s="463">
        <f>SUM(CE6:CP6)</f>
        <v>137617</v>
      </c>
      <c r="CE6" s="463">
        <v>5146</v>
      </c>
      <c r="CF6" s="463">
        <v>4648</v>
      </c>
      <c r="CG6" s="463">
        <v>5146</v>
      </c>
      <c r="CH6" s="463">
        <v>4980</v>
      </c>
      <c r="CI6" s="463">
        <v>6474</v>
      </c>
      <c r="CJ6" s="463">
        <v>7636</v>
      </c>
      <c r="CK6" s="463">
        <v>12782</v>
      </c>
      <c r="CL6" s="463">
        <v>22408</v>
      </c>
      <c r="CM6" s="463">
        <v>19719</v>
      </c>
      <c r="CN6" s="463">
        <v>16102</v>
      </c>
      <c r="CO6" s="463">
        <v>14110</v>
      </c>
      <c r="CP6" s="463">
        <v>18466</v>
      </c>
      <c r="CQ6" s="385"/>
      <c r="CR6" s="562"/>
      <c r="CS6" s="382" t="s">
        <v>392</v>
      </c>
      <c r="CT6" s="1744">
        <v>225948</v>
      </c>
      <c r="CU6" s="1744">
        <v>209231</v>
      </c>
      <c r="CV6" s="1744">
        <v>208755</v>
      </c>
      <c r="CW6" s="1744">
        <v>208269</v>
      </c>
      <c r="CX6" s="1744">
        <v>229</v>
      </c>
      <c r="CY6" s="1576">
        <v>313</v>
      </c>
      <c r="CZ6" s="1744">
        <v>486</v>
      </c>
      <c r="DA6" s="1744">
        <v>12505</v>
      </c>
      <c r="DB6" s="1744">
        <v>492</v>
      </c>
      <c r="DC6" s="1744">
        <v>4212</v>
      </c>
      <c r="DD6" s="862"/>
      <c r="DF6" s="585" t="s">
        <v>390</v>
      </c>
      <c r="DG6" s="1739">
        <v>374373</v>
      </c>
      <c r="DH6" s="1739">
        <v>1347</v>
      </c>
      <c r="DI6" s="1739">
        <v>5580</v>
      </c>
      <c r="DJ6" s="1739">
        <v>131844</v>
      </c>
      <c r="DK6" s="1739">
        <v>146016</v>
      </c>
      <c r="DL6" s="1739">
        <v>42484</v>
      </c>
      <c r="DM6" s="1739">
        <v>13633</v>
      </c>
      <c r="DN6" s="1739">
        <v>8901</v>
      </c>
      <c r="DO6" s="1739">
        <v>946</v>
      </c>
      <c r="DP6" s="1739">
        <v>1394</v>
      </c>
      <c r="DQ6" s="1739">
        <v>604</v>
      </c>
      <c r="DR6" s="1739">
        <v>1</v>
      </c>
      <c r="DS6" s="1739">
        <v>0</v>
      </c>
      <c r="DT6" s="1739">
        <v>0</v>
      </c>
      <c r="DU6" s="1739">
        <v>160</v>
      </c>
      <c r="DV6" s="862"/>
      <c r="DX6" s="382" t="s">
        <v>390</v>
      </c>
      <c r="DY6" s="1740">
        <v>374373</v>
      </c>
      <c r="DZ6" s="1740">
        <v>222165</v>
      </c>
      <c r="EA6" s="1740">
        <v>72432</v>
      </c>
      <c r="EB6" s="1740">
        <v>23396</v>
      </c>
      <c r="EC6" s="1740">
        <v>8707</v>
      </c>
      <c r="ED6" s="1740">
        <v>4517</v>
      </c>
      <c r="EE6" s="1740">
        <v>7765</v>
      </c>
      <c r="EF6" s="525"/>
      <c r="EH6" s="382" t="s">
        <v>392</v>
      </c>
      <c r="EI6" s="1739">
        <v>208755</v>
      </c>
      <c r="EJ6" s="1739">
        <v>181811</v>
      </c>
      <c r="EK6" s="1576">
        <v>0</v>
      </c>
      <c r="EL6" s="1739">
        <v>1558</v>
      </c>
      <c r="EM6" s="1739">
        <v>433</v>
      </c>
      <c r="EN6" s="1739">
        <v>132</v>
      </c>
      <c r="EO6" s="1739">
        <v>2666</v>
      </c>
      <c r="EQ6" s="525"/>
      <c r="ER6" s="382" t="s">
        <v>392</v>
      </c>
      <c r="ES6" s="1739">
        <v>208755</v>
      </c>
      <c r="ET6" s="1744">
        <v>155164</v>
      </c>
      <c r="EU6" s="1744">
        <v>837</v>
      </c>
      <c r="EV6" s="1739">
        <v>0</v>
      </c>
      <c r="EW6" s="1744">
        <v>1966</v>
      </c>
      <c r="EX6" s="1744">
        <v>4943</v>
      </c>
      <c r="EY6" s="1744">
        <v>3430</v>
      </c>
      <c r="EZ6" s="1739">
        <v>0</v>
      </c>
      <c r="FA6" s="1744">
        <v>1856</v>
      </c>
      <c r="FB6" s="1739">
        <v>0</v>
      </c>
      <c r="FC6" s="1744">
        <v>3936</v>
      </c>
      <c r="FD6" s="1741">
        <v>1067</v>
      </c>
      <c r="FE6" s="1744">
        <v>2120</v>
      </c>
      <c r="FF6" s="1744">
        <v>2058</v>
      </c>
      <c r="FG6" s="1741">
        <f>466+993</f>
        <v>1459</v>
      </c>
      <c r="FH6" s="862"/>
      <c r="FI6" s="862"/>
      <c r="FJ6" s="391" t="s">
        <v>8382</v>
      </c>
      <c r="FK6" s="1745">
        <v>813.34</v>
      </c>
      <c r="FL6" s="1745">
        <v>2433.21</v>
      </c>
      <c r="FM6" s="1746">
        <v>724.87</v>
      </c>
      <c r="FN6" s="1746">
        <v>2133.0300000000002</v>
      </c>
      <c r="FO6" s="1747">
        <v>971.25</v>
      </c>
      <c r="FP6" s="1747">
        <v>2272.1999999999998</v>
      </c>
      <c r="FQ6" s="1747">
        <v>853.76</v>
      </c>
      <c r="FR6" s="1747">
        <v>1844.75</v>
      </c>
      <c r="FS6" s="1747">
        <v>820.05</v>
      </c>
      <c r="FT6" s="1747">
        <v>1679.34</v>
      </c>
      <c r="FU6" s="1747"/>
      <c r="FV6" s="1748"/>
      <c r="FW6" s="414">
        <v>2021</v>
      </c>
      <c r="FX6" s="752">
        <v>4.7425999999999995</v>
      </c>
      <c r="FY6" s="752">
        <v>4.6593999999999998</v>
      </c>
      <c r="FZ6" s="752">
        <v>4.6547999999999998</v>
      </c>
      <c r="GA6" s="752">
        <v>4.5903</v>
      </c>
      <c r="GB6" s="752">
        <v>4.4773000000000005</v>
      </c>
      <c r="GC6" s="752">
        <v>4.5407000000000002</v>
      </c>
      <c r="GD6" s="752">
        <v>4.5266999999999999</v>
      </c>
      <c r="GE6" s="752">
        <v>4.2907000000000002</v>
      </c>
      <c r="GF6" s="752">
        <v>4.3995999999999995</v>
      </c>
      <c r="GG6" s="752">
        <v>4.4079000000000006</v>
      </c>
      <c r="GH6" s="752">
        <v>4.1999000000000004</v>
      </c>
      <c r="GI6" s="752">
        <v>4.4729999999999999</v>
      </c>
      <c r="GJ6" s="439">
        <v>4.5</v>
      </c>
      <c r="GK6" s="473"/>
      <c r="GM6" s="398" t="s">
        <v>468</v>
      </c>
      <c r="GN6" s="398">
        <v>200</v>
      </c>
      <c r="GO6" s="398">
        <v>20</v>
      </c>
      <c r="GP6" s="398">
        <v>42</v>
      </c>
      <c r="GQ6" s="398">
        <v>14</v>
      </c>
      <c r="GR6" s="398">
        <v>8</v>
      </c>
      <c r="GS6" s="398">
        <v>0</v>
      </c>
      <c r="GT6" s="398">
        <v>160</v>
      </c>
      <c r="GU6" s="398">
        <v>18</v>
      </c>
      <c r="GV6" s="398"/>
      <c r="GW6" s="398"/>
      <c r="GX6" s="515"/>
      <c r="GY6" s="515"/>
      <c r="GZ6" s="515"/>
      <c r="HA6" s="515"/>
      <c r="HB6" s="515"/>
      <c r="HC6" s="515"/>
      <c r="HD6" s="515"/>
      <c r="HE6" s="515"/>
      <c r="HF6" s="515"/>
      <c r="HG6" s="515"/>
      <c r="HH6" s="515"/>
      <c r="HI6" s="515"/>
      <c r="HJ6" s="515"/>
      <c r="HK6" s="515"/>
      <c r="HL6" s="382"/>
      <c r="HM6" s="398"/>
      <c r="HN6" s="515"/>
      <c r="HO6" s="515"/>
      <c r="HP6" s="515"/>
      <c r="HQ6" s="515"/>
      <c r="HR6" s="515"/>
      <c r="HS6" s="515"/>
      <c r="HT6" s="515"/>
      <c r="HU6" s="515"/>
      <c r="HV6" s="515"/>
      <c r="HW6" s="515"/>
      <c r="HX6" s="515"/>
      <c r="HY6" s="515"/>
      <c r="HZ6" s="515"/>
      <c r="IA6" s="515"/>
      <c r="IB6" s="515"/>
      <c r="IC6" s="515"/>
      <c r="ID6" s="549"/>
      <c r="IE6" s="549"/>
      <c r="IF6" s="549"/>
      <c r="IG6" s="398"/>
      <c r="IH6" s="463"/>
      <c r="II6" s="474"/>
      <c r="IJ6" s="757"/>
      <c r="IK6" s="474"/>
      <c r="IL6" s="463"/>
      <c r="IM6" s="463"/>
      <c r="IN6" s="549"/>
      <c r="IO6" s="562"/>
    </row>
    <row r="7" spans="1:249" ht="14.1" customHeight="1">
      <c r="A7" s="562" t="s">
        <v>399</v>
      </c>
      <c r="B7" s="562">
        <v>3596</v>
      </c>
      <c r="C7" s="562">
        <v>5600</v>
      </c>
      <c r="D7" s="562">
        <v>633</v>
      </c>
      <c r="E7" s="562">
        <v>2267</v>
      </c>
      <c r="F7" s="562">
        <v>4601</v>
      </c>
      <c r="G7" s="562">
        <v>28216</v>
      </c>
      <c r="H7" s="562">
        <v>27880</v>
      </c>
      <c r="I7" s="641">
        <v>32505</v>
      </c>
      <c r="J7" s="562">
        <v>42229</v>
      </c>
      <c r="K7" s="562"/>
      <c r="L7" s="562"/>
      <c r="M7" s="549" t="s">
        <v>1946</v>
      </c>
      <c r="N7" s="562">
        <f t="shared" ref="N7:N14" si="10">N21+N35</f>
        <v>68623</v>
      </c>
      <c r="O7" s="562">
        <f t="shared" si="4"/>
        <v>65603</v>
      </c>
      <c r="P7" s="562">
        <f t="shared" si="4"/>
        <v>9401</v>
      </c>
      <c r="Q7" s="562">
        <f t="shared" si="4"/>
        <v>3716</v>
      </c>
      <c r="R7" s="1729">
        <f t="shared" si="8"/>
        <v>4.6034480130481832</v>
      </c>
      <c r="S7" s="1729">
        <f t="shared" si="8"/>
        <v>597.83001808318272</v>
      </c>
      <c r="T7" s="1729">
        <f t="shared" si="5"/>
        <v>152.9870828848224</v>
      </c>
      <c r="U7" s="1729"/>
      <c r="V7" s="562"/>
      <c r="W7" s="1735" t="s">
        <v>1946</v>
      </c>
      <c r="X7" s="463">
        <f t="shared" si="9"/>
        <v>67938</v>
      </c>
      <c r="Y7" s="463">
        <v>22591</v>
      </c>
      <c r="Z7" s="463">
        <v>7471</v>
      </c>
      <c r="AA7" s="463">
        <v>2627</v>
      </c>
      <c r="AB7" s="463">
        <v>139</v>
      </c>
      <c r="AC7" s="463">
        <v>1354</v>
      </c>
      <c r="AD7" s="463">
        <v>32676</v>
      </c>
      <c r="AE7" s="463">
        <v>54</v>
      </c>
      <c r="AF7" s="463">
        <v>1026</v>
      </c>
      <c r="AG7" s="562"/>
      <c r="AI7" s="583" t="s">
        <v>8383</v>
      </c>
      <c r="AJ7" s="583"/>
      <c r="AK7" s="583"/>
      <c r="AL7" s="583"/>
      <c r="AM7" s="583"/>
      <c r="AN7" s="583"/>
      <c r="AO7" s="583"/>
      <c r="AP7" s="583"/>
      <c r="AQ7" s="398" t="s">
        <v>1948</v>
      </c>
      <c r="AR7" s="398">
        <v>17</v>
      </c>
      <c r="AS7" s="398">
        <v>72</v>
      </c>
      <c r="AT7" s="398">
        <v>72</v>
      </c>
      <c r="AU7" s="398">
        <v>72</v>
      </c>
      <c r="AV7" s="585">
        <v>67</v>
      </c>
      <c r="AW7" s="585">
        <v>66</v>
      </c>
      <c r="AX7" s="398">
        <v>67</v>
      </c>
      <c r="AY7" s="398">
        <v>59</v>
      </c>
      <c r="AZ7" s="385">
        <v>61</v>
      </c>
      <c r="BA7" s="398">
        <v>58</v>
      </c>
      <c r="BB7" s="398"/>
      <c r="BD7" s="1709" t="s">
        <v>1946</v>
      </c>
      <c r="BE7" s="1737">
        <v>4020937</v>
      </c>
      <c r="BF7" s="1737">
        <v>2955746.13</v>
      </c>
      <c r="BG7" s="1738">
        <v>1823100.38</v>
      </c>
      <c r="BH7" s="1738">
        <v>1837672.38</v>
      </c>
      <c r="BI7" s="1738">
        <v>3431229.6</v>
      </c>
      <c r="BJ7" s="1733"/>
      <c r="BK7" s="1733"/>
      <c r="BL7" s="398" t="s">
        <v>8384</v>
      </c>
      <c r="BM7" s="402">
        <v>2005</v>
      </c>
      <c r="BN7" s="1066" t="s">
        <v>8028</v>
      </c>
      <c r="BO7" s="382">
        <v>321</v>
      </c>
      <c r="BP7" s="382">
        <v>321</v>
      </c>
      <c r="BQ7" s="439" t="s">
        <v>1627</v>
      </c>
      <c r="BR7" s="439" t="s">
        <v>1627</v>
      </c>
      <c r="BS7" s="382">
        <v>318</v>
      </c>
      <c r="BT7" s="382">
        <v>318</v>
      </c>
      <c r="BU7" s="382">
        <v>318</v>
      </c>
      <c r="BV7" s="382">
        <v>318</v>
      </c>
      <c r="BW7" s="382">
        <v>318</v>
      </c>
      <c r="BX7" s="382">
        <v>318</v>
      </c>
      <c r="BY7" s="439">
        <v>318</v>
      </c>
      <c r="BZ7" s="382"/>
      <c r="CA7" s="398"/>
      <c r="CB7" s="385"/>
      <c r="CC7" s="391">
        <v>2021</v>
      </c>
      <c r="CD7" s="463">
        <f t="shared" ref="CD7:CD13" si="11">SUM(CE7:CP7)</f>
        <v>118118</v>
      </c>
      <c r="CE7" s="463">
        <v>11171</v>
      </c>
      <c r="CF7" s="463">
        <v>9324</v>
      </c>
      <c r="CG7" s="463">
        <v>14362</v>
      </c>
      <c r="CH7" s="463">
        <v>10650</v>
      </c>
      <c r="CI7" s="463">
        <v>11005</v>
      </c>
      <c r="CJ7" s="463">
        <v>10650</v>
      </c>
      <c r="CK7" s="463">
        <v>11005</v>
      </c>
      <c r="CL7" s="463">
        <v>11005</v>
      </c>
      <c r="CM7" s="463">
        <v>10650</v>
      </c>
      <c r="CN7" s="463">
        <v>8170</v>
      </c>
      <c r="CO7" s="463">
        <v>4980</v>
      </c>
      <c r="CP7" s="463">
        <v>5146</v>
      </c>
      <c r="CQ7" s="385"/>
      <c r="CR7" s="562"/>
      <c r="CS7" s="382" t="s">
        <v>390</v>
      </c>
      <c r="CT7" s="1744">
        <v>394073</v>
      </c>
      <c r="CU7" s="1744">
        <v>375187</v>
      </c>
      <c r="CV7" s="1744">
        <v>374373</v>
      </c>
      <c r="CW7" s="1744">
        <v>374194</v>
      </c>
      <c r="CX7" s="1744">
        <v>160</v>
      </c>
      <c r="CY7" s="1576">
        <v>30</v>
      </c>
      <c r="CZ7" s="1744">
        <v>179</v>
      </c>
      <c r="DA7" s="1744">
        <v>2206</v>
      </c>
      <c r="DB7" s="1744">
        <v>844</v>
      </c>
      <c r="DC7" s="1744">
        <v>16680</v>
      </c>
      <c r="DD7" s="862"/>
      <c r="DF7" s="585" t="s">
        <v>399</v>
      </c>
      <c r="DG7" s="1739">
        <v>3596</v>
      </c>
      <c r="DH7" s="1739">
        <v>215</v>
      </c>
      <c r="DI7" s="1739">
        <v>162</v>
      </c>
      <c r="DJ7" s="1739">
        <v>618</v>
      </c>
      <c r="DK7" s="1739">
        <v>972</v>
      </c>
      <c r="DL7" s="1739">
        <v>270</v>
      </c>
      <c r="DM7" s="1739">
        <v>188</v>
      </c>
      <c r="DN7" s="1739">
        <v>319</v>
      </c>
      <c r="DO7" s="1739">
        <v>130</v>
      </c>
      <c r="DP7" s="1739">
        <v>72</v>
      </c>
      <c r="DQ7" s="1739">
        <v>43</v>
      </c>
      <c r="DR7" s="1739">
        <v>0</v>
      </c>
      <c r="DS7" s="1739">
        <v>0</v>
      </c>
      <c r="DT7" s="1739">
        <v>0</v>
      </c>
      <c r="DU7" s="1739">
        <v>18</v>
      </c>
      <c r="DV7" s="862"/>
      <c r="DX7" s="382" t="s">
        <v>399</v>
      </c>
      <c r="DY7" s="1740">
        <v>3596</v>
      </c>
      <c r="DZ7" s="1740">
        <v>1702</v>
      </c>
      <c r="EA7" s="1740">
        <v>391</v>
      </c>
      <c r="EB7" s="1740">
        <v>186</v>
      </c>
      <c r="EC7" s="1740">
        <v>98</v>
      </c>
      <c r="ED7" s="1740">
        <v>70</v>
      </c>
      <c r="EE7" s="1740">
        <v>337</v>
      </c>
      <c r="EF7" s="525"/>
      <c r="EH7" s="382" t="s">
        <v>390</v>
      </c>
      <c r="EI7" s="1739">
        <v>374373</v>
      </c>
      <c r="EJ7" s="1739">
        <v>333008</v>
      </c>
      <c r="EK7" s="1576">
        <v>0</v>
      </c>
      <c r="EL7" s="1739">
        <v>2106</v>
      </c>
      <c r="EM7" s="1739">
        <v>159</v>
      </c>
      <c r="EN7" s="1739">
        <v>971</v>
      </c>
      <c r="EO7" s="1739">
        <v>8453</v>
      </c>
      <c r="EQ7" s="525"/>
      <c r="ER7" s="382" t="s">
        <v>390</v>
      </c>
      <c r="ES7" s="1739">
        <v>374373</v>
      </c>
      <c r="ET7" s="1744">
        <v>307085</v>
      </c>
      <c r="EU7" s="1576">
        <v>297</v>
      </c>
      <c r="EV7" s="1739">
        <v>0</v>
      </c>
      <c r="EW7" s="1744">
        <v>860</v>
      </c>
      <c r="EX7" s="1576">
        <v>7860</v>
      </c>
      <c r="EY7" s="1744">
        <v>949</v>
      </c>
      <c r="EZ7" s="1739">
        <v>0</v>
      </c>
      <c r="FA7" s="1744">
        <v>2819</v>
      </c>
      <c r="FB7" s="1739">
        <v>0</v>
      </c>
      <c r="FC7" s="1744">
        <v>682</v>
      </c>
      <c r="FD7" s="1741">
        <v>634</v>
      </c>
      <c r="FE7" s="1744">
        <v>205</v>
      </c>
      <c r="FF7" s="1744">
        <v>1757</v>
      </c>
      <c r="FG7" s="1741">
        <f>343+1943</f>
        <v>2286</v>
      </c>
      <c r="FH7" s="862"/>
      <c r="FI7" s="862"/>
      <c r="FJ7" s="382" t="s">
        <v>8385</v>
      </c>
      <c r="FK7" s="1749">
        <v>565.07000000000005</v>
      </c>
      <c r="FL7" s="1749">
        <v>1112.18</v>
      </c>
      <c r="FM7" s="1750">
        <v>559.57000000000005</v>
      </c>
      <c r="FN7" s="1750">
        <v>1223.9100000000001</v>
      </c>
      <c r="FO7" s="1747">
        <v>527.47</v>
      </c>
      <c r="FP7" s="1747">
        <v>913.06</v>
      </c>
      <c r="FQ7" s="1749">
        <v>438.57</v>
      </c>
      <c r="FR7" s="1749">
        <v>740.27</v>
      </c>
      <c r="FS7" s="1749">
        <v>442.27</v>
      </c>
      <c r="FT7" s="1749">
        <v>741.74</v>
      </c>
      <c r="FU7" s="1747"/>
      <c r="FV7" s="1748"/>
      <c r="FW7" s="414">
        <v>2020</v>
      </c>
      <c r="FX7" s="752">
        <v>3.56</v>
      </c>
      <c r="FY7" s="752">
        <v>3.45</v>
      </c>
      <c r="FZ7" s="752">
        <v>3.42</v>
      </c>
      <c r="GA7" s="752">
        <v>4.25</v>
      </c>
      <c r="GB7" s="752">
        <v>3.92</v>
      </c>
      <c r="GC7" s="752">
        <v>4.26</v>
      </c>
      <c r="GD7" s="752">
        <v>4.38</v>
      </c>
      <c r="GE7" s="752">
        <v>4.43</v>
      </c>
      <c r="GF7" s="752">
        <v>4.2699999999999996</v>
      </c>
      <c r="GG7" s="752">
        <v>4.57</v>
      </c>
      <c r="GH7" s="752">
        <v>4.49</v>
      </c>
      <c r="GI7" s="752">
        <v>4.5599999999999996</v>
      </c>
      <c r="GJ7" s="752">
        <v>4.13</v>
      </c>
      <c r="GK7" s="473"/>
      <c r="GM7" s="398" t="s">
        <v>8386</v>
      </c>
      <c r="GN7" s="398">
        <v>0</v>
      </c>
      <c r="GO7" s="398">
        <v>0</v>
      </c>
      <c r="GP7" s="398">
        <v>0</v>
      </c>
      <c r="GQ7" s="385">
        <v>0</v>
      </c>
      <c r="GR7" s="398">
        <v>0</v>
      </c>
      <c r="GS7" s="398">
        <v>0</v>
      </c>
      <c r="GT7" s="398">
        <v>5</v>
      </c>
      <c r="GU7" s="385">
        <v>0</v>
      </c>
      <c r="GV7" s="398"/>
      <c r="GW7" s="398"/>
      <c r="GX7" s="757"/>
      <c r="GY7" s="757"/>
      <c r="GZ7" s="515"/>
      <c r="HA7" s="515"/>
      <c r="HB7" s="757"/>
      <c r="HC7" s="515"/>
      <c r="HD7" s="515"/>
      <c r="HE7" s="515"/>
      <c r="HF7" s="515"/>
      <c r="HG7" s="515"/>
      <c r="HH7" s="515"/>
      <c r="HI7" s="515"/>
      <c r="HJ7" s="515"/>
      <c r="HK7" s="515"/>
      <c r="HL7" s="382"/>
      <c r="HM7" s="398"/>
      <c r="HN7" s="757"/>
      <c r="HO7" s="757"/>
      <c r="HP7" s="515"/>
      <c r="HQ7" s="515"/>
      <c r="HR7" s="757"/>
      <c r="HS7" s="515"/>
      <c r="HT7" s="515"/>
      <c r="HU7" s="515"/>
      <c r="HV7" s="515"/>
      <c r="HW7" s="515"/>
      <c r="HX7" s="515"/>
      <c r="HY7" s="515"/>
      <c r="HZ7" s="515"/>
      <c r="IA7" s="515"/>
      <c r="IB7" s="515"/>
      <c r="IC7" s="515"/>
      <c r="ID7" s="549"/>
      <c r="IE7" s="549"/>
      <c r="IF7" s="549"/>
      <c r="IG7" s="398"/>
      <c r="IH7" s="463"/>
      <c r="II7" s="463"/>
      <c r="IJ7" s="515"/>
      <c r="IK7" s="463"/>
      <c r="IL7" s="463"/>
      <c r="IM7" s="463"/>
      <c r="IN7" s="549"/>
      <c r="IO7" s="562"/>
    </row>
    <row r="8" spans="1:249" ht="14.1" customHeight="1">
      <c r="A8" s="562" t="s">
        <v>397</v>
      </c>
      <c r="B8" s="562">
        <v>13544</v>
      </c>
      <c r="C8" s="562">
        <v>13638</v>
      </c>
      <c r="D8" s="562">
        <v>8831</v>
      </c>
      <c r="E8" s="562">
        <v>2887</v>
      </c>
      <c r="F8" s="562">
        <v>3297</v>
      </c>
      <c r="G8" s="562">
        <v>20729</v>
      </c>
      <c r="H8" s="562">
        <v>19092</v>
      </c>
      <c r="I8" s="641">
        <v>19132</v>
      </c>
      <c r="J8" s="562">
        <v>21652</v>
      </c>
      <c r="K8" s="562"/>
      <c r="L8" s="562"/>
      <c r="M8" s="549" t="s">
        <v>1947</v>
      </c>
      <c r="N8" s="562">
        <f t="shared" si="10"/>
        <v>56773</v>
      </c>
      <c r="O8" s="562">
        <f t="shared" si="4"/>
        <v>55354</v>
      </c>
      <c r="P8" s="562">
        <f t="shared" si="4"/>
        <v>11323</v>
      </c>
      <c r="Q8" s="562">
        <f t="shared" si="4"/>
        <v>3814</v>
      </c>
      <c r="R8" s="1729">
        <f t="shared" si="8"/>
        <v>2.5635003793763773</v>
      </c>
      <c r="S8" s="1729">
        <f t="shared" si="8"/>
        <v>388.86337543053958</v>
      </c>
      <c r="T8" s="1729">
        <f t="shared" si="5"/>
        <v>196.87991609858418</v>
      </c>
      <c r="U8" s="1729"/>
      <c r="V8" s="562"/>
      <c r="W8" s="1735" t="s">
        <v>1947</v>
      </c>
      <c r="X8" s="463">
        <f t="shared" si="9"/>
        <v>56148</v>
      </c>
      <c r="Y8" s="463">
        <v>14326</v>
      </c>
      <c r="Z8" s="463">
        <v>7974</v>
      </c>
      <c r="AA8" s="463">
        <v>2313</v>
      </c>
      <c r="AB8" s="463">
        <v>416</v>
      </c>
      <c r="AC8" s="463">
        <v>1072</v>
      </c>
      <c r="AD8" s="463">
        <v>28982</v>
      </c>
      <c r="AE8" s="463">
        <v>46</v>
      </c>
      <c r="AF8" s="463">
        <v>1019</v>
      </c>
      <c r="AG8" s="562"/>
      <c r="AI8" s="571" t="s">
        <v>8387</v>
      </c>
      <c r="AJ8" s="571"/>
      <c r="AK8" s="571"/>
      <c r="AL8" s="571"/>
      <c r="AM8" s="571"/>
      <c r="AN8" s="571"/>
      <c r="AO8" s="571"/>
      <c r="AP8" s="571"/>
      <c r="AQ8" s="398" t="s">
        <v>1949</v>
      </c>
      <c r="AR8" s="398">
        <v>5</v>
      </c>
      <c r="AS8" s="398">
        <v>77</v>
      </c>
      <c r="AT8" s="398">
        <v>74</v>
      </c>
      <c r="AU8" s="398">
        <v>80</v>
      </c>
      <c r="AV8" s="585">
        <v>73</v>
      </c>
      <c r="AW8" s="585">
        <v>76</v>
      </c>
      <c r="AX8" s="398">
        <v>77</v>
      </c>
      <c r="AY8" s="398">
        <v>67</v>
      </c>
      <c r="AZ8" s="385">
        <v>72</v>
      </c>
      <c r="BA8" s="398">
        <v>56</v>
      </c>
      <c r="BB8" s="398"/>
      <c r="BD8" s="1709" t="s">
        <v>1947</v>
      </c>
      <c r="BE8" s="1737">
        <v>2823331</v>
      </c>
      <c r="BF8" s="1737">
        <v>2518232.59</v>
      </c>
      <c r="BG8" s="1738">
        <v>1250539.3700000001</v>
      </c>
      <c r="BH8" s="1738">
        <v>785638.40000000002</v>
      </c>
      <c r="BI8" s="1738">
        <v>2147128.04</v>
      </c>
      <c r="BJ8" s="1733"/>
      <c r="BK8" s="1733"/>
      <c r="BL8" s="398" t="s">
        <v>8388</v>
      </c>
      <c r="BM8" s="402">
        <v>1985</v>
      </c>
      <c r="BN8" s="1066" t="s">
        <v>8028</v>
      </c>
      <c r="BO8" s="382">
        <v>98</v>
      </c>
      <c r="BP8" s="382">
        <v>98</v>
      </c>
      <c r="BQ8" s="1734">
        <v>98</v>
      </c>
      <c r="BR8" s="382">
        <v>98</v>
      </c>
      <c r="BS8" s="382">
        <v>98</v>
      </c>
      <c r="BT8" s="382">
        <v>98</v>
      </c>
      <c r="BU8" s="382">
        <v>98</v>
      </c>
      <c r="BV8" s="382">
        <v>98</v>
      </c>
      <c r="BW8" s="382">
        <v>98</v>
      </c>
      <c r="BX8" s="382">
        <v>98</v>
      </c>
      <c r="BY8" s="439">
        <v>90</v>
      </c>
      <c r="BZ8" s="382"/>
      <c r="CA8" s="382"/>
      <c r="CB8" s="385"/>
      <c r="CC8" s="391">
        <v>2020</v>
      </c>
      <c r="CD8" s="463">
        <f t="shared" si="11"/>
        <v>361486</v>
      </c>
      <c r="CE8" s="463">
        <v>87662</v>
      </c>
      <c r="CF8" s="463">
        <v>82421</v>
      </c>
      <c r="CG8" s="463">
        <v>77312</v>
      </c>
      <c r="CH8" s="463">
        <v>9387</v>
      </c>
      <c r="CI8" s="463">
        <v>13356</v>
      </c>
      <c r="CJ8" s="463">
        <v>16569</v>
      </c>
      <c r="CK8" s="463">
        <v>7749</v>
      </c>
      <c r="CL8" s="463">
        <v>15624</v>
      </c>
      <c r="CM8" s="463">
        <v>14742</v>
      </c>
      <c r="CN8" s="463">
        <v>15624</v>
      </c>
      <c r="CO8" s="463">
        <v>11391</v>
      </c>
      <c r="CP8" s="463">
        <v>9649</v>
      </c>
      <c r="CQ8" s="385"/>
      <c r="CR8" s="562"/>
      <c r="CS8" s="382" t="s">
        <v>399</v>
      </c>
      <c r="CT8" s="1744">
        <v>4444</v>
      </c>
      <c r="CU8" s="1744">
        <v>3268</v>
      </c>
      <c r="CV8" s="1744">
        <v>3205</v>
      </c>
      <c r="CW8" s="1744">
        <v>3185</v>
      </c>
      <c r="CX8" s="1744">
        <v>14</v>
      </c>
      <c r="CY8" s="1576">
        <v>10</v>
      </c>
      <c r="CZ8" s="1744">
        <v>20</v>
      </c>
      <c r="DA8" s="1744">
        <v>907</v>
      </c>
      <c r="DB8" s="1744">
        <v>63</v>
      </c>
      <c r="DC8" s="1744">
        <v>269</v>
      </c>
      <c r="DD8" s="862"/>
      <c r="DF8" s="585" t="s">
        <v>398</v>
      </c>
      <c r="DG8" s="1739">
        <v>4886</v>
      </c>
      <c r="DH8" s="1739">
        <v>266</v>
      </c>
      <c r="DI8" s="1739">
        <v>348</v>
      </c>
      <c r="DJ8" s="1739">
        <v>816</v>
      </c>
      <c r="DK8" s="1739">
        <v>797</v>
      </c>
      <c r="DL8" s="1739">
        <v>503</v>
      </c>
      <c r="DM8" s="1739">
        <v>361</v>
      </c>
      <c r="DN8" s="1739">
        <v>401</v>
      </c>
      <c r="DO8" s="1739">
        <v>113</v>
      </c>
      <c r="DP8" s="1739">
        <v>54</v>
      </c>
      <c r="DQ8" s="1739">
        <v>158</v>
      </c>
      <c r="DR8" s="1739">
        <v>0</v>
      </c>
      <c r="DS8" s="1739">
        <v>0</v>
      </c>
      <c r="DT8" s="1739">
        <v>0</v>
      </c>
      <c r="DU8" s="1739">
        <v>42</v>
      </c>
      <c r="DV8" s="862"/>
      <c r="DX8" s="382" t="s">
        <v>398</v>
      </c>
      <c r="DY8" s="1740">
        <v>4886</v>
      </c>
      <c r="DZ8" s="1740">
        <v>1834</v>
      </c>
      <c r="EA8" s="1740">
        <v>350</v>
      </c>
      <c r="EB8" s="1740">
        <v>160</v>
      </c>
      <c r="EC8" s="1740">
        <v>75</v>
      </c>
      <c r="ED8" s="1740">
        <v>40</v>
      </c>
      <c r="EE8" s="1740">
        <v>610</v>
      </c>
      <c r="EF8" s="525"/>
      <c r="EH8" s="382" t="s">
        <v>399</v>
      </c>
      <c r="EI8" s="1739">
        <v>3596</v>
      </c>
      <c r="EJ8" s="1739">
        <v>2394</v>
      </c>
      <c r="EK8" s="1576">
        <v>0</v>
      </c>
      <c r="EL8" s="1739">
        <v>177</v>
      </c>
      <c r="EM8" s="1739">
        <v>37</v>
      </c>
      <c r="EN8" s="1739">
        <v>3</v>
      </c>
      <c r="EO8" s="1739">
        <v>260</v>
      </c>
      <c r="EQ8" s="525"/>
      <c r="ER8" s="382" t="s">
        <v>399</v>
      </c>
      <c r="ES8" s="1739">
        <v>3596</v>
      </c>
      <c r="ET8" s="1744">
        <v>1762</v>
      </c>
      <c r="EU8" s="1744">
        <v>66</v>
      </c>
      <c r="EV8" s="1739">
        <v>0</v>
      </c>
      <c r="EW8" s="1744">
        <v>78</v>
      </c>
      <c r="EX8" s="1744">
        <v>56</v>
      </c>
      <c r="EY8" s="1744">
        <v>6</v>
      </c>
      <c r="EZ8" s="1739">
        <v>0</v>
      </c>
      <c r="FA8" s="1744">
        <v>140</v>
      </c>
      <c r="FB8" s="1739">
        <v>0</v>
      </c>
      <c r="FC8" s="1744">
        <v>11</v>
      </c>
      <c r="FD8" s="1741">
        <v>58</v>
      </c>
      <c r="FE8" s="1744">
        <v>78</v>
      </c>
      <c r="FF8" s="1744">
        <v>252</v>
      </c>
      <c r="FG8" s="1741">
        <f>17+100</f>
        <v>117</v>
      </c>
      <c r="FH8" s="862"/>
      <c r="FI8" s="862"/>
      <c r="FJ8" s="382" t="s">
        <v>8389</v>
      </c>
      <c r="FK8" s="1749">
        <v>1263.8499999999999</v>
      </c>
      <c r="FL8" s="1751" t="s">
        <v>1627</v>
      </c>
      <c r="FM8" s="1750">
        <v>1259.3699999999999</v>
      </c>
      <c r="FN8" s="1751" t="s">
        <v>1627</v>
      </c>
      <c r="FO8" s="1747">
        <v>1498.91</v>
      </c>
      <c r="FP8" s="1575" t="s">
        <v>1627</v>
      </c>
      <c r="FQ8" s="1749">
        <v>1288.1300000000001</v>
      </c>
      <c r="FR8" s="439" t="s">
        <v>1627</v>
      </c>
      <c r="FS8" s="1749">
        <v>1262.32</v>
      </c>
      <c r="FT8" s="439" t="s">
        <v>1627</v>
      </c>
      <c r="FU8" s="1747"/>
      <c r="FV8" s="1748"/>
      <c r="FW8" s="414">
        <v>2019</v>
      </c>
      <c r="FX8" s="752">
        <v>3.5968</v>
      </c>
      <c r="FY8" s="752">
        <v>3.5007999999999999</v>
      </c>
      <c r="FZ8" s="752">
        <v>3.4311999999999996</v>
      </c>
      <c r="GA8" s="752">
        <v>3.5400999999999998</v>
      </c>
      <c r="GB8" s="752">
        <v>3.5154999999999998</v>
      </c>
      <c r="GC8" s="752">
        <v>3.5338000000000003</v>
      </c>
      <c r="GD8" s="752">
        <v>3.6248999999999998</v>
      </c>
      <c r="GE8" s="752">
        <v>3.6027</v>
      </c>
      <c r="GF8" s="752">
        <v>3.4593000000000007</v>
      </c>
      <c r="GG8" s="752">
        <v>3.5</v>
      </c>
      <c r="GH8" s="752">
        <v>3.4402000000000004</v>
      </c>
      <c r="GI8" s="752">
        <v>3.6362999999999999</v>
      </c>
      <c r="GJ8" s="752">
        <v>3.5308333333333337</v>
      </c>
      <c r="GK8" s="1622"/>
      <c r="GM8" s="398" t="s">
        <v>8390</v>
      </c>
      <c r="GN8" s="519">
        <v>90</v>
      </c>
      <c r="GO8" s="519">
        <v>10</v>
      </c>
      <c r="GP8" s="398">
        <v>18</v>
      </c>
      <c r="GQ8" s="385">
        <v>9</v>
      </c>
      <c r="GR8" s="519" t="s">
        <v>546</v>
      </c>
      <c r="GS8" s="519" t="s">
        <v>546</v>
      </c>
      <c r="GT8" s="398">
        <v>120</v>
      </c>
      <c r="GU8" s="385" t="s">
        <v>546</v>
      </c>
      <c r="GV8" s="515"/>
      <c r="GW8" s="398"/>
      <c r="GX8" s="515"/>
      <c r="GY8" s="515"/>
      <c r="GZ8" s="515"/>
      <c r="HA8" s="515"/>
      <c r="HB8" s="515"/>
      <c r="HC8" s="515"/>
      <c r="HD8" s="515"/>
      <c r="HE8" s="515"/>
      <c r="HF8" s="515"/>
      <c r="HG8" s="515"/>
      <c r="HH8" s="515"/>
      <c r="HI8" s="515"/>
      <c r="HJ8" s="515"/>
      <c r="HK8" s="515"/>
      <c r="HL8" s="382"/>
      <c r="HM8" s="398"/>
      <c r="HN8" s="515"/>
      <c r="HO8" s="515"/>
      <c r="HP8" s="515"/>
      <c r="HQ8" s="515"/>
      <c r="HR8" s="515"/>
      <c r="HS8" s="515"/>
      <c r="HT8" s="515"/>
      <c r="HU8" s="515"/>
      <c r="HV8" s="515"/>
      <c r="HW8" s="515"/>
      <c r="HX8" s="515"/>
      <c r="HY8" s="515"/>
      <c r="HZ8" s="515"/>
      <c r="IA8" s="515"/>
      <c r="IB8" s="515"/>
      <c r="IC8" s="515"/>
      <c r="ID8" s="549"/>
      <c r="IE8" s="549"/>
      <c r="IF8" s="549"/>
      <c r="IG8" s="398"/>
      <c r="IH8" s="463"/>
      <c r="II8" s="463"/>
      <c r="IJ8" s="515"/>
      <c r="IK8" s="463"/>
      <c r="IL8" s="463"/>
      <c r="IM8" s="463"/>
      <c r="IN8" s="549"/>
      <c r="IO8" s="562"/>
    </row>
    <row r="9" spans="1:249" ht="14.1" customHeight="1">
      <c r="A9" s="562" t="s">
        <v>390</v>
      </c>
      <c r="B9" s="562">
        <v>374373</v>
      </c>
      <c r="C9" s="562">
        <v>351278</v>
      </c>
      <c r="D9" s="562">
        <v>192145</v>
      </c>
      <c r="E9" s="562">
        <v>8002</v>
      </c>
      <c r="F9" s="562">
        <v>124181</v>
      </c>
      <c r="G9" s="562">
        <v>753357</v>
      </c>
      <c r="H9" s="562">
        <v>746986</v>
      </c>
      <c r="I9" s="641">
        <v>685228</v>
      </c>
      <c r="J9" s="562">
        <v>544964</v>
      </c>
      <c r="K9" s="562"/>
      <c r="L9" s="562"/>
      <c r="M9" s="549" t="s">
        <v>1948</v>
      </c>
      <c r="N9" s="562">
        <f t="shared" si="10"/>
        <v>51420</v>
      </c>
      <c r="O9" s="562">
        <f t="shared" si="4"/>
        <v>44347</v>
      </c>
      <c r="P9" s="562">
        <f t="shared" si="4"/>
        <v>20008</v>
      </c>
      <c r="Q9" s="562">
        <f t="shared" si="4"/>
        <v>4352</v>
      </c>
      <c r="R9" s="1729">
        <f t="shared" si="8"/>
        <v>15.94921866191625</v>
      </c>
      <c r="S9" s="1729">
        <f t="shared" si="8"/>
        <v>121.64634146341464</v>
      </c>
      <c r="T9" s="1729">
        <f t="shared" si="5"/>
        <v>359.74264705882354</v>
      </c>
      <c r="U9" s="1729"/>
      <c r="V9" s="562"/>
      <c r="W9" s="1735" t="s">
        <v>1948</v>
      </c>
      <c r="X9" s="463">
        <f t="shared" si="9"/>
        <v>51339</v>
      </c>
      <c r="Y9" s="463">
        <v>12035</v>
      </c>
      <c r="Z9" s="463">
        <v>6271</v>
      </c>
      <c r="AA9" s="463">
        <v>2446</v>
      </c>
      <c r="AB9" s="463">
        <v>133</v>
      </c>
      <c r="AC9" s="463">
        <v>988</v>
      </c>
      <c r="AD9" s="463">
        <v>28338</v>
      </c>
      <c r="AE9" s="463">
        <v>52</v>
      </c>
      <c r="AF9" s="463">
        <v>1076</v>
      </c>
      <c r="AG9" s="562"/>
      <c r="AI9" s="1752"/>
      <c r="AJ9" s="1752"/>
      <c r="AK9" s="1752"/>
      <c r="AL9" s="1752"/>
      <c r="AM9" s="1752"/>
      <c r="AN9" s="1752"/>
      <c r="AO9" s="1752"/>
      <c r="AP9" s="1752"/>
      <c r="AQ9" s="398" t="s">
        <v>1950</v>
      </c>
      <c r="AR9" s="398">
        <v>8</v>
      </c>
      <c r="AS9" s="398">
        <v>81</v>
      </c>
      <c r="AT9" s="398">
        <v>79</v>
      </c>
      <c r="AU9" s="398">
        <v>76</v>
      </c>
      <c r="AV9" s="585">
        <v>72</v>
      </c>
      <c r="AW9" s="585">
        <v>77</v>
      </c>
      <c r="AX9" s="398">
        <v>67</v>
      </c>
      <c r="AY9" s="398">
        <v>75</v>
      </c>
      <c r="AZ9" s="385">
        <v>79</v>
      </c>
      <c r="BA9" s="398">
        <v>74</v>
      </c>
      <c r="BB9" s="398"/>
      <c r="BD9" s="1709" t="s">
        <v>1948</v>
      </c>
      <c r="BE9" s="1737">
        <v>2380863</v>
      </c>
      <c r="BF9" s="1737">
        <v>2137650.5299999998</v>
      </c>
      <c r="BG9" s="1738">
        <v>1000624.89</v>
      </c>
      <c r="BH9" s="1738">
        <v>718914.95</v>
      </c>
      <c r="BI9" s="1738">
        <v>1749465.15</v>
      </c>
      <c r="BJ9" s="1733"/>
      <c r="BK9" s="1733"/>
      <c r="BL9" s="398" t="s">
        <v>8391</v>
      </c>
      <c r="BM9" s="402">
        <v>1997</v>
      </c>
      <c r="BN9" s="1066" t="s">
        <v>8028</v>
      </c>
      <c r="BO9" s="382">
        <v>116</v>
      </c>
      <c r="BP9" s="382">
        <v>116</v>
      </c>
      <c r="BQ9" s="1734">
        <v>116</v>
      </c>
      <c r="BR9" s="382">
        <v>116</v>
      </c>
      <c r="BS9" s="382">
        <v>124</v>
      </c>
      <c r="BT9" s="382">
        <v>124</v>
      </c>
      <c r="BU9" s="382">
        <v>124</v>
      </c>
      <c r="BV9" s="382">
        <v>124</v>
      </c>
      <c r="BW9" s="382">
        <v>124</v>
      </c>
      <c r="BX9" s="382">
        <v>124</v>
      </c>
      <c r="BY9" s="439">
        <v>124</v>
      </c>
      <c r="BZ9" s="382"/>
      <c r="CA9" s="382"/>
      <c r="CB9" s="385"/>
      <c r="CC9" s="391">
        <v>2019</v>
      </c>
      <c r="CD9" s="463">
        <f t="shared" si="11"/>
        <v>873774</v>
      </c>
      <c r="CE9" s="463">
        <v>81633</v>
      </c>
      <c r="CF9" s="463">
        <v>73416</v>
      </c>
      <c r="CG9" s="463">
        <v>86416</v>
      </c>
      <c r="CH9" s="463">
        <v>59437</v>
      </c>
      <c r="CI9" s="463">
        <v>58440</v>
      </c>
      <c r="CJ9" s="463">
        <v>54044</v>
      </c>
      <c r="CK9" s="463">
        <v>62774</v>
      </c>
      <c r="CL9" s="463">
        <v>91672</v>
      </c>
      <c r="CM9" s="463">
        <v>78863</v>
      </c>
      <c r="CN9" s="463">
        <v>71299</v>
      </c>
      <c r="CO9" s="463">
        <v>76594</v>
      </c>
      <c r="CP9" s="463">
        <v>79186</v>
      </c>
      <c r="CQ9" s="385"/>
      <c r="CR9" s="562"/>
      <c r="CS9" s="382" t="s">
        <v>398</v>
      </c>
      <c r="CT9" s="1744">
        <v>6082</v>
      </c>
      <c r="CU9" s="1744">
        <v>5006</v>
      </c>
      <c r="CV9" s="1744">
        <v>4886</v>
      </c>
      <c r="CW9" s="1744">
        <v>4841</v>
      </c>
      <c r="CX9" s="1744">
        <v>42</v>
      </c>
      <c r="CY9" s="1576">
        <v>20</v>
      </c>
      <c r="CZ9" s="1744">
        <v>45</v>
      </c>
      <c r="DA9" s="1744">
        <v>776</v>
      </c>
      <c r="DB9" s="1744">
        <v>120</v>
      </c>
      <c r="DC9" s="1744">
        <v>300</v>
      </c>
      <c r="DD9" s="862"/>
      <c r="DE9" s="525"/>
      <c r="DF9" s="585" t="s">
        <v>388</v>
      </c>
      <c r="DG9" s="1739">
        <v>85119</v>
      </c>
      <c r="DH9" s="1739">
        <v>7519</v>
      </c>
      <c r="DI9" s="1739">
        <v>5690</v>
      </c>
      <c r="DJ9" s="1739">
        <v>7790</v>
      </c>
      <c r="DK9" s="1739">
        <v>6269</v>
      </c>
      <c r="DL9" s="1739">
        <v>5221</v>
      </c>
      <c r="DM9" s="1739">
        <v>5099</v>
      </c>
      <c r="DN9" s="1739">
        <v>11275</v>
      </c>
      <c r="DO9" s="1739">
        <v>8853</v>
      </c>
      <c r="DP9" s="1739">
        <v>7249</v>
      </c>
      <c r="DQ9" s="1739">
        <v>5721</v>
      </c>
      <c r="DR9" s="1739">
        <v>17</v>
      </c>
      <c r="DS9" s="1739">
        <v>0</v>
      </c>
      <c r="DT9" s="1739">
        <v>0</v>
      </c>
      <c r="DU9" s="1739">
        <v>773</v>
      </c>
      <c r="DV9" s="862"/>
      <c r="DX9" s="382" t="s">
        <v>388</v>
      </c>
      <c r="DY9" s="1739">
        <v>85119</v>
      </c>
      <c r="DZ9" s="1740">
        <v>21847</v>
      </c>
      <c r="EA9" s="1740">
        <v>10732</v>
      </c>
      <c r="EB9" s="1740">
        <v>5707</v>
      </c>
      <c r="EC9" s="1740">
        <v>3439</v>
      </c>
      <c r="ED9" s="1740">
        <v>2113</v>
      </c>
      <c r="EE9" s="1740">
        <v>23783</v>
      </c>
      <c r="EF9" s="525"/>
      <c r="EH9" s="382" t="s">
        <v>398</v>
      </c>
      <c r="EI9" s="1739">
        <v>4886</v>
      </c>
      <c r="EJ9" s="1739">
        <v>2520</v>
      </c>
      <c r="EK9" s="1576">
        <v>0</v>
      </c>
      <c r="EL9" s="1739">
        <v>63</v>
      </c>
      <c r="EM9" s="1739">
        <v>98</v>
      </c>
      <c r="EN9" s="1739">
        <v>3</v>
      </c>
      <c r="EO9" s="1739">
        <v>468</v>
      </c>
      <c r="EQ9" s="525"/>
      <c r="ER9" s="382" t="s">
        <v>398</v>
      </c>
      <c r="ES9" s="1739">
        <v>4886</v>
      </c>
      <c r="ET9" s="1744">
        <v>2378</v>
      </c>
      <c r="EU9" s="1744">
        <v>14</v>
      </c>
      <c r="EV9" s="1739">
        <v>0</v>
      </c>
      <c r="EW9" s="1744">
        <v>43</v>
      </c>
      <c r="EX9" s="1744">
        <v>17</v>
      </c>
      <c r="EY9" s="1744">
        <v>20</v>
      </c>
      <c r="EZ9" s="1739">
        <v>0</v>
      </c>
      <c r="FA9" s="1744">
        <v>45</v>
      </c>
      <c r="FB9" s="1739">
        <v>0</v>
      </c>
      <c r="FC9" s="1744">
        <v>62</v>
      </c>
      <c r="FD9" s="1741">
        <v>192</v>
      </c>
      <c r="FE9" s="1744">
        <v>79</v>
      </c>
      <c r="FF9" s="1744">
        <v>78</v>
      </c>
      <c r="FG9" s="1741">
        <f>34+227</f>
        <v>261</v>
      </c>
      <c r="FH9" s="862"/>
      <c r="FI9" s="862"/>
      <c r="FJ9" s="382" t="s">
        <v>390</v>
      </c>
      <c r="FK9" s="382"/>
      <c r="FL9" s="382"/>
      <c r="FM9" s="382"/>
      <c r="FN9" s="382"/>
      <c r="FO9" s="382"/>
      <c r="FP9" s="382"/>
      <c r="FQ9" s="382"/>
      <c r="FR9" s="382"/>
      <c r="FS9" s="382"/>
      <c r="FT9" s="382"/>
      <c r="FU9" s="382"/>
      <c r="FW9" s="414">
        <v>2018</v>
      </c>
      <c r="FX9" s="752">
        <v>3.6379000000000001</v>
      </c>
      <c r="FY9" s="752">
        <v>3.5314000000000001</v>
      </c>
      <c r="FZ9" s="752">
        <v>3.4732000000000003</v>
      </c>
      <c r="GA9" s="752">
        <v>3.5334000000000003</v>
      </c>
      <c r="GB9" s="752">
        <v>3.5124999999999997</v>
      </c>
      <c r="GC9" s="752">
        <v>3.5609999999999999</v>
      </c>
      <c r="GD9" s="752">
        <v>3.6539999999999999</v>
      </c>
      <c r="GE9" s="752">
        <v>3.6248999999999998</v>
      </c>
      <c r="GF9" s="752">
        <v>3.5354000000000001</v>
      </c>
      <c r="GG9" s="752">
        <v>3.5379999999999998</v>
      </c>
      <c r="GH9" s="752">
        <v>3.4870000000000001</v>
      </c>
      <c r="GI9" s="752">
        <v>3.6348000000000003</v>
      </c>
      <c r="GJ9" s="752">
        <v>3.5602916666666666</v>
      </c>
      <c r="GK9" s="382"/>
      <c r="GM9" s="398" t="s">
        <v>486</v>
      </c>
      <c r="GN9" s="398">
        <v>0</v>
      </c>
      <c r="GO9" s="398">
        <v>0</v>
      </c>
      <c r="GP9" s="398">
        <v>0</v>
      </c>
      <c r="GQ9" s="398">
        <v>0</v>
      </c>
      <c r="GR9" s="398">
        <v>0</v>
      </c>
      <c r="GS9" s="398">
        <v>0</v>
      </c>
      <c r="GT9" s="398">
        <v>0</v>
      </c>
      <c r="GU9" s="398">
        <v>0</v>
      </c>
      <c r="GV9" s="398"/>
      <c r="GW9" s="398"/>
      <c r="GX9" s="515"/>
      <c r="GY9" s="515"/>
      <c r="GZ9" s="515"/>
      <c r="HA9" s="515"/>
      <c r="HB9" s="515"/>
      <c r="HC9" s="515"/>
      <c r="HD9" s="515"/>
      <c r="HE9" s="515"/>
      <c r="HF9" s="515"/>
      <c r="HG9" s="515"/>
      <c r="HH9" s="515"/>
      <c r="HI9" s="515"/>
      <c r="HJ9" s="515"/>
      <c r="HK9" s="515"/>
      <c r="HL9" s="382"/>
      <c r="HM9" s="398"/>
      <c r="HN9" s="515"/>
      <c r="HO9" s="515"/>
      <c r="HP9" s="515"/>
      <c r="HQ9" s="515"/>
      <c r="HR9" s="515"/>
      <c r="HS9" s="515"/>
      <c r="HT9" s="515"/>
      <c r="HU9" s="515"/>
      <c r="HV9" s="515"/>
      <c r="HW9" s="515"/>
      <c r="HX9" s="515"/>
      <c r="HY9" s="515"/>
      <c r="HZ9" s="515"/>
      <c r="IA9" s="515"/>
      <c r="IB9" s="515"/>
      <c r="IC9" s="515"/>
      <c r="ID9" s="549"/>
      <c r="IE9" s="549"/>
      <c r="IF9" s="549"/>
      <c r="IG9" s="398"/>
      <c r="IH9" s="463"/>
      <c r="II9" s="463"/>
      <c r="IJ9" s="515"/>
      <c r="IK9" s="463"/>
      <c r="IL9" s="463"/>
      <c r="IM9" s="463"/>
      <c r="IN9" s="549"/>
      <c r="IO9" s="562"/>
    </row>
    <row r="10" spans="1:249" ht="14.1" customHeight="1">
      <c r="A10" s="562" t="s">
        <v>393</v>
      </c>
      <c r="B10" s="562">
        <v>702</v>
      </c>
      <c r="C10" s="562">
        <v>818</v>
      </c>
      <c r="D10" s="562">
        <v>246</v>
      </c>
      <c r="E10" s="562">
        <v>29</v>
      </c>
      <c r="F10" s="562">
        <v>487</v>
      </c>
      <c r="G10" s="562">
        <v>5116</v>
      </c>
      <c r="H10" s="562">
        <v>6587</v>
      </c>
      <c r="I10" s="641">
        <v>14745</v>
      </c>
      <c r="J10" s="562">
        <v>9377</v>
      </c>
      <c r="K10" s="562"/>
      <c r="L10" s="562"/>
      <c r="M10" s="549" t="s">
        <v>1949</v>
      </c>
      <c r="N10" s="562">
        <f t="shared" si="10"/>
        <v>52013</v>
      </c>
      <c r="O10" s="562">
        <f t="shared" si="4"/>
        <v>17310</v>
      </c>
      <c r="P10" s="562">
        <f t="shared" si="4"/>
        <v>28278</v>
      </c>
      <c r="Q10" s="562">
        <f t="shared" si="4"/>
        <v>7438</v>
      </c>
      <c r="R10" s="1729">
        <f t="shared" si="8"/>
        <v>200.4794916233391</v>
      </c>
      <c r="S10" s="1729">
        <f t="shared" si="8"/>
        <v>-38.786335667303199</v>
      </c>
      <c r="T10" s="1729">
        <f t="shared" si="5"/>
        <v>280.18284485076634</v>
      </c>
      <c r="U10" s="1729"/>
      <c r="V10" s="562"/>
      <c r="W10" s="1735" t="s">
        <v>1949</v>
      </c>
      <c r="X10" s="463">
        <f t="shared" si="9"/>
        <v>51786</v>
      </c>
      <c r="Y10" s="463">
        <v>10952</v>
      </c>
      <c r="Z10" s="463">
        <v>9082</v>
      </c>
      <c r="AA10" s="463">
        <v>3103</v>
      </c>
      <c r="AB10" s="463">
        <v>173</v>
      </c>
      <c r="AC10" s="463">
        <v>1153</v>
      </c>
      <c r="AD10" s="463">
        <v>26235</v>
      </c>
      <c r="AE10" s="463">
        <v>69</v>
      </c>
      <c r="AF10" s="463">
        <v>1019</v>
      </c>
      <c r="AG10" s="562"/>
      <c r="AQ10" s="398" t="s">
        <v>1951</v>
      </c>
      <c r="AR10" s="398">
        <v>10</v>
      </c>
      <c r="AS10" s="398">
        <v>87</v>
      </c>
      <c r="AT10" s="398">
        <v>79</v>
      </c>
      <c r="AU10" s="398">
        <v>87</v>
      </c>
      <c r="AV10" s="585">
        <v>85</v>
      </c>
      <c r="AW10" s="585">
        <v>85</v>
      </c>
      <c r="AX10" s="398">
        <v>76</v>
      </c>
      <c r="AY10" s="398">
        <v>85</v>
      </c>
      <c r="AZ10" s="385">
        <v>65</v>
      </c>
      <c r="BA10" s="398">
        <v>83</v>
      </c>
      <c r="BB10" s="398"/>
      <c r="BD10" s="1709" t="s">
        <v>1949</v>
      </c>
      <c r="BE10" s="1737">
        <v>2371618</v>
      </c>
      <c r="BF10" s="1737">
        <v>3017124.11</v>
      </c>
      <c r="BG10" s="1738">
        <v>1108148.3899999999</v>
      </c>
      <c r="BH10" s="1738">
        <v>968957.95</v>
      </c>
      <c r="BI10" s="1738">
        <v>525277.44999999995</v>
      </c>
      <c r="BJ10" s="1733"/>
      <c r="BK10" s="1733"/>
      <c r="BL10" s="398" t="s">
        <v>8392</v>
      </c>
      <c r="BM10" s="402">
        <v>1996</v>
      </c>
      <c r="BN10" s="1066" t="s">
        <v>2202</v>
      </c>
      <c r="BO10" s="382">
        <v>51</v>
      </c>
      <c r="BP10" s="382">
        <v>51</v>
      </c>
      <c r="BQ10" s="1734">
        <v>51</v>
      </c>
      <c r="BR10" s="382">
        <v>51</v>
      </c>
      <c r="BS10" s="382">
        <v>51</v>
      </c>
      <c r="BT10" s="382">
        <v>51</v>
      </c>
      <c r="BU10" s="382">
        <v>51</v>
      </c>
      <c r="BV10" s="382">
        <v>51</v>
      </c>
      <c r="BW10" s="382">
        <v>51</v>
      </c>
      <c r="BX10" s="382">
        <v>51</v>
      </c>
      <c r="BY10" s="439">
        <v>50</v>
      </c>
      <c r="BZ10" s="382"/>
      <c r="CA10" s="382"/>
      <c r="CB10" s="519"/>
      <c r="CC10" s="391">
        <v>2018</v>
      </c>
      <c r="CD10" s="463">
        <f t="shared" si="11"/>
        <v>733182</v>
      </c>
      <c r="CE10" s="382">
        <v>61352</v>
      </c>
      <c r="CF10" s="463">
        <v>55018</v>
      </c>
      <c r="CG10" s="463">
        <v>68585</v>
      </c>
      <c r="CH10" s="463">
        <v>53430</v>
      </c>
      <c r="CI10" s="463">
        <v>51258</v>
      </c>
      <c r="CJ10" s="463">
        <v>45008</v>
      </c>
      <c r="CK10" s="463">
        <v>52952</v>
      </c>
      <c r="CL10" s="463">
        <v>72458</v>
      </c>
      <c r="CM10" s="463">
        <v>59263</v>
      </c>
      <c r="CN10" s="463">
        <v>60152</v>
      </c>
      <c r="CO10" s="463">
        <v>74167</v>
      </c>
      <c r="CP10" s="463">
        <v>79539</v>
      </c>
      <c r="CQ10" s="519"/>
      <c r="CR10" s="562"/>
      <c r="CS10" s="382" t="s">
        <v>1967</v>
      </c>
      <c r="CT10" s="1744">
        <v>221681</v>
      </c>
      <c r="CU10" s="1744">
        <v>195588</v>
      </c>
      <c r="CV10" s="1576">
        <v>0</v>
      </c>
      <c r="CW10" s="1576">
        <v>0</v>
      </c>
      <c r="CX10" s="1576">
        <v>0</v>
      </c>
      <c r="CY10" s="1576">
        <v>0</v>
      </c>
      <c r="CZ10" s="1576">
        <v>0</v>
      </c>
      <c r="DA10" s="1744">
        <v>852</v>
      </c>
      <c r="DB10" s="1744">
        <v>221549</v>
      </c>
      <c r="DC10" s="1744">
        <v>25241</v>
      </c>
      <c r="DD10" s="862"/>
      <c r="DE10" s="525"/>
      <c r="DF10" s="585" t="s">
        <v>8316</v>
      </c>
      <c r="DG10" s="1739">
        <f>13261+12439+3703+628</f>
        <v>30031</v>
      </c>
      <c r="DH10" s="1739">
        <v>5709</v>
      </c>
      <c r="DI10" s="1739">
        <v>3346</v>
      </c>
      <c r="DJ10" s="1739">
        <v>3728</v>
      </c>
      <c r="DK10" s="1739">
        <v>2356</v>
      </c>
      <c r="DL10" s="1739">
        <v>1489</v>
      </c>
      <c r="DM10" s="1739">
        <v>1298</v>
      </c>
      <c r="DN10" s="1739">
        <v>2578</v>
      </c>
      <c r="DO10" s="1739">
        <v>911</v>
      </c>
      <c r="DP10" s="1739">
        <v>479</v>
      </c>
      <c r="DQ10" s="1739">
        <v>594</v>
      </c>
      <c r="DR10" s="1739">
        <v>14</v>
      </c>
      <c r="DS10" s="1739">
        <v>0</v>
      </c>
      <c r="DT10" s="1739">
        <v>0</v>
      </c>
      <c r="DU10" s="1739">
        <v>733</v>
      </c>
      <c r="DV10" s="862"/>
      <c r="DX10" s="382" t="s">
        <v>8316</v>
      </c>
      <c r="DY10" s="1739">
        <f>13261+12439+3703+628</f>
        <v>30031</v>
      </c>
      <c r="DZ10" s="1740">
        <v>1198</v>
      </c>
      <c r="EA10" s="1740">
        <v>1446</v>
      </c>
      <c r="EB10" s="1740">
        <v>1083</v>
      </c>
      <c r="EC10" s="1740">
        <v>935</v>
      </c>
      <c r="ED10" s="1740">
        <v>582</v>
      </c>
      <c r="EE10" s="1740">
        <v>16761</v>
      </c>
      <c r="EF10" s="525"/>
      <c r="EH10" s="382" t="s">
        <v>388</v>
      </c>
      <c r="EI10" s="1739">
        <v>85119</v>
      </c>
      <c r="EJ10" s="1739">
        <v>42572</v>
      </c>
      <c r="EK10" s="1576">
        <v>0</v>
      </c>
      <c r="EL10" s="1739">
        <v>12452</v>
      </c>
      <c r="EM10" s="1739">
        <v>3425</v>
      </c>
      <c r="EN10" s="1739">
        <v>41</v>
      </c>
      <c r="EO10" s="1739">
        <v>12261</v>
      </c>
      <c r="EQ10" s="525"/>
      <c r="ER10" s="382" t="s">
        <v>388</v>
      </c>
      <c r="ES10" s="1739">
        <v>85119</v>
      </c>
      <c r="ET10" s="1744">
        <v>16490</v>
      </c>
      <c r="EU10" s="1744">
        <v>4003</v>
      </c>
      <c r="EV10" s="1739">
        <v>0</v>
      </c>
      <c r="EW10" s="1744">
        <v>1811</v>
      </c>
      <c r="EX10" s="1744">
        <v>116</v>
      </c>
      <c r="EY10" s="1744">
        <v>86</v>
      </c>
      <c r="EZ10" s="1739">
        <v>0</v>
      </c>
      <c r="FA10" s="1744">
        <v>6821</v>
      </c>
      <c r="FB10" s="1739">
        <v>0</v>
      </c>
      <c r="FC10" s="1744">
        <v>429</v>
      </c>
      <c r="FD10" s="1741">
        <v>17512</v>
      </c>
      <c r="FE10" s="1744">
        <v>13336</v>
      </c>
      <c r="FF10" s="1744">
        <v>2707</v>
      </c>
      <c r="FG10" s="1646">
        <f>873+4437</f>
        <v>5310</v>
      </c>
      <c r="FH10" s="862"/>
      <c r="FI10" s="862"/>
      <c r="FJ10" s="391" t="s">
        <v>8382</v>
      </c>
      <c r="FK10" s="1745">
        <v>827.92</v>
      </c>
      <c r="FL10" s="1745">
        <v>3134.55</v>
      </c>
      <c r="FM10" s="1746">
        <v>782.37</v>
      </c>
      <c r="FN10" s="1746">
        <v>2633.84</v>
      </c>
      <c r="FO10" s="1745">
        <v>754.38</v>
      </c>
      <c r="FP10" s="1745">
        <v>2868.04</v>
      </c>
      <c r="FQ10" s="1747">
        <v>788.49</v>
      </c>
      <c r="FR10" s="1747">
        <v>2367.2399999999998</v>
      </c>
      <c r="FS10" s="1747">
        <v>762.31</v>
      </c>
      <c r="FT10" s="1747">
        <v>2205.1799999999998</v>
      </c>
      <c r="FU10" s="1747"/>
      <c r="FV10" s="1748"/>
      <c r="FW10" s="414">
        <v>2017</v>
      </c>
      <c r="FX10" s="439">
        <v>3.7</v>
      </c>
      <c r="FY10" s="439">
        <v>3.5</v>
      </c>
      <c r="FZ10" s="439">
        <v>3.5</v>
      </c>
      <c r="GA10" s="439">
        <v>3.6</v>
      </c>
      <c r="GB10" s="439">
        <v>3.5</v>
      </c>
      <c r="GC10" s="439">
        <v>3.5</v>
      </c>
      <c r="GD10" s="439">
        <v>3.7</v>
      </c>
      <c r="GE10" s="439">
        <v>3.7</v>
      </c>
      <c r="GF10" s="439">
        <v>3.6</v>
      </c>
      <c r="GG10" s="439">
        <v>3.6</v>
      </c>
      <c r="GH10" s="439">
        <v>3.6</v>
      </c>
      <c r="GI10" s="439">
        <v>3.6</v>
      </c>
      <c r="GJ10" s="439">
        <v>3.6</v>
      </c>
      <c r="GK10" s="382"/>
      <c r="GL10" s="439"/>
      <c r="GM10" s="398" t="s">
        <v>392</v>
      </c>
      <c r="GN10" s="515">
        <v>68180</v>
      </c>
      <c r="GO10" s="398">
        <v>190</v>
      </c>
      <c r="GP10" s="515">
        <v>5347</v>
      </c>
      <c r="GQ10" s="398">
        <v>94</v>
      </c>
      <c r="GR10" s="398">
        <v>119</v>
      </c>
      <c r="GS10" s="398">
        <v>7</v>
      </c>
      <c r="GT10" s="515">
        <v>224973</v>
      </c>
      <c r="GU10" s="398">
        <v>481</v>
      </c>
      <c r="GV10" s="515"/>
      <c r="GW10" s="398"/>
      <c r="GX10" s="515"/>
      <c r="GY10" s="515"/>
      <c r="GZ10" s="515"/>
      <c r="HA10" s="515"/>
      <c r="HB10" s="515"/>
      <c r="HC10" s="515"/>
      <c r="HD10" s="515"/>
      <c r="HE10" s="515"/>
      <c r="HF10" s="515"/>
      <c r="HG10" s="515"/>
      <c r="HH10" s="515"/>
      <c r="HI10" s="515"/>
      <c r="HJ10" s="515"/>
      <c r="HK10" s="515"/>
      <c r="HL10" s="382"/>
      <c r="HM10" s="398"/>
      <c r="HN10" s="515"/>
      <c r="HO10" s="515"/>
      <c r="HP10" s="515"/>
      <c r="HQ10" s="515"/>
      <c r="HR10" s="515"/>
      <c r="HS10" s="515"/>
      <c r="HT10" s="515"/>
      <c r="HU10" s="515"/>
      <c r="HV10" s="515"/>
      <c r="HW10" s="515"/>
      <c r="HX10" s="515"/>
      <c r="HY10" s="515"/>
      <c r="HZ10" s="515"/>
      <c r="IA10" s="515"/>
      <c r="IB10" s="515"/>
      <c r="IC10" s="515"/>
      <c r="ID10" s="549"/>
      <c r="IE10" s="549"/>
      <c r="IF10" s="549"/>
      <c r="IG10" s="398"/>
      <c r="IH10" s="463"/>
      <c r="II10" s="463"/>
      <c r="IJ10" s="515"/>
      <c r="IK10" s="463"/>
      <c r="IL10" s="463"/>
      <c r="IM10" s="463"/>
      <c r="IN10" s="549"/>
      <c r="IO10" s="562"/>
    </row>
    <row r="11" spans="1:249" ht="14.1" customHeight="1">
      <c r="A11" s="1629" t="s">
        <v>1709</v>
      </c>
      <c r="B11" s="1629">
        <v>14072</v>
      </c>
      <c r="C11" s="1629">
        <f>2756+1128+1618+151+1110+108+156+3897</f>
        <v>10924</v>
      </c>
      <c r="D11" s="1629">
        <v>6498</v>
      </c>
      <c r="E11" s="1629">
        <v>4082</v>
      </c>
      <c r="F11" s="1629">
        <v>10891</v>
      </c>
      <c r="G11" s="1629">
        <f>2287+11496+2289+175+388+6562+4012+1539</f>
        <v>28748</v>
      </c>
      <c r="H11" s="1629">
        <f>16275+2347+2253+4584+1003+228+360+7479</f>
        <v>34529</v>
      </c>
      <c r="I11" s="1662">
        <f>21954+2255+859+2064+411+107+3356+100+8+20+5848</f>
        <v>36982</v>
      </c>
      <c r="J11" s="1629">
        <v>41114</v>
      </c>
      <c r="K11" s="562"/>
      <c r="L11" s="562"/>
      <c r="M11" s="549" t="s">
        <v>1950</v>
      </c>
      <c r="N11" s="562">
        <f t="shared" si="10"/>
        <v>59931</v>
      </c>
      <c r="O11" s="562">
        <f t="shared" si="4"/>
        <v>52154</v>
      </c>
      <c r="P11" s="562">
        <f t="shared" si="4"/>
        <v>41091</v>
      </c>
      <c r="Q11" s="562">
        <f t="shared" si="4"/>
        <v>12860</v>
      </c>
      <c r="R11" s="1729">
        <f t="shared" si="8"/>
        <v>14.911607930360088</v>
      </c>
      <c r="S11" s="1729">
        <f t="shared" si="8"/>
        <v>26.923170523959016</v>
      </c>
      <c r="T11" s="1729">
        <f t="shared" si="5"/>
        <v>219.52566096423016</v>
      </c>
      <c r="U11" s="1729"/>
      <c r="V11" s="562"/>
      <c r="W11" s="1735" t="s">
        <v>1950</v>
      </c>
      <c r="X11" s="463">
        <f t="shared" si="9"/>
        <v>59751</v>
      </c>
      <c r="Y11" s="463">
        <v>15160</v>
      </c>
      <c r="Z11" s="463">
        <v>8726</v>
      </c>
      <c r="AA11" s="463">
        <v>3093</v>
      </c>
      <c r="AB11" s="463">
        <v>360</v>
      </c>
      <c r="AC11" s="463">
        <v>1116</v>
      </c>
      <c r="AD11" s="463">
        <v>29845</v>
      </c>
      <c r="AE11" s="463">
        <v>76</v>
      </c>
      <c r="AF11" s="463">
        <v>1375</v>
      </c>
      <c r="AG11" s="562"/>
      <c r="AI11" s="1753"/>
      <c r="AJ11" s="1753"/>
      <c r="AK11" s="1753"/>
      <c r="AL11" s="1753"/>
      <c r="AM11" s="1753"/>
      <c r="AN11" s="1753"/>
      <c r="AO11" s="1753"/>
      <c r="AP11" s="1753"/>
      <c r="AQ11" s="398" t="s">
        <v>1952</v>
      </c>
      <c r="AR11" s="398">
        <v>18</v>
      </c>
      <c r="AS11" s="398">
        <v>79</v>
      </c>
      <c r="AT11" s="398">
        <v>76</v>
      </c>
      <c r="AU11" s="398">
        <v>74</v>
      </c>
      <c r="AV11" s="585">
        <v>87</v>
      </c>
      <c r="AW11" s="585">
        <v>79</v>
      </c>
      <c r="AX11" s="398">
        <v>74</v>
      </c>
      <c r="AY11" s="398">
        <v>74</v>
      </c>
      <c r="AZ11" s="385">
        <v>86</v>
      </c>
      <c r="BA11" s="398">
        <v>78</v>
      </c>
      <c r="BB11" s="398"/>
      <c r="BD11" s="1709" t="s">
        <v>1950</v>
      </c>
      <c r="BE11" s="1737">
        <v>2648326</v>
      </c>
      <c r="BF11" s="1737">
        <v>1695165.34</v>
      </c>
      <c r="BG11" s="1738">
        <v>2078373.95</v>
      </c>
      <c r="BH11" s="1738">
        <v>1172407.97</v>
      </c>
      <c r="BI11" s="1738">
        <v>451283.85</v>
      </c>
      <c r="BJ11" s="1733"/>
      <c r="BK11" s="1733"/>
      <c r="BL11" s="398" t="s">
        <v>8393</v>
      </c>
      <c r="BM11" s="402">
        <v>2008</v>
      </c>
      <c r="BN11" s="1066" t="s">
        <v>8028</v>
      </c>
      <c r="BO11" s="439" t="s">
        <v>1627</v>
      </c>
      <c r="BP11" s="439" t="s">
        <v>1627</v>
      </c>
      <c r="BQ11" s="439" t="s">
        <v>1627</v>
      </c>
      <c r="BR11" s="439" t="s">
        <v>1627</v>
      </c>
      <c r="BS11" s="439" t="s">
        <v>1627</v>
      </c>
      <c r="BT11" s="439" t="s">
        <v>1627</v>
      </c>
      <c r="BU11" s="439" t="s">
        <v>1627</v>
      </c>
      <c r="BV11" s="439" t="s">
        <v>1627</v>
      </c>
      <c r="BW11" s="439" t="s">
        <v>1627</v>
      </c>
      <c r="BX11" s="439" t="s">
        <v>1627</v>
      </c>
      <c r="BY11" s="439">
        <v>148</v>
      </c>
      <c r="BZ11" s="382"/>
      <c r="CA11" s="382"/>
      <c r="CB11" s="385"/>
      <c r="CC11" s="391">
        <v>2017</v>
      </c>
      <c r="CD11" s="463">
        <f t="shared" si="11"/>
        <v>860747</v>
      </c>
      <c r="CE11" s="463">
        <v>73660</v>
      </c>
      <c r="CF11" s="463">
        <v>64712</v>
      </c>
      <c r="CG11" s="463">
        <v>78067</v>
      </c>
      <c r="CH11" s="463">
        <v>71529</v>
      </c>
      <c r="CI11" s="463">
        <v>72762</v>
      </c>
      <c r="CJ11" s="463">
        <v>71063</v>
      </c>
      <c r="CK11" s="463">
        <v>77551</v>
      </c>
      <c r="CL11" s="463">
        <v>83938</v>
      </c>
      <c r="CM11" s="463">
        <v>72076</v>
      </c>
      <c r="CN11" s="463">
        <v>69732</v>
      </c>
      <c r="CO11" s="463">
        <v>63586</v>
      </c>
      <c r="CP11" s="463">
        <v>62071</v>
      </c>
      <c r="CQ11" s="385"/>
      <c r="CR11" s="562"/>
      <c r="CS11" s="382" t="s">
        <v>388</v>
      </c>
      <c r="CT11" s="1744">
        <v>138464</v>
      </c>
      <c r="CU11" s="1744">
        <v>92786</v>
      </c>
      <c r="CV11" s="1744">
        <v>85116</v>
      </c>
      <c r="CW11" s="1744">
        <v>83598</v>
      </c>
      <c r="CX11" s="1744">
        <v>773</v>
      </c>
      <c r="CY11" s="1576">
        <v>2328</v>
      </c>
      <c r="CZ11" s="1744">
        <v>1518</v>
      </c>
      <c r="DA11" s="1744">
        <v>34538</v>
      </c>
      <c r="DB11" s="1744">
        <v>7709</v>
      </c>
      <c r="DC11" s="1744">
        <v>11140</v>
      </c>
      <c r="DD11" s="862"/>
      <c r="DE11" s="525"/>
      <c r="DF11" s="585" t="s">
        <v>397</v>
      </c>
      <c r="DG11" s="1739">
        <v>13544</v>
      </c>
      <c r="DH11" s="1739">
        <v>402</v>
      </c>
      <c r="DI11" s="1739">
        <v>865</v>
      </c>
      <c r="DJ11" s="1739">
        <v>1698</v>
      </c>
      <c r="DK11" s="1739">
        <v>1611</v>
      </c>
      <c r="DL11" s="1739">
        <v>1187</v>
      </c>
      <c r="DM11" s="1739">
        <v>632</v>
      </c>
      <c r="DN11" s="1739">
        <v>963</v>
      </c>
      <c r="DO11" s="1739">
        <v>644</v>
      </c>
      <c r="DP11" s="1739">
        <v>278</v>
      </c>
      <c r="DQ11" s="1739">
        <v>388</v>
      </c>
      <c r="DR11" s="1739">
        <v>2</v>
      </c>
      <c r="DS11" s="1739">
        <v>0</v>
      </c>
      <c r="DT11" s="1739">
        <v>0</v>
      </c>
      <c r="DU11" s="1739">
        <v>145</v>
      </c>
      <c r="DV11" s="862"/>
      <c r="DX11" s="382" t="s">
        <v>397</v>
      </c>
      <c r="DY11" s="1739">
        <v>13544</v>
      </c>
      <c r="DZ11" s="1740">
        <v>3816</v>
      </c>
      <c r="EA11" s="1740">
        <v>1306</v>
      </c>
      <c r="EB11" s="1740">
        <v>732</v>
      </c>
      <c r="EC11" s="1740">
        <v>466</v>
      </c>
      <c r="ED11" s="1740">
        <v>233</v>
      </c>
      <c r="EE11" s="1740">
        <v>1689</v>
      </c>
      <c r="EF11" s="525"/>
      <c r="EH11" s="382" t="s">
        <v>8316</v>
      </c>
      <c r="EI11" s="1739">
        <f>13261+12439+3703+628</f>
        <v>30031</v>
      </c>
      <c r="EJ11" s="1739">
        <f>6563+3804+1789+353</f>
        <v>12509</v>
      </c>
      <c r="EK11" s="1576">
        <v>0</v>
      </c>
      <c r="EL11" s="1739">
        <f>1904+1098+962+32</f>
        <v>3996</v>
      </c>
      <c r="EM11" s="1739">
        <f>285+9+2+2</f>
        <v>298</v>
      </c>
      <c r="EN11" s="1739">
        <f>2+1+11</f>
        <v>14</v>
      </c>
      <c r="EO11" s="1739">
        <f>2110+397+3138+87</f>
        <v>5732</v>
      </c>
      <c r="EQ11" s="525"/>
      <c r="ER11" s="382" t="s">
        <v>8316</v>
      </c>
      <c r="ES11" s="1739">
        <f>13261+12439+3703+628</f>
        <v>30031</v>
      </c>
      <c r="ET11" s="1744">
        <v>5056</v>
      </c>
      <c r="EU11" s="1744">
        <v>821</v>
      </c>
      <c r="EV11" s="1739">
        <v>0</v>
      </c>
      <c r="EW11" s="1744">
        <v>1961</v>
      </c>
      <c r="EX11" s="1744">
        <v>251</v>
      </c>
      <c r="EY11" s="1744">
        <v>19</v>
      </c>
      <c r="EZ11" s="1739">
        <v>0</v>
      </c>
      <c r="FA11" s="1744">
        <v>2776</v>
      </c>
      <c r="FB11" s="1739">
        <v>0</v>
      </c>
      <c r="FC11" s="1744">
        <v>966</v>
      </c>
      <c r="FD11" s="1741">
        <v>3471</v>
      </c>
      <c r="FE11" s="1744">
        <v>1446</v>
      </c>
      <c r="FF11" s="1744">
        <v>309</v>
      </c>
      <c r="FG11" s="1741">
        <f>982+3573</f>
        <v>4555</v>
      </c>
      <c r="FH11" s="862"/>
      <c r="FI11" s="862"/>
      <c r="FJ11" s="382" t="s">
        <v>8385</v>
      </c>
      <c r="FK11" s="1749">
        <v>735.46</v>
      </c>
      <c r="FL11" s="1749">
        <v>1900.43</v>
      </c>
      <c r="FM11" s="1750">
        <v>590.13</v>
      </c>
      <c r="FN11" s="1750">
        <v>1939.59</v>
      </c>
      <c r="FO11" s="1749">
        <v>333.44</v>
      </c>
      <c r="FP11" s="1749">
        <v>887.4</v>
      </c>
      <c r="FQ11" s="1747">
        <v>382.7</v>
      </c>
      <c r="FR11" s="1747">
        <v>972.69</v>
      </c>
      <c r="FS11" s="1747">
        <v>422.59</v>
      </c>
      <c r="FT11" s="1747">
        <v>1089.73</v>
      </c>
      <c r="FU11" s="1747"/>
      <c r="FV11" s="1748"/>
      <c r="FW11" s="414">
        <v>2016</v>
      </c>
      <c r="FX11" s="752">
        <v>3.5373999999999999</v>
      </c>
      <c r="FY11" s="752">
        <v>3.4681999999999999</v>
      </c>
      <c r="FZ11" s="752">
        <v>3.4142999999999999</v>
      </c>
      <c r="GA11" s="752">
        <v>3.5170999999999997</v>
      </c>
      <c r="GB11" s="752">
        <v>3.5529000000000002</v>
      </c>
      <c r="GC11" s="752">
        <v>3.5001000000000002</v>
      </c>
      <c r="GD11" s="752">
        <v>3.6768999999999998</v>
      </c>
      <c r="GE11" s="752">
        <v>3.6898</v>
      </c>
      <c r="GF11" s="752">
        <v>3.4901</v>
      </c>
      <c r="GG11" s="752">
        <v>3.5183999999999997</v>
      </c>
      <c r="GH11" s="752">
        <v>3.5287000000000002</v>
      </c>
      <c r="GI11" s="752">
        <v>3.6497000000000002</v>
      </c>
      <c r="GJ11" s="439">
        <v>3.6</v>
      </c>
      <c r="GK11" s="382"/>
      <c r="GM11" s="398" t="s">
        <v>471</v>
      </c>
      <c r="GN11" s="398">
        <v>70</v>
      </c>
      <c r="GO11" s="398">
        <v>30</v>
      </c>
      <c r="GP11" s="398">
        <v>39</v>
      </c>
      <c r="GQ11" s="398">
        <v>15</v>
      </c>
      <c r="GR11" s="398">
        <v>7</v>
      </c>
      <c r="GS11" s="398">
        <v>0</v>
      </c>
      <c r="GT11" s="398">
        <v>137</v>
      </c>
      <c r="GU11" s="398">
        <v>15</v>
      </c>
      <c r="GV11" s="398"/>
      <c r="GW11" s="398"/>
      <c r="GX11" s="515"/>
      <c r="GY11" s="515"/>
      <c r="GZ11" s="515"/>
      <c r="HA11" s="515"/>
      <c r="HB11" s="515"/>
      <c r="HC11" s="515"/>
      <c r="HD11" s="515"/>
      <c r="HE11" s="515"/>
      <c r="HF11" s="515"/>
      <c r="HG11" s="515"/>
      <c r="HH11" s="515"/>
      <c r="HI11" s="515"/>
      <c r="HJ11" s="515"/>
      <c r="HK11" s="515"/>
      <c r="HL11" s="382"/>
      <c r="HM11" s="398"/>
      <c r="HN11" s="515"/>
      <c r="HO11" s="515"/>
      <c r="HP11" s="515"/>
      <c r="HQ11" s="515"/>
      <c r="HR11" s="515"/>
      <c r="HS11" s="515"/>
      <c r="HT11" s="515"/>
      <c r="HU11" s="515"/>
      <c r="HV11" s="515"/>
      <c r="HW11" s="515"/>
      <c r="HX11" s="515"/>
      <c r="HY11" s="515"/>
      <c r="HZ11" s="515"/>
      <c r="IA11" s="515"/>
      <c r="IB11" s="515"/>
      <c r="IC11" s="515"/>
      <c r="ID11" s="549"/>
      <c r="IE11" s="549"/>
      <c r="IF11" s="549"/>
      <c r="IG11" s="398"/>
      <c r="IH11" s="515"/>
      <c r="II11" s="515"/>
      <c r="IJ11" s="463"/>
      <c r="IK11" s="463"/>
      <c r="IL11" s="463"/>
      <c r="IM11" s="463"/>
      <c r="IN11" s="549"/>
      <c r="IO11" s="562"/>
    </row>
    <row r="12" spans="1:249" ht="12" customHeight="1">
      <c r="A12" s="1506" t="s">
        <v>8383</v>
      </c>
      <c r="B12" s="571"/>
      <c r="C12" s="571"/>
      <c r="D12" s="571"/>
      <c r="E12" s="571"/>
      <c r="F12" s="549"/>
      <c r="G12" s="549"/>
      <c r="H12" s="549"/>
      <c r="I12" s="1754"/>
      <c r="J12" s="1755"/>
      <c r="K12" s="1755"/>
      <c r="L12" s="1736"/>
      <c r="M12" s="549" t="s">
        <v>1951</v>
      </c>
      <c r="N12" s="562">
        <f t="shared" si="10"/>
        <v>66926</v>
      </c>
      <c r="O12" s="562">
        <f t="shared" si="4"/>
        <v>67842</v>
      </c>
      <c r="P12" s="562">
        <f t="shared" si="4"/>
        <v>37835</v>
      </c>
      <c r="Q12" s="562">
        <f t="shared" si="4"/>
        <v>8675</v>
      </c>
      <c r="R12" s="1729">
        <f t="shared" si="8"/>
        <v>-1.3501960437487102</v>
      </c>
      <c r="S12" s="1729">
        <f t="shared" si="8"/>
        <v>79.310162547905378</v>
      </c>
      <c r="T12" s="1729">
        <f t="shared" si="5"/>
        <v>336.13832853025934</v>
      </c>
      <c r="U12" s="1729"/>
      <c r="V12" s="1736"/>
      <c r="W12" s="1735" t="s">
        <v>1951</v>
      </c>
      <c r="X12" s="463">
        <f t="shared" si="9"/>
        <v>66819</v>
      </c>
      <c r="Y12" s="463">
        <v>26156</v>
      </c>
      <c r="Z12" s="463">
        <v>6255</v>
      </c>
      <c r="AA12" s="463">
        <v>2914</v>
      </c>
      <c r="AB12" s="463">
        <v>178</v>
      </c>
      <c r="AC12" s="463">
        <v>1148</v>
      </c>
      <c r="AD12" s="463">
        <v>28731</v>
      </c>
      <c r="AE12" s="463">
        <v>79</v>
      </c>
      <c r="AF12" s="463">
        <v>1358</v>
      </c>
      <c r="AG12" s="1736"/>
      <c r="AI12" s="825" t="s">
        <v>8394</v>
      </c>
      <c r="AJ12" s="825"/>
      <c r="AK12" s="825"/>
      <c r="AL12" s="825"/>
      <c r="AM12" s="825"/>
      <c r="AN12" s="825"/>
      <c r="AO12" s="825"/>
      <c r="AP12" s="825"/>
      <c r="AQ12" s="398" t="s">
        <v>1953</v>
      </c>
      <c r="AR12" s="398">
        <v>15</v>
      </c>
      <c r="AS12" s="398">
        <v>76</v>
      </c>
      <c r="AT12" s="398">
        <v>70</v>
      </c>
      <c r="AU12" s="398">
        <v>64</v>
      </c>
      <c r="AV12" s="585">
        <v>74</v>
      </c>
      <c r="AW12" s="585">
        <v>71</v>
      </c>
      <c r="AX12" s="398">
        <v>75</v>
      </c>
      <c r="AY12" s="398">
        <v>60</v>
      </c>
      <c r="AZ12" s="385">
        <v>79</v>
      </c>
      <c r="BA12" s="398">
        <v>67</v>
      </c>
      <c r="BB12" s="398"/>
      <c r="BD12" s="1709" t="s">
        <v>1951</v>
      </c>
      <c r="BE12" s="1737">
        <v>2231500</v>
      </c>
      <c r="BF12" s="1737">
        <v>1864403.02</v>
      </c>
      <c r="BG12" s="1738">
        <v>2150976.6800000002</v>
      </c>
      <c r="BH12" s="1738">
        <v>1606614.57</v>
      </c>
      <c r="BI12" s="1738">
        <v>332538.34000000003</v>
      </c>
      <c r="BJ12" s="1733"/>
      <c r="BK12" s="1733"/>
      <c r="BL12" s="398" t="s">
        <v>8395</v>
      </c>
      <c r="BM12" s="402">
        <v>1983</v>
      </c>
      <c r="BN12" s="1066" t="s">
        <v>8028</v>
      </c>
      <c r="BO12" s="382">
        <v>505</v>
      </c>
      <c r="BP12" s="382">
        <v>505</v>
      </c>
      <c r="BQ12" s="1734">
        <v>505</v>
      </c>
      <c r="BR12" s="382">
        <v>505</v>
      </c>
      <c r="BS12" s="382">
        <v>503</v>
      </c>
      <c r="BT12" s="382">
        <v>503</v>
      </c>
      <c r="BU12" s="382">
        <v>503</v>
      </c>
      <c r="BV12" s="382">
        <v>503</v>
      </c>
      <c r="BW12" s="382">
        <v>503</v>
      </c>
      <c r="BX12" s="382">
        <v>505</v>
      </c>
      <c r="BY12" s="439">
        <v>505</v>
      </c>
      <c r="BZ12" s="382"/>
      <c r="CA12" s="382"/>
      <c r="CB12" s="385"/>
      <c r="CC12" s="391">
        <v>2016</v>
      </c>
      <c r="CD12" s="463">
        <f t="shared" si="11"/>
        <v>972436</v>
      </c>
      <c r="CE12" s="463">
        <v>91712</v>
      </c>
      <c r="CF12" s="463">
        <v>90015</v>
      </c>
      <c r="CG12" s="463">
        <v>92293</v>
      </c>
      <c r="CH12" s="463">
        <v>72781</v>
      </c>
      <c r="CI12" s="463">
        <v>76078</v>
      </c>
      <c r="CJ12" s="463">
        <v>74732</v>
      </c>
      <c r="CK12" s="463">
        <v>76973</v>
      </c>
      <c r="CL12" s="463">
        <v>87468</v>
      </c>
      <c r="CM12" s="463">
        <v>82757</v>
      </c>
      <c r="CN12" s="463">
        <v>75884</v>
      </c>
      <c r="CO12" s="463">
        <v>74342</v>
      </c>
      <c r="CP12" s="463">
        <v>77401</v>
      </c>
      <c r="CQ12" s="385"/>
      <c r="CR12" s="562"/>
      <c r="CS12" s="382" t="s">
        <v>2818</v>
      </c>
      <c r="CT12" s="1576" t="s">
        <v>546</v>
      </c>
      <c r="CU12" s="1576" t="s">
        <v>546</v>
      </c>
      <c r="CV12" s="1576" t="s">
        <v>546</v>
      </c>
      <c r="CW12" s="1576" t="s">
        <v>546</v>
      </c>
      <c r="CX12" s="1576" t="s">
        <v>546</v>
      </c>
      <c r="CY12" s="1576" t="s">
        <v>546</v>
      </c>
      <c r="CZ12" s="1576" t="s">
        <v>546</v>
      </c>
      <c r="DA12" s="1576" t="s">
        <v>546</v>
      </c>
      <c r="DB12" s="1576" t="s">
        <v>546</v>
      </c>
      <c r="DC12" s="1576" t="s">
        <v>546</v>
      </c>
      <c r="DD12" s="862"/>
      <c r="DE12" s="525"/>
      <c r="DF12" s="585" t="s">
        <v>468</v>
      </c>
      <c r="DG12" s="1739">
        <v>1338</v>
      </c>
      <c r="DH12" s="1739">
        <v>212</v>
      </c>
      <c r="DI12" s="1739">
        <v>77</v>
      </c>
      <c r="DJ12" s="1739">
        <v>150</v>
      </c>
      <c r="DK12" s="1739">
        <v>88</v>
      </c>
      <c r="DL12" s="1739">
        <v>84</v>
      </c>
      <c r="DM12" s="1739">
        <v>82</v>
      </c>
      <c r="DN12" s="1739">
        <v>148</v>
      </c>
      <c r="DO12" s="1739">
        <v>115</v>
      </c>
      <c r="DP12" s="1739">
        <v>179</v>
      </c>
      <c r="DQ12" s="1739">
        <v>42</v>
      </c>
      <c r="DR12" s="1739">
        <v>0</v>
      </c>
      <c r="DS12" s="1739">
        <v>0</v>
      </c>
      <c r="DT12" s="1739">
        <v>0</v>
      </c>
      <c r="DU12" s="1739">
        <v>19</v>
      </c>
      <c r="DV12" s="862"/>
      <c r="DX12" s="382" t="s">
        <v>8396</v>
      </c>
      <c r="DY12" s="1739">
        <v>1338</v>
      </c>
      <c r="DZ12" s="1740">
        <v>617</v>
      </c>
      <c r="EA12" s="1740">
        <v>214</v>
      </c>
      <c r="EB12" s="1740">
        <v>88</v>
      </c>
      <c r="EC12" s="1740">
        <v>46</v>
      </c>
      <c r="ED12" s="1740">
        <v>21</v>
      </c>
      <c r="EE12" s="1740">
        <v>176</v>
      </c>
      <c r="EF12" s="525"/>
      <c r="EH12" s="382" t="s">
        <v>397</v>
      </c>
      <c r="EI12" s="1739">
        <v>13544</v>
      </c>
      <c r="EJ12" s="1739">
        <v>5543</v>
      </c>
      <c r="EK12" s="1576">
        <v>0</v>
      </c>
      <c r="EL12" s="1739">
        <v>1264</v>
      </c>
      <c r="EM12" s="1739">
        <v>52</v>
      </c>
      <c r="EN12" s="1739">
        <v>1</v>
      </c>
      <c r="EO12" s="1739">
        <v>1538</v>
      </c>
      <c r="EQ12" s="525"/>
      <c r="ER12" s="382" t="s">
        <v>397</v>
      </c>
      <c r="ES12" s="1739">
        <v>13544</v>
      </c>
      <c r="ET12" s="1744">
        <v>4706</v>
      </c>
      <c r="EU12" s="1744">
        <v>242</v>
      </c>
      <c r="EV12" s="1739">
        <v>0</v>
      </c>
      <c r="EW12" s="1744">
        <v>338</v>
      </c>
      <c r="EX12" s="1744">
        <v>7</v>
      </c>
      <c r="EY12" s="1744">
        <v>15</v>
      </c>
      <c r="EZ12" s="1739">
        <v>0</v>
      </c>
      <c r="FA12" s="1744">
        <v>602</v>
      </c>
      <c r="FB12" s="1739">
        <v>0</v>
      </c>
      <c r="FC12" s="1744">
        <v>122</v>
      </c>
      <c r="FD12" s="1741">
        <v>564</v>
      </c>
      <c r="FE12" s="1744">
        <v>134</v>
      </c>
      <c r="FF12" s="1744">
        <v>191</v>
      </c>
      <c r="FG12" s="1741">
        <f>621+905</f>
        <v>1526</v>
      </c>
      <c r="FH12" s="862"/>
      <c r="FI12" s="862"/>
      <c r="FJ12" s="382" t="s">
        <v>8389</v>
      </c>
      <c r="FK12" s="1749">
        <v>1186.7</v>
      </c>
      <c r="FL12" s="1747" t="s">
        <v>1627</v>
      </c>
      <c r="FM12" s="1750">
        <v>1315.64</v>
      </c>
      <c r="FN12" s="1751" t="s">
        <v>1627</v>
      </c>
      <c r="FO12" s="1749">
        <v>1088.17</v>
      </c>
      <c r="FP12" s="1747" t="s">
        <v>1627</v>
      </c>
      <c r="FQ12" s="1747">
        <v>1165.93</v>
      </c>
      <c r="FR12" s="439" t="s">
        <v>1627</v>
      </c>
      <c r="FS12" s="1747">
        <v>1184.8699999999999</v>
      </c>
      <c r="FT12" s="1575" t="s">
        <v>1627</v>
      </c>
      <c r="FU12" s="1747"/>
      <c r="FV12" s="1748"/>
      <c r="FW12" s="414">
        <v>2015</v>
      </c>
      <c r="FX12" s="752">
        <v>3.5057</v>
      </c>
      <c r="FY12" s="752">
        <v>3.4703999999999997</v>
      </c>
      <c r="FZ12" s="752">
        <v>3.4475999999999996</v>
      </c>
      <c r="GA12" s="752">
        <v>3.4887000000000001</v>
      </c>
      <c r="GB12" s="752">
        <v>3.4767000000000001</v>
      </c>
      <c r="GC12" s="752">
        <v>3.4573999999999998</v>
      </c>
      <c r="GD12" s="752">
        <v>3.6463999999999999</v>
      </c>
      <c r="GE12" s="752">
        <v>3.6482000000000001</v>
      </c>
      <c r="GF12" s="752">
        <v>3.4573</v>
      </c>
      <c r="GG12" s="752">
        <v>3.4497</v>
      </c>
      <c r="GH12" s="752">
        <v>3.4539000000000004</v>
      </c>
      <c r="GI12" s="752">
        <v>3.6154000000000002</v>
      </c>
      <c r="GJ12" s="439">
        <v>3.5</v>
      </c>
      <c r="GM12" s="398" t="s">
        <v>499</v>
      </c>
      <c r="GN12" s="398">
        <v>0</v>
      </c>
      <c r="GO12" s="398">
        <v>0</v>
      </c>
      <c r="GP12" s="398">
        <v>0</v>
      </c>
      <c r="GQ12" s="519">
        <v>0</v>
      </c>
      <c r="GR12" s="398">
        <v>0</v>
      </c>
      <c r="GS12" s="398">
        <v>0</v>
      </c>
      <c r="GT12" s="398">
        <v>0</v>
      </c>
      <c r="GU12" s="519" t="s">
        <v>546</v>
      </c>
      <c r="GV12" s="398"/>
      <c r="GW12" s="519"/>
      <c r="GX12" s="515"/>
      <c r="GY12" s="515"/>
      <c r="GZ12" s="515"/>
      <c r="HA12" s="515"/>
      <c r="HB12" s="515"/>
      <c r="HC12" s="515"/>
      <c r="HD12" s="515"/>
      <c r="HE12" s="515"/>
      <c r="HF12" s="515"/>
      <c r="HG12" s="515"/>
      <c r="HH12" s="515"/>
      <c r="HI12" s="515"/>
      <c r="HJ12" s="515"/>
      <c r="HK12" s="515"/>
      <c r="HL12" s="382"/>
      <c r="HM12" s="398"/>
      <c r="HN12" s="515"/>
      <c r="HO12" s="515"/>
      <c r="HP12" s="515"/>
      <c r="HQ12" s="515"/>
      <c r="HR12" s="515"/>
      <c r="HS12" s="515"/>
      <c r="HT12" s="515"/>
      <c r="HU12" s="515"/>
      <c r="HV12" s="515"/>
      <c r="HW12" s="515"/>
      <c r="HX12" s="515"/>
      <c r="HY12" s="515"/>
      <c r="HZ12" s="515"/>
      <c r="IA12" s="515"/>
      <c r="IB12" s="515"/>
      <c r="IC12" s="515"/>
      <c r="ID12" s="549"/>
      <c r="IE12" s="549"/>
      <c r="IF12" s="549"/>
      <c r="IG12" s="398"/>
      <c r="IH12" s="435"/>
      <c r="II12" s="435"/>
      <c r="IJ12" s="435"/>
      <c r="IK12" s="435"/>
      <c r="IL12" s="439"/>
      <c r="IM12" s="439"/>
      <c r="IN12" s="549"/>
      <c r="IO12" s="562"/>
    </row>
    <row r="13" spans="1:249" ht="12" customHeight="1">
      <c r="A13" s="825" t="s">
        <v>8397</v>
      </c>
      <c r="B13" s="825"/>
      <c r="C13" s="825"/>
      <c r="D13" s="825"/>
      <c r="E13" s="825"/>
      <c r="F13" s="825"/>
      <c r="G13" s="825"/>
      <c r="H13" s="825"/>
      <c r="I13" s="562"/>
      <c r="J13" s="1756"/>
      <c r="K13" s="1756"/>
      <c r="L13" s="1736"/>
      <c r="M13" s="549" t="s">
        <v>1952</v>
      </c>
      <c r="N13" s="562">
        <f t="shared" si="10"/>
        <v>51380</v>
      </c>
      <c r="O13" s="562">
        <f t="shared" si="4"/>
        <v>52286</v>
      </c>
      <c r="P13" s="562">
        <f t="shared" si="4"/>
        <v>28028</v>
      </c>
      <c r="Q13" s="562">
        <f t="shared" si="4"/>
        <v>5735</v>
      </c>
      <c r="R13" s="1729">
        <f t="shared" si="8"/>
        <v>-1.7327774165168497</v>
      </c>
      <c r="S13" s="1729">
        <f t="shared" si="8"/>
        <v>86.549165120593699</v>
      </c>
      <c r="T13" s="1729">
        <f t="shared" si="5"/>
        <v>388.71839581517003</v>
      </c>
      <c r="U13" s="1729"/>
      <c r="V13" s="1736"/>
      <c r="W13" s="1735" t="s">
        <v>1952</v>
      </c>
      <c r="X13" s="463">
        <f t="shared" si="9"/>
        <v>51008</v>
      </c>
      <c r="Y13" s="463">
        <v>15134</v>
      </c>
      <c r="Z13" s="463">
        <v>5624</v>
      </c>
      <c r="AA13" s="463">
        <v>2028</v>
      </c>
      <c r="AB13" s="463">
        <v>203</v>
      </c>
      <c r="AC13" s="463">
        <v>853</v>
      </c>
      <c r="AD13" s="463">
        <v>26174</v>
      </c>
      <c r="AE13" s="463">
        <v>47</v>
      </c>
      <c r="AF13" s="463">
        <v>945</v>
      </c>
      <c r="AG13" s="1736"/>
      <c r="AI13" s="1717" t="s">
        <v>1648</v>
      </c>
      <c r="AJ13" s="1610">
        <v>2019</v>
      </c>
      <c r="AK13" s="1610">
        <v>2018</v>
      </c>
      <c r="AL13" s="1610">
        <v>2017</v>
      </c>
      <c r="AM13" s="1610">
        <v>2016</v>
      </c>
      <c r="AN13" s="1610">
        <v>2015</v>
      </c>
      <c r="AO13" s="861"/>
      <c r="AP13" s="861"/>
      <c r="AQ13" s="398" t="s">
        <v>1954</v>
      </c>
      <c r="AR13" s="398">
        <v>19</v>
      </c>
      <c r="AS13" s="398">
        <v>81</v>
      </c>
      <c r="AT13" s="398">
        <v>78</v>
      </c>
      <c r="AU13" s="398">
        <v>76</v>
      </c>
      <c r="AV13" s="585">
        <v>80</v>
      </c>
      <c r="AW13" s="585">
        <v>76</v>
      </c>
      <c r="AX13" s="398">
        <v>74</v>
      </c>
      <c r="AY13" s="398">
        <v>72</v>
      </c>
      <c r="AZ13" s="385">
        <v>84</v>
      </c>
      <c r="BA13" s="398">
        <v>72</v>
      </c>
      <c r="BB13" s="398"/>
      <c r="BD13" s="1709" t="s">
        <v>1952</v>
      </c>
      <c r="BE13" s="1737">
        <v>2705479</v>
      </c>
      <c r="BF13" s="1737">
        <v>2166703.5</v>
      </c>
      <c r="BG13" s="1738">
        <v>2149593.0099999998</v>
      </c>
      <c r="BH13" s="1738">
        <v>1622575.59</v>
      </c>
      <c r="BI13" s="1738">
        <v>547860.46</v>
      </c>
      <c r="BJ13" s="1733"/>
      <c r="BK13" s="1733"/>
      <c r="BL13" s="398" t="s">
        <v>8398</v>
      </c>
      <c r="BM13" s="402">
        <v>1994</v>
      </c>
      <c r="BN13" s="1066" t="s">
        <v>8028</v>
      </c>
      <c r="BO13" s="382">
        <v>426</v>
      </c>
      <c r="BP13" s="382">
        <v>426</v>
      </c>
      <c r="BQ13" s="1734">
        <v>426</v>
      </c>
      <c r="BR13" s="382">
        <v>426</v>
      </c>
      <c r="BS13" s="382">
        <v>422</v>
      </c>
      <c r="BT13" s="382">
        <v>422</v>
      </c>
      <c r="BU13" s="382">
        <v>422</v>
      </c>
      <c r="BV13" s="382">
        <v>422</v>
      </c>
      <c r="BW13" s="382">
        <v>422</v>
      </c>
      <c r="BX13" s="382">
        <v>422</v>
      </c>
      <c r="BY13" s="439">
        <v>460</v>
      </c>
      <c r="BZ13" s="382"/>
      <c r="CA13" s="382"/>
      <c r="CB13" s="385"/>
      <c r="CC13" s="391">
        <v>2015</v>
      </c>
      <c r="CD13" s="463">
        <f t="shared" si="11"/>
        <v>1027063</v>
      </c>
      <c r="CE13" s="1931">
        <v>94730</v>
      </c>
      <c r="CF13" s="1931">
        <v>87771</v>
      </c>
      <c r="CG13" s="1931">
        <v>100105</v>
      </c>
      <c r="CH13" s="1931">
        <v>75501</v>
      </c>
      <c r="CI13" s="1931">
        <v>80555</v>
      </c>
      <c r="CJ13" s="1931">
        <v>75965</v>
      </c>
      <c r="CK13" s="1931">
        <v>82001</v>
      </c>
      <c r="CL13" s="1931">
        <v>89099</v>
      </c>
      <c r="CM13" s="1931">
        <v>87349</v>
      </c>
      <c r="CN13" s="1931">
        <v>80937</v>
      </c>
      <c r="CO13" s="1931">
        <v>83057</v>
      </c>
      <c r="CP13" s="1931">
        <v>89993</v>
      </c>
      <c r="CQ13" s="385"/>
      <c r="CR13" s="562"/>
      <c r="CS13" s="382" t="s">
        <v>473</v>
      </c>
      <c r="CT13" s="1744">
        <v>24485</v>
      </c>
      <c r="CU13" s="1744">
        <v>13590</v>
      </c>
      <c r="CV13" s="1744">
        <v>13261</v>
      </c>
      <c r="CW13" s="1744">
        <v>12716</v>
      </c>
      <c r="CX13" s="1744">
        <v>309</v>
      </c>
      <c r="CY13" s="1744">
        <v>24</v>
      </c>
      <c r="CZ13" s="1744">
        <v>545</v>
      </c>
      <c r="DA13" s="1744">
        <v>9484</v>
      </c>
      <c r="DB13" s="1744">
        <v>330</v>
      </c>
      <c r="DC13" s="1744">
        <v>1411</v>
      </c>
      <c r="DD13" s="862"/>
      <c r="DE13" s="525"/>
      <c r="DF13" s="585" t="s">
        <v>485</v>
      </c>
      <c r="DG13" s="1739">
        <v>0</v>
      </c>
      <c r="DH13" s="1739">
        <v>0</v>
      </c>
      <c r="DI13" s="1739">
        <v>0</v>
      </c>
      <c r="DJ13" s="1739">
        <v>0</v>
      </c>
      <c r="DK13" s="1739">
        <v>0</v>
      </c>
      <c r="DL13" s="1739">
        <v>0</v>
      </c>
      <c r="DM13" s="1739">
        <v>0</v>
      </c>
      <c r="DN13" s="1739">
        <v>0</v>
      </c>
      <c r="DO13" s="1739">
        <v>0</v>
      </c>
      <c r="DP13" s="1739">
        <v>0</v>
      </c>
      <c r="DQ13" s="1739">
        <v>0</v>
      </c>
      <c r="DR13" s="1739">
        <v>0</v>
      </c>
      <c r="DS13" s="1739">
        <v>0</v>
      </c>
      <c r="DT13" s="1739">
        <v>0</v>
      </c>
      <c r="DU13" s="1739">
        <v>0</v>
      </c>
      <c r="DV13" s="862"/>
      <c r="DX13" s="382" t="s">
        <v>485</v>
      </c>
      <c r="DY13" s="1739">
        <v>0</v>
      </c>
      <c r="DZ13" s="1740">
        <v>0</v>
      </c>
      <c r="EA13" s="1740">
        <v>0</v>
      </c>
      <c r="EB13" s="1740">
        <v>0</v>
      </c>
      <c r="EC13" s="1740">
        <v>0</v>
      </c>
      <c r="ED13" s="1740">
        <v>0</v>
      </c>
      <c r="EE13" s="1740">
        <v>0</v>
      </c>
      <c r="EF13" s="525"/>
      <c r="EH13" s="382" t="s">
        <v>468</v>
      </c>
      <c r="EI13" s="1739">
        <v>1338</v>
      </c>
      <c r="EJ13" s="1739">
        <v>960</v>
      </c>
      <c r="EK13" s="1576">
        <v>0</v>
      </c>
      <c r="EL13" s="1739">
        <v>128</v>
      </c>
      <c r="EM13" s="1739">
        <v>16</v>
      </c>
      <c r="EN13" s="1739">
        <v>12</v>
      </c>
      <c r="EO13" s="1739">
        <v>99</v>
      </c>
      <c r="EQ13" s="525"/>
      <c r="ER13" s="382" t="s">
        <v>8396</v>
      </c>
      <c r="ES13" s="1739">
        <v>1338</v>
      </c>
      <c r="ET13" s="1744">
        <v>286</v>
      </c>
      <c r="EU13" s="1744">
        <v>98</v>
      </c>
      <c r="EV13" s="1739">
        <v>0</v>
      </c>
      <c r="EW13" s="1744">
        <v>69</v>
      </c>
      <c r="EX13" s="1744">
        <v>0</v>
      </c>
      <c r="EY13" s="1744">
        <v>0</v>
      </c>
      <c r="EZ13" s="1739">
        <v>0</v>
      </c>
      <c r="FA13" s="1744">
        <v>54</v>
      </c>
      <c r="FB13" s="1739">
        <v>0</v>
      </c>
      <c r="FC13" s="1576">
        <v>0</v>
      </c>
      <c r="FD13" s="1741">
        <v>83</v>
      </c>
      <c r="FE13" s="1744">
        <v>413</v>
      </c>
      <c r="FF13" s="1576">
        <v>57</v>
      </c>
      <c r="FG13" s="1741">
        <f>59+37</f>
        <v>96</v>
      </c>
      <c r="FH13" s="862"/>
      <c r="FI13" s="862"/>
      <c r="FJ13" s="382" t="s">
        <v>393</v>
      </c>
      <c r="FK13" s="382"/>
      <c r="FL13" s="382"/>
      <c r="FM13" s="382"/>
      <c r="FN13" s="382"/>
      <c r="FO13" s="382"/>
      <c r="FP13" s="382"/>
      <c r="FQ13" s="382"/>
      <c r="FR13" s="382"/>
      <c r="FS13" s="382"/>
      <c r="FT13" s="382"/>
      <c r="FU13" s="382"/>
      <c r="FW13" s="412">
        <v>2014</v>
      </c>
      <c r="FX13" s="868">
        <v>3.51</v>
      </c>
      <c r="FY13" s="868">
        <v>3.42</v>
      </c>
      <c r="FZ13" s="868">
        <v>3.45</v>
      </c>
      <c r="GA13" s="868">
        <v>3.49</v>
      </c>
      <c r="GB13" s="868">
        <v>3.46</v>
      </c>
      <c r="GC13" s="868">
        <v>3.46</v>
      </c>
      <c r="GD13" s="868">
        <v>3.65</v>
      </c>
      <c r="GE13" s="868">
        <v>3.64</v>
      </c>
      <c r="GF13" s="868">
        <v>3.42</v>
      </c>
      <c r="GG13" s="868">
        <v>3.41</v>
      </c>
      <c r="GH13" s="868">
        <v>3.41</v>
      </c>
      <c r="GI13" s="868">
        <v>3.65</v>
      </c>
      <c r="GJ13" s="868">
        <v>3.4974999999999992</v>
      </c>
      <c r="GK13" s="886"/>
      <c r="GM13" s="398" t="s">
        <v>465</v>
      </c>
      <c r="GN13" s="398">
        <v>70</v>
      </c>
      <c r="GO13" s="398">
        <v>10</v>
      </c>
      <c r="GP13" s="398">
        <v>24</v>
      </c>
      <c r="GQ13" s="398">
        <v>3</v>
      </c>
      <c r="GR13" s="398">
        <v>0</v>
      </c>
      <c r="GS13" s="398">
        <v>0</v>
      </c>
      <c r="GT13" s="398">
        <v>41</v>
      </c>
      <c r="GU13" s="398">
        <v>6</v>
      </c>
      <c r="GV13" s="398"/>
      <c r="GW13" s="398"/>
      <c r="GX13" s="515"/>
      <c r="GY13" s="757"/>
      <c r="GZ13" s="515"/>
      <c r="HA13" s="515"/>
      <c r="HB13" s="515"/>
      <c r="HC13" s="754"/>
      <c r="HD13" s="515"/>
      <c r="HE13" s="757"/>
      <c r="HF13" s="515"/>
      <c r="HG13" s="757"/>
      <c r="HH13" s="515"/>
      <c r="HI13" s="757"/>
      <c r="HJ13" s="515"/>
      <c r="HK13" s="757"/>
      <c r="HL13" s="382"/>
      <c r="HM13" s="398"/>
      <c r="HN13" s="515"/>
      <c r="HO13" s="757"/>
      <c r="HP13" s="515"/>
      <c r="HQ13" s="515"/>
      <c r="HR13" s="515"/>
      <c r="HS13" s="754"/>
      <c r="HT13" s="515"/>
      <c r="HU13" s="757"/>
      <c r="HV13" s="515"/>
      <c r="HW13" s="757"/>
      <c r="HX13" s="515"/>
      <c r="HY13" s="757"/>
      <c r="HZ13" s="515"/>
      <c r="IA13" s="757"/>
      <c r="IB13" s="754"/>
      <c r="IC13" s="754"/>
      <c r="ID13" s="549"/>
      <c r="IE13" s="549"/>
      <c r="IF13" s="549"/>
      <c r="IG13" s="398"/>
      <c r="IH13" s="515"/>
      <c r="II13" s="757"/>
      <c r="IJ13" s="463"/>
      <c r="IK13" s="463"/>
      <c r="IL13" s="463"/>
      <c r="IM13" s="754"/>
      <c r="IN13" s="549"/>
      <c r="IO13" s="562"/>
    </row>
    <row r="14" spans="1:249" ht="12" customHeight="1">
      <c r="A14" s="571" t="s">
        <v>8399</v>
      </c>
      <c r="B14" s="571"/>
      <c r="C14" s="571"/>
      <c r="D14" s="571"/>
      <c r="E14" s="571"/>
      <c r="F14" s="549"/>
      <c r="G14" s="549"/>
      <c r="H14" s="549"/>
      <c r="I14" s="562"/>
      <c r="J14" s="1756"/>
      <c r="K14" s="1756"/>
      <c r="L14" s="1736"/>
      <c r="M14" s="549" t="s">
        <v>1953</v>
      </c>
      <c r="N14" s="562">
        <f t="shared" si="10"/>
        <v>53077</v>
      </c>
      <c r="O14" s="562">
        <f t="shared" si="4"/>
        <v>54099</v>
      </c>
      <c r="P14" s="562">
        <f t="shared" si="4"/>
        <v>39366</v>
      </c>
      <c r="Q14" s="562">
        <f t="shared" si="4"/>
        <v>6416</v>
      </c>
      <c r="R14" s="1729">
        <f t="shared" si="8"/>
        <v>-1.8891291890792805</v>
      </c>
      <c r="S14" s="1729">
        <f t="shared" si="8"/>
        <v>37.425697302240515</v>
      </c>
      <c r="T14" s="1729">
        <f t="shared" si="5"/>
        <v>513.55985037406481</v>
      </c>
      <c r="U14" s="1729"/>
      <c r="V14" s="1736"/>
      <c r="W14" s="1735" t="s">
        <v>1953</v>
      </c>
      <c r="X14" s="463">
        <f t="shared" si="9"/>
        <v>53016</v>
      </c>
      <c r="Y14" s="463">
        <v>14381</v>
      </c>
      <c r="Z14" s="463">
        <v>5760</v>
      </c>
      <c r="AA14" s="463">
        <v>2434</v>
      </c>
      <c r="AB14" s="463">
        <v>161</v>
      </c>
      <c r="AC14" s="463">
        <v>1325</v>
      </c>
      <c r="AD14" s="463">
        <v>27897</v>
      </c>
      <c r="AE14" s="463">
        <v>55</v>
      </c>
      <c r="AF14" s="463">
        <v>1003</v>
      </c>
      <c r="AG14" s="1736"/>
      <c r="AI14" s="1507" t="s">
        <v>8318</v>
      </c>
      <c r="AJ14" s="986">
        <v>1666665</v>
      </c>
      <c r="AK14" s="986">
        <v>1549007</v>
      </c>
      <c r="AL14" s="986">
        <v>1545392</v>
      </c>
      <c r="AM14" s="986">
        <v>1535518</v>
      </c>
      <c r="AN14" s="986">
        <v>1409050</v>
      </c>
      <c r="AO14" s="562"/>
      <c r="AP14" s="562"/>
      <c r="AQ14" s="387" t="s">
        <v>1955</v>
      </c>
      <c r="AR14" s="824" t="s">
        <v>2825</v>
      </c>
      <c r="AS14" s="387">
        <v>85</v>
      </c>
      <c r="AT14" s="387">
        <v>85</v>
      </c>
      <c r="AU14" s="387">
        <v>77</v>
      </c>
      <c r="AV14" s="586">
        <v>86</v>
      </c>
      <c r="AW14" s="586">
        <v>79</v>
      </c>
      <c r="AX14" s="387">
        <v>58</v>
      </c>
      <c r="AY14" s="387">
        <v>75</v>
      </c>
      <c r="AZ14" s="824">
        <v>88</v>
      </c>
      <c r="BA14" s="387">
        <v>76</v>
      </c>
      <c r="BB14" s="398"/>
      <c r="BD14" s="1709" t="s">
        <v>1953</v>
      </c>
      <c r="BE14" s="1737">
        <v>1980422</v>
      </c>
      <c r="BF14" s="1737">
        <v>1991658.28</v>
      </c>
      <c r="BG14" s="1738">
        <v>1657066.05</v>
      </c>
      <c r="BH14" s="1738">
        <v>962244.12</v>
      </c>
      <c r="BI14" s="1738">
        <v>1038345.42</v>
      </c>
      <c r="BJ14" s="1733"/>
      <c r="BK14" s="1733"/>
      <c r="BL14" s="398" t="s">
        <v>8400</v>
      </c>
      <c r="BM14" s="402">
        <v>1972</v>
      </c>
      <c r="BN14" s="1066" t="s">
        <v>8028</v>
      </c>
      <c r="BO14" s="382">
        <v>646</v>
      </c>
      <c r="BP14" s="382">
        <v>646</v>
      </c>
      <c r="BQ14" s="1734">
        <v>646</v>
      </c>
      <c r="BR14" s="382">
        <v>643</v>
      </c>
      <c r="BS14" s="382">
        <v>646</v>
      </c>
      <c r="BT14" s="382">
        <v>646</v>
      </c>
      <c r="BU14" s="382">
        <v>646</v>
      </c>
      <c r="BV14" s="382">
        <v>646</v>
      </c>
      <c r="BW14" s="382">
        <v>646</v>
      </c>
      <c r="BX14" s="382">
        <v>645</v>
      </c>
      <c r="BY14" s="439">
        <v>658</v>
      </c>
      <c r="BZ14" s="382"/>
      <c r="CA14" s="382"/>
      <c r="CB14" s="385"/>
      <c r="CC14" s="382"/>
      <c r="CD14" s="382"/>
      <c r="CE14" s="382"/>
      <c r="CF14" s="382"/>
      <c r="CG14" s="382"/>
      <c r="CH14" s="382"/>
      <c r="CI14" s="382"/>
      <c r="CJ14" s="382"/>
      <c r="CK14" s="382"/>
      <c r="CL14" s="382"/>
      <c r="CM14" s="382"/>
      <c r="CN14" s="382"/>
      <c r="CO14" s="382"/>
      <c r="CP14" s="382"/>
      <c r="CQ14" s="385"/>
      <c r="CR14" s="562"/>
      <c r="CS14" s="382" t="s">
        <v>528</v>
      </c>
      <c r="CT14" s="1744">
        <v>8801</v>
      </c>
      <c r="CU14" s="1744">
        <v>3798</v>
      </c>
      <c r="CV14" s="1744">
        <v>3703</v>
      </c>
      <c r="CW14" s="1744">
        <v>3418</v>
      </c>
      <c r="CX14" s="1744">
        <v>143</v>
      </c>
      <c r="CY14" s="1744">
        <v>2</v>
      </c>
      <c r="CZ14" s="1744">
        <v>285</v>
      </c>
      <c r="DA14" s="1744">
        <v>4860</v>
      </c>
      <c r="DB14" s="1744">
        <v>95</v>
      </c>
      <c r="DC14" s="1744">
        <v>143</v>
      </c>
      <c r="DD14" s="862"/>
      <c r="DE14" s="525"/>
      <c r="DF14" s="585" t="s">
        <v>8401</v>
      </c>
      <c r="DG14" s="1739">
        <v>1490</v>
      </c>
      <c r="DH14" s="1739">
        <v>232</v>
      </c>
      <c r="DI14" s="1739">
        <v>156</v>
      </c>
      <c r="DJ14" s="1739">
        <v>166</v>
      </c>
      <c r="DK14" s="1739">
        <v>121</v>
      </c>
      <c r="DL14" s="1739">
        <v>76</v>
      </c>
      <c r="DM14" s="1739">
        <v>70</v>
      </c>
      <c r="DN14" s="1739">
        <v>173</v>
      </c>
      <c r="DO14" s="1739">
        <v>94</v>
      </c>
      <c r="DP14" s="1739">
        <v>104</v>
      </c>
      <c r="DQ14" s="1739">
        <v>67</v>
      </c>
      <c r="DR14" s="1739">
        <v>0</v>
      </c>
      <c r="DS14" s="1739">
        <v>0</v>
      </c>
      <c r="DT14" s="1739">
        <v>0</v>
      </c>
      <c r="DU14" s="1739">
        <v>43</v>
      </c>
      <c r="DV14" s="862"/>
      <c r="DX14" s="382" t="s">
        <v>8401</v>
      </c>
      <c r="DY14" s="1739">
        <v>1490</v>
      </c>
      <c r="DZ14" s="1740">
        <v>771</v>
      </c>
      <c r="EA14" s="1740">
        <v>227</v>
      </c>
      <c r="EB14" s="1740">
        <v>63</v>
      </c>
      <c r="EC14" s="1740">
        <v>34</v>
      </c>
      <c r="ED14" s="1740">
        <v>19</v>
      </c>
      <c r="EE14" s="1740">
        <v>130</v>
      </c>
      <c r="EF14" s="525"/>
      <c r="EH14" s="382" t="s">
        <v>485</v>
      </c>
      <c r="EI14" s="1739">
        <v>0</v>
      </c>
      <c r="EJ14" s="1739">
        <v>0</v>
      </c>
      <c r="EK14" s="1739">
        <v>0</v>
      </c>
      <c r="EL14" s="1739">
        <v>0</v>
      </c>
      <c r="EM14" s="1739">
        <v>0</v>
      </c>
      <c r="EN14" s="1739">
        <v>0</v>
      </c>
      <c r="EO14" s="1739">
        <v>0</v>
      </c>
      <c r="EQ14" s="525"/>
      <c r="ER14" s="382" t="s">
        <v>485</v>
      </c>
      <c r="ES14" s="1739">
        <v>0</v>
      </c>
      <c r="ET14" s="1739">
        <v>0</v>
      </c>
      <c r="EU14" s="1739">
        <v>0</v>
      </c>
      <c r="EV14" s="1739">
        <v>0</v>
      </c>
      <c r="EW14" s="1739">
        <v>0</v>
      </c>
      <c r="EX14" s="1739">
        <v>0</v>
      </c>
      <c r="EY14" s="1739">
        <v>0</v>
      </c>
      <c r="EZ14" s="1739">
        <v>0</v>
      </c>
      <c r="FA14" s="1739">
        <v>0</v>
      </c>
      <c r="FB14" s="1739">
        <v>0</v>
      </c>
      <c r="FC14" s="1739">
        <v>0</v>
      </c>
      <c r="FD14" s="1739">
        <v>0</v>
      </c>
      <c r="FE14" s="1739">
        <v>0</v>
      </c>
      <c r="FF14" s="1739">
        <v>0</v>
      </c>
      <c r="FG14" s="1739">
        <v>0</v>
      </c>
      <c r="FH14" s="862"/>
      <c r="FI14" s="862"/>
      <c r="FJ14" s="391" t="s">
        <v>8382</v>
      </c>
      <c r="FK14" s="439" t="s">
        <v>2825</v>
      </c>
      <c r="FL14" s="439" t="s">
        <v>2825</v>
      </c>
      <c r="FM14" s="1746">
        <v>921.49</v>
      </c>
      <c r="FN14" s="1746">
        <v>2220.9</v>
      </c>
      <c r="FO14" s="1745">
        <v>1146.1099999999999</v>
      </c>
      <c r="FP14" s="1745">
        <v>2013.56</v>
      </c>
      <c r="FQ14" s="1747">
        <v>1095.1400000000001</v>
      </c>
      <c r="FR14" s="1747">
        <v>2100.6999999999998</v>
      </c>
      <c r="FS14" s="439" t="s">
        <v>2825</v>
      </c>
      <c r="FT14" s="439" t="s">
        <v>2825</v>
      </c>
      <c r="FU14" s="439"/>
      <c r="FW14" s="382" t="s">
        <v>8402</v>
      </c>
      <c r="FX14" s="1757"/>
      <c r="FY14" s="1757"/>
      <c r="FZ14" s="1757"/>
      <c r="GA14" s="1757"/>
      <c r="GB14" s="1757"/>
      <c r="GC14" s="1757"/>
      <c r="GD14" s="1757"/>
      <c r="GE14" s="1757"/>
      <c r="GF14" s="1757"/>
      <c r="GG14" s="1757"/>
      <c r="GH14" s="1757"/>
      <c r="GI14" s="1757"/>
      <c r="GJ14" s="473"/>
      <c r="GM14" s="398" t="s">
        <v>8403</v>
      </c>
      <c r="GN14" s="398">
        <v>160</v>
      </c>
      <c r="GO14" s="398">
        <v>20</v>
      </c>
      <c r="GP14" s="398">
        <v>0</v>
      </c>
      <c r="GQ14" s="519">
        <v>0</v>
      </c>
      <c r="GR14" s="398">
        <v>0</v>
      </c>
      <c r="GS14" s="398">
        <v>0</v>
      </c>
      <c r="GT14" s="398">
        <v>30</v>
      </c>
      <c r="GU14" s="519" t="s">
        <v>546</v>
      </c>
      <c r="GV14" s="398"/>
      <c r="GW14" s="398"/>
      <c r="GX14" s="515"/>
      <c r="GY14" s="757"/>
      <c r="GZ14" s="515"/>
      <c r="HA14" s="515"/>
      <c r="HB14" s="515"/>
      <c r="HC14" s="515"/>
      <c r="HD14" s="515"/>
      <c r="HE14" s="515"/>
      <c r="HF14" s="515"/>
      <c r="HG14" s="757"/>
      <c r="HH14" s="515"/>
      <c r="HI14" s="757"/>
      <c r="HJ14" s="515"/>
      <c r="HK14" s="515"/>
      <c r="HL14" s="382"/>
      <c r="HM14" s="398"/>
      <c r="HN14" s="515"/>
      <c r="HO14" s="757"/>
      <c r="HP14" s="515"/>
      <c r="HQ14" s="515"/>
      <c r="HR14" s="515"/>
      <c r="HS14" s="515"/>
      <c r="HT14" s="515"/>
      <c r="HU14" s="515"/>
      <c r="HV14" s="515"/>
      <c r="HW14" s="757"/>
      <c r="HX14" s="515"/>
      <c r="HY14" s="757"/>
      <c r="HZ14" s="515"/>
      <c r="IA14" s="515"/>
      <c r="IB14" s="515"/>
      <c r="IC14" s="515"/>
      <c r="ID14" s="549"/>
      <c r="IE14" s="549"/>
      <c r="IF14" s="549"/>
      <c r="IG14" s="398"/>
      <c r="IH14" s="515"/>
      <c r="II14" s="515"/>
      <c r="IJ14" s="463"/>
      <c r="IK14" s="463"/>
      <c r="IL14" s="463"/>
      <c r="IM14" s="463"/>
      <c r="IN14" s="549"/>
      <c r="IO14" s="562"/>
    </row>
    <row r="15" spans="1:249" ht="12" customHeight="1">
      <c r="A15" s="813"/>
      <c r="B15" s="813"/>
      <c r="C15" s="813"/>
      <c r="D15" s="813"/>
      <c r="E15" s="813"/>
      <c r="F15" s="562"/>
      <c r="G15" s="562"/>
      <c r="H15" s="562"/>
      <c r="I15" s="562"/>
      <c r="J15" s="1756"/>
      <c r="K15" s="1756"/>
      <c r="L15" s="1736"/>
      <c r="M15" s="549" t="s">
        <v>8404</v>
      </c>
      <c r="N15" s="562">
        <f>N29+N43</f>
        <v>54248</v>
      </c>
      <c r="O15" s="562">
        <f t="shared" si="4"/>
        <v>60862</v>
      </c>
      <c r="P15" s="562">
        <f t="shared" si="4"/>
        <v>39852</v>
      </c>
      <c r="Q15" s="562">
        <f>Q29+Q43</f>
        <v>9615</v>
      </c>
      <c r="R15" s="1729">
        <f t="shared" si="8"/>
        <v>-10.867207781538562</v>
      </c>
      <c r="S15" s="1729">
        <f t="shared" si="8"/>
        <v>52.720064237679409</v>
      </c>
      <c r="T15" s="1729">
        <f t="shared" si="5"/>
        <v>314.47737909516383</v>
      </c>
      <c r="U15" s="1729"/>
      <c r="V15" s="1736"/>
      <c r="W15" s="1735" t="s">
        <v>1954</v>
      </c>
      <c r="X15" s="463">
        <f t="shared" si="9"/>
        <v>54162</v>
      </c>
      <c r="Y15" s="463">
        <v>17640</v>
      </c>
      <c r="Z15" s="463">
        <v>5860</v>
      </c>
      <c r="AA15" s="463">
        <v>2429</v>
      </c>
      <c r="AB15" s="463">
        <v>251</v>
      </c>
      <c r="AC15" s="463">
        <v>1372</v>
      </c>
      <c r="AD15" s="463">
        <v>25600</v>
      </c>
      <c r="AE15" s="463">
        <v>52</v>
      </c>
      <c r="AF15" s="463">
        <v>958</v>
      </c>
      <c r="AG15" s="1736"/>
      <c r="AI15" s="583" t="s">
        <v>8351</v>
      </c>
      <c r="AJ15" s="986">
        <v>8617</v>
      </c>
      <c r="AK15" s="986">
        <v>8883</v>
      </c>
      <c r="AL15" s="986">
        <v>8883</v>
      </c>
      <c r="AM15" s="986">
        <v>9158</v>
      </c>
      <c r="AN15" s="986">
        <v>9380</v>
      </c>
      <c r="AO15" s="986"/>
      <c r="AP15" s="986"/>
      <c r="AQ15" s="571" t="s">
        <v>8405</v>
      </c>
      <c r="AR15" s="571"/>
      <c r="AS15" s="571"/>
      <c r="AT15" s="571"/>
      <c r="AU15" s="571"/>
      <c r="AV15" s="571"/>
      <c r="AW15" s="571"/>
      <c r="AX15" s="571"/>
      <c r="AY15" s="571"/>
      <c r="AZ15" s="571"/>
      <c r="BA15" s="571"/>
      <c r="BB15" s="571"/>
      <c r="BD15" s="1709" t="s">
        <v>1954</v>
      </c>
      <c r="BE15" s="1737">
        <v>2013954</v>
      </c>
      <c r="BF15" s="1737">
        <v>2380041.94</v>
      </c>
      <c r="BG15" s="1738">
        <v>1782620.44</v>
      </c>
      <c r="BH15" s="1738">
        <v>748418</v>
      </c>
      <c r="BI15" s="1738">
        <v>818234.29</v>
      </c>
      <c r="BJ15" s="1733"/>
      <c r="BK15" s="1733"/>
      <c r="BL15" s="398" t="s">
        <v>8406</v>
      </c>
      <c r="BM15" s="402">
        <v>1996</v>
      </c>
      <c r="BN15" s="1066" t="s">
        <v>8028</v>
      </c>
      <c r="BO15" s="382">
        <v>252</v>
      </c>
      <c r="BP15" s="382">
        <v>252</v>
      </c>
      <c r="BQ15" s="1734">
        <v>252</v>
      </c>
      <c r="BR15" s="475">
        <v>252</v>
      </c>
      <c r="BS15" s="382">
        <v>250</v>
      </c>
      <c r="BT15" s="382">
        <v>250</v>
      </c>
      <c r="BU15" s="382">
        <v>250</v>
      </c>
      <c r="BV15" s="382">
        <v>250</v>
      </c>
      <c r="BW15" s="382">
        <v>250</v>
      </c>
      <c r="BX15" s="382">
        <v>252</v>
      </c>
      <c r="BY15" s="439">
        <v>229</v>
      </c>
      <c r="BZ15" s="382"/>
      <c r="CA15" s="382"/>
      <c r="CB15" s="385"/>
      <c r="CC15" s="391" t="s">
        <v>390</v>
      </c>
      <c r="CD15" s="463"/>
      <c r="CE15" s="382"/>
      <c r="CF15" s="382"/>
      <c r="CG15" s="382"/>
      <c r="CH15" s="382"/>
      <c r="CI15" s="382"/>
      <c r="CJ15" s="382"/>
      <c r="CK15" s="382"/>
      <c r="CL15" s="382"/>
      <c r="CM15" s="382"/>
      <c r="CN15" s="382"/>
      <c r="CO15" s="382"/>
      <c r="CP15" s="382"/>
      <c r="CQ15" s="385"/>
      <c r="CR15" s="549"/>
      <c r="CS15" s="382" t="s">
        <v>845</v>
      </c>
      <c r="CT15" s="1744">
        <v>24970</v>
      </c>
      <c r="CU15" s="1744">
        <v>13592</v>
      </c>
      <c r="CV15" s="1744">
        <v>12439</v>
      </c>
      <c r="CW15" s="1744">
        <v>12009</v>
      </c>
      <c r="CX15" s="1744">
        <v>262</v>
      </c>
      <c r="CY15" s="1744">
        <v>0</v>
      </c>
      <c r="CZ15" s="1744">
        <v>430</v>
      </c>
      <c r="DA15" s="1744">
        <v>11093</v>
      </c>
      <c r="DB15" s="1744">
        <v>1158</v>
      </c>
      <c r="DC15" s="1744">
        <v>285</v>
      </c>
      <c r="DD15" s="862"/>
      <c r="DE15" s="525"/>
      <c r="DF15" s="585" t="s">
        <v>393</v>
      </c>
      <c r="DG15" s="1739">
        <v>702</v>
      </c>
      <c r="DH15" s="1739">
        <v>36</v>
      </c>
      <c r="DI15" s="1739">
        <v>77</v>
      </c>
      <c r="DJ15" s="1739">
        <v>80</v>
      </c>
      <c r="DK15" s="1739">
        <v>152</v>
      </c>
      <c r="DL15" s="1739">
        <v>87</v>
      </c>
      <c r="DM15" s="1739">
        <v>52</v>
      </c>
      <c r="DN15" s="1739">
        <v>83</v>
      </c>
      <c r="DO15" s="1739">
        <v>26</v>
      </c>
      <c r="DP15" s="1739">
        <v>9</v>
      </c>
      <c r="DQ15" s="1739">
        <v>14</v>
      </c>
      <c r="DR15" s="1739">
        <v>0</v>
      </c>
      <c r="DS15" s="1739">
        <v>0</v>
      </c>
      <c r="DT15" s="1739">
        <v>0</v>
      </c>
      <c r="DU15" s="1739">
        <v>3</v>
      </c>
      <c r="DV15" s="862"/>
      <c r="DX15" s="382" t="s">
        <v>8407</v>
      </c>
      <c r="DY15" s="1739">
        <v>702</v>
      </c>
      <c r="DZ15" s="1740">
        <v>315</v>
      </c>
      <c r="EA15" s="1740">
        <v>86</v>
      </c>
      <c r="EB15" s="1740">
        <v>37</v>
      </c>
      <c r="EC15" s="1740">
        <v>32</v>
      </c>
      <c r="ED15" s="1740">
        <v>16</v>
      </c>
      <c r="EE15" s="1740">
        <v>99</v>
      </c>
      <c r="EF15" s="525"/>
      <c r="EH15" s="382" t="s">
        <v>8401</v>
      </c>
      <c r="EI15" s="1739">
        <v>1490</v>
      </c>
      <c r="EJ15" s="1739">
        <v>932</v>
      </c>
      <c r="EK15" s="1739">
        <v>0</v>
      </c>
      <c r="EL15" s="1739">
        <v>112</v>
      </c>
      <c r="EM15" s="1739">
        <v>12</v>
      </c>
      <c r="EN15" s="1739">
        <v>1</v>
      </c>
      <c r="EO15" s="1739">
        <v>196</v>
      </c>
      <c r="EQ15" s="525"/>
      <c r="ER15" s="382" t="s">
        <v>8401</v>
      </c>
      <c r="ES15" s="1739">
        <v>1490</v>
      </c>
      <c r="ET15" s="1739">
        <v>743</v>
      </c>
      <c r="EU15" s="1739">
        <v>41</v>
      </c>
      <c r="EV15" s="1739">
        <v>0</v>
      </c>
      <c r="EW15" s="1739">
        <v>18</v>
      </c>
      <c r="EX15" s="1739">
        <v>10</v>
      </c>
      <c r="EY15" s="1739">
        <v>3</v>
      </c>
      <c r="EZ15" s="1739">
        <v>0</v>
      </c>
      <c r="FA15" s="1739">
        <v>75</v>
      </c>
      <c r="FB15" s="1739">
        <v>0</v>
      </c>
      <c r="FC15" s="1739">
        <v>2</v>
      </c>
      <c r="FD15" s="1739">
        <v>91</v>
      </c>
      <c r="FE15" s="1739">
        <v>91</v>
      </c>
      <c r="FF15" s="1739">
        <v>54</v>
      </c>
      <c r="FG15" s="1739">
        <f>18+71</f>
        <v>89</v>
      </c>
      <c r="FH15" s="862"/>
      <c r="FI15" s="862"/>
      <c r="FJ15" s="382" t="s">
        <v>8385</v>
      </c>
      <c r="FK15" s="439" t="s">
        <v>2825</v>
      </c>
      <c r="FL15" s="439" t="s">
        <v>2825</v>
      </c>
      <c r="FM15" s="1750">
        <v>901.13</v>
      </c>
      <c r="FN15" s="1750">
        <v>2004.25</v>
      </c>
      <c r="FO15" s="1749">
        <v>935.2</v>
      </c>
      <c r="FP15" s="1749">
        <v>1566.82</v>
      </c>
      <c r="FQ15" s="1747">
        <v>1199.08</v>
      </c>
      <c r="FR15" s="1747">
        <v>1970.97</v>
      </c>
      <c r="FS15" s="439" t="s">
        <v>2825</v>
      </c>
      <c r="FT15" s="439" t="s">
        <v>2825</v>
      </c>
      <c r="FU15" s="439"/>
      <c r="FW15" s="382"/>
      <c r="FX15" s="1757"/>
      <c r="FY15" s="1757"/>
      <c r="FZ15" s="1757"/>
      <c r="GA15" s="1757"/>
      <c r="GB15" s="1757"/>
      <c r="GC15" s="1757"/>
      <c r="GD15" s="1757"/>
      <c r="GE15" s="1757"/>
      <c r="GF15" s="1757"/>
      <c r="GG15" s="1757"/>
      <c r="GH15" s="1757"/>
      <c r="GI15" s="1757"/>
      <c r="GJ15" s="473"/>
      <c r="GM15" s="398" t="s">
        <v>8408</v>
      </c>
      <c r="GN15" s="398">
        <v>0</v>
      </c>
      <c r="GO15" s="398">
        <v>0</v>
      </c>
      <c r="GP15" s="398">
        <v>0</v>
      </c>
      <c r="GQ15" s="398">
        <v>0</v>
      </c>
      <c r="GR15" s="398">
        <v>0</v>
      </c>
      <c r="GS15" s="398">
        <v>0</v>
      </c>
      <c r="GT15" s="398">
        <v>0</v>
      </c>
      <c r="GU15" s="398">
        <v>0</v>
      </c>
      <c r="GV15" s="398"/>
      <c r="GW15" s="398"/>
      <c r="GX15" s="515"/>
      <c r="GY15" s="515"/>
      <c r="GZ15" s="515"/>
      <c r="HA15" s="515"/>
      <c r="HB15" s="515"/>
      <c r="HC15" s="757"/>
      <c r="HD15" s="515"/>
      <c r="HE15" s="515"/>
      <c r="HF15" s="515"/>
      <c r="HG15" s="515"/>
      <c r="HH15" s="515"/>
      <c r="HI15" s="515"/>
      <c r="HJ15" s="515"/>
      <c r="HK15" s="515"/>
      <c r="HL15" s="382"/>
      <c r="HM15" s="398"/>
      <c r="HN15" s="515"/>
      <c r="HO15" s="515"/>
      <c r="HP15" s="515"/>
      <c r="HQ15" s="515"/>
      <c r="HR15" s="515"/>
      <c r="HS15" s="757"/>
      <c r="HT15" s="515"/>
      <c r="HU15" s="515"/>
      <c r="HV15" s="515"/>
      <c r="HW15" s="515"/>
      <c r="HX15" s="515"/>
      <c r="HY15" s="515"/>
      <c r="HZ15" s="515"/>
      <c r="IA15" s="515"/>
      <c r="IB15" s="515"/>
      <c r="IC15" s="515"/>
      <c r="ID15" s="549"/>
      <c r="IE15" s="549"/>
      <c r="IF15" s="549"/>
      <c r="IG15" s="398"/>
      <c r="IH15" s="515"/>
      <c r="II15" s="515"/>
      <c r="IJ15" s="463"/>
      <c r="IK15" s="463"/>
      <c r="IL15" s="463"/>
      <c r="IM15" s="463"/>
      <c r="IN15" s="549"/>
      <c r="IO15" s="562"/>
    </row>
    <row r="16" spans="1:249" ht="14.1" customHeight="1">
      <c r="A16" s="562"/>
      <c r="B16" s="562"/>
      <c r="C16" s="562"/>
      <c r="D16" s="562"/>
      <c r="E16" s="562"/>
      <c r="F16" s="562"/>
      <c r="G16" s="562"/>
      <c r="H16" s="562"/>
      <c r="I16" s="562"/>
      <c r="J16" s="1756"/>
      <c r="K16" s="1756"/>
      <c r="L16" s="1736"/>
      <c r="M16" s="549" t="s">
        <v>1955</v>
      </c>
      <c r="N16" s="562">
        <f>N30+N44</f>
        <v>67931</v>
      </c>
      <c r="O16" s="562">
        <f t="shared" si="4"/>
        <v>73721</v>
      </c>
      <c r="P16" s="562">
        <f t="shared" si="4"/>
        <v>55540</v>
      </c>
      <c r="Q16" s="562">
        <f>Q30+Q44</f>
        <v>8764</v>
      </c>
      <c r="R16" s="1729">
        <f t="shared" si="8"/>
        <v>-7.8539357849188152</v>
      </c>
      <c r="S16" s="1729">
        <f t="shared" si="8"/>
        <v>32.734965790421313</v>
      </c>
      <c r="T16" s="1729">
        <f t="shared" si="5"/>
        <v>533.72889091738932</v>
      </c>
      <c r="U16" s="1729"/>
      <c r="V16" s="1736"/>
      <c r="W16" s="387" t="s">
        <v>1955</v>
      </c>
      <c r="X16" s="497">
        <f t="shared" si="9"/>
        <v>67721</v>
      </c>
      <c r="Y16" s="766">
        <v>23825</v>
      </c>
      <c r="Z16" s="497">
        <v>6767</v>
      </c>
      <c r="AA16" s="766">
        <v>2507</v>
      </c>
      <c r="AB16" s="766">
        <v>792</v>
      </c>
      <c r="AC16" s="633">
        <v>1260</v>
      </c>
      <c r="AD16" s="766">
        <v>31302</v>
      </c>
      <c r="AE16" s="766">
        <v>57</v>
      </c>
      <c r="AF16" s="497">
        <v>1211</v>
      </c>
      <c r="AG16" s="1736"/>
      <c r="AI16" s="571" t="s">
        <v>8377</v>
      </c>
      <c r="AJ16" s="1736">
        <f>AJ14/AJ15</f>
        <v>193.41592201462225</v>
      </c>
      <c r="AK16" s="1736">
        <f>AK14/AK15</f>
        <v>174.37881346391984</v>
      </c>
      <c r="AL16" s="1736">
        <f>AL14/AL15</f>
        <v>173.97185635483507</v>
      </c>
      <c r="AM16" s="1736">
        <f>AM14/AM15</f>
        <v>167.66957851059183</v>
      </c>
      <c r="AN16" s="1736">
        <f>AN14/AN15</f>
        <v>150.2185501066098</v>
      </c>
      <c r="AO16" s="972"/>
      <c r="AP16" s="972"/>
      <c r="AQ16" s="571" t="s">
        <v>8409</v>
      </c>
      <c r="AR16" s="571"/>
      <c r="AS16" s="571"/>
      <c r="AT16" s="571"/>
      <c r="AU16" s="571"/>
      <c r="AV16" s="571"/>
      <c r="AW16" s="571"/>
      <c r="AX16" s="571"/>
      <c r="AY16" s="549"/>
      <c r="AZ16" s="549"/>
      <c r="BA16" s="549"/>
      <c r="BB16" s="549"/>
      <c r="BD16" s="1758" t="s">
        <v>1955</v>
      </c>
      <c r="BE16" s="1759">
        <v>2093911</v>
      </c>
      <c r="BF16" s="1759">
        <v>2507256.77</v>
      </c>
      <c r="BG16" s="1760">
        <v>1785092.84</v>
      </c>
      <c r="BH16" s="1760">
        <v>1009616</v>
      </c>
      <c r="BI16" s="1760">
        <v>720585.47</v>
      </c>
      <c r="BJ16" s="1733"/>
      <c r="BK16" s="1733"/>
      <c r="BL16" s="398" t="s">
        <v>8410</v>
      </c>
      <c r="BM16" s="402">
        <v>1992</v>
      </c>
      <c r="BN16" s="1066" t="s">
        <v>8028</v>
      </c>
      <c r="BO16" s="382">
        <v>470</v>
      </c>
      <c r="BP16" s="382">
        <v>470</v>
      </c>
      <c r="BQ16" s="1734">
        <v>470</v>
      </c>
      <c r="BR16" s="382">
        <v>470</v>
      </c>
      <c r="BS16" s="382">
        <v>490</v>
      </c>
      <c r="BT16" s="382">
        <v>490</v>
      </c>
      <c r="BU16" s="382">
        <v>490</v>
      </c>
      <c r="BV16" s="382">
        <v>490</v>
      </c>
      <c r="BW16" s="382">
        <v>490</v>
      </c>
      <c r="BX16" s="382">
        <v>492</v>
      </c>
      <c r="BY16" s="439">
        <v>492</v>
      </c>
      <c r="BZ16" s="382"/>
      <c r="CA16" s="382"/>
      <c r="CB16" s="385"/>
      <c r="CC16" s="391">
        <v>2024</v>
      </c>
      <c r="CD16" s="463">
        <f>SUM(CE16:CP16)</f>
        <v>469168</v>
      </c>
      <c r="CE16" s="463">
        <v>55230</v>
      </c>
      <c r="CF16" s="463">
        <v>53636</v>
      </c>
      <c r="CG16" s="463">
        <v>45653</v>
      </c>
      <c r="CH16" s="463">
        <v>34053</v>
      </c>
      <c r="CI16" s="463">
        <v>37727</v>
      </c>
      <c r="CJ16" s="463">
        <v>33108</v>
      </c>
      <c r="CK16" s="463">
        <v>35837</v>
      </c>
      <c r="CL16" s="463">
        <v>35270</v>
      </c>
      <c r="CM16" s="463">
        <v>34852</v>
      </c>
      <c r="CN16" s="463">
        <v>37995</v>
      </c>
      <c r="CO16" s="463">
        <v>30552</v>
      </c>
      <c r="CP16" s="463">
        <v>35255</v>
      </c>
      <c r="CQ16" s="385"/>
      <c r="CR16" s="549"/>
      <c r="CS16" s="382" t="s">
        <v>3006</v>
      </c>
      <c r="CT16" s="1744">
        <v>2254</v>
      </c>
      <c r="CU16" s="1744">
        <v>638</v>
      </c>
      <c r="CV16" s="1744">
        <v>628</v>
      </c>
      <c r="CW16" s="1744">
        <v>591</v>
      </c>
      <c r="CX16" s="1744">
        <v>19</v>
      </c>
      <c r="CY16" s="1744">
        <v>0</v>
      </c>
      <c r="CZ16" s="1744">
        <v>37</v>
      </c>
      <c r="DA16" s="1744">
        <v>1606</v>
      </c>
      <c r="DB16" s="1744">
        <v>10</v>
      </c>
      <c r="DC16" s="1744">
        <v>10</v>
      </c>
      <c r="DD16" s="862"/>
      <c r="DE16" s="525"/>
      <c r="DF16" s="585" t="s">
        <v>467</v>
      </c>
      <c r="DG16" s="1739">
        <v>0</v>
      </c>
      <c r="DH16" s="1739">
        <v>0</v>
      </c>
      <c r="DI16" s="1739">
        <v>0</v>
      </c>
      <c r="DJ16" s="1739">
        <v>0</v>
      </c>
      <c r="DK16" s="1739">
        <v>0</v>
      </c>
      <c r="DL16" s="1739">
        <v>0</v>
      </c>
      <c r="DM16" s="1739">
        <v>0</v>
      </c>
      <c r="DN16" s="1739">
        <v>0</v>
      </c>
      <c r="DO16" s="1739">
        <v>0</v>
      </c>
      <c r="DP16" s="1739">
        <v>0</v>
      </c>
      <c r="DQ16" s="1739">
        <v>0</v>
      </c>
      <c r="DR16" s="1739">
        <v>0</v>
      </c>
      <c r="DS16" s="1739">
        <v>0</v>
      </c>
      <c r="DT16" s="1739">
        <v>0</v>
      </c>
      <c r="DU16" s="1739">
        <v>0</v>
      </c>
      <c r="DV16" s="862"/>
      <c r="DX16" s="382" t="s">
        <v>467</v>
      </c>
      <c r="DY16" s="1739">
        <v>0</v>
      </c>
      <c r="DZ16" s="1740">
        <v>0</v>
      </c>
      <c r="EA16" s="1740">
        <v>0</v>
      </c>
      <c r="EB16" s="1740">
        <v>0</v>
      </c>
      <c r="EC16" s="1740">
        <v>0</v>
      </c>
      <c r="ED16" s="1740">
        <v>0</v>
      </c>
      <c r="EE16" s="1740">
        <v>0</v>
      </c>
      <c r="EF16" s="525"/>
      <c r="EH16" s="382" t="s">
        <v>393</v>
      </c>
      <c r="EI16" s="1739">
        <v>702</v>
      </c>
      <c r="EJ16" s="1739">
        <v>524</v>
      </c>
      <c r="EK16" s="1739">
        <v>0</v>
      </c>
      <c r="EL16" s="1739">
        <v>27</v>
      </c>
      <c r="EM16" s="1739">
        <v>1</v>
      </c>
      <c r="EN16" s="1739">
        <v>0</v>
      </c>
      <c r="EO16" s="1739">
        <v>41</v>
      </c>
      <c r="EQ16" s="525"/>
      <c r="ER16" s="382" t="s">
        <v>8407</v>
      </c>
      <c r="ES16" s="1739">
        <v>702</v>
      </c>
      <c r="ET16" s="1739">
        <v>388</v>
      </c>
      <c r="EU16" s="1739">
        <v>22</v>
      </c>
      <c r="EV16" s="1739">
        <v>0</v>
      </c>
      <c r="EW16" s="1739">
        <v>57</v>
      </c>
      <c r="EX16" s="1739">
        <v>12</v>
      </c>
      <c r="EY16" s="1739">
        <v>5</v>
      </c>
      <c r="EZ16" s="1739">
        <v>0</v>
      </c>
      <c r="FA16" s="1739">
        <v>27</v>
      </c>
      <c r="FB16" s="1739">
        <v>0</v>
      </c>
      <c r="FC16" s="1739">
        <v>3</v>
      </c>
      <c r="FD16" s="1739">
        <v>15</v>
      </c>
      <c r="FE16" s="1739">
        <v>0</v>
      </c>
      <c r="FF16" s="1739">
        <v>10</v>
      </c>
      <c r="FG16" s="1739">
        <f>10+19</f>
        <v>29</v>
      </c>
      <c r="FH16" s="862"/>
      <c r="FI16" s="862"/>
      <c r="FJ16" s="382" t="s">
        <v>8389</v>
      </c>
      <c r="FK16" s="439" t="s">
        <v>2825</v>
      </c>
      <c r="FL16" s="1761" t="s">
        <v>1627</v>
      </c>
      <c r="FM16" s="1750">
        <v>1782.16</v>
      </c>
      <c r="FN16" s="1761" t="s">
        <v>1627</v>
      </c>
      <c r="FO16" s="1749">
        <v>2082.34</v>
      </c>
      <c r="FP16" s="439" t="s">
        <v>1627</v>
      </c>
      <c r="FQ16" s="1747">
        <v>2294.21</v>
      </c>
      <c r="FR16" s="1575" t="s">
        <v>1627</v>
      </c>
      <c r="FS16" s="439" t="s">
        <v>2825</v>
      </c>
      <c r="FT16" s="439" t="s">
        <v>1627</v>
      </c>
      <c r="FU16" s="439"/>
      <c r="FW16" s="382"/>
      <c r="FX16" s="1757"/>
      <c r="FY16" s="1757"/>
      <c r="FZ16" s="1757"/>
      <c r="GA16" s="1757"/>
      <c r="GB16" s="1757"/>
      <c r="GC16" s="1757"/>
      <c r="GD16" s="1757"/>
      <c r="GE16" s="1757"/>
      <c r="GF16" s="1757"/>
      <c r="GG16" s="1757"/>
      <c r="GH16" s="1757"/>
      <c r="GI16" s="1757"/>
      <c r="GJ16" s="473"/>
      <c r="GM16" s="398" t="s">
        <v>389</v>
      </c>
      <c r="GN16" s="398">
        <v>60</v>
      </c>
      <c r="GO16" s="398">
        <v>30</v>
      </c>
      <c r="GP16" s="519" t="s">
        <v>546</v>
      </c>
      <c r="GQ16" s="398">
        <v>9</v>
      </c>
      <c r="GR16" s="398">
        <v>0</v>
      </c>
      <c r="GS16" s="398">
        <v>0</v>
      </c>
      <c r="GT16" s="398">
        <v>53</v>
      </c>
      <c r="GU16" s="398">
        <v>19</v>
      </c>
      <c r="GV16" s="398"/>
      <c r="GW16" s="398"/>
      <c r="GX16" s="515"/>
      <c r="GY16" s="515"/>
      <c r="GZ16" s="515"/>
      <c r="HA16" s="515"/>
      <c r="HB16" s="1762"/>
      <c r="HC16" s="515"/>
      <c r="HD16" s="515"/>
      <c r="HE16" s="515"/>
      <c r="HF16" s="515"/>
      <c r="HG16" s="515"/>
      <c r="HH16" s="515"/>
      <c r="HI16" s="515"/>
      <c r="HJ16" s="515"/>
      <c r="HK16" s="515"/>
      <c r="HL16" s="382"/>
      <c r="HM16" s="398"/>
      <c r="HN16" s="515"/>
      <c r="HO16" s="515"/>
      <c r="HP16" s="515"/>
      <c r="HQ16" s="515"/>
      <c r="HR16" s="1762"/>
      <c r="HS16" s="515"/>
      <c r="HT16" s="515"/>
      <c r="HU16" s="515"/>
      <c r="HV16" s="515"/>
      <c r="HW16" s="515"/>
      <c r="HX16" s="515"/>
      <c r="HY16" s="515"/>
      <c r="HZ16" s="515"/>
      <c r="IA16" s="515"/>
      <c r="IB16" s="515"/>
      <c r="IC16" s="515"/>
      <c r="ID16" s="549"/>
      <c r="IE16" s="549"/>
      <c r="IF16" s="549"/>
      <c r="IG16" s="398"/>
      <c r="IH16" s="515"/>
      <c r="II16" s="757"/>
      <c r="IJ16" s="463"/>
      <c r="IK16" s="463"/>
      <c r="IL16" s="463"/>
      <c r="IM16" s="754"/>
      <c r="IN16" s="549"/>
      <c r="IO16" s="562"/>
    </row>
    <row r="17" spans="1:249" ht="14.1" customHeight="1">
      <c r="A17" s="562"/>
      <c r="B17" s="562"/>
      <c r="C17" s="562"/>
      <c r="D17" s="562"/>
      <c r="E17" s="562"/>
      <c r="F17" s="562"/>
      <c r="G17" s="562"/>
      <c r="H17" s="562"/>
      <c r="I17" s="562"/>
      <c r="J17" s="1756"/>
      <c r="K17" s="1756"/>
      <c r="L17" s="1736"/>
      <c r="V17" s="1736"/>
      <c r="W17" s="549" t="s">
        <v>8383</v>
      </c>
      <c r="X17" s="549"/>
      <c r="Y17" s="549"/>
      <c r="Z17" s="1929"/>
      <c r="AA17" s="562"/>
      <c r="AB17" s="986"/>
      <c r="AC17" s="435"/>
      <c r="AD17" s="435"/>
      <c r="AE17" s="435"/>
      <c r="AF17" s="435"/>
      <c r="AG17" s="1736"/>
      <c r="AI17" s="1742" t="s">
        <v>8380</v>
      </c>
      <c r="AJ17" s="1743">
        <v>44.9</v>
      </c>
      <c r="AK17" s="1743">
        <v>43.8</v>
      </c>
      <c r="AL17" s="1743">
        <v>42.9</v>
      </c>
      <c r="AM17" s="1743">
        <v>41.3</v>
      </c>
      <c r="AN17" s="1743">
        <v>37.6</v>
      </c>
      <c r="AO17" s="861"/>
      <c r="AP17" s="861"/>
      <c r="AQ17" s="571" t="s">
        <v>8411</v>
      </c>
      <c r="AR17" s="571"/>
      <c r="AS17" s="571"/>
      <c r="AT17" s="571"/>
      <c r="AU17" s="571"/>
      <c r="AV17" s="571"/>
      <c r="AW17" s="571"/>
      <c r="AX17" s="571"/>
      <c r="AY17" s="549"/>
      <c r="AZ17" s="549"/>
      <c r="BA17" s="549"/>
      <c r="BB17" s="549"/>
      <c r="BD17" s="1710" t="s">
        <v>8412</v>
      </c>
      <c r="BE17" s="1710"/>
      <c r="BF17" s="1710"/>
      <c r="BG17" s="1710"/>
      <c r="BH17" s="1710"/>
      <c r="BI17" s="1710"/>
      <c r="BJ17" s="1710"/>
      <c r="BK17" s="1710"/>
      <c r="BL17" s="398" t="s">
        <v>8413</v>
      </c>
      <c r="BM17" s="402">
        <v>1990</v>
      </c>
      <c r="BN17" s="1066" t="s">
        <v>2202</v>
      </c>
      <c r="BO17" s="439" t="s">
        <v>1627</v>
      </c>
      <c r="BP17" s="382">
        <v>105</v>
      </c>
      <c r="BQ17" s="1734">
        <v>105</v>
      </c>
      <c r="BR17" s="382">
        <v>105</v>
      </c>
      <c r="BS17" s="382">
        <v>105</v>
      </c>
      <c r="BT17" s="382">
        <v>105</v>
      </c>
      <c r="BU17" s="382">
        <v>105</v>
      </c>
      <c r="BV17" s="382">
        <v>105</v>
      </c>
      <c r="BW17" s="382">
        <v>105</v>
      </c>
      <c r="BX17" s="382">
        <v>110</v>
      </c>
      <c r="BY17" s="439">
        <v>112</v>
      </c>
      <c r="BZ17" s="382"/>
      <c r="CA17" s="382"/>
      <c r="CB17" s="385"/>
      <c r="CC17" s="391">
        <v>2023</v>
      </c>
      <c r="CD17" s="463">
        <f>SUM(CE17:CP17)</f>
        <v>547395</v>
      </c>
      <c r="CE17" s="463">
        <v>46555</v>
      </c>
      <c r="CF17" s="463">
        <v>43772</v>
      </c>
      <c r="CG17" s="463">
        <v>52178</v>
      </c>
      <c r="CH17" s="463">
        <v>48970</v>
      </c>
      <c r="CI17" s="463">
        <v>53723</v>
      </c>
      <c r="CJ17" s="463">
        <v>18249</v>
      </c>
      <c r="CK17" s="463">
        <v>47588</v>
      </c>
      <c r="CL17" s="463">
        <v>47864</v>
      </c>
      <c r="CM17" s="463">
        <v>46320</v>
      </c>
      <c r="CN17" s="463">
        <v>47870</v>
      </c>
      <c r="CO17" s="463">
        <v>46380</v>
      </c>
      <c r="CP17" s="463">
        <v>47926</v>
      </c>
      <c r="CQ17" s="385"/>
      <c r="CR17" s="549"/>
      <c r="CS17" s="382" t="s">
        <v>397</v>
      </c>
      <c r="CT17" s="1744">
        <v>27522</v>
      </c>
      <c r="CU17" s="1744">
        <v>16214</v>
      </c>
      <c r="CV17" s="1744">
        <v>13544</v>
      </c>
      <c r="CW17" s="1744">
        <v>13294</v>
      </c>
      <c r="CX17" s="1744">
        <v>145</v>
      </c>
      <c r="CY17" s="1744">
        <v>0</v>
      </c>
      <c r="CZ17" s="1744">
        <v>250</v>
      </c>
      <c r="DA17" s="1744">
        <v>8636</v>
      </c>
      <c r="DB17" s="1744">
        <v>2672</v>
      </c>
      <c r="DC17" s="1744">
        <v>2672</v>
      </c>
      <c r="DD17" s="862"/>
      <c r="DE17" s="525"/>
      <c r="DF17" s="585" t="s">
        <v>8414</v>
      </c>
      <c r="DG17" s="1739">
        <v>0</v>
      </c>
      <c r="DH17" s="1739">
        <v>0</v>
      </c>
      <c r="DI17" s="1739">
        <v>0</v>
      </c>
      <c r="DJ17" s="1739">
        <v>0</v>
      </c>
      <c r="DK17" s="1739">
        <v>0</v>
      </c>
      <c r="DL17" s="1739">
        <v>0</v>
      </c>
      <c r="DM17" s="1739">
        <v>0</v>
      </c>
      <c r="DN17" s="1739">
        <v>0</v>
      </c>
      <c r="DO17" s="1739">
        <v>0</v>
      </c>
      <c r="DP17" s="1739">
        <v>0</v>
      </c>
      <c r="DQ17" s="1739">
        <v>0</v>
      </c>
      <c r="DR17" s="1739">
        <v>0</v>
      </c>
      <c r="DS17" s="1739">
        <v>0</v>
      </c>
      <c r="DT17" s="1739">
        <v>0</v>
      </c>
      <c r="DU17" s="1739">
        <v>0</v>
      </c>
      <c r="DV17" s="862"/>
      <c r="DX17" s="382" t="s">
        <v>8414</v>
      </c>
      <c r="DY17" s="1739">
        <v>0</v>
      </c>
      <c r="DZ17" s="1740">
        <v>0</v>
      </c>
      <c r="EA17" s="1740">
        <v>0</v>
      </c>
      <c r="EB17" s="1740">
        <v>0</v>
      </c>
      <c r="EC17" s="1740">
        <v>0</v>
      </c>
      <c r="ED17" s="1740">
        <v>0</v>
      </c>
      <c r="EE17" s="1740">
        <v>0</v>
      </c>
      <c r="EF17" s="525"/>
      <c r="EH17" s="382" t="s">
        <v>467</v>
      </c>
      <c r="EI17" s="1739">
        <v>0</v>
      </c>
      <c r="EJ17" s="1739">
        <v>0</v>
      </c>
      <c r="EK17" s="1739">
        <v>0</v>
      </c>
      <c r="EL17" s="1739">
        <v>0</v>
      </c>
      <c r="EM17" s="1739">
        <v>0</v>
      </c>
      <c r="EN17" s="1739">
        <v>0</v>
      </c>
      <c r="EO17" s="1739">
        <v>0</v>
      </c>
      <c r="EQ17" s="525"/>
      <c r="ER17" s="382" t="s">
        <v>467</v>
      </c>
      <c r="ES17" s="1739">
        <v>0</v>
      </c>
      <c r="ET17" s="1739">
        <v>0</v>
      </c>
      <c r="EU17" s="1739">
        <v>0</v>
      </c>
      <c r="EV17" s="1739">
        <v>0</v>
      </c>
      <c r="EW17" s="1739">
        <v>0</v>
      </c>
      <c r="EX17" s="1739">
        <v>0</v>
      </c>
      <c r="EY17" s="1739">
        <v>0</v>
      </c>
      <c r="EZ17" s="1739">
        <v>0</v>
      </c>
      <c r="FA17" s="1739">
        <v>0</v>
      </c>
      <c r="FB17" s="1739">
        <v>0</v>
      </c>
      <c r="FC17" s="1739">
        <v>0</v>
      </c>
      <c r="FD17" s="1739">
        <v>0</v>
      </c>
      <c r="FE17" s="1739">
        <v>0</v>
      </c>
      <c r="FF17" s="1739">
        <v>0</v>
      </c>
      <c r="FG17" s="1739">
        <v>0</v>
      </c>
      <c r="FH17" s="862"/>
      <c r="FI17" s="862"/>
      <c r="FJ17" s="382" t="s">
        <v>399</v>
      </c>
      <c r="FK17" s="382"/>
      <c r="FL17" s="382"/>
      <c r="FM17" s="382"/>
      <c r="FN17" s="382"/>
      <c r="FO17" s="382"/>
      <c r="FP17" s="382"/>
      <c r="FQ17" s="382"/>
      <c r="FR17" s="382"/>
      <c r="FS17" s="382"/>
      <c r="FT17" s="382"/>
      <c r="FU17" s="382"/>
      <c r="FW17" s="637"/>
      <c r="FX17" s="1757"/>
      <c r="FY17" s="1757"/>
      <c r="FZ17" s="1757"/>
      <c r="GA17" s="1757"/>
      <c r="GB17" s="1757"/>
      <c r="GC17" s="1757"/>
      <c r="GD17" s="1757"/>
      <c r="GE17" s="1757"/>
      <c r="GF17" s="1757"/>
      <c r="GG17" s="1757"/>
      <c r="GH17" s="1757"/>
      <c r="GI17" s="1757"/>
      <c r="GJ17" s="473"/>
      <c r="GM17" s="398" t="s">
        <v>531</v>
      </c>
      <c r="GN17" s="398">
        <v>0</v>
      </c>
      <c r="GO17" s="398">
        <v>0</v>
      </c>
      <c r="GP17" s="398">
        <v>0</v>
      </c>
      <c r="GQ17" s="398">
        <v>0</v>
      </c>
      <c r="GR17" s="398">
        <v>0</v>
      </c>
      <c r="GS17" s="398">
        <v>0</v>
      </c>
      <c r="GT17" s="398">
        <v>0</v>
      </c>
      <c r="GU17" s="398">
        <v>0</v>
      </c>
      <c r="GV17" s="398"/>
      <c r="GW17" s="398"/>
      <c r="GX17" s="515"/>
      <c r="GY17" s="515"/>
      <c r="GZ17" s="515"/>
      <c r="HA17" s="515"/>
      <c r="HB17" s="515"/>
      <c r="HC17" s="515"/>
      <c r="HD17" s="515"/>
      <c r="HE17" s="515"/>
      <c r="HF17" s="515"/>
      <c r="HG17" s="515"/>
      <c r="HH17" s="515"/>
      <c r="HI17" s="515"/>
      <c r="HJ17" s="515"/>
      <c r="HK17" s="515"/>
      <c r="HL17" s="382"/>
      <c r="HM17" s="398"/>
      <c r="HN17" s="515"/>
      <c r="HO17" s="515"/>
      <c r="HP17" s="515"/>
      <c r="HQ17" s="515"/>
      <c r="HR17" s="515"/>
      <c r="HS17" s="515"/>
      <c r="HT17" s="515"/>
      <c r="HU17" s="515"/>
      <c r="HV17" s="515"/>
      <c r="HW17" s="515"/>
      <c r="HX17" s="515"/>
      <c r="HY17" s="515"/>
      <c r="HZ17" s="515"/>
      <c r="IA17" s="515"/>
      <c r="IB17" s="515"/>
      <c r="IC17" s="515"/>
      <c r="ID17" s="549"/>
      <c r="IE17" s="549"/>
      <c r="IF17" s="549"/>
      <c r="IG17" s="398"/>
      <c r="IH17" s="515"/>
      <c r="II17" s="515"/>
      <c r="IJ17" s="463"/>
      <c r="IK17" s="463"/>
      <c r="IL17" s="463"/>
      <c r="IM17" s="463"/>
      <c r="IN17" s="549"/>
      <c r="IO17" s="562"/>
    </row>
    <row r="18" spans="1:249" ht="14.1" customHeight="1">
      <c r="A18" s="562"/>
      <c r="B18" s="562"/>
      <c r="C18" s="562"/>
      <c r="D18" s="562"/>
      <c r="E18" s="562"/>
      <c r="F18" s="562"/>
      <c r="G18" s="562"/>
      <c r="H18" s="562"/>
      <c r="I18" s="562"/>
      <c r="J18" s="1756"/>
      <c r="K18" s="1756"/>
      <c r="L18" s="1736"/>
      <c r="M18" s="1764" t="s">
        <v>8415</v>
      </c>
      <c r="N18" s="562">
        <f>SUM(N19:N30)</f>
        <v>730192</v>
      </c>
      <c r="O18" s="562">
        <f>SUM(O19:O30)</f>
        <v>652842</v>
      </c>
      <c r="P18" s="562">
        <f>SUM(P19:P30)</f>
        <v>326119</v>
      </c>
      <c r="Q18" s="562">
        <f>SUM(Q19:Q30)</f>
        <v>78469</v>
      </c>
      <c r="R18" s="1729">
        <f>(N18-O18)/O18*100</f>
        <v>11.848196041308617</v>
      </c>
      <c r="S18" s="1765">
        <f t="shared" ref="S18:T30" si="12">(O18-P18)/P18*100</f>
        <v>100.185208466848</v>
      </c>
      <c r="T18" s="1765">
        <f t="shared" si="12"/>
        <v>315.60233977749175</v>
      </c>
      <c r="U18" s="1765"/>
      <c r="V18" s="1736"/>
      <c r="W18" s="825" t="s">
        <v>8397</v>
      </c>
      <c r="X18" s="825"/>
      <c r="Y18" s="549"/>
      <c r="Z18" s="1929"/>
      <c r="AA18" s="562"/>
      <c r="AB18" s="986"/>
      <c r="AC18" s="435"/>
      <c r="AD18" s="435"/>
      <c r="AE18" s="435"/>
      <c r="AF18" s="435"/>
      <c r="AG18" s="1736"/>
      <c r="AI18" s="583" t="s">
        <v>8383</v>
      </c>
      <c r="AJ18" s="583"/>
      <c r="AK18" s="583"/>
      <c r="AL18" s="583"/>
      <c r="AM18" s="583"/>
      <c r="AN18" s="583"/>
      <c r="AO18" s="583"/>
      <c r="AP18" s="583"/>
      <c r="AQ18" s="583"/>
      <c r="AR18" s="583"/>
      <c r="AS18" s="583"/>
      <c r="AT18" s="583"/>
      <c r="AU18" s="583"/>
      <c r="AV18" s="583"/>
      <c r="AW18" s="583"/>
      <c r="AX18" s="583"/>
      <c r="AY18" s="583"/>
      <c r="AZ18" s="583"/>
      <c r="BA18" s="583"/>
      <c r="BB18" s="583"/>
      <c r="BD18" s="463"/>
      <c r="BE18" s="382"/>
      <c r="BF18" s="1733"/>
      <c r="BG18" s="619"/>
      <c r="BH18" s="382"/>
      <c r="BI18" s="382"/>
      <c r="BL18" s="398" t="s">
        <v>8416</v>
      </c>
      <c r="BM18" s="402">
        <v>1993</v>
      </c>
      <c r="BN18" s="1066" t="s">
        <v>8028</v>
      </c>
      <c r="BO18" s="382">
        <v>450</v>
      </c>
      <c r="BP18" s="382">
        <v>450</v>
      </c>
      <c r="BQ18" s="1734">
        <v>450</v>
      </c>
      <c r="BR18" s="382">
        <v>450</v>
      </c>
      <c r="BS18" s="382">
        <v>450</v>
      </c>
      <c r="BT18" s="382">
        <v>450</v>
      </c>
      <c r="BU18" s="382">
        <v>450</v>
      </c>
      <c r="BV18" s="382">
        <v>450</v>
      </c>
      <c r="BW18" s="382">
        <v>450</v>
      </c>
      <c r="BX18" s="382">
        <v>450</v>
      </c>
      <c r="BY18" s="439">
        <v>455</v>
      </c>
      <c r="BZ18" s="382"/>
      <c r="CA18" s="382"/>
      <c r="CB18" s="385"/>
      <c r="CC18" s="391">
        <v>2022</v>
      </c>
      <c r="CD18" s="463">
        <f>SUM(CE18:CP18)</f>
        <v>317240</v>
      </c>
      <c r="CE18" s="463">
        <v>6818</v>
      </c>
      <c r="CF18" s="463">
        <v>3348</v>
      </c>
      <c r="CG18" s="463">
        <v>4653</v>
      </c>
      <c r="CH18" s="463">
        <v>9671</v>
      </c>
      <c r="CI18" s="463">
        <v>20693</v>
      </c>
      <c r="CJ18" s="463">
        <v>27593</v>
      </c>
      <c r="CK18" s="463">
        <v>42708</v>
      </c>
      <c r="CL18" s="463">
        <v>46394</v>
      </c>
      <c r="CM18" s="463">
        <v>34566</v>
      </c>
      <c r="CN18" s="463">
        <v>40256</v>
      </c>
      <c r="CO18" s="463">
        <v>37596</v>
      </c>
      <c r="CP18" s="463">
        <v>42944</v>
      </c>
      <c r="CQ18" s="385"/>
      <c r="CR18" s="525"/>
      <c r="CS18" s="382" t="s">
        <v>8396</v>
      </c>
      <c r="CT18" s="1744">
        <v>2053</v>
      </c>
      <c r="CU18" s="1744">
        <v>1367</v>
      </c>
      <c r="CV18" s="1744">
        <v>1338</v>
      </c>
      <c r="CW18" s="1744">
        <v>1310</v>
      </c>
      <c r="CX18" s="1744">
        <v>19</v>
      </c>
      <c r="CY18" s="1744">
        <v>95</v>
      </c>
      <c r="CZ18" s="1744">
        <v>28</v>
      </c>
      <c r="DA18" s="1744">
        <v>563</v>
      </c>
      <c r="DB18" s="1744">
        <v>29</v>
      </c>
      <c r="DC18" s="1744">
        <v>123</v>
      </c>
      <c r="DD18" s="862"/>
      <c r="DE18" s="525"/>
      <c r="DF18" s="585" t="s">
        <v>530</v>
      </c>
      <c r="DG18" s="1739">
        <v>148</v>
      </c>
      <c r="DH18" s="1739">
        <v>17</v>
      </c>
      <c r="DI18" s="1739">
        <v>11</v>
      </c>
      <c r="DJ18" s="1739">
        <v>10</v>
      </c>
      <c r="DK18" s="1739">
        <v>8</v>
      </c>
      <c r="DL18" s="1739">
        <v>14</v>
      </c>
      <c r="DM18" s="1739">
        <v>7</v>
      </c>
      <c r="DN18" s="1739">
        <v>12</v>
      </c>
      <c r="DO18" s="1739">
        <v>11</v>
      </c>
      <c r="DP18" s="1739">
        <v>9</v>
      </c>
      <c r="DQ18" s="1739">
        <v>1</v>
      </c>
      <c r="DR18" s="1739">
        <v>0</v>
      </c>
      <c r="DS18" s="1739">
        <v>0</v>
      </c>
      <c r="DT18" s="1739">
        <v>0</v>
      </c>
      <c r="DU18" s="1739">
        <v>6</v>
      </c>
      <c r="DV18" s="862"/>
      <c r="DX18" s="382" t="s">
        <v>530</v>
      </c>
      <c r="DY18" s="1739">
        <v>148</v>
      </c>
      <c r="DZ18" s="1740">
        <v>20</v>
      </c>
      <c r="EA18" s="1740">
        <v>9</v>
      </c>
      <c r="EB18" s="1740">
        <v>13</v>
      </c>
      <c r="EC18" s="1740">
        <v>5</v>
      </c>
      <c r="ED18" s="1740">
        <v>8</v>
      </c>
      <c r="EE18" s="1740">
        <v>32</v>
      </c>
      <c r="EF18" s="525"/>
      <c r="EH18" s="382" t="s">
        <v>466</v>
      </c>
      <c r="EI18" s="1739">
        <v>0</v>
      </c>
      <c r="EJ18" s="1739">
        <v>0</v>
      </c>
      <c r="EK18" s="1739">
        <v>0</v>
      </c>
      <c r="EL18" s="1739">
        <v>0</v>
      </c>
      <c r="EM18" s="1739">
        <v>0</v>
      </c>
      <c r="EN18" s="1739">
        <v>0</v>
      </c>
      <c r="EO18" s="1739">
        <v>0</v>
      </c>
      <c r="EQ18" s="525"/>
      <c r="ER18" s="382" t="s">
        <v>8414</v>
      </c>
      <c r="ES18" s="1739">
        <v>0</v>
      </c>
      <c r="ET18" s="1739">
        <v>0</v>
      </c>
      <c r="EU18" s="1739">
        <v>0</v>
      </c>
      <c r="EV18" s="1739">
        <v>0</v>
      </c>
      <c r="EW18" s="1739">
        <v>0</v>
      </c>
      <c r="EX18" s="1739">
        <v>0</v>
      </c>
      <c r="EY18" s="1739">
        <v>0</v>
      </c>
      <c r="EZ18" s="1739">
        <v>0</v>
      </c>
      <c r="FA18" s="1739">
        <v>0</v>
      </c>
      <c r="FB18" s="1739">
        <v>0</v>
      </c>
      <c r="FC18" s="1739">
        <v>0</v>
      </c>
      <c r="FD18" s="1739">
        <v>0</v>
      </c>
      <c r="FE18" s="1739">
        <v>0</v>
      </c>
      <c r="FF18" s="1739">
        <v>0</v>
      </c>
      <c r="FG18" s="1739">
        <v>0</v>
      </c>
      <c r="FH18" s="862"/>
      <c r="FI18" s="862"/>
      <c r="FJ18" s="391" t="s">
        <v>8382</v>
      </c>
      <c r="FK18" s="1745">
        <v>978.27</v>
      </c>
      <c r="FL18" s="1745">
        <v>2208.7800000000002</v>
      </c>
      <c r="FM18" s="1746">
        <v>991.34</v>
      </c>
      <c r="FN18" s="1746">
        <v>3150.99</v>
      </c>
      <c r="FO18" s="1745">
        <v>1322.48</v>
      </c>
      <c r="FP18" s="1745">
        <v>2213.7800000000002</v>
      </c>
      <c r="FQ18" s="1747">
        <v>944.38</v>
      </c>
      <c r="FR18" s="1747">
        <v>1529.16</v>
      </c>
      <c r="FS18" s="1747">
        <v>860.68</v>
      </c>
      <c r="FT18" s="1747">
        <v>1454.45</v>
      </c>
      <c r="FU18" s="1747"/>
      <c r="FW18" s="1766"/>
      <c r="FX18" s="1757"/>
      <c r="FY18" s="1757"/>
      <c r="FZ18" s="1757"/>
      <c r="GA18" s="1757"/>
      <c r="GB18" s="1757"/>
      <c r="GC18" s="1757"/>
      <c r="GD18" s="1757"/>
      <c r="GE18" s="1757"/>
      <c r="GF18" s="1757"/>
      <c r="GG18" s="1757"/>
      <c r="GH18" s="1757"/>
      <c r="GI18" s="1757"/>
      <c r="GJ18" s="473"/>
      <c r="GM18" s="398" t="s">
        <v>8417</v>
      </c>
      <c r="GN18" s="515">
        <v>465220</v>
      </c>
      <c r="GO18" s="398">
        <v>510</v>
      </c>
      <c r="GP18" s="515">
        <v>124958</v>
      </c>
      <c r="GQ18" s="398">
        <v>367</v>
      </c>
      <c r="GR18" s="398">
        <v>407</v>
      </c>
      <c r="GS18" s="398">
        <v>50</v>
      </c>
      <c r="GT18" s="515">
        <v>332117</v>
      </c>
      <c r="GU18" s="398">
        <v>829</v>
      </c>
      <c r="GV18" s="515"/>
      <c r="GW18" s="398"/>
      <c r="GX18" s="515"/>
      <c r="GY18" s="515"/>
      <c r="GZ18" s="515"/>
      <c r="HA18" s="515"/>
      <c r="HB18" s="515"/>
      <c r="HC18" s="515"/>
      <c r="HD18" s="515"/>
      <c r="HE18" s="515"/>
      <c r="HF18" s="515"/>
      <c r="HG18" s="515"/>
      <c r="HH18" s="515"/>
      <c r="HI18" s="757"/>
      <c r="HJ18" s="515"/>
      <c r="HK18" s="515"/>
      <c r="HL18" s="382"/>
      <c r="HM18" s="398"/>
      <c r="HN18" s="515"/>
      <c r="HO18" s="515"/>
      <c r="HP18" s="515"/>
      <c r="HQ18" s="515"/>
      <c r="HR18" s="515"/>
      <c r="HS18" s="515"/>
      <c r="HT18" s="515"/>
      <c r="HU18" s="515"/>
      <c r="HV18" s="515"/>
      <c r="HW18" s="515"/>
      <c r="HX18" s="515"/>
      <c r="HY18" s="757"/>
      <c r="HZ18" s="515"/>
      <c r="IA18" s="515"/>
      <c r="IB18" s="515"/>
      <c r="IC18" s="515"/>
      <c r="ID18" s="549"/>
      <c r="IE18" s="549"/>
      <c r="IF18" s="549"/>
      <c r="IG18" s="398"/>
      <c r="IH18" s="515"/>
      <c r="II18" s="515"/>
      <c r="IJ18" s="463"/>
      <c r="IK18" s="474"/>
      <c r="IL18" s="463"/>
      <c r="IM18" s="463"/>
      <c r="IN18" s="549"/>
      <c r="IO18" s="562"/>
    </row>
    <row r="19" spans="1:249" ht="14.1" customHeight="1">
      <c r="A19" s="562"/>
      <c r="B19" s="562"/>
      <c r="C19" s="562"/>
      <c r="D19" s="562"/>
      <c r="E19" s="562"/>
      <c r="F19" s="562"/>
      <c r="G19" s="562"/>
      <c r="H19" s="562"/>
      <c r="I19" s="562"/>
      <c r="J19" s="1756"/>
      <c r="K19" s="1756"/>
      <c r="L19" s="1736"/>
      <c r="M19" s="549" t="s">
        <v>1944</v>
      </c>
      <c r="N19" s="562">
        <v>78969</v>
      </c>
      <c r="O19" s="813">
        <v>56670</v>
      </c>
      <c r="P19" s="813">
        <v>9042</v>
      </c>
      <c r="Q19" s="813">
        <v>4520</v>
      </c>
      <c r="R19" s="1729">
        <f t="shared" ref="R19:R30" si="13">(N19-O19)/O19*100</f>
        <v>39.348861831656961</v>
      </c>
      <c r="S19" s="1765">
        <f t="shared" si="12"/>
        <v>526.74187126741879</v>
      </c>
      <c r="T19" s="1765">
        <f t="shared" si="12"/>
        <v>100.04424778761063</v>
      </c>
      <c r="U19" s="1765"/>
      <c r="V19" s="1736"/>
      <c r="W19" s="549" t="s">
        <v>8399</v>
      </c>
      <c r="X19" s="549"/>
      <c r="Y19" s="825"/>
      <c r="Z19" s="549"/>
      <c r="AA19" s="549"/>
      <c r="AB19" s="549"/>
      <c r="AC19" s="382"/>
      <c r="AD19" s="382"/>
      <c r="AE19" s="463"/>
      <c r="AF19" s="463"/>
      <c r="AG19" s="1736"/>
      <c r="AI19" s="571" t="s">
        <v>8387</v>
      </c>
      <c r="AJ19" s="571"/>
      <c r="AK19" s="571"/>
      <c r="AL19" s="571"/>
      <c r="AM19" s="571"/>
      <c r="AN19" s="571"/>
      <c r="AO19" s="571"/>
      <c r="AP19" s="571"/>
      <c r="AQ19" s="571"/>
      <c r="AR19" s="571"/>
      <c r="AS19" s="571"/>
      <c r="AT19" s="571"/>
      <c r="AU19" s="571"/>
      <c r="AV19" s="571"/>
      <c r="AW19" s="571"/>
      <c r="AX19" s="571"/>
      <c r="AY19" s="571"/>
      <c r="AZ19" s="571"/>
      <c r="BA19" s="571"/>
      <c r="BB19" s="571"/>
      <c r="BD19" s="382"/>
      <c r="BE19" s="382"/>
      <c r="BF19" s="463"/>
      <c r="BG19" s="463"/>
      <c r="BH19" s="382"/>
      <c r="BI19" s="382"/>
      <c r="BL19" s="398" t="s">
        <v>8418</v>
      </c>
      <c r="BM19" s="402">
        <v>1993</v>
      </c>
      <c r="BN19" s="1066" t="s">
        <v>2209</v>
      </c>
      <c r="BO19" s="382">
        <v>380</v>
      </c>
      <c r="BP19" s="382">
        <v>380</v>
      </c>
      <c r="BQ19" s="1734">
        <v>201</v>
      </c>
      <c r="BR19" s="382">
        <v>535</v>
      </c>
      <c r="BS19" s="382">
        <v>418</v>
      </c>
      <c r="BT19" s="382">
        <v>418</v>
      </c>
      <c r="BU19" s="382">
        <v>418</v>
      </c>
      <c r="BV19" s="382">
        <v>418</v>
      </c>
      <c r="BW19" s="382">
        <v>418</v>
      </c>
      <c r="BX19" s="382">
        <v>208</v>
      </c>
      <c r="BY19" s="439">
        <v>435</v>
      </c>
      <c r="BZ19" s="382"/>
      <c r="CA19" s="439"/>
      <c r="CB19" s="439"/>
      <c r="CC19" s="391">
        <v>2021</v>
      </c>
      <c r="CD19" s="463">
        <f>SUM(CE19:CP19)</f>
        <v>114989</v>
      </c>
      <c r="CE19" s="463">
        <v>19380</v>
      </c>
      <c r="CF19" s="463">
        <v>17724</v>
      </c>
      <c r="CG19" s="463">
        <v>19818</v>
      </c>
      <c r="CH19" s="463">
        <v>756</v>
      </c>
      <c r="CI19" s="463">
        <v>756</v>
      </c>
      <c r="CJ19" s="463">
        <v>6165</v>
      </c>
      <c r="CK19" s="463">
        <v>6528</v>
      </c>
      <c r="CL19" s="463">
        <v>8959</v>
      </c>
      <c r="CM19" s="463">
        <v>9440</v>
      </c>
      <c r="CN19" s="463">
        <v>8135</v>
      </c>
      <c r="CO19" s="463">
        <v>6578</v>
      </c>
      <c r="CP19" s="463">
        <v>10750</v>
      </c>
      <c r="CQ19" s="439"/>
      <c r="CR19" s="562"/>
      <c r="CS19" s="382" t="s">
        <v>485</v>
      </c>
      <c r="CT19" s="1576" t="s">
        <v>546</v>
      </c>
      <c r="CU19" s="1576" t="s">
        <v>546</v>
      </c>
      <c r="CV19" s="1576" t="s">
        <v>546</v>
      </c>
      <c r="CW19" s="1576" t="s">
        <v>546</v>
      </c>
      <c r="CX19" s="1576" t="s">
        <v>546</v>
      </c>
      <c r="CY19" s="1576" t="s">
        <v>546</v>
      </c>
      <c r="CZ19" s="1576" t="s">
        <v>546</v>
      </c>
      <c r="DA19" s="1576" t="s">
        <v>546</v>
      </c>
      <c r="DB19" s="1576" t="s">
        <v>546</v>
      </c>
      <c r="DC19" s="1576">
        <v>0</v>
      </c>
      <c r="DD19" s="862"/>
      <c r="DF19" s="586" t="s">
        <v>8419</v>
      </c>
      <c r="DG19" s="1767">
        <f>5240+680+147+143</f>
        <v>6210</v>
      </c>
      <c r="DH19" s="1767">
        <v>462</v>
      </c>
      <c r="DI19" s="1767">
        <v>400</v>
      </c>
      <c r="DJ19" s="1767">
        <v>761</v>
      </c>
      <c r="DK19" s="1767">
        <v>639</v>
      </c>
      <c r="DL19" s="1767">
        <v>367</v>
      </c>
      <c r="DM19" s="1767">
        <v>392</v>
      </c>
      <c r="DN19" s="1767">
        <v>710</v>
      </c>
      <c r="DO19" s="1767">
        <v>352</v>
      </c>
      <c r="DP19" s="1767">
        <v>380</v>
      </c>
      <c r="DQ19" s="1767">
        <v>207</v>
      </c>
      <c r="DR19" s="1767">
        <v>0</v>
      </c>
      <c r="DS19" s="1767">
        <v>0</v>
      </c>
      <c r="DT19" s="1767">
        <v>0</v>
      </c>
      <c r="DU19" s="1767">
        <v>62</v>
      </c>
      <c r="DV19" s="862"/>
      <c r="DX19" s="382" t="s">
        <v>8420</v>
      </c>
      <c r="DY19" s="1767">
        <f>5240+680+147+143</f>
        <v>6210</v>
      </c>
      <c r="DZ19" s="1740">
        <v>1998</v>
      </c>
      <c r="EA19" s="1740">
        <v>773</v>
      </c>
      <c r="EB19" s="1740">
        <v>342</v>
      </c>
      <c r="EC19" s="1740">
        <v>222</v>
      </c>
      <c r="ED19" s="1740">
        <v>139</v>
      </c>
      <c r="EE19" s="1740">
        <v>949</v>
      </c>
      <c r="EF19" s="525"/>
      <c r="EH19" s="382" t="s">
        <v>530</v>
      </c>
      <c r="EI19" s="1739">
        <v>148</v>
      </c>
      <c r="EJ19" s="1739">
        <v>65</v>
      </c>
      <c r="EK19" s="1576">
        <v>0</v>
      </c>
      <c r="EL19" s="1739">
        <v>1</v>
      </c>
      <c r="EM19" s="1739">
        <v>4</v>
      </c>
      <c r="EN19" s="1739">
        <v>0</v>
      </c>
      <c r="EO19" s="1739">
        <v>24</v>
      </c>
      <c r="EQ19" s="525"/>
      <c r="ER19" s="382" t="s">
        <v>530</v>
      </c>
      <c r="ES19" s="1739">
        <v>148</v>
      </c>
      <c r="ET19" s="1739">
        <v>64</v>
      </c>
      <c r="EU19" s="1739">
        <v>0</v>
      </c>
      <c r="EV19" s="1739">
        <v>0</v>
      </c>
      <c r="EW19" s="1739">
        <v>0</v>
      </c>
      <c r="EX19" s="1739">
        <v>0</v>
      </c>
      <c r="EY19" s="1739">
        <v>0</v>
      </c>
      <c r="EZ19" s="1739">
        <v>0</v>
      </c>
      <c r="FA19" s="1739">
        <v>1</v>
      </c>
      <c r="FB19" s="1739">
        <v>0</v>
      </c>
      <c r="FC19" s="1739">
        <v>0</v>
      </c>
      <c r="FD19" s="1739">
        <v>9</v>
      </c>
      <c r="FE19" s="1739">
        <v>0</v>
      </c>
      <c r="FF19" s="1739">
        <v>4</v>
      </c>
      <c r="FG19" s="1739">
        <f>2+14</f>
        <v>16</v>
      </c>
      <c r="FH19" s="862"/>
      <c r="FI19" s="862"/>
      <c r="FJ19" s="382" t="s">
        <v>8385</v>
      </c>
      <c r="FK19" s="1749">
        <v>718.21</v>
      </c>
      <c r="FL19" s="1749">
        <v>1636.65</v>
      </c>
      <c r="FM19" s="1750">
        <v>865.84</v>
      </c>
      <c r="FN19" s="1750">
        <v>2440.2600000000002</v>
      </c>
      <c r="FO19" s="1749">
        <v>854.09</v>
      </c>
      <c r="FP19" s="1749">
        <v>1276.53</v>
      </c>
      <c r="FQ19" s="1747">
        <v>729.17</v>
      </c>
      <c r="FR19" s="1747">
        <v>1070.71</v>
      </c>
      <c r="FS19" s="1747">
        <v>768.57</v>
      </c>
      <c r="FT19" s="1747">
        <v>1173.74</v>
      </c>
      <c r="FU19" s="1747"/>
      <c r="FW19" s="2180"/>
      <c r="FX19" s="2180"/>
      <c r="FY19" s="2180"/>
      <c r="FZ19" s="2180"/>
      <c r="GA19" s="2180"/>
      <c r="GB19" s="2180"/>
      <c r="GC19" s="2180"/>
      <c r="GD19" s="2180"/>
      <c r="GE19" s="2180"/>
      <c r="GF19" s="2180"/>
      <c r="GG19" s="2180"/>
      <c r="GH19" s="2180"/>
      <c r="GI19" s="2180"/>
      <c r="GJ19" s="2180"/>
      <c r="GM19" s="398" t="s">
        <v>8421</v>
      </c>
      <c r="GN19" s="515">
        <v>3270</v>
      </c>
      <c r="GO19" s="519">
        <v>0</v>
      </c>
      <c r="GP19" s="515">
        <v>11</v>
      </c>
      <c r="GQ19" s="398">
        <v>0</v>
      </c>
      <c r="GR19" s="515">
        <v>1450</v>
      </c>
      <c r="GS19" s="519" t="s">
        <v>546</v>
      </c>
      <c r="GT19" s="515">
        <v>7249</v>
      </c>
      <c r="GU19" s="398">
        <v>102</v>
      </c>
      <c r="GV19" s="515"/>
      <c r="GW19" s="398"/>
      <c r="GX19" s="515"/>
      <c r="GY19" s="515"/>
      <c r="GZ19" s="515"/>
      <c r="HA19" s="515"/>
      <c r="HB19" s="515"/>
      <c r="HC19" s="515"/>
      <c r="HD19" s="515"/>
      <c r="HE19" s="515"/>
      <c r="HF19" s="515"/>
      <c r="HG19" s="515"/>
      <c r="HH19" s="515"/>
      <c r="HI19" s="515"/>
      <c r="HJ19" s="515"/>
      <c r="HK19" s="515"/>
      <c r="HL19" s="382"/>
      <c r="HM19" s="398"/>
      <c r="HN19" s="515"/>
      <c r="HO19" s="515"/>
      <c r="HP19" s="515"/>
      <c r="HQ19" s="515"/>
      <c r="HR19" s="515"/>
      <c r="HS19" s="515"/>
      <c r="HT19" s="515"/>
      <c r="HU19" s="515"/>
      <c r="HV19" s="515"/>
      <c r="HW19" s="515"/>
      <c r="HX19" s="515"/>
      <c r="HY19" s="515"/>
      <c r="HZ19" s="515"/>
      <c r="IA19" s="515"/>
      <c r="IB19" s="515"/>
      <c r="IC19" s="515"/>
      <c r="ID19" s="549"/>
      <c r="IE19" s="549"/>
      <c r="IF19" s="549"/>
      <c r="IG19" s="398"/>
      <c r="IH19" s="515"/>
      <c r="II19" s="515"/>
      <c r="IJ19" s="463"/>
      <c r="IK19" s="463"/>
      <c r="IL19" s="463"/>
      <c r="IM19" s="463"/>
      <c r="IN19" s="549"/>
      <c r="IO19" s="562"/>
    </row>
    <row r="20" spans="1:249" ht="14.1" customHeight="1">
      <c r="A20" s="562"/>
      <c r="B20" s="562"/>
      <c r="C20" s="562"/>
      <c r="D20" s="562"/>
      <c r="E20" s="562"/>
      <c r="F20" s="562"/>
      <c r="G20" s="562"/>
      <c r="H20" s="562"/>
      <c r="I20" s="562"/>
      <c r="J20" s="1756"/>
      <c r="K20" s="1756"/>
      <c r="L20" s="1736"/>
      <c r="M20" s="549" t="s">
        <v>1945</v>
      </c>
      <c r="N20" s="562">
        <v>71535</v>
      </c>
      <c r="O20" s="813">
        <v>56233</v>
      </c>
      <c r="P20" s="813">
        <v>7066</v>
      </c>
      <c r="Q20" s="813">
        <v>3441</v>
      </c>
      <c r="R20" s="1729">
        <f t="shared" si="13"/>
        <v>27.211779560044814</v>
      </c>
      <c r="S20" s="1765">
        <f t="shared" si="12"/>
        <v>695.82507783753181</v>
      </c>
      <c r="T20" s="1765">
        <f t="shared" si="12"/>
        <v>105.3472827666376</v>
      </c>
      <c r="U20" s="1765"/>
      <c r="V20" s="1736"/>
      <c r="AG20" s="1736"/>
      <c r="AI20" s="583"/>
      <c r="AJ20" s="583"/>
      <c r="AK20" s="583"/>
      <c r="BD20" s="382"/>
      <c r="BE20" s="382"/>
      <c r="BF20" s="382"/>
      <c r="BG20" s="382"/>
      <c r="BH20" s="382"/>
      <c r="BI20" s="382"/>
      <c r="BL20" s="398" t="s">
        <v>8422</v>
      </c>
      <c r="BM20" s="402">
        <v>2014</v>
      </c>
      <c r="BN20" s="1066" t="s">
        <v>8028</v>
      </c>
      <c r="BO20" s="382">
        <v>222</v>
      </c>
      <c r="BP20" s="382">
        <v>222</v>
      </c>
      <c r="BQ20" s="1734">
        <v>220</v>
      </c>
      <c r="BR20" s="382">
        <v>150</v>
      </c>
      <c r="BS20" s="382">
        <v>222</v>
      </c>
      <c r="BT20" s="382">
        <v>222</v>
      </c>
      <c r="BU20" s="382">
        <v>222</v>
      </c>
      <c r="BV20" s="382">
        <v>222</v>
      </c>
      <c r="BW20" s="382">
        <v>222</v>
      </c>
      <c r="BX20" s="382">
        <v>273</v>
      </c>
      <c r="BY20" s="439" t="s">
        <v>1627</v>
      </c>
      <c r="BZ20" s="439"/>
      <c r="CA20" s="382"/>
      <c r="CB20" s="385"/>
      <c r="CC20" s="391">
        <v>2020</v>
      </c>
      <c r="CD20" s="463">
        <f t="shared" ref="CD20:CD25" si="14">SUM(CE20:CP20)</f>
        <v>431511</v>
      </c>
      <c r="CE20" s="463">
        <v>95471</v>
      </c>
      <c r="CF20" s="463">
        <v>81772</v>
      </c>
      <c r="CG20" s="463">
        <v>44971</v>
      </c>
      <c r="CH20" s="463">
        <v>23595</v>
      </c>
      <c r="CI20" s="463">
        <v>22986</v>
      </c>
      <c r="CJ20" s="463">
        <v>27951</v>
      </c>
      <c r="CK20" s="463">
        <v>24563</v>
      </c>
      <c r="CL20" s="463">
        <v>24672</v>
      </c>
      <c r="CM20" s="463">
        <v>23571</v>
      </c>
      <c r="CN20" s="463">
        <v>24318</v>
      </c>
      <c r="CO20" s="463">
        <v>19206</v>
      </c>
      <c r="CP20" s="463">
        <v>18435</v>
      </c>
      <c r="CQ20" s="385"/>
      <c r="CR20" s="562"/>
      <c r="CS20" s="382" t="s">
        <v>8401</v>
      </c>
      <c r="CT20" s="1744">
        <v>2679</v>
      </c>
      <c r="CU20" s="1744">
        <v>1507</v>
      </c>
      <c r="CV20" s="1744">
        <v>1490</v>
      </c>
      <c r="CW20" s="1744">
        <v>1435</v>
      </c>
      <c r="CX20" s="1744">
        <v>43</v>
      </c>
      <c r="CY20" s="1744">
        <v>11</v>
      </c>
      <c r="CZ20" s="1744">
        <v>55</v>
      </c>
      <c r="DA20" s="1744">
        <v>1115</v>
      </c>
      <c r="DB20" s="1744">
        <v>17</v>
      </c>
      <c r="DC20" s="1744">
        <v>57</v>
      </c>
      <c r="DD20" s="862"/>
      <c r="DF20" s="549" t="s">
        <v>8423</v>
      </c>
      <c r="DG20" s="549"/>
      <c r="DH20" s="549"/>
      <c r="DI20" s="549"/>
      <c r="DJ20" s="549"/>
      <c r="DK20" s="549"/>
      <c r="DL20" s="549"/>
      <c r="DM20" s="549"/>
      <c r="DN20" s="549"/>
      <c r="DO20" s="549"/>
      <c r="DP20" s="549"/>
      <c r="DQ20" s="549"/>
      <c r="DR20" s="549"/>
      <c r="DS20" s="549"/>
      <c r="DT20" s="549"/>
      <c r="DV20" s="862"/>
      <c r="DX20" s="1508" t="s">
        <v>8423</v>
      </c>
      <c r="DY20" s="1508"/>
      <c r="DZ20" s="1508"/>
      <c r="EA20" s="1508"/>
      <c r="EB20" s="1508"/>
      <c r="EC20" s="1508"/>
      <c r="ED20" s="1508"/>
      <c r="EE20" s="415"/>
      <c r="EH20" s="382" t="s">
        <v>8420</v>
      </c>
      <c r="EI20" s="1767">
        <f>5240+680+147+143</f>
        <v>6210</v>
      </c>
      <c r="EJ20" s="1739">
        <f>2522+514+100+65</f>
        <v>3201</v>
      </c>
      <c r="EK20" s="1768">
        <v>0</v>
      </c>
      <c r="EL20" s="1739">
        <f>527+31+5+4</f>
        <v>567</v>
      </c>
      <c r="EM20" s="1739">
        <f>35+25+2</f>
        <v>62</v>
      </c>
      <c r="EN20" s="1739">
        <f>7+2</f>
        <v>9</v>
      </c>
      <c r="EO20" s="1739">
        <f>555+32+11+11</f>
        <v>609</v>
      </c>
      <c r="EQ20" s="525"/>
      <c r="ER20" s="381" t="s">
        <v>8420</v>
      </c>
      <c r="ES20" s="1767">
        <f>5240+680+147+143</f>
        <v>6210</v>
      </c>
      <c r="ET20" s="1769">
        <v>2128</v>
      </c>
      <c r="EU20" s="1769">
        <v>230</v>
      </c>
      <c r="EV20" s="1768">
        <v>0</v>
      </c>
      <c r="EW20" s="1769">
        <v>275</v>
      </c>
      <c r="EX20" s="1769">
        <v>46</v>
      </c>
      <c r="EY20" s="1769">
        <v>7</v>
      </c>
      <c r="EZ20" s="1768">
        <v>0</v>
      </c>
      <c r="FA20" s="1769">
        <v>324</v>
      </c>
      <c r="FB20" s="1768">
        <v>0</v>
      </c>
      <c r="FC20" s="1769">
        <v>43</v>
      </c>
      <c r="FD20" s="1770">
        <v>349</v>
      </c>
      <c r="FE20" s="1769">
        <v>250</v>
      </c>
      <c r="FF20" s="1769">
        <v>121</v>
      </c>
      <c r="FG20" s="1771">
        <f>223+381</f>
        <v>604</v>
      </c>
      <c r="FH20" s="862"/>
      <c r="FI20" s="862"/>
      <c r="FJ20" s="382" t="s">
        <v>8389</v>
      </c>
      <c r="FK20" s="1749">
        <v>1478.03</v>
      </c>
      <c r="FL20" s="1747" t="s">
        <v>1627</v>
      </c>
      <c r="FM20" s="1750">
        <v>1633.64</v>
      </c>
      <c r="FN20" s="1761" t="s">
        <v>1627</v>
      </c>
      <c r="FO20" s="1749">
        <v>2174.21</v>
      </c>
      <c r="FP20" s="1747" t="s">
        <v>1627</v>
      </c>
      <c r="FQ20" s="1747">
        <v>1670.59</v>
      </c>
      <c r="FR20" s="1575" t="s">
        <v>1627</v>
      </c>
      <c r="FS20" s="1747">
        <v>1629.26</v>
      </c>
      <c r="FT20" s="1575" t="s">
        <v>1627</v>
      </c>
      <c r="FU20" s="1747"/>
      <c r="FV20" s="382"/>
      <c r="FW20" s="382"/>
      <c r="FX20" s="439"/>
      <c r="FY20" s="439"/>
      <c r="FZ20" s="439"/>
      <c r="GA20" s="439"/>
      <c r="GB20" s="439"/>
      <c r="GC20" s="439"/>
      <c r="GD20" s="439"/>
      <c r="GE20" s="439"/>
      <c r="GF20" s="439"/>
      <c r="GG20" s="439"/>
      <c r="GH20" s="439"/>
      <c r="GI20" s="439"/>
      <c r="GJ20" s="439"/>
      <c r="GK20" s="382"/>
      <c r="GM20" s="398" t="s">
        <v>8424</v>
      </c>
      <c r="GN20" s="519">
        <v>100</v>
      </c>
      <c r="GO20" s="519">
        <v>10</v>
      </c>
      <c r="GP20" s="398">
        <v>38</v>
      </c>
      <c r="GQ20" s="519" t="s">
        <v>546</v>
      </c>
      <c r="GR20" s="519" t="s">
        <v>546</v>
      </c>
      <c r="GS20" s="519" t="s">
        <v>546</v>
      </c>
      <c r="GT20" s="398">
        <v>231</v>
      </c>
      <c r="GU20" s="398">
        <v>10</v>
      </c>
      <c r="GV20" s="398"/>
      <c r="GW20" s="398"/>
      <c r="GX20" s="515"/>
      <c r="GY20" s="515"/>
      <c r="GZ20" s="515"/>
      <c r="HA20" s="515"/>
      <c r="HB20" s="515"/>
      <c r="HC20" s="515"/>
      <c r="HD20" s="515"/>
      <c r="HE20" s="515"/>
      <c r="HF20" s="515"/>
      <c r="HG20" s="515"/>
      <c r="HH20" s="515"/>
      <c r="HI20" s="515"/>
      <c r="HJ20" s="515"/>
      <c r="HK20" s="515"/>
      <c r="HL20" s="382"/>
      <c r="HM20" s="398"/>
      <c r="HN20" s="515"/>
      <c r="HO20" s="515"/>
      <c r="HP20" s="515"/>
      <c r="HQ20" s="515"/>
      <c r="HR20" s="515"/>
      <c r="HS20" s="515"/>
      <c r="HT20" s="515"/>
      <c r="HU20" s="515"/>
      <c r="HV20" s="515"/>
      <c r="HW20" s="515"/>
      <c r="HX20" s="515"/>
      <c r="HY20" s="515"/>
      <c r="HZ20" s="515"/>
      <c r="IA20" s="515"/>
      <c r="IB20" s="515"/>
      <c r="IC20" s="515"/>
      <c r="ID20" s="549"/>
      <c r="IE20" s="549"/>
      <c r="IF20" s="549"/>
      <c r="IG20" s="398"/>
      <c r="IH20" s="515"/>
      <c r="II20" s="515"/>
      <c r="IJ20" s="463"/>
      <c r="IK20" s="463"/>
      <c r="IL20" s="463"/>
      <c r="IM20" s="754"/>
      <c r="IN20" s="549"/>
      <c r="IO20" s="562"/>
    </row>
    <row r="21" spans="1:249" ht="14.1" customHeight="1">
      <c r="A21" s="549"/>
      <c r="B21" s="549"/>
      <c r="C21" s="549"/>
      <c r="D21" s="549"/>
      <c r="E21" s="549"/>
      <c r="F21" s="549"/>
      <c r="G21" s="549"/>
      <c r="H21" s="549"/>
      <c r="I21" s="549"/>
      <c r="J21" s="549"/>
      <c r="K21" s="549"/>
      <c r="L21" s="571"/>
      <c r="M21" s="549" t="s">
        <v>1946</v>
      </c>
      <c r="N21" s="562">
        <v>67938</v>
      </c>
      <c r="O21" s="813">
        <v>62290</v>
      </c>
      <c r="P21" s="813">
        <v>9349</v>
      </c>
      <c r="Q21" s="813">
        <v>3701</v>
      </c>
      <c r="R21" s="1729">
        <f t="shared" si="13"/>
        <v>9.067266013806389</v>
      </c>
      <c r="S21" s="1765">
        <f t="shared" si="12"/>
        <v>566.27446785752488</v>
      </c>
      <c r="T21" s="1765">
        <f t="shared" si="12"/>
        <v>152.60740340448527</v>
      </c>
      <c r="U21" s="1765"/>
      <c r="V21" s="571"/>
      <c r="AG21" s="571"/>
      <c r="AI21" s="583"/>
      <c r="AJ21" s="583"/>
      <c r="AK21" s="583"/>
      <c r="AQ21" s="398" t="s">
        <v>8425</v>
      </c>
      <c r="AR21" s="398"/>
      <c r="AS21" s="398"/>
      <c r="AT21" s="398"/>
      <c r="AU21" s="398"/>
      <c r="AV21" s="398"/>
      <c r="AW21" s="398"/>
      <c r="AX21" s="398"/>
      <c r="AY21" s="398"/>
      <c r="AZ21" s="398"/>
      <c r="BA21" s="398"/>
      <c r="BB21" s="398"/>
      <c r="BD21" s="1709" t="s">
        <v>8426</v>
      </c>
      <c r="BE21" s="1709"/>
      <c r="BF21" s="1709"/>
      <c r="BG21" s="1709"/>
      <c r="BH21" s="1709"/>
      <c r="BI21" s="1709"/>
      <c r="BJ21" s="1710"/>
      <c r="BK21" s="1710"/>
      <c r="BL21" s="398" t="s">
        <v>8427</v>
      </c>
      <c r="BM21" s="402">
        <v>2001</v>
      </c>
      <c r="BN21" s="1066" t="s">
        <v>8028</v>
      </c>
      <c r="BO21" s="382">
        <v>120</v>
      </c>
      <c r="BP21" s="382">
        <v>124</v>
      </c>
      <c r="BQ21" s="1734">
        <v>124</v>
      </c>
      <c r="BR21" s="382">
        <v>124</v>
      </c>
      <c r="BS21" s="382">
        <v>191</v>
      </c>
      <c r="BT21" s="382">
        <v>191</v>
      </c>
      <c r="BU21" s="382">
        <v>191</v>
      </c>
      <c r="BV21" s="382">
        <v>191</v>
      </c>
      <c r="BW21" s="382">
        <v>191</v>
      </c>
      <c r="BX21" s="382">
        <v>191</v>
      </c>
      <c r="BY21" s="439">
        <v>191</v>
      </c>
      <c r="BZ21" s="382"/>
      <c r="CA21" s="382"/>
      <c r="CB21" s="385"/>
      <c r="CC21" s="391">
        <v>2019</v>
      </c>
      <c r="CD21" s="463">
        <f t="shared" si="14"/>
        <v>887305</v>
      </c>
      <c r="CE21" s="463">
        <v>76521</v>
      </c>
      <c r="CF21" s="463">
        <v>69824</v>
      </c>
      <c r="CG21" s="463">
        <v>71504</v>
      </c>
      <c r="CH21" s="463">
        <v>67293</v>
      </c>
      <c r="CI21" s="463">
        <v>69017</v>
      </c>
      <c r="CJ21" s="463">
        <v>67473</v>
      </c>
      <c r="CK21" s="463">
        <v>74454</v>
      </c>
      <c r="CL21" s="463">
        <v>74578</v>
      </c>
      <c r="CM21" s="463">
        <v>73576</v>
      </c>
      <c r="CN21" s="463">
        <v>82524</v>
      </c>
      <c r="CO21" s="463">
        <v>74610</v>
      </c>
      <c r="CP21" s="463">
        <v>85931</v>
      </c>
      <c r="CQ21" s="385"/>
      <c r="CR21" s="562"/>
      <c r="CS21" s="382" t="s">
        <v>8407</v>
      </c>
      <c r="CT21" s="1744">
        <v>821</v>
      </c>
      <c r="CU21" s="1744">
        <v>704</v>
      </c>
      <c r="CV21" s="1744">
        <v>702</v>
      </c>
      <c r="CW21" s="1744">
        <v>698</v>
      </c>
      <c r="CX21" s="1744">
        <v>3</v>
      </c>
      <c r="CY21" s="1744">
        <v>1</v>
      </c>
      <c r="CZ21" s="1744">
        <v>4</v>
      </c>
      <c r="DA21" s="1744">
        <v>114</v>
      </c>
      <c r="DB21" s="1744">
        <v>2</v>
      </c>
      <c r="DC21" s="1744">
        <v>3</v>
      </c>
      <c r="DD21" s="862"/>
      <c r="DF21" s="549" t="s">
        <v>8428</v>
      </c>
      <c r="DG21" s="549"/>
      <c r="DH21" s="549"/>
      <c r="DI21" s="549"/>
      <c r="DJ21" s="549"/>
      <c r="DK21" s="549"/>
      <c r="DL21" s="549"/>
      <c r="DM21" s="549"/>
      <c r="DN21" s="549"/>
      <c r="DO21" s="549"/>
      <c r="DP21" s="549"/>
      <c r="DQ21" s="549"/>
      <c r="DR21" s="549"/>
      <c r="DS21" s="549"/>
      <c r="DT21" s="549"/>
      <c r="DV21" s="862"/>
      <c r="DX21" s="549" t="s">
        <v>8428</v>
      </c>
      <c r="DY21" s="549"/>
      <c r="DZ21" s="549"/>
      <c r="EA21" s="549"/>
      <c r="EB21" s="549"/>
      <c r="EC21" s="549"/>
      <c r="ED21" s="549"/>
      <c r="EE21" s="382"/>
      <c r="EH21" s="1508" t="s">
        <v>8423</v>
      </c>
      <c r="EI21" s="1508"/>
      <c r="EJ21" s="1508"/>
      <c r="EK21" s="1508"/>
      <c r="EL21" s="1508"/>
      <c r="EM21" s="1508"/>
      <c r="EN21" s="1508"/>
      <c r="EO21" s="1508"/>
      <c r="EP21" s="549"/>
      <c r="EQ21" s="562"/>
      <c r="ER21" s="549" t="s">
        <v>8423</v>
      </c>
      <c r="ES21" s="986"/>
      <c r="ET21" s="986"/>
      <c r="EU21" s="986"/>
      <c r="EV21" s="986"/>
      <c r="EW21" s="986"/>
      <c r="EX21" s="986"/>
      <c r="EY21" s="986"/>
      <c r="EZ21" s="986"/>
      <c r="FA21" s="986"/>
      <c r="FB21" s="986"/>
      <c r="FC21" s="861"/>
      <c r="FD21" s="986"/>
      <c r="FE21" s="862"/>
      <c r="FF21" s="525"/>
      <c r="FG21" s="862"/>
      <c r="FH21" s="862"/>
      <c r="FI21" s="862"/>
      <c r="FJ21" s="382" t="s">
        <v>530</v>
      </c>
      <c r="FK21" s="382"/>
      <c r="FL21" s="382"/>
      <c r="FM21" s="382"/>
      <c r="FN21" s="382"/>
      <c r="FO21" s="382"/>
      <c r="FP21" s="382"/>
      <c r="FQ21" s="382"/>
      <c r="FR21" s="382"/>
      <c r="FS21" s="382"/>
      <c r="FT21" s="382"/>
      <c r="FU21" s="382"/>
      <c r="FV21" s="382"/>
      <c r="FW21" s="382"/>
      <c r="FX21" s="1757"/>
      <c r="FY21" s="1757"/>
      <c r="FZ21" s="1757"/>
      <c r="GA21" s="1757"/>
      <c r="GB21" s="1757"/>
      <c r="GC21" s="1757"/>
      <c r="GD21" s="1757"/>
      <c r="GE21" s="1757"/>
      <c r="GF21" s="1757"/>
      <c r="GG21" s="1757"/>
      <c r="GH21" s="1757"/>
      <c r="GI21" s="1757"/>
      <c r="GJ21" s="473"/>
      <c r="GK21" s="382"/>
      <c r="GM21" s="398" t="s">
        <v>535</v>
      </c>
      <c r="GN21" s="398">
        <v>0</v>
      </c>
      <c r="GO21" s="398">
        <v>0</v>
      </c>
      <c r="GP21" s="398">
        <v>0</v>
      </c>
      <c r="GQ21" s="398">
        <v>0</v>
      </c>
      <c r="GR21" s="398">
        <v>0</v>
      </c>
      <c r="GS21" s="398">
        <v>0</v>
      </c>
      <c r="GT21" s="398">
        <v>0</v>
      </c>
      <c r="GU21" s="398">
        <v>0</v>
      </c>
      <c r="GV21" s="398"/>
      <c r="GW21" s="398"/>
      <c r="GX21" s="515"/>
      <c r="GY21" s="515"/>
      <c r="GZ21" s="515"/>
      <c r="HA21" s="515"/>
      <c r="HB21" s="515"/>
      <c r="HC21" s="515"/>
      <c r="HD21" s="515"/>
      <c r="HE21" s="515"/>
      <c r="HF21" s="515"/>
      <c r="HG21" s="515"/>
      <c r="HH21" s="515"/>
      <c r="HI21" s="757"/>
      <c r="HJ21" s="515"/>
      <c r="HK21" s="515"/>
      <c r="HL21" s="382"/>
      <c r="HM21" s="398"/>
      <c r="HN21" s="515"/>
      <c r="HO21" s="515"/>
      <c r="HP21" s="515"/>
      <c r="HQ21" s="515"/>
      <c r="HR21" s="515"/>
      <c r="HS21" s="515"/>
      <c r="HT21" s="515"/>
      <c r="HU21" s="515"/>
      <c r="HV21" s="515"/>
      <c r="HW21" s="515"/>
      <c r="HX21" s="515"/>
      <c r="HY21" s="757"/>
      <c r="HZ21" s="515"/>
      <c r="IA21" s="515"/>
      <c r="IB21" s="515"/>
      <c r="IC21" s="515"/>
      <c r="ID21" s="549"/>
      <c r="IE21" s="549"/>
      <c r="IF21" s="549"/>
      <c r="IG21" s="398"/>
      <c r="IH21" s="515"/>
      <c r="II21" s="515"/>
      <c r="IJ21" s="463"/>
      <c r="IK21" s="474"/>
      <c r="IL21" s="463"/>
      <c r="IM21" s="757"/>
      <c r="IN21" s="549"/>
      <c r="IO21" s="562"/>
    </row>
    <row r="22" spans="1:249" ht="14.1" customHeight="1">
      <c r="A22" s="825"/>
      <c r="B22" s="825"/>
      <c r="C22" s="825"/>
      <c r="D22" s="825"/>
      <c r="E22" s="825"/>
      <c r="F22" s="825"/>
      <c r="G22" s="825"/>
      <c r="H22" s="825"/>
      <c r="I22" s="825"/>
      <c r="J22" s="825"/>
      <c r="K22" s="549"/>
      <c r="L22" s="813"/>
      <c r="M22" s="549" t="s">
        <v>1947</v>
      </c>
      <c r="N22" s="562">
        <v>56148</v>
      </c>
      <c r="O22" s="813">
        <v>55336</v>
      </c>
      <c r="P22" s="813">
        <v>11234</v>
      </c>
      <c r="Q22" s="813">
        <v>3632</v>
      </c>
      <c r="R22" s="1729">
        <f t="shared" si="13"/>
        <v>1.4673991614861934</v>
      </c>
      <c r="S22" s="1765">
        <f t="shared" si="12"/>
        <v>392.57610824283427</v>
      </c>
      <c r="T22" s="1765">
        <f t="shared" si="12"/>
        <v>209.30616740088107</v>
      </c>
      <c r="U22" s="1765"/>
      <c r="V22" s="813"/>
      <c r="AG22" s="813"/>
      <c r="AI22" s="571"/>
      <c r="AJ22" s="571"/>
      <c r="AK22" s="571"/>
      <c r="AQ22" s="398" t="s">
        <v>8429</v>
      </c>
      <c r="AR22" s="398"/>
      <c r="AS22" s="398"/>
      <c r="AT22" s="398"/>
      <c r="AU22" s="387"/>
      <c r="AV22" s="398"/>
      <c r="AW22" s="398"/>
      <c r="AX22" s="398"/>
      <c r="AY22" s="398"/>
      <c r="AZ22" s="398"/>
      <c r="BA22" s="398"/>
      <c r="BB22" s="398"/>
      <c r="BD22" s="398" t="s">
        <v>8289</v>
      </c>
      <c r="BE22" s="398"/>
      <c r="BF22" s="387"/>
      <c r="BG22" s="398"/>
      <c r="BH22" s="398"/>
      <c r="BI22" s="398"/>
      <c r="BJ22" s="571"/>
      <c r="BK22" s="571"/>
      <c r="BL22" s="398" t="s">
        <v>8430</v>
      </c>
      <c r="BM22" s="402">
        <v>1992</v>
      </c>
      <c r="BN22" s="1066" t="s">
        <v>2202</v>
      </c>
      <c r="BO22" s="475">
        <v>430</v>
      </c>
      <c r="BP22" s="382">
        <v>428</v>
      </c>
      <c r="BQ22" s="1734">
        <v>430</v>
      </c>
      <c r="BR22" s="382">
        <v>430</v>
      </c>
      <c r="BS22" s="382">
        <v>430</v>
      </c>
      <c r="BT22" s="382">
        <v>430</v>
      </c>
      <c r="BU22" s="382">
        <v>430</v>
      </c>
      <c r="BV22" s="382">
        <v>430</v>
      </c>
      <c r="BW22" s="382">
        <v>430</v>
      </c>
      <c r="BX22" s="382">
        <v>430</v>
      </c>
      <c r="BY22" s="439">
        <v>430</v>
      </c>
      <c r="BZ22" s="382"/>
      <c r="CA22" s="382"/>
      <c r="CB22" s="385"/>
      <c r="CC22" s="391">
        <v>2018</v>
      </c>
      <c r="CD22" s="463">
        <f t="shared" si="14"/>
        <v>869339</v>
      </c>
      <c r="CE22" s="463">
        <v>76947</v>
      </c>
      <c r="CF22" s="463">
        <v>70652</v>
      </c>
      <c r="CG22" s="463">
        <v>67053</v>
      </c>
      <c r="CH22" s="463">
        <v>68748</v>
      </c>
      <c r="CI22" s="463">
        <v>69706</v>
      </c>
      <c r="CJ22" s="463">
        <v>75984</v>
      </c>
      <c r="CK22" s="463">
        <v>80407</v>
      </c>
      <c r="CL22" s="463">
        <v>72725</v>
      </c>
      <c r="CM22" s="463">
        <v>74208</v>
      </c>
      <c r="CN22" s="463">
        <v>75934</v>
      </c>
      <c r="CO22" s="463">
        <v>65745</v>
      </c>
      <c r="CP22" s="463">
        <v>71230</v>
      </c>
      <c r="CQ22" s="385"/>
      <c r="CR22" s="562"/>
      <c r="CS22" s="382" t="s">
        <v>467</v>
      </c>
      <c r="CT22" s="1576" t="s">
        <v>546</v>
      </c>
      <c r="CU22" s="1576" t="s">
        <v>546</v>
      </c>
      <c r="CV22" s="1576" t="s">
        <v>546</v>
      </c>
      <c r="CW22" s="1576" t="s">
        <v>546</v>
      </c>
      <c r="CX22" s="1576" t="s">
        <v>546</v>
      </c>
      <c r="CY22" s="1576" t="s">
        <v>546</v>
      </c>
      <c r="CZ22" s="1576" t="s">
        <v>546</v>
      </c>
      <c r="DA22" s="1576" t="s">
        <v>546</v>
      </c>
      <c r="DB22" s="1576" t="s">
        <v>546</v>
      </c>
      <c r="DC22" s="1576" t="s">
        <v>546</v>
      </c>
      <c r="DD22" s="862"/>
      <c r="DF22" s="549" t="s">
        <v>8431</v>
      </c>
      <c r="DG22" s="549"/>
      <c r="DH22" s="549"/>
      <c r="DI22" s="549"/>
      <c r="DJ22" s="549"/>
      <c r="DK22" s="549"/>
      <c r="DL22" s="549"/>
      <c r="DM22" s="549"/>
      <c r="DN22" s="549"/>
      <c r="DO22" s="549"/>
      <c r="DP22" s="549"/>
      <c r="DQ22" s="549"/>
      <c r="DR22" s="549"/>
      <c r="DS22" s="549"/>
      <c r="DT22" s="549"/>
      <c r="DV22" s="862"/>
      <c r="DX22" s="549" t="s">
        <v>8431</v>
      </c>
      <c r="DY22" s="549"/>
      <c r="DZ22" s="549"/>
      <c r="EA22" s="549"/>
      <c r="EB22" s="549"/>
      <c r="EC22" s="549"/>
      <c r="ED22" s="549"/>
      <c r="EE22" s="382"/>
      <c r="EH22" s="549" t="s">
        <v>8428</v>
      </c>
      <c r="EI22" s="549"/>
      <c r="EJ22" s="549"/>
      <c r="EK22" s="549"/>
      <c r="EL22" s="549"/>
      <c r="EM22" s="549"/>
      <c r="EN22" s="549"/>
      <c r="EO22" s="549"/>
      <c r="EP22" s="549"/>
      <c r="EQ22" s="562"/>
      <c r="ER22" s="549" t="s">
        <v>8428</v>
      </c>
      <c r="ES22" s="549"/>
      <c r="ET22" s="549"/>
      <c r="EU22" s="549"/>
      <c r="EV22" s="549"/>
      <c r="EW22" s="986"/>
      <c r="EX22" s="986"/>
      <c r="EY22" s="986"/>
      <c r="EZ22" s="986"/>
      <c r="FA22" s="986"/>
      <c r="FB22" s="986"/>
      <c r="FC22" s="861"/>
      <c r="FD22" s="986"/>
      <c r="FE22" s="862"/>
      <c r="FF22" s="525"/>
      <c r="FG22" s="862"/>
      <c r="FH22" s="862"/>
      <c r="FI22" s="862"/>
      <c r="FJ22" s="391" t="s">
        <v>8382</v>
      </c>
      <c r="FK22" s="439" t="s">
        <v>2825</v>
      </c>
      <c r="FL22" s="439" t="s">
        <v>2825</v>
      </c>
      <c r="FM22" s="439" t="s">
        <v>2825</v>
      </c>
      <c r="FN22" s="439" t="s">
        <v>2825</v>
      </c>
      <c r="FO22" s="439" t="s">
        <v>2825</v>
      </c>
      <c r="FP22" s="439" t="s">
        <v>2825</v>
      </c>
      <c r="FQ22" s="439" t="s">
        <v>2825</v>
      </c>
      <c r="FR22" s="439" t="s">
        <v>2825</v>
      </c>
      <c r="FS22" s="1747">
        <v>1524.36</v>
      </c>
      <c r="FT22" s="1747">
        <v>3441.37</v>
      </c>
      <c r="FU22" s="1747"/>
      <c r="FV22" s="414"/>
      <c r="FW22" s="382"/>
      <c r="FX22" s="1757"/>
      <c r="FY22" s="1757"/>
      <c r="FZ22" s="1757"/>
      <c r="GA22" s="1757"/>
      <c r="GB22" s="1757"/>
      <c r="GC22" s="1757"/>
      <c r="GD22" s="1757"/>
      <c r="GE22" s="1757"/>
      <c r="GF22" s="1757"/>
      <c r="GG22" s="1757"/>
      <c r="GH22" s="1757"/>
      <c r="GI22" s="1757"/>
      <c r="GJ22" s="473"/>
      <c r="GK22" s="414"/>
      <c r="GM22" s="387" t="s">
        <v>8420</v>
      </c>
      <c r="GN22" s="387">
        <v>20</v>
      </c>
      <c r="GO22" s="387">
        <v>0</v>
      </c>
      <c r="GP22" s="387">
        <v>25</v>
      </c>
      <c r="GQ22" s="387">
        <v>20</v>
      </c>
      <c r="GR22" s="387">
        <v>6</v>
      </c>
      <c r="GS22" s="387">
        <v>8</v>
      </c>
      <c r="GT22" s="387">
        <v>4</v>
      </c>
      <c r="GU22" s="387">
        <v>5</v>
      </c>
      <c r="GV22" s="398"/>
      <c r="GW22" s="398"/>
      <c r="GX22" s="515"/>
      <c r="GY22" s="515"/>
      <c r="GZ22" s="515"/>
      <c r="HA22" s="515"/>
      <c r="HB22" s="515"/>
      <c r="HC22" s="515"/>
      <c r="HD22" s="515"/>
      <c r="HE22" s="515"/>
      <c r="HF22" s="515"/>
      <c r="HG22" s="515"/>
      <c r="HH22" s="515"/>
      <c r="HI22" s="515"/>
      <c r="HJ22" s="515"/>
      <c r="HK22" s="515"/>
      <c r="HL22" s="382"/>
      <c r="HM22" s="398"/>
      <c r="HN22" s="515"/>
      <c r="HO22" s="515"/>
      <c r="HP22" s="515"/>
      <c r="HQ22" s="515"/>
      <c r="HR22" s="515"/>
      <c r="HS22" s="515"/>
      <c r="HT22" s="515"/>
      <c r="HU22" s="515"/>
      <c r="HV22" s="515"/>
      <c r="HW22" s="515"/>
      <c r="HX22" s="515"/>
      <c r="HY22" s="515"/>
      <c r="HZ22" s="515"/>
      <c r="IA22" s="515"/>
      <c r="IB22" s="515"/>
      <c r="IC22" s="757"/>
      <c r="ID22" s="549"/>
      <c r="IE22" s="549"/>
      <c r="IF22" s="549"/>
      <c r="IG22" s="398"/>
      <c r="IH22" s="463"/>
      <c r="II22" s="463"/>
      <c r="IJ22" s="463"/>
      <c r="IK22" s="463"/>
      <c r="IL22" s="463"/>
      <c r="IM22" s="463"/>
      <c r="IN22" s="549"/>
      <c r="IO22" s="562"/>
    </row>
    <row r="23" spans="1:249" ht="14.1" customHeight="1">
      <c r="A23" s="549"/>
      <c r="B23" s="549"/>
      <c r="C23" s="549"/>
      <c r="D23" s="549"/>
      <c r="E23" s="549"/>
      <c r="F23" s="549"/>
      <c r="G23" s="549"/>
      <c r="H23" s="549"/>
      <c r="I23" s="549"/>
      <c r="J23" s="549"/>
      <c r="K23" s="1772"/>
      <c r="L23" s="813"/>
      <c r="M23" s="549" t="s">
        <v>1948</v>
      </c>
      <c r="N23" s="562">
        <v>51339</v>
      </c>
      <c r="O23" s="813">
        <v>44325</v>
      </c>
      <c r="P23" s="813">
        <v>19998</v>
      </c>
      <c r="Q23" s="813">
        <v>4326</v>
      </c>
      <c r="R23" s="1729">
        <f t="shared" si="13"/>
        <v>15.824027072758037</v>
      </c>
      <c r="S23" s="1765">
        <f t="shared" si="12"/>
        <v>121.64716471647165</v>
      </c>
      <c r="T23" s="1765">
        <f t="shared" si="12"/>
        <v>362.27461858529819</v>
      </c>
      <c r="U23" s="1765"/>
      <c r="V23" s="813"/>
      <c r="W23" s="382" t="s">
        <v>8432</v>
      </c>
      <c r="X23" s="382"/>
      <c r="Y23" s="381"/>
      <c r="Z23" s="382"/>
      <c r="AA23" s="382"/>
      <c r="AB23" s="381"/>
      <c r="AC23" s="381"/>
      <c r="AD23" s="381"/>
      <c r="AE23" s="381"/>
      <c r="AF23" s="381"/>
      <c r="AG23" s="813"/>
      <c r="AI23" s="583"/>
      <c r="AJ23" s="583"/>
      <c r="AK23" s="583"/>
      <c r="AQ23" s="937" t="s">
        <v>6403</v>
      </c>
      <c r="AR23" s="728">
        <v>2020</v>
      </c>
      <c r="AS23" s="728">
        <v>2019</v>
      </c>
      <c r="AT23" s="728">
        <v>2018</v>
      </c>
      <c r="AU23" s="939">
        <v>2017</v>
      </c>
      <c r="AV23" s="939">
        <v>2016</v>
      </c>
      <c r="AW23" s="939">
        <v>2015</v>
      </c>
      <c r="AX23" s="728">
        <v>2014</v>
      </c>
      <c r="AY23" s="1094">
        <v>2013</v>
      </c>
      <c r="AZ23" s="1094">
        <v>2012</v>
      </c>
      <c r="BA23" s="658">
        <v>2011</v>
      </c>
      <c r="BB23" s="385"/>
      <c r="BD23" s="1723" t="s">
        <v>6403</v>
      </c>
      <c r="BE23" s="1725">
        <v>2019</v>
      </c>
      <c r="BF23" s="1773">
        <v>2018</v>
      </c>
      <c r="BG23" s="1773">
        <v>2017</v>
      </c>
      <c r="BH23" s="390">
        <v>2016</v>
      </c>
      <c r="BI23" s="390">
        <v>2015</v>
      </c>
      <c r="BJ23" s="1726"/>
      <c r="BK23" s="1726"/>
      <c r="BL23" s="398" t="s">
        <v>8433</v>
      </c>
      <c r="BM23" s="402">
        <v>1999</v>
      </c>
      <c r="BN23" s="1066" t="s">
        <v>8028</v>
      </c>
      <c r="BO23" s="382">
        <v>607</v>
      </c>
      <c r="BP23" s="382">
        <v>604</v>
      </c>
      <c r="BQ23" s="1734">
        <v>604</v>
      </c>
      <c r="BR23" s="382">
        <v>611</v>
      </c>
      <c r="BS23" s="382">
        <v>600</v>
      </c>
      <c r="BT23" s="382">
        <v>600</v>
      </c>
      <c r="BU23" s="382">
        <v>600</v>
      </c>
      <c r="BV23" s="382">
        <v>600</v>
      </c>
      <c r="BW23" s="382">
        <v>600</v>
      </c>
      <c r="BX23" s="382">
        <v>600</v>
      </c>
      <c r="BY23" s="439">
        <v>600</v>
      </c>
      <c r="BZ23" s="382"/>
      <c r="CA23" s="382"/>
      <c r="CB23" s="385"/>
      <c r="CC23" s="391">
        <v>2017</v>
      </c>
      <c r="CD23" s="463">
        <f t="shared" si="14"/>
        <v>792572</v>
      </c>
      <c r="CE23" s="463">
        <v>62657</v>
      </c>
      <c r="CF23" s="463">
        <v>56748</v>
      </c>
      <c r="CG23" s="463">
        <v>62525</v>
      </c>
      <c r="CH23" s="463">
        <v>60417</v>
      </c>
      <c r="CI23" s="463">
        <v>62941</v>
      </c>
      <c r="CJ23" s="463">
        <v>60024</v>
      </c>
      <c r="CK23" s="463">
        <v>67135</v>
      </c>
      <c r="CL23" s="463">
        <v>68606</v>
      </c>
      <c r="CM23" s="463">
        <v>70301</v>
      </c>
      <c r="CN23" s="463">
        <v>74132</v>
      </c>
      <c r="CO23" s="463">
        <v>69625</v>
      </c>
      <c r="CP23" s="463">
        <v>77461</v>
      </c>
      <c r="CQ23" s="385"/>
      <c r="CR23" s="562"/>
      <c r="CS23" s="382" t="s">
        <v>8414</v>
      </c>
      <c r="CT23" s="1576" t="s">
        <v>546</v>
      </c>
      <c r="CU23" s="1576" t="s">
        <v>546</v>
      </c>
      <c r="CV23" s="1576" t="s">
        <v>546</v>
      </c>
      <c r="CW23" s="1576" t="s">
        <v>546</v>
      </c>
      <c r="CX23" s="1576" t="s">
        <v>546</v>
      </c>
      <c r="CY23" s="1576" t="s">
        <v>546</v>
      </c>
      <c r="CZ23" s="1576" t="s">
        <v>546</v>
      </c>
      <c r="DA23" s="1576" t="s">
        <v>546</v>
      </c>
      <c r="DB23" s="1576" t="s">
        <v>546</v>
      </c>
      <c r="DC23" s="1576" t="s">
        <v>546</v>
      </c>
      <c r="DD23" s="862"/>
      <c r="DF23" s="549" t="s">
        <v>8434</v>
      </c>
      <c r="DG23" s="549"/>
      <c r="DH23" s="549"/>
      <c r="DI23" s="549"/>
      <c r="DJ23" s="549"/>
      <c r="DK23" s="549"/>
      <c r="DL23" s="549"/>
      <c r="DM23" s="549"/>
      <c r="DN23" s="549"/>
      <c r="DO23" s="549"/>
      <c r="DP23" s="549"/>
      <c r="DQ23" s="549"/>
      <c r="DR23" s="549"/>
      <c r="DS23" s="549"/>
      <c r="DT23" s="549"/>
      <c r="DV23" s="862"/>
      <c r="DX23" s="549" t="s">
        <v>8435</v>
      </c>
      <c r="DY23" s="549"/>
      <c r="DZ23" s="549"/>
      <c r="EA23" s="549"/>
      <c r="EB23" s="549"/>
      <c r="EC23" s="549"/>
      <c r="ED23" s="549"/>
      <c r="EE23" s="382"/>
      <c r="EH23" s="549" t="s">
        <v>8431</v>
      </c>
      <c r="EI23" s="549"/>
      <c r="EJ23" s="549"/>
      <c r="EK23" s="549"/>
      <c r="EL23" s="549"/>
      <c r="EM23" s="549"/>
      <c r="EN23" s="549"/>
      <c r="EO23" s="549"/>
      <c r="EP23" s="549"/>
      <c r="EQ23" s="562"/>
      <c r="ER23" s="549" t="s">
        <v>8431</v>
      </c>
      <c r="ES23" s="549"/>
      <c r="ET23" s="549"/>
      <c r="EU23" s="549"/>
      <c r="EV23" s="549"/>
      <c r="EW23" s="986"/>
      <c r="EX23" s="986"/>
      <c r="EY23" s="986"/>
      <c r="EZ23" s="986"/>
      <c r="FA23" s="986"/>
      <c r="FB23" s="986"/>
      <c r="FC23" s="861"/>
      <c r="FD23" s="986"/>
      <c r="FE23" s="862"/>
      <c r="FF23" s="525"/>
      <c r="FG23" s="862"/>
      <c r="FH23" s="862"/>
      <c r="FI23" s="862"/>
      <c r="FJ23" s="382" t="s">
        <v>8385</v>
      </c>
      <c r="FK23" s="439" t="s">
        <v>2825</v>
      </c>
      <c r="FL23" s="439" t="s">
        <v>2825</v>
      </c>
      <c r="FM23" s="439" t="s">
        <v>2825</v>
      </c>
      <c r="FN23" s="439" t="s">
        <v>2825</v>
      </c>
      <c r="FO23" s="439" t="s">
        <v>2825</v>
      </c>
      <c r="FP23" s="439" t="s">
        <v>2825</v>
      </c>
      <c r="FQ23" s="439" t="s">
        <v>2825</v>
      </c>
      <c r="FR23" s="439" t="s">
        <v>2825</v>
      </c>
      <c r="FS23" s="1749">
        <v>496.24</v>
      </c>
      <c r="FT23" s="1749">
        <v>907.51</v>
      </c>
      <c r="FU23" s="1747"/>
      <c r="FV23" s="414"/>
      <c r="FW23" s="382"/>
      <c r="FX23" s="1757"/>
      <c r="FY23" s="1757"/>
      <c r="FZ23" s="1757"/>
      <c r="GA23" s="1757"/>
      <c r="GB23" s="1757"/>
      <c r="GC23" s="1757"/>
      <c r="GD23" s="1757"/>
      <c r="GE23" s="1757"/>
      <c r="GF23" s="1757"/>
      <c r="GG23" s="1757"/>
      <c r="GH23" s="1757"/>
      <c r="GI23" s="1757"/>
      <c r="GJ23" s="473"/>
      <c r="GK23" s="414"/>
      <c r="GM23" s="571" t="s">
        <v>8436</v>
      </c>
      <c r="GN23" s="571"/>
      <c r="GO23" s="571"/>
      <c r="GP23" s="571"/>
      <c r="GQ23" s="571"/>
      <c r="GR23" s="571"/>
      <c r="GS23" s="571"/>
      <c r="GT23" s="571"/>
      <c r="GU23" s="398"/>
      <c r="GV23" s="398"/>
      <c r="GX23" s="515"/>
      <c r="GY23" s="515"/>
      <c r="GZ23" s="515"/>
      <c r="HA23" s="515"/>
      <c r="HB23" s="515"/>
      <c r="HC23" s="515"/>
      <c r="HD23" s="515"/>
      <c r="HE23" s="515"/>
      <c r="HF23" s="515"/>
      <c r="HG23" s="515"/>
      <c r="HH23" s="515"/>
      <c r="HI23" s="515"/>
      <c r="HJ23" s="515"/>
      <c r="HK23" s="515"/>
      <c r="HL23" s="382"/>
      <c r="HM23" s="398"/>
      <c r="HN23" s="515"/>
      <c r="HO23" s="515"/>
      <c r="HP23" s="515"/>
      <c r="HQ23" s="515"/>
      <c r="HR23" s="515"/>
      <c r="HS23" s="515"/>
      <c r="HT23" s="515"/>
      <c r="HU23" s="515"/>
      <c r="HV23" s="515"/>
      <c r="HW23" s="515"/>
      <c r="HX23" s="515"/>
      <c r="HY23" s="515"/>
      <c r="HZ23" s="515"/>
      <c r="IA23" s="515"/>
      <c r="IB23" s="515"/>
      <c r="IC23" s="515"/>
      <c r="ID23" s="549"/>
      <c r="IE23" s="549"/>
      <c r="IF23" s="549"/>
      <c r="IG23" s="398"/>
      <c r="IH23" s="515"/>
      <c r="II23" s="515"/>
      <c r="IJ23" s="463"/>
      <c r="IK23" s="463"/>
      <c r="IL23" s="463"/>
      <c r="IM23" s="463"/>
      <c r="IN23" s="549"/>
      <c r="IO23" s="562"/>
    </row>
    <row r="24" spans="1:249" ht="14.1" customHeight="1">
      <c r="M24" s="549" t="s">
        <v>1949</v>
      </c>
      <c r="N24" s="562">
        <v>51786</v>
      </c>
      <c r="O24" s="813">
        <v>17285</v>
      </c>
      <c r="P24" s="813">
        <v>28246</v>
      </c>
      <c r="Q24" s="813">
        <v>7337</v>
      </c>
      <c r="R24" s="1729">
        <f t="shared" si="13"/>
        <v>199.60080995082441</v>
      </c>
      <c r="S24" s="1765">
        <f t="shared" si="12"/>
        <v>-38.805494583303826</v>
      </c>
      <c r="T24" s="1765">
        <f t="shared" si="12"/>
        <v>284.98023715415019</v>
      </c>
      <c r="U24" s="1765"/>
      <c r="W24" s="1712" t="s">
        <v>8286</v>
      </c>
      <c r="X24" s="1713"/>
      <c r="Y24" s="1714"/>
      <c r="Z24" s="688" t="s">
        <v>2804</v>
      </c>
      <c r="AA24" s="1715" t="s">
        <v>8287</v>
      </c>
      <c r="AB24" s="382"/>
      <c r="AC24" s="1716"/>
      <c r="AD24" s="1716"/>
      <c r="AE24" s="1715" t="s">
        <v>8288</v>
      </c>
      <c r="AI24" s="583"/>
      <c r="AJ24" s="583"/>
      <c r="AK24" s="583"/>
      <c r="AQ24" s="709" t="s">
        <v>1944</v>
      </c>
      <c r="AR24" s="398">
        <v>192</v>
      </c>
      <c r="AS24" s="398">
        <v>187</v>
      </c>
      <c r="AT24" s="398">
        <v>193</v>
      </c>
      <c r="AU24" s="585">
        <v>197</v>
      </c>
      <c r="AV24" s="585">
        <v>185</v>
      </c>
      <c r="AW24" s="585">
        <v>172</v>
      </c>
      <c r="AX24" s="709">
        <v>167</v>
      </c>
      <c r="AY24" s="709">
        <v>136</v>
      </c>
      <c r="AZ24" s="1134">
        <v>131</v>
      </c>
      <c r="BA24" s="709">
        <v>118</v>
      </c>
      <c r="BB24" s="398"/>
      <c r="BD24" s="1732" t="s">
        <v>3502</v>
      </c>
      <c r="BE24" s="1733">
        <f>SUM(BE25:BE36)</f>
        <v>44904624.270000003</v>
      </c>
      <c r="BF24" s="1733">
        <f>SUM(BF25:BF36)</f>
        <v>43775385.960000001</v>
      </c>
      <c r="BG24" s="1733">
        <f>SUM(BG25:BG36)</f>
        <v>42912489.260000005</v>
      </c>
      <c r="BH24" s="463">
        <f>SUM(BH25:BH36)</f>
        <v>41256515.979999997</v>
      </c>
      <c r="BI24" s="463">
        <f>SUM(BI25:BI36)</f>
        <v>37611058.060000002</v>
      </c>
      <c r="BJ24" s="1733"/>
      <c r="BK24" s="1733"/>
      <c r="BL24" s="398" t="s">
        <v>8437</v>
      </c>
      <c r="BM24" s="402">
        <v>2007</v>
      </c>
      <c r="BN24" s="1066" t="s">
        <v>8028</v>
      </c>
      <c r="BO24" s="439" t="s">
        <v>1627</v>
      </c>
      <c r="BP24" s="382">
        <v>132</v>
      </c>
      <c r="BQ24" s="1734">
        <v>132</v>
      </c>
      <c r="BR24" s="382">
        <v>132</v>
      </c>
      <c r="BS24" s="382">
        <v>137</v>
      </c>
      <c r="BT24" s="382">
        <v>137</v>
      </c>
      <c r="BU24" s="382">
        <v>137</v>
      </c>
      <c r="BV24" s="382">
        <v>137</v>
      </c>
      <c r="BW24" s="382">
        <v>137</v>
      </c>
      <c r="BX24" s="382">
        <v>132</v>
      </c>
      <c r="BY24" s="439">
        <v>132</v>
      </c>
      <c r="BZ24" s="382"/>
      <c r="CA24" s="382"/>
      <c r="CB24" s="385"/>
      <c r="CC24" s="391">
        <v>2016</v>
      </c>
      <c r="CD24" s="463">
        <f t="shared" si="14"/>
        <v>641213</v>
      </c>
      <c r="CE24" s="463">
        <v>55032</v>
      </c>
      <c r="CF24" s="463">
        <v>50922</v>
      </c>
      <c r="CG24" s="463">
        <v>55081</v>
      </c>
      <c r="CH24" s="463">
        <v>48563</v>
      </c>
      <c r="CI24" s="463">
        <v>53264</v>
      </c>
      <c r="CJ24" s="463">
        <v>52198</v>
      </c>
      <c r="CK24" s="463">
        <v>53168</v>
      </c>
      <c r="CL24" s="463">
        <v>52835</v>
      </c>
      <c r="CM24" s="463">
        <v>51878</v>
      </c>
      <c r="CN24" s="463">
        <v>53092</v>
      </c>
      <c r="CO24" s="463">
        <v>52869</v>
      </c>
      <c r="CP24" s="463">
        <v>62311</v>
      </c>
      <c r="CQ24" s="385"/>
      <c r="CR24" s="562"/>
      <c r="CS24" s="382" t="s">
        <v>530</v>
      </c>
      <c r="CT24" s="1744">
        <v>195</v>
      </c>
      <c r="CU24" s="1744">
        <v>154</v>
      </c>
      <c r="CV24" s="1744">
        <v>148</v>
      </c>
      <c r="CW24" s="1744">
        <v>142</v>
      </c>
      <c r="CX24" s="1744">
        <v>6</v>
      </c>
      <c r="CY24" s="1576">
        <v>0</v>
      </c>
      <c r="CZ24" s="1744">
        <v>6</v>
      </c>
      <c r="DA24" s="1744">
        <v>33</v>
      </c>
      <c r="DB24" s="1744">
        <v>6</v>
      </c>
      <c r="DC24" s="1744">
        <v>8</v>
      </c>
      <c r="DD24" s="862"/>
      <c r="DF24" s="549" t="s">
        <v>8438</v>
      </c>
      <c r="DG24" s="549"/>
      <c r="DH24" s="549"/>
      <c r="DI24" s="549"/>
      <c r="DJ24" s="549"/>
      <c r="DK24" s="549"/>
      <c r="DL24" s="549"/>
      <c r="DM24" s="549"/>
      <c r="DN24" s="549"/>
      <c r="DO24" s="549"/>
      <c r="DP24" s="549"/>
      <c r="DQ24" s="549"/>
      <c r="DR24" s="549"/>
      <c r="DS24" s="549"/>
      <c r="DT24" s="549"/>
      <c r="DV24" s="862"/>
      <c r="DX24" s="549" t="s">
        <v>8439</v>
      </c>
      <c r="DY24" s="549"/>
      <c r="DZ24" s="549"/>
      <c r="EA24" s="549"/>
      <c r="EB24" s="549"/>
      <c r="EC24" s="549"/>
      <c r="ED24" s="549"/>
      <c r="EE24" s="382"/>
      <c r="EH24" s="549" t="s">
        <v>8435</v>
      </c>
      <c r="EI24" s="549"/>
      <c r="EJ24" s="549"/>
      <c r="EK24" s="549"/>
      <c r="EL24" s="549"/>
      <c r="EM24" s="549"/>
      <c r="EN24" s="549"/>
      <c r="EO24" s="549"/>
      <c r="EP24" s="549"/>
      <c r="EQ24" s="562"/>
      <c r="ER24" s="549" t="s">
        <v>8435</v>
      </c>
      <c r="ES24" s="986"/>
      <c r="ET24" s="986"/>
      <c r="EU24" s="986"/>
      <c r="EV24" s="986"/>
      <c r="EW24" s="986"/>
      <c r="EX24" s="986"/>
      <c r="EY24" s="986"/>
      <c r="EZ24" s="986"/>
      <c r="FA24" s="986"/>
      <c r="FB24" s="986"/>
      <c r="FC24" s="861"/>
      <c r="FD24" s="986"/>
      <c r="FE24" s="862"/>
      <c r="FF24" s="525"/>
      <c r="FG24" s="862"/>
      <c r="FH24" s="862"/>
      <c r="FI24" s="862"/>
      <c r="FJ24" s="381" t="s">
        <v>8389</v>
      </c>
      <c r="FK24" s="477" t="s">
        <v>2825</v>
      </c>
      <c r="FL24" s="1774" t="s">
        <v>1627</v>
      </c>
      <c r="FM24" s="477" t="s">
        <v>2825</v>
      </c>
      <c r="FN24" s="1774" t="s">
        <v>1627</v>
      </c>
      <c r="FO24" s="477" t="s">
        <v>2825</v>
      </c>
      <c r="FP24" s="477" t="s">
        <v>1627</v>
      </c>
      <c r="FQ24" s="477" t="s">
        <v>2825</v>
      </c>
      <c r="FR24" s="477" t="s">
        <v>1627</v>
      </c>
      <c r="FS24" s="1775">
        <v>2020.6</v>
      </c>
      <c r="FT24" s="1776" t="s">
        <v>1627</v>
      </c>
      <c r="FU24" s="1747"/>
      <c r="FW24" s="382"/>
      <c r="FX24" s="1757"/>
      <c r="FY24" s="1757"/>
      <c r="FZ24" s="1757"/>
      <c r="GA24" s="1757"/>
      <c r="GB24" s="1757"/>
      <c r="GC24" s="1757"/>
      <c r="GD24" s="1757"/>
      <c r="GE24" s="1757"/>
      <c r="GF24" s="1757"/>
      <c r="GG24" s="1757"/>
      <c r="GH24" s="1757"/>
      <c r="GI24" s="1757"/>
      <c r="GJ24" s="473"/>
      <c r="GM24" s="571" t="s">
        <v>8440</v>
      </c>
      <c r="GN24" s="571"/>
      <c r="GO24" s="571"/>
      <c r="GP24" s="571"/>
      <c r="GQ24" s="571"/>
      <c r="GR24" s="571"/>
      <c r="GS24" s="571"/>
      <c r="GT24" s="571"/>
      <c r="GU24" s="398"/>
      <c r="GW24" s="398"/>
      <c r="GX24" s="398"/>
      <c r="GY24" s="398"/>
      <c r="GZ24" s="398"/>
      <c r="HA24" s="398"/>
      <c r="HB24" s="398"/>
      <c r="HC24" s="398"/>
      <c r="HD24" s="515"/>
      <c r="HE24" s="515"/>
      <c r="HF24" s="515"/>
      <c r="HG24" s="515"/>
      <c r="HH24" s="515"/>
      <c r="HI24" s="515"/>
      <c r="HJ24" s="515"/>
      <c r="HK24" s="515"/>
      <c r="HL24" s="382"/>
      <c r="HM24" s="398"/>
      <c r="HN24" s="398"/>
      <c r="HO24" s="398"/>
      <c r="HP24" s="398"/>
      <c r="HQ24" s="398"/>
      <c r="HR24" s="398"/>
      <c r="HS24" s="398"/>
      <c r="HT24" s="515"/>
      <c r="HU24" s="515"/>
      <c r="HV24" s="515"/>
      <c r="HW24" s="515"/>
      <c r="HX24" s="515"/>
      <c r="HY24" s="515"/>
      <c r="HZ24" s="515"/>
      <c r="IA24" s="515"/>
      <c r="IB24" s="515"/>
      <c r="IC24" s="515"/>
      <c r="ID24" s="549"/>
      <c r="IE24" s="549"/>
      <c r="IF24" s="549"/>
      <c r="IG24" s="398"/>
      <c r="IH24" s="398"/>
      <c r="II24" s="398"/>
      <c r="IJ24" s="398"/>
      <c r="IK24" s="398"/>
      <c r="IL24" s="398"/>
      <c r="IM24" s="398"/>
      <c r="IN24" s="549"/>
      <c r="IO24" s="562"/>
    </row>
    <row r="25" spans="1:249" ht="14.1" customHeight="1">
      <c r="A25" s="571"/>
      <c r="B25" s="571"/>
      <c r="C25" s="571"/>
      <c r="D25" s="571"/>
      <c r="E25" s="571"/>
      <c r="F25" s="571"/>
      <c r="G25" s="571"/>
      <c r="H25" s="571"/>
      <c r="I25" s="571"/>
      <c r="J25" s="571"/>
      <c r="K25" s="571"/>
      <c r="L25" s="1777"/>
      <c r="M25" s="549" t="s">
        <v>1950</v>
      </c>
      <c r="N25" s="562">
        <v>59751</v>
      </c>
      <c r="O25" s="813">
        <v>52123</v>
      </c>
      <c r="P25" s="813">
        <v>41032</v>
      </c>
      <c r="Q25" s="813">
        <v>12774</v>
      </c>
      <c r="R25" s="1729">
        <f t="shared" si="13"/>
        <v>14.634614277766053</v>
      </c>
      <c r="S25" s="1765">
        <f t="shared" si="12"/>
        <v>27.030122830961201</v>
      </c>
      <c r="T25" s="1765">
        <f t="shared" si="12"/>
        <v>221.21496790355408</v>
      </c>
      <c r="U25" s="1765"/>
      <c r="V25" s="1777"/>
      <c r="W25" s="387" t="s">
        <v>8315</v>
      </c>
      <c r="X25" s="457" t="s">
        <v>129</v>
      </c>
      <c r="Y25" s="1722" t="s">
        <v>392</v>
      </c>
      <c r="Z25" s="1722" t="s">
        <v>2816</v>
      </c>
      <c r="AA25" s="458" t="s">
        <v>8316</v>
      </c>
      <c r="AB25" s="441" t="s">
        <v>399</v>
      </c>
      <c r="AC25" s="1722" t="s">
        <v>397</v>
      </c>
      <c r="AD25" s="1722" t="s">
        <v>390</v>
      </c>
      <c r="AE25" s="457" t="s">
        <v>8317</v>
      </c>
      <c r="AF25" s="611" t="s">
        <v>1709</v>
      </c>
      <c r="AG25" s="1777"/>
      <c r="AI25" s="571"/>
      <c r="AJ25" s="571"/>
      <c r="AK25" s="571"/>
      <c r="AL25" s="571"/>
      <c r="AM25" s="571"/>
      <c r="AN25" s="571"/>
      <c r="AO25" s="571"/>
      <c r="AP25" s="571"/>
      <c r="AQ25" s="398" t="s">
        <v>1945</v>
      </c>
      <c r="AR25" s="398">
        <v>174</v>
      </c>
      <c r="AS25" s="398">
        <v>161</v>
      </c>
      <c r="AT25" s="398">
        <v>182</v>
      </c>
      <c r="AU25" s="585">
        <v>197</v>
      </c>
      <c r="AV25" s="585">
        <v>173</v>
      </c>
      <c r="AW25" s="585">
        <v>163</v>
      </c>
      <c r="AX25" s="398">
        <v>150</v>
      </c>
      <c r="AY25" s="398">
        <v>132</v>
      </c>
      <c r="AZ25" s="385">
        <v>116</v>
      </c>
      <c r="BA25" s="398">
        <v>106</v>
      </c>
      <c r="BB25" s="398"/>
      <c r="BD25" s="1709" t="s">
        <v>1944</v>
      </c>
      <c r="BE25" s="1738">
        <v>4198359.29</v>
      </c>
      <c r="BF25" s="1738">
        <v>3920271.69</v>
      </c>
      <c r="BG25" s="749">
        <v>4465534.0599999996</v>
      </c>
      <c r="BH25" s="749">
        <v>3916051.1</v>
      </c>
      <c r="BI25" s="749">
        <v>3552404.1</v>
      </c>
      <c r="BJ25" s="1733"/>
      <c r="BK25" s="1733"/>
      <c r="BL25" s="398" t="s">
        <v>8441</v>
      </c>
      <c r="BM25" s="402">
        <v>1980</v>
      </c>
      <c r="BN25" s="1066" t="s">
        <v>8028</v>
      </c>
      <c r="BO25" s="382">
        <v>777</v>
      </c>
      <c r="BP25" s="382">
        <v>777</v>
      </c>
      <c r="BQ25" s="1734">
        <v>777</v>
      </c>
      <c r="BR25" s="382">
        <v>777</v>
      </c>
      <c r="BS25" s="382">
        <v>777</v>
      </c>
      <c r="BT25" s="382">
        <v>777</v>
      </c>
      <c r="BU25" s="382">
        <v>777</v>
      </c>
      <c r="BV25" s="382">
        <v>777</v>
      </c>
      <c r="BW25" s="382">
        <v>777</v>
      </c>
      <c r="BX25" s="382">
        <v>777</v>
      </c>
      <c r="BY25" s="439">
        <v>793</v>
      </c>
      <c r="BZ25" s="382"/>
      <c r="CA25" s="382"/>
      <c r="CB25" s="385"/>
      <c r="CC25" s="391">
        <v>2015</v>
      </c>
      <c r="CD25" s="463">
        <f t="shared" si="14"/>
        <v>537843</v>
      </c>
      <c r="CE25" s="1931">
        <v>49543</v>
      </c>
      <c r="CF25" s="1931">
        <v>45357</v>
      </c>
      <c r="CG25" s="1931">
        <v>39744</v>
      </c>
      <c r="CH25" s="1931">
        <v>36144</v>
      </c>
      <c r="CI25" s="1931">
        <v>39064</v>
      </c>
      <c r="CJ25" s="1931">
        <v>37344</v>
      </c>
      <c r="CK25" s="1931">
        <v>41294</v>
      </c>
      <c r="CL25" s="1931">
        <v>46391</v>
      </c>
      <c r="CM25" s="1931">
        <v>46840</v>
      </c>
      <c r="CN25" s="1931">
        <v>49740</v>
      </c>
      <c r="CO25" s="1931">
        <v>52182</v>
      </c>
      <c r="CP25" s="1931">
        <v>54200</v>
      </c>
      <c r="CQ25" s="385"/>
      <c r="CR25" s="562"/>
      <c r="CS25" s="381" t="s">
        <v>8420</v>
      </c>
      <c r="CT25" s="1769">
        <f>8363+942+270+227</f>
        <v>9802</v>
      </c>
      <c r="CU25" s="1769">
        <f>5558+685+169+147</f>
        <v>6559</v>
      </c>
      <c r="CV25" s="1769">
        <f>5226+680+147+143</f>
        <v>6196</v>
      </c>
      <c r="CW25" s="1769">
        <f>5141+665+143+140</f>
        <v>6089</v>
      </c>
      <c r="CX25" s="1769">
        <f>50+1+1+9</f>
        <v>61</v>
      </c>
      <c r="CY25" s="1768">
        <f>117+12+28+8</f>
        <v>165</v>
      </c>
      <c r="CZ25" s="1769">
        <f>85+3+4+15</f>
        <v>107</v>
      </c>
      <c r="DA25" s="1769">
        <f>2474+64+47+217</f>
        <v>2802</v>
      </c>
      <c r="DB25" s="1769">
        <f>332+26+5</f>
        <v>363</v>
      </c>
      <c r="DC25" s="1769">
        <f>331+37+33+40</f>
        <v>441</v>
      </c>
      <c r="DD25" s="862"/>
      <c r="DF25" s="549"/>
      <c r="DG25" s="549"/>
      <c r="DH25" s="549"/>
      <c r="DI25" s="549"/>
      <c r="DJ25" s="549"/>
      <c r="DK25" s="549"/>
      <c r="DL25" s="549"/>
      <c r="DM25" s="549"/>
      <c r="DN25" s="549"/>
      <c r="DO25" s="549"/>
      <c r="DP25" s="549"/>
      <c r="DQ25" s="549"/>
      <c r="DR25" s="549"/>
      <c r="DS25" s="549"/>
      <c r="DT25" s="549"/>
      <c r="DV25" s="382"/>
      <c r="DX25" s="549" t="s">
        <v>8442</v>
      </c>
      <c r="DY25" s="549"/>
      <c r="DZ25" s="549"/>
      <c r="EA25" s="549"/>
      <c r="EB25" s="549"/>
      <c r="EC25" s="549"/>
      <c r="ED25" s="549"/>
      <c r="EE25" s="382"/>
      <c r="EH25" s="549" t="s">
        <v>8439</v>
      </c>
      <c r="EI25" s="549"/>
      <c r="EJ25" s="549"/>
      <c r="EK25" s="549"/>
      <c r="EL25" s="549"/>
      <c r="EM25" s="549"/>
      <c r="EN25" s="549"/>
      <c r="EO25" s="549"/>
      <c r="EP25" s="549"/>
      <c r="EQ25" s="549"/>
      <c r="ER25" s="549" t="s">
        <v>8443</v>
      </c>
      <c r="ES25" s="986"/>
      <c r="ET25" s="986"/>
      <c r="EU25" s="986"/>
      <c r="EV25" s="986"/>
      <c r="EW25" s="986"/>
      <c r="EX25" s="986"/>
      <c r="EY25" s="986"/>
      <c r="EZ25" s="986"/>
      <c r="FA25" s="986"/>
      <c r="FB25" s="986"/>
      <c r="FC25" s="861"/>
      <c r="FD25" s="986"/>
      <c r="FE25" s="862"/>
      <c r="FF25" s="525"/>
      <c r="FG25" s="862"/>
      <c r="FH25" s="862"/>
      <c r="FI25" s="862"/>
      <c r="FJ25" s="549" t="s">
        <v>8444</v>
      </c>
      <c r="FK25" s="549"/>
      <c r="FL25" s="549"/>
      <c r="FM25" s="382"/>
      <c r="FN25" s="382"/>
      <c r="FO25" s="382"/>
      <c r="FP25" s="382"/>
      <c r="FQ25" s="382"/>
      <c r="FR25" s="382"/>
      <c r="FS25" s="382"/>
      <c r="FT25" s="382"/>
      <c r="FU25" s="382"/>
      <c r="FV25" s="1748"/>
      <c r="FW25" s="382"/>
      <c r="FX25" s="1757"/>
      <c r="FY25" s="1757"/>
      <c r="FZ25" s="1757"/>
      <c r="GA25" s="1757"/>
      <c r="GB25" s="1757"/>
      <c r="GC25" s="1757"/>
      <c r="GD25" s="1757"/>
      <c r="GE25" s="1757"/>
      <c r="GF25" s="1757"/>
      <c r="GG25" s="1757"/>
      <c r="GH25" s="1757"/>
      <c r="GI25" s="1757"/>
      <c r="GJ25" s="473"/>
      <c r="GK25" s="1748"/>
      <c r="GM25" s="571" t="s">
        <v>8445</v>
      </c>
      <c r="GN25" s="571"/>
      <c r="GO25" s="571"/>
      <c r="GP25" s="571"/>
      <c r="GQ25" s="571"/>
      <c r="GR25" s="571"/>
      <c r="GS25" s="571"/>
      <c r="GT25" s="571"/>
      <c r="GU25" s="398"/>
      <c r="GV25" s="398"/>
      <c r="GW25" s="398"/>
      <c r="GX25" s="398"/>
      <c r="GY25" s="398"/>
      <c r="GZ25" s="398"/>
      <c r="HA25" s="398"/>
      <c r="HD25" s="398"/>
      <c r="HE25" s="398"/>
      <c r="HF25" s="515"/>
      <c r="HG25" s="515"/>
      <c r="HH25" s="515"/>
      <c r="HI25" s="515"/>
      <c r="HJ25" s="398"/>
      <c r="HK25" s="398"/>
      <c r="HL25" s="382"/>
      <c r="HM25" s="398"/>
      <c r="HN25" s="398"/>
      <c r="HO25" s="398"/>
      <c r="HP25" s="398"/>
      <c r="HQ25" s="398"/>
      <c r="HT25" s="398"/>
      <c r="HU25" s="398"/>
      <c r="HV25" s="515"/>
      <c r="HW25" s="515"/>
      <c r="HX25" s="515"/>
      <c r="HY25" s="515"/>
      <c r="HZ25" s="398"/>
      <c r="IA25" s="398"/>
      <c r="IB25" s="398"/>
      <c r="IC25" s="398"/>
      <c r="ID25" s="549"/>
      <c r="IE25" s="549"/>
      <c r="IF25" s="549"/>
      <c r="IG25" s="398"/>
      <c r="IH25" s="515"/>
      <c r="II25" s="515"/>
      <c r="IJ25" s="515"/>
      <c r="IK25" s="515"/>
      <c r="IL25" s="398"/>
      <c r="IM25" s="398"/>
      <c r="IN25" s="549"/>
      <c r="IO25" s="562"/>
    </row>
    <row r="26" spans="1:249" ht="14.1" customHeight="1">
      <c r="A26" s="583"/>
      <c r="B26" s="583"/>
      <c r="C26" s="583"/>
      <c r="D26" s="583"/>
      <c r="E26" s="583"/>
      <c r="F26" s="583"/>
      <c r="G26" s="583"/>
      <c r="H26" s="583"/>
      <c r="I26" s="583"/>
      <c r="J26" s="549"/>
      <c r="K26" s="549"/>
      <c r="L26" s="549"/>
      <c r="M26" s="549" t="s">
        <v>1951</v>
      </c>
      <c r="N26" s="562">
        <v>66819</v>
      </c>
      <c r="O26" s="813">
        <v>67781</v>
      </c>
      <c r="P26" s="813">
        <v>37438</v>
      </c>
      <c r="Q26" s="813">
        <v>8553</v>
      </c>
      <c r="R26" s="1729">
        <f t="shared" si="13"/>
        <v>-1.4192767884805475</v>
      </c>
      <c r="S26" s="1765">
        <f t="shared" si="12"/>
        <v>81.048667129654362</v>
      </c>
      <c r="T26" s="1765">
        <f t="shared" si="12"/>
        <v>337.71775985034492</v>
      </c>
      <c r="U26" s="1765"/>
      <c r="V26" s="549"/>
      <c r="W26" s="1731" t="s">
        <v>3502</v>
      </c>
      <c r="X26" s="463">
        <f t="shared" ref="X26:AE26" si="15">SUM(X27:X38)</f>
        <v>652842</v>
      </c>
      <c r="Y26" s="463">
        <f t="shared" si="15"/>
        <v>157361</v>
      </c>
      <c r="Z26" s="463">
        <f t="shared" si="15"/>
        <v>83677</v>
      </c>
      <c r="AA26" s="463">
        <f t="shared" si="15"/>
        <v>29546</v>
      </c>
      <c r="AB26" s="463">
        <f t="shared" si="15"/>
        <v>5600</v>
      </c>
      <c r="AC26" s="463">
        <f t="shared" si="15"/>
        <v>13638</v>
      </c>
      <c r="AD26" s="463">
        <f t="shared" si="15"/>
        <v>351278</v>
      </c>
      <c r="AE26" s="463">
        <f t="shared" si="15"/>
        <v>818</v>
      </c>
      <c r="AF26" s="463">
        <f>SUM(AF27:AF38)</f>
        <v>10924</v>
      </c>
      <c r="AG26" s="549"/>
      <c r="AI26" s="1752"/>
      <c r="AJ26" s="1752"/>
      <c r="AK26" s="1752"/>
      <c r="AL26" s="1752"/>
      <c r="AM26" s="1752"/>
      <c r="AN26" s="1752"/>
      <c r="AO26" s="1752"/>
      <c r="AP26" s="1752"/>
      <c r="AQ26" s="398" t="s">
        <v>1946</v>
      </c>
      <c r="AR26" s="398">
        <v>145</v>
      </c>
      <c r="AS26" s="398">
        <v>156</v>
      </c>
      <c r="AT26" s="398">
        <v>165</v>
      </c>
      <c r="AU26" s="585">
        <v>169</v>
      </c>
      <c r="AV26" s="585">
        <v>161</v>
      </c>
      <c r="AW26" s="585">
        <v>158</v>
      </c>
      <c r="AX26" s="398">
        <v>147</v>
      </c>
      <c r="AY26" s="398">
        <v>133</v>
      </c>
      <c r="AZ26" s="385">
        <v>117</v>
      </c>
      <c r="BA26" s="398">
        <v>106</v>
      </c>
      <c r="BB26" s="398"/>
      <c r="BD26" s="1709" t="s">
        <v>1945</v>
      </c>
      <c r="BE26" s="1738">
        <v>4572231.53</v>
      </c>
      <c r="BF26" s="1738">
        <v>4393188.68</v>
      </c>
      <c r="BG26" s="749">
        <v>4135226.26</v>
      </c>
      <c r="BH26" s="749">
        <v>3927078.63</v>
      </c>
      <c r="BI26" s="749">
        <v>3568920.63</v>
      </c>
      <c r="BJ26" s="1733"/>
      <c r="BK26" s="1733"/>
      <c r="BL26" s="398" t="s">
        <v>8446</v>
      </c>
      <c r="BM26" s="402">
        <v>2001</v>
      </c>
      <c r="BN26" s="1066" t="s">
        <v>8028</v>
      </c>
      <c r="BO26" s="439" t="s">
        <v>1627</v>
      </c>
      <c r="BP26" s="382">
        <v>389</v>
      </c>
      <c r="BQ26" s="1734">
        <v>389</v>
      </c>
      <c r="BR26" s="475">
        <v>389</v>
      </c>
      <c r="BS26" s="382">
        <v>400</v>
      </c>
      <c r="BT26" s="382">
        <v>400</v>
      </c>
      <c r="BU26" s="382">
        <v>400</v>
      </c>
      <c r="BV26" s="382">
        <v>400</v>
      </c>
      <c r="BW26" s="382">
        <v>400</v>
      </c>
      <c r="BX26" s="382">
        <v>380</v>
      </c>
      <c r="BY26" s="439">
        <v>436</v>
      </c>
      <c r="BZ26" s="382"/>
      <c r="CA26" s="382"/>
      <c r="CB26" s="385"/>
      <c r="CC26" s="382"/>
      <c r="CD26" s="382"/>
      <c r="CE26" s="382"/>
      <c r="CF26" s="382"/>
      <c r="CG26" s="382"/>
      <c r="CH26" s="382"/>
      <c r="CI26" s="382"/>
      <c r="CJ26" s="382"/>
      <c r="CK26" s="382"/>
      <c r="CL26" s="382"/>
      <c r="CM26" s="382"/>
      <c r="CN26" s="382"/>
      <c r="CO26" s="382"/>
      <c r="CP26" s="382"/>
      <c r="CQ26" s="385"/>
      <c r="CR26" s="562"/>
      <c r="CS26" s="549" t="s">
        <v>8423</v>
      </c>
      <c r="CT26" s="986"/>
      <c r="CU26" s="986"/>
      <c r="CV26" s="986"/>
      <c r="CW26" s="986"/>
      <c r="CX26" s="986"/>
      <c r="CY26" s="986"/>
      <c r="CZ26" s="986"/>
      <c r="DA26" s="862"/>
      <c r="DB26" s="862"/>
      <c r="DC26" s="862"/>
      <c r="DF26" s="549"/>
      <c r="DG26" s="549"/>
      <c r="DH26" s="549"/>
      <c r="DI26" s="549"/>
      <c r="DJ26" s="549"/>
      <c r="DK26" s="549"/>
      <c r="DL26" s="549"/>
      <c r="DM26" s="549"/>
      <c r="DN26" s="549"/>
      <c r="DO26" s="549"/>
      <c r="DP26" s="549"/>
      <c r="DQ26" s="549"/>
      <c r="DR26" s="549"/>
      <c r="DS26" s="549"/>
      <c r="DT26" s="549"/>
      <c r="DV26" s="382"/>
      <c r="EH26" s="549" t="s">
        <v>8442</v>
      </c>
      <c r="EI26" s="549"/>
      <c r="EJ26" s="549"/>
      <c r="EK26" s="549"/>
      <c r="EL26" s="549"/>
      <c r="EM26" s="549"/>
      <c r="EN26" s="549"/>
      <c r="EO26" s="549"/>
      <c r="EP26" s="549"/>
      <c r="EQ26" s="549"/>
      <c r="ER26" s="549"/>
      <c r="ES26" s="549"/>
      <c r="ET26" s="549"/>
      <c r="EU26" s="549"/>
      <c r="EV26" s="549"/>
      <c r="EW26" s="549"/>
      <c r="EX26" s="549"/>
      <c r="EY26" s="549"/>
      <c r="EZ26" s="549"/>
      <c r="FA26" s="549"/>
      <c r="FB26" s="549"/>
      <c r="FC26" s="549"/>
      <c r="FD26" s="549"/>
      <c r="FH26" s="862"/>
      <c r="FI26" s="862"/>
      <c r="FJ26" s="549" t="s">
        <v>8447</v>
      </c>
      <c r="FK26" s="549"/>
      <c r="FL26" s="549"/>
      <c r="FM26" s="382"/>
      <c r="FN26" s="382"/>
      <c r="FO26" s="382"/>
      <c r="FP26" s="382"/>
      <c r="FQ26" s="382"/>
      <c r="FR26" s="382"/>
      <c r="FS26" s="382"/>
      <c r="FT26" s="382"/>
      <c r="FU26" s="382"/>
      <c r="FV26" s="1748"/>
      <c r="FW26" s="382"/>
      <c r="FX26" s="1622"/>
      <c r="FY26" s="1622"/>
      <c r="FZ26" s="1622"/>
      <c r="GA26" s="1622"/>
      <c r="GB26" s="1622"/>
      <c r="GC26" s="1622"/>
      <c r="GD26" s="1622"/>
      <c r="GE26" s="1622"/>
      <c r="GF26" s="1622"/>
      <c r="GG26" s="1622"/>
      <c r="GH26" s="1622"/>
      <c r="GI26" s="1622"/>
      <c r="GJ26" s="918"/>
      <c r="GK26" s="1748"/>
      <c r="GM26" s="571" t="s">
        <v>8448</v>
      </c>
      <c r="GN26" s="571"/>
      <c r="GO26" s="571"/>
      <c r="GP26" s="571"/>
      <c r="GQ26" s="571"/>
      <c r="GR26" s="571"/>
      <c r="GS26" s="571"/>
      <c r="GT26" s="571"/>
      <c r="GU26" s="398"/>
      <c r="GV26" s="398"/>
      <c r="GW26" s="398"/>
      <c r="GX26" s="398"/>
      <c r="GY26" s="398"/>
      <c r="GZ26" s="398"/>
      <c r="HA26" s="398"/>
      <c r="HD26" s="398"/>
      <c r="HE26" s="398"/>
      <c r="HF26" s="515"/>
      <c r="HG26" s="515"/>
      <c r="HH26" s="515"/>
      <c r="HI26" s="515"/>
      <c r="HJ26" s="398"/>
      <c r="HK26" s="398"/>
      <c r="HL26" s="382"/>
      <c r="HM26" s="398"/>
      <c r="HN26" s="398"/>
      <c r="HO26" s="398"/>
      <c r="HP26" s="398"/>
      <c r="HQ26" s="398"/>
      <c r="HT26" s="398"/>
      <c r="HU26" s="398"/>
      <c r="HV26" s="515"/>
      <c r="HW26" s="515"/>
      <c r="HX26" s="515"/>
      <c r="HY26" s="515"/>
      <c r="HZ26" s="398"/>
      <c r="IA26" s="398"/>
      <c r="IB26" s="398"/>
      <c r="IC26" s="398"/>
      <c r="ID26" s="549"/>
      <c r="IE26" s="549"/>
      <c r="IF26" s="549"/>
      <c r="IG26" s="398"/>
      <c r="IH26" s="398"/>
      <c r="II26" s="398"/>
      <c r="IJ26" s="398"/>
      <c r="IK26" s="398"/>
      <c r="IL26" s="398"/>
      <c r="IM26" s="398"/>
      <c r="IN26" s="549"/>
      <c r="IO26" s="562"/>
    </row>
    <row r="27" spans="1:249" ht="14.1" customHeight="1">
      <c r="A27" s="562"/>
      <c r="B27" s="562"/>
      <c r="C27" s="562"/>
      <c r="D27" s="562"/>
      <c r="E27" s="562"/>
      <c r="F27" s="562"/>
      <c r="G27" s="562"/>
      <c r="H27" s="562"/>
      <c r="I27" s="562"/>
      <c r="J27" s="562"/>
      <c r="K27" s="562"/>
      <c r="L27" s="562"/>
      <c r="M27" s="549" t="s">
        <v>1952</v>
      </c>
      <c r="N27" s="562">
        <v>51008</v>
      </c>
      <c r="O27" s="813">
        <v>52243</v>
      </c>
      <c r="P27" s="813">
        <v>28003</v>
      </c>
      <c r="Q27" s="813">
        <v>5665</v>
      </c>
      <c r="R27" s="1729">
        <f t="shared" si="13"/>
        <v>-2.3639530654824568</v>
      </c>
      <c r="S27" s="1765">
        <f t="shared" si="12"/>
        <v>86.562154054922686</v>
      </c>
      <c r="T27" s="1765">
        <f t="shared" si="12"/>
        <v>394.3159752868491</v>
      </c>
      <c r="U27" s="1765"/>
      <c r="V27" s="562"/>
      <c r="W27" s="1735" t="s">
        <v>1944</v>
      </c>
      <c r="X27" s="463">
        <f>SUM(Y27:AF27)</f>
        <v>56670</v>
      </c>
      <c r="Y27" s="463">
        <v>4792</v>
      </c>
      <c r="Z27" s="463">
        <v>7231</v>
      </c>
      <c r="AA27" s="463">
        <f>1221+169+763+33</f>
        <v>2186</v>
      </c>
      <c r="AB27" s="463">
        <v>850</v>
      </c>
      <c r="AC27" s="463">
        <v>1192</v>
      </c>
      <c r="AD27" s="463">
        <v>39653</v>
      </c>
      <c r="AE27" s="463">
        <v>56</v>
      </c>
      <c r="AF27" s="463">
        <v>710</v>
      </c>
      <c r="AG27" s="562"/>
      <c r="AQ27" s="398" t="s">
        <v>1947</v>
      </c>
      <c r="AR27" s="398">
        <v>162</v>
      </c>
      <c r="AS27" s="398">
        <v>147</v>
      </c>
      <c r="AT27" s="398">
        <v>170</v>
      </c>
      <c r="AU27" s="585">
        <v>155</v>
      </c>
      <c r="AV27" s="585">
        <v>152</v>
      </c>
      <c r="AW27" s="585">
        <v>149</v>
      </c>
      <c r="AX27" s="398">
        <v>136</v>
      </c>
      <c r="AY27" s="398">
        <v>129</v>
      </c>
      <c r="AZ27" s="385">
        <v>117</v>
      </c>
      <c r="BA27" s="398">
        <v>111</v>
      </c>
      <c r="BB27" s="398"/>
      <c r="BD27" s="1709" t="s">
        <v>1946</v>
      </c>
      <c r="BE27" s="1738">
        <v>4299217.32</v>
      </c>
      <c r="BF27" s="1738">
        <v>4045217.88</v>
      </c>
      <c r="BG27" s="749">
        <v>4216613.62</v>
      </c>
      <c r="BH27" s="749">
        <v>4001281.54</v>
      </c>
      <c r="BI27" s="749">
        <v>3539567.04</v>
      </c>
      <c r="BJ27" s="1733"/>
      <c r="BK27" s="1733"/>
      <c r="BL27" s="398" t="s">
        <v>8449</v>
      </c>
      <c r="BM27" s="402">
        <v>2011</v>
      </c>
      <c r="BN27" s="1066" t="s">
        <v>2253</v>
      </c>
      <c r="BO27" s="382">
        <v>53</v>
      </c>
      <c r="BP27" s="382">
        <v>53</v>
      </c>
      <c r="BQ27" s="1734">
        <v>53</v>
      </c>
      <c r="BR27" s="382">
        <v>53</v>
      </c>
      <c r="BS27" s="382">
        <v>60</v>
      </c>
      <c r="BT27" s="382">
        <v>60</v>
      </c>
      <c r="BU27" s="382">
        <v>60</v>
      </c>
      <c r="BV27" s="382">
        <v>60</v>
      </c>
      <c r="BW27" s="382">
        <v>60</v>
      </c>
      <c r="BX27" s="382">
        <v>63</v>
      </c>
      <c r="BY27" s="439">
        <v>64</v>
      </c>
      <c r="BZ27" s="382"/>
      <c r="CA27" s="385"/>
      <c r="CB27" s="385"/>
      <c r="CC27" s="391" t="s">
        <v>399</v>
      </c>
      <c r="CD27" s="463"/>
      <c r="CE27" s="382"/>
      <c r="CF27" s="382"/>
      <c r="CG27" s="382"/>
      <c r="CH27" s="382"/>
      <c r="CI27" s="382"/>
      <c r="CJ27" s="382"/>
      <c r="CK27" s="382"/>
      <c r="CL27" s="382"/>
      <c r="CM27" s="382"/>
      <c r="CN27" s="382"/>
      <c r="CO27" s="382"/>
      <c r="CP27" s="382"/>
      <c r="CQ27" s="385"/>
      <c r="CR27" s="562"/>
      <c r="CS27" s="549" t="s">
        <v>8399</v>
      </c>
      <c r="CT27" s="549"/>
      <c r="CU27" s="549"/>
      <c r="CV27" s="549"/>
      <c r="CW27" s="549"/>
      <c r="CX27" s="549"/>
      <c r="CY27" s="549"/>
      <c r="CZ27" s="549"/>
      <c r="DA27" s="382"/>
      <c r="DB27" s="382"/>
      <c r="DC27" s="382"/>
      <c r="DV27" s="382"/>
      <c r="FH27" s="862"/>
      <c r="FI27" s="862"/>
      <c r="FJ27" s="549" t="s">
        <v>8450</v>
      </c>
      <c r="FK27" s="549"/>
      <c r="FL27" s="549"/>
      <c r="FM27" s="382"/>
      <c r="FN27" s="382"/>
      <c r="FO27" s="382"/>
      <c r="FP27" s="382"/>
      <c r="FQ27" s="382"/>
      <c r="FR27" s="382"/>
      <c r="FS27" s="382"/>
      <c r="FT27" s="382"/>
      <c r="FU27" s="382"/>
      <c r="FV27" s="1748"/>
      <c r="FW27" s="451"/>
      <c r="FX27" s="382"/>
      <c r="FY27" s="382"/>
      <c r="FZ27" s="382"/>
      <c r="GA27" s="382"/>
      <c r="GB27" s="382"/>
      <c r="GC27" s="382"/>
      <c r="GD27" s="382"/>
      <c r="GE27" s="382"/>
      <c r="GF27" s="382"/>
      <c r="GG27" s="382"/>
      <c r="GH27" s="382"/>
      <c r="GI27" s="382"/>
      <c r="GJ27" s="382"/>
      <c r="GK27" s="1748"/>
      <c r="GM27" s="571" t="s">
        <v>8451</v>
      </c>
      <c r="GN27" s="571"/>
      <c r="GO27" s="571"/>
      <c r="GP27" s="571"/>
      <c r="GQ27" s="571"/>
      <c r="GR27" s="549"/>
      <c r="GS27" s="549"/>
      <c r="GT27" s="549"/>
      <c r="GX27" s="398"/>
      <c r="GY27" s="398"/>
      <c r="GZ27" s="398"/>
      <c r="HA27" s="398"/>
      <c r="HD27" s="398"/>
      <c r="HE27" s="398"/>
      <c r="HF27" s="515"/>
      <c r="HG27" s="515"/>
      <c r="HH27" s="515"/>
      <c r="HI27" s="515"/>
      <c r="HJ27" s="398"/>
      <c r="HK27" s="398"/>
      <c r="HL27" s="382"/>
      <c r="HM27" s="398"/>
      <c r="HN27" s="398"/>
      <c r="HO27" s="398"/>
      <c r="HP27" s="398"/>
      <c r="HQ27" s="398"/>
      <c r="HT27" s="398"/>
      <c r="HU27" s="398"/>
      <c r="HV27" s="515"/>
      <c r="HW27" s="515"/>
      <c r="HX27" s="515"/>
      <c r="HY27" s="515"/>
      <c r="HZ27" s="398"/>
      <c r="IA27" s="398"/>
      <c r="IB27" s="398"/>
      <c r="IC27" s="398"/>
      <c r="ID27" s="549"/>
      <c r="IE27" s="549"/>
      <c r="IF27" s="549"/>
      <c r="IG27" s="398"/>
      <c r="IH27" s="398"/>
      <c r="II27" s="398"/>
      <c r="IJ27" s="398"/>
      <c r="IK27" s="398"/>
      <c r="IL27" s="398"/>
      <c r="IM27" s="398"/>
      <c r="IN27" s="549"/>
      <c r="IO27" s="562"/>
    </row>
    <row r="28" spans="1:249" ht="14.1" customHeight="1">
      <c r="A28" s="562"/>
      <c r="B28" s="562"/>
      <c r="C28" s="562"/>
      <c r="D28" s="562"/>
      <c r="E28" s="562"/>
      <c r="F28" s="562"/>
      <c r="G28" s="562"/>
      <c r="H28" s="562"/>
      <c r="I28" s="562"/>
      <c r="J28" s="562"/>
      <c r="K28" s="562"/>
      <c r="L28" s="562"/>
      <c r="M28" s="549" t="s">
        <v>1953</v>
      </c>
      <c r="N28" s="562">
        <v>53016</v>
      </c>
      <c r="O28" s="813">
        <v>54049</v>
      </c>
      <c r="P28" s="813">
        <v>39351</v>
      </c>
      <c r="Q28" s="813">
        <v>6374</v>
      </c>
      <c r="R28" s="1729">
        <f t="shared" si="13"/>
        <v>-1.9112286998834389</v>
      </c>
      <c r="S28" s="1765">
        <f t="shared" si="12"/>
        <v>37.35102030443953</v>
      </c>
      <c r="T28" s="1765">
        <f t="shared" si="12"/>
        <v>517.36743018512709</v>
      </c>
      <c r="U28" s="1765"/>
      <c r="V28" s="562"/>
      <c r="W28" s="1735" t="s">
        <v>1945</v>
      </c>
      <c r="X28" s="463">
        <f t="shared" ref="X28:X38" si="16">SUM(Y28:AF28)</f>
        <v>56233</v>
      </c>
      <c r="Y28" s="463">
        <v>6240</v>
      </c>
      <c r="Z28" s="463">
        <v>8111</v>
      </c>
      <c r="AA28" s="463">
        <f>1035+211+907+49</f>
        <v>2202</v>
      </c>
      <c r="AB28" s="463">
        <v>81</v>
      </c>
      <c r="AC28" s="463">
        <v>1286</v>
      </c>
      <c r="AD28" s="463">
        <v>37480</v>
      </c>
      <c r="AE28" s="463">
        <v>24</v>
      </c>
      <c r="AF28" s="463">
        <v>809</v>
      </c>
      <c r="AG28" s="562"/>
      <c r="AI28" s="1752"/>
      <c r="AJ28" s="1752"/>
      <c r="AK28" s="1752"/>
      <c r="AL28" s="1752"/>
      <c r="AM28" s="1752"/>
      <c r="AN28" s="1752"/>
      <c r="AO28" s="1752"/>
      <c r="AP28" s="1752"/>
      <c r="AQ28" s="398" t="s">
        <v>1948</v>
      </c>
      <c r="AR28" s="398">
        <v>148</v>
      </c>
      <c r="AS28" s="398">
        <v>153</v>
      </c>
      <c r="AT28" s="398">
        <v>161</v>
      </c>
      <c r="AU28" s="585">
        <v>154</v>
      </c>
      <c r="AV28" s="585">
        <v>158</v>
      </c>
      <c r="AW28" s="585">
        <v>152</v>
      </c>
      <c r="AX28" s="398">
        <v>139</v>
      </c>
      <c r="AY28" s="398">
        <v>132</v>
      </c>
      <c r="AZ28" s="385">
        <v>121</v>
      </c>
      <c r="BA28" s="398">
        <v>116</v>
      </c>
      <c r="BB28" s="398"/>
      <c r="BD28" s="1709" t="s">
        <v>1947</v>
      </c>
      <c r="BE28" s="1738">
        <v>4010538.11</v>
      </c>
      <c r="BF28" s="1738">
        <v>3665056.8</v>
      </c>
      <c r="BG28" s="749">
        <v>3895769.91</v>
      </c>
      <c r="BH28" s="749">
        <v>3138396.15</v>
      </c>
      <c r="BI28" s="749">
        <v>2811804.06</v>
      </c>
      <c r="BJ28" s="1733"/>
      <c r="BK28" s="1733"/>
      <c r="BL28" s="398" t="s">
        <v>8452</v>
      </c>
      <c r="BM28" s="402">
        <v>1990</v>
      </c>
      <c r="BN28" s="1066" t="s">
        <v>8028</v>
      </c>
      <c r="BO28" s="439" t="s">
        <v>1627</v>
      </c>
      <c r="BP28" s="439" t="s">
        <v>1627</v>
      </c>
      <c r="BQ28" s="439" t="s">
        <v>1627</v>
      </c>
      <c r="BR28" s="439" t="s">
        <v>1627</v>
      </c>
      <c r="BS28" s="382">
        <v>101</v>
      </c>
      <c r="BT28" s="382">
        <v>101</v>
      </c>
      <c r="BU28" s="382">
        <v>101</v>
      </c>
      <c r="BV28" s="382">
        <v>101</v>
      </c>
      <c r="BW28" s="382">
        <v>101</v>
      </c>
      <c r="BX28" s="382">
        <v>101</v>
      </c>
      <c r="BY28" s="439">
        <v>101</v>
      </c>
      <c r="BZ28" s="382"/>
      <c r="CA28" s="382"/>
      <c r="CB28" s="385"/>
      <c r="CC28" s="391">
        <v>2024</v>
      </c>
      <c r="CD28" s="463">
        <f>SUM(CE28:CP28)</f>
        <v>1800</v>
      </c>
      <c r="CE28" s="382">
        <v>0</v>
      </c>
      <c r="CF28" s="382">
        <v>0</v>
      </c>
      <c r="CG28" s="382">
        <v>0</v>
      </c>
      <c r="CH28" s="382">
        <v>0</v>
      </c>
      <c r="CI28" s="382">
        <v>0</v>
      </c>
      <c r="CJ28" s="382">
        <v>0</v>
      </c>
      <c r="CK28" s="382">
        <v>0</v>
      </c>
      <c r="CL28" s="382">
        <v>0</v>
      </c>
      <c r="CM28" s="382">
        <v>0</v>
      </c>
      <c r="CN28" s="382">
        <v>0</v>
      </c>
      <c r="CO28" s="382">
        <v>360</v>
      </c>
      <c r="CP28" s="382">
        <v>1440</v>
      </c>
      <c r="CQ28" s="385"/>
      <c r="CR28" s="549"/>
      <c r="DF28" s="381" t="s">
        <v>8453</v>
      </c>
      <c r="DG28" s="381"/>
      <c r="DH28" s="381"/>
      <c r="DI28" s="381"/>
      <c r="DJ28" s="381"/>
      <c r="DK28" s="381"/>
      <c r="DL28" s="381"/>
      <c r="DM28" s="381"/>
      <c r="DN28" s="381"/>
      <c r="DO28" s="586"/>
      <c r="DP28" s="586"/>
      <c r="DQ28" s="586"/>
      <c r="DR28" s="586"/>
      <c r="DS28" s="586"/>
      <c r="DT28" s="586"/>
      <c r="DU28" s="586"/>
      <c r="DV28" s="382"/>
      <c r="FH28" s="862"/>
      <c r="FI28" s="862"/>
      <c r="FJ28" s="549" t="s">
        <v>8454</v>
      </c>
      <c r="FK28" s="986"/>
      <c r="FL28" s="986"/>
      <c r="FM28" s="862"/>
      <c r="FN28" s="862"/>
      <c r="FO28" s="862"/>
      <c r="FP28" s="862"/>
      <c r="FQ28" s="862"/>
      <c r="FR28" s="862"/>
      <c r="FS28" s="862"/>
      <c r="FT28" s="862"/>
      <c r="FU28" s="862"/>
      <c r="FW28" s="451"/>
      <c r="FX28" s="382"/>
      <c r="FY28" s="382"/>
      <c r="FZ28" s="382"/>
      <c r="GA28" s="382"/>
      <c r="GB28" s="382"/>
      <c r="GC28" s="382"/>
      <c r="GD28" s="382"/>
      <c r="GE28" s="382"/>
      <c r="GF28" s="382"/>
      <c r="GG28" s="382"/>
      <c r="GH28" s="382"/>
      <c r="GI28" s="382"/>
      <c r="GJ28" s="382"/>
      <c r="GM28" s="571" t="s">
        <v>8455</v>
      </c>
      <c r="GN28" s="571"/>
      <c r="GO28" s="571"/>
      <c r="GP28" s="571"/>
      <c r="GQ28" s="571"/>
      <c r="GR28" s="571"/>
      <c r="GS28" s="571"/>
      <c r="GT28" s="571"/>
      <c r="GU28" s="398"/>
      <c r="GV28" s="398"/>
      <c r="GW28" s="398"/>
      <c r="GX28" s="398"/>
      <c r="GY28" s="398"/>
      <c r="GZ28" s="398"/>
      <c r="HA28" s="398"/>
      <c r="HD28" s="398"/>
      <c r="HE28" s="398"/>
      <c r="HF28" s="515"/>
      <c r="HG28" s="515"/>
      <c r="HH28" s="515"/>
      <c r="HI28" s="515"/>
      <c r="HJ28" s="398"/>
      <c r="HK28" s="398"/>
      <c r="HL28" s="382"/>
      <c r="HM28" s="398"/>
      <c r="HN28" s="398"/>
      <c r="HO28" s="398"/>
      <c r="HP28" s="398"/>
      <c r="HQ28" s="398"/>
      <c r="HT28" s="398"/>
      <c r="HU28" s="398"/>
      <c r="HV28" s="515"/>
      <c r="HW28" s="515"/>
      <c r="HX28" s="515"/>
      <c r="HY28" s="515"/>
      <c r="HZ28" s="398"/>
      <c r="IA28" s="398"/>
      <c r="IB28" s="398"/>
      <c r="IC28" s="398"/>
      <c r="ID28" s="549"/>
      <c r="IE28" s="549"/>
      <c r="IF28" s="549"/>
      <c r="IG28" s="398"/>
      <c r="IH28" s="398"/>
      <c r="II28" s="398"/>
      <c r="IJ28" s="398"/>
      <c r="IK28" s="398"/>
      <c r="IL28" s="398"/>
      <c r="IM28" s="382"/>
      <c r="IN28" s="549"/>
      <c r="IO28" s="562"/>
    </row>
    <row r="29" spans="1:249" ht="14.1" customHeight="1">
      <c r="A29" s="562"/>
      <c r="B29" s="562"/>
      <c r="C29" s="562"/>
      <c r="D29" s="562"/>
      <c r="E29" s="562"/>
      <c r="F29" s="562"/>
      <c r="G29" s="562"/>
      <c r="H29" s="562"/>
      <c r="I29" s="562"/>
      <c r="J29" s="562"/>
      <c r="K29" s="562"/>
      <c r="L29" s="562"/>
      <c r="M29" s="549" t="s">
        <v>8404</v>
      </c>
      <c r="N29" s="562">
        <v>54162</v>
      </c>
      <c r="O29" s="813">
        <v>60788</v>
      </c>
      <c r="P29" s="813">
        <v>39831</v>
      </c>
      <c r="Q29" s="813">
        <v>9432</v>
      </c>
      <c r="R29" s="1729">
        <f t="shared" si="13"/>
        <v>-10.900177666644732</v>
      </c>
      <c r="S29" s="1765">
        <f t="shared" si="12"/>
        <v>52.614797519519975</v>
      </c>
      <c r="T29" s="1765">
        <f t="shared" si="12"/>
        <v>322.29643765903307</v>
      </c>
      <c r="U29" s="1765"/>
      <c r="V29" s="562"/>
      <c r="W29" s="1735" t="s">
        <v>1946</v>
      </c>
      <c r="X29" s="463">
        <f t="shared" si="16"/>
        <v>62290</v>
      </c>
      <c r="Y29" s="463">
        <v>11583</v>
      </c>
      <c r="Z29" s="463">
        <v>8909</v>
      </c>
      <c r="AA29" s="463">
        <f>1675+278+1147+74</f>
        <v>3174</v>
      </c>
      <c r="AB29" s="463">
        <v>130</v>
      </c>
      <c r="AC29" s="463">
        <v>1201</v>
      </c>
      <c r="AD29" s="463">
        <v>36428</v>
      </c>
      <c r="AE29" s="463">
        <v>88</v>
      </c>
      <c r="AF29" s="463">
        <v>777</v>
      </c>
      <c r="AG29" s="562"/>
      <c r="AQ29" s="398" t="s">
        <v>1949</v>
      </c>
      <c r="AR29" s="398">
        <v>153</v>
      </c>
      <c r="AS29" s="398">
        <v>141</v>
      </c>
      <c r="AT29" s="398">
        <v>146</v>
      </c>
      <c r="AU29" s="585">
        <v>153</v>
      </c>
      <c r="AV29" s="585">
        <v>144</v>
      </c>
      <c r="AW29" s="585">
        <v>131</v>
      </c>
      <c r="AX29" s="398">
        <v>132</v>
      </c>
      <c r="AY29" s="398">
        <v>120</v>
      </c>
      <c r="AZ29" s="385">
        <v>109</v>
      </c>
      <c r="BA29" s="398">
        <v>104</v>
      </c>
      <c r="BB29" s="398"/>
      <c r="BD29" s="1709" t="s">
        <v>1948</v>
      </c>
      <c r="BE29" s="1738">
        <v>3116936.66</v>
      </c>
      <c r="BF29" s="1738">
        <v>3132288.63</v>
      </c>
      <c r="BG29" s="749">
        <v>3291567.66</v>
      </c>
      <c r="BH29" s="749">
        <v>2506862.2200000002</v>
      </c>
      <c r="BI29" s="749">
        <v>2196455.4</v>
      </c>
      <c r="BJ29" s="1733"/>
      <c r="BK29" s="1733"/>
      <c r="BL29" s="398" t="s">
        <v>8456</v>
      </c>
      <c r="BM29" s="402">
        <v>1991</v>
      </c>
      <c r="BN29" s="1066" t="s">
        <v>2202</v>
      </c>
      <c r="BO29" s="382">
        <v>318</v>
      </c>
      <c r="BP29" s="382">
        <v>318</v>
      </c>
      <c r="BQ29" s="1734">
        <v>318</v>
      </c>
      <c r="BR29" s="382">
        <v>318</v>
      </c>
      <c r="BS29" s="382">
        <v>318</v>
      </c>
      <c r="BT29" s="382">
        <v>318</v>
      </c>
      <c r="BU29" s="382">
        <v>318</v>
      </c>
      <c r="BV29" s="382">
        <v>318</v>
      </c>
      <c r="BW29" s="382">
        <v>318</v>
      </c>
      <c r="BX29" s="382">
        <v>318</v>
      </c>
      <c r="BY29" s="439">
        <v>318</v>
      </c>
      <c r="BZ29" s="382"/>
      <c r="CA29" s="382"/>
      <c r="CB29" s="385"/>
      <c r="CC29" s="391">
        <v>2021</v>
      </c>
      <c r="CD29" s="463">
        <f>SUM(CE29:CP29)</f>
        <v>5040</v>
      </c>
      <c r="CE29" s="463">
        <v>158</v>
      </c>
      <c r="CF29" s="463">
        <v>0</v>
      </c>
      <c r="CG29" s="463">
        <v>0</v>
      </c>
      <c r="CH29" s="463">
        <v>0</v>
      </c>
      <c r="CI29" s="463">
        <v>2450</v>
      </c>
      <c r="CJ29" s="463">
        <v>0</v>
      </c>
      <c r="CK29" s="463">
        <v>1229</v>
      </c>
      <c r="CL29" s="463">
        <v>1203</v>
      </c>
      <c r="CM29" s="463">
        <v>0</v>
      </c>
      <c r="CN29" s="463">
        <v>0</v>
      </c>
      <c r="CO29" s="463">
        <v>0</v>
      </c>
      <c r="CP29" s="463">
        <v>0</v>
      </c>
      <c r="CQ29" s="385"/>
      <c r="CR29" s="549"/>
      <c r="DF29" s="585" t="s">
        <v>8300</v>
      </c>
      <c r="DG29" s="605"/>
      <c r="DH29" s="603">
        <v>1</v>
      </c>
      <c r="DI29" s="605">
        <v>2</v>
      </c>
      <c r="DJ29" s="603">
        <v>3</v>
      </c>
      <c r="DK29" s="603">
        <v>4</v>
      </c>
      <c r="DL29" s="603">
        <v>5</v>
      </c>
      <c r="DM29" s="603">
        <v>6</v>
      </c>
      <c r="DN29" s="603" t="s">
        <v>8301</v>
      </c>
      <c r="DO29" s="603" t="s">
        <v>8302</v>
      </c>
      <c r="DP29" s="603" t="s">
        <v>8303</v>
      </c>
      <c r="DQ29" s="603" t="s">
        <v>8304</v>
      </c>
      <c r="DR29" s="603" t="s">
        <v>8305</v>
      </c>
      <c r="DS29" s="603" t="s">
        <v>8306</v>
      </c>
      <c r="DT29" s="603" t="s">
        <v>8307</v>
      </c>
      <c r="DU29" s="605" t="s">
        <v>8308</v>
      </c>
      <c r="DV29" s="382"/>
      <c r="DX29" s="382" t="s">
        <v>8457</v>
      </c>
      <c r="DY29" s="387"/>
      <c r="DZ29" s="398"/>
      <c r="EA29" s="398"/>
      <c r="EB29" s="398"/>
      <c r="EC29" s="398"/>
      <c r="ED29" s="398"/>
      <c r="EE29" s="398"/>
      <c r="ER29" s="382" t="s">
        <v>8458</v>
      </c>
      <c r="ES29" s="382"/>
      <c r="ET29" s="382"/>
      <c r="EU29" s="382"/>
      <c r="EV29" s="382"/>
      <c r="EW29" s="382"/>
      <c r="EX29" s="382"/>
      <c r="EY29" s="382"/>
      <c r="EZ29" s="381"/>
      <c r="FA29" s="382"/>
      <c r="FB29" s="870"/>
      <c r="FC29" s="870"/>
      <c r="FD29" s="870"/>
      <c r="FE29" s="870"/>
      <c r="FF29" s="586"/>
      <c r="FH29" s="862"/>
      <c r="FI29" s="862"/>
      <c r="FJ29" s="862"/>
      <c r="FK29" s="862"/>
      <c r="FL29" s="862"/>
      <c r="FM29" s="862"/>
      <c r="FN29" s="862"/>
      <c r="FO29" s="862"/>
      <c r="FP29" s="862"/>
      <c r="FQ29" s="862"/>
      <c r="FR29" s="862"/>
      <c r="FS29" s="862"/>
      <c r="FT29" s="862"/>
      <c r="FU29" s="862"/>
      <c r="FV29" s="1748"/>
      <c r="FW29" s="451"/>
      <c r="FX29" s="382"/>
      <c r="FY29" s="382"/>
      <c r="FZ29" s="382"/>
      <c r="GA29" s="382"/>
      <c r="GB29" s="382"/>
      <c r="GC29" s="382"/>
      <c r="GD29" s="382"/>
      <c r="GE29" s="382"/>
      <c r="GF29" s="382"/>
      <c r="GG29" s="382"/>
      <c r="GH29" s="382"/>
      <c r="GI29" s="382"/>
      <c r="GJ29" s="382"/>
      <c r="GK29" s="1748"/>
      <c r="GM29" s="919" t="s">
        <v>8459</v>
      </c>
      <c r="GN29" s="919"/>
      <c r="GO29" s="919"/>
      <c r="GP29" s="919"/>
      <c r="GQ29" s="919"/>
      <c r="GR29" s="571"/>
      <c r="GS29" s="571"/>
      <c r="GT29" s="571"/>
      <c r="GU29" s="398"/>
      <c r="GV29" s="398"/>
      <c r="GW29" s="398"/>
      <c r="GX29" s="398"/>
      <c r="GY29" s="398"/>
      <c r="GZ29" s="398"/>
      <c r="HA29" s="398"/>
      <c r="HD29" s="398"/>
      <c r="HE29" s="398"/>
      <c r="HF29" s="515"/>
      <c r="HG29" s="515"/>
      <c r="HH29" s="515"/>
      <c r="HI29" s="515"/>
      <c r="HJ29" s="398"/>
      <c r="HK29" s="398"/>
      <c r="HL29" s="382"/>
      <c r="HM29" s="398"/>
      <c r="HN29" s="398"/>
      <c r="HO29" s="398"/>
      <c r="HP29" s="398"/>
      <c r="HQ29" s="398"/>
      <c r="HT29" s="398"/>
      <c r="HU29" s="398"/>
      <c r="HV29" s="515"/>
      <c r="HW29" s="515"/>
      <c r="HX29" s="515"/>
      <c r="HY29" s="515"/>
      <c r="HZ29" s="398"/>
      <c r="IA29" s="398"/>
      <c r="IB29" s="398"/>
      <c r="IC29" s="398"/>
      <c r="ID29" s="549"/>
      <c r="IE29" s="549"/>
      <c r="IF29" s="549"/>
      <c r="IG29" s="398"/>
      <c r="IH29" s="398"/>
      <c r="II29" s="398"/>
      <c r="IJ29" s="398"/>
      <c r="IK29" s="398"/>
      <c r="IL29" s="398"/>
      <c r="IM29" s="382"/>
      <c r="IN29" s="549"/>
      <c r="IO29" s="562"/>
    </row>
    <row r="30" spans="1:249" ht="14.1" customHeight="1">
      <c r="A30" s="562"/>
      <c r="B30" s="562"/>
      <c r="C30" s="562"/>
      <c r="D30" s="562"/>
      <c r="E30" s="562"/>
      <c r="F30" s="562"/>
      <c r="G30" s="562"/>
      <c r="H30" s="562"/>
      <c r="I30" s="562"/>
      <c r="J30" s="562"/>
      <c r="K30" s="562"/>
      <c r="L30" s="562"/>
      <c r="M30" s="549" t="s">
        <v>1955</v>
      </c>
      <c r="N30" s="562">
        <v>67721</v>
      </c>
      <c r="O30" s="813">
        <v>73719</v>
      </c>
      <c r="P30" s="813">
        <v>55529</v>
      </c>
      <c r="Q30" s="813">
        <v>8714</v>
      </c>
      <c r="R30" s="1729">
        <f t="shared" si="13"/>
        <v>-8.1363013605719008</v>
      </c>
      <c r="S30" s="1765">
        <f t="shared" si="12"/>
        <v>32.757658160600769</v>
      </c>
      <c r="T30" s="1765">
        <f t="shared" si="12"/>
        <v>537.23892586642182</v>
      </c>
      <c r="U30" s="1765"/>
      <c r="V30" s="562"/>
      <c r="W30" s="1735" t="s">
        <v>1947</v>
      </c>
      <c r="X30" s="463">
        <f t="shared" si="16"/>
        <v>55336</v>
      </c>
      <c r="Y30" s="463">
        <v>7304</v>
      </c>
      <c r="Z30" s="463">
        <v>6303</v>
      </c>
      <c r="AA30" s="463">
        <f>1106+215+1255+114</f>
        <v>2690</v>
      </c>
      <c r="AB30" s="463">
        <v>1158</v>
      </c>
      <c r="AC30" s="463">
        <v>1328</v>
      </c>
      <c r="AD30" s="463">
        <v>35397</v>
      </c>
      <c r="AE30" s="463">
        <v>119</v>
      </c>
      <c r="AF30" s="463">
        <v>1037</v>
      </c>
      <c r="AG30" s="562"/>
      <c r="AQ30" s="398" t="s">
        <v>1950</v>
      </c>
      <c r="AR30" s="398">
        <v>154</v>
      </c>
      <c r="AS30" s="398">
        <v>169</v>
      </c>
      <c r="AT30" s="398">
        <v>168</v>
      </c>
      <c r="AU30" s="585">
        <v>163</v>
      </c>
      <c r="AV30" s="585">
        <v>172</v>
      </c>
      <c r="AW30" s="585">
        <v>169</v>
      </c>
      <c r="AX30" s="398">
        <v>147</v>
      </c>
      <c r="AY30" s="398">
        <v>137</v>
      </c>
      <c r="AZ30" s="385">
        <v>125</v>
      </c>
      <c r="BA30" s="398">
        <v>121</v>
      </c>
      <c r="BB30" s="398"/>
      <c r="BD30" s="1709" t="s">
        <v>1949</v>
      </c>
      <c r="BE30" s="1738">
        <v>3237653.46</v>
      </c>
      <c r="BF30" s="1738">
        <v>3067019.64</v>
      </c>
      <c r="BG30" s="749">
        <v>3318845.19</v>
      </c>
      <c r="BH30" s="749">
        <v>2911789.94</v>
      </c>
      <c r="BI30" s="749">
        <v>2868615.16</v>
      </c>
      <c r="BJ30" s="1733"/>
      <c r="BK30" s="1733"/>
      <c r="BL30" s="398" t="s">
        <v>8460</v>
      </c>
      <c r="BM30" s="402">
        <v>1996</v>
      </c>
      <c r="BN30" s="1066" t="s">
        <v>8028</v>
      </c>
      <c r="BO30" s="382">
        <v>204</v>
      </c>
      <c r="BP30" s="382">
        <v>204</v>
      </c>
      <c r="BQ30" s="1734">
        <v>204</v>
      </c>
      <c r="BR30" s="475">
        <v>204</v>
      </c>
      <c r="BS30" s="382">
        <v>205</v>
      </c>
      <c r="BT30" s="382">
        <v>205</v>
      </c>
      <c r="BU30" s="382">
        <v>205</v>
      </c>
      <c r="BV30" s="382">
        <v>205</v>
      </c>
      <c r="BW30" s="382">
        <v>205</v>
      </c>
      <c r="BX30" s="382">
        <v>205</v>
      </c>
      <c r="BY30" s="439">
        <v>200</v>
      </c>
      <c r="BZ30" s="382"/>
      <c r="CA30" s="382"/>
      <c r="CB30" s="385"/>
      <c r="CC30" s="391">
        <v>2020</v>
      </c>
      <c r="CD30" s="463">
        <f>SUM(CE30:CP30)</f>
        <v>9954</v>
      </c>
      <c r="CE30" s="463">
        <v>3792</v>
      </c>
      <c r="CF30" s="463">
        <v>3318</v>
      </c>
      <c r="CG30" s="463">
        <v>2844</v>
      </c>
      <c r="CH30" s="463">
        <v>0</v>
      </c>
      <c r="CI30" s="463">
        <v>0</v>
      </c>
      <c r="CJ30" s="463">
        <v>0</v>
      </c>
      <c r="CK30" s="463">
        <v>0</v>
      </c>
      <c r="CL30" s="463">
        <v>0</v>
      </c>
      <c r="CM30" s="463">
        <v>0</v>
      </c>
      <c r="CN30" s="463">
        <v>0</v>
      </c>
      <c r="CO30" s="463">
        <v>0</v>
      </c>
      <c r="CP30" s="463">
        <v>0</v>
      </c>
      <c r="CQ30" s="385"/>
      <c r="CR30" s="549"/>
      <c r="DF30" s="586" t="s">
        <v>8324</v>
      </c>
      <c r="DG30" s="611" t="s">
        <v>129</v>
      </c>
      <c r="DH30" s="614" t="s">
        <v>8325</v>
      </c>
      <c r="DI30" s="611" t="s">
        <v>8326</v>
      </c>
      <c r="DJ30" s="614" t="s">
        <v>8326</v>
      </c>
      <c r="DK30" s="614" t="s">
        <v>8326</v>
      </c>
      <c r="DL30" s="614" t="s">
        <v>8326</v>
      </c>
      <c r="DM30" s="614" t="s">
        <v>8326</v>
      </c>
      <c r="DN30" s="614" t="s">
        <v>8326</v>
      </c>
      <c r="DO30" s="614" t="s">
        <v>8326</v>
      </c>
      <c r="DP30" s="614" t="s">
        <v>8326</v>
      </c>
      <c r="DQ30" s="614" t="s">
        <v>8326</v>
      </c>
      <c r="DR30" s="614" t="s">
        <v>8327</v>
      </c>
      <c r="DS30" s="614" t="s">
        <v>8328</v>
      </c>
      <c r="DT30" s="614" t="s">
        <v>8328</v>
      </c>
      <c r="DU30" s="611" t="s">
        <v>8329</v>
      </c>
      <c r="DX30" s="597" t="s">
        <v>8300</v>
      </c>
      <c r="DY30" s="401"/>
      <c r="DZ30" s="2149" t="s">
        <v>8309</v>
      </c>
      <c r="EA30" s="2076"/>
      <c r="EB30" s="2076"/>
      <c r="EC30" s="2076"/>
      <c r="ED30" s="2076"/>
      <c r="EE30" s="2076"/>
      <c r="EH30" s="382" t="s">
        <v>8461</v>
      </c>
      <c r="EI30" s="884"/>
      <c r="EJ30" s="884"/>
      <c r="EK30" s="884"/>
      <c r="EL30" s="884"/>
      <c r="EM30" s="884"/>
      <c r="EN30" s="884"/>
      <c r="EO30" s="884"/>
      <c r="ER30" s="1718"/>
      <c r="ES30" s="1719"/>
      <c r="ET30" s="2078" t="s">
        <v>8311</v>
      </c>
      <c r="EU30" s="2079"/>
      <c r="EV30" s="2079"/>
      <c r="EW30" s="2079"/>
      <c r="EX30" s="2079"/>
      <c r="EY30" s="2079"/>
      <c r="EZ30" s="2079"/>
      <c r="FA30" s="2079"/>
      <c r="FB30" s="2079"/>
      <c r="FC30" s="2079"/>
      <c r="FD30" s="2079"/>
      <c r="FE30" s="2079"/>
      <c r="FF30" s="2079"/>
      <c r="FG30" s="2079"/>
      <c r="FH30" s="862"/>
      <c r="FI30" s="862"/>
      <c r="FJ30" s="862"/>
      <c r="FK30" s="862"/>
      <c r="FL30" s="862"/>
      <c r="FM30" s="862"/>
      <c r="FN30" s="862"/>
      <c r="FO30" s="862"/>
      <c r="FP30" s="862"/>
      <c r="FQ30" s="862"/>
      <c r="FR30" s="862"/>
      <c r="FS30" s="862"/>
      <c r="FT30" s="862"/>
      <c r="FU30" s="862"/>
      <c r="FV30" s="1748"/>
      <c r="FW30" s="637"/>
      <c r="GK30" s="1748"/>
      <c r="GM30" s="826"/>
      <c r="GN30" s="826"/>
      <c r="GO30" s="826"/>
      <c r="GR30" s="398"/>
      <c r="GS30" s="398"/>
      <c r="GT30" s="398"/>
      <c r="GU30" s="398"/>
      <c r="GV30" s="398"/>
      <c r="GW30" s="398"/>
      <c r="GX30" s="398"/>
      <c r="GY30" s="398"/>
      <c r="GZ30" s="398"/>
      <c r="HA30" s="398"/>
      <c r="HD30" s="398"/>
      <c r="HE30" s="398"/>
      <c r="HF30" s="515"/>
      <c r="HG30" s="515"/>
      <c r="HH30" s="515"/>
      <c r="HI30" s="515"/>
      <c r="HJ30" s="398"/>
      <c r="HK30" s="398"/>
      <c r="HL30" s="382"/>
      <c r="HM30" s="398"/>
      <c r="HN30" s="398"/>
      <c r="HO30" s="398"/>
      <c r="HP30" s="398"/>
      <c r="HQ30" s="398"/>
      <c r="HT30" s="398"/>
      <c r="HU30" s="398"/>
      <c r="HV30" s="515"/>
      <c r="HW30" s="515"/>
      <c r="HX30" s="515"/>
      <c r="HY30" s="515"/>
      <c r="HZ30" s="398"/>
      <c r="IA30" s="398"/>
      <c r="IB30" s="398"/>
      <c r="IC30" s="398"/>
      <c r="ID30" s="549"/>
      <c r="IE30" s="549"/>
      <c r="IF30" s="549"/>
      <c r="IG30" s="398"/>
      <c r="IH30" s="398"/>
      <c r="II30" s="398"/>
      <c r="IJ30" s="398"/>
      <c r="IK30" s="398"/>
      <c r="IL30" s="398"/>
      <c r="IM30" s="382"/>
      <c r="IN30" s="549"/>
      <c r="IO30" s="562"/>
    </row>
    <row r="31" spans="1:249" ht="14.1" customHeight="1">
      <c r="A31" s="562"/>
      <c r="B31" s="562"/>
      <c r="C31" s="562"/>
      <c r="D31" s="562"/>
      <c r="E31" s="562"/>
      <c r="F31" s="562"/>
      <c r="G31" s="562"/>
      <c r="H31" s="562"/>
      <c r="I31" s="562"/>
      <c r="J31" s="562"/>
      <c r="K31" s="562"/>
      <c r="L31" s="562"/>
      <c r="V31" s="562"/>
      <c r="W31" s="1735" t="s">
        <v>1948</v>
      </c>
      <c r="X31" s="463">
        <f t="shared" si="16"/>
        <v>44325</v>
      </c>
      <c r="Y31" s="463">
        <v>6182</v>
      </c>
      <c r="Z31" s="463">
        <v>5371</v>
      </c>
      <c r="AA31" s="463">
        <f>746+153+757+57</f>
        <v>1713</v>
      </c>
      <c r="AB31" s="463">
        <v>539</v>
      </c>
      <c r="AC31" s="463">
        <v>796</v>
      </c>
      <c r="AD31" s="463">
        <v>29005</v>
      </c>
      <c r="AE31" s="463">
        <v>25</v>
      </c>
      <c r="AF31" s="463">
        <v>694</v>
      </c>
      <c r="AG31" s="562"/>
      <c r="AQ31" s="398" t="s">
        <v>1951</v>
      </c>
      <c r="AR31" s="398">
        <v>152</v>
      </c>
      <c r="AS31" s="398">
        <v>182</v>
      </c>
      <c r="AT31" s="398">
        <v>187</v>
      </c>
      <c r="AU31" s="585">
        <v>195</v>
      </c>
      <c r="AV31" s="585">
        <v>202</v>
      </c>
      <c r="AW31" s="585">
        <v>198</v>
      </c>
      <c r="AX31" s="398">
        <v>186</v>
      </c>
      <c r="AY31" s="398">
        <v>165</v>
      </c>
      <c r="AZ31" s="385">
        <v>156</v>
      </c>
      <c r="BA31" s="398">
        <v>151</v>
      </c>
      <c r="BB31" s="398"/>
      <c r="BD31" s="1709" t="s">
        <v>1950</v>
      </c>
      <c r="BE31" s="1738">
        <v>3239126.25</v>
      </c>
      <c r="BF31" s="1738">
        <v>3685196.71</v>
      </c>
      <c r="BG31" s="749">
        <v>2948764.48</v>
      </c>
      <c r="BH31" s="749">
        <v>2747193.96</v>
      </c>
      <c r="BI31" s="749">
        <v>2376335.71</v>
      </c>
      <c r="BJ31" s="1733"/>
      <c r="BK31" s="1733"/>
      <c r="BL31" s="398" t="s">
        <v>8462</v>
      </c>
      <c r="BM31" s="402">
        <v>1998</v>
      </c>
      <c r="BN31" s="1066" t="s">
        <v>2202</v>
      </c>
      <c r="BO31" s="439" t="s">
        <v>1627</v>
      </c>
      <c r="BP31" s="439" t="s">
        <v>1627</v>
      </c>
      <c r="BQ31" s="439" t="s">
        <v>1627</v>
      </c>
      <c r="BR31" s="382">
        <v>105</v>
      </c>
      <c r="BS31" s="382">
        <v>105</v>
      </c>
      <c r="BT31" s="382">
        <v>105</v>
      </c>
      <c r="BU31" s="382">
        <v>105</v>
      </c>
      <c r="BV31" s="382">
        <v>105</v>
      </c>
      <c r="BW31" s="382">
        <v>105</v>
      </c>
      <c r="BX31" s="382">
        <v>103</v>
      </c>
      <c r="BY31" s="439">
        <v>105</v>
      </c>
      <c r="BZ31" s="382"/>
      <c r="CA31" s="382"/>
      <c r="CB31" s="519"/>
      <c r="CC31" s="391">
        <v>2019</v>
      </c>
      <c r="CD31" s="463">
        <f t="shared" ref="CD31:CD36" si="17">SUM(CE31:CP31)</f>
        <v>40430</v>
      </c>
      <c r="CE31" s="463">
        <v>3476</v>
      </c>
      <c r="CF31" s="463">
        <v>3458</v>
      </c>
      <c r="CG31" s="463">
        <v>3160</v>
      </c>
      <c r="CH31" s="463">
        <v>3002</v>
      </c>
      <c r="CI31" s="463">
        <v>3160</v>
      </c>
      <c r="CJ31" s="463">
        <v>3476</v>
      </c>
      <c r="CK31" s="463">
        <v>3476</v>
      </c>
      <c r="CL31" s="463">
        <v>3476</v>
      </c>
      <c r="CM31" s="463">
        <v>3318</v>
      </c>
      <c r="CN31" s="463">
        <v>3476</v>
      </c>
      <c r="CO31" s="463">
        <v>3476</v>
      </c>
      <c r="CP31" s="463">
        <v>3476</v>
      </c>
      <c r="CQ31" s="519"/>
      <c r="CR31" s="562"/>
      <c r="CS31" s="381" t="s">
        <v>8463</v>
      </c>
      <c r="CT31" s="381"/>
      <c r="CU31" s="381"/>
      <c r="CV31" s="381"/>
      <c r="CW31" s="381"/>
      <c r="CX31" s="381"/>
      <c r="CY31" s="381"/>
      <c r="CZ31" s="381"/>
      <c r="DA31" s="381"/>
      <c r="DB31" s="381"/>
      <c r="DC31" s="381"/>
      <c r="DF31" s="585" t="s">
        <v>3502</v>
      </c>
      <c r="DG31" s="933">
        <f>SUM(DG32:DG46)</f>
        <v>652842</v>
      </c>
      <c r="DH31" s="933">
        <f>SUM(DH32:DH46)</f>
        <v>15990</v>
      </c>
      <c r="DI31" s="933">
        <f t="shared" ref="DI31:DQ31" si="18">SUM(DI32:DI46)</f>
        <v>25262</v>
      </c>
      <c r="DJ31" s="933">
        <f t="shared" si="18"/>
        <v>187331</v>
      </c>
      <c r="DK31" s="933">
        <f t="shared" si="18"/>
        <v>187495</v>
      </c>
      <c r="DL31" s="933">
        <f t="shared" si="18"/>
        <v>58652</v>
      </c>
      <c r="DM31" s="933">
        <f t="shared" si="18"/>
        <v>26136</v>
      </c>
      <c r="DN31" s="933">
        <f t="shared" si="18"/>
        <v>29055</v>
      </c>
      <c r="DO31" s="933">
        <f t="shared" si="18"/>
        <v>12493</v>
      </c>
      <c r="DP31" s="933">
        <f t="shared" si="18"/>
        <v>11055</v>
      </c>
      <c r="DQ31" s="933">
        <f t="shared" si="18"/>
        <v>8149</v>
      </c>
      <c r="DR31" s="933">
        <f>SUM(DR32:DR46)</f>
        <v>228</v>
      </c>
      <c r="DS31" s="933">
        <f>SUM(DS32:DS46)</f>
        <v>0</v>
      </c>
      <c r="DT31" s="933">
        <f>SUM(DT32:DT46)</f>
        <v>0</v>
      </c>
      <c r="DU31" s="933">
        <f>SUM(DU32:DU46)</f>
        <v>3318</v>
      </c>
      <c r="DX31" s="610" t="s">
        <v>8324</v>
      </c>
      <c r="DY31" s="441" t="s">
        <v>129</v>
      </c>
      <c r="DZ31" s="642" t="s">
        <v>115</v>
      </c>
      <c r="EA31" s="642" t="s">
        <v>116</v>
      </c>
      <c r="EB31" s="642" t="s">
        <v>117</v>
      </c>
      <c r="EC31" s="642" t="s">
        <v>118</v>
      </c>
      <c r="ED31" s="642" t="s">
        <v>3447</v>
      </c>
      <c r="EE31" s="664" t="s">
        <v>8330</v>
      </c>
      <c r="EH31" s="597"/>
      <c r="EI31" s="404"/>
      <c r="EJ31" s="2078" t="s">
        <v>8310</v>
      </c>
      <c r="EK31" s="2079"/>
      <c r="EL31" s="2079"/>
      <c r="EM31" s="2079"/>
      <c r="EN31" s="2079"/>
      <c r="EO31" s="2079"/>
      <c r="ER31" s="493" t="s">
        <v>8331</v>
      </c>
      <c r="ES31" s="404"/>
      <c r="ET31" s="688" t="s">
        <v>8336</v>
      </c>
      <c r="EU31" s="688" t="s">
        <v>8337</v>
      </c>
      <c r="EV31" s="688"/>
      <c r="EW31" s="688" t="s">
        <v>8338</v>
      </c>
      <c r="EX31" s="688" t="s">
        <v>8339</v>
      </c>
      <c r="EY31" s="688" t="s">
        <v>8340</v>
      </c>
      <c r="EZ31" s="416" t="s">
        <v>8341</v>
      </c>
      <c r="FA31" s="688" t="s">
        <v>8334</v>
      </c>
      <c r="FB31" s="688" t="s">
        <v>8342</v>
      </c>
      <c r="FC31" s="688"/>
      <c r="FD31" s="688" t="s">
        <v>8343</v>
      </c>
      <c r="FE31" s="688" t="s">
        <v>8344</v>
      </c>
      <c r="FF31" s="419" t="s">
        <v>8345</v>
      </c>
      <c r="FG31" s="1852"/>
      <c r="FJ31" s="862"/>
      <c r="FV31" s="1748"/>
      <c r="FW31" s="382"/>
      <c r="GK31" s="1748"/>
      <c r="GM31" s="398"/>
      <c r="GN31" s="398"/>
      <c r="GO31" s="398"/>
      <c r="GP31" s="398"/>
      <c r="GQ31" s="398"/>
      <c r="GR31" s="398"/>
      <c r="GS31" s="398"/>
      <c r="GT31" s="398"/>
      <c r="GU31" s="398"/>
      <c r="GV31" s="398"/>
      <c r="GW31" s="398"/>
      <c r="GX31" s="398"/>
      <c r="GY31" s="398"/>
      <c r="GZ31" s="398"/>
      <c r="HA31" s="398"/>
      <c r="HD31" s="398"/>
      <c r="HE31" s="398"/>
      <c r="HF31" s="515"/>
      <c r="HG31" s="515"/>
      <c r="HH31" s="515"/>
      <c r="HI31" s="515"/>
      <c r="HJ31" s="398"/>
      <c r="HK31" s="398"/>
      <c r="HL31" s="382"/>
      <c r="HM31" s="398"/>
      <c r="HN31" s="398"/>
      <c r="HO31" s="398"/>
      <c r="HP31" s="398"/>
      <c r="HQ31" s="398"/>
      <c r="HT31" s="398"/>
      <c r="HU31" s="398"/>
      <c r="HV31" s="515"/>
      <c r="HW31" s="515"/>
      <c r="HX31" s="515"/>
      <c r="HY31" s="515"/>
      <c r="HZ31" s="398"/>
      <c r="IA31" s="398"/>
      <c r="IB31" s="398"/>
      <c r="IC31" s="398"/>
      <c r="ID31" s="549"/>
      <c r="IE31" s="549"/>
      <c r="IF31" s="549"/>
      <c r="IG31" s="398"/>
      <c r="IH31" s="398"/>
      <c r="II31" s="398"/>
      <c r="IJ31" s="398"/>
      <c r="IK31" s="398"/>
      <c r="IL31" s="398"/>
      <c r="IM31" s="382"/>
      <c r="IN31" s="549"/>
      <c r="IO31" s="562"/>
    </row>
    <row r="32" spans="1:249" ht="14.1" customHeight="1">
      <c r="A32" s="562"/>
      <c r="B32" s="562"/>
      <c r="C32" s="562"/>
      <c r="D32" s="562"/>
      <c r="E32" s="562"/>
      <c r="F32" s="562"/>
      <c r="G32" s="562"/>
      <c r="H32" s="562"/>
      <c r="I32" s="562"/>
      <c r="J32" s="562"/>
      <c r="K32" s="562"/>
      <c r="L32" s="562"/>
      <c r="M32" s="1764" t="s">
        <v>8464</v>
      </c>
      <c r="N32" s="562">
        <f>SUM(N33:N44)</f>
        <v>8954</v>
      </c>
      <c r="O32" s="562">
        <f>SUM(O33:O44)</f>
        <v>3676</v>
      </c>
      <c r="P32" s="562">
        <f>SUM(P33:P44)</f>
        <v>759</v>
      </c>
      <c r="Q32" s="562">
        <f>SUM(Q33:Q44)</f>
        <v>920</v>
      </c>
      <c r="R32" s="1729">
        <f>(N32-O32)/O32*100</f>
        <v>143.57997823721436</v>
      </c>
      <c r="S32" s="1729">
        <f t="shared" ref="S32:T44" si="19">(O32-P32)/P32*100</f>
        <v>384.32147562582344</v>
      </c>
      <c r="T32" s="1729">
        <f t="shared" si="19"/>
        <v>-17.5</v>
      </c>
      <c r="U32" s="1729"/>
      <c r="V32" s="562"/>
      <c r="W32" s="1735" t="s">
        <v>1949</v>
      </c>
      <c r="X32" s="463">
        <f t="shared" si="16"/>
        <v>17285</v>
      </c>
      <c r="Y32" s="463">
        <v>2434</v>
      </c>
      <c r="Z32" s="463">
        <v>6691</v>
      </c>
      <c r="AA32" s="463">
        <f>1147+235+1290+52</f>
        <v>2724</v>
      </c>
      <c r="AB32" s="463">
        <v>838</v>
      </c>
      <c r="AC32" s="463">
        <v>879</v>
      </c>
      <c r="AD32" s="463">
        <v>2871</v>
      </c>
      <c r="AE32" s="463">
        <v>50</v>
      </c>
      <c r="AF32" s="463">
        <v>798</v>
      </c>
      <c r="AG32" s="562"/>
      <c r="AQ32" s="398" t="s">
        <v>1952</v>
      </c>
      <c r="AR32" s="398">
        <v>154</v>
      </c>
      <c r="AS32" s="398">
        <v>141</v>
      </c>
      <c r="AT32" s="398">
        <v>162</v>
      </c>
      <c r="AU32" s="585">
        <v>153</v>
      </c>
      <c r="AV32" s="585">
        <v>159</v>
      </c>
      <c r="AW32" s="585">
        <v>148</v>
      </c>
      <c r="AX32" s="398">
        <v>143</v>
      </c>
      <c r="AY32" s="398">
        <v>123</v>
      </c>
      <c r="AZ32" s="385">
        <v>119</v>
      </c>
      <c r="BA32" s="398">
        <v>107</v>
      </c>
      <c r="BB32" s="398"/>
      <c r="BD32" s="1709" t="s">
        <v>1951</v>
      </c>
      <c r="BE32" s="1738">
        <v>3724113.62</v>
      </c>
      <c r="BF32" s="1738">
        <v>3524451.26</v>
      </c>
      <c r="BG32" s="749">
        <v>3636980.53</v>
      </c>
      <c r="BH32" s="749">
        <v>3389246.84</v>
      </c>
      <c r="BI32" s="749">
        <v>3090309.43</v>
      </c>
      <c r="BJ32" s="1733"/>
      <c r="BK32" s="1733"/>
      <c r="BL32" s="398" t="s">
        <v>8465</v>
      </c>
      <c r="BM32" s="402">
        <v>1992</v>
      </c>
      <c r="BN32" s="1066" t="s">
        <v>2177</v>
      </c>
      <c r="BO32" s="439">
        <v>62</v>
      </c>
      <c r="BP32" s="382">
        <v>62</v>
      </c>
      <c r="BQ32" s="1734">
        <v>62</v>
      </c>
      <c r="BR32" s="382">
        <v>62</v>
      </c>
      <c r="BS32" s="382">
        <v>62</v>
      </c>
      <c r="BT32" s="382">
        <v>62</v>
      </c>
      <c r="BU32" s="382">
        <v>62</v>
      </c>
      <c r="BV32" s="382">
        <v>62</v>
      </c>
      <c r="BW32" s="382">
        <v>62</v>
      </c>
      <c r="BX32" s="382">
        <v>62</v>
      </c>
      <c r="BY32" s="439">
        <v>62</v>
      </c>
      <c r="BZ32" s="382"/>
      <c r="CA32" s="382"/>
      <c r="CB32" s="385"/>
      <c r="CC32" s="391">
        <v>2018</v>
      </c>
      <c r="CD32" s="463">
        <f t="shared" si="17"/>
        <v>39649</v>
      </c>
      <c r="CE32" s="463">
        <v>2844</v>
      </c>
      <c r="CF32" s="463">
        <v>2835</v>
      </c>
      <c r="CG32" s="463">
        <v>3002</v>
      </c>
      <c r="CH32" s="463">
        <v>3318</v>
      </c>
      <c r="CI32" s="463">
        <v>3476</v>
      </c>
      <c r="CJ32" s="463">
        <v>3476</v>
      </c>
      <c r="CK32" s="463">
        <v>3476</v>
      </c>
      <c r="CL32" s="463">
        <v>3476</v>
      </c>
      <c r="CM32" s="463">
        <v>3476</v>
      </c>
      <c r="CN32" s="463">
        <v>3476</v>
      </c>
      <c r="CO32" s="463">
        <v>3318</v>
      </c>
      <c r="CP32" s="463">
        <v>3476</v>
      </c>
      <c r="CQ32" s="385"/>
      <c r="CR32" s="562"/>
      <c r="CS32" s="493"/>
      <c r="CT32" s="667"/>
      <c r="CU32" s="667"/>
      <c r="CV32" s="667"/>
      <c r="CW32" s="2078" t="s">
        <v>8298</v>
      </c>
      <c r="CX32" s="2102"/>
      <c r="CY32" s="2103"/>
      <c r="CZ32" s="667" t="s">
        <v>8299</v>
      </c>
      <c r="DA32" s="667"/>
      <c r="DB32" s="465"/>
      <c r="DC32" s="465"/>
      <c r="DF32" s="585" t="s">
        <v>392</v>
      </c>
      <c r="DG32" s="1739">
        <v>136736</v>
      </c>
      <c r="DH32" s="1739">
        <v>1475</v>
      </c>
      <c r="DI32" s="1739">
        <v>9799</v>
      </c>
      <c r="DJ32" s="1739">
        <v>57306</v>
      </c>
      <c r="DK32" s="1739">
        <v>34651</v>
      </c>
      <c r="DL32" s="1739">
        <v>10417</v>
      </c>
      <c r="DM32" s="1739">
        <v>3884</v>
      </c>
      <c r="DN32" s="1739">
        <v>3788</v>
      </c>
      <c r="DO32" s="1739">
        <v>808</v>
      </c>
      <c r="DP32" s="1739">
        <v>720</v>
      </c>
      <c r="DQ32" s="1739">
        <v>389</v>
      </c>
      <c r="DR32" s="1739">
        <v>4</v>
      </c>
      <c r="DS32" s="1739">
        <v>0</v>
      </c>
      <c r="DT32" s="1739">
        <v>0</v>
      </c>
      <c r="DU32" s="1739">
        <v>202</v>
      </c>
      <c r="DX32" s="382" t="s">
        <v>3502</v>
      </c>
      <c r="DY32" s="853">
        <f t="shared" ref="DY32:EE32" si="20">SUM(DY33:DY47)</f>
        <v>652842</v>
      </c>
      <c r="DZ32" s="853">
        <f t="shared" si="20"/>
        <v>297054</v>
      </c>
      <c r="EA32" s="853">
        <f t="shared" si="20"/>
        <v>112548</v>
      </c>
      <c r="EB32" s="853">
        <f t="shared" si="20"/>
        <v>47927</v>
      </c>
      <c r="EC32" s="853">
        <f t="shared" si="20"/>
        <v>22327</v>
      </c>
      <c r="ED32" s="853">
        <f t="shared" si="20"/>
        <v>13493</v>
      </c>
      <c r="EE32" s="853">
        <f t="shared" si="20"/>
        <v>65653</v>
      </c>
      <c r="EH32" s="493" t="s">
        <v>8331</v>
      </c>
      <c r="EI32" s="464"/>
      <c r="EJ32" s="404" t="s">
        <v>8332</v>
      </c>
      <c r="EK32" s="404" t="s">
        <v>8333</v>
      </c>
      <c r="EL32" s="404" t="s">
        <v>8334</v>
      </c>
      <c r="EM32" s="404" t="s">
        <v>4373</v>
      </c>
      <c r="EN32" s="404" t="s">
        <v>8335</v>
      </c>
      <c r="EO32" s="405"/>
      <c r="ER32" s="610" t="s">
        <v>8324</v>
      </c>
      <c r="ES32" s="441" t="s">
        <v>129</v>
      </c>
      <c r="ET32" s="457" t="s">
        <v>8363</v>
      </c>
      <c r="EU32" s="457" t="s">
        <v>8364</v>
      </c>
      <c r="EV32" s="457" t="s">
        <v>8365</v>
      </c>
      <c r="EW32" s="457" t="s">
        <v>8366</v>
      </c>
      <c r="EX32" s="457" t="s">
        <v>8367</v>
      </c>
      <c r="EY32" s="457" t="s">
        <v>8368</v>
      </c>
      <c r="EZ32" s="457" t="s">
        <v>8369</v>
      </c>
      <c r="FA32" s="457" t="s">
        <v>8361</v>
      </c>
      <c r="FB32" s="457" t="s">
        <v>8370</v>
      </c>
      <c r="FC32" s="457" t="s">
        <v>3472</v>
      </c>
      <c r="FD32" s="457" t="s">
        <v>4373</v>
      </c>
      <c r="FE32" s="457" t="s">
        <v>8371</v>
      </c>
      <c r="FF32" s="458" t="s">
        <v>8372</v>
      </c>
      <c r="FG32" s="458" t="s">
        <v>1709</v>
      </c>
      <c r="FH32" s="525"/>
      <c r="FI32" s="525"/>
      <c r="FK32" s="525"/>
      <c r="FL32" s="525"/>
      <c r="FM32" s="525"/>
      <c r="FN32" s="525"/>
      <c r="FO32" s="525"/>
      <c r="FP32" s="525"/>
      <c r="FQ32" s="525"/>
      <c r="FR32" s="525"/>
      <c r="FS32" s="525"/>
      <c r="FT32" s="525"/>
      <c r="FU32" s="525"/>
      <c r="FW32" s="637"/>
      <c r="GP32" s="525"/>
      <c r="GQ32" s="525"/>
      <c r="GR32" s="398"/>
      <c r="GS32" s="398"/>
      <c r="GT32" s="398"/>
      <c r="GU32" s="398"/>
      <c r="GV32" s="398"/>
      <c r="GW32" s="398"/>
      <c r="GX32" s="398"/>
      <c r="GY32" s="398"/>
      <c r="GZ32" s="398"/>
      <c r="HA32" s="398"/>
      <c r="HD32" s="398"/>
      <c r="HE32" s="398"/>
      <c r="HF32" s="515"/>
      <c r="HG32" s="515"/>
      <c r="HH32" s="515"/>
      <c r="HI32" s="515"/>
      <c r="HJ32" s="398"/>
      <c r="HK32" s="398"/>
      <c r="HL32" s="382"/>
      <c r="HM32" s="398"/>
      <c r="HN32" s="398"/>
      <c r="HO32" s="398"/>
      <c r="HP32" s="398"/>
      <c r="HQ32" s="398"/>
      <c r="HT32" s="398"/>
      <c r="HU32" s="398"/>
      <c r="HV32" s="515"/>
      <c r="HW32" s="515"/>
      <c r="HX32" s="515"/>
      <c r="HY32" s="515"/>
      <c r="HZ32" s="398"/>
      <c r="IA32" s="398"/>
      <c r="IB32" s="398"/>
      <c r="IC32" s="398"/>
      <c r="ID32" s="549"/>
      <c r="IE32" s="549"/>
      <c r="IF32" s="549"/>
      <c r="IG32" s="398"/>
      <c r="IH32" s="398"/>
      <c r="II32" s="398"/>
      <c r="IJ32" s="398"/>
      <c r="IK32" s="398"/>
      <c r="IL32" s="398"/>
      <c r="IM32" s="382"/>
      <c r="IN32" s="549"/>
      <c r="IO32" s="562"/>
    </row>
    <row r="33" spans="1:249" ht="14.1" customHeight="1">
      <c r="A33" s="562"/>
      <c r="B33" s="562"/>
      <c r="C33" s="562"/>
      <c r="D33" s="562"/>
      <c r="E33" s="562"/>
      <c r="F33" s="562"/>
      <c r="G33" s="562"/>
      <c r="H33" s="562"/>
      <c r="I33" s="562"/>
      <c r="J33" s="562"/>
      <c r="K33" s="562"/>
      <c r="L33" s="562"/>
      <c r="M33" s="549" t="s">
        <v>1944</v>
      </c>
      <c r="N33" s="562">
        <v>3701</v>
      </c>
      <c r="O33" s="549">
        <v>17</v>
      </c>
      <c r="P33" s="549">
        <v>18</v>
      </c>
      <c r="Q33" s="549">
        <v>6</v>
      </c>
      <c r="R33" s="1729">
        <f t="shared" ref="R33:R44" si="21">(N33-O33)/O33*100</f>
        <v>21670.588235294119</v>
      </c>
      <c r="S33" s="1729">
        <f t="shared" si="19"/>
        <v>-5.5555555555555554</v>
      </c>
      <c r="T33" s="1729">
        <f t="shared" si="19"/>
        <v>200</v>
      </c>
      <c r="U33" s="1729"/>
      <c r="V33" s="562"/>
      <c r="W33" s="1735" t="s">
        <v>1950</v>
      </c>
      <c r="X33" s="463">
        <f t="shared" si="16"/>
        <v>52123</v>
      </c>
      <c r="Y33" s="463">
        <v>10989</v>
      </c>
      <c r="Z33" s="463">
        <v>8111</v>
      </c>
      <c r="AA33" s="463">
        <f>1113+214+1238+80</f>
        <v>2645</v>
      </c>
      <c r="AB33" s="463">
        <v>1114</v>
      </c>
      <c r="AC33" s="463">
        <v>1161</v>
      </c>
      <c r="AD33" s="463">
        <v>26984</v>
      </c>
      <c r="AE33" s="463">
        <v>71</v>
      </c>
      <c r="AF33" s="463">
        <v>1048</v>
      </c>
      <c r="AG33" s="562"/>
      <c r="AQ33" s="398" t="s">
        <v>1953</v>
      </c>
      <c r="AR33" s="398">
        <v>150</v>
      </c>
      <c r="AS33" s="398">
        <v>144</v>
      </c>
      <c r="AT33" s="398">
        <v>143</v>
      </c>
      <c r="AU33" s="585">
        <v>150</v>
      </c>
      <c r="AV33" s="585">
        <v>152</v>
      </c>
      <c r="AW33" s="585">
        <v>148</v>
      </c>
      <c r="AX33" s="398">
        <v>136</v>
      </c>
      <c r="AY33" s="398">
        <v>123</v>
      </c>
      <c r="AZ33" s="385">
        <v>114</v>
      </c>
      <c r="BA33" s="398">
        <v>105</v>
      </c>
      <c r="BB33" s="398"/>
      <c r="BD33" s="1709" t="s">
        <v>1952</v>
      </c>
      <c r="BE33" s="1738">
        <v>4755785.7699999996</v>
      </c>
      <c r="BF33" s="1738">
        <v>4434834.24</v>
      </c>
      <c r="BG33" s="749">
        <v>4002048.84</v>
      </c>
      <c r="BH33" s="749">
        <v>4618950.49</v>
      </c>
      <c r="BI33" s="749">
        <v>4570846.9000000004</v>
      </c>
      <c r="BJ33" s="1733"/>
      <c r="BK33" s="1733"/>
      <c r="BL33" s="398" t="s">
        <v>8466</v>
      </c>
      <c r="BM33" s="402">
        <v>1998</v>
      </c>
      <c r="BN33" s="1066" t="s">
        <v>2202</v>
      </c>
      <c r="BO33" s="439" t="s">
        <v>1627</v>
      </c>
      <c r="BP33" s="439" t="s">
        <v>1627</v>
      </c>
      <c r="BQ33" s="439" t="s">
        <v>1627</v>
      </c>
      <c r="BR33" s="382">
        <v>54</v>
      </c>
      <c r="BS33" s="382">
        <v>66</v>
      </c>
      <c r="BT33" s="382">
        <v>66</v>
      </c>
      <c r="BU33" s="382">
        <v>66</v>
      </c>
      <c r="BV33" s="382">
        <v>66</v>
      </c>
      <c r="BW33" s="382">
        <v>66</v>
      </c>
      <c r="BX33" s="382">
        <v>66</v>
      </c>
      <c r="BY33" s="439">
        <v>66</v>
      </c>
      <c r="BZ33" s="382"/>
      <c r="CA33" s="382"/>
      <c r="CB33" s="385"/>
      <c r="CC33" s="391">
        <v>2017</v>
      </c>
      <c r="CD33" s="463">
        <f t="shared" si="17"/>
        <v>49102</v>
      </c>
      <c r="CE33" s="463">
        <v>6535</v>
      </c>
      <c r="CF33" s="463">
        <v>5632</v>
      </c>
      <c r="CG33" s="463">
        <v>5948</v>
      </c>
      <c r="CH33" s="463">
        <v>5915</v>
      </c>
      <c r="CI33" s="463">
        <v>5428</v>
      </c>
      <c r="CJ33" s="463">
        <v>3054</v>
      </c>
      <c r="CK33" s="463">
        <v>2686</v>
      </c>
      <c r="CL33" s="463">
        <v>2844</v>
      </c>
      <c r="CM33" s="463">
        <v>2844</v>
      </c>
      <c r="CN33" s="463">
        <v>2686</v>
      </c>
      <c r="CO33" s="463">
        <v>2686</v>
      </c>
      <c r="CP33" s="463">
        <v>2844</v>
      </c>
      <c r="CQ33" s="385"/>
      <c r="CR33" s="562"/>
      <c r="CS33" s="680"/>
      <c r="CT33" s="910"/>
      <c r="CU33" s="416" t="s">
        <v>129</v>
      </c>
      <c r="CV33" s="416" t="s">
        <v>8318</v>
      </c>
      <c r="CW33" s="416" t="s">
        <v>8321</v>
      </c>
      <c r="CX33" s="416" t="s">
        <v>8308</v>
      </c>
      <c r="CY33" s="416" t="s">
        <v>4373</v>
      </c>
      <c r="CZ33" s="416" t="s">
        <v>8322</v>
      </c>
      <c r="DB33" s="416" t="s">
        <v>8323</v>
      </c>
      <c r="DC33" s="385" t="s">
        <v>1709</v>
      </c>
      <c r="DF33" s="585" t="s">
        <v>390</v>
      </c>
      <c r="DG33" s="1739">
        <v>371903</v>
      </c>
      <c r="DH33" s="1739">
        <v>1319</v>
      </c>
      <c r="DI33" s="1739">
        <v>6759</v>
      </c>
      <c r="DJ33" s="1739">
        <v>119612</v>
      </c>
      <c r="DK33" s="1739">
        <v>139788</v>
      </c>
      <c r="DL33" s="1739">
        <v>40436</v>
      </c>
      <c r="DM33" s="1739">
        <v>15231</v>
      </c>
      <c r="DN33" s="1739">
        <v>10753</v>
      </c>
      <c r="DO33" s="1739">
        <v>1229</v>
      </c>
      <c r="DP33" s="1739">
        <v>1611</v>
      </c>
      <c r="DQ33" s="1739">
        <v>792</v>
      </c>
      <c r="DR33" s="1739">
        <v>14</v>
      </c>
      <c r="DS33" s="1739">
        <v>0</v>
      </c>
      <c r="DT33" s="1739">
        <v>0</v>
      </c>
      <c r="DU33" s="1739">
        <v>188</v>
      </c>
      <c r="DV33" s="382"/>
      <c r="DX33" s="382" t="s">
        <v>392</v>
      </c>
      <c r="DY33" s="1740">
        <v>136736</v>
      </c>
      <c r="DZ33" s="1740">
        <v>50887</v>
      </c>
      <c r="EA33" s="1740">
        <v>25317</v>
      </c>
      <c r="EB33" s="1740">
        <v>14483</v>
      </c>
      <c r="EC33" s="1740">
        <v>7670</v>
      </c>
      <c r="ED33" s="1740">
        <v>5712</v>
      </c>
      <c r="EE33" s="1740">
        <v>18424</v>
      </c>
      <c r="EH33" s="610" t="s">
        <v>8324</v>
      </c>
      <c r="EI33" s="441" t="s">
        <v>129</v>
      </c>
      <c r="EJ33" s="441" t="s">
        <v>8359</v>
      </c>
      <c r="EK33" s="441" t="s">
        <v>8360</v>
      </c>
      <c r="EL33" s="441" t="s">
        <v>8361</v>
      </c>
      <c r="EM33" s="441" t="s">
        <v>13</v>
      </c>
      <c r="EN33" s="441" t="s">
        <v>8362</v>
      </c>
      <c r="EO33" s="442" t="s">
        <v>1709</v>
      </c>
      <c r="ER33" s="382" t="s">
        <v>3502</v>
      </c>
      <c r="ES33" s="933">
        <f>SUM(ES34:ES48)</f>
        <v>652842</v>
      </c>
      <c r="ET33" s="525">
        <f>SUM(ET34:ET48)</f>
        <v>436963</v>
      </c>
      <c r="EU33" s="525">
        <f>SUM(EU34:EU48)</f>
        <v>6059</v>
      </c>
      <c r="EV33" s="435" t="s">
        <v>546</v>
      </c>
      <c r="EW33" s="525">
        <f>SUM(EW34:EW48)</f>
        <v>5866</v>
      </c>
      <c r="EX33" s="525">
        <f>SUM(EX34:EX48)</f>
        <v>11480</v>
      </c>
      <c r="EY33" s="525">
        <f>SUM(EY34:EY48)</f>
        <v>3748</v>
      </c>
      <c r="EZ33" s="435" t="s">
        <v>546</v>
      </c>
      <c r="FA33" s="525">
        <f>SUM(FA34:FA48)</f>
        <v>17593</v>
      </c>
      <c r="FB33" s="435" t="s">
        <v>546</v>
      </c>
      <c r="FC33" s="525">
        <f>SUM(FC34:FC48)</f>
        <v>4120</v>
      </c>
      <c r="FD33" s="525">
        <f>SUM(FD34:FD48)</f>
        <v>24206</v>
      </c>
      <c r="FE33" s="525">
        <f>SUM(FE34:FE48)</f>
        <v>15657</v>
      </c>
      <c r="FF33" s="525">
        <f>SUM(FF34:FF48)</f>
        <v>6200</v>
      </c>
      <c r="FG33" s="525">
        <f>SUM(FG34:FG48)</f>
        <v>15930</v>
      </c>
      <c r="FJ33" s="525"/>
      <c r="FW33" s="2180"/>
      <c r="FX33" s="2180"/>
      <c r="FY33" s="2180"/>
      <c r="FZ33" s="2180"/>
      <c r="GA33" s="2180"/>
      <c r="GB33" s="2180"/>
      <c r="GC33" s="2180"/>
      <c r="GD33" s="2180"/>
      <c r="GE33" s="2180"/>
      <c r="GF33" s="2180"/>
      <c r="GG33" s="2180"/>
      <c r="GH33" s="2180"/>
      <c r="GI33" s="2180"/>
      <c r="GP33" s="525"/>
      <c r="GQ33" s="525"/>
      <c r="GR33" s="826"/>
      <c r="GS33" s="826"/>
      <c r="GT33" s="826"/>
      <c r="GU33" s="826"/>
      <c r="GV33" s="826"/>
      <c r="GW33" s="826"/>
      <c r="GX33" s="826"/>
      <c r="GY33" s="826"/>
      <c r="GZ33" s="826"/>
      <c r="HA33" s="826"/>
      <c r="HB33" s="398"/>
      <c r="HC33" s="398"/>
      <c r="HD33" s="398"/>
      <c r="HE33" s="398"/>
      <c r="HF33" s="398"/>
      <c r="HG33" s="398"/>
      <c r="HH33" s="398"/>
      <c r="HI33" s="398"/>
      <c r="HJ33" s="398"/>
      <c r="HK33" s="398"/>
      <c r="HM33" s="826"/>
      <c r="HN33" s="826"/>
      <c r="HO33" s="826"/>
      <c r="HP33" s="826"/>
      <c r="HQ33" s="826"/>
      <c r="HR33" s="398"/>
      <c r="HS33" s="398"/>
      <c r="HT33" s="398"/>
      <c r="HU33" s="398"/>
      <c r="HV33" s="398"/>
      <c r="HW33" s="398"/>
      <c r="HX33" s="398"/>
      <c r="HY33" s="398"/>
      <c r="HZ33" s="398"/>
      <c r="IA33" s="398"/>
      <c r="IB33" s="398"/>
      <c r="IC33" s="398"/>
      <c r="ID33" s="549"/>
      <c r="IE33" s="549"/>
      <c r="IF33" s="549"/>
      <c r="IH33" s="382"/>
      <c r="II33" s="382"/>
      <c r="IJ33" s="382"/>
      <c r="IK33" s="382"/>
      <c r="IL33" s="382"/>
      <c r="IM33" s="382"/>
      <c r="IN33" s="549"/>
      <c r="IO33" s="562"/>
    </row>
    <row r="34" spans="1:249" ht="14.1" customHeight="1">
      <c r="A34" s="562"/>
      <c r="B34" s="562"/>
      <c r="C34" s="562"/>
      <c r="D34" s="562"/>
      <c r="E34" s="562"/>
      <c r="F34" s="562"/>
      <c r="G34" s="562"/>
      <c r="H34" s="562"/>
      <c r="I34" s="562"/>
      <c r="J34" s="562"/>
      <c r="K34" s="562"/>
      <c r="L34" s="562"/>
      <c r="M34" s="549" t="s">
        <v>1945</v>
      </c>
      <c r="N34" s="562">
        <v>2619</v>
      </c>
      <c r="O34" s="549">
        <v>20</v>
      </c>
      <c r="P34" s="549">
        <v>30</v>
      </c>
      <c r="Q34" s="549">
        <v>37</v>
      </c>
      <c r="R34" s="1729">
        <f t="shared" si="21"/>
        <v>12994.999999999998</v>
      </c>
      <c r="S34" s="1729">
        <f t="shared" si="19"/>
        <v>-33.333333333333329</v>
      </c>
      <c r="T34" s="1729">
        <f t="shared" si="19"/>
        <v>-18.918918918918919</v>
      </c>
      <c r="U34" s="1729"/>
      <c r="V34" s="562"/>
      <c r="W34" s="1735" t="s">
        <v>1951</v>
      </c>
      <c r="X34" s="463">
        <f t="shared" si="16"/>
        <v>67781</v>
      </c>
      <c r="Y34" s="463">
        <v>23560</v>
      </c>
      <c r="Z34" s="463">
        <v>7106</v>
      </c>
      <c r="AA34" s="463">
        <f>1141+276+1280+77</f>
        <v>2774</v>
      </c>
      <c r="AB34" s="463">
        <v>231</v>
      </c>
      <c r="AC34" s="463">
        <v>1253</v>
      </c>
      <c r="AD34" s="463">
        <v>31774</v>
      </c>
      <c r="AE34" s="463">
        <v>78</v>
      </c>
      <c r="AF34" s="463">
        <v>1005</v>
      </c>
      <c r="AG34" s="562"/>
      <c r="AQ34" s="398" t="s">
        <v>1954</v>
      </c>
      <c r="AR34" s="398">
        <v>150</v>
      </c>
      <c r="AS34" s="398">
        <v>142</v>
      </c>
      <c r="AT34" s="398">
        <v>155</v>
      </c>
      <c r="AU34" s="585">
        <v>152</v>
      </c>
      <c r="AV34" s="585">
        <v>153</v>
      </c>
      <c r="AW34" s="585">
        <v>145</v>
      </c>
      <c r="AX34" s="398">
        <v>133</v>
      </c>
      <c r="AY34" s="398">
        <v>123</v>
      </c>
      <c r="AZ34" s="385">
        <v>113</v>
      </c>
      <c r="BA34" s="398">
        <v>106</v>
      </c>
      <c r="BB34" s="398"/>
      <c r="BD34" s="1709" t="s">
        <v>1953</v>
      </c>
      <c r="BE34" s="1738">
        <v>3127094.41</v>
      </c>
      <c r="BF34" s="1738">
        <v>3488622.57</v>
      </c>
      <c r="BG34" s="749">
        <v>3116688.25</v>
      </c>
      <c r="BH34" s="749">
        <v>3643587.08</v>
      </c>
      <c r="BI34" s="749">
        <v>3060123.74</v>
      </c>
      <c r="BJ34" s="1733"/>
      <c r="BK34" s="1733"/>
      <c r="BL34" s="398" t="s">
        <v>8467</v>
      </c>
      <c r="BM34" s="402">
        <v>2020</v>
      </c>
      <c r="BN34" s="1066" t="s">
        <v>8028</v>
      </c>
      <c r="BO34" s="382">
        <v>340</v>
      </c>
      <c r="BP34" s="382">
        <v>340</v>
      </c>
      <c r="BQ34" s="1734">
        <v>340</v>
      </c>
      <c r="BR34" s="382">
        <v>340</v>
      </c>
      <c r="BS34" s="475" t="s">
        <v>1627</v>
      </c>
      <c r="BT34" s="475" t="s">
        <v>1627</v>
      </c>
      <c r="BU34" s="475" t="s">
        <v>1627</v>
      </c>
      <c r="BV34" s="475" t="s">
        <v>1627</v>
      </c>
      <c r="BW34" s="475" t="s">
        <v>1627</v>
      </c>
      <c r="BX34" s="475" t="s">
        <v>1627</v>
      </c>
      <c r="BY34" s="475" t="s">
        <v>1627</v>
      </c>
      <c r="BZ34" s="475"/>
      <c r="CA34" s="382"/>
      <c r="CB34" s="385"/>
      <c r="CC34" s="391">
        <v>2016</v>
      </c>
      <c r="CD34" s="463">
        <f t="shared" si="17"/>
        <v>65838</v>
      </c>
      <c r="CE34" s="463">
        <v>5112</v>
      </c>
      <c r="CF34" s="463">
        <v>6520</v>
      </c>
      <c r="CG34" s="463">
        <v>5226</v>
      </c>
      <c r="CH34" s="463">
        <v>4954</v>
      </c>
      <c r="CI34" s="463">
        <v>5112</v>
      </c>
      <c r="CJ34" s="463">
        <v>4702</v>
      </c>
      <c r="CK34" s="463">
        <v>5902</v>
      </c>
      <c r="CL34" s="463">
        <v>5744</v>
      </c>
      <c r="CM34" s="463">
        <v>5334</v>
      </c>
      <c r="CN34" s="463">
        <v>5744</v>
      </c>
      <c r="CO34" s="463">
        <v>5744</v>
      </c>
      <c r="CP34" s="463">
        <v>5744</v>
      </c>
      <c r="CQ34" s="385"/>
      <c r="CR34" s="562"/>
      <c r="CS34" s="610" t="s">
        <v>501</v>
      </c>
      <c r="CT34" s="441" t="s">
        <v>129</v>
      </c>
      <c r="CU34" s="441" t="s">
        <v>8318</v>
      </c>
      <c r="CV34" s="441" t="s">
        <v>8353</v>
      </c>
      <c r="CW34" s="441" t="s">
        <v>8354</v>
      </c>
      <c r="CX34" s="441" t="s">
        <v>8355</v>
      </c>
      <c r="CY34" s="441" t="s">
        <v>8356</v>
      </c>
      <c r="CZ34" s="441" t="s">
        <v>8357</v>
      </c>
      <c r="DA34" s="441" t="s">
        <v>128</v>
      </c>
      <c r="DB34" s="441" t="s">
        <v>8358</v>
      </c>
      <c r="DC34" s="442" t="s">
        <v>8356</v>
      </c>
      <c r="DF34" s="585" t="s">
        <v>399</v>
      </c>
      <c r="DG34" s="1739">
        <v>5600</v>
      </c>
      <c r="DH34" s="1739">
        <v>68</v>
      </c>
      <c r="DI34" s="1739">
        <v>87</v>
      </c>
      <c r="DJ34" s="1739">
        <v>149</v>
      </c>
      <c r="DK34" s="1739">
        <v>3797</v>
      </c>
      <c r="DL34" s="1739">
        <v>300</v>
      </c>
      <c r="DM34" s="1739">
        <v>123</v>
      </c>
      <c r="DN34" s="1739">
        <v>206</v>
      </c>
      <c r="DO34" s="1739">
        <v>98</v>
      </c>
      <c r="DP34" s="1739">
        <v>102</v>
      </c>
      <c r="DQ34" s="1739">
        <v>54</v>
      </c>
      <c r="DR34" s="1739">
        <v>1</v>
      </c>
      <c r="DS34" s="1739">
        <v>0</v>
      </c>
      <c r="DT34" s="1739">
        <v>0</v>
      </c>
      <c r="DU34" s="1739">
        <v>18</v>
      </c>
      <c r="DV34" s="439"/>
      <c r="DX34" s="382" t="s">
        <v>390</v>
      </c>
      <c r="DY34" s="1740">
        <v>371903</v>
      </c>
      <c r="DZ34" s="1740">
        <v>211893</v>
      </c>
      <c r="EA34" s="1740">
        <v>72120</v>
      </c>
      <c r="EB34" s="1740">
        <v>25911</v>
      </c>
      <c r="EC34" s="1740">
        <v>10045</v>
      </c>
      <c r="ED34" s="1740">
        <v>4996</v>
      </c>
      <c r="EE34" s="1740">
        <v>8114</v>
      </c>
      <c r="EH34" s="382" t="s">
        <v>3502</v>
      </c>
      <c r="EI34" s="525">
        <f>SUM(EI35:EI49)</f>
        <v>656954</v>
      </c>
      <c r="EJ34" s="525">
        <f>SUM(EJ35:EJ49)</f>
        <v>411354</v>
      </c>
      <c r="EK34" s="1576">
        <v>0</v>
      </c>
      <c r="EL34" s="525">
        <f>SUM(EL35:EL49)</f>
        <v>8134</v>
      </c>
      <c r="EM34" s="525">
        <f>SUM(EM35:EM49)</f>
        <v>673</v>
      </c>
      <c r="EN34" s="525">
        <f>SUM(EN35:EN49)</f>
        <v>674</v>
      </c>
      <c r="EO34" s="525">
        <f>SUM(EO35:EO49)</f>
        <v>27546</v>
      </c>
      <c r="ER34" s="382" t="s">
        <v>392</v>
      </c>
      <c r="ES34" s="933">
        <v>136736</v>
      </c>
      <c r="ET34" s="862">
        <v>104201</v>
      </c>
      <c r="EU34" s="862">
        <v>606</v>
      </c>
      <c r="EV34" s="435" t="s">
        <v>546</v>
      </c>
      <c r="EW34" s="862">
        <v>1507</v>
      </c>
      <c r="EX34" s="862">
        <v>3186</v>
      </c>
      <c r="EY34" s="862">
        <v>2533</v>
      </c>
      <c r="EZ34" s="435" t="s">
        <v>546</v>
      </c>
      <c r="FA34" s="862">
        <v>1354</v>
      </c>
      <c r="FB34" s="435" t="s">
        <v>546</v>
      </c>
      <c r="FC34" s="862">
        <v>1555</v>
      </c>
      <c r="FD34" s="525">
        <v>1020</v>
      </c>
      <c r="FE34" s="862">
        <v>1243</v>
      </c>
      <c r="FF34" s="862">
        <v>875</v>
      </c>
      <c r="FG34" s="525">
        <v>1050</v>
      </c>
      <c r="FW34" s="439"/>
      <c r="FX34" s="439"/>
      <c r="FY34" s="439"/>
      <c r="FZ34" s="439"/>
      <c r="GA34" s="439"/>
      <c r="GB34" s="439"/>
      <c r="GC34" s="439"/>
      <c r="GD34" s="439"/>
      <c r="GE34" s="439"/>
      <c r="GF34" s="439"/>
      <c r="GG34" s="439"/>
      <c r="GH34" s="439"/>
      <c r="GI34" s="439"/>
      <c r="GM34" s="571"/>
      <c r="GN34" s="571"/>
      <c r="GO34" s="571"/>
      <c r="GP34" s="813"/>
      <c r="GQ34" s="813"/>
      <c r="GR34" s="571"/>
      <c r="GS34" s="571"/>
      <c r="GT34" s="571"/>
      <c r="GU34" s="571"/>
      <c r="GV34" s="571"/>
      <c r="GW34" s="571"/>
      <c r="GX34" s="813"/>
      <c r="GY34" s="813"/>
      <c r="GZ34" s="813"/>
      <c r="HA34" s="813"/>
      <c r="HB34" s="813"/>
      <c r="HC34" s="813"/>
      <c r="HD34" s="571"/>
      <c r="HE34" s="571"/>
      <c r="HF34" s="571"/>
      <c r="HG34" s="571"/>
      <c r="HH34" s="571"/>
      <c r="HI34" s="571"/>
      <c r="HJ34" s="571"/>
      <c r="HM34" s="398"/>
      <c r="HN34" s="398"/>
      <c r="HO34" s="398"/>
      <c r="HP34" s="398"/>
      <c r="HQ34" s="398"/>
      <c r="HR34" s="398"/>
      <c r="HS34" s="398"/>
      <c r="HT34" s="398"/>
      <c r="HU34" s="398"/>
      <c r="HV34" s="398"/>
      <c r="HW34" s="398"/>
      <c r="HX34" s="398"/>
      <c r="HY34" s="398"/>
      <c r="HZ34" s="398"/>
      <c r="IA34" s="398"/>
      <c r="IB34" s="398"/>
      <c r="IC34" s="398"/>
      <c r="ID34" s="549"/>
      <c r="IE34" s="549"/>
      <c r="IF34" s="549"/>
      <c r="IH34" s="562"/>
      <c r="II34" s="562"/>
      <c r="IJ34" s="562"/>
      <c r="IK34" s="562"/>
      <c r="IL34" s="562"/>
      <c r="IN34" s="549"/>
      <c r="IO34" s="562"/>
    </row>
    <row r="35" spans="1:249" ht="14.1" customHeight="1">
      <c r="A35" s="562"/>
      <c r="B35" s="562"/>
      <c r="C35" s="562"/>
      <c r="D35" s="562"/>
      <c r="E35" s="562"/>
      <c r="F35" s="562"/>
      <c r="G35" s="562"/>
      <c r="H35" s="562"/>
      <c r="I35" s="562"/>
      <c r="J35" s="562"/>
      <c r="K35" s="562"/>
      <c r="L35" s="562"/>
      <c r="M35" s="549" t="s">
        <v>1946</v>
      </c>
      <c r="N35" s="562">
        <v>685</v>
      </c>
      <c r="O35" s="549">
        <v>3313</v>
      </c>
      <c r="P35" s="549">
        <v>52</v>
      </c>
      <c r="Q35" s="549">
        <v>15</v>
      </c>
      <c r="R35" s="1729">
        <f t="shared" si="21"/>
        <v>-79.323875641412627</v>
      </c>
      <c r="S35" s="1729">
        <f t="shared" si="19"/>
        <v>6271.1538461538457</v>
      </c>
      <c r="T35" s="1729">
        <f t="shared" si="19"/>
        <v>246.66666666666669</v>
      </c>
      <c r="U35" s="1729"/>
      <c r="V35" s="562"/>
      <c r="W35" s="1735" t="s">
        <v>1952</v>
      </c>
      <c r="X35" s="463">
        <f t="shared" si="16"/>
        <v>52243</v>
      </c>
      <c r="Y35" s="463">
        <v>13079</v>
      </c>
      <c r="Z35" s="463">
        <v>5822</v>
      </c>
      <c r="AA35" s="463">
        <f>874+218+1124+41</f>
        <v>2257</v>
      </c>
      <c r="AB35" s="463">
        <v>138</v>
      </c>
      <c r="AC35" s="463">
        <v>894</v>
      </c>
      <c r="AD35" s="463">
        <v>29191</v>
      </c>
      <c r="AE35" s="463">
        <v>68</v>
      </c>
      <c r="AF35" s="463">
        <v>794</v>
      </c>
      <c r="AG35" s="562"/>
      <c r="AQ35" s="387" t="s">
        <v>1955</v>
      </c>
      <c r="AR35" s="824" t="s">
        <v>2825</v>
      </c>
      <c r="AS35" s="387">
        <v>208</v>
      </c>
      <c r="AT35" s="387">
        <v>183</v>
      </c>
      <c r="AU35" s="586">
        <v>186</v>
      </c>
      <c r="AV35" s="586">
        <v>185</v>
      </c>
      <c r="AW35" s="586">
        <v>180</v>
      </c>
      <c r="AX35" s="387">
        <v>172</v>
      </c>
      <c r="AY35" s="387">
        <v>153</v>
      </c>
      <c r="AZ35" s="824">
        <v>140</v>
      </c>
      <c r="BA35" s="387">
        <v>127</v>
      </c>
      <c r="BB35" s="398"/>
      <c r="BD35" s="1709" t="s">
        <v>1954</v>
      </c>
      <c r="BE35" s="1738">
        <v>3203962.99</v>
      </c>
      <c r="BF35" s="1738">
        <v>3143873.32</v>
      </c>
      <c r="BG35" s="749">
        <v>2850110.02</v>
      </c>
      <c r="BH35" s="749">
        <v>3056660.16</v>
      </c>
      <c r="BI35" s="749">
        <v>3208759.71</v>
      </c>
      <c r="BJ35" s="1733"/>
      <c r="BK35" s="1733"/>
      <c r="BL35" s="398" t="s">
        <v>8468</v>
      </c>
      <c r="BM35" s="402">
        <v>1992</v>
      </c>
      <c r="BN35" s="1066" t="s">
        <v>8028</v>
      </c>
      <c r="BO35" s="382">
        <v>62</v>
      </c>
      <c r="BP35" s="382">
        <v>62</v>
      </c>
      <c r="BQ35" s="1734">
        <v>62</v>
      </c>
      <c r="BR35" s="382">
        <v>62</v>
      </c>
      <c r="BS35" s="382">
        <v>62</v>
      </c>
      <c r="BT35" s="382">
        <v>62</v>
      </c>
      <c r="BU35" s="382">
        <v>62</v>
      </c>
      <c r="BV35" s="382">
        <v>62</v>
      </c>
      <c r="BW35" s="382">
        <v>62</v>
      </c>
      <c r="BX35" s="382">
        <v>62</v>
      </c>
      <c r="BY35" s="439">
        <v>62</v>
      </c>
      <c r="BZ35" s="382"/>
      <c r="CA35" s="475"/>
      <c r="CB35" s="475"/>
      <c r="CC35" s="391">
        <v>2015</v>
      </c>
      <c r="CD35" s="463">
        <f t="shared" si="17"/>
        <v>60452</v>
      </c>
      <c r="CE35" s="1931">
        <v>4137</v>
      </c>
      <c r="CF35" s="1931">
        <v>5253</v>
      </c>
      <c r="CG35" s="1931">
        <v>4575</v>
      </c>
      <c r="CH35" s="1931">
        <v>4779</v>
      </c>
      <c r="CI35" s="1931">
        <v>4733</v>
      </c>
      <c r="CJ35" s="1931">
        <v>4799</v>
      </c>
      <c r="CK35" s="1931">
        <v>8124</v>
      </c>
      <c r="CL35" s="1931">
        <v>5088</v>
      </c>
      <c r="CM35" s="1931">
        <v>4882</v>
      </c>
      <c r="CN35" s="1931">
        <v>4584</v>
      </c>
      <c r="CO35" s="1931">
        <v>4386</v>
      </c>
      <c r="CP35" s="1931">
        <v>5112</v>
      </c>
      <c r="CQ35" s="475"/>
      <c r="CR35" s="562"/>
      <c r="CS35" s="382" t="s">
        <v>3502</v>
      </c>
      <c r="CT35" s="862">
        <f>SUM(CT36:CT55)</f>
        <v>971447</v>
      </c>
      <c r="CU35" s="862">
        <f t="shared" ref="CU35:DC35" si="22">SUM(CU36:CU55)</f>
        <v>830341</v>
      </c>
      <c r="CV35" s="435">
        <f t="shared" si="22"/>
        <v>648958</v>
      </c>
      <c r="CW35" s="862">
        <f t="shared" si="22"/>
        <v>643021</v>
      </c>
      <c r="CX35" s="862">
        <f t="shared" si="22"/>
        <v>3317</v>
      </c>
      <c r="CY35" s="862">
        <f t="shared" si="22"/>
        <v>2673</v>
      </c>
      <c r="CZ35" s="862">
        <f t="shared" si="22"/>
        <v>3777</v>
      </c>
      <c r="DA35" s="862">
        <f t="shared" si="22"/>
        <v>82888</v>
      </c>
      <c r="DB35" s="862">
        <f t="shared" si="22"/>
        <v>201657</v>
      </c>
      <c r="DC35" s="862">
        <f t="shared" si="22"/>
        <v>55507</v>
      </c>
      <c r="DF35" s="585" t="s">
        <v>398</v>
      </c>
      <c r="DG35" s="1739">
        <v>2756</v>
      </c>
      <c r="DH35" s="1739">
        <v>74</v>
      </c>
      <c r="DI35" s="1739">
        <v>127</v>
      </c>
      <c r="DJ35" s="1739">
        <v>302</v>
      </c>
      <c r="DK35" s="1739">
        <v>396</v>
      </c>
      <c r="DL35" s="1739">
        <v>339</v>
      </c>
      <c r="DM35" s="1739">
        <v>264</v>
      </c>
      <c r="DN35" s="1739">
        <v>253</v>
      </c>
      <c r="DO35" s="1739">
        <v>68</v>
      </c>
      <c r="DP35" s="1739">
        <v>51</v>
      </c>
      <c r="DQ35" s="1739">
        <v>64</v>
      </c>
      <c r="DR35" s="1739">
        <v>0</v>
      </c>
      <c r="DS35" s="1739">
        <v>0</v>
      </c>
      <c r="DT35" s="1739">
        <v>0</v>
      </c>
      <c r="DU35" s="1739">
        <v>26</v>
      </c>
      <c r="DV35" s="439"/>
      <c r="DX35" s="382" t="s">
        <v>399</v>
      </c>
      <c r="DY35" s="1740">
        <v>5600</v>
      </c>
      <c r="DZ35" s="1740">
        <v>3363</v>
      </c>
      <c r="EA35" s="1740">
        <v>822</v>
      </c>
      <c r="EB35" s="1740">
        <v>309</v>
      </c>
      <c r="EC35" s="1740">
        <v>88</v>
      </c>
      <c r="ED35" s="1740">
        <v>72</v>
      </c>
      <c r="EE35" s="1740">
        <v>258</v>
      </c>
      <c r="EH35" s="382" t="s">
        <v>392</v>
      </c>
      <c r="EI35" s="876">
        <v>137615</v>
      </c>
      <c r="EJ35" s="876">
        <v>85309</v>
      </c>
      <c r="EK35" s="1576">
        <v>0</v>
      </c>
      <c r="EL35" s="876">
        <v>1722</v>
      </c>
      <c r="EM35" s="876">
        <v>101</v>
      </c>
      <c r="EN35" s="876">
        <v>86</v>
      </c>
      <c r="EO35" s="876">
        <f>1314+2894+255+1401</f>
        <v>5864</v>
      </c>
      <c r="ER35" s="382" t="s">
        <v>390</v>
      </c>
      <c r="ES35" s="933">
        <v>371903</v>
      </c>
      <c r="ET35" s="862">
        <v>301867</v>
      </c>
      <c r="EU35" s="435">
        <v>409</v>
      </c>
      <c r="EV35" s="435" t="s">
        <v>546</v>
      </c>
      <c r="EW35" s="862">
        <v>1104</v>
      </c>
      <c r="EX35" s="435">
        <v>7606</v>
      </c>
      <c r="EY35" s="862">
        <v>1015</v>
      </c>
      <c r="EZ35" s="435" t="s">
        <v>546</v>
      </c>
      <c r="FA35" s="862">
        <v>6658</v>
      </c>
      <c r="FB35" s="435" t="s">
        <v>546</v>
      </c>
      <c r="FC35" s="862">
        <v>767</v>
      </c>
      <c r="FD35" s="525">
        <v>1014</v>
      </c>
      <c r="FE35" s="862">
        <v>225</v>
      </c>
      <c r="FF35" s="862">
        <v>1547</v>
      </c>
      <c r="FG35" s="525">
        <v>2056</v>
      </c>
      <c r="FW35" s="439"/>
      <c r="FX35" s="463"/>
      <c r="FY35" s="463"/>
      <c r="FZ35" s="463"/>
      <c r="GA35" s="463"/>
      <c r="GB35" s="463"/>
      <c r="GC35" s="463"/>
      <c r="GD35" s="463"/>
      <c r="GE35" s="463"/>
      <c r="GF35" s="463"/>
      <c r="GG35" s="463"/>
      <c r="GH35" s="463"/>
      <c r="GI35" s="463"/>
      <c r="GM35" s="398"/>
      <c r="GN35" s="398"/>
      <c r="GO35" s="398"/>
      <c r="GP35" s="398"/>
      <c r="GQ35" s="398"/>
      <c r="GR35" s="515"/>
      <c r="GS35" s="515"/>
      <c r="GT35" s="398"/>
      <c r="GU35" s="398"/>
      <c r="GV35" s="398"/>
      <c r="GW35" s="398"/>
      <c r="GX35" s="398"/>
      <c r="GY35" s="398"/>
      <c r="GZ35" s="398"/>
      <c r="HA35" s="398"/>
      <c r="HB35" s="398"/>
      <c r="HC35" s="398"/>
      <c r="HD35" s="398"/>
      <c r="HE35" s="398"/>
      <c r="HF35" s="398"/>
      <c r="HG35" s="398"/>
      <c r="HH35" s="398"/>
      <c r="HI35" s="398"/>
      <c r="HJ35" s="398"/>
      <c r="HM35" s="382"/>
      <c r="HN35" s="463"/>
      <c r="HO35" s="463"/>
      <c r="HP35" s="382"/>
      <c r="HQ35" s="382" t="s">
        <v>8469</v>
      </c>
      <c r="HR35" s="382"/>
      <c r="HS35" s="382"/>
      <c r="HT35" s="382"/>
      <c r="HU35" s="382"/>
      <c r="HV35" s="382"/>
      <c r="HW35" s="382"/>
      <c r="HX35" s="382"/>
      <c r="HY35" s="382"/>
      <c r="HZ35" s="382"/>
      <c r="IA35" s="382"/>
      <c r="IB35" s="382"/>
      <c r="IC35" s="382"/>
      <c r="ID35" s="549"/>
      <c r="IE35" s="549"/>
      <c r="IF35" s="549"/>
      <c r="IH35" s="562"/>
      <c r="II35" s="562"/>
      <c r="IJ35" s="562"/>
      <c r="IK35" s="562"/>
      <c r="IL35" s="562"/>
      <c r="IN35" s="549"/>
      <c r="IO35" s="562"/>
    </row>
    <row r="36" spans="1:249" ht="14.1" customHeight="1">
      <c r="A36" s="1619"/>
      <c r="B36" s="1619"/>
      <c r="C36" s="1619"/>
      <c r="D36" s="1619"/>
      <c r="E36" s="1619"/>
      <c r="F36" s="1619"/>
      <c r="G36" s="1619"/>
      <c r="H36" s="1619"/>
      <c r="I36" s="1619"/>
      <c r="J36" s="875"/>
      <c r="K36" s="875"/>
      <c r="L36" s="1778"/>
      <c r="M36" s="549" t="s">
        <v>1947</v>
      </c>
      <c r="N36" s="562">
        <v>625</v>
      </c>
      <c r="O36" s="549">
        <v>18</v>
      </c>
      <c r="P36" s="549">
        <v>89</v>
      </c>
      <c r="Q36" s="549">
        <v>182</v>
      </c>
      <c r="R36" s="1729">
        <f t="shared" si="21"/>
        <v>3372.2222222222222</v>
      </c>
      <c r="S36" s="1729">
        <f t="shared" si="19"/>
        <v>-79.775280898876403</v>
      </c>
      <c r="T36" s="1729">
        <f t="shared" si="19"/>
        <v>-51.098901098901095</v>
      </c>
      <c r="U36" s="1729"/>
      <c r="V36" s="1778"/>
      <c r="W36" s="1735" t="s">
        <v>1953</v>
      </c>
      <c r="X36" s="463">
        <f t="shared" si="16"/>
        <v>54049</v>
      </c>
      <c r="Y36" s="463">
        <v>11893</v>
      </c>
      <c r="Z36" s="463">
        <v>6872</v>
      </c>
      <c r="AA36" s="463">
        <f>916+310+836+31</f>
        <v>2093</v>
      </c>
      <c r="AB36" s="463">
        <v>185</v>
      </c>
      <c r="AC36" s="463">
        <v>1000</v>
      </c>
      <c r="AD36" s="463">
        <v>30802</v>
      </c>
      <c r="AE36" s="463">
        <v>66</v>
      </c>
      <c r="AF36" s="463">
        <v>1138</v>
      </c>
      <c r="AG36" s="1778"/>
      <c r="AQ36" s="571" t="s">
        <v>8405</v>
      </c>
      <c r="AR36" s="571"/>
      <c r="AS36" s="571"/>
      <c r="AT36" s="571"/>
      <c r="AU36" s="571"/>
      <c r="AV36" s="571"/>
      <c r="AW36" s="571"/>
      <c r="AX36" s="571"/>
      <c r="AY36" s="571"/>
      <c r="AZ36" s="571"/>
      <c r="BA36" s="571"/>
      <c r="BB36" s="571"/>
      <c r="BD36" s="1758" t="s">
        <v>1955</v>
      </c>
      <c r="BE36" s="1760">
        <v>3419604.86</v>
      </c>
      <c r="BF36" s="1760">
        <v>3275364.54</v>
      </c>
      <c r="BG36" s="819">
        <v>3034340.44</v>
      </c>
      <c r="BH36" s="819">
        <v>3399417.87</v>
      </c>
      <c r="BI36" s="819">
        <v>2766916.18</v>
      </c>
      <c r="BJ36" s="1733"/>
      <c r="BK36" s="1733"/>
      <c r="BL36" s="398" t="s">
        <v>8470</v>
      </c>
      <c r="BM36" s="402">
        <v>2013</v>
      </c>
      <c r="BN36" s="1066" t="s">
        <v>8028</v>
      </c>
      <c r="BO36" s="439" t="s">
        <v>1627</v>
      </c>
      <c r="BP36" s="439" t="s">
        <v>1627</v>
      </c>
      <c r="BQ36" s="439" t="s">
        <v>1627</v>
      </c>
      <c r="BR36" s="439" t="s">
        <v>1627</v>
      </c>
      <c r="BS36" s="382">
        <v>254</v>
      </c>
      <c r="BT36" s="382">
        <v>254</v>
      </c>
      <c r="BU36" s="382">
        <v>254</v>
      </c>
      <c r="BV36" s="382">
        <v>254</v>
      </c>
      <c r="BW36" s="382">
        <v>254</v>
      </c>
      <c r="BX36" s="382">
        <v>218</v>
      </c>
      <c r="BY36" s="439">
        <v>256</v>
      </c>
      <c r="BZ36" s="475"/>
      <c r="CA36" s="382"/>
      <c r="CB36" s="385"/>
      <c r="CC36" s="391">
        <v>2014</v>
      </c>
      <c r="CD36" s="463">
        <f t="shared" si="17"/>
        <v>60162</v>
      </c>
      <c r="CE36" s="463">
        <v>6365</v>
      </c>
      <c r="CF36" s="463">
        <v>4761</v>
      </c>
      <c r="CG36" s="463">
        <v>4253</v>
      </c>
      <c r="CH36" s="463">
        <v>4708</v>
      </c>
      <c r="CI36" s="463">
        <v>4761</v>
      </c>
      <c r="CJ36" s="463">
        <v>5013</v>
      </c>
      <c r="CK36" s="463">
        <v>6098</v>
      </c>
      <c r="CL36" s="463">
        <v>5013</v>
      </c>
      <c r="CM36" s="463">
        <v>4456</v>
      </c>
      <c r="CN36" s="463">
        <v>5013</v>
      </c>
      <c r="CO36" s="463">
        <v>5013</v>
      </c>
      <c r="CP36" s="463">
        <v>4708</v>
      </c>
      <c r="CQ36" s="385"/>
      <c r="CR36" s="562"/>
      <c r="CS36" s="382" t="s">
        <v>392</v>
      </c>
      <c r="CT36" s="1744">
        <v>148042</v>
      </c>
      <c r="CU36" s="1744">
        <v>137069</v>
      </c>
      <c r="CV36" s="1744">
        <v>136681</v>
      </c>
      <c r="CW36" s="1744">
        <v>136216</v>
      </c>
      <c r="CX36" s="1744">
        <v>202</v>
      </c>
      <c r="CY36" s="1576">
        <v>79</v>
      </c>
      <c r="CZ36" s="1744">
        <v>229</v>
      </c>
      <c r="DA36" s="1744">
        <v>8977</v>
      </c>
      <c r="DB36" s="1744">
        <v>389</v>
      </c>
      <c r="DC36" s="1744">
        <v>1917</v>
      </c>
      <c r="DF36" s="585" t="s">
        <v>388</v>
      </c>
      <c r="DG36" s="1739">
        <v>83677</v>
      </c>
      <c r="DH36" s="1739">
        <v>6957</v>
      </c>
      <c r="DI36" s="1739">
        <v>4343</v>
      </c>
      <c r="DJ36" s="1739">
        <v>5122</v>
      </c>
      <c r="DK36" s="1739">
        <v>4869</v>
      </c>
      <c r="DL36" s="1739">
        <v>4449</v>
      </c>
      <c r="DM36" s="1739">
        <v>4735</v>
      </c>
      <c r="DN36" s="1739">
        <v>10342</v>
      </c>
      <c r="DO36" s="1739">
        <v>8315</v>
      </c>
      <c r="DP36" s="1739">
        <v>7156</v>
      </c>
      <c r="DQ36" s="1739">
        <v>5654</v>
      </c>
      <c r="DR36" s="1739">
        <v>158</v>
      </c>
      <c r="DS36" s="1739">
        <v>0</v>
      </c>
      <c r="DT36" s="1739">
        <v>0</v>
      </c>
      <c r="DU36" s="1739">
        <v>1247</v>
      </c>
      <c r="DV36" s="986"/>
      <c r="DX36" s="382" t="s">
        <v>398</v>
      </c>
      <c r="DY36" s="1740">
        <v>2756</v>
      </c>
      <c r="DZ36" s="1740">
        <v>1261</v>
      </c>
      <c r="EA36" s="1740">
        <v>236</v>
      </c>
      <c r="EB36" s="1740">
        <v>86</v>
      </c>
      <c r="EC36" s="1740">
        <v>49</v>
      </c>
      <c r="ED36" s="1740">
        <v>20</v>
      </c>
      <c r="EE36" s="1740">
        <v>259</v>
      </c>
      <c r="EH36" s="382" t="s">
        <v>390</v>
      </c>
      <c r="EI36" s="876">
        <v>374218</v>
      </c>
      <c r="EJ36" s="876">
        <v>235102</v>
      </c>
      <c r="EK36" s="1576">
        <v>0</v>
      </c>
      <c r="EL36" s="876">
        <v>4627</v>
      </c>
      <c r="EM36" s="876">
        <v>381</v>
      </c>
      <c r="EN36" s="876">
        <v>435</v>
      </c>
      <c r="EO36" s="876">
        <f>3522+7609+637+3879</f>
        <v>15647</v>
      </c>
      <c r="ER36" s="382" t="s">
        <v>399</v>
      </c>
      <c r="ES36" s="933">
        <v>5600</v>
      </c>
      <c r="ET36" s="862">
        <v>3677</v>
      </c>
      <c r="EU36" s="862">
        <v>84</v>
      </c>
      <c r="EV36" s="435" t="s">
        <v>546</v>
      </c>
      <c r="EW36" s="862">
        <v>43</v>
      </c>
      <c r="EX36" s="862">
        <v>177</v>
      </c>
      <c r="EY36" s="862">
        <v>17</v>
      </c>
      <c r="EZ36" s="435" t="s">
        <v>546</v>
      </c>
      <c r="FA36" s="862">
        <v>108</v>
      </c>
      <c r="FB36" s="435" t="s">
        <v>546</v>
      </c>
      <c r="FC36" s="862">
        <v>34</v>
      </c>
      <c r="FD36" s="525">
        <v>46</v>
      </c>
      <c r="FE36" s="862">
        <v>11</v>
      </c>
      <c r="FF36" s="862">
        <v>294</v>
      </c>
      <c r="FG36" s="525">
        <v>218</v>
      </c>
      <c r="FW36" s="439"/>
      <c r="FX36" s="463"/>
      <c r="FY36" s="463"/>
      <c r="FZ36" s="463"/>
      <c r="GA36" s="463"/>
      <c r="GB36" s="463"/>
      <c r="GC36" s="463"/>
      <c r="GD36" s="463"/>
      <c r="GE36" s="463"/>
      <c r="GF36" s="463"/>
      <c r="GG36" s="463"/>
      <c r="GH36" s="463"/>
      <c r="GI36" s="463"/>
      <c r="GM36" s="382"/>
      <c r="GN36" s="382"/>
      <c r="GO36" s="382"/>
      <c r="GP36" s="382"/>
      <c r="GQ36" s="382"/>
      <c r="GR36" s="463"/>
      <c r="GS36" s="463"/>
      <c r="GT36" s="382"/>
      <c r="GU36" s="382"/>
      <c r="GV36" s="382"/>
      <c r="GW36" s="382"/>
      <c r="GX36" s="414"/>
      <c r="GY36" s="414"/>
      <c r="GZ36" s="414"/>
      <c r="HA36" s="414"/>
      <c r="HB36" s="414"/>
      <c r="HC36" s="414"/>
      <c r="HD36" s="414"/>
      <c r="HE36" s="414"/>
      <c r="HF36" s="414"/>
      <c r="HG36" s="414"/>
      <c r="HH36" s="414"/>
      <c r="HI36" s="414"/>
      <c r="HJ36" s="439"/>
      <c r="HM36" s="398"/>
      <c r="HN36" s="398"/>
      <c r="HO36" s="398"/>
      <c r="HP36" s="398"/>
      <c r="HQ36" s="398" t="s">
        <v>3348</v>
      </c>
      <c r="HR36" s="398"/>
      <c r="HS36" s="398"/>
      <c r="HT36" s="398"/>
      <c r="HU36" s="398"/>
      <c r="HV36" s="398"/>
      <c r="HW36" s="398"/>
      <c r="HX36" s="398"/>
      <c r="HY36" s="398"/>
      <c r="HZ36" s="398"/>
      <c r="IA36" s="398"/>
      <c r="IB36" s="398"/>
      <c r="IC36" s="398"/>
      <c r="ID36" s="549"/>
      <c r="IE36" s="549"/>
      <c r="IF36" s="549"/>
      <c r="IH36" s="562"/>
      <c r="II36" s="562"/>
      <c r="IJ36" s="562"/>
      <c r="IK36" s="562"/>
      <c r="IL36" s="562"/>
      <c r="IN36" s="549"/>
      <c r="IO36" s="562"/>
    </row>
    <row r="37" spans="1:249" ht="14.1" customHeight="1">
      <c r="A37" s="562"/>
      <c r="B37" s="562"/>
      <c r="C37" s="562"/>
      <c r="D37" s="562"/>
      <c r="E37" s="562"/>
      <c r="F37" s="562"/>
      <c r="G37" s="562"/>
      <c r="H37" s="562"/>
      <c r="I37" s="562"/>
      <c r="J37" s="875"/>
      <c r="K37" s="875"/>
      <c r="L37" s="1632"/>
      <c r="M37" s="549" t="s">
        <v>1948</v>
      </c>
      <c r="N37" s="562">
        <v>81</v>
      </c>
      <c r="O37" s="549">
        <v>22</v>
      </c>
      <c r="P37" s="549">
        <v>10</v>
      </c>
      <c r="Q37" s="549">
        <v>26</v>
      </c>
      <c r="R37" s="1729">
        <f t="shared" si="21"/>
        <v>268.18181818181819</v>
      </c>
      <c r="S37" s="1729">
        <f t="shared" si="19"/>
        <v>120</v>
      </c>
      <c r="T37" s="1729">
        <f t="shared" si="19"/>
        <v>-61.53846153846154</v>
      </c>
      <c r="U37" s="1729"/>
      <c r="V37" s="1632"/>
      <c r="W37" s="1735" t="s">
        <v>1954</v>
      </c>
      <c r="X37" s="463">
        <f t="shared" si="16"/>
        <v>60788</v>
      </c>
      <c r="Y37" s="463">
        <v>18342</v>
      </c>
      <c r="Z37" s="463">
        <v>6030</v>
      </c>
      <c r="AA37" s="463">
        <f>1015+218+1078+63</f>
        <v>2374</v>
      </c>
      <c r="AB37" s="463">
        <v>172</v>
      </c>
      <c r="AC37" s="463">
        <v>1422</v>
      </c>
      <c r="AD37" s="463">
        <v>31355</v>
      </c>
      <c r="AE37" s="463">
        <v>87</v>
      </c>
      <c r="AF37" s="463">
        <v>1006</v>
      </c>
      <c r="AG37" s="1632"/>
      <c r="AQ37" s="571" t="s">
        <v>8471</v>
      </c>
      <c r="AR37" s="571"/>
      <c r="AS37" s="571"/>
      <c r="AT37" s="571"/>
      <c r="AU37" s="571"/>
      <c r="AV37" s="571"/>
      <c r="AW37" s="571"/>
      <c r="AX37" s="549"/>
      <c r="AY37" s="549"/>
      <c r="AZ37" s="549"/>
      <c r="BA37" s="549"/>
      <c r="BB37" s="549"/>
      <c r="BD37" s="1710" t="s">
        <v>8412</v>
      </c>
      <c r="BE37" s="1710"/>
      <c r="BF37" s="1710"/>
      <c r="BG37" s="1710"/>
      <c r="BH37" s="1710"/>
      <c r="BI37" s="1710"/>
      <c r="BJ37" s="1710"/>
      <c r="BK37" s="1710"/>
      <c r="BL37" s="398" t="s">
        <v>8472</v>
      </c>
      <c r="BM37" s="402">
        <v>1996</v>
      </c>
      <c r="BN37" s="1066" t="s">
        <v>8028</v>
      </c>
      <c r="BO37" s="382">
        <v>430</v>
      </c>
      <c r="BP37" s="382">
        <v>430</v>
      </c>
      <c r="BQ37" s="1734">
        <v>430</v>
      </c>
      <c r="BR37" s="382">
        <v>430</v>
      </c>
      <c r="BS37" s="382">
        <v>432</v>
      </c>
      <c r="BT37" s="382">
        <v>432</v>
      </c>
      <c r="BU37" s="382">
        <v>432</v>
      </c>
      <c r="BV37" s="382">
        <v>432</v>
      </c>
      <c r="BW37" s="382">
        <v>432</v>
      </c>
      <c r="BX37" s="382">
        <v>432</v>
      </c>
      <c r="BY37" s="439">
        <v>432</v>
      </c>
      <c r="BZ37" s="382"/>
      <c r="CA37" s="599"/>
      <c r="CB37" s="599"/>
      <c r="CC37" s="382"/>
      <c r="CD37" s="382"/>
      <c r="CE37" s="382"/>
      <c r="CF37" s="382"/>
      <c r="CG37" s="382"/>
      <c r="CH37" s="382"/>
      <c r="CI37" s="382"/>
      <c r="CJ37" s="382"/>
      <c r="CK37" s="382"/>
      <c r="CL37" s="382"/>
      <c r="CM37" s="382"/>
      <c r="CN37" s="382"/>
      <c r="CO37" s="382"/>
      <c r="CP37" s="382"/>
      <c r="CQ37" s="599"/>
      <c r="CR37" s="562"/>
      <c r="CS37" s="382" t="s">
        <v>390</v>
      </c>
      <c r="CT37" s="1744">
        <v>393973</v>
      </c>
      <c r="CU37" s="1744">
        <v>372822</v>
      </c>
      <c r="CV37" s="1744">
        <v>371893</v>
      </c>
      <c r="CW37" s="1744">
        <v>371677</v>
      </c>
      <c r="CX37" s="1744">
        <v>188</v>
      </c>
      <c r="CY37" s="1576">
        <v>11</v>
      </c>
      <c r="CZ37" s="1744">
        <v>190</v>
      </c>
      <c r="DA37" s="1744">
        <v>1790</v>
      </c>
      <c r="DB37" s="1744">
        <v>930</v>
      </c>
      <c r="DC37" s="1744">
        <v>19350</v>
      </c>
      <c r="DF37" s="585" t="s">
        <v>8316</v>
      </c>
      <c r="DG37" s="1739">
        <f>13063+2873+12903+707</f>
        <v>29546</v>
      </c>
      <c r="DH37" s="1739">
        <f>2248+310+2162+211</f>
        <v>4931</v>
      </c>
      <c r="DI37" s="1739">
        <f>1571+347+854+82</f>
        <v>2854</v>
      </c>
      <c r="DJ37" s="1739">
        <f>1679+257+780+21</f>
        <v>2737</v>
      </c>
      <c r="DK37" s="1739">
        <f>984+255+532+5</f>
        <v>1776</v>
      </c>
      <c r="DL37" s="1739">
        <f>691+151+467+22</f>
        <v>1331</v>
      </c>
      <c r="DM37" s="1739">
        <f>355+143+482+59</f>
        <v>1039</v>
      </c>
      <c r="DN37" s="1739">
        <f>804+279+1024+56</f>
        <v>2163</v>
      </c>
      <c r="DO37" s="1739">
        <f>354+106+431+20</f>
        <v>911</v>
      </c>
      <c r="DP37" s="1739">
        <f>203+47+211+4</f>
        <v>465</v>
      </c>
      <c r="DQ37" s="1739">
        <f>219+31+330+5</f>
        <v>585</v>
      </c>
      <c r="DR37" s="1739">
        <f>9+24</f>
        <v>33</v>
      </c>
      <c r="DS37" s="1739">
        <v>0</v>
      </c>
      <c r="DT37" s="1739">
        <v>0</v>
      </c>
      <c r="DU37" s="1739">
        <f>555+161+421+27</f>
        <v>1164</v>
      </c>
      <c r="DV37" s="986"/>
      <c r="DX37" s="382" t="s">
        <v>388</v>
      </c>
      <c r="DY37" s="1740">
        <v>83677</v>
      </c>
      <c r="DZ37" s="1740">
        <v>21651</v>
      </c>
      <c r="EA37" s="1740">
        <v>10320</v>
      </c>
      <c r="EB37" s="1740">
        <v>4982</v>
      </c>
      <c r="EC37" s="1740">
        <f>3005</f>
        <v>3005</v>
      </c>
      <c r="ED37" s="1740">
        <v>1745</v>
      </c>
      <c r="EE37" s="1740">
        <v>21206</v>
      </c>
      <c r="EH37" s="382" t="s">
        <v>399</v>
      </c>
      <c r="EI37" s="876">
        <v>5631</v>
      </c>
      <c r="EJ37" s="876">
        <v>3500</v>
      </c>
      <c r="EK37" s="1576">
        <v>0</v>
      </c>
      <c r="EL37" s="876">
        <v>74</v>
      </c>
      <c r="EM37" s="876">
        <v>9</v>
      </c>
      <c r="EN37" s="876">
        <v>1</v>
      </c>
      <c r="EO37" s="876">
        <f>59+102+12+57</f>
        <v>230</v>
      </c>
      <c r="ER37" s="382" t="s">
        <v>398</v>
      </c>
      <c r="ES37" s="933">
        <v>2756</v>
      </c>
      <c r="ET37" s="862">
        <v>1471</v>
      </c>
      <c r="EU37" s="862">
        <v>18</v>
      </c>
      <c r="EV37" s="435" t="s">
        <v>546</v>
      </c>
      <c r="EW37" s="862">
        <v>26</v>
      </c>
      <c r="EX37" s="862">
        <v>32</v>
      </c>
      <c r="EY37" s="862">
        <v>19</v>
      </c>
      <c r="EZ37" s="435" t="s">
        <v>546</v>
      </c>
      <c r="FA37" s="862">
        <v>26</v>
      </c>
      <c r="FB37" s="435" t="s">
        <v>546</v>
      </c>
      <c r="FC37" s="862">
        <v>21</v>
      </c>
      <c r="FD37" s="525">
        <v>118</v>
      </c>
      <c r="FE37" s="862">
        <v>18</v>
      </c>
      <c r="FF37" s="862">
        <v>49</v>
      </c>
      <c r="FG37" s="525">
        <v>119</v>
      </c>
      <c r="FW37" s="439"/>
      <c r="FX37" s="463"/>
      <c r="FY37" s="463"/>
      <c r="FZ37" s="463"/>
      <c r="GA37" s="463"/>
      <c r="GB37" s="463"/>
      <c r="GC37" s="463"/>
      <c r="GD37" s="463"/>
      <c r="GE37" s="463"/>
      <c r="GF37" s="463"/>
      <c r="GG37" s="463"/>
      <c r="GH37" s="463"/>
      <c r="GI37" s="463"/>
      <c r="GM37" s="382"/>
      <c r="GN37" s="382"/>
      <c r="GO37" s="382"/>
      <c r="GP37" s="382"/>
      <c r="GQ37" s="382"/>
      <c r="GR37" s="463"/>
      <c r="GS37" s="463"/>
      <c r="GT37" s="382"/>
      <c r="GU37" s="382"/>
      <c r="GV37" s="382"/>
      <c r="GW37" s="382"/>
      <c r="GX37" s="1757"/>
      <c r="GY37" s="1757"/>
      <c r="GZ37" s="1757"/>
      <c r="HA37" s="1757"/>
      <c r="HB37" s="1757"/>
      <c r="HC37" s="1757"/>
      <c r="HD37" s="1757"/>
      <c r="HE37" s="1757"/>
      <c r="HF37" s="1757"/>
      <c r="HG37" s="1757"/>
      <c r="HH37" s="1757"/>
      <c r="HI37" s="1757"/>
      <c r="HJ37" s="473"/>
      <c r="HM37" s="398"/>
      <c r="HN37" s="398"/>
      <c r="HO37" s="398"/>
      <c r="HP37" s="398"/>
      <c r="HQ37" s="398" t="s">
        <v>3348</v>
      </c>
      <c r="HR37" s="398"/>
      <c r="HS37" s="398"/>
      <c r="HT37" s="398"/>
      <c r="HU37" s="398"/>
      <c r="HV37" s="398"/>
      <c r="HW37" s="398"/>
      <c r="HX37" s="398"/>
      <c r="HY37" s="398"/>
      <c r="HZ37" s="398"/>
      <c r="IA37" s="398"/>
      <c r="IB37" s="398"/>
      <c r="IC37" s="398"/>
      <c r="ID37" s="549"/>
      <c r="IE37" s="549"/>
      <c r="IF37" s="549"/>
      <c r="IH37" s="562"/>
      <c r="II37" s="562"/>
      <c r="IJ37" s="562"/>
      <c r="IK37" s="562"/>
      <c r="IL37" s="562"/>
      <c r="IN37" s="549"/>
      <c r="IO37" s="562"/>
    </row>
    <row r="38" spans="1:249" ht="14.1" customHeight="1">
      <c r="A38" s="562"/>
      <c r="B38" s="562"/>
      <c r="C38" s="562"/>
      <c r="D38" s="562"/>
      <c r="E38" s="562"/>
      <c r="F38" s="562"/>
      <c r="G38" s="562"/>
      <c r="H38" s="562"/>
      <c r="I38" s="562"/>
      <c r="J38" s="875"/>
      <c r="K38" s="875"/>
      <c r="L38" s="1632"/>
      <c r="M38" s="549" t="s">
        <v>1949</v>
      </c>
      <c r="N38" s="562">
        <v>227</v>
      </c>
      <c r="O38" s="549">
        <v>25</v>
      </c>
      <c r="P38" s="549">
        <v>32</v>
      </c>
      <c r="Q38" s="549">
        <v>101</v>
      </c>
      <c r="R38" s="1729">
        <f t="shared" si="21"/>
        <v>808</v>
      </c>
      <c r="S38" s="1729">
        <f t="shared" si="19"/>
        <v>-21.875</v>
      </c>
      <c r="T38" s="1729">
        <f t="shared" si="19"/>
        <v>-68.316831683168317</v>
      </c>
      <c r="U38" s="1729"/>
      <c r="V38" s="1632"/>
      <c r="W38" s="387" t="s">
        <v>1955</v>
      </c>
      <c r="X38" s="497">
        <f t="shared" si="16"/>
        <v>73719</v>
      </c>
      <c r="Y38" s="766">
        <v>40963</v>
      </c>
      <c r="Z38" s="497">
        <v>7120</v>
      </c>
      <c r="AA38" s="766">
        <f>1074+376+1228+36</f>
        <v>2714</v>
      </c>
      <c r="AB38" s="766">
        <v>164</v>
      </c>
      <c r="AC38" s="633">
        <v>1226</v>
      </c>
      <c r="AD38" s="766">
        <v>20338</v>
      </c>
      <c r="AE38" s="766">
        <v>86</v>
      </c>
      <c r="AF38" s="497">
        <v>1108</v>
      </c>
      <c r="AG38" s="1632"/>
      <c r="AQ38" s="571" t="s">
        <v>8473</v>
      </c>
      <c r="AR38" s="571"/>
      <c r="AS38" s="571"/>
      <c r="AT38" s="571"/>
      <c r="AU38" s="571"/>
      <c r="AV38" s="571"/>
      <c r="AW38" s="571"/>
      <c r="AX38" s="549"/>
      <c r="AY38" s="549"/>
      <c r="AZ38" s="549"/>
      <c r="BA38" s="549"/>
      <c r="BB38" s="549"/>
      <c r="BL38" s="398" t="s">
        <v>8474</v>
      </c>
      <c r="BM38" s="402">
        <v>2008</v>
      </c>
      <c r="BN38" s="1066" t="s">
        <v>2202</v>
      </c>
      <c r="BO38" s="382">
        <v>144</v>
      </c>
      <c r="BP38" s="382">
        <v>144</v>
      </c>
      <c r="BQ38" s="1734">
        <v>144</v>
      </c>
      <c r="BR38" s="382">
        <v>144</v>
      </c>
      <c r="BS38" s="382">
        <v>144</v>
      </c>
      <c r="BT38" s="382">
        <v>144</v>
      </c>
      <c r="BU38" s="382">
        <v>144</v>
      </c>
      <c r="BV38" s="382">
        <v>144</v>
      </c>
      <c r="BW38" s="382">
        <v>144</v>
      </c>
      <c r="BX38" s="382">
        <v>142</v>
      </c>
      <c r="BY38" s="439">
        <v>141</v>
      </c>
      <c r="BZ38" s="382"/>
      <c r="CA38" s="385"/>
      <c r="CB38" s="385"/>
      <c r="CC38" s="391" t="s">
        <v>393</v>
      </c>
      <c r="CD38" s="463"/>
      <c r="CE38" s="382"/>
      <c r="CF38" s="382"/>
      <c r="CG38" s="382"/>
      <c r="CH38" s="382"/>
      <c r="CI38" s="382"/>
      <c r="CJ38" s="382"/>
      <c r="CK38" s="382"/>
      <c r="CL38" s="382"/>
      <c r="CM38" s="382"/>
      <c r="CN38" s="382"/>
      <c r="CO38" s="382"/>
      <c r="CP38" s="382"/>
      <c r="CQ38" s="385"/>
      <c r="CR38" s="562"/>
      <c r="CS38" s="382" t="s">
        <v>399</v>
      </c>
      <c r="CT38" s="1744">
        <v>2718</v>
      </c>
      <c r="CU38" s="1744">
        <v>1943</v>
      </c>
      <c r="CV38" s="1744">
        <v>1880</v>
      </c>
      <c r="CW38" s="1744">
        <v>1855</v>
      </c>
      <c r="CX38" s="1744">
        <v>17</v>
      </c>
      <c r="CY38" s="1576">
        <v>0</v>
      </c>
      <c r="CZ38" s="1744">
        <v>20</v>
      </c>
      <c r="DA38" s="1744">
        <v>715</v>
      </c>
      <c r="DB38" s="1744">
        <v>63</v>
      </c>
      <c r="DC38" s="1744">
        <v>60</v>
      </c>
      <c r="DF38" s="585" t="s">
        <v>397</v>
      </c>
      <c r="DG38" s="1739">
        <v>13638</v>
      </c>
      <c r="DH38" s="1739">
        <v>372</v>
      </c>
      <c r="DI38" s="1739">
        <v>625</v>
      </c>
      <c r="DJ38" s="1739">
        <v>1274</v>
      </c>
      <c r="DK38" s="1739">
        <v>1347</v>
      </c>
      <c r="DL38" s="1739">
        <v>832</v>
      </c>
      <c r="DM38" s="1739">
        <v>403</v>
      </c>
      <c r="DN38" s="1739">
        <v>689</v>
      </c>
      <c r="DO38" s="1739">
        <v>450</v>
      </c>
      <c r="DP38" s="1739">
        <v>288</v>
      </c>
      <c r="DQ38" s="1739">
        <v>298</v>
      </c>
      <c r="DR38" s="1739">
        <v>13</v>
      </c>
      <c r="DS38" s="1739">
        <v>0</v>
      </c>
      <c r="DT38" s="1739">
        <v>0</v>
      </c>
      <c r="DU38" s="1739">
        <v>287</v>
      </c>
      <c r="DV38" s="986"/>
      <c r="DX38" s="382" t="s">
        <v>8316</v>
      </c>
      <c r="DY38" s="1740">
        <f>13063+2873+12903+707</f>
        <v>29546</v>
      </c>
      <c r="DZ38" s="1740">
        <f>429+623+114+96</f>
        <v>1262</v>
      </c>
      <c r="EA38" s="1740">
        <f>511+709+100+66</f>
        <v>1386</v>
      </c>
      <c r="EB38" s="1740">
        <f>444+55+536+28</f>
        <v>1063</v>
      </c>
      <c r="EC38" s="1740">
        <f>321+443+86+27</f>
        <v>877</v>
      </c>
      <c r="ED38" s="1740">
        <f>223+312+46+26</f>
        <v>607</v>
      </c>
      <c r="EE38" s="1740">
        <f>7691+4973+1778+249</f>
        <v>14691</v>
      </c>
      <c r="EH38" s="382" t="s">
        <v>398</v>
      </c>
      <c r="EI38" s="876">
        <v>2774</v>
      </c>
      <c r="EJ38" s="876">
        <v>1725</v>
      </c>
      <c r="EK38" s="1576">
        <v>0</v>
      </c>
      <c r="EL38" s="876">
        <v>31</v>
      </c>
      <c r="EM38" s="876">
        <v>4</v>
      </c>
      <c r="EN38" s="876">
        <v>1</v>
      </c>
      <c r="EO38" s="876">
        <f>30+57+5+26</f>
        <v>118</v>
      </c>
      <c r="ER38" s="382" t="s">
        <v>388</v>
      </c>
      <c r="ES38" s="933">
        <v>83677</v>
      </c>
      <c r="ET38" s="862">
        <v>14387</v>
      </c>
      <c r="EU38" s="862">
        <v>3814</v>
      </c>
      <c r="EV38" s="435" t="s">
        <v>546</v>
      </c>
      <c r="EW38" s="862">
        <v>1517</v>
      </c>
      <c r="EX38" s="862">
        <v>50</v>
      </c>
      <c r="EY38" s="862">
        <v>75</v>
      </c>
      <c r="EZ38" s="435" t="s">
        <v>546</v>
      </c>
      <c r="FA38" s="862">
        <v>6817</v>
      </c>
      <c r="FB38" s="435" t="s">
        <v>546</v>
      </c>
      <c r="FC38" s="862">
        <v>415</v>
      </c>
      <c r="FD38" s="525">
        <v>16616</v>
      </c>
      <c r="FE38" s="862">
        <v>12035</v>
      </c>
      <c r="FF38" s="862">
        <v>2395</v>
      </c>
      <c r="FG38" s="525">
        <v>5631</v>
      </c>
      <c r="FH38" s="439"/>
      <c r="FI38" s="439"/>
      <c r="FK38" s="439"/>
      <c r="FL38" s="439"/>
      <c r="FM38" s="439"/>
      <c r="FN38" s="439"/>
      <c r="FO38" s="439"/>
      <c r="FP38" s="439"/>
      <c r="FQ38" s="439"/>
      <c r="FR38" s="439"/>
      <c r="FS38" s="439"/>
      <c r="FT38" s="439"/>
      <c r="FU38" s="439"/>
      <c r="FW38" s="439"/>
      <c r="FX38" s="463"/>
      <c r="FY38" s="463"/>
      <c r="FZ38" s="463"/>
      <c r="GA38" s="463"/>
      <c r="GB38" s="463"/>
      <c r="GC38" s="463"/>
      <c r="GD38" s="463"/>
      <c r="GE38" s="463"/>
      <c r="GF38" s="463"/>
      <c r="GG38" s="463"/>
      <c r="GH38" s="463"/>
      <c r="GI38" s="463"/>
      <c r="GM38" s="382"/>
      <c r="GN38" s="382"/>
      <c r="GO38" s="382"/>
      <c r="GP38" s="382"/>
      <c r="GQ38" s="382"/>
      <c r="GR38" s="382"/>
      <c r="GS38" s="382"/>
      <c r="GT38" s="382"/>
      <c r="GU38" s="382"/>
      <c r="GV38" s="382"/>
      <c r="GW38" s="382"/>
      <c r="GX38" s="1757"/>
      <c r="GY38" s="1757"/>
      <c r="GZ38" s="1757"/>
      <c r="HA38" s="1757"/>
      <c r="HB38" s="1757"/>
      <c r="HC38" s="1757"/>
      <c r="HD38" s="1757"/>
      <c r="HE38" s="1757"/>
      <c r="HF38" s="1757"/>
      <c r="HG38" s="1757"/>
      <c r="HH38" s="1757"/>
      <c r="HI38" s="1757"/>
      <c r="HJ38" s="473"/>
      <c r="HM38" s="382"/>
      <c r="HN38" s="382"/>
      <c r="HO38" s="382"/>
      <c r="HP38" s="382"/>
      <c r="HQ38" s="398" t="s">
        <v>3348</v>
      </c>
      <c r="HR38" s="2073"/>
      <c r="HS38" s="2073"/>
      <c r="HT38" s="2094"/>
      <c r="HU38" s="2094"/>
      <c r="HV38" s="2094"/>
      <c r="HW38" s="2094"/>
      <c r="HX38" s="2094"/>
      <c r="HY38" s="2094"/>
      <c r="HZ38" s="2094"/>
      <c r="IA38" s="2094"/>
      <c r="IB38" s="398"/>
      <c r="IC38" s="398"/>
      <c r="IH38" s="562"/>
      <c r="II38" s="562"/>
      <c r="IJ38" s="562"/>
      <c r="IK38" s="562"/>
      <c r="IL38" s="562"/>
      <c r="IN38" s="549"/>
      <c r="IO38" s="562"/>
    </row>
    <row r="39" spans="1:249" ht="14.1" customHeight="1">
      <c r="A39" s="562"/>
      <c r="B39" s="562"/>
      <c r="C39" s="562"/>
      <c r="D39" s="562"/>
      <c r="E39" s="562"/>
      <c r="F39" s="562"/>
      <c r="G39" s="562"/>
      <c r="H39" s="562"/>
      <c r="I39" s="562"/>
      <c r="J39" s="875"/>
      <c r="K39" s="875"/>
      <c r="L39" s="1632"/>
      <c r="M39" s="549" t="s">
        <v>1950</v>
      </c>
      <c r="N39" s="562">
        <v>180</v>
      </c>
      <c r="O39" s="549">
        <v>31</v>
      </c>
      <c r="P39" s="549">
        <v>59</v>
      </c>
      <c r="Q39" s="549">
        <v>86</v>
      </c>
      <c r="R39" s="1729">
        <f t="shared" si="21"/>
        <v>480.64516129032262</v>
      </c>
      <c r="S39" s="1729">
        <f t="shared" si="19"/>
        <v>-47.457627118644069</v>
      </c>
      <c r="T39" s="1729">
        <f t="shared" si="19"/>
        <v>-31.395348837209301</v>
      </c>
      <c r="U39" s="1729"/>
      <c r="V39" s="1632"/>
      <c r="W39" s="549" t="s">
        <v>8383</v>
      </c>
      <c r="X39" s="549"/>
      <c r="Y39" s="549"/>
      <c r="Z39" s="1929"/>
      <c r="AA39" s="562"/>
      <c r="AB39" s="986"/>
      <c r="AC39" s="435"/>
      <c r="AD39" s="435"/>
      <c r="AE39" s="435"/>
      <c r="AF39" s="435"/>
      <c r="AG39" s="1632"/>
      <c r="BL39" s="1506" t="s">
        <v>8475</v>
      </c>
      <c r="BM39" s="946"/>
      <c r="BN39" s="946"/>
      <c r="BO39" s="1134"/>
      <c r="BP39" s="1134"/>
      <c r="BQ39" s="1134"/>
      <c r="BR39" s="1134"/>
      <c r="BS39" s="1134"/>
      <c r="BT39" s="1134"/>
      <c r="BU39" s="1134"/>
      <c r="BV39" s="1134"/>
      <c r="BW39" s="1134"/>
      <c r="BX39" s="1134"/>
      <c r="BY39" s="1134"/>
      <c r="BZ39" s="385"/>
      <c r="CA39" s="385"/>
      <c r="CB39" s="385"/>
      <c r="CC39" s="391">
        <v>2019</v>
      </c>
      <c r="CD39" s="463">
        <f>SUM(CE39:CP39)</f>
        <v>23802</v>
      </c>
      <c r="CE39" s="463">
        <v>3442</v>
      </c>
      <c r="CF39" s="463">
        <v>3104</v>
      </c>
      <c r="CG39" s="463">
        <v>3276</v>
      </c>
      <c r="CH39" s="463">
        <v>2182</v>
      </c>
      <c r="CI39" s="463">
        <v>2268</v>
      </c>
      <c r="CJ39" s="463">
        <v>2182</v>
      </c>
      <c r="CK39" s="463">
        <v>2268</v>
      </c>
      <c r="CL39" s="463">
        <v>2268</v>
      </c>
      <c r="CM39" s="463">
        <v>1890</v>
      </c>
      <c r="CN39" s="463">
        <v>922</v>
      </c>
      <c r="CO39" s="463">
        <v>0</v>
      </c>
      <c r="CP39" s="463">
        <v>0</v>
      </c>
      <c r="CQ39" s="385"/>
      <c r="CR39" s="562"/>
      <c r="CS39" s="382" t="s">
        <v>398</v>
      </c>
      <c r="CT39" s="1744">
        <v>3386</v>
      </c>
      <c r="CU39" s="1744">
        <v>2837</v>
      </c>
      <c r="CV39" s="1744">
        <v>2756</v>
      </c>
      <c r="CW39" s="1744">
        <v>2720</v>
      </c>
      <c r="CX39" s="1744">
        <v>26</v>
      </c>
      <c r="CY39" s="1576">
        <v>4</v>
      </c>
      <c r="CZ39" s="1744">
        <v>28</v>
      </c>
      <c r="DA39" s="1744">
        <v>517</v>
      </c>
      <c r="DB39" s="1744">
        <v>82</v>
      </c>
      <c r="DC39" s="1744">
        <v>28</v>
      </c>
      <c r="DF39" s="585" t="s">
        <v>468</v>
      </c>
      <c r="DG39" s="1739">
        <v>1128</v>
      </c>
      <c r="DH39" s="1739">
        <v>167</v>
      </c>
      <c r="DI39" s="1739">
        <v>101</v>
      </c>
      <c r="DJ39" s="1739">
        <v>110</v>
      </c>
      <c r="DK39" s="1739">
        <v>80</v>
      </c>
      <c r="DL39" s="1739">
        <v>58</v>
      </c>
      <c r="DM39" s="1739">
        <v>44</v>
      </c>
      <c r="DN39" s="1739">
        <v>115</v>
      </c>
      <c r="DO39" s="1739">
        <v>86</v>
      </c>
      <c r="DP39" s="1739">
        <v>126</v>
      </c>
      <c r="DQ39" s="1739">
        <v>21</v>
      </c>
      <c r="DR39" s="1739">
        <v>0</v>
      </c>
      <c r="DS39" s="1739">
        <v>0</v>
      </c>
      <c r="DT39" s="1739">
        <v>0</v>
      </c>
      <c r="DU39" s="1739">
        <v>31</v>
      </c>
      <c r="DV39" s="986"/>
      <c r="DX39" s="382" t="s">
        <v>397</v>
      </c>
      <c r="DY39" s="1740">
        <v>13638</v>
      </c>
      <c r="DZ39" s="1740">
        <v>3014</v>
      </c>
      <c r="EA39" s="1740">
        <v>1228</v>
      </c>
      <c r="EB39" s="1740">
        <v>640</v>
      </c>
      <c r="EC39" s="1740">
        <v>357</v>
      </c>
      <c r="ED39" s="1740">
        <v>202</v>
      </c>
      <c r="EE39" s="1740">
        <v>1624</v>
      </c>
      <c r="EH39" s="382" t="s">
        <v>388</v>
      </c>
      <c r="EI39" s="876">
        <v>84193</v>
      </c>
      <c r="EJ39" s="876">
        <v>52897</v>
      </c>
      <c r="EK39" s="1576">
        <v>0</v>
      </c>
      <c r="EL39" s="876">
        <v>1008</v>
      </c>
      <c r="EM39" s="876">
        <v>115</v>
      </c>
      <c r="EN39" s="876">
        <v>108</v>
      </c>
      <c r="EO39" s="876">
        <f>729+1798+131+802</f>
        <v>3460</v>
      </c>
      <c r="EQ39" s="525"/>
      <c r="ER39" s="382" t="s">
        <v>8316</v>
      </c>
      <c r="ES39" s="933">
        <v>29546</v>
      </c>
      <c r="ET39" s="862">
        <v>4519</v>
      </c>
      <c r="EU39" s="862">
        <v>640</v>
      </c>
      <c r="EV39" s="435" t="s">
        <v>546</v>
      </c>
      <c r="EW39" s="862">
        <v>997</v>
      </c>
      <c r="EX39" s="862">
        <v>360</v>
      </c>
      <c r="EY39" s="862">
        <v>41</v>
      </c>
      <c r="EZ39" s="435" t="s">
        <v>546</v>
      </c>
      <c r="FA39" s="862">
        <v>1795</v>
      </c>
      <c r="FB39" s="435" t="s">
        <v>546</v>
      </c>
      <c r="FC39" s="862">
        <v>1087</v>
      </c>
      <c r="FD39" s="525">
        <v>3932</v>
      </c>
      <c r="FE39" s="862">
        <v>1300</v>
      </c>
      <c r="FF39" s="862">
        <v>607</v>
      </c>
      <c r="FG39" s="525">
        <v>4713</v>
      </c>
      <c r="FH39" s="862"/>
      <c r="FI39" s="862"/>
      <c r="FJ39" s="439"/>
      <c r="FK39" s="862"/>
      <c r="FL39" s="862"/>
      <c r="FM39" s="862"/>
      <c r="FN39" s="862"/>
      <c r="FO39" s="862"/>
      <c r="FP39" s="862"/>
      <c r="FQ39" s="862"/>
      <c r="FR39" s="862"/>
      <c r="FS39" s="862"/>
      <c r="FT39" s="862"/>
      <c r="FU39" s="862"/>
      <c r="FW39" s="439"/>
      <c r="FX39" s="463"/>
      <c r="FY39" s="463"/>
      <c r="FZ39" s="463"/>
      <c r="GA39" s="463"/>
      <c r="GB39" s="463"/>
      <c r="GC39" s="463"/>
      <c r="GD39" s="463"/>
      <c r="GE39" s="463"/>
      <c r="GF39" s="463"/>
      <c r="GG39" s="463"/>
      <c r="GH39" s="463"/>
      <c r="GI39" s="463"/>
      <c r="GM39" s="382"/>
      <c r="GN39" s="382"/>
      <c r="GO39" s="382"/>
      <c r="GP39" s="382"/>
      <c r="GQ39" s="382"/>
      <c r="GR39" s="382"/>
      <c r="GS39" s="382"/>
      <c r="GT39" s="382"/>
      <c r="GU39" s="382"/>
      <c r="GV39" s="382"/>
      <c r="GW39" s="382"/>
      <c r="GX39" s="1757"/>
      <c r="GY39" s="1757"/>
      <c r="GZ39" s="1757"/>
      <c r="HA39" s="1757"/>
      <c r="HB39" s="1757"/>
      <c r="HC39" s="1757"/>
      <c r="HD39" s="1757"/>
      <c r="HE39" s="1757"/>
      <c r="HF39" s="1757"/>
      <c r="HG39" s="1757"/>
      <c r="HH39" s="1757"/>
      <c r="HI39" s="1757"/>
      <c r="HJ39" s="473"/>
      <c r="HM39" s="398"/>
      <c r="HN39" s="398"/>
      <c r="HO39" s="398"/>
      <c r="HP39" s="398"/>
      <c r="HQ39" s="398" t="s">
        <v>3348</v>
      </c>
      <c r="HR39" s="2094"/>
      <c r="HS39" s="2094"/>
      <c r="HT39" s="2094"/>
      <c r="HU39" s="2094"/>
      <c r="HV39" s="2094"/>
      <c r="HW39" s="2094"/>
      <c r="HX39" s="2094"/>
      <c r="HY39" s="2094"/>
      <c r="HZ39" s="2094"/>
      <c r="IA39" s="2094"/>
      <c r="IB39" s="382"/>
      <c r="IC39" s="382"/>
      <c r="IH39" s="562"/>
      <c r="II39" s="562"/>
      <c r="IJ39" s="562"/>
      <c r="IK39" s="562"/>
      <c r="IL39" s="562"/>
      <c r="IN39" s="549"/>
      <c r="IO39" s="562"/>
    </row>
    <row r="40" spans="1:249" ht="14.1" customHeight="1">
      <c r="A40" s="562"/>
      <c r="B40" s="562"/>
      <c r="C40" s="562"/>
      <c r="D40" s="562"/>
      <c r="E40" s="562"/>
      <c r="F40" s="562"/>
      <c r="G40" s="562"/>
      <c r="H40" s="562"/>
      <c r="I40" s="562"/>
      <c r="J40" s="875"/>
      <c r="K40" s="875"/>
      <c r="L40" s="1632"/>
      <c r="M40" s="549" t="s">
        <v>1951</v>
      </c>
      <c r="N40" s="562">
        <v>107</v>
      </c>
      <c r="O40" s="549">
        <v>61</v>
      </c>
      <c r="P40" s="549">
        <v>397</v>
      </c>
      <c r="Q40" s="549">
        <v>122</v>
      </c>
      <c r="R40" s="1729">
        <f t="shared" si="21"/>
        <v>75.409836065573771</v>
      </c>
      <c r="S40" s="1729">
        <f t="shared" si="19"/>
        <v>-84.634760705289665</v>
      </c>
      <c r="T40" s="1729">
        <f t="shared" si="19"/>
        <v>225.40983606557376</v>
      </c>
      <c r="U40" s="1729"/>
      <c r="V40" s="1632"/>
      <c r="W40" s="825" t="s">
        <v>8397</v>
      </c>
      <c r="X40" s="825"/>
      <c r="Y40" s="549"/>
      <c r="Z40" s="1929"/>
      <c r="AA40" s="562"/>
      <c r="AB40" s="986"/>
      <c r="AC40" s="435"/>
      <c r="AD40" s="435"/>
      <c r="AE40" s="435"/>
      <c r="AF40" s="435"/>
      <c r="AG40" s="1632"/>
      <c r="BL40" s="571" t="s">
        <v>8476</v>
      </c>
      <c r="BM40" s="1930"/>
      <c r="BN40" s="1930"/>
      <c r="BO40" s="829"/>
      <c r="BP40" s="829"/>
      <c r="BQ40" s="829"/>
      <c r="BR40" s="829"/>
      <c r="BS40" s="829"/>
      <c r="BT40" s="829"/>
      <c r="BU40" s="829"/>
      <c r="BV40" s="829"/>
      <c r="BW40" s="829"/>
      <c r="BX40" s="829"/>
      <c r="BY40" s="829"/>
      <c r="BZ40" s="829"/>
      <c r="CA40" s="385"/>
      <c r="CB40" s="385"/>
      <c r="CC40" s="391">
        <v>2018</v>
      </c>
      <c r="CD40" s="463">
        <f>SUM(CE40:CP40)</f>
        <v>27358</v>
      </c>
      <c r="CE40" s="463">
        <v>2124</v>
      </c>
      <c r="CF40" s="463">
        <v>2176</v>
      </c>
      <c r="CG40" s="463">
        <v>2220</v>
      </c>
      <c r="CH40" s="463">
        <v>2102</v>
      </c>
      <c r="CI40" s="463">
        <v>2006</v>
      </c>
      <c r="CJ40" s="463">
        <v>2124</v>
      </c>
      <c r="CK40" s="463">
        <v>2006</v>
      </c>
      <c r="CL40" s="463">
        <v>2124</v>
      </c>
      <c r="CM40" s="463">
        <v>2006</v>
      </c>
      <c r="CN40" s="463">
        <v>2124</v>
      </c>
      <c r="CO40" s="463">
        <v>3164</v>
      </c>
      <c r="CP40" s="463">
        <v>3182</v>
      </c>
      <c r="CQ40" s="385"/>
      <c r="CR40" s="986"/>
      <c r="CS40" s="382" t="s">
        <v>1967</v>
      </c>
      <c r="CT40" s="1744">
        <v>187756</v>
      </c>
      <c r="CU40" s="1744">
        <v>167547</v>
      </c>
      <c r="CV40" s="1576">
        <v>0</v>
      </c>
      <c r="CW40" s="1576">
        <v>0</v>
      </c>
      <c r="CX40" s="1576">
        <v>0</v>
      </c>
      <c r="CY40" s="1576">
        <v>0</v>
      </c>
      <c r="CZ40" s="1576">
        <v>0</v>
      </c>
      <c r="DA40" s="1744">
        <v>316</v>
      </c>
      <c r="DB40" s="1744">
        <v>187737</v>
      </c>
      <c r="DC40" s="1744">
        <v>19859</v>
      </c>
      <c r="DF40" s="585" t="s">
        <v>485</v>
      </c>
      <c r="DG40" s="1739">
        <f>SUM(DH40:DU40)</f>
        <v>0</v>
      </c>
      <c r="DH40" s="1739">
        <v>0</v>
      </c>
      <c r="DI40" s="1739">
        <v>0</v>
      </c>
      <c r="DJ40" s="1739">
        <v>0</v>
      </c>
      <c r="DK40" s="1739">
        <v>0</v>
      </c>
      <c r="DL40" s="1739">
        <v>0</v>
      </c>
      <c r="DM40" s="1739">
        <v>0</v>
      </c>
      <c r="DN40" s="1739">
        <v>0</v>
      </c>
      <c r="DO40" s="1739">
        <v>0</v>
      </c>
      <c r="DP40" s="1739">
        <v>0</v>
      </c>
      <c r="DQ40" s="1739">
        <v>0</v>
      </c>
      <c r="DR40" s="1739">
        <v>0</v>
      </c>
      <c r="DS40" s="1739">
        <v>0</v>
      </c>
      <c r="DT40" s="1739">
        <v>0</v>
      </c>
      <c r="DU40" s="1739">
        <v>0</v>
      </c>
      <c r="DV40" s="986"/>
      <c r="DX40" s="382" t="s">
        <v>8396</v>
      </c>
      <c r="DY40" s="1740">
        <v>1128</v>
      </c>
      <c r="DZ40" s="1740">
        <v>471</v>
      </c>
      <c r="EA40" s="1740">
        <v>212</v>
      </c>
      <c r="EB40" s="1740">
        <v>61</v>
      </c>
      <c r="EC40" s="1740">
        <v>32</v>
      </c>
      <c r="ED40" s="1740">
        <v>19</v>
      </c>
      <c r="EE40" s="1740">
        <v>125</v>
      </c>
      <c r="EH40" s="382" t="s">
        <v>8316</v>
      </c>
      <c r="EI40" s="876">
        <f>13160+12993+2894+707</f>
        <v>29754</v>
      </c>
      <c r="EJ40" s="876">
        <f>8266+8034+1823+426</f>
        <v>18549</v>
      </c>
      <c r="EK40" s="1576">
        <v>0</v>
      </c>
      <c r="EL40" s="876">
        <f>204+151+35+5</f>
        <v>395</v>
      </c>
      <c r="EM40" s="876">
        <f>13+11</f>
        <v>24</v>
      </c>
      <c r="EN40" s="876">
        <v>26</v>
      </c>
      <c r="EO40" s="876">
        <f>127+139+24+5+287+264+16+63+29+28+3+147+121+29+4</f>
        <v>1286</v>
      </c>
      <c r="EQ40" s="525"/>
      <c r="ER40" s="382" t="s">
        <v>397</v>
      </c>
      <c r="ES40" s="933">
        <v>13638</v>
      </c>
      <c r="ET40" s="862">
        <v>4015</v>
      </c>
      <c r="EU40" s="862">
        <v>185</v>
      </c>
      <c r="EV40" s="435" t="s">
        <v>546</v>
      </c>
      <c r="EW40" s="862">
        <v>265</v>
      </c>
      <c r="EX40" s="862">
        <v>15</v>
      </c>
      <c r="EY40" s="862">
        <v>11</v>
      </c>
      <c r="EZ40" s="435" t="s">
        <v>546</v>
      </c>
      <c r="FA40" s="862">
        <v>453</v>
      </c>
      <c r="FB40" s="435" t="s">
        <v>546</v>
      </c>
      <c r="FC40" s="862">
        <v>216</v>
      </c>
      <c r="FD40" s="525">
        <v>607</v>
      </c>
      <c r="FE40" s="862">
        <v>130</v>
      </c>
      <c r="FF40" s="862">
        <v>190</v>
      </c>
      <c r="FG40" s="525">
        <v>1343</v>
      </c>
      <c r="FH40" s="862"/>
      <c r="FI40" s="862"/>
      <c r="FJ40" s="862"/>
      <c r="FK40" s="862"/>
      <c r="FL40" s="862"/>
      <c r="FM40" s="862"/>
      <c r="FN40" s="862"/>
      <c r="FO40" s="862"/>
      <c r="FP40" s="862"/>
      <c r="FQ40" s="862"/>
      <c r="FR40" s="862"/>
      <c r="FS40" s="862"/>
      <c r="FT40" s="862"/>
      <c r="FU40" s="862"/>
      <c r="FW40" s="439"/>
      <c r="FX40" s="463"/>
      <c r="FY40" s="463"/>
      <c r="FZ40" s="463"/>
      <c r="GA40" s="463"/>
      <c r="GB40" s="463"/>
      <c r="GC40" s="463"/>
      <c r="GD40" s="463"/>
      <c r="GE40" s="463"/>
      <c r="GF40" s="463"/>
      <c r="GG40" s="463"/>
      <c r="GH40" s="463"/>
      <c r="GI40" s="463"/>
      <c r="GM40" s="382"/>
      <c r="GN40" s="382"/>
      <c r="GO40" s="382"/>
      <c r="GP40" s="382"/>
      <c r="GQ40" s="382"/>
      <c r="GR40" s="382"/>
      <c r="GS40" s="382"/>
      <c r="GT40" s="382"/>
      <c r="GU40" s="382"/>
      <c r="GV40" s="382"/>
      <c r="GW40" s="382"/>
      <c r="GX40" s="1757"/>
      <c r="GY40" s="1757"/>
      <c r="GZ40" s="1757"/>
      <c r="HA40" s="1757"/>
      <c r="HB40" s="1757"/>
      <c r="HC40" s="1757"/>
      <c r="HD40" s="1757"/>
      <c r="HE40" s="1757"/>
      <c r="HF40" s="1757"/>
      <c r="HG40" s="1757"/>
      <c r="HH40" s="1757"/>
      <c r="HI40" s="1757"/>
      <c r="HJ40" s="473"/>
      <c r="HM40" s="398"/>
      <c r="HN40" s="398"/>
      <c r="HO40" s="398"/>
      <c r="HP40" s="398"/>
      <c r="HQ40" s="398"/>
      <c r="HR40" s="402"/>
      <c r="HS40" s="402"/>
      <c r="HT40" s="439"/>
      <c r="HU40" s="439"/>
      <c r="HV40" s="439"/>
      <c r="HW40" s="439"/>
      <c r="HX40" s="439"/>
      <c r="HY40" s="439"/>
      <c r="HZ40" s="439"/>
      <c r="IA40" s="439"/>
      <c r="IB40" s="382"/>
      <c r="IC40" s="382"/>
      <c r="ID40" s="549"/>
      <c r="IE40" s="549"/>
      <c r="IF40" s="549"/>
      <c r="IH40" s="562"/>
      <c r="II40" s="562"/>
      <c r="IJ40" s="562"/>
      <c r="IK40" s="562"/>
      <c r="IL40" s="562"/>
      <c r="IN40" s="549"/>
      <c r="IO40" s="562"/>
    </row>
    <row r="41" spans="1:249" ht="14.1" customHeight="1">
      <c r="A41" s="562"/>
      <c r="B41" s="562"/>
      <c r="C41" s="562"/>
      <c r="D41" s="562"/>
      <c r="E41" s="562"/>
      <c r="F41" s="562"/>
      <c r="G41" s="562"/>
      <c r="H41" s="562"/>
      <c r="I41" s="562"/>
      <c r="J41" s="875"/>
      <c r="K41" s="875"/>
      <c r="L41" s="562"/>
      <c r="M41" s="549" t="s">
        <v>1952</v>
      </c>
      <c r="N41" s="562">
        <v>372</v>
      </c>
      <c r="O41" s="549">
        <v>43</v>
      </c>
      <c r="P41" s="549">
        <v>25</v>
      </c>
      <c r="Q41" s="549">
        <v>70</v>
      </c>
      <c r="R41" s="1729">
        <f t="shared" si="21"/>
        <v>765.11627906976742</v>
      </c>
      <c r="S41" s="1729">
        <f t="shared" si="19"/>
        <v>72</v>
      </c>
      <c r="T41" s="1729">
        <f t="shared" si="19"/>
        <v>-64.285714285714292</v>
      </c>
      <c r="U41" s="1729"/>
      <c r="V41" s="1632"/>
      <c r="W41" s="549" t="s">
        <v>8399</v>
      </c>
      <c r="X41" s="549"/>
      <c r="Y41" s="825"/>
      <c r="Z41" s="549"/>
      <c r="AA41" s="549"/>
      <c r="AB41" s="549"/>
      <c r="AC41" s="382"/>
      <c r="AD41" s="382"/>
      <c r="AE41" s="463"/>
      <c r="AF41" s="463"/>
      <c r="AG41" s="1632"/>
      <c r="BL41" s="571" t="s">
        <v>8477</v>
      </c>
      <c r="BM41" s="1930"/>
      <c r="BN41" s="1930"/>
      <c r="BO41" s="829"/>
      <c r="BP41" s="829"/>
      <c r="BQ41" s="829"/>
      <c r="BR41" s="829"/>
      <c r="BS41" s="829"/>
      <c r="BT41" s="829"/>
      <c r="BU41" s="829"/>
      <c r="BV41" s="829"/>
      <c r="BW41" s="829"/>
      <c r="BX41" s="829"/>
      <c r="BY41" s="829"/>
      <c r="BZ41" s="829"/>
      <c r="CA41" s="385"/>
      <c r="CB41" s="385"/>
      <c r="CC41" s="391">
        <v>2017</v>
      </c>
      <c r="CD41" s="463">
        <f>SUM(CE41:CP41)</f>
        <v>43252</v>
      </c>
      <c r="CE41" s="463">
        <v>5726</v>
      </c>
      <c r="CF41" s="463">
        <v>5152</v>
      </c>
      <c r="CG41" s="463">
        <v>5520</v>
      </c>
      <c r="CH41" s="463">
        <v>4598</v>
      </c>
      <c r="CI41" s="463">
        <v>4836</v>
      </c>
      <c r="CJ41" s="463">
        <v>3686</v>
      </c>
      <c r="CK41" s="463">
        <v>2556</v>
      </c>
      <c r="CL41" s="463">
        <v>2342</v>
      </c>
      <c r="CM41" s="463">
        <v>2316</v>
      </c>
      <c r="CN41" s="463">
        <v>2294</v>
      </c>
      <c r="CO41" s="463">
        <v>2102</v>
      </c>
      <c r="CP41" s="463">
        <v>2124</v>
      </c>
      <c r="CQ41" s="385"/>
      <c r="CR41" s="549"/>
      <c r="CS41" s="382" t="s">
        <v>388</v>
      </c>
      <c r="CT41" s="1744">
        <v>137025</v>
      </c>
      <c r="CU41" s="1744">
        <v>91117</v>
      </c>
      <c r="CV41" s="1744">
        <v>83639</v>
      </c>
      <c r="CW41" s="1744">
        <v>81117</v>
      </c>
      <c r="CX41" s="1744">
        <v>1247</v>
      </c>
      <c r="CY41" s="1576">
        <v>2303</v>
      </c>
      <c r="CZ41" s="1744">
        <v>1459</v>
      </c>
      <c r="DA41" s="1744">
        <v>35008</v>
      </c>
      <c r="DB41" s="1744">
        <v>7536</v>
      </c>
      <c r="DC41" s="1744">
        <v>8593</v>
      </c>
      <c r="DF41" s="585" t="s">
        <v>8401</v>
      </c>
      <c r="DG41" s="1739">
        <v>1618</v>
      </c>
      <c r="DH41" s="1739">
        <v>163</v>
      </c>
      <c r="DI41" s="1739">
        <v>165</v>
      </c>
      <c r="DJ41" s="1739">
        <v>100</v>
      </c>
      <c r="DK41" s="1739">
        <v>105</v>
      </c>
      <c r="DL41" s="1739">
        <v>83</v>
      </c>
      <c r="DM41" s="1739">
        <v>88</v>
      </c>
      <c r="DN41" s="1739">
        <v>149</v>
      </c>
      <c r="DO41" s="1739">
        <v>106</v>
      </c>
      <c r="DP41" s="1739">
        <v>166</v>
      </c>
      <c r="DQ41" s="1739">
        <v>59</v>
      </c>
      <c r="DR41" s="1739">
        <v>0</v>
      </c>
      <c r="DS41" s="1739">
        <v>0</v>
      </c>
      <c r="DT41" s="1739">
        <v>0</v>
      </c>
      <c r="DU41" s="1739">
        <v>51</v>
      </c>
      <c r="DV41" s="986"/>
      <c r="DX41" s="382" t="s">
        <v>485</v>
      </c>
      <c r="DY41" s="1740">
        <v>0</v>
      </c>
      <c r="DZ41" s="1740">
        <v>0</v>
      </c>
      <c r="EA41" s="1740">
        <v>0</v>
      </c>
      <c r="EB41" s="1740">
        <v>0</v>
      </c>
      <c r="EC41" s="1740">
        <v>0</v>
      </c>
      <c r="ED41" s="1740">
        <v>0</v>
      </c>
      <c r="EE41" s="1740">
        <v>0</v>
      </c>
      <c r="EH41" s="382" t="s">
        <v>397</v>
      </c>
      <c r="EI41" s="876">
        <v>13720</v>
      </c>
      <c r="EJ41" s="876">
        <v>8592</v>
      </c>
      <c r="EK41" s="1576">
        <v>0</v>
      </c>
      <c r="EL41" s="876">
        <v>174</v>
      </c>
      <c r="EM41" s="876">
        <v>8</v>
      </c>
      <c r="EN41" s="876">
        <v>11</v>
      </c>
      <c r="EO41" s="876">
        <f>111+280+34+126</f>
        <v>551</v>
      </c>
      <c r="EQ41" s="525"/>
      <c r="ER41" s="382" t="s">
        <v>8396</v>
      </c>
      <c r="ES41" s="933">
        <v>1128</v>
      </c>
      <c r="ET41" s="862">
        <v>181</v>
      </c>
      <c r="EU41" s="862">
        <v>59</v>
      </c>
      <c r="EV41" s="435" t="s">
        <v>546</v>
      </c>
      <c r="EW41" s="862">
        <v>49</v>
      </c>
      <c r="EX41" s="862">
        <v>1</v>
      </c>
      <c r="EY41" s="862">
        <v>2</v>
      </c>
      <c r="EZ41" s="435" t="s">
        <v>546</v>
      </c>
      <c r="FA41" s="862">
        <v>31</v>
      </c>
      <c r="FB41" s="435" t="s">
        <v>546</v>
      </c>
      <c r="FC41" s="435">
        <v>1</v>
      </c>
      <c r="FD41" s="525">
        <v>212</v>
      </c>
      <c r="FE41" s="862">
        <v>234</v>
      </c>
      <c r="FF41" s="435">
        <v>64</v>
      </c>
      <c r="FG41" s="525">
        <v>81</v>
      </c>
      <c r="FH41" s="862"/>
      <c r="FI41" s="862"/>
      <c r="FJ41" s="862"/>
      <c r="FK41" s="862"/>
      <c r="FL41" s="862"/>
      <c r="FM41" s="862"/>
      <c r="FN41" s="862"/>
      <c r="FO41" s="862"/>
      <c r="FP41" s="862"/>
      <c r="FQ41" s="862"/>
      <c r="FR41" s="862"/>
      <c r="FS41" s="862"/>
      <c r="FT41" s="862"/>
      <c r="FU41" s="862"/>
      <c r="FW41" s="439"/>
      <c r="FX41" s="463"/>
      <c r="FY41" s="463"/>
      <c r="FZ41" s="463"/>
      <c r="GA41" s="463"/>
      <c r="GB41" s="463"/>
      <c r="GC41" s="463"/>
      <c r="GD41" s="463"/>
      <c r="GE41" s="463"/>
      <c r="GF41" s="463"/>
      <c r="GG41" s="463"/>
      <c r="GH41" s="463"/>
      <c r="GI41" s="463"/>
      <c r="GM41" s="382"/>
      <c r="GN41" s="382"/>
      <c r="GO41" s="382"/>
      <c r="GP41" s="382"/>
      <c r="GQ41" s="382"/>
      <c r="GR41" s="382"/>
      <c r="GS41" s="382"/>
      <c r="GT41" s="382"/>
      <c r="GU41" s="382"/>
      <c r="GV41" s="382"/>
      <c r="GW41" s="382"/>
      <c r="GX41" s="1757"/>
      <c r="GY41" s="1757"/>
      <c r="GZ41" s="1757"/>
      <c r="HA41" s="1757"/>
      <c r="HB41" s="1757"/>
      <c r="HC41" s="1757"/>
      <c r="HD41" s="1757"/>
      <c r="HE41" s="1757"/>
      <c r="HF41" s="1757"/>
      <c r="HG41" s="1757"/>
      <c r="HH41" s="1757"/>
      <c r="HI41" s="1757"/>
      <c r="HJ41" s="473"/>
      <c r="HM41" s="398"/>
      <c r="HN41" s="398"/>
      <c r="HO41" s="398"/>
      <c r="HP41" s="398"/>
      <c r="HQ41" s="398"/>
      <c r="HR41" s="515"/>
      <c r="HS41" s="515"/>
      <c r="HT41" s="515"/>
      <c r="HU41" s="515"/>
      <c r="HV41" s="515"/>
      <c r="HW41" s="515"/>
      <c r="HX41" s="515"/>
      <c r="HY41" s="515"/>
      <c r="HZ41" s="515"/>
      <c r="IA41" s="515"/>
      <c r="IB41" s="382"/>
      <c r="IC41" s="382"/>
      <c r="IH41" s="562"/>
      <c r="II41" s="562"/>
      <c r="IJ41" s="562"/>
      <c r="IK41" s="562"/>
      <c r="IL41" s="562"/>
      <c r="IN41" s="549"/>
      <c r="IO41" s="562"/>
    </row>
    <row r="42" spans="1:249" ht="14.1" customHeight="1">
      <c r="A42" s="562"/>
      <c r="B42" s="562"/>
      <c r="C42" s="562"/>
      <c r="D42" s="562"/>
      <c r="E42" s="562"/>
      <c r="F42" s="562"/>
      <c r="G42" s="562"/>
      <c r="H42" s="562"/>
      <c r="I42" s="562"/>
      <c r="J42" s="875"/>
      <c r="K42" s="875"/>
      <c r="L42" s="1632"/>
      <c r="M42" s="549" t="s">
        <v>1953</v>
      </c>
      <c r="N42" s="562">
        <v>61</v>
      </c>
      <c r="O42" s="549">
        <v>50</v>
      </c>
      <c r="P42" s="549">
        <v>15</v>
      </c>
      <c r="Q42" s="549">
        <v>42</v>
      </c>
      <c r="R42" s="1729">
        <f t="shared" si="21"/>
        <v>22</v>
      </c>
      <c r="S42" s="1729">
        <f t="shared" si="19"/>
        <v>233.33333333333334</v>
      </c>
      <c r="T42" s="1729">
        <f t="shared" si="19"/>
        <v>-64.285714285714292</v>
      </c>
      <c r="U42" s="1729"/>
      <c r="V42" s="1632"/>
      <c r="AG42" s="1632"/>
      <c r="AQ42" s="1709"/>
      <c r="AR42" s="1709"/>
      <c r="AS42" s="1709"/>
      <c r="AT42" s="1709"/>
      <c r="AU42" s="1709"/>
      <c r="AV42" s="1709"/>
      <c r="AW42" s="1709"/>
      <c r="AX42" s="1709"/>
      <c r="AY42" s="1709"/>
      <c r="BL42" s="571" t="s">
        <v>8478</v>
      </c>
      <c r="BM42" s="549"/>
      <c r="BN42" s="549"/>
      <c r="BZ42" s="385"/>
      <c r="CA42" s="385"/>
      <c r="CB42" s="385"/>
      <c r="CC42" s="391">
        <v>2016</v>
      </c>
      <c r="CD42" s="463">
        <f>SUM(CE42:CP42)</f>
        <v>35998</v>
      </c>
      <c r="CE42" s="463">
        <v>2988</v>
      </c>
      <c r="CF42" s="463">
        <v>2822</v>
      </c>
      <c r="CG42" s="463">
        <v>2774</v>
      </c>
      <c r="CH42" s="463">
        <v>2988</v>
      </c>
      <c r="CI42" s="463">
        <v>2986</v>
      </c>
      <c r="CJ42" s="463">
        <v>2822</v>
      </c>
      <c r="CK42" s="463">
        <v>2988</v>
      </c>
      <c r="CL42" s="463">
        <v>2892</v>
      </c>
      <c r="CM42" s="463">
        <v>2822</v>
      </c>
      <c r="CN42" s="463">
        <v>2988</v>
      </c>
      <c r="CO42" s="463">
        <v>2752</v>
      </c>
      <c r="CP42" s="463">
        <v>4176</v>
      </c>
      <c r="CQ42" s="385"/>
      <c r="CR42" s="549"/>
      <c r="CS42" s="382" t="s">
        <v>2818</v>
      </c>
      <c r="CT42" s="1576" t="s">
        <v>546</v>
      </c>
      <c r="CU42" s="1576" t="s">
        <v>546</v>
      </c>
      <c r="CV42" s="1576" t="s">
        <v>546</v>
      </c>
      <c r="CW42" s="1576" t="s">
        <v>546</v>
      </c>
      <c r="CX42" s="1576" t="s">
        <v>546</v>
      </c>
      <c r="CY42" s="1576" t="s">
        <v>546</v>
      </c>
      <c r="CZ42" s="1576" t="s">
        <v>546</v>
      </c>
      <c r="DA42" s="1576" t="s">
        <v>546</v>
      </c>
      <c r="DB42" s="1576" t="s">
        <v>546</v>
      </c>
      <c r="DC42" s="1576" t="s">
        <v>546</v>
      </c>
      <c r="DF42" s="585" t="s">
        <v>393</v>
      </c>
      <c r="DG42" s="1739">
        <v>818</v>
      </c>
      <c r="DH42" s="1739">
        <v>29</v>
      </c>
      <c r="DI42" s="1739">
        <v>53</v>
      </c>
      <c r="DJ42" s="1739">
        <v>113</v>
      </c>
      <c r="DK42" s="1739">
        <v>113</v>
      </c>
      <c r="DL42" s="1739">
        <v>99</v>
      </c>
      <c r="DM42" s="1739">
        <v>96</v>
      </c>
      <c r="DN42" s="1739">
        <v>124</v>
      </c>
      <c r="DO42" s="1739">
        <v>23</v>
      </c>
      <c r="DP42" s="1739">
        <v>16</v>
      </c>
      <c r="DQ42" s="1739">
        <v>6</v>
      </c>
      <c r="DR42" s="1739">
        <v>2</v>
      </c>
      <c r="DS42" s="1739">
        <v>0</v>
      </c>
      <c r="DT42" s="1739">
        <v>0</v>
      </c>
      <c r="DU42" s="1739">
        <v>13</v>
      </c>
      <c r="DV42" s="986"/>
      <c r="DX42" s="382" t="s">
        <v>8401</v>
      </c>
      <c r="DY42" s="1740">
        <v>1618</v>
      </c>
      <c r="DZ42" s="1740">
        <v>812</v>
      </c>
      <c r="EA42" s="1740">
        <v>188</v>
      </c>
      <c r="EB42" s="1740">
        <v>61</v>
      </c>
      <c r="EC42" s="1740">
        <v>31</v>
      </c>
      <c r="ED42" s="1740">
        <v>7</v>
      </c>
      <c r="EE42" s="1740">
        <v>138</v>
      </c>
      <c r="EH42" s="382" t="s">
        <v>468</v>
      </c>
      <c r="EI42" s="876">
        <v>1142</v>
      </c>
      <c r="EJ42" s="876">
        <v>731</v>
      </c>
      <c r="EK42" s="1576">
        <v>0</v>
      </c>
      <c r="EL42" s="876">
        <v>16</v>
      </c>
      <c r="EM42" s="876">
        <v>20</v>
      </c>
      <c r="EN42" s="876">
        <v>0</v>
      </c>
      <c r="EO42" s="876">
        <f>12+13+2+11</f>
        <v>38</v>
      </c>
      <c r="EQ42" s="525"/>
      <c r="ER42" s="382" t="s">
        <v>485</v>
      </c>
      <c r="ES42" s="933">
        <v>0</v>
      </c>
      <c r="ET42" s="933">
        <v>0</v>
      </c>
      <c r="EU42" s="933">
        <v>0</v>
      </c>
      <c r="EV42" s="435" t="s">
        <v>546</v>
      </c>
      <c r="EW42" s="933">
        <v>0</v>
      </c>
      <c r="EX42" s="933">
        <v>0</v>
      </c>
      <c r="EY42" s="933">
        <v>0</v>
      </c>
      <c r="EZ42" s="435" t="s">
        <v>546</v>
      </c>
      <c r="FA42" s="933">
        <v>0</v>
      </c>
      <c r="FB42" s="435" t="s">
        <v>546</v>
      </c>
      <c r="FC42" s="933">
        <v>0</v>
      </c>
      <c r="FD42" s="933">
        <v>0</v>
      </c>
      <c r="FE42" s="933">
        <v>0</v>
      </c>
      <c r="FF42" s="933">
        <v>0</v>
      </c>
      <c r="FG42" s="933">
        <v>0</v>
      </c>
      <c r="FH42" s="862"/>
      <c r="FI42" s="862"/>
      <c r="FJ42" s="862"/>
      <c r="FK42" s="862"/>
      <c r="FL42" s="862"/>
      <c r="FM42" s="862"/>
      <c r="FN42" s="862"/>
      <c r="FO42" s="862"/>
      <c r="FP42" s="862"/>
      <c r="FQ42" s="862"/>
      <c r="FR42" s="862"/>
      <c r="FS42" s="862"/>
      <c r="FT42" s="862"/>
      <c r="FU42" s="862"/>
      <c r="FW42" s="382"/>
      <c r="FX42" s="382"/>
      <c r="FY42" s="382"/>
      <c r="FZ42" s="382"/>
      <c r="GA42" s="382"/>
      <c r="GB42" s="382"/>
      <c r="GC42" s="382"/>
      <c r="GD42" s="382"/>
      <c r="GE42" s="382"/>
      <c r="GF42" s="382"/>
      <c r="GG42" s="382"/>
      <c r="GH42" s="382"/>
      <c r="GI42" s="382"/>
      <c r="GM42" s="382"/>
      <c r="GN42" s="382"/>
      <c r="GO42" s="382"/>
      <c r="GP42" s="382"/>
      <c r="GQ42" s="382"/>
      <c r="GR42" s="382"/>
      <c r="GS42" s="382"/>
      <c r="GT42" s="382"/>
      <c r="GU42" s="382"/>
      <c r="GV42" s="382"/>
      <c r="GW42" s="382"/>
      <c r="GX42" s="1622"/>
      <c r="GY42" s="1622"/>
      <c r="GZ42" s="1622"/>
      <c r="HA42" s="1622"/>
      <c r="HB42" s="1622"/>
      <c r="HC42" s="1622"/>
      <c r="HD42" s="1622"/>
      <c r="HE42" s="1622"/>
      <c r="HF42" s="1622"/>
      <c r="HG42" s="1622"/>
      <c r="HH42" s="1622"/>
      <c r="HI42" s="1622"/>
      <c r="HJ42" s="1622"/>
      <c r="HM42" s="398"/>
      <c r="HN42" s="398"/>
      <c r="HO42" s="398"/>
      <c r="HP42" s="398"/>
      <c r="HQ42" s="398"/>
      <c r="HR42" s="515"/>
      <c r="HS42" s="515"/>
      <c r="HT42" s="515"/>
      <c r="HU42" s="515"/>
      <c r="HV42" s="515"/>
      <c r="HW42" s="515"/>
      <c r="HX42" s="515"/>
      <c r="HY42" s="515"/>
      <c r="HZ42" s="515"/>
      <c r="IA42" s="515"/>
      <c r="IH42" s="562"/>
      <c r="II42" s="562"/>
      <c r="IJ42" s="562"/>
      <c r="IK42" s="562"/>
      <c r="IL42" s="562"/>
      <c r="IN42" s="549"/>
      <c r="IO42" s="562"/>
    </row>
    <row r="43" spans="1:249" ht="14.1" customHeight="1">
      <c r="A43" s="562"/>
      <c r="B43" s="562"/>
      <c r="C43" s="562"/>
      <c r="D43" s="562"/>
      <c r="E43" s="562"/>
      <c r="F43" s="562"/>
      <c r="G43" s="562"/>
      <c r="H43" s="562"/>
      <c r="I43" s="562"/>
      <c r="J43" s="875"/>
      <c r="K43" s="875"/>
      <c r="L43" s="1632"/>
      <c r="M43" s="549" t="s">
        <v>8404</v>
      </c>
      <c r="N43" s="562">
        <v>86</v>
      </c>
      <c r="O43" s="549">
        <v>74</v>
      </c>
      <c r="P43" s="549">
        <v>21</v>
      </c>
      <c r="Q43" s="549">
        <v>183</v>
      </c>
      <c r="R43" s="1729">
        <f t="shared" si="21"/>
        <v>16.216216216216218</v>
      </c>
      <c r="S43" s="1729">
        <f t="shared" si="19"/>
        <v>252.38095238095238</v>
      </c>
      <c r="T43" s="1729">
        <f t="shared" si="19"/>
        <v>-88.52459016393442</v>
      </c>
      <c r="U43" s="1729"/>
      <c r="V43" s="1632"/>
      <c r="AG43" s="1632"/>
      <c r="AQ43" s="398"/>
      <c r="AR43" s="398"/>
      <c r="AS43" s="398"/>
      <c r="AT43" s="398"/>
      <c r="AU43" s="398"/>
      <c r="AV43" s="398"/>
      <c r="AW43" s="398"/>
      <c r="AX43" s="398"/>
      <c r="AY43" s="398"/>
      <c r="BL43" s="571" t="s">
        <v>8479</v>
      </c>
      <c r="BM43" s="549"/>
      <c r="BN43" s="549"/>
      <c r="BP43" s="382"/>
      <c r="BZ43" s="385"/>
      <c r="CA43" s="385"/>
      <c r="CB43" s="385"/>
      <c r="CC43" s="391">
        <v>2015</v>
      </c>
      <c r="CD43" s="463">
        <f>SUM(CE43:CP43)</f>
        <v>31756</v>
      </c>
      <c r="CE43" s="1931">
        <v>2691</v>
      </c>
      <c r="CF43" s="1931">
        <v>2332</v>
      </c>
      <c r="CG43" s="1931">
        <v>2117</v>
      </c>
      <c r="CH43" s="1931">
        <v>2598</v>
      </c>
      <c r="CI43" s="1931">
        <v>2753</v>
      </c>
      <c r="CJ43" s="1931">
        <v>2635</v>
      </c>
      <c r="CK43" s="1931">
        <v>2790</v>
      </c>
      <c r="CL43" s="1931">
        <v>2494</v>
      </c>
      <c r="CM43" s="1931">
        <v>2598</v>
      </c>
      <c r="CN43" s="1931">
        <v>2988</v>
      </c>
      <c r="CO43" s="1931">
        <v>2938</v>
      </c>
      <c r="CP43" s="1931">
        <v>2822</v>
      </c>
      <c r="CQ43" s="385"/>
      <c r="CR43" s="549"/>
      <c r="CS43" s="382" t="s">
        <v>473</v>
      </c>
      <c r="CT43" s="1744">
        <v>24528</v>
      </c>
      <c r="CU43" s="1744">
        <v>13538</v>
      </c>
      <c r="CV43" s="1744">
        <v>13063</v>
      </c>
      <c r="CW43" s="1744">
        <v>12137</v>
      </c>
      <c r="CX43" s="1744">
        <v>555</v>
      </c>
      <c r="CY43" s="1744">
        <v>41</v>
      </c>
      <c r="CZ43" s="1744">
        <v>601</v>
      </c>
      <c r="DA43" s="1744">
        <v>8933</v>
      </c>
      <c r="DB43" s="1744">
        <v>486</v>
      </c>
      <c r="DC43" s="1744">
        <v>2016</v>
      </c>
      <c r="DF43" s="585" t="s">
        <v>467</v>
      </c>
      <c r="DG43" s="1739">
        <f>SUM(DH43:DU43)</f>
        <v>0</v>
      </c>
      <c r="DH43" s="1739">
        <v>0</v>
      </c>
      <c r="DI43" s="1739">
        <v>0</v>
      </c>
      <c r="DJ43" s="1739">
        <v>0</v>
      </c>
      <c r="DK43" s="1739">
        <v>0</v>
      </c>
      <c r="DL43" s="1739">
        <v>0</v>
      </c>
      <c r="DM43" s="1739">
        <v>0</v>
      </c>
      <c r="DN43" s="1739">
        <v>0</v>
      </c>
      <c r="DO43" s="1739">
        <v>0</v>
      </c>
      <c r="DP43" s="1739">
        <v>0</v>
      </c>
      <c r="DQ43" s="1739">
        <v>0</v>
      </c>
      <c r="DR43" s="1739">
        <v>0</v>
      </c>
      <c r="DS43" s="1739">
        <v>0</v>
      </c>
      <c r="DT43" s="1739">
        <v>0</v>
      </c>
      <c r="DU43" s="1739">
        <v>0</v>
      </c>
      <c r="DV43" s="986"/>
      <c r="DX43" s="382" t="s">
        <v>8407</v>
      </c>
      <c r="DY43" s="1740">
        <v>818</v>
      </c>
      <c r="DZ43" s="1740">
        <v>403</v>
      </c>
      <c r="EA43" s="1740">
        <v>86</v>
      </c>
      <c r="EB43" s="1740">
        <v>36</v>
      </c>
      <c r="EC43" s="1740">
        <v>16</v>
      </c>
      <c r="ED43" s="1740">
        <v>17</v>
      </c>
      <c r="EE43" s="1740">
        <v>124</v>
      </c>
      <c r="EH43" s="382" t="s">
        <v>485</v>
      </c>
      <c r="EI43" s="876">
        <v>0</v>
      </c>
      <c r="EJ43" s="876">
        <v>0</v>
      </c>
      <c r="EK43" s="1739">
        <v>0</v>
      </c>
      <c r="EL43" s="876">
        <v>0</v>
      </c>
      <c r="EM43" s="876">
        <v>0</v>
      </c>
      <c r="EN43" s="876">
        <v>0</v>
      </c>
      <c r="EO43" s="876">
        <v>0</v>
      </c>
      <c r="EQ43" s="525"/>
      <c r="ER43" s="382" t="s">
        <v>8401</v>
      </c>
      <c r="ES43" s="933">
        <v>1618</v>
      </c>
      <c r="ET43" s="933">
        <v>669</v>
      </c>
      <c r="EU43" s="933">
        <v>42</v>
      </c>
      <c r="EV43" s="435" t="s">
        <v>546</v>
      </c>
      <c r="EW43" s="933">
        <v>31</v>
      </c>
      <c r="EX43" s="933">
        <v>4</v>
      </c>
      <c r="EY43" s="933">
        <v>0</v>
      </c>
      <c r="EZ43" s="435" t="s">
        <v>546</v>
      </c>
      <c r="FA43" s="933">
        <v>105</v>
      </c>
      <c r="FB43" s="435" t="s">
        <v>546</v>
      </c>
      <c r="FC43" s="933">
        <v>0</v>
      </c>
      <c r="FD43" s="933">
        <v>102</v>
      </c>
      <c r="FE43" s="933">
        <v>118</v>
      </c>
      <c r="FF43" s="933">
        <v>39</v>
      </c>
      <c r="FG43" s="933">
        <v>106</v>
      </c>
      <c r="FH43" s="862"/>
      <c r="FI43" s="862"/>
      <c r="FJ43" s="862"/>
      <c r="FK43" s="862"/>
      <c r="FL43" s="862"/>
      <c r="FM43" s="862"/>
      <c r="FN43" s="862"/>
      <c r="FO43" s="862"/>
      <c r="FP43" s="862"/>
      <c r="FQ43" s="862"/>
      <c r="FR43" s="862"/>
      <c r="FS43" s="862"/>
      <c r="FT43" s="862"/>
      <c r="FU43" s="862"/>
      <c r="FW43" s="439"/>
      <c r="FX43" s="382"/>
      <c r="FY43" s="382"/>
      <c r="FZ43" s="382"/>
      <c r="GA43" s="382"/>
      <c r="GB43" s="382"/>
      <c r="GC43" s="382"/>
      <c r="GD43" s="382"/>
      <c r="GE43" s="382"/>
      <c r="GF43" s="382"/>
      <c r="GG43" s="382"/>
      <c r="GH43" s="382"/>
      <c r="GI43" s="382"/>
      <c r="GM43" s="451"/>
      <c r="GN43" s="451"/>
      <c r="GO43" s="451"/>
      <c r="GP43" s="451"/>
      <c r="GQ43" s="451"/>
      <c r="GR43" s="451"/>
      <c r="GS43" s="451"/>
      <c r="GT43" s="451"/>
      <c r="GU43" s="451"/>
      <c r="GV43" s="451"/>
      <c r="GW43" s="451"/>
      <c r="GX43" s="382"/>
      <c r="GY43" s="382"/>
      <c r="GZ43" s="382"/>
      <c r="HA43" s="382"/>
      <c r="HB43" s="382"/>
      <c r="HC43" s="382"/>
      <c r="HD43" s="382"/>
      <c r="HE43" s="382"/>
      <c r="HF43" s="382"/>
      <c r="HG43" s="382"/>
      <c r="HH43" s="382"/>
      <c r="HI43" s="382"/>
      <c r="HJ43" s="382"/>
      <c r="HM43" s="398"/>
      <c r="HN43" s="398"/>
      <c r="HO43" s="398"/>
      <c r="HP43" s="398"/>
      <c r="HQ43" s="398"/>
      <c r="HR43" s="515"/>
      <c r="HS43" s="515"/>
      <c r="HT43" s="515"/>
      <c r="HU43" s="515"/>
      <c r="HV43" s="515"/>
      <c r="HW43" s="515"/>
      <c r="HX43" s="515"/>
      <c r="HY43" s="515"/>
      <c r="HZ43" s="515"/>
      <c r="IA43" s="515"/>
      <c r="IH43" s="562"/>
      <c r="II43" s="562"/>
      <c r="IJ43" s="562"/>
      <c r="IK43" s="562"/>
      <c r="IL43" s="562"/>
      <c r="IN43" s="549"/>
      <c r="IO43" s="562"/>
    </row>
    <row r="44" spans="1:249" ht="14.1" customHeight="1">
      <c r="A44" s="562"/>
      <c r="B44" s="562"/>
      <c r="C44" s="562"/>
      <c r="D44" s="562"/>
      <c r="E44" s="562"/>
      <c r="F44" s="562"/>
      <c r="G44" s="562"/>
      <c r="H44" s="562"/>
      <c r="I44" s="562"/>
      <c r="J44" s="875"/>
      <c r="K44" s="875"/>
      <c r="L44" s="1632"/>
      <c r="M44" s="1603" t="s">
        <v>1955</v>
      </c>
      <c r="N44" s="1629">
        <v>210</v>
      </c>
      <c r="O44" s="1603">
        <v>2</v>
      </c>
      <c r="P44" s="1603">
        <v>11</v>
      </c>
      <c r="Q44" s="1603">
        <v>50</v>
      </c>
      <c r="R44" s="1779">
        <f t="shared" si="21"/>
        <v>10400</v>
      </c>
      <c r="S44" s="1779">
        <f t="shared" si="19"/>
        <v>-81.818181818181827</v>
      </c>
      <c r="T44" s="1779">
        <f t="shared" si="19"/>
        <v>-78</v>
      </c>
      <c r="U44" s="1729"/>
      <c r="V44" s="1632"/>
      <c r="AG44" s="1632"/>
      <c r="AQ44" s="1709"/>
      <c r="AR44" s="1709"/>
      <c r="AS44" s="1709"/>
      <c r="AT44" s="1709"/>
      <c r="AU44" s="1780"/>
      <c r="AV44" s="382"/>
      <c r="AW44" s="382"/>
      <c r="AX44" s="1780"/>
      <c r="AY44" s="1780"/>
      <c r="BL44" s="571" t="s">
        <v>8482</v>
      </c>
      <c r="BM44" s="549"/>
      <c r="BN44" s="549"/>
      <c r="BZ44" s="385"/>
      <c r="CA44" s="385"/>
      <c r="CB44" s="385"/>
      <c r="CC44" s="391">
        <v>2014</v>
      </c>
      <c r="CD44" s="463">
        <v>31775</v>
      </c>
      <c r="CE44" s="463">
        <v>2635</v>
      </c>
      <c r="CF44" s="463">
        <v>2480</v>
      </c>
      <c r="CG44" s="463">
        <v>2635</v>
      </c>
      <c r="CH44" s="463">
        <v>2635</v>
      </c>
      <c r="CI44" s="463">
        <v>2790</v>
      </c>
      <c r="CJ44" s="463">
        <v>2635</v>
      </c>
      <c r="CK44" s="463">
        <v>2790</v>
      </c>
      <c r="CL44" s="463">
        <v>2635</v>
      </c>
      <c r="CM44" s="463">
        <v>2635</v>
      </c>
      <c r="CN44" s="463">
        <v>2635</v>
      </c>
      <c r="CO44" s="463">
        <v>2635</v>
      </c>
      <c r="CP44" s="463">
        <v>2635</v>
      </c>
      <c r="CQ44" s="385"/>
      <c r="CR44" s="986"/>
      <c r="CS44" s="382" t="s">
        <v>528</v>
      </c>
      <c r="CT44" s="1744">
        <v>7012</v>
      </c>
      <c r="CU44" s="1744">
        <v>2963</v>
      </c>
      <c r="CV44" s="1744">
        <v>2873</v>
      </c>
      <c r="CW44" s="1744">
        <v>2576</v>
      </c>
      <c r="CX44" s="1744">
        <v>161</v>
      </c>
      <c r="CY44" s="1744">
        <v>0</v>
      </c>
      <c r="CZ44" s="1744">
        <v>174</v>
      </c>
      <c r="DA44" s="1744">
        <v>3937</v>
      </c>
      <c r="DB44" s="1744">
        <v>90</v>
      </c>
      <c r="DC44" s="1744">
        <v>112</v>
      </c>
      <c r="DF44" s="585" t="s">
        <v>8414</v>
      </c>
      <c r="DG44" s="1739">
        <f>SUM(DH44:DU44)</f>
        <v>0</v>
      </c>
      <c r="DH44" s="1739">
        <v>0</v>
      </c>
      <c r="DI44" s="1739">
        <v>0</v>
      </c>
      <c r="DJ44" s="1739">
        <v>0</v>
      </c>
      <c r="DK44" s="1739">
        <v>0</v>
      </c>
      <c r="DL44" s="1739">
        <v>0</v>
      </c>
      <c r="DM44" s="1739">
        <v>0</v>
      </c>
      <c r="DN44" s="1739">
        <v>0</v>
      </c>
      <c r="DO44" s="1739">
        <v>0</v>
      </c>
      <c r="DP44" s="1739">
        <v>0</v>
      </c>
      <c r="DQ44" s="1739">
        <v>0</v>
      </c>
      <c r="DR44" s="1739">
        <v>0</v>
      </c>
      <c r="DS44" s="1739">
        <v>0</v>
      </c>
      <c r="DT44" s="1739">
        <v>0</v>
      </c>
      <c r="DU44" s="1739">
        <v>0</v>
      </c>
      <c r="DV44" s="986"/>
      <c r="DX44" s="382" t="s">
        <v>467</v>
      </c>
      <c r="DY44" s="1740">
        <v>0</v>
      </c>
      <c r="DZ44" s="1740">
        <v>0</v>
      </c>
      <c r="EA44" s="1740">
        <v>0</v>
      </c>
      <c r="EB44" s="1740">
        <v>0</v>
      </c>
      <c r="EC44" s="1740">
        <v>0</v>
      </c>
      <c r="ED44" s="1740">
        <v>0</v>
      </c>
      <c r="EE44" s="1740">
        <v>0</v>
      </c>
      <c r="EH44" s="382" t="s">
        <v>8401</v>
      </c>
      <c r="EI44" s="876">
        <v>1626</v>
      </c>
      <c r="EJ44" s="876">
        <v>1023</v>
      </c>
      <c r="EK44" s="1739">
        <v>0</v>
      </c>
      <c r="EL44" s="876">
        <v>15</v>
      </c>
      <c r="EM44" s="876">
        <v>3</v>
      </c>
      <c r="EN44" s="876">
        <v>0</v>
      </c>
      <c r="EO44" s="876">
        <f>16+37+4+18</f>
        <v>75</v>
      </c>
      <c r="EQ44" s="525"/>
      <c r="ER44" s="382" t="s">
        <v>8407</v>
      </c>
      <c r="ES44" s="933">
        <v>818</v>
      </c>
      <c r="ET44" s="933">
        <v>407</v>
      </c>
      <c r="EU44" s="933">
        <v>34</v>
      </c>
      <c r="EV44" s="435" t="s">
        <v>546</v>
      </c>
      <c r="EW44" s="933">
        <v>71</v>
      </c>
      <c r="EX44" s="933">
        <v>18</v>
      </c>
      <c r="EY44" s="933">
        <v>24</v>
      </c>
      <c r="EZ44" s="435" t="s">
        <v>546</v>
      </c>
      <c r="FA44" s="933">
        <v>28</v>
      </c>
      <c r="FB44" s="435" t="s">
        <v>546</v>
      </c>
      <c r="FC44" s="933">
        <v>0</v>
      </c>
      <c r="FD44" s="933">
        <v>7</v>
      </c>
      <c r="FE44" s="933">
        <v>0</v>
      </c>
      <c r="FF44" s="933">
        <v>13</v>
      </c>
      <c r="FG44" s="933">
        <v>46</v>
      </c>
      <c r="FH44" s="862"/>
      <c r="FI44" s="862"/>
      <c r="FJ44" s="862"/>
      <c r="FK44" s="862"/>
      <c r="FL44" s="862"/>
      <c r="FM44" s="862"/>
      <c r="FN44" s="862"/>
      <c r="FO44" s="862"/>
      <c r="FP44" s="862"/>
      <c r="FQ44" s="862"/>
      <c r="FR44" s="862"/>
      <c r="FS44" s="862"/>
      <c r="FT44" s="862"/>
      <c r="FU44" s="862"/>
      <c r="FW44" s="439"/>
      <c r="FX44" s="463"/>
      <c r="FY44" s="463"/>
      <c r="FZ44" s="463"/>
      <c r="GA44" s="463"/>
      <c r="GB44" s="463"/>
      <c r="GC44" s="463"/>
      <c r="GD44" s="463"/>
      <c r="GE44" s="463"/>
      <c r="GF44" s="463"/>
      <c r="GG44" s="463"/>
      <c r="GH44" s="463"/>
      <c r="GI44" s="463"/>
      <c r="GM44" s="451"/>
      <c r="GN44" s="451"/>
      <c r="GO44" s="451"/>
      <c r="GP44" s="451"/>
      <c r="GQ44" s="451"/>
      <c r="GR44" s="451"/>
      <c r="GS44" s="451"/>
      <c r="GT44" s="451"/>
      <c r="GU44" s="451"/>
      <c r="GV44" s="451"/>
      <c r="GW44" s="451"/>
      <c r="GX44" s="382"/>
      <c r="GY44" s="382"/>
      <c r="GZ44" s="382"/>
      <c r="HA44" s="382"/>
      <c r="HB44" s="382"/>
      <c r="HC44" s="382"/>
      <c r="HD44" s="382"/>
      <c r="HE44" s="382"/>
      <c r="HF44" s="382"/>
      <c r="HG44" s="382"/>
      <c r="HH44" s="382"/>
      <c r="HI44" s="382"/>
      <c r="HJ44" s="382"/>
      <c r="HM44" s="398"/>
      <c r="HN44" s="398"/>
      <c r="HO44" s="398"/>
      <c r="HP44" s="398"/>
      <c r="HQ44" s="398"/>
      <c r="HR44" s="515"/>
      <c r="HS44" s="515"/>
      <c r="HT44" s="515"/>
      <c r="HU44" s="515"/>
      <c r="HV44" s="515"/>
      <c r="HW44" s="515"/>
      <c r="HX44" s="515"/>
      <c r="HY44" s="515"/>
      <c r="HZ44" s="515"/>
      <c r="IA44" s="515"/>
      <c r="IB44" s="571"/>
      <c r="IC44" s="571"/>
      <c r="IH44" s="562"/>
      <c r="II44" s="562"/>
      <c r="IJ44" s="562"/>
      <c r="IK44" s="562"/>
      <c r="IL44" s="562"/>
      <c r="IN44" s="549"/>
      <c r="IO44" s="562"/>
    </row>
    <row r="45" spans="1:249" ht="14.1" customHeight="1">
      <c r="A45" s="549"/>
      <c r="B45" s="549"/>
      <c r="C45" s="549"/>
      <c r="D45" s="549"/>
      <c r="E45" s="549"/>
      <c r="F45" s="549"/>
      <c r="G45" s="549"/>
      <c r="H45" s="549"/>
      <c r="I45" s="549"/>
      <c r="J45" s="549"/>
      <c r="K45" s="902"/>
      <c r="L45" s="549"/>
      <c r="M45" s="549" t="s">
        <v>8480</v>
      </c>
      <c r="N45" s="549"/>
      <c r="O45" s="549"/>
      <c r="P45" s="549"/>
      <c r="Q45" s="549"/>
      <c r="R45" s="549"/>
      <c r="S45" s="549"/>
      <c r="T45" s="549"/>
      <c r="U45" s="549"/>
      <c r="V45" s="1602"/>
      <c r="W45" s="382" t="s">
        <v>8481</v>
      </c>
      <c r="X45" s="382"/>
      <c r="Y45" s="381"/>
      <c r="Z45" s="382"/>
      <c r="AA45" s="382"/>
      <c r="AB45" s="381"/>
      <c r="AC45" s="381"/>
      <c r="AD45" s="381"/>
      <c r="AE45" s="381"/>
      <c r="AF45" s="381"/>
      <c r="AG45" s="1602"/>
      <c r="AQ45" s="1709"/>
      <c r="AR45" s="1709"/>
      <c r="AS45" s="1709"/>
      <c r="AT45" s="1709"/>
      <c r="AU45" s="463"/>
      <c r="AV45" s="463"/>
      <c r="AW45" s="463"/>
      <c r="AX45" s="1733"/>
      <c r="AY45" s="1733"/>
      <c r="BL45" s="571" t="s">
        <v>8484</v>
      </c>
      <c r="BM45" s="549"/>
      <c r="BN45" s="549"/>
      <c r="BZ45" s="385"/>
      <c r="CC45" s="382"/>
      <c r="CD45" s="382"/>
      <c r="CE45" s="382"/>
      <c r="CF45" s="382"/>
      <c r="CG45" s="382"/>
      <c r="CH45" s="382"/>
      <c r="CI45" s="382"/>
      <c r="CJ45" s="382"/>
      <c r="CK45" s="382"/>
      <c r="CL45" s="382"/>
      <c r="CM45" s="382"/>
      <c r="CN45" s="382"/>
      <c r="CO45" s="382"/>
      <c r="CP45" s="382"/>
      <c r="CR45" s="562"/>
      <c r="CS45" s="382" t="s">
        <v>845</v>
      </c>
      <c r="CT45" s="1744">
        <v>22825</v>
      </c>
      <c r="CU45" s="1744">
        <v>14172</v>
      </c>
      <c r="CV45" s="1744">
        <v>12903</v>
      </c>
      <c r="CW45" s="1744">
        <v>12308</v>
      </c>
      <c r="CX45" s="1744">
        <v>421</v>
      </c>
      <c r="CY45" s="1744">
        <v>0</v>
      </c>
      <c r="CZ45" s="1744">
        <v>493</v>
      </c>
      <c r="DA45" s="1744">
        <v>8254</v>
      </c>
      <c r="DB45" s="1744">
        <v>1279</v>
      </c>
      <c r="DC45" s="1744">
        <v>399</v>
      </c>
      <c r="DF45" s="585" t="s">
        <v>530</v>
      </c>
      <c r="DG45" s="1739">
        <v>151</v>
      </c>
      <c r="DH45" s="1739">
        <v>19</v>
      </c>
      <c r="DI45" s="1739">
        <v>10</v>
      </c>
      <c r="DJ45" s="1739">
        <v>5</v>
      </c>
      <c r="DK45" s="1739">
        <v>2</v>
      </c>
      <c r="DL45" s="1739">
        <v>6</v>
      </c>
      <c r="DM45" s="1739">
        <v>1</v>
      </c>
      <c r="DN45" s="1739">
        <v>4</v>
      </c>
      <c r="DO45" s="1739">
        <v>5</v>
      </c>
      <c r="DP45" s="1739">
        <v>3</v>
      </c>
      <c r="DQ45" s="1739">
        <v>4</v>
      </c>
      <c r="DR45" s="1739">
        <v>0</v>
      </c>
      <c r="DS45" s="1739">
        <v>0</v>
      </c>
      <c r="DT45" s="1739">
        <v>0</v>
      </c>
      <c r="DU45" s="1739">
        <v>7</v>
      </c>
      <c r="DV45" s="986"/>
      <c r="DX45" s="382" t="s">
        <v>8414</v>
      </c>
      <c r="DY45" s="1740">
        <v>0</v>
      </c>
      <c r="DZ45" s="1740">
        <v>0</v>
      </c>
      <c r="EA45" s="1740">
        <v>0</v>
      </c>
      <c r="EB45" s="1740">
        <v>0</v>
      </c>
      <c r="EC45" s="1740">
        <v>0</v>
      </c>
      <c r="ED45" s="1740">
        <v>0</v>
      </c>
      <c r="EE45" s="1740">
        <v>0</v>
      </c>
      <c r="EH45" s="382" t="s">
        <v>393</v>
      </c>
      <c r="EI45" s="876">
        <v>822</v>
      </c>
      <c r="EJ45" s="876">
        <v>521</v>
      </c>
      <c r="EK45" s="1739">
        <v>0</v>
      </c>
      <c r="EL45" s="876">
        <v>4</v>
      </c>
      <c r="EM45" s="876">
        <v>1</v>
      </c>
      <c r="EN45" s="876">
        <v>0</v>
      </c>
      <c r="EO45" s="876">
        <f>8+17+3+9</f>
        <v>37</v>
      </c>
      <c r="EQ45" s="525"/>
      <c r="ER45" s="382" t="s">
        <v>467</v>
      </c>
      <c r="ES45" s="933">
        <v>0</v>
      </c>
      <c r="ET45" s="933">
        <v>0</v>
      </c>
      <c r="EU45" s="933">
        <v>0</v>
      </c>
      <c r="EV45" s="435" t="s">
        <v>546</v>
      </c>
      <c r="EW45" s="933">
        <v>0</v>
      </c>
      <c r="EX45" s="933">
        <v>0</v>
      </c>
      <c r="EY45" s="933">
        <v>0</v>
      </c>
      <c r="EZ45" s="435" t="s">
        <v>546</v>
      </c>
      <c r="FA45" s="933">
        <v>0</v>
      </c>
      <c r="FB45" s="435" t="s">
        <v>546</v>
      </c>
      <c r="FC45" s="933">
        <v>0</v>
      </c>
      <c r="FD45" s="933">
        <v>0</v>
      </c>
      <c r="FE45" s="933">
        <v>0</v>
      </c>
      <c r="FF45" s="933">
        <v>0</v>
      </c>
      <c r="FG45" s="933">
        <v>0</v>
      </c>
      <c r="FH45" s="862"/>
      <c r="FI45" s="862"/>
      <c r="FJ45" s="862"/>
      <c r="FK45" s="862"/>
      <c r="FL45" s="862"/>
      <c r="FM45" s="862"/>
      <c r="FN45" s="862"/>
      <c r="FO45" s="862"/>
      <c r="FP45" s="862"/>
      <c r="FQ45" s="862"/>
      <c r="FR45" s="862"/>
      <c r="FS45" s="862"/>
      <c r="FT45" s="862"/>
      <c r="FU45" s="862"/>
      <c r="FW45" s="439"/>
      <c r="FX45" s="463"/>
      <c r="FY45" s="463"/>
      <c r="FZ45" s="463"/>
      <c r="GA45" s="463"/>
      <c r="GB45" s="463"/>
      <c r="GC45" s="463"/>
      <c r="GD45" s="463"/>
      <c r="GE45" s="463"/>
      <c r="GF45" s="463"/>
      <c r="GG45" s="463"/>
      <c r="GH45" s="463"/>
      <c r="GI45" s="463"/>
      <c r="GM45" s="451"/>
      <c r="GN45" s="451"/>
      <c r="GO45" s="451"/>
      <c r="GP45" s="451"/>
      <c r="GQ45" s="451"/>
      <c r="GR45" s="451"/>
      <c r="GS45" s="451"/>
      <c r="GT45" s="451"/>
      <c r="GU45" s="451"/>
      <c r="GV45" s="451"/>
      <c r="GW45" s="451"/>
      <c r="GX45" s="382"/>
      <c r="GY45" s="382"/>
      <c r="GZ45" s="382"/>
      <c r="HA45" s="382"/>
      <c r="HB45" s="382"/>
      <c r="HC45" s="382"/>
      <c r="HD45" s="382"/>
      <c r="HE45" s="382"/>
      <c r="HF45" s="382"/>
      <c r="HG45" s="382"/>
      <c r="HH45" s="382"/>
      <c r="HI45" s="382"/>
      <c r="HJ45" s="382"/>
      <c r="HM45" s="398"/>
      <c r="HN45" s="398"/>
      <c r="HO45" s="398"/>
      <c r="HP45" s="398"/>
      <c r="HQ45" s="398"/>
      <c r="HR45" s="515"/>
      <c r="HS45" s="515"/>
      <c r="HT45" s="515"/>
      <c r="HU45" s="515"/>
      <c r="HV45" s="515"/>
      <c r="HW45" s="515"/>
      <c r="HX45" s="515"/>
      <c r="HY45" s="515"/>
      <c r="HZ45" s="515"/>
      <c r="IA45" s="515"/>
      <c r="IB45" s="2171"/>
      <c r="IC45" s="2171"/>
      <c r="IH45" s="562"/>
      <c r="II45" s="562"/>
      <c r="IJ45" s="562"/>
      <c r="IK45" s="562"/>
      <c r="IL45" s="562"/>
      <c r="IN45" s="549"/>
      <c r="IO45" s="562"/>
    </row>
    <row r="46" spans="1:249" ht="14.1" customHeight="1">
      <c r="A46" s="825"/>
      <c r="B46" s="825"/>
      <c r="C46" s="825"/>
      <c r="D46" s="825"/>
      <c r="E46" s="825"/>
      <c r="F46" s="825"/>
      <c r="G46" s="825"/>
      <c r="H46" s="825"/>
      <c r="I46" s="825"/>
      <c r="J46" s="825"/>
      <c r="K46" s="549"/>
      <c r="L46" s="549"/>
      <c r="M46" s="549" t="s">
        <v>8483</v>
      </c>
      <c r="N46" s="549"/>
      <c r="O46" s="549"/>
      <c r="P46" s="549"/>
      <c r="Q46" s="549"/>
      <c r="R46" s="549"/>
      <c r="S46" s="549"/>
      <c r="T46" s="549"/>
      <c r="U46" s="549"/>
      <c r="V46" s="1602"/>
      <c r="W46" s="1712" t="s">
        <v>8286</v>
      </c>
      <c r="X46" s="1713"/>
      <c r="Y46" s="1714"/>
      <c r="Z46" s="688" t="s">
        <v>2804</v>
      </c>
      <c r="AA46" s="1715" t="s">
        <v>8287</v>
      </c>
      <c r="AB46" s="382"/>
      <c r="AC46" s="1716"/>
      <c r="AD46" s="1716"/>
      <c r="AE46" s="1715" t="s">
        <v>8288</v>
      </c>
      <c r="AG46" s="1602"/>
      <c r="AQ46" s="1709"/>
      <c r="AR46" s="1709"/>
      <c r="AS46" s="1709"/>
      <c r="AT46" s="1709"/>
      <c r="AU46" s="749"/>
      <c r="AV46" s="749"/>
      <c r="AW46" s="749"/>
      <c r="AX46" s="749"/>
      <c r="AY46" s="1733"/>
      <c r="BL46" s="571" t="s">
        <v>8485</v>
      </c>
      <c r="BM46" s="549"/>
      <c r="BN46" s="549"/>
      <c r="BZ46" s="385"/>
      <c r="CC46" s="391" t="s">
        <v>397</v>
      </c>
      <c r="CD46" s="1932"/>
      <c r="CE46" s="684"/>
      <c r="CF46" s="684"/>
      <c r="CG46" s="684"/>
      <c r="CH46" s="684"/>
      <c r="CI46" s="684"/>
      <c r="CJ46" s="684"/>
      <c r="CK46" s="684"/>
      <c r="CL46" s="684"/>
      <c r="CM46" s="684"/>
      <c r="CN46" s="684"/>
      <c r="CO46" s="684"/>
      <c r="CP46" s="684"/>
      <c r="CR46" s="986"/>
      <c r="CS46" s="382" t="s">
        <v>3006</v>
      </c>
      <c r="CT46" s="1744">
        <v>1985</v>
      </c>
      <c r="CU46" s="1744">
        <v>724</v>
      </c>
      <c r="CV46" s="1744">
        <v>707</v>
      </c>
      <c r="CW46" s="1744">
        <v>663</v>
      </c>
      <c r="CX46" s="1744">
        <v>27</v>
      </c>
      <c r="CY46" s="1744">
        <v>0</v>
      </c>
      <c r="CZ46" s="1744">
        <v>31</v>
      </c>
      <c r="DA46" s="1744">
        <v>1256</v>
      </c>
      <c r="DB46" s="1744">
        <v>17</v>
      </c>
      <c r="DC46" s="1744">
        <v>5</v>
      </c>
      <c r="DF46" s="586" t="s">
        <v>8419</v>
      </c>
      <c r="DG46" s="1767">
        <f>3897+1110+156+108</f>
        <v>5271</v>
      </c>
      <c r="DH46" s="1767">
        <f>316+86+4+10</f>
        <v>416</v>
      </c>
      <c r="DI46" s="1767">
        <f>228+93+11+7</f>
        <v>339</v>
      </c>
      <c r="DJ46" s="1767">
        <f>356+113+17+15</f>
        <v>501</v>
      </c>
      <c r="DK46" s="1767">
        <f>103+24+3+441</f>
        <v>571</v>
      </c>
      <c r="DL46" s="1767">
        <f>198+81+14+9</f>
        <v>302</v>
      </c>
      <c r="DM46" s="1767">
        <f>169+50+4+5</f>
        <v>228</v>
      </c>
      <c r="DN46" s="1767">
        <f>369+82+12+6</f>
        <v>469</v>
      </c>
      <c r="DO46" s="1767">
        <f>244+145+4+1</f>
        <v>394</v>
      </c>
      <c r="DP46" s="1767">
        <f>279+56+12+4</f>
        <v>351</v>
      </c>
      <c r="DQ46" s="1767">
        <f>108+108+3+4</f>
        <v>223</v>
      </c>
      <c r="DR46" s="1767">
        <v>3</v>
      </c>
      <c r="DS46" s="1767">
        <v>0</v>
      </c>
      <c r="DT46" s="1767">
        <v>0</v>
      </c>
      <c r="DU46" s="1767">
        <f>63+16+1+4</f>
        <v>84</v>
      </c>
      <c r="DV46" s="986"/>
      <c r="DX46" s="382" t="s">
        <v>530</v>
      </c>
      <c r="DY46" s="1740">
        <v>151</v>
      </c>
      <c r="DZ46" s="1740">
        <v>26</v>
      </c>
      <c r="EA46" s="1740">
        <v>14</v>
      </c>
      <c r="EB46" s="1740">
        <v>10</v>
      </c>
      <c r="EC46" s="1740">
        <v>3</v>
      </c>
      <c r="ED46" s="1740">
        <v>0</v>
      </c>
      <c r="EE46" s="1740">
        <v>18</v>
      </c>
      <c r="EH46" s="382" t="s">
        <v>467</v>
      </c>
      <c r="EI46" s="876">
        <v>0</v>
      </c>
      <c r="EJ46" s="876">
        <v>0</v>
      </c>
      <c r="EK46" s="1739">
        <v>0</v>
      </c>
      <c r="EL46" s="876">
        <v>0</v>
      </c>
      <c r="EM46" s="876">
        <v>0</v>
      </c>
      <c r="EN46" s="876">
        <v>0</v>
      </c>
      <c r="EO46" s="876">
        <v>0</v>
      </c>
      <c r="EQ46" s="525"/>
      <c r="ER46" s="382" t="s">
        <v>8414</v>
      </c>
      <c r="ES46" s="933">
        <v>0</v>
      </c>
      <c r="ET46" s="933">
        <v>0</v>
      </c>
      <c r="EU46" s="933">
        <v>0</v>
      </c>
      <c r="EV46" s="435" t="s">
        <v>546</v>
      </c>
      <c r="EW46" s="933">
        <v>0</v>
      </c>
      <c r="EX46" s="933">
        <v>0</v>
      </c>
      <c r="EY46" s="933">
        <v>0</v>
      </c>
      <c r="EZ46" s="435" t="s">
        <v>546</v>
      </c>
      <c r="FA46" s="933">
        <v>0</v>
      </c>
      <c r="FB46" s="435" t="s">
        <v>546</v>
      </c>
      <c r="FC46" s="933">
        <v>0</v>
      </c>
      <c r="FD46" s="933">
        <v>0</v>
      </c>
      <c r="FE46" s="933">
        <v>0</v>
      </c>
      <c r="FF46" s="933">
        <v>0</v>
      </c>
      <c r="FG46" s="933">
        <v>0</v>
      </c>
      <c r="FH46" s="862"/>
      <c r="FI46" s="862"/>
      <c r="FJ46" s="862"/>
      <c r="FK46" s="862"/>
      <c r="FL46" s="862"/>
      <c r="FM46" s="862"/>
      <c r="FN46" s="862"/>
      <c r="FO46" s="862"/>
      <c r="FP46" s="862"/>
      <c r="FQ46" s="862"/>
      <c r="FR46" s="862"/>
      <c r="FS46" s="862"/>
      <c r="FT46" s="862"/>
      <c r="FU46" s="862"/>
      <c r="FW46" s="2180"/>
      <c r="FX46" s="2180"/>
      <c r="FY46" s="2180"/>
      <c r="FZ46" s="2180"/>
      <c r="GA46" s="2180"/>
      <c r="GB46" s="2180"/>
      <c r="GC46" s="2180"/>
      <c r="GD46" s="2180"/>
      <c r="GE46" s="2180"/>
      <c r="GF46" s="2180"/>
      <c r="GG46" s="2180"/>
      <c r="GH46" s="2180"/>
      <c r="GI46" s="2180"/>
      <c r="GM46" s="995"/>
      <c r="GN46" s="995"/>
      <c r="GO46" s="995"/>
      <c r="GP46" s="995"/>
      <c r="GQ46" s="995"/>
      <c r="GR46" s="995"/>
      <c r="GS46" s="995"/>
      <c r="GT46" s="995"/>
      <c r="GU46" s="995"/>
      <c r="GV46" s="995"/>
      <c r="GW46" s="995"/>
      <c r="HJ46" s="886"/>
      <c r="HM46" s="398"/>
      <c r="HN46" s="398"/>
      <c r="HO46" s="398"/>
      <c r="HP46" s="398"/>
      <c r="HQ46" s="398"/>
      <c r="HR46" s="515"/>
      <c r="HS46" s="515"/>
      <c r="HT46" s="515"/>
      <c r="HU46" s="515"/>
      <c r="HV46" s="515"/>
      <c r="HW46" s="515"/>
      <c r="HX46" s="515"/>
      <c r="HY46" s="515"/>
      <c r="HZ46" s="515"/>
      <c r="IA46" s="515"/>
      <c r="IB46" s="901"/>
      <c r="IC46" s="901"/>
      <c r="IH46" s="549"/>
      <c r="II46" s="549"/>
      <c r="IJ46" s="549"/>
      <c r="IK46" s="549"/>
      <c r="IL46" s="549"/>
      <c r="IN46" s="549"/>
      <c r="IO46" s="562"/>
    </row>
    <row r="47" spans="1:249" ht="14.1" customHeight="1">
      <c r="A47" s="549"/>
      <c r="B47" s="549"/>
      <c r="C47" s="549"/>
      <c r="D47" s="549"/>
      <c r="E47" s="549"/>
      <c r="F47" s="549"/>
      <c r="G47" s="549"/>
      <c r="H47" s="549"/>
      <c r="I47" s="549"/>
      <c r="J47" s="549"/>
      <c r="K47" s="825"/>
      <c r="L47" s="549"/>
      <c r="M47" s="571" t="s">
        <v>4812</v>
      </c>
      <c r="N47" s="571"/>
      <c r="O47" s="571"/>
      <c r="P47" s="571"/>
      <c r="Q47" s="571"/>
      <c r="R47" s="571"/>
      <c r="S47" s="571"/>
      <c r="T47" s="571"/>
      <c r="U47" s="571"/>
      <c r="V47" s="1602"/>
      <c r="W47" s="387" t="s">
        <v>8315</v>
      </c>
      <c r="X47" s="457" t="s">
        <v>129</v>
      </c>
      <c r="Y47" s="1722" t="s">
        <v>392</v>
      </c>
      <c r="Z47" s="1722" t="s">
        <v>2816</v>
      </c>
      <c r="AA47" s="458" t="s">
        <v>8316</v>
      </c>
      <c r="AB47" s="441" t="s">
        <v>399</v>
      </c>
      <c r="AC47" s="1722" t="s">
        <v>397</v>
      </c>
      <c r="AD47" s="1722" t="s">
        <v>390</v>
      </c>
      <c r="AE47" s="457" t="s">
        <v>8317</v>
      </c>
      <c r="AF47" s="611" t="s">
        <v>1709</v>
      </c>
      <c r="AG47" s="1602"/>
      <c r="AQ47" s="1709"/>
      <c r="AR47" s="1709"/>
      <c r="AS47" s="1709"/>
      <c r="AT47" s="1709"/>
      <c r="AU47" s="749"/>
      <c r="AV47" s="749"/>
      <c r="AW47" s="749"/>
      <c r="AX47" s="749"/>
      <c r="AY47" s="1733"/>
      <c r="BL47" s="571" t="s">
        <v>8486</v>
      </c>
      <c r="BM47" s="549"/>
      <c r="BN47" s="549"/>
      <c r="BZ47" s="385"/>
      <c r="CC47" s="391">
        <v>2024</v>
      </c>
      <c r="CD47" s="515">
        <f>SUM(CE47:CP47)</f>
        <v>127038</v>
      </c>
      <c r="CE47" s="515">
        <v>11227</v>
      </c>
      <c r="CF47" s="515">
        <v>10109</v>
      </c>
      <c r="CG47" s="515">
        <v>10694</v>
      </c>
      <c r="CH47" s="515">
        <v>9893</v>
      </c>
      <c r="CI47" s="515">
        <v>10917</v>
      </c>
      <c r="CJ47" s="515">
        <v>10950</v>
      </c>
      <c r="CK47" s="515">
        <v>11284</v>
      </c>
      <c r="CL47" s="515">
        <v>10519</v>
      </c>
      <c r="CM47" s="515">
        <v>9955</v>
      </c>
      <c r="CN47" s="515">
        <v>10289</v>
      </c>
      <c r="CO47" s="515">
        <v>10074</v>
      </c>
      <c r="CP47" s="515">
        <v>11127</v>
      </c>
      <c r="CR47" s="986"/>
      <c r="CS47" s="382" t="s">
        <v>397</v>
      </c>
      <c r="CT47" s="1744">
        <v>28028</v>
      </c>
      <c r="CU47" s="1744">
        <v>16385</v>
      </c>
      <c r="CV47" s="1744">
        <v>13638</v>
      </c>
      <c r="CW47" s="1744">
        <v>13113</v>
      </c>
      <c r="CX47" s="1744">
        <v>287</v>
      </c>
      <c r="CY47" s="1744">
        <v>3</v>
      </c>
      <c r="CZ47" s="1744">
        <v>336</v>
      </c>
      <c r="DA47" s="1744">
        <v>8931</v>
      </c>
      <c r="DB47" s="1744">
        <v>2749</v>
      </c>
      <c r="DC47" s="1744">
        <v>2709</v>
      </c>
      <c r="DF47" s="549" t="s">
        <v>8423</v>
      </c>
      <c r="DG47" s="549"/>
      <c r="DH47" s="549"/>
      <c r="DI47" s="549"/>
      <c r="DJ47" s="549"/>
      <c r="DK47" s="549"/>
      <c r="DL47" s="549"/>
      <c r="DM47" s="549"/>
      <c r="DN47" s="549"/>
      <c r="DO47" s="549"/>
      <c r="DP47" s="549"/>
      <c r="DQ47" s="549"/>
      <c r="DR47" s="549"/>
      <c r="DS47" s="549"/>
      <c r="DV47" s="986"/>
      <c r="DX47" s="382" t="s">
        <v>8420</v>
      </c>
      <c r="DY47" s="1740">
        <f>3897+1110+156+108</f>
        <v>5271</v>
      </c>
      <c r="DZ47" s="1740">
        <f>1442+459+73+37</f>
        <v>2011</v>
      </c>
      <c r="EA47" s="1740">
        <f>439+152+17+11</f>
        <v>619</v>
      </c>
      <c r="EB47" s="1740">
        <f>192+84+5+4</f>
        <v>285</v>
      </c>
      <c r="EC47" s="1740">
        <f>94+56+3+1</f>
        <v>154</v>
      </c>
      <c r="ED47" s="1740">
        <f>66+23+2+5</f>
        <v>96</v>
      </c>
      <c r="EE47" s="1740">
        <f>521+138+7+6</f>
        <v>672</v>
      </c>
      <c r="EH47" s="382" t="s">
        <v>466</v>
      </c>
      <c r="EI47" s="876">
        <v>0</v>
      </c>
      <c r="EJ47" s="876">
        <v>0</v>
      </c>
      <c r="EK47" s="1739">
        <v>0</v>
      </c>
      <c r="EL47" s="876">
        <v>0</v>
      </c>
      <c r="EM47" s="876">
        <v>0</v>
      </c>
      <c r="EN47" s="876">
        <v>0</v>
      </c>
      <c r="EO47" s="876">
        <v>0</v>
      </c>
      <c r="EQ47" s="525"/>
      <c r="ER47" s="382" t="s">
        <v>530</v>
      </c>
      <c r="ES47" s="933">
        <v>151</v>
      </c>
      <c r="ET47" s="933">
        <v>37</v>
      </c>
      <c r="EU47" s="933">
        <v>0</v>
      </c>
      <c r="EV47" s="435" t="s">
        <v>546</v>
      </c>
      <c r="EW47" s="933">
        <v>0</v>
      </c>
      <c r="EX47" s="933">
        <v>0</v>
      </c>
      <c r="EY47" s="933">
        <v>0</v>
      </c>
      <c r="EZ47" s="435" t="s">
        <v>546</v>
      </c>
      <c r="FA47" s="933">
        <v>0</v>
      </c>
      <c r="FB47" s="435" t="s">
        <v>546</v>
      </c>
      <c r="FC47" s="933">
        <v>2</v>
      </c>
      <c r="FD47" s="933">
        <v>12</v>
      </c>
      <c r="FE47" s="933">
        <v>2</v>
      </c>
      <c r="FF47" s="933">
        <v>2</v>
      </c>
      <c r="FG47" s="933">
        <v>16</v>
      </c>
      <c r="FH47" s="862"/>
      <c r="FI47" s="862"/>
      <c r="FJ47" s="862"/>
      <c r="FK47" s="862"/>
      <c r="FL47" s="862"/>
      <c r="FM47" s="862"/>
      <c r="FN47" s="862"/>
      <c r="FO47" s="862"/>
      <c r="FP47" s="862"/>
      <c r="FQ47" s="862"/>
      <c r="FR47" s="862"/>
      <c r="FS47" s="862"/>
      <c r="FT47" s="862"/>
      <c r="FU47" s="862"/>
      <c r="FW47" s="439"/>
      <c r="FX47" s="439"/>
      <c r="FY47" s="439"/>
      <c r="FZ47" s="439"/>
      <c r="GA47" s="439"/>
      <c r="GB47" s="439"/>
      <c r="GC47" s="439"/>
      <c r="GD47" s="439"/>
      <c r="GE47" s="439"/>
      <c r="GF47" s="439"/>
      <c r="GG47" s="439"/>
      <c r="GH47" s="439"/>
      <c r="GI47" s="439"/>
      <c r="GM47" s="549"/>
      <c r="GN47" s="549"/>
      <c r="GO47" s="549"/>
      <c r="GP47" s="549"/>
      <c r="GQ47" s="549"/>
      <c r="GR47" s="549"/>
      <c r="GS47" s="549"/>
      <c r="GT47" s="549"/>
      <c r="GU47" s="549"/>
      <c r="GV47" s="549"/>
      <c r="GW47" s="549"/>
      <c r="GX47" s="1781"/>
      <c r="GY47" s="1781"/>
      <c r="GZ47" s="1781"/>
      <c r="HA47" s="1781"/>
      <c r="HB47" s="1781"/>
      <c r="HC47" s="1781"/>
      <c r="HD47" s="1781"/>
      <c r="HE47" s="1781"/>
      <c r="HF47" s="1781"/>
      <c r="HG47" s="1781"/>
      <c r="HH47" s="1781"/>
      <c r="HI47" s="1781"/>
      <c r="HJ47" s="1782"/>
      <c r="HM47" s="398"/>
      <c r="HN47" s="398"/>
      <c r="HO47" s="398"/>
      <c r="HP47" s="398"/>
      <c r="HQ47" s="398"/>
      <c r="HR47" s="515"/>
      <c r="HS47" s="515"/>
      <c r="HT47" s="515"/>
      <c r="HU47" s="515"/>
      <c r="HV47" s="515"/>
      <c r="HW47" s="515"/>
      <c r="HX47" s="515"/>
      <c r="HY47" s="515"/>
      <c r="HZ47" s="515"/>
      <c r="IA47" s="515"/>
      <c r="IB47" s="813"/>
      <c r="IC47" s="813"/>
      <c r="IH47" s="549"/>
      <c r="II47" s="549"/>
      <c r="IJ47" s="549"/>
      <c r="IK47" s="549"/>
      <c r="IL47" s="549"/>
      <c r="IN47" s="549"/>
      <c r="IO47" s="549"/>
    </row>
    <row r="48" spans="1:249" ht="14.1" customHeight="1">
      <c r="W48" s="1731" t="s">
        <v>3502</v>
      </c>
      <c r="X48" s="463">
        <f t="shared" ref="X48:AE48" si="23">SUM(X49:X60)</f>
        <v>326119</v>
      </c>
      <c r="Y48" s="463">
        <f t="shared" si="23"/>
        <v>23501</v>
      </c>
      <c r="Z48" s="463">
        <f t="shared" si="23"/>
        <v>70412</v>
      </c>
      <c r="AA48" s="463">
        <f t="shared" si="23"/>
        <v>23853</v>
      </c>
      <c r="AB48" s="463">
        <f t="shared" si="23"/>
        <v>633</v>
      </c>
      <c r="AC48" s="463">
        <f t="shared" si="23"/>
        <v>8831</v>
      </c>
      <c r="AD48" s="463">
        <f t="shared" si="23"/>
        <v>192145</v>
      </c>
      <c r="AE48" s="463">
        <f t="shared" si="23"/>
        <v>246</v>
      </c>
      <c r="AF48" s="463">
        <f>SUM(AF49:AF60)</f>
        <v>6498</v>
      </c>
      <c r="AQ48" s="1709"/>
      <c r="AR48" s="1709"/>
      <c r="AS48" s="1709"/>
      <c r="AT48" s="1709"/>
      <c r="AU48" s="749"/>
      <c r="AV48" s="749"/>
      <c r="AW48" s="749"/>
      <c r="AX48" s="749"/>
      <c r="AY48" s="1733"/>
      <c r="BL48" s="571" t="s">
        <v>8487</v>
      </c>
      <c r="BM48" s="549"/>
      <c r="BN48" s="549"/>
      <c r="BZ48" s="385"/>
      <c r="CC48" s="391">
        <v>2023</v>
      </c>
      <c r="CD48" s="515">
        <f>SUM(CE48:CP48)</f>
        <v>127327</v>
      </c>
      <c r="CE48" s="515">
        <v>11025</v>
      </c>
      <c r="CF48" s="515">
        <v>9838</v>
      </c>
      <c r="CG48" s="515">
        <v>11145</v>
      </c>
      <c r="CH48" s="515">
        <v>10811</v>
      </c>
      <c r="CI48" s="515">
        <v>9067</v>
      </c>
      <c r="CJ48" s="515">
        <v>8761</v>
      </c>
      <c r="CK48" s="515">
        <v>11191</v>
      </c>
      <c r="CL48" s="515">
        <v>11191</v>
      </c>
      <c r="CM48" s="515">
        <v>10830</v>
      </c>
      <c r="CN48" s="515">
        <v>11037</v>
      </c>
      <c r="CO48" s="515">
        <v>11116</v>
      </c>
      <c r="CP48" s="515">
        <v>11315</v>
      </c>
      <c r="CR48" s="562"/>
      <c r="CS48" s="382" t="s">
        <v>8396</v>
      </c>
      <c r="CT48" s="1744">
        <v>1700</v>
      </c>
      <c r="CU48" s="1744">
        <v>1139</v>
      </c>
      <c r="CV48" s="1744">
        <v>1110</v>
      </c>
      <c r="CW48" s="1744">
        <v>1072</v>
      </c>
      <c r="CX48" s="1744">
        <v>31</v>
      </c>
      <c r="CY48" s="1744">
        <v>29</v>
      </c>
      <c r="CZ48" s="1744">
        <v>35</v>
      </c>
      <c r="DA48" s="1744">
        <v>494</v>
      </c>
      <c r="DB48" s="1744">
        <v>29</v>
      </c>
      <c r="DC48" s="1744">
        <v>38</v>
      </c>
      <c r="DF48" s="549" t="s">
        <v>8428</v>
      </c>
      <c r="DG48" s="549"/>
      <c r="DH48" s="549"/>
      <c r="DI48" s="549"/>
      <c r="DJ48" s="549"/>
      <c r="DK48" s="549"/>
      <c r="DL48" s="549"/>
      <c r="DM48" s="549"/>
      <c r="DN48" s="549"/>
      <c r="DO48" s="549"/>
      <c r="DP48" s="549"/>
      <c r="DQ48" s="549"/>
      <c r="DR48" s="549"/>
      <c r="DS48" s="549"/>
      <c r="DV48" s="986"/>
      <c r="DX48" s="1508" t="s">
        <v>8423</v>
      </c>
      <c r="DY48" s="1508"/>
      <c r="DZ48" s="1508"/>
      <c r="EA48" s="1508"/>
      <c r="EB48" s="1508"/>
      <c r="EC48" s="1508"/>
      <c r="ED48" s="1508"/>
      <c r="EE48" s="1508"/>
      <c r="EH48" s="382" t="s">
        <v>530</v>
      </c>
      <c r="EI48" s="876">
        <v>153</v>
      </c>
      <c r="EJ48" s="876">
        <v>91</v>
      </c>
      <c r="EK48" s="1576">
        <v>0</v>
      </c>
      <c r="EL48" s="876">
        <v>1</v>
      </c>
      <c r="EM48" s="876">
        <v>1</v>
      </c>
      <c r="EN48" s="876">
        <v>0</v>
      </c>
      <c r="EO48" s="876">
        <f>9+3</f>
        <v>12</v>
      </c>
      <c r="EQ48" s="525"/>
      <c r="ER48" s="381" t="s">
        <v>8420</v>
      </c>
      <c r="ES48" s="934">
        <v>5271</v>
      </c>
      <c r="ET48" s="866">
        <v>1532</v>
      </c>
      <c r="EU48" s="866">
        <v>168</v>
      </c>
      <c r="EV48" s="556" t="s">
        <v>546</v>
      </c>
      <c r="EW48" s="866">
        <v>256</v>
      </c>
      <c r="EX48" s="866">
        <v>31</v>
      </c>
      <c r="EY48" s="866">
        <v>11</v>
      </c>
      <c r="EZ48" s="556" t="s">
        <v>546</v>
      </c>
      <c r="FA48" s="866">
        <v>218</v>
      </c>
      <c r="FB48" s="556" t="s">
        <v>546</v>
      </c>
      <c r="FC48" s="866">
        <v>22</v>
      </c>
      <c r="FD48" s="633">
        <v>520</v>
      </c>
      <c r="FE48" s="866">
        <v>341</v>
      </c>
      <c r="FF48" s="866">
        <v>125</v>
      </c>
      <c r="FG48" s="497">
        <v>551</v>
      </c>
      <c r="FH48" s="862"/>
      <c r="FI48" s="862"/>
      <c r="FJ48" s="862"/>
      <c r="FK48" s="862"/>
      <c r="FL48" s="862"/>
      <c r="FM48" s="862"/>
      <c r="FN48" s="862"/>
      <c r="FO48" s="862"/>
      <c r="FP48" s="862"/>
      <c r="FQ48" s="862"/>
      <c r="FR48" s="862"/>
      <c r="FS48" s="862"/>
      <c r="FT48" s="862"/>
      <c r="FU48" s="862"/>
      <c r="FW48" s="439"/>
      <c r="FX48" s="918"/>
      <c r="FY48" s="918"/>
      <c r="FZ48" s="918"/>
      <c r="GA48" s="918"/>
      <c r="GB48" s="918"/>
      <c r="GC48" s="918"/>
      <c r="GD48" s="918"/>
      <c r="GE48" s="918"/>
      <c r="GF48" s="918"/>
      <c r="GG48" s="918"/>
      <c r="GH48" s="918"/>
      <c r="GI48" s="918"/>
      <c r="GM48" s="549"/>
      <c r="GN48" s="549"/>
      <c r="GO48" s="549"/>
      <c r="GP48" s="549"/>
      <c r="GQ48" s="549"/>
      <c r="GR48" s="549"/>
      <c r="GS48" s="549"/>
      <c r="GT48" s="549"/>
      <c r="GU48" s="549"/>
      <c r="GV48" s="549"/>
      <c r="GW48" s="549"/>
      <c r="GX48" s="1781"/>
      <c r="GY48" s="1781"/>
      <c r="GZ48" s="1781"/>
      <c r="HA48" s="1781"/>
      <c r="HB48" s="1781"/>
      <c r="HC48" s="1781"/>
      <c r="HD48" s="1781"/>
      <c r="HE48" s="1781"/>
      <c r="HF48" s="1781"/>
      <c r="HG48" s="1781"/>
      <c r="HH48" s="1781"/>
      <c r="HI48" s="1781"/>
      <c r="HJ48" s="1782"/>
      <c r="HM48" s="398"/>
      <c r="HN48" s="398"/>
      <c r="HO48" s="398"/>
      <c r="HP48" s="398"/>
      <c r="HQ48" s="398"/>
      <c r="HR48" s="515"/>
      <c r="HS48" s="515"/>
      <c r="HT48" s="515"/>
      <c r="HU48" s="515"/>
      <c r="HV48" s="515"/>
      <c r="HW48" s="515"/>
      <c r="HX48" s="515"/>
      <c r="HY48" s="515"/>
      <c r="HZ48" s="515"/>
      <c r="IA48" s="515"/>
      <c r="IH48" s="549"/>
      <c r="II48" s="549"/>
      <c r="IJ48" s="549"/>
      <c r="IK48" s="549"/>
      <c r="IL48" s="549"/>
      <c r="IN48" s="549"/>
      <c r="IO48" s="549"/>
    </row>
    <row r="49" spans="1:249" ht="14.1" customHeight="1">
      <c r="K49" s="549"/>
      <c r="L49" s="549"/>
      <c r="M49" s="549"/>
      <c r="N49" s="549"/>
      <c r="O49" s="549"/>
      <c r="P49" s="549"/>
      <c r="Q49" s="549"/>
      <c r="R49" s="549"/>
      <c r="S49" s="549"/>
      <c r="T49" s="549"/>
      <c r="U49" s="549"/>
      <c r="V49" s="549"/>
      <c r="W49" s="1735" t="s">
        <v>1944</v>
      </c>
      <c r="X49" s="463">
        <f>SUM(Y49:AF49)</f>
        <v>9042</v>
      </c>
      <c r="Y49" s="463">
        <v>1125</v>
      </c>
      <c r="Z49" s="463">
        <v>5096</v>
      </c>
      <c r="AA49" s="463">
        <f>509+42+247+1</f>
        <v>799</v>
      </c>
      <c r="AB49" s="463">
        <v>21</v>
      </c>
      <c r="AC49" s="463">
        <v>277</v>
      </c>
      <c r="AD49" s="463">
        <v>924</v>
      </c>
      <c r="AE49" s="463">
        <v>3</v>
      </c>
      <c r="AF49" s="463">
        <f>17+431+114+19+22+4+2+188</f>
        <v>797</v>
      </c>
      <c r="AG49" s="549"/>
      <c r="AQ49" s="1709"/>
      <c r="AR49" s="1709"/>
      <c r="AS49" s="1709"/>
      <c r="AT49" s="1709"/>
      <c r="AU49" s="749"/>
      <c r="AV49" s="749"/>
      <c r="AW49" s="749"/>
      <c r="AX49" s="749"/>
      <c r="AY49" s="1733"/>
      <c r="BL49" s="571" t="s">
        <v>8488</v>
      </c>
      <c r="BM49" s="549"/>
      <c r="BN49" s="549"/>
      <c r="CC49" s="391">
        <v>2022</v>
      </c>
      <c r="CD49" s="515">
        <f>SUM(CE49:CP49)</f>
        <v>116956</v>
      </c>
      <c r="CE49" s="515">
        <v>7733</v>
      </c>
      <c r="CF49" s="515">
        <v>6439</v>
      </c>
      <c r="CG49" s="515">
        <v>8330</v>
      </c>
      <c r="CH49" s="515">
        <v>8502</v>
      </c>
      <c r="CI49" s="515">
        <v>9631</v>
      </c>
      <c r="CJ49" s="515">
        <v>10834</v>
      </c>
      <c r="CK49" s="515">
        <v>11195</v>
      </c>
      <c r="CL49" s="515">
        <v>10844</v>
      </c>
      <c r="CM49" s="515">
        <v>10317</v>
      </c>
      <c r="CN49" s="515">
        <v>11110</v>
      </c>
      <c r="CO49" s="515">
        <v>10830</v>
      </c>
      <c r="CP49" s="515">
        <v>11191</v>
      </c>
      <c r="CR49" s="562"/>
      <c r="CS49" s="382" t="s">
        <v>485</v>
      </c>
      <c r="CT49" s="1576" t="s">
        <v>546</v>
      </c>
      <c r="CU49" s="1576" t="s">
        <v>546</v>
      </c>
      <c r="CV49" s="1576" t="s">
        <v>546</v>
      </c>
      <c r="CW49" s="1576" t="s">
        <v>546</v>
      </c>
      <c r="CX49" s="1576" t="s">
        <v>546</v>
      </c>
      <c r="CY49" s="1576" t="s">
        <v>546</v>
      </c>
      <c r="CZ49" s="1576" t="s">
        <v>546</v>
      </c>
      <c r="DA49" s="1576" t="s">
        <v>546</v>
      </c>
      <c r="DB49" s="1576" t="s">
        <v>546</v>
      </c>
      <c r="DC49" s="1576" t="s">
        <v>546</v>
      </c>
      <c r="DF49" s="549" t="s">
        <v>8431</v>
      </c>
      <c r="DG49" s="549"/>
      <c r="DH49" s="549"/>
      <c r="DI49" s="549"/>
      <c r="DJ49" s="549"/>
      <c r="DK49" s="549"/>
      <c r="DL49" s="549"/>
      <c r="DM49" s="549"/>
      <c r="DN49" s="549"/>
      <c r="DO49" s="549"/>
      <c r="DP49" s="549"/>
      <c r="DQ49" s="549"/>
      <c r="DR49" s="549"/>
      <c r="DS49" s="549"/>
      <c r="DV49" s="986"/>
      <c r="DX49" s="549" t="s">
        <v>8428</v>
      </c>
      <c r="DY49" s="549"/>
      <c r="DZ49" s="549"/>
      <c r="EA49" s="549"/>
      <c r="EB49" s="549"/>
      <c r="EC49" s="549"/>
      <c r="ED49" s="549"/>
      <c r="EE49" s="549"/>
      <c r="EH49" s="382" t="s">
        <v>8420</v>
      </c>
      <c r="EI49" s="876">
        <f>1115+158+110+3923</f>
        <v>5306</v>
      </c>
      <c r="EJ49" s="876">
        <f>709+101+63+2441</f>
        <v>3314</v>
      </c>
      <c r="EK49" s="1768">
        <v>0</v>
      </c>
      <c r="EL49" s="876">
        <f>12+49+2+4</f>
        <v>67</v>
      </c>
      <c r="EM49" s="876">
        <v>6</v>
      </c>
      <c r="EN49" s="876">
        <v>6</v>
      </c>
      <c r="EO49" s="876">
        <f>15+26+34+86+9+6+5+3+44</f>
        <v>228</v>
      </c>
      <c r="EQ49" s="525"/>
      <c r="ER49" s="549" t="s">
        <v>8423</v>
      </c>
      <c r="ES49" s="986"/>
      <c r="ET49" s="986"/>
      <c r="EU49" s="986"/>
      <c r="EV49" s="986"/>
      <c r="EW49" s="986"/>
      <c r="EX49" s="986"/>
      <c r="EY49" s="986"/>
      <c r="EZ49" s="986"/>
      <c r="FA49" s="986"/>
      <c r="FB49" s="986"/>
      <c r="FC49" s="861"/>
      <c r="FD49" s="986"/>
      <c r="FE49" s="862"/>
      <c r="FF49" s="525"/>
      <c r="FG49" s="862"/>
      <c r="FH49" s="862"/>
      <c r="FI49" s="862"/>
      <c r="FJ49" s="862"/>
      <c r="FK49" s="862"/>
      <c r="FL49" s="862"/>
      <c r="FM49" s="862"/>
      <c r="FN49" s="862"/>
      <c r="FO49" s="862"/>
      <c r="FP49" s="862"/>
      <c r="FQ49" s="862"/>
      <c r="FR49" s="862"/>
      <c r="FS49" s="862"/>
      <c r="FT49" s="862"/>
      <c r="FU49" s="862"/>
      <c r="FW49" s="439"/>
      <c r="FX49" s="918"/>
      <c r="FY49" s="918"/>
      <c r="FZ49" s="918"/>
      <c r="GA49" s="918"/>
      <c r="GB49" s="918"/>
      <c r="GC49" s="918"/>
      <c r="GD49" s="918"/>
      <c r="GE49" s="918"/>
      <c r="GF49" s="918"/>
      <c r="GG49" s="918"/>
      <c r="GH49" s="918"/>
      <c r="GI49" s="918"/>
      <c r="GM49" s="398"/>
      <c r="GN49" s="398"/>
      <c r="GO49" s="398"/>
      <c r="GP49" s="398"/>
      <c r="GQ49" s="398"/>
      <c r="GR49" s="398"/>
      <c r="GS49" s="398"/>
      <c r="GT49" s="398"/>
      <c r="GU49" s="398"/>
      <c r="GV49" s="398"/>
      <c r="GW49" s="398"/>
      <c r="GX49" s="398"/>
      <c r="GY49" s="398"/>
      <c r="GZ49" s="398"/>
      <c r="HA49" s="398"/>
      <c r="HB49" s="398"/>
      <c r="HC49" s="398"/>
      <c r="HD49" s="398"/>
      <c r="HE49" s="398"/>
      <c r="HF49" s="398"/>
      <c r="HG49" s="398"/>
      <c r="HH49" s="398"/>
      <c r="HI49" s="398"/>
      <c r="HJ49" s="398"/>
      <c r="HM49" s="398"/>
      <c r="HN49" s="398"/>
      <c r="HO49" s="398"/>
      <c r="HP49" s="398"/>
      <c r="HQ49" s="398"/>
      <c r="HR49" s="515"/>
      <c r="HS49" s="757"/>
      <c r="HT49" s="515"/>
      <c r="HU49" s="757"/>
      <c r="HV49" s="515"/>
      <c r="HW49" s="757"/>
      <c r="HX49" s="515"/>
      <c r="HY49" s="757"/>
      <c r="HZ49" s="515"/>
      <c r="IA49" s="757"/>
      <c r="IH49" s="902"/>
      <c r="II49" s="902"/>
      <c r="IJ49" s="902"/>
      <c r="IK49" s="902"/>
      <c r="IL49" s="902"/>
      <c r="IN49" s="549"/>
      <c r="IO49" s="549"/>
    </row>
    <row r="50" spans="1:249" ht="14.1" customHeight="1">
      <c r="K50" s="562"/>
      <c r="L50" s="562"/>
      <c r="M50" s="562"/>
      <c r="N50" s="562"/>
      <c r="O50" s="562"/>
      <c r="P50" s="562"/>
      <c r="Q50" s="562"/>
      <c r="R50" s="562"/>
      <c r="S50" s="562"/>
      <c r="T50" s="562"/>
      <c r="U50" s="562"/>
      <c r="V50" s="562"/>
      <c r="W50" s="1735" t="s">
        <v>1945</v>
      </c>
      <c r="X50" s="463">
        <f t="shared" ref="X50:X60" si="24">SUM(Y50:AF50)</f>
        <v>7066</v>
      </c>
      <c r="Y50" s="463">
        <v>239</v>
      </c>
      <c r="Z50" s="463">
        <v>5176</v>
      </c>
      <c r="AA50" s="463">
        <f>481+35+176+2</f>
        <v>694</v>
      </c>
      <c r="AB50" s="463">
        <v>8</v>
      </c>
      <c r="AC50" s="463">
        <v>298</v>
      </c>
      <c r="AD50" s="463">
        <v>311</v>
      </c>
      <c r="AE50" s="463">
        <v>6</v>
      </c>
      <c r="AF50" s="463">
        <v>334</v>
      </c>
      <c r="AG50" s="562"/>
      <c r="AQ50" s="1709"/>
      <c r="AR50" s="1709"/>
      <c r="AS50" s="1709"/>
      <c r="AT50" s="1709"/>
      <c r="AU50" s="749"/>
      <c r="AV50" s="749"/>
      <c r="AW50" s="749"/>
      <c r="AX50" s="749"/>
      <c r="AY50" s="1733"/>
      <c r="BL50" s="571" t="s">
        <v>8489</v>
      </c>
      <c r="BM50" s="549"/>
      <c r="BN50" s="549"/>
      <c r="CC50" s="391">
        <v>2021</v>
      </c>
      <c r="CD50" s="515">
        <f>SUM(CE50:CP50)</f>
        <v>53937</v>
      </c>
      <c r="CE50" s="515">
        <v>3328</v>
      </c>
      <c r="CF50" s="515">
        <v>2772</v>
      </c>
      <c r="CG50" s="515">
        <v>3303</v>
      </c>
      <c r="CH50" s="515">
        <v>3149</v>
      </c>
      <c r="CI50" s="515">
        <v>2950</v>
      </c>
      <c r="CJ50" s="515">
        <v>2954</v>
      </c>
      <c r="CK50" s="515">
        <v>2954</v>
      </c>
      <c r="CL50" s="515">
        <v>5045</v>
      </c>
      <c r="CM50" s="515">
        <v>6439</v>
      </c>
      <c r="CN50" s="515">
        <v>6937</v>
      </c>
      <c r="CO50" s="515">
        <v>6572</v>
      </c>
      <c r="CP50" s="515">
        <v>7534</v>
      </c>
      <c r="CR50" s="562"/>
      <c r="CS50" s="382" t="s">
        <v>8401</v>
      </c>
      <c r="CT50" s="1744">
        <v>2672</v>
      </c>
      <c r="CU50" s="1744">
        <v>1635</v>
      </c>
      <c r="CV50" s="1744">
        <v>1616</v>
      </c>
      <c r="CW50" s="1744">
        <v>1541</v>
      </c>
      <c r="CX50" s="1744">
        <v>51</v>
      </c>
      <c r="CY50" s="1744">
        <v>35</v>
      </c>
      <c r="CZ50" s="1744">
        <v>60</v>
      </c>
      <c r="DA50" s="1744">
        <v>945</v>
      </c>
      <c r="DB50" s="1744">
        <v>19</v>
      </c>
      <c r="DC50" s="1744">
        <v>57</v>
      </c>
      <c r="DF50" s="549" t="s">
        <v>8434</v>
      </c>
      <c r="DG50" s="549"/>
      <c r="DH50" s="549"/>
      <c r="DI50" s="549"/>
      <c r="DJ50" s="549"/>
      <c r="DK50" s="549"/>
      <c r="DL50" s="549"/>
      <c r="DM50" s="549"/>
      <c r="DN50" s="549"/>
      <c r="DO50" s="549"/>
      <c r="DP50" s="549"/>
      <c r="DQ50" s="549"/>
      <c r="DR50" s="549"/>
      <c r="DS50" s="549"/>
      <c r="DV50" s="986"/>
      <c r="DX50" s="549" t="s">
        <v>8431</v>
      </c>
      <c r="DY50" s="549"/>
      <c r="DZ50" s="549"/>
      <c r="EA50" s="549"/>
      <c r="EB50" s="549"/>
      <c r="EC50" s="549"/>
      <c r="ED50" s="549"/>
      <c r="EE50" s="549"/>
      <c r="EH50" s="1508" t="s">
        <v>8423</v>
      </c>
      <c r="EI50" s="1508"/>
      <c r="EJ50" s="1508"/>
      <c r="EK50" s="1508"/>
      <c r="EL50" s="1508"/>
      <c r="EM50" s="1508"/>
      <c r="EN50" s="1508"/>
      <c r="EO50" s="415"/>
      <c r="EQ50" s="525"/>
      <c r="ER50" s="549" t="s">
        <v>8428</v>
      </c>
      <c r="ES50" s="549"/>
      <c r="ET50" s="549"/>
      <c r="EU50" s="549"/>
      <c r="EV50" s="549"/>
      <c r="EW50" s="986"/>
      <c r="EX50" s="986"/>
      <c r="EY50" s="986"/>
      <c r="EZ50" s="986"/>
      <c r="FA50" s="986"/>
      <c r="FB50" s="986"/>
      <c r="FC50" s="861"/>
      <c r="FD50" s="986"/>
      <c r="FE50" s="862"/>
      <c r="FF50" s="525"/>
      <c r="FG50" s="862"/>
      <c r="FH50" s="862"/>
      <c r="FI50" s="862"/>
      <c r="FJ50" s="862"/>
      <c r="FK50" s="862"/>
      <c r="FL50" s="862"/>
      <c r="FM50" s="862"/>
      <c r="FN50" s="862"/>
      <c r="FO50" s="862"/>
      <c r="FP50" s="862"/>
      <c r="FQ50" s="862"/>
      <c r="FR50" s="862"/>
      <c r="FS50" s="862"/>
      <c r="FT50" s="862"/>
      <c r="FU50" s="862"/>
      <c r="FW50" s="439"/>
      <c r="FX50" s="918"/>
      <c r="FY50" s="918"/>
      <c r="FZ50" s="918"/>
      <c r="GA50" s="918"/>
      <c r="GB50" s="918"/>
      <c r="GC50" s="918"/>
      <c r="GD50" s="918"/>
      <c r="GE50" s="918"/>
      <c r="GF50" s="918"/>
      <c r="GG50" s="918"/>
      <c r="GH50" s="918"/>
      <c r="GI50" s="918"/>
      <c r="GM50" s="382"/>
      <c r="GN50" s="382"/>
      <c r="GO50" s="382"/>
      <c r="GP50" s="382"/>
      <c r="GQ50" s="382"/>
      <c r="GR50" s="382"/>
      <c r="GS50" s="382"/>
      <c r="GT50" s="382"/>
      <c r="GU50" s="382"/>
      <c r="GV50" s="382"/>
      <c r="GW50" s="382"/>
      <c r="GX50" s="414"/>
      <c r="GY50" s="414"/>
      <c r="GZ50" s="414"/>
      <c r="HA50" s="414"/>
      <c r="HB50" s="414"/>
      <c r="HC50" s="414"/>
      <c r="HD50" s="414"/>
      <c r="HE50" s="414"/>
      <c r="HF50" s="414"/>
      <c r="HG50" s="414"/>
      <c r="HH50" s="414"/>
      <c r="HI50" s="414"/>
      <c r="HJ50" s="439"/>
      <c r="HM50" s="398"/>
      <c r="HN50" s="398"/>
      <c r="HO50" s="398"/>
      <c r="HP50" s="398"/>
      <c r="HQ50" s="398"/>
      <c r="HR50" s="515"/>
      <c r="HS50" s="757"/>
      <c r="HT50" s="515"/>
      <c r="HU50" s="757"/>
      <c r="HV50" s="515"/>
      <c r="HW50" s="515"/>
      <c r="HX50" s="515"/>
      <c r="HY50" s="757"/>
      <c r="HZ50" s="515"/>
      <c r="IA50" s="515"/>
      <c r="IH50" s="902"/>
      <c r="II50" s="902"/>
      <c r="IJ50" s="902"/>
      <c r="IK50" s="902"/>
      <c r="IL50" s="902"/>
      <c r="IN50" s="549"/>
      <c r="IO50" s="902"/>
    </row>
    <row r="51" spans="1:249" ht="14.1" customHeight="1">
      <c r="K51" s="562"/>
      <c r="L51" s="562"/>
      <c r="M51" s="562"/>
      <c r="N51" s="562"/>
      <c r="O51" s="562"/>
      <c r="P51" s="562"/>
      <c r="Q51" s="562"/>
      <c r="R51" s="562"/>
      <c r="S51" s="562"/>
      <c r="T51" s="562"/>
      <c r="U51" s="562"/>
      <c r="V51" s="562"/>
      <c r="W51" s="1735" t="s">
        <v>1946</v>
      </c>
      <c r="X51" s="463">
        <f t="shared" si="24"/>
        <v>9349</v>
      </c>
      <c r="Y51" s="463">
        <v>383</v>
      </c>
      <c r="Z51" s="463">
        <v>6229</v>
      </c>
      <c r="AA51" s="463">
        <f>972+70+253+8</f>
        <v>1303</v>
      </c>
      <c r="AB51" s="463">
        <v>20</v>
      </c>
      <c r="AC51" s="463">
        <v>383</v>
      </c>
      <c r="AD51" s="463">
        <v>760</v>
      </c>
      <c r="AE51" s="463">
        <v>3</v>
      </c>
      <c r="AF51" s="463">
        <v>268</v>
      </c>
      <c r="AG51" s="562"/>
      <c r="AQ51" s="1709"/>
      <c r="AR51" s="1709"/>
      <c r="AS51" s="1709"/>
      <c r="AT51" s="1709"/>
      <c r="AU51" s="749"/>
      <c r="AV51" s="749"/>
      <c r="AW51" s="749"/>
      <c r="AX51" s="749"/>
      <c r="AY51" s="1733"/>
      <c r="BL51" s="549"/>
      <c r="BM51" s="549"/>
      <c r="BN51" s="549"/>
      <c r="CC51" s="391">
        <v>2020</v>
      </c>
      <c r="CD51" s="515">
        <f t="shared" ref="CD51:CD56" si="25">SUM(CE51:CP51)</f>
        <v>72483</v>
      </c>
      <c r="CE51" s="515">
        <v>11355</v>
      </c>
      <c r="CF51" s="515">
        <v>10391</v>
      </c>
      <c r="CG51" s="515">
        <v>11653</v>
      </c>
      <c r="CH51" s="515">
        <v>3582</v>
      </c>
      <c r="CI51" s="515">
        <v>4947</v>
      </c>
      <c r="CJ51" s="515">
        <v>4159</v>
      </c>
      <c r="CK51" s="515">
        <v>4362</v>
      </c>
      <c r="CL51" s="515">
        <v>4557</v>
      </c>
      <c r="CM51" s="515">
        <v>5350</v>
      </c>
      <c r="CN51" s="515">
        <v>5669</v>
      </c>
      <c r="CO51" s="515">
        <v>3153</v>
      </c>
      <c r="CP51" s="515">
        <v>3305</v>
      </c>
      <c r="CR51" s="562"/>
      <c r="CS51" s="382" t="s">
        <v>8407</v>
      </c>
      <c r="CT51" s="1744">
        <v>896</v>
      </c>
      <c r="CU51" s="1744">
        <v>813</v>
      </c>
      <c r="CV51" s="1744">
        <v>801</v>
      </c>
      <c r="CW51" s="1744">
        <v>785</v>
      </c>
      <c r="CX51" s="1744">
        <v>13</v>
      </c>
      <c r="CY51" s="1744">
        <v>0</v>
      </c>
      <c r="CZ51" s="1744">
        <v>17</v>
      </c>
      <c r="DA51" s="1744">
        <v>80</v>
      </c>
      <c r="DB51" s="1744">
        <v>12</v>
      </c>
      <c r="DC51" s="1744">
        <v>3</v>
      </c>
      <c r="DF51" s="549" t="s">
        <v>8438</v>
      </c>
      <c r="DG51" s="549"/>
      <c r="DH51" s="549"/>
      <c r="DI51" s="549"/>
      <c r="DJ51" s="549"/>
      <c r="DK51" s="549"/>
      <c r="DL51" s="549"/>
      <c r="DM51" s="549"/>
      <c r="DN51" s="549"/>
      <c r="DO51" s="549"/>
      <c r="DP51" s="549"/>
      <c r="DQ51" s="549"/>
      <c r="DR51" s="549"/>
      <c r="DS51" s="549"/>
      <c r="DV51" s="986"/>
      <c r="DX51" s="549" t="s">
        <v>8435</v>
      </c>
      <c r="DY51" s="549"/>
      <c r="DZ51" s="549"/>
      <c r="EA51" s="549"/>
      <c r="EB51" s="549"/>
      <c r="EC51" s="549"/>
      <c r="ED51" s="549"/>
      <c r="EE51" s="549"/>
      <c r="EH51" s="549" t="s">
        <v>8428</v>
      </c>
      <c r="EI51" s="549"/>
      <c r="EJ51" s="549"/>
      <c r="EK51" s="549"/>
      <c r="EL51" s="549"/>
      <c r="EM51" s="549"/>
      <c r="EN51" s="549"/>
      <c r="EO51" s="382"/>
      <c r="EQ51" s="525"/>
      <c r="ER51" s="549" t="s">
        <v>8431</v>
      </c>
      <c r="ES51" s="549"/>
      <c r="ET51" s="549"/>
      <c r="EU51" s="549"/>
      <c r="EV51" s="549"/>
      <c r="EW51" s="986"/>
      <c r="EX51" s="986"/>
      <c r="EY51" s="986"/>
      <c r="EZ51" s="986"/>
      <c r="FA51" s="986"/>
      <c r="FB51" s="986"/>
      <c r="FC51" s="861"/>
      <c r="FD51" s="986"/>
      <c r="FE51" s="862"/>
      <c r="FF51" s="525"/>
      <c r="FG51" s="862"/>
      <c r="FH51" s="862"/>
      <c r="FI51" s="862"/>
      <c r="FJ51" s="862"/>
      <c r="FK51" s="862"/>
      <c r="FL51" s="862"/>
      <c r="FM51" s="862"/>
      <c r="FN51" s="862"/>
      <c r="FO51" s="862"/>
      <c r="FP51" s="862"/>
      <c r="FQ51" s="862"/>
      <c r="FR51" s="862"/>
      <c r="FS51" s="862"/>
      <c r="FT51" s="862"/>
      <c r="FU51" s="862"/>
      <c r="FW51" s="439"/>
      <c r="FX51" s="918"/>
      <c r="FY51" s="918"/>
      <c r="FZ51" s="918"/>
      <c r="GA51" s="918"/>
      <c r="GB51" s="918"/>
      <c r="GC51" s="918"/>
      <c r="GD51" s="918"/>
      <c r="GE51" s="918"/>
      <c r="GF51" s="918"/>
      <c r="GG51" s="918"/>
      <c r="GH51" s="918"/>
      <c r="GI51" s="918"/>
      <c r="GM51" s="382"/>
      <c r="GN51" s="382"/>
      <c r="GO51" s="382"/>
      <c r="GP51" s="382"/>
      <c r="GQ51" s="382"/>
      <c r="GR51" s="382"/>
      <c r="GS51" s="382"/>
      <c r="GT51" s="382"/>
      <c r="GU51" s="382"/>
      <c r="GV51" s="382"/>
      <c r="GW51" s="382"/>
      <c r="GX51" s="1757"/>
      <c r="GY51" s="1757"/>
      <c r="GZ51" s="1757"/>
      <c r="HA51" s="1757"/>
      <c r="HB51" s="1757"/>
      <c r="HC51" s="1757"/>
      <c r="HD51" s="1757"/>
      <c r="HE51" s="1757"/>
      <c r="HF51" s="1757"/>
      <c r="HG51" s="1757"/>
      <c r="HH51" s="1757"/>
      <c r="HI51" s="1757"/>
      <c r="HJ51" s="473"/>
      <c r="HM51" s="398"/>
      <c r="HN51" s="398"/>
      <c r="HO51" s="398"/>
      <c r="HP51" s="398"/>
      <c r="HQ51" s="398"/>
      <c r="HR51" s="515"/>
      <c r="HS51" s="515"/>
      <c r="HT51" s="515"/>
      <c r="HU51" s="515"/>
      <c r="HV51" s="515"/>
      <c r="HW51" s="515"/>
      <c r="HX51" s="515"/>
      <c r="HY51" s="515"/>
      <c r="HZ51" s="515"/>
      <c r="IA51" s="515"/>
      <c r="IH51" s="902"/>
      <c r="II51" s="902"/>
      <c r="IJ51" s="902"/>
      <c r="IK51" s="902"/>
      <c r="IL51" s="902"/>
      <c r="IN51" s="549"/>
      <c r="IO51" s="902"/>
    </row>
    <row r="52" spans="1:249" ht="14.1" customHeight="1">
      <c r="K52" s="549"/>
      <c r="L52" s="861"/>
      <c r="M52" s="549"/>
      <c r="N52" s="549"/>
      <c r="O52" s="549"/>
      <c r="P52" s="549"/>
      <c r="Q52" s="549"/>
      <c r="R52" s="549"/>
      <c r="S52" s="549"/>
      <c r="T52" s="549"/>
      <c r="U52" s="549"/>
      <c r="V52" s="861"/>
      <c r="W52" s="1735" t="s">
        <v>1947</v>
      </c>
      <c r="X52" s="463">
        <f t="shared" si="24"/>
        <v>11234</v>
      </c>
      <c r="Y52" s="463">
        <v>562</v>
      </c>
      <c r="Z52" s="463">
        <v>4852</v>
      </c>
      <c r="AA52" s="463">
        <f>1014+104+310+13</f>
        <v>1441</v>
      </c>
      <c r="AB52" s="463">
        <v>20</v>
      </c>
      <c r="AC52" s="463">
        <v>634</v>
      </c>
      <c r="AD52" s="463">
        <v>3239</v>
      </c>
      <c r="AE52" s="463">
        <v>8</v>
      </c>
      <c r="AF52" s="463">
        <v>478</v>
      </c>
      <c r="AG52" s="861"/>
      <c r="AQ52" s="1709"/>
      <c r="AR52" s="1709"/>
      <c r="AS52" s="1709"/>
      <c r="AT52" s="1709"/>
      <c r="AU52" s="749"/>
      <c r="AV52" s="749"/>
      <c r="AW52" s="749"/>
      <c r="AX52" s="749"/>
      <c r="AY52" s="1733"/>
      <c r="CC52" s="391">
        <v>2019</v>
      </c>
      <c r="CD52" s="515">
        <f t="shared" si="25"/>
        <v>153515</v>
      </c>
      <c r="CE52" s="515">
        <v>13252</v>
      </c>
      <c r="CF52" s="515">
        <v>11584</v>
      </c>
      <c r="CG52" s="515">
        <v>12768</v>
      </c>
      <c r="CH52" s="515">
        <v>12332</v>
      </c>
      <c r="CI52" s="515">
        <v>12855</v>
      </c>
      <c r="CJ52" s="515">
        <v>12890</v>
      </c>
      <c r="CK52" s="515">
        <v>13325</v>
      </c>
      <c r="CL52" s="515">
        <v>13515</v>
      </c>
      <c r="CM52" s="515">
        <v>12790</v>
      </c>
      <c r="CN52" s="515">
        <v>13435</v>
      </c>
      <c r="CO52" s="515">
        <v>12890</v>
      </c>
      <c r="CP52" s="515">
        <v>11879</v>
      </c>
      <c r="CR52" s="562"/>
      <c r="CS52" s="382" t="s">
        <v>467</v>
      </c>
      <c r="CT52" s="1576" t="s">
        <v>546</v>
      </c>
      <c r="CU52" s="1576" t="s">
        <v>546</v>
      </c>
      <c r="CV52" s="1576" t="s">
        <v>546</v>
      </c>
      <c r="CW52" s="1576" t="s">
        <v>546</v>
      </c>
      <c r="CX52" s="1576" t="s">
        <v>546</v>
      </c>
      <c r="CY52" s="1576" t="s">
        <v>546</v>
      </c>
      <c r="CZ52" s="1576" t="s">
        <v>546</v>
      </c>
      <c r="DA52" s="1576" t="s">
        <v>546</v>
      </c>
      <c r="DB52" s="1576" t="s">
        <v>546</v>
      </c>
      <c r="DC52" s="1576" t="s">
        <v>546</v>
      </c>
      <c r="DF52" s="549"/>
      <c r="DG52" s="549"/>
      <c r="DH52" s="549"/>
      <c r="DI52" s="549"/>
      <c r="DJ52" s="549"/>
      <c r="DK52" s="549"/>
      <c r="DL52" s="549"/>
      <c r="DM52" s="549"/>
      <c r="DN52" s="549"/>
      <c r="DO52" s="549"/>
      <c r="DP52" s="549"/>
      <c r="DQ52" s="549"/>
      <c r="DR52" s="549"/>
      <c r="DS52" s="549"/>
      <c r="DV52" s="986"/>
      <c r="DX52" s="549" t="s">
        <v>8439</v>
      </c>
      <c r="DY52" s="549"/>
      <c r="DZ52" s="549"/>
      <c r="EA52" s="549"/>
      <c r="EB52" s="549"/>
      <c r="EC52" s="549"/>
      <c r="ED52" s="549"/>
      <c r="EE52" s="549"/>
      <c r="EH52" s="549" t="s">
        <v>8431</v>
      </c>
      <c r="EI52" s="549"/>
      <c r="EJ52" s="549"/>
      <c r="EK52" s="549"/>
      <c r="EL52" s="549"/>
      <c r="EM52" s="549"/>
      <c r="EN52" s="549"/>
      <c r="EO52" s="382"/>
      <c r="EQ52" s="525"/>
      <c r="ER52" s="549" t="s">
        <v>8435</v>
      </c>
      <c r="ES52" s="986"/>
      <c r="ET52" s="986"/>
      <c r="EU52" s="986"/>
      <c r="EV52" s="986"/>
      <c r="EW52" s="986"/>
      <c r="EX52" s="986"/>
      <c r="EY52" s="986"/>
      <c r="EZ52" s="986"/>
      <c r="FA52" s="986"/>
      <c r="FB52" s="986"/>
      <c r="FC52" s="861"/>
      <c r="FD52" s="986"/>
      <c r="FE52" s="862"/>
      <c r="FF52" s="525"/>
      <c r="FG52" s="862"/>
      <c r="FH52" s="862"/>
      <c r="FI52" s="862"/>
      <c r="FJ52" s="862"/>
      <c r="FK52" s="862"/>
      <c r="FL52" s="862"/>
      <c r="FM52" s="862"/>
      <c r="FN52" s="862"/>
      <c r="FO52" s="862"/>
      <c r="FP52" s="862"/>
      <c r="FQ52" s="862"/>
      <c r="FR52" s="862"/>
      <c r="FS52" s="862"/>
      <c r="FT52" s="862"/>
      <c r="FU52" s="862"/>
      <c r="FW52" s="439"/>
      <c r="FX52" s="918"/>
      <c r="FY52" s="918"/>
      <c r="FZ52" s="918"/>
      <c r="GA52" s="918"/>
      <c r="GB52" s="918"/>
      <c r="GC52" s="918"/>
      <c r="GD52" s="918"/>
      <c r="GE52" s="918"/>
      <c r="GF52" s="918"/>
      <c r="GG52" s="918"/>
      <c r="GH52" s="918"/>
      <c r="GI52" s="918"/>
      <c r="GM52" s="382"/>
      <c r="GN52" s="382"/>
      <c r="GO52" s="382"/>
      <c r="GP52" s="382"/>
      <c r="GQ52" s="382"/>
      <c r="GR52" s="382"/>
      <c r="GS52" s="382"/>
      <c r="GT52" s="382"/>
      <c r="GU52" s="382"/>
      <c r="GV52" s="382"/>
      <c r="GW52" s="382"/>
      <c r="GX52" s="1757"/>
      <c r="GY52" s="1757"/>
      <c r="GZ52" s="1757"/>
      <c r="HA52" s="1757"/>
      <c r="HB52" s="1757"/>
      <c r="HC52" s="1757"/>
      <c r="HD52" s="1757"/>
      <c r="HE52" s="1757"/>
      <c r="HF52" s="1757"/>
      <c r="HG52" s="1757"/>
      <c r="HH52" s="1757"/>
      <c r="HI52" s="1757"/>
      <c r="HJ52" s="473"/>
      <c r="HM52" s="398"/>
      <c r="HN52" s="398"/>
      <c r="HO52" s="398"/>
      <c r="HP52" s="398"/>
      <c r="HQ52" s="398"/>
      <c r="HR52" s="515"/>
      <c r="HS52" s="515"/>
      <c r="HT52" s="515"/>
      <c r="HU52" s="515"/>
      <c r="HV52" s="515"/>
      <c r="HW52" s="515"/>
      <c r="HX52" s="515"/>
      <c r="HY52" s="515"/>
      <c r="HZ52" s="515"/>
      <c r="IA52" s="515"/>
      <c r="IH52" s="902"/>
      <c r="II52" s="902"/>
      <c r="IJ52" s="902"/>
      <c r="IK52" s="902"/>
      <c r="IL52" s="902"/>
      <c r="IN52" s="549"/>
      <c r="IO52" s="902"/>
    </row>
    <row r="53" spans="1:249" ht="14.1" customHeight="1">
      <c r="K53" s="562"/>
      <c r="L53" s="562"/>
      <c r="M53" s="571"/>
      <c r="N53" s="571"/>
      <c r="O53" s="571"/>
      <c r="P53" s="571"/>
      <c r="Q53" s="571"/>
      <c r="R53" s="571"/>
      <c r="S53" s="571"/>
      <c r="T53" s="571"/>
      <c r="U53" s="571"/>
      <c r="V53" s="562"/>
      <c r="W53" s="1735" t="s">
        <v>1948</v>
      </c>
      <c r="X53" s="463">
        <f t="shared" si="24"/>
        <v>19998</v>
      </c>
      <c r="Y53" s="463">
        <v>1137</v>
      </c>
      <c r="Z53" s="463">
        <v>6088</v>
      </c>
      <c r="AA53" s="463">
        <f>1247+161+330+22</f>
        <v>1760</v>
      </c>
      <c r="AB53" s="463">
        <v>22</v>
      </c>
      <c r="AC53" s="463">
        <v>638</v>
      </c>
      <c r="AD53" s="463">
        <v>9947</v>
      </c>
      <c r="AE53" s="463">
        <v>20</v>
      </c>
      <c r="AF53" s="463">
        <v>386</v>
      </c>
      <c r="AG53" s="562"/>
      <c r="AQ53" s="1709"/>
      <c r="AR53" s="1709"/>
      <c r="AS53" s="1709"/>
      <c r="AT53" s="1709"/>
      <c r="AU53" s="749"/>
      <c r="AV53" s="749"/>
      <c r="AW53" s="749"/>
      <c r="AX53" s="749"/>
      <c r="AY53" s="1733"/>
      <c r="CC53" s="391">
        <v>2018</v>
      </c>
      <c r="CD53" s="515">
        <f t="shared" si="25"/>
        <v>141713</v>
      </c>
      <c r="CE53" s="515">
        <v>12880</v>
      </c>
      <c r="CF53" s="515">
        <v>10312</v>
      </c>
      <c r="CG53" s="515">
        <v>12176</v>
      </c>
      <c r="CH53" s="515">
        <v>11976</v>
      </c>
      <c r="CI53" s="515">
        <v>12300</v>
      </c>
      <c r="CJ53" s="515">
        <v>11532</v>
      </c>
      <c r="CK53" s="515">
        <v>12216</v>
      </c>
      <c r="CL53" s="515">
        <v>12216</v>
      </c>
      <c r="CM53" s="515">
        <v>9596</v>
      </c>
      <c r="CN53" s="515">
        <v>11536</v>
      </c>
      <c r="CO53" s="515">
        <v>11684</v>
      </c>
      <c r="CP53" s="515">
        <v>13289</v>
      </c>
      <c r="CR53" s="562"/>
      <c r="CS53" s="382" t="s">
        <v>8414</v>
      </c>
      <c r="CT53" s="1576" t="s">
        <v>546</v>
      </c>
      <c r="CU53" s="1576" t="s">
        <v>546</v>
      </c>
      <c r="CV53" s="1576" t="s">
        <v>546</v>
      </c>
      <c r="CW53" s="1576" t="s">
        <v>546</v>
      </c>
      <c r="CX53" s="1576" t="s">
        <v>546</v>
      </c>
      <c r="CY53" s="1576" t="s">
        <v>546</v>
      </c>
      <c r="CZ53" s="1576" t="s">
        <v>546</v>
      </c>
      <c r="DA53" s="1576" t="s">
        <v>546</v>
      </c>
      <c r="DB53" s="1576" t="s">
        <v>546</v>
      </c>
      <c r="DC53" s="1576" t="s">
        <v>546</v>
      </c>
      <c r="DF53" s="549"/>
      <c r="DG53" s="549"/>
      <c r="DH53" s="549"/>
      <c r="DI53" s="549"/>
      <c r="DJ53" s="549"/>
      <c r="DK53" s="549"/>
      <c r="DL53" s="549"/>
      <c r="DM53" s="549"/>
      <c r="DN53" s="549"/>
      <c r="DO53" s="549"/>
      <c r="DP53" s="549"/>
      <c r="DQ53" s="549"/>
      <c r="DR53" s="549"/>
      <c r="DS53" s="549"/>
      <c r="DV53" s="986"/>
      <c r="DX53" s="549" t="s">
        <v>8442</v>
      </c>
      <c r="DY53" s="549"/>
      <c r="DZ53" s="549"/>
      <c r="EA53" s="549"/>
      <c r="EB53" s="549"/>
      <c r="EC53" s="549"/>
      <c r="ED53" s="549"/>
      <c r="EE53" s="549"/>
      <c r="EH53" s="549" t="s">
        <v>8435</v>
      </c>
      <c r="EI53" s="549"/>
      <c r="EJ53" s="549"/>
      <c r="EK53" s="549"/>
      <c r="EL53" s="549"/>
      <c r="EM53" s="549"/>
      <c r="EN53" s="549"/>
      <c r="EO53" s="382"/>
      <c r="EQ53" s="525"/>
      <c r="ER53" s="549" t="s">
        <v>8443</v>
      </c>
      <c r="ES53" s="986"/>
      <c r="ET53" s="986"/>
      <c r="EU53" s="986"/>
      <c r="EV53" s="986"/>
      <c r="EW53" s="986"/>
      <c r="EX53" s="986"/>
      <c r="EY53" s="986"/>
      <c r="EZ53" s="986"/>
      <c r="FA53" s="986"/>
      <c r="FB53" s="986"/>
      <c r="FC53" s="861"/>
      <c r="FD53" s="986"/>
      <c r="FE53" s="862"/>
      <c r="FF53" s="525"/>
      <c r="FG53" s="862"/>
      <c r="FH53" s="862"/>
      <c r="FI53" s="862"/>
      <c r="FJ53" s="862"/>
      <c r="FK53" s="862"/>
      <c r="FL53" s="862"/>
      <c r="FM53" s="862"/>
      <c r="FN53" s="862"/>
      <c r="FO53" s="862"/>
      <c r="FP53" s="862"/>
      <c r="FQ53" s="862"/>
      <c r="FR53" s="862"/>
      <c r="FS53" s="862"/>
      <c r="FT53" s="862"/>
      <c r="FU53" s="862"/>
      <c r="FW53" s="439"/>
      <c r="FX53" s="463"/>
      <c r="FY53" s="463"/>
      <c r="FZ53" s="463"/>
      <c r="GA53" s="463"/>
      <c r="GB53" s="463"/>
      <c r="GC53" s="463"/>
      <c r="GD53" s="463"/>
      <c r="GE53" s="463"/>
      <c r="GF53" s="463"/>
      <c r="GG53" s="463"/>
      <c r="GH53" s="463"/>
      <c r="GI53" s="463"/>
      <c r="GM53" s="382"/>
      <c r="GN53" s="382"/>
      <c r="GO53" s="382"/>
      <c r="GP53" s="382"/>
      <c r="GQ53" s="382"/>
      <c r="GR53" s="382"/>
      <c r="GS53" s="382"/>
      <c r="GT53" s="382"/>
      <c r="GU53" s="382"/>
      <c r="GV53" s="382"/>
      <c r="GW53" s="382"/>
      <c r="GX53" s="1757"/>
      <c r="GY53" s="1757"/>
      <c r="GZ53" s="1757"/>
      <c r="HA53" s="1757"/>
      <c r="HB53" s="1757"/>
      <c r="HC53" s="1757"/>
      <c r="HD53" s="1757"/>
      <c r="HE53" s="1757"/>
      <c r="HF53" s="1757"/>
      <c r="HG53" s="1757"/>
      <c r="HH53" s="1757"/>
      <c r="HI53" s="1757"/>
      <c r="HJ53" s="473"/>
      <c r="HM53" s="398"/>
      <c r="HN53" s="398"/>
      <c r="HO53" s="398"/>
      <c r="HP53" s="398"/>
      <c r="HQ53" s="398"/>
      <c r="HR53" s="515"/>
      <c r="HS53" s="515"/>
      <c r="HT53" s="515"/>
      <c r="HU53" s="515"/>
      <c r="HV53" s="515"/>
      <c r="HW53" s="515"/>
      <c r="HX53" s="515"/>
      <c r="HY53" s="515"/>
      <c r="HZ53" s="515"/>
      <c r="IA53" s="515"/>
      <c r="IH53" s="902"/>
      <c r="II53" s="902"/>
      <c r="IJ53" s="902"/>
      <c r="IK53" s="902"/>
      <c r="IL53" s="902"/>
      <c r="IN53" s="549"/>
      <c r="IO53" s="902"/>
    </row>
    <row r="54" spans="1:249" ht="14.1" customHeight="1">
      <c r="K54" s="562"/>
      <c r="L54" s="562"/>
      <c r="M54" s="549"/>
      <c r="N54" s="549"/>
      <c r="O54" s="549"/>
      <c r="P54" s="549"/>
      <c r="Q54" s="549"/>
      <c r="R54" s="549"/>
      <c r="S54" s="549"/>
      <c r="T54" s="549"/>
      <c r="U54" s="549"/>
      <c r="V54" s="562"/>
      <c r="W54" s="1735" t="s">
        <v>1949</v>
      </c>
      <c r="X54" s="463">
        <f t="shared" si="24"/>
        <v>28246</v>
      </c>
      <c r="Y54" s="463">
        <v>1190</v>
      </c>
      <c r="Z54" s="463">
        <v>7088</v>
      </c>
      <c r="AA54" s="463">
        <f>1804+357+286+28</f>
        <v>2475</v>
      </c>
      <c r="AB54" s="463">
        <v>29</v>
      </c>
      <c r="AC54" s="463">
        <v>686</v>
      </c>
      <c r="AD54" s="463">
        <v>16298</v>
      </c>
      <c r="AE54" s="463">
        <v>10</v>
      </c>
      <c r="AF54" s="463">
        <v>470</v>
      </c>
      <c r="AG54" s="562"/>
      <c r="AQ54" s="1709"/>
      <c r="AR54" s="1709"/>
      <c r="AS54" s="1709"/>
      <c r="AT54" s="1709"/>
      <c r="AU54" s="749"/>
      <c r="AV54" s="749"/>
      <c r="AW54" s="749"/>
      <c r="AX54" s="749"/>
      <c r="AY54" s="1733"/>
      <c r="CC54" s="391">
        <v>2017</v>
      </c>
      <c r="CD54" s="515">
        <f t="shared" si="25"/>
        <v>175208</v>
      </c>
      <c r="CE54" s="515">
        <v>15576</v>
      </c>
      <c r="CF54" s="515">
        <v>13744</v>
      </c>
      <c r="CG54" s="515">
        <v>15230</v>
      </c>
      <c r="CH54" s="515">
        <v>15660</v>
      </c>
      <c r="CI54" s="515">
        <v>16080</v>
      </c>
      <c r="CJ54" s="515">
        <v>15148</v>
      </c>
      <c r="CK54" s="515">
        <v>15684</v>
      </c>
      <c r="CL54" s="515">
        <v>14604</v>
      </c>
      <c r="CM54" s="515">
        <v>12910</v>
      </c>
      <c r="CN54" s="515">
        <v>13018</v>
      </c>
      <c r="CO54" s="515">
        <v>12974</v>
      </c>
      <c r="CP54" s="515">
        <v>14580</v>
      </c>
      <c r="CR54" s="549"/>
      <c r="CS54" s="382" t="s">
        <v>530</v>
      </c>
      <c r="CT54" s="1744">
        <v>231</v>
      </c>
      <c r="CU54" s="1744">
        <v>161</v>
      </c>
      <c r="CV54" s="1744">
        <v>151</v>
      </c>
      <c r="CW54" s="1744">
        <v>144</v>
      </c>
      <c r="CX54" s="1744">
        <v>7</v>
      </c>
      <c r="CY54" s="1576">
        <v>0</v>
      </c>
      <c r="CZ54" s="1744">
        <v>7</v>
      </c>
      <c r="DA54" s="1744">
        <v>58</v>
      </c>
      <c r="DB54" s="1744">
        <v>10</v>
      </c>
      <c r="DC54" s="1744">
        <v>12</v>
      </c>
      <c r="DV54" s="986"/>
      <c r="DX54" s="549"/>
      <c r="DY54" s="549"/>
      <c r="DZ54" s="549"/>
      <c r="EA54" s="549"/>
      <c r="EB54" s="549"/>
      <c r="EC54" s="549"/>
      <c r="ED54" s="549"/>
      <c r="EE54" s="549"/>
      <c r="EH54" s="549" t="s">
        <v>8439</v>
      </c>
      <c r="EI54" s="549"/>
      <c r="EJ54" s="549"/>
      <c r="EK54" s="549"/>
      <c r="EL54" s="549"/>
      <c r="EM54" s="549"/>
      <c r="EN54" s="549"/>
      <c r="EQ54" s="525"/>
      <c r="ER54" s="549"/>
      <c r="ES54" s="549"/>
      <c r="ET54" s="549"/>
      <c r="EU54" s="549"/>
      <c r="EV54" s="549"/>
      <c r="EW54" s="549"/>
      <c r="EX54" s="549"/>
      <c r="EY54" s="549"/>
      <c r="EZ54" s="549"/>
      <c r="FA54" s="549"/>
      <c r="FB54" s="549"/>
      <c r="FC54" s="549"/>
      <c r="FD54" s="549"/>
      <c r="FH54" s="862"/>
      <c r="FI54" s="862"/>
      <c r="FJ54" s="862"/>
      <c r="FK54" s="862"/>
      <c r="FL54" s="862"/>
      <c r="FM54" s="862"/>
      <c r="FN54" s="862"/>
      <c r="FO54" s="862"/>
      <c r="FP54" s="862"/>
      <c r="FQ54" s="862"/>
      <c r="FR54" s="862"/>
      <c r="FS54" s="862"/>
      <c r="FT54" s="862"/>
      <c r="FU54" s="862"/>
      <c r="FW54" s="637"/>
      <c r="FX54" s="1757"/>
      <c r="FY54" s="1757"/>
      <c r="FZ54" s="1757"/>
      <c r="GA54" s="1757"/>
      <c r="GB54" s="1757"/>
      <c r="GC54" s="1757"/>
      <c r="GD54" s="1757"/>
      <c r="GE54" s="1757"/>
      <c r="GF54" s="1757"/>
      <c r="GG54" s="1757"/>
      <c r="GH54" s="1757"/>
      <c r="GI54" s="1757"/>
      <c r="GJ54" s="473"/>
      <c r="GM54" s="382"/>
      <c r="GN54" s="382"/>
      <c r="GO54" s="382"/>
      <c r="GP54" s="382"/>
      <c r="GQ54" s="382"/>
      <c r="GR54" s="382"/>
      <c r="GS54" s="382"/>
      <c r="GT54" s="382"/>
      <c r="GU54" s="382"/>
      <c r="GV54" s="382"/>
      <c r="GW54" s="382"/>
      <c r="GX54" s="1757"/>
      <c r="GY54" s="1757"/>
      <c r="GZ54" s="1757"/>
      <c r="HA54" s="1757"/>
      <c r="HB54" s="1757"/>
      <c r="HC54" s="1757"/>
      <c r="HD54" s="1757"/>
      <c r="HE54" s="1757"/>
      <c r="HF54" s="1757"/>
      <c r="HG54" s="1757"/>
      <c r="HH54" s="1757"/>
      <c r="HI54" s="1757"/>
      <c r="HJ54" s="473"/>
      <c r="HM54" s="398"/>
      <c r="HN54" s="398"/>
      <c r="HO54" s="398"/>
      <c r="HP54" s="398"/>
      <c r="HQ54" s="398"/>
      <c r="HR54" s="515"/>
      <c r="HS54" s="515"/>
      <c r="HT54" s="515"/>
      <c r="HU54" s="757"/>
      <c r="HV54" s="515"/>
      <c r="HW54" s="515"/>
      <c r="HX54" s="515"/>
      <c r="HY54" s="757"/>
      <c r="HZ54" s="515"/>
      <c r="IA54" s="515"/>
      <c r="IH54" s="902"/>
      <c r="II54" s="902"/>
      <c r="IJ54" s="902"/>
      <c r="IK54" s="902"/>
      <c r="IL54" s="902"/>
      <c r="IN54" s="549"/>
      <c r="IO54" s="902"/>
    </row>
    <row r="55" spans="1:249">
      <c r="K55" s="562"/>
      <c r="L55" s="562"/>
      <c r="M55" s="549"/>
      <c r="N55" s="549"/>
      <c r="O55" s="549"/>
      <c r="P55" s="549"/>
      <c r="Q55" s="549"/>
      <c r="R55" s="549"/>
      <c r="S55" s="549"/>
      <c r="T55" s="549"/>
      <c r="U55" s="549"/>
      <c r="V55" s="562"/>
      <c r="W55" s="1735" t="s">
        <v>1950</v>
      </c>
      <c r="X55" s="463">
        <f t="shared" si="24"/>
        <v>41032</v>
      </c>
      <c r="Y55" s="463">
        <v>2106</v>
      </c>
      <c r="Z55" s="463">
        <v>6389</v>
      </c>
      <c r="AA55" s="463">
        <f>2238+414+269+10</f>
        <v>2931</v>
      </c>
      <c r="AB55" s="463">
        <v>37</v>
      </c>
      <c r="AC55" s="463">
        <v>845</v>
      </c>
      <c r="AD55" s="463">
        <v>28063</v>
      </c>
      <c r="AE55" s="463">
        <v>24</v>
      </c>
      <c r="AF55" s="463">
        <v>637</v>
      </c>
      <c r="AG55" s="562"/>
      <c r="AQ55" s="1709"/>
      <c r="AR55" s="1709"/>
      <c r="AS55" s="1709"/>
      <c r="AT55" s="1709"/>
      <c r="AU55" s="749"/>
      <c r="AV55" s="749"/>
      <c r="AW55" s="749"/>
      <c r="AX55" s="749"/>
      <c r="AY55" s="1733"/>
      <c r="CC55" s="391">
        <v>2016</v>
      </c>
      <c r="CD55" s="515">
        <f t="shared" si="25"/>
        <v>171344</v>
      </c>
      <c r="CE55" s="515">
        <v>12288</v>
      </c>
      <c r="CF55" s="515">
        <v>11864</v>
      </c>
      <c r="CG55" s="515">
        <v>14328</v>
      </c>
      <c r="CH55" s="515">
        <v>14450</v>
      </c>
      <c r="CI55" s="515">
        <v>15288</v>
      </c>
      <c r="CJ55" s="515">
        <v>14882</v>
      </c>
      <c r="CK55" s="515">
        <v>15576</v>
      </c>
      <c r="CL55" s="515">
        <v>14916</v>
      </c>
      <c r="CM55" s="515">
        <v>13834</v>
      </c>
      <c r="CN55" s="515">
        <v>14234</v>
      </c>
      <c r="CO55" s="515">
        <v>14154</v>
      </c>
      <c r="CP55" s="515">
        <v>15530</v>
      </c>
      <c r="CR55" s="902"/>
      <c r="CS55" s="381" t="s">
        <v>8420</v>
      </c>
      <c r="CT55" s="1769">
        <f>6772+1473+229+196</f>
        <v>8670</v>
      </c>
      <c r="CU55" s="1769">
        <f>4074+1114+152+136</f>
        <v>5476</v>
      </c>
      <c r="CV55" s="1769">
        <f>3877+1110+152+108</f>
        <v>5247</v>
      </c>
      <c r="CW55" s="1769">
        <f>3759+1088+150+100</f>
        <v>5097</v>
      </c>
      <c r="CX55" s="1769">
        <f>63+16+4+1</f>
        <v>84</v>
      </c>
      <c r="CY55" s="1768">
        <f>73+89+6</f>
        <v>168</v>
      </c>
      <c r="CZ55" s="1769">
        <f>70+21+5+1</f>
        <v>97</v>
      </c>
      <c r="DA55" s="1769">
        <f>2312+260+54+51</f>
        <v>2677</v>
      </c>
      <c r="DB55" s="1769">
        <f>197+4+28</f>
        <v>229</v>
      </c>
      <c r="DC55" s="1769">
        <f>313+10+20+6</f>
        <v>349</v>
      </c>
      <c r="DF55" s="381" t="s">
        <v>8490</v>
      </c>
      <c r="DG55" s="381"/>
      <c r="DH55" s="381"/>
      <c r="DI55" s="381"/>
      <c r="DJ55" s="381"/>
      <c r="DK55" s="381"/>
      <c r="DL55" s="381"/>
      <c r="DM55" s="381"/>
      <c r="DN55" s="381"/>
      <c r="DO55" s="586"/>
      <c r="DP55" s="586"/>
      <c r="DQ55" s="586"/>
      <c r="DR55" s="586"/>
      <c r="DS55" s="586"/>
      <c r="DT55" s="586"/>
      <c r="DU55" s="586"/>
      <c r="DV55" s="986"/>
      <c r="EH55" s="549" t="s">
        <v>8442</v>
      </c>
      <c r="EI55" s="549"/>
      <c r="EJ55" s="549"/>
      <c r="EK55" s="549"/>
      <c r="EL55" s="549"/>
      <c r="EM55" s="549"/>
      <c r="EN55" s="549"/>
      <c r="EQ55" s="525"/>
      <c r="FH55" s="862"/>
      <c r="FI55" s="862"/>
      <c r="FJ55" s="862"/>
      <c r="FK55" s="862"/>
      <c r="FL55" s="862"/>
      <c r="FM55" s="862"/>
      <c r="FN55" s="862"/>
      <c r="FO55" s="862"/>
      <c r="FP55" s="862"/>
      <c r="FQ55" s="862"/>
      <c r="FR55" s="862"/>
      <c r="FS55" s="862"/>
      <c r="FT55" s="862"/>
      <c r="FU55" s="862"/>
      <c r="FW55" s="637"/>
      <c r="FX55" s="1757"/>
      <c r="FY55" s="1757"/>
      <c r="FZ55" s="1757"/>
      <c r="GA55" s="1757"/>
      <c r="GB55" s="1757"/>
      <c r="GC55" s="1757"/>
      <c r="GD55" s="1757"/>
      <c r="GE55" s="1757"/>
      <c r="GF55" s="1757"/>
      <c r="GG55" s="1757"/>
      <c r="GH55" s="1757"/>
      <c r="GI55" s="1757"/>
      <c r="GJ55" s="473"/>
      <c r="GM55" s="382"/>
      <c r="GN55" s="382"/>
      <c r="GO55" s="382"/>
      <c r="GP55" s="382"/>
      <c r="GQ55" s="382"/>
      <c r="GR55" s="382"/>
      <c r="GS55" s="382"/>
      <c r="GT55" s="382"/>
      <c r="GU55" s="382"/>
      <c r="GV55" s="382"/>
      <c r="GW55" s="382"/>
      <c r="GX55" s="1757"/>
      <c r="GY55" s="1757"/>
      <c r="GZ55" s="1757"/>
      <c r="HA55" s="1757"/>
      <c r="HB55" s="1757"/>
      <c r="HC55" s="1757"/>
      <c r="HD55" s="1757"/>
      <c r="HE55" s="1757"/>
      <c r="HF55" s="1757"/>
      <c r="HG55" s="1757"/>
      <c r="HH55" s="1757"/>
      <c r="HI55" s="1757"/>
      <c r="HJ55" s="473"/>
      <c r="HM55" s="398"/>
      <c r="HN55" s="398"/>
      <c r="HO55" s="398"/>
      <c r="HP55" s="398"/>
      <c r="HQ55" s="398"/>
      <c r="HR55" s="515"/>
      <c r="HS55" s="515"/>
      <c r="HT55" s="515"/>
      <c r="HU55" s="515"/>
      <c r="HV55" s="515"/>
      <c r="HW55" s="515"/>
      <c r="HX55" s="515"/>
      <c r="HY55" s="515"/>
      <c r="HZ55" s="515"/>
      <c r="IA55" s="515"/>
      <c r="IH55" s="902"/>
      <c r="II55" s="902"/>
      <c r="IJ55" s="902"/>
      <c r="IK55" s="902"/>
      <c r="IL55" s="902"/>
      <c r="IN55" s="549"/>
      <c r="IO55" s="902"/>
    </row>
    <row r="56" spans="1:249">
      <c r="K56" s="562"/>
      <c r="L56" s="562"/>
      <c r="M56" s="549"/>
      <c r="N56" s="549"/>
      <c r="O56" s="549"/>
      <c r="P56" s="549"/>
      <c r="Q56" s="549"/>
      <c r="R56" s="549"/>
      <c r="S56" s="549"/>
      <c r="T56" s="549"/>
      <c r="U56" s="549"/>
      <c r="V56" s="562"/>
      <c r="W56" s="1735" t="s">
        <v>1951</v>
      </c>
      <c r="X56" s="463">
        <f t="shared" si="24"/>
        <v>37438</v>
      </c>
      <c r="Y56" s="463">
        <v>2916</v>
      </c>
      <c r="Z56" s="463">
        <v>5808</v>
      </c>
      <c r="AA56" s="463">
        <f>1871+288+393+17</f>
        <v>2569</v>
      </c>
      <c r="AB56" s="463">
        <v>105</v>
      </c>
      <c r="AC56" s="463">
        <v>743</v>
      </c>
      <c r="AD56" s="463">
        <v>24751</v>
      </c>
      <c r="AE56" s="463">
        <v>18</v>
      </c>
      <c r="AF56" s="463">
        <v>528</v>
      </c>
      <c r="AG56" s="562"/>
      <c r="AQ56" s="1709"/>
      <c r="AR56" s="1709"/>
      <c r="AS56" s="1709"/>
      <c r="AT56" s="1709"/>
      <c r="AU56" s="749"/>
      <c r="AV56" s="749"/>
      <c r="AW56" s="749"/>
      <c r="AX56" s="749"/>
      <c r="AY56" s="1733"/>
      <c r="CC56" s="391">
        <v>2015</v>
      </c>
      <c r="CD56" s="515">
        <f t="shared" si="25"/>
        <v>123227</v>
      </c>
      <c r="CE56" s="1931">
        <v>11481</v>
      </c>
      <c r="CF56" s="1931">
        <v>8710</v>
      </c>
      <c r="CG56" s="1931">
        <v>9600</v>
      </c>
      <c r="CH56" s="1931">
        <v>9833</v>
      </c>
      <c r="CI56" s="1931">
        <v>10344</v>
      </c>
      <c r="CJ56" s="1931">
        <v>10350</v>
      </c>
      <c r="CK56" s="1931">
        <v>10825</v>
      </c>
      <c r="CL56" s="1931">
        <v>10344</v>
      </c>
      <c r="CM56" s="1931">
        <v>9406</v>
      </c>
      <c r="CN56" s="1931">
        <v>9636</v>
      </c>
      <c r="CO56" s="1931">
        <v>10026</v>
      </c>
      <c r="CP56" s="1931">
        <v>12672</v>
      </c>
      <c r="CR56" s="902"/>
      <c r="CS56" s="549" t="s">
        <v>8423</v>
      </c>
      <c r="CT56" s="986"/>
      <c r="CU56" s="986"/>
      <c r="CV56" s="986"/>
      <c r="CW56" s="986"/>
      <c r="CX56" s="986"/>
      <c r="CY56" s="986"/>
      <c r="CZ56" s="986"/>
      <c r="DA56" s="862"/>
      <c r="DB56" s="862"/>
      <c r="DC56" s="862"/>
      <c r="DF56" s="585" t="s">
        <v>8300</v>
      </c>
      <c r="DG56" s="605"/>
      <c r="DH56" s="603">
        <v>1</v>
      </c>
      <c r="DI56" s="605">
        <v>2</v>
      </c>
      <c r="DJ56" s="603">
        <v>3</v>
      </c>
      <c r="DK56" s="603">
        <v>4</v>
      </c>
      <c r="DL56" s="603">
        <v>5</v>
      </c>
      <c r="DM56" s="603">
        <v>6</v>
      </c>
      <c r="DN56" s="603" t="s">
        <v>8301</v>
      </c>
      <c r="DO56" s="603" t="s">
        <v>8302</v>
      </c>
      <c r="DP56" s="603" t="s">
        <v>8303</v>
      </c>
      <c r="DQ56" s="603" t="s">
        <v>8304</v>
      </c>
      <c r="DR56" s="603" t="s">
        <v>8305</v>
      </c>
      <c r="DS56" s="603" t="s">
        <v>8306</v>
      </c>
      <c r="DT56" s="603" t="s">
        <v>8307</v>
      </c>
      <c r="DU56" s="605" t="s">
        <v>8308</v>
      </c>
      <c r="DV56" s="382"/>
      <c r="EQ56" s="525"/>
      <c r="FH56" s="862"/>
      <c r="FI56" s="862"/>
      <c r="FJ56" s="862"/>
      <c r="FK56" s="862"/>
      <c r="FL56" s="862"/>
      <c r="FM56" s="862"/>
      <c r="FN56" s="862"/>
      <c r="FO56" s="862"/>
      <c r="FP56" s="862"/>
      <c r="FQ56" s="862"/>
      <c r="FR56" s="862"/>
      <c r="FS56" s="862"/>
      <c r="FT56" s="862"/>
      <c r="FU56" s="862"/>
      <c r="FW56" s="637"/>
      <c r="FX56" s="1757"/>
      <c r="FY56" s="1757"/>
      <c r="FZ56" s="1757"/>
      <c r="GA56" s="1757"/>
      <c r="GB56" s="1757"/>
      <c r="GC56" s="1757"/>
      <c r="GD56" s="1757"/>
      <c r="GE56" s="1757"/>
      <c r="GF56" s="1757"/>
      <c r="GG56" s="1757"/>
      <c r="GH56" s="1757"/>
      <c r="GI56" s="1757"/>
      <c r="GJ56" s="473"/>
      <c r="GM56" s="382"/>
      <c r="GN56" s="382"/>
      <c r="GO56" s="382"/>
      <c r="GP56" s="382"/>
      <c r="GQ56" s="382"/>
      <c r="GR56" s="382"/>
      <c r="GS56" s="382"/>
      <c r="GT56" s="382"/>
      <c r="GU56" s="382"/>
      <c r="GV56" s="382"/>
      <c r="GW56" s="382"/>
      <c r="GX56" s="1622"/>
      <c r="GY56" s="1622"/>
      <c r="GZ56" s="1622"/>
      <c r="HA56" s="1622"/>
      <c r="HB56" s="1622"/>
      <c r="HC56" s="1622"/>
      <c r="HD56" s="1622"/>
      <c r="HE56" s="1622"/>
      <c r="HF56" s="1622"/>
      <c r="HG56" s="1622"/>
      <c r="HH56" s="1622"/>
      <c r="HI56" s="1622"/>
      <c r="HJ56" s="1622"/>
      <c r="HM56" s="398"/>
      <c r="HN56" s="398"/>
      <c r="HO56" s="398"/>
      <c r="HP56" s="398"/>
      <c r="HQ56" s="398"/>
      <c r="HR56" s="515"/>
      <c r="HS56" s="515"/>
      <c r="HT56" s="515"/>
      <c r="HU56" s="515"/>
      <c r="HV56" s="515"/>
      <c r="HW56" s="515"/>
      <c r="HX56" s="515"/>
      <c r="HY56" s="515"/>
      <c r="HZ56" s="515"/>
      <c r="IA56" s="515"/>
      <c r="IO56" s="902"/>
    </row>
    <row r="57" spans="1:249">
      <c r="K57" s="562"/>
      <c r="L57" s="562"/>
      <c r="M57" s="549"/>
      <c r="N57" s="549"/>
      <c r="O57" s="549"/>
      <c r="P57" s="549"/>
      <c r="Q57" s="549"/>
      <c r="R57" s="549"/>
      <c r="S57" s="549"/>
      <c r="T57" s="549"/>
      <c r="U57" s="549"/>
      <c r="V57" s="562"/>
      <c r="W57" s="1735" t="s">
        <v>1952</v>
      </c>
      <c r="X57" s="463">
        <f t="shared" si="24"/>
        <v>28003</v>
      </c>
      <c r="Y57" s="463">
        <v>2183</v>
      </c>
      <c r="Z57" s="463">
        <v>4547</v>
      </c>
      <c r="AA57" s="463">
        <f>1373+151+388+48</f>
        <v>1960</v>
      </c>
      <c r="AB57" s="463">
        <v>79</v>
      </c>
      <c r="AC57" s="463">
        <v>724</v>
      </c>
      <c r="AD57" s="463">
        <v>18065</v>
      </c>
      <c r="AE57" s="463">
        <v>25</v>
      </c>
      <c r="AF57" s="463">
        <v>420</v>
      </c>
      <c r="AG57" s="562"/>
      <c r="AQ57" s="1709"/>
      <c r="AR57" s="1709"/>
      <c r="AS57" s="1709"/>
      <c r="AT57" s="1709"/>
      <c r="AU57" s="749"/>
      <c r="AV57" s="749"/>
      <c r="AW57" s="749"/>
      <c r="AX57" s="749"/>
      <c r="AY57" s="1733"/>
      <c r="CC57" s="382"/>
      <c r="CD57" s="382"/>
      <c r="CE57" s="382"/>
      <c r="CF57" s="382"/>
      <c r="CG57" s="382"/>
      <c r="CH57" s="382"/>
      <c r="CI57" s="382"/>
      <c r="CJ57" s="382"/>
      <c r="CK57" s="382"/>
      <c r="CL57" s="382"/>
      <c r="CM57" s="382"/>
      <c r="CN57" s="382"/>
      <c r="CO57" s="382"/>
      <c r="CP57" s="382"/>
      <c r="CR57" s="525"/>
      <c r="CS57" s="549" t="s">
        <v>8399</v>
      </c>
      <c r="CT57" s="549"/>
      <c r="CU57" s="549"/>
      <c r="CV57" s="549"/>
      <c r="CW57" s="549"/>
      <c r="CX57" s="549"/>
      <c r="CY57" s="549"/>
      <c r="CZ57" s="549"/>
      <c r="DA57" s="382"/>
      <c r="DB57" s="382"/>
      <c r="DC57" s="382"/>
      <c r="DF57" s="586" t="s">
        <v>8324</v>
      </c>
      <c r="DG57" s="611" t="s">
        <v>129</v>
      </c>
      <c r="DH57" s="614" t="s">
        <v>8325</v>
      </c>
      <c r="DI57" s="611" t="s">
        <v>8326</v>
      </c>
      <c r="DJ57" s="614" t="s">
        <v>8326</v>
      </c>
      <c r="DK57" s="614" t="s">
        <v>8326</v>
      </c>
      <c r="DL57" s="614" t="s">
        <v>8326</v>
      </c>
      <c r="DM57" s="614" t="s">
        <v>8326</v>
      </c>
      <c r="DN57" s="614" t="s">
        <v>8326</v>
      </c>
      <c r="DO57" s="614" t="s">
        <v>8326</v>
      </c>
      <c r="DP57" s="614" t="s">
        <v>8326</v>
      </c>
      <c r="DQ57" s="614" t="s">
        <v>8326</v>
      </c>
      <c r="DR57" s="614" t="s">
        <v>8327</v>
      </c>
      <c r="DS57" s="614" t="s">
        <v>8328</v>
      </c>
      <c r="DT57" s="614" t="s">
        <v>8328</v>
      </c>
      <c r="DU57" s="611" t="s">
        <v>8329</v>
      </c>
      <c r="DV57" s="382"/>
      <c r="DX57" s="382" t="s">
        <v>8491</v>
      </c>
      <c r="DY57" s="387"/>
      <c r="DZ57" s="398"/>
      <c r="EA57" s="398"/>
      <c r="EB57" s="398"/>
      <c r="EC57" s="398"/>
      <c r="ED57" s="398"/>
      <c r="EE57" s="398"/>
      <c r="EQ57" s="525"/>
      <c r="ER57" s="382" t="s">
        <v>8492</v>
      </c>
      <c r="ES57" s="382"/>
      <c r="ET57" s="382"/>
      <c r="EU57" s="382"/>
      <c r="EV57" s="382"/>
      <c r="EW57" s="382"/>
      <c r="EX57" s="382"/>
      <c r="EY57" s="382"/>
      <c r="EZ57" s="381"/>
      <c r="FA57" s="382"/>
      <c r="FB57" s="870"/>
      <c r="FC57" s="870"/>
      <c r="FD57" s="870"/>
      <c r="FE57" s="870"/>
      <c r="FF57" s="586"/>
      <c r="FH57" s="862"/>
      <c r="FI57" s="862"/>
      <c r="FJ57" s="862"/>
      <c r="FK57" s="862"/>
      <c r="FL57" s="862"/>
      <c r="FM57" s="862"/>
      <c r="FN57" s="862"/>
      <c r="FO57" s="862"/>
      <c r="FP57" s="862"/>
      <c r="FQ57" s="862"/>
      <c r="FR57" s="862"/>
      <c r="FS57" s="862"/>
      <c r="FT57" s="862"/>
      <c r="FU57" s="862"/>
      <c r="FW57" s="637"/>
      <c r="FX57" s="1757"/>
      <c r="FY57" s="1757"/>
      <c r="FZ57" s="1757"/>
      <c r="GA57" s="1757"/>
      <c r="GB57" s="1757"/>
      <c r="GC57" s="1757"/>
      <c r="GD57" s="1757"/>
      <c r="GE57" s="1757"/>
      <c r="GF57" s="1757"/>
      <c r="GG57" s="1757"/>
      <c r="GH57" s="1757"/>
      <c r="GI57" s="1757"/>
      <c r="GJ57" s="473"/>
      <c r="GM57" s="451"/>
      <c r="GN57" s="451"/>
      <c r="GO57" s="451"/>
      <c r="GP57" s="451"/>
      <c r="GQ57" s="451"/>
      <c r="GR57" s="451"/>
      <c r="GS57" s="451"/>
      <c r="GT57" s="451"/>
      <c r="GU57" s="451"/>
      <c r="GV57" s="451"/>
      <c r="GW57" s="451"/>
      <c r="GX57" s="382"/>
      <c r="GY57" s="382"/>
      <c r="GZ57" s="382"/>
      <c r="HA57" s="382"/>
      <c r="HB57" s="382"/>
      <c r="HC57" s="382"/>
      <c r="HD57" s="382"/>
      <c r="HE57" s="382"/>
      <c r="HF57" s="382"/>
      <c r="HG57" s="382"/>
      <c r="HH57" s="382"/>
      <c r="HI57" s="382"/>
      <c r="HJ57" s="382"/>
      <c r="HM57" s="398"/>
      <c r="HN57" s="398"/>
      <c r="HO57" s="398"/>
      <c r="HP57" s="398"/>
      <c r="HQ57" s="398"/>
      <c r="HR57" s="515"/>
      <c r="HS57" s="515"/>
      <c r="HT57" s="515"/>
      <c r="HU57" s="757"/>
      <c r="HV57" s="515"/>
      <c r="HW57" s="515"/>
      <c r="HX57" s="515"/>
      <c r="HY57" s="757"/>
      <c r="HZ57" s="515"/>
      <c r="IA57" s="515"/>
    </row>
    <row r="58" spans="1:249">
      <c r="K58" s="562"/>
      <c r="L58" s="562"/>
      <c r="M58" s="549"/>
      <c r="N58" s="549"/>
      <c r="O58" s="549"/>
      <c r="P58" s="549"/>
      <c r="Q58" s="549"/>
      <c r="R58" s="549"/>
      <c r="S58" s="549"/>
      <c r="T58" s="549"/>
      <c r="U58" s="549"/>
      <c r="V58" s="562"/>
      <c r="W58" s="1735" t="s">
        <v>1953</v>
      </c>
      <c r="X58" s="463">
        <f t="shared" si="24"/>
        <v>39351</v>
      </c>
      <c r="Y58" s="463">
        <v>2112</v>
      </c>
      <c r="Z58" s="463">
        <v>5747</v>
      </c>
      <c r="AA58" s="463">
        <f>1117+242+601+70</f>
        <v>2030</v>
      </c>
      <c r="AB58" s="463">
        <v>43</v>
      </c>
      <c r="AC58" s="463">
        <v>1079</v>
      </c>
      <c r="AD58" s="463">
        <v>27783</v>
      </c>
      <c r="AE58" s="463">
        <v>29</v>
      </c>
      <c r="AF58" s="463">
        <v>528</v>
      </c>
      <c r="AG58" s="562"/>
      <c r="AQ58" s="1709"/>
      <c r="AR58" s="1709"/>
      <c r="AS58" s="1709"/>
      <c r="AT58" s="1709"/>
      <c r="AU58" s="1709"/>
      <c r="AV58" s="1709"/>
      <c r="AW58" s="1709"/>
      <c r="AX58" s="1709"/>
      <c r="AY58" s="1709"/>
      <c r="CC58" s="382" t="s">
        <v>468</v>
      </c>
      <c r="CD58" s="515"/>
      <c r="CE58" s="1932"/>
      <c r="CF58" s="1932"/>
      <c r="CG58" s="1932"/>
      <c r="CH58" s="1932"/>
      <c r="CI58" s="1932"/>
      <c r="CJ58" s="1932"/>
      <c r="CK58" s="1932"/>
      <c r="CL58" s="1932"/>
      <c r="CM58" s="1932"/>
      <c r="CN58" s="1932"/>
      <c r="CO58" s="1932"/>
      <c r="CP58" s="1932"/>
      <c r="CR58" s="562"/>
      <c r="CS58" s="549"/>
      <c r="CT58" s="549"/>
      <c r="CU58" s="549"/>
      <c r="CV58" s="549"/>
      <c r="CW58" s="549"/>
      <c r="CX58" s="549"/>
      <c r="CY58" s="549"/>
      <c r="CZ58" s="549"/>
      <c r="DF58" s="585" t="s">
        <v>3502</v>
      </c>
      <c r="DG58" s="933">
        <f>SUM(DG59:DG73)</f>
        <v>326119</v>
      </c>
      <c r="DH58" s="933">
        <f>SUM(DH59:DH73)</f>
        <v>13354</v>
      </c>
      <c r="DI58" s="933">
        <f t="shared" ref="DI58:DU58" si="26">SUM(DI59:DI73)</f>
        <v>12269</v>
      </c>
      <c r="DJ58" s="933">
        <f t="shared" si="26"/>
        <v>67396</v>
      </c>
      <c r="DK58" s="933">
        <f t="shared" si="26"/>
        <v>85320</v>
      </c>
      <c r="DL58" s="933">
        <f t="shared" si="26"/>
        <v>28313</v>
      </c>
      <c r="DM58" s="933">
        <f t="shared" si="26"/>
        <v>16129</v>
      </c>
      <c r="DN58" s="933">
        <f t="shared" si="26"/>
        <v>23691</v>
      </c>
      <c r="DO58" s="933">
        <f t="shared" si="26"/>
        <v>11767</v>
      </c>
      <c r="DP58" s="933">
        <f t="shared" si="26"/>
        <v>10771</v>
      </c>
      <c r="DQ58" s="933">
        <f t="shared" si="26"/>
        <v>8403</v>
      </c>
      <c r="DR58" s="933">
        <f>SUM(DR59:DR73)</f>
        <v>183</v>
      </c>
      <c r="DS58" s="933">
        <f t="shared" si="26"/>
        <v>0</v>
      </c>
      <c r="DT58" s="933">
        <f t="shared" si="26"/>
        <v>0</v>
      </c>
      <c r="DU58" s="933">
        <f t="shared" si="26"/>
        <v>2882</v>
      </c>
      <c r="DV58" s="382"/>
      <c r="DX58" s="597" t="s">
        <v>8300</v>
      </c>
      <c r="DY58" s="401"/>
      <c r="DZ58" s="2149" t="s">
        <v>8309</v>
      </c>
      <c r="EA58" s="2076"/>
      <c r="EB58" s="2076"/>
      <c r="EC58" s="2076"/>
      <c r="ED58" s="2076"/>
      <c r="EE58" s="2076"/>
      <c r="EQ58" s="525"/>
      <c r="ER58" s="1718"/>
      <c r="ES58" s="1719"/>
      <c r="ET58" s="2078" t="s">
        <v>8311</v>
      </c>
      <c r="EU58" s="2079"/>
      <c r="EV58" s="2079"/>
      <c r="EW58" s="2079"/>
      <c r="EX58" s="2079"/>
      <c r="EY58" s="2079"/>
      <c r="EZ58" s="2079"/>
      <c r="FA58" s="2079"/>
      <c r="FB58" s="2079"/>
      <c r="FC58" s="2079"/>
      <c r="FD58" s="2079"/>
      <c r="FE58" s="2079"/>
      <c r="FF58" s="2079"/>
      <c r="FG58" s="2079"/>
      <c r="FH58" s="862"/>
      <c r="FI58" s="862"/>
      <c r="FJ58" s="862"/>
      <c r="FK58" s="862"/>
      <c r="FL58" s="862"/>
      <c r="FM58" s="862"/>
      <c r="FN58" s="862"/>
      <c r="FO58" s="862"/>
      <c r="FP58" s="862"/>
      <c r="FQ58" s="862"/>
      <c r="FR58" s="862"/>
      <c r="FS58" s="862"/>
      <c r="FT58" s="862"/>
      <c r="FU58" s="862"/>
      <c r="FW58" s="1766"/>
      <c r="FX58" s="1757"/>
      <c r="FY58" s="1757"/>
      <c r="FZ58" s="1757"/>
      <c r="GA58" s="1757"/>
      <c r="GB58" s="1757"/>
      <c r="GC58" s="1757"/>
      <c r="GD58" s="1757"/>
      <c r="GE58" s="1757"/>
      <c r="GF58" s="1757"/>
      <c r="GG58" s="1757"/>
      <c r="GH58" s="1757"/>
      <c r="GI58" s="1757"/>
      <c r="GJ58" s="473"/>
      <c r="GM58" s="451"/>
      <c r="GN58" s="451"/>
      <c r="GO58" s="451"/>
      <c r="GP58" s="451"/>
      <c r="GQ58" s="451"/>
      <c r="GR58" s="451"/>
      <c r="GS58" s="451"/>
      <c r="GT58" s="451"/>
      <c r="GU58" s="451"/>
      <c r="GV58" s="451"/>
      <c r="GW58" s="451"/>
      <c r="GX58" s="382"/>
      <c r="GY58" s="382"/>
      <c r="GZ58" s="382"/>
      <c r="HA58" s="382"/>
      <c r="HB58" s="382"/>
      <c r="HC58" s="382"/>
      <c r="HD58" s="382"/>
      <c r="HE58" s="382"/>
      <c r="HF58" s="382"/>
      <c r="HG58" s="382"/>
      <c r="HH58" s="382"/>
      <c r="HI58" s="382"/>
      <c r="HJ58" s="382"/>
      <c r="HM58" s="398"/>
      <c r="HN58" s="398"/>
      <c r="HO58" s="398"/>
      <c r="HP58" s="398"/>
      <c r="HQ58" s="398"/>
      <c r="HR58" s="515"/>
      <c r="HS58" s="515"/>
      <c r="HT58" s="515"/>
      <c r="HU58" s="515"/>
      <c r="HV58" s="515"/>
      <c r="HW58" s="515"/>
      <c r="HX58" s="515"/>
      <c r="HY58" s="515"/>
      <c r="HZ58" s="515"/>
      <c r="IA58" s="515"/>
    </row>
    <row r="59" spans="1:249">
      <c r="A59" s="825"/>
      <c r="B59" s="825"/>
      <c r="C59" s="825"/>
      <c r="D59" s="825"/>
      <c r="E59" s="825"/>
      <c r="F59" s="825"/>
      <c r="G59" s="825"/>
      <c r="H59" s="825"/>
      <c r="I59" s="825"/>
      <c r="J59" s="825"/>
      <c r="K59" s="562"/>
      <c r="L59" s="562"/>
      <c r="M59" s="549"/>
      <c r="N59" s="549"/>
      <c r="O59" s="549"/>
      <c r="P59" s="549"/>
      <c r="Q59" s="549"/>
      <c r="R59" s="549"/>
      <c r="S59" s="549"/>
      <c r="T59" s="549"/>
      <c r="U59" s="549"/>
      <c r="V59" s="562"/>
      <c r="W59" s="1735" t="s">
        <v>1954</v>
      </c>
      <c r="X59" s="463">
        <f t="shared" si="24"/>
        <v>39831</v>
      </c>
      <c r="Y59" s="463">
        <v>3509</v>
      </c>
      <c r="Z59" s="463">
        <v>5998</v>
      </c>
      <c r="AA59" s="463">
        <f>1342+233+986+48</f>
        <v>2609</v>
      </c>
      <c r="AB59" s="463">
        <v>114</v>
      </c>
      <c r="AC59" s="463">
        <v>1086</v>
      </c>
      <c r="AD59" s="463">
        <v>25754</v>
      </c>
      <c r="AE59" s="463">
        <v>31</v>
      </c>
      <c r="AF59" s="463">
        <v>730</v>
      </c>
      <c r="AG59" s="562"/>
      <c r="CC59" s="391">
        <v>2015</v>
      </c>
      <c r="CD59" s="515">
        <f>SUM(CE59:CP59)</f>
        <v>9241</v>
      </c>
      <c r="CE59" s="1931">
        <v>1099</v>
      </c>
      <c r="CF59" s="1931">
        <v>944</v>
      </c>
      <c r="CG59" s="1931">
        <v>1062</v>
      </c>
      <c r="CH59" s="1931">
        <v>1062</v>
      </c>
      <c r="CI59" s="1931">
        <v>1062</v>
      </c>
      <c r="CJ59" s="1931">
        <v>944</v>
      </c>
      <c r="CK59" s="1931">
        <v>1062</v>
      </c>
      <c r="CL59" s="1931">
        <v>1062</v>
      </c>
      <c r="CM59" s="1931">
        <v>944</v>
      </c>
      <c r="CN59" s="1933" t="s">
        <v>2825</v>
      </c>
      <c r="CO59" s="1933" t="s">
        <v>2825</v>
      </c>
      <c r="CP59" s="1933" t="s">
        <v>2825</v>
      </c>
      <c r="CR59" s="562"/>
      <c r="DF59" s="585" t="s">
        <v>392</v>
      </c>
      <c r="DG59" s="1739">
        <v>23501</v>
      </c>
      <c r="DH59" s="1739">
        <v>818</v>
      </c>
      <c r="DI59" s="1739">
        <v>1295</v>
      </c>
      <c r="DJ59" s="1739">
        <v>5330</v>
      </c>
      <c r="DK59" s="1739">
        <v>5580</v>
      </c>
      <c r="DL59" s="1739">
        <v>2395</v>
      </c>
      <c r="DM59" s="1739">
        <v>1300</v>
      </c>
      <c r="DN59" s="1739">
        <v>1964</v>
      </c>
      <c r="DO59" s="1739">
        <v>751</v>
      </c>
      <c r="DP59" s="1739">
        <v>784</v>
      </c>
      <c r="DQ59" s="1739">
        <v>361</v>
      </c>
      <c r="DR59" s="1739">
        <v>1</v>
      </c>
      <c r="DS59" s="1739">
        <v>0</v>
      </c>
      <c r="DT59" s="1739">
        <v>0</v>
      </c>
      <c r="DU59" s="1739">
        <v>107</v>
      </c>
      <c r="DV59" s="382"/>
      <c r="DX59" s="610" t="s">
        <v>8324</v>
      </c>
      <c r="DY59" s="441" t="s">
        <v>129</v>
      </c>
      <c r="DZ59" s="642" t="s">
        <v>115</v>
      </c>
      <c r="EA59" s="642" t="s">
        <v>116</v>
      </c>
      <c r="EB59" s="642" t="s">
        <v>117</v>
      </c>
      <c r="EC59" s="642" t="s">
        <v>118</v>
      </c>
      <c r="ED59" s="642" t="s">
        <v>3447</v>
      </c>
      <c r="EE59" s="664" t="s">
        <v>8330</v>
      </c>
      <c r="EH59" s="382" t="s">
        <v>8493</v>
      </c>
      <c r="EI59" s="382"/>
      <c r="EJ59" s="382"/>
      <c r="EK59" s="382"/>
      <c r="EL59" s="382"/>
      <c r="EM59" s="382"/>
      <c r="EN59" s="382"/>
      <c r="EO59" s="382"/>
      <c r="ER59" s="493" t="s">
        <v>8331</v>
      </c>
      <c r="ES59" s="404"/>
      <c r="ET59" s="404" t="s">
        <v>8336</v>
      </c>
      <c r="EU59" s="404" t="s">
        <v>8337</v>
      </c>
      <c r="EV59" s="404"/>
      <c r="EW59" s="404" t="s">
        <v>8338</v>
      </c>
      <c r="EX59" s="404" t="s">
        <v>8339</v>
      </c>
      <c r="EY59" s="404" t="s">
        <v>8340</v>
      </c>
      <c r="EZ59" s="667" t="s">
        <v>8341</v>
      </c>
      <c r="FA59" s="404" t="s">
        <v>8334</v>
      </c>
      <c r="FB59" s="404" t="s">
        <v>8342</v>
      </c>
      <c r="FC59" s="404"/>
      <c r="FD59" s="404" t="s">
        <v>8343</v>
      </c>
      <c r="FE59" s="404" t="s">
        <v>8344</v>
      </c>
      <c r="FF59" s="405" t="s">
        <v>8345</v>
      </c>
      <c r="FG59" s="602"/>
      <c r="FJ59" s="862"/>
      <c r="FW59" s="2180"/>
      <c r="FX59" s="2180"/>
      <c r="FY59" s="2180"/>
      <c r="FZ59" s="2180"/>
      <c r="GA59" s="2180"/>
      <c r="GB59" s="2180"/>
      <c r="GC59" s="2180"/>
      <c r="GD59" s="2180"/>
      <c r="GE59" s="2180"/>
      <c r="GF59" s="2180"/>
      <c r="GG59" s="2180"/>
      <c r="GH59" s="2180"/>
      <c r="GI59" s="2180"/>
      <c r="GJ59" s="2180"/>
      <c r="GM59" s="451"/>
      <c r="GN59" s="451"/>
      <c r="GO59" s="451"/>
      <c r="GP59" s="451"/>
      <c r="GQ59" s="451"/>
      <c r="GR59" s="451"/>
      <c r="GS59" s="451"/>
      <c r="GT59" s="451"/>
      <c r="GU59" s="451"/>
      <c r="GV59" s="451"/>
      <c r="GW59" s="451"/>
      <c r="GX59" s="382"/>
      <c r="GY59" s="382"/>
      <c r="GZ59" s="382"/>
      <c r="HA59" s="382"/>
      <c r="HB59" s="382"/>
      <c r="HC59" s="382"/>
      <c r="HD59" s="382"/>
      <c r="HE59" s="382"/>
      <c r="HF59" s="382"/>
      <c r="HG59" s="382"/>
      <c r="HH59" s="382"/>
      <c r="HI59" s="382"/>
      <c r="HJ59" s="382"/>
      <c r="HM59" s="398"/>
      <c r="HN59" s="398"/>
      <c r="HO59" s="398"/>
      <c r="HP59" s="398"/>
      <c r="HQ59" s="398"/>
      <c r="HR59" s="515"/>
      <c r="HS59" s="515"/>
      <c r="HT59" s="515"/>
      <c r="HU59" s="515"/>
      <c r="HV59" s="515"/>
      <c r="HW59" s="515"/>
      <c r="HX59" s="515"/>
      <c r="HY59" s="515"/>
      <c r="HZ59" s="515"/>
      <c r="IA59" s="515"/>
    </row>
    <row r="60" spans="1:249">
      <c r="A60" s="825"/>
      <c r="B60" s="825"/>
      <c r="C60" s="825"/>
      <c r="D60" s="825"/>
      <c r="E60" s="825"/>
      <c r="F60" s="825"/>
      <c r="G60" s="825"/>
      <c r="H60" s="825"/>
      <c r="I60" s="825"/>
      <c r="J60" s="825"/>
      <c r="K60" s="562"/>
      <c r="L60" s="562"/>
      <c r="M60" s="549"/>
      <c r="N60" s="549"/>
      <c r="O60" s="549"/>
      <c r="P60" s="549"/>
      <c r="Q60" s="549"/>
      <c r="R60" s="549"/>
      <c r="S60" s="549"/>
      <c r="T60" s="549"/>
      <c r="U60" s="549"/>
      <c r="V60" s="562"/>
      <c r="W60" s="387" t="s">
        <v>1955</v>
      </c>
      <c r="X60" s="497">
        <f t="shared" si="24"/>
        <v>55529</v>
      </c>
      <c r="Y60" s="766">
        <v>6039</v>
      </c>
      <c r="Z60" s="497">
        <v>7394</v>
      </c>
      <c r="AA60" s="766">
        <f>1866+334+980+102</f>
        <v>3282</v>
      </c>
      <c r="AB60" s="766">
        <v>135</v>
      </c>
      <c r="AC60" s="633">
        <v>1438</v>
      </c>
      <c r="AD60" s="766">
        <v>36250</v>
      </c>
      <c r="AE60" s="766">
        <v>69</v>
      </c>
      <c r="AF60" s="497">
        <v>922</v>
      </c>
      <c r="AG60" s="562"/>
      <c r="CC60" s="391">
        <v>2014</v>
      </c>
      <c r="CD60" s="515">
        <v>16120</v>
      </c>
      <c r="CE60" s="515">
        <v>1395</v>
      </c>
      <c r="CF60" s="515">
        <v>1240</v>
      </c>
      <c r="CG60" s="515">
        <v>1395</v>
      </c>
      <c r="CH60" s="515">
        <v>1240</v>
      </c>
      <c r="CI60" s="515">
        <v>1395</v>
      </c>
      <c r="CJ60" s="515">
        <v>1395</v>
      </c>
      <c r="CK60" s="515">
        <v>1240</v>
      </c>
      <c r="CL60" s="515">
        <v>1395</v>
      </c>
      <c r="CM60" s="515">
        <v>1395</v>
      </c>
      <c r="CN60" s="515">
        <v>1395</v>
      </c>
      <c r="CO60" s="515">
        <v>1240</v>
      </c>
      <c r="CP60" s="515">
        <v>1395</v>
      </c>
      <c r="CR60" s="562"/>
      <c r="DF60" s="585" t="s">
        <v>390</v>
      </c>
      <c r="DG60" s="1739">
        <v>192145</v>
      </c>
      <c r="DH60" s="1739">
        <v>660</v>
      </c>
      <c r="DI60" s="1739">
        <v>4028</v>
      </c>
      <c r="DJ60" s="1739">
        <v>54178</v>
      </c>
      <c r="DK60" s="1739">
        <v>72979</v>
      </c>
      <c r="DL60" s="1739">
        <v>20443</v>
      </c>
      <c r="DM60" s="1739">
        <v>9428</v>
      </c>
      <c r="DN60" s="1739">
        <v>9429</v>
      </c>
      <c r="DO60" s="1739">
        <v>1273</v>
      </c>
      <c r="DP60" s="1739">
        <v>1214</v>
      </c>
      <c r="DQ60" s="1739">
        <v>846</v>
      </c>
      <c r="DR60" s="1739">
        <v>7</v>
      </c>
      <c r="DS60" s="1739">
        <v>0</v>
      </c>
      <c r="DT60" s="1739">
        <v>0</v>
      </c>
      <c r="DU60" s="1739">
        <v>149</v>
      </c>
      <c r="DV60" s="382"/>
      <c r="DX60" s="382" t="s">
        <v>3502</v>
      </c>
      <c r="DY60" s="853">
        <f t="shared" ref="DY60:ED60" si="27">SUM(DY61:DY75)</f>
        <v>326119</v>
      </c>
      <c r="DZ60" s="853">
        <f t="shared" si="27"/>
        <v>142200</v>
      </c>
      <c r="EA60" s="853">
        <f t="shared" si="27"/>
        <v>50393</v>
      </c>
      <c r="EB60" s="853">
        <f t="shared" si="27"/>
        <v>22145</v>
      </c>
      <c r="EC60" s="853">
        <f t="shared" si="27"/>
        <v>10815</v>
      </c>
      <c r="ED60" s="853">
        <f t="shared" si="27"/>
        <v>6288</v>
      </c>
      <c r="EE60" s="853">
        <f>SUM(EE61:EE75)</f>
        <v>43936</v>
      </c>
      <c r="EH60" s="597"/>
      <c r="EI60" s="404"/>
      <c r="EJ60" s="2078" t="s">
        <v>8310</v>
      </c>
      <c r="EK60" s="2079"/>
      <c r="EL60" s="2079"/>
      <c r="EM60" s="2079"/>
      <c r="EN60" s="2079"/>
      <c r="EO60" s="2079"/>
      <c r="ER60" s="610" t="s">
        <v>8324</v>
      </c>
      <c r="ES60" s="441" t="s">
        <v>129</v>
      </c>
      <c r="ET60" s="441" t="s">
        <v>8363</v>
      </c>
      <c r="EU60" s="441" t="s">
        <v>8364</v>
      </c>
      <c r="EV60" s="441" t="s">
        <v>8365</v>
      </c>
      <c r="EW60" s="441" t="s">
        <v>8366</v>
      </c>
      <c r="EX60" s="441" t="s">
        <v>8367</v>
      </c>
      <c r="EY60" s="441" t="s">
        <v>8368</v>
      </c>
      <c r="EZ60" s="441" t="s">
        <v>8369</v>
      </c>
      <c r="FA60" s="441" t="s">
        <v>8361</v>
      </c>
      <c r="FB60" s="441" t="s">
        <v>8370</v>
      </c>
      <c r="FC60" s="441" t="s">
        <v>3472</v>
      </c>
      <c r="FD60" s="441" t="s">
        <v>4373</v>
      </c>
      <c r="FE60" s="441" t="s">
        <v>8371</v>
      </c>
      <c r="FF60" s="442" t="s">
        <v>8372</v>
      </c>
      <c r="FG60" s="442" t="s">
        <v>1709</v>
      </c>
      <c r="FW60" s="382"/>
      <c r="FX60" s="439"/>
      <c r="FY60" s="439"/>
      <c r="FZ60" s="439"/>
      <c r="GA60" s="439"/>
      <c r="GB60" s="439"/>
      <c r="GC60" s="439"/>
      <c r="GD60" s="439"/>
      <c r="GE60" s="439"/>
      <c r="GF60" s="439"/>
      <c r="GG60" s="439"/>
      <c r="GH60" s="439"/>
      <c r="GI60" s="439"/>
      <c r="GJ60" s="439"/>
      <c r="GM60" s="995"/>
      <c r="GN60" s="995"/>
      <c r="GO60" s="995"/>
      <c r="GP60" s="995"/>
      <c r="GQ60" s="995"/>
      <c r="GR60" s="995"/>
      <c r="GS60" s="995"/>
      <c r="GT60" s="995"/>
      <c r="GU60" s="995"/>
      <c r="GV60" s="995"/>
      <c r="GW60" s="995"/>
      <c r="GX60" s="549"/>
      <c r="GY60" s="549"/>
      <c r="GZ60" s="549"/>
      <c r="HA60" s="549"/>
      <c r="HB60" s="549"/>
      <c r="HC60" s="549"/>
      <c r="HD60" s="549"/>
      <c r="HE60" s="549"/>
      <c r="HF60" s="549"/>
      <c r="HG60" s="549"/>
      <c r="HH60" s="549"/>
      <c r="HI60" s="549"/>
      <c r="HJ60" s="549"/>
      <c r="HM60" s="398"/>
      <c r="HN60" s="398"/>
      <c r="HO60" s="398"/>
      <c r="HP60" s="398"/>
      <c r="HQ60" s="398"/>
      <c r="HR60" s="398"/>
      <c r="HS60" s="398"/>
      <c r="HT60" s="515"/>
      <c r="HU60" s="515"/>
      <c r="HV60" s="515"/>
      <c r="HW60" s="515"/>
      <c r="HX60" s="515"/>
      <c r="HY60" s="515"/>
      <c r="HZ60" s="515"/>
      <c r="IA60" s="515"/>
    </row>
    <row r="61" spans="1:249">
      <c r="A61" s="825"/>
      <c r="B61" s="825"/>
      <c r="C61" s="825"/>
      <c r="D61" s="825"/>
      <c r="E61" s="825"/>
      <c r="F61" s="825"/>
      <c r="G61" s="825"/>
      <c r="H61" s="825"/>
      <c r="I61" s="825"/>
      <c r="J61" s="825"/>
      <c r="K61" s="562"/>
      <c r="L61" s="562"/>
      <c r="M61" s="549"/>
      <c r="N61" s="549"/>
      <c r="O61" s="549"/>
      <c r="P61" s="549"/>
      <c r="Q61" s="549"/>
      <c r="R61" s="549"/>
      <c r="S61" s="549"/>
      <c r="T61" s="549"/>
      <c r="U61" s="549"/>
      <c r="V61" s="562"/>
      <c r="W61" s="549" t="s">
        <v>8383</v>
      </c>
      <c r="X61" s="549"/>
      <c r="Y61" s="549"/>
      <c r="Z61" s="1929"/>
      <c r="AA61" s="562"/>
      <c r="AB61" s="986"/>
      <c r="AC61" s="986"/>
      <c r="AD61" s="435"/>
      <c r="AE61" s="435"/>
      <c r="AF61" s="435"/>
      <c r="AG61" s="562"/>
      <c r="CC61" s="391">
        <v>2013</v>
      </c>
      <c r="CD61" s="515">
        <v>15810</v>
      </c>
      <c r="CE61" s="515">
        <v>1085</v>
      </c>
      <c r="CF61" s="515">
        <v>1240</v>
      </c>
      <c r="CG61" s="515">
        <v>1395</v>
      </c>
      <c r="CH61" s="515">
        <v>1395</v>
      </c>
      <c r="CI61" s="515">
        <v>1240</v>
      </c>
      <c r="CJ61" s="515">
        <v>1240</v>
      </c>
      <c r="CK61" s="515">
        <v>1395</v>
      </c>
      <c r="CL61" s="515">
        <v>1395</v>
      </c>
      <c r="CM61" s="515">
        <v>1395</v>
      </c>
      <c r="CN61" s="515">
        <v>1240</v>
      </c>
      <c r="CO61" s="515">
        <v>1395</v>
      </c>
      <c r="CP61" s="515">
        <v>1395</v>
      </c>
      <c r="CR61" s="562"/>
      <c r="CS61" s="381" t="s">
        <v>8494</v>
      </c>
      <c r="CT61" s="381"/>
      <c r="CU61" s="381"/>
      <c r="CV61" s="381"/>
      <c r="CW61" s="381"/>
      <c r="CX61" s="381"/>
      <c r="CY61" s="381"/>
      <c r="CZ61" s="381"/>
      <c r="DA61" s="381"/>
      <c r="DB61" s="381"/>
      <c r="DC61" s="381"/>
      <c r="DF61" s="585" t="s">
        <v>399</v>
      </c>
      <c r="DG61" s="1739">
        <v>633</v>
      </c>
      <c r="DH61" s="1739">
        <v>40</v>
      </c>
      <c r="DI61" s="1739">
        <v>26</v>
      </c>
      <c r="DJ61" s="1739">
        <v>40</v>
      </c>
      <c r="DK61" s="1739">
        <v>41</v>
      </c>
      <c r="DL61" s="1739">
        <v>39</v>
      </c>
      <c r="DM61" s="1739">
        <v>25</v>
      </c>
      <c r="DN61" s="1739">
        <v>82</v>
      </c>
      <c r="DO61" s="1739">
        <v>41</v>
      </c>
      <c r="DP61" s="1739">
        <v>29</v>
      </c>
      <c r="DQ61" s="1739">
        <v>55</v>
      </c>
      <c r="DR61" s="1739">
        <v>0</v>
      </c>
      <c r="DS61" s="1739">
        <v>0</v>
      </c>
      <c r="DT61" s="1739">
        <v>0</v>
      </c>
      <c r="DU61" s="1739">
        <v>20</v>
      </c>
      <c r="DV61" s="382"/>
      <c r="DX61" s="382" t="s">
        <v>392</v>
      </c>
      <c r="DY61" s="1740">
        <v>23501</v>
      </c>
      <c r="DZ61" s="1740">
        <v>7107</v>
      </c>
      <c r="EA61" s="1740">
        <v>3635</v>
      </c>
      <c r="EB61" s="1740">
        <v>2375</v>
      </c>
      <c r="EC61" s="1740">
        <v>1266</v>
      </c>
      <c r="ED61" s="1740">
        <v>1002</v>
      </c>
      <c r="EE61" s="1740">
        <v>5097</v>
      </c>
      <c r="EH61" s="493" t="s">
        <v>8331</v>
      </c>
      <c r="EI61" s="464"/>
      <c r="EJ61" s="404" t="s">
        <v>8332</v>
      </c>
      <c r="EK61" s="404" t="s">
        <v>8333</v>
      </c>
      <c r="EL61" s="404" t="s">
        <v>8334</v>
      </c>
      <c r="EM61" s="404" t="s">
        <v>4373</v>
      </c>
      <c r="EN61" s="404" t="s">
        <v>8335</v>
      </c>
      <c r="EO61" s="405"/>
      <c r="ER61" s="382" t="s">
        <v>3502</v>
      </c>
      <c r="ES61" s="933">
        <f>SUM(ES62:ES76)</f>
        <v>326119</v>
      </c>
      <c r="ET61" s="862">
        <f>SUM(ET62:ET76)</f>
        <v>175932</v>
      </c>
      <c r="EU61" s="862">
        <f>SUM(EU62:EU76)</f>
        <v>3952</v>
      </c>
      <c r="EV61" s="435" t="s">
        <v>546</v>
      </c>
      <c r="EW61" s="862">
        <f>SUM(EW62:EW76)</f>
        <v>3315</v>
      </c>
      <c r="EX61" s="862">
        <f>SUM(EX62:EX76)</f>
        <v>9451</v>
      </c>
      <c r="EY61" s="862">
        <f>SUM(EY62:EY76)</f>
        <v>2096</v>
      </c>
      <c r="EZ61" s="435" t="s">
        <v>546</v>
      </c>
      <c r="FA61" s="862">
        <f>SUM(FA62:FA76)</f>
        <v>19450</v>
      </c>
      <c r="FB61" s="435" t="s">
        <v>546</v>
      </c>
      <c r="FC61" s="862">
        <f>SUM(FC62:FC76)</f>
        <v>2078</v>
      </c>
      <c r="FD61" s="862">
        <f>SUM(FD62:FD76)</f>
        <v>23926</v>
      </c>
      <c r="FE61" s="862">
        <f>SUM(FE62:FE76)</f>
        <v>16380</v>
      </c>
      <c r="FF61" s="862">
        <f>SUM(FF62:FF76)</f>
        <v>4515</v>
      </c>
      <c r="FG61" s="862">
        <f>SUM(FG62:FG76)</f>
        <v>13172</v>
      </c>
      <c r="FW61" s="382"/>
      <c r="FX61" s="1757"/>
      <c r="FY61" s="1757"/>
      <c r="FZ61" s="1757"/>
      <c r="GA61" s="1757"/>
      <c r="GB61" s="1757"/>
      <c r="GC61" s="1757"/>
      <c r="GD61" s="1757"/>
      <c r="GE61" s="1757"/>
      <c r="GF61" s="1757"/>
      <c r="GG61" s="1757"/>
      <c r="GH61" s="1757"/>
      <c r="GI61" s="1757"/>
      <c r="GJ61" s="473"/>
      <c r="GM61" s="995"/>
      <c r="GN61" s="995"/>
      <c r="GO61" s="995"/>
      <c r="GP61" s="995"/>
      <c r="GQ61" s="995"/>
      <c r="GR61" s="995"/>
      <c r="GS61" s="995"/>
      <c r="GT61" s="995"/>
      <c r="GU61" s="995"/>
      <c r="GV61" s="995"/>
      <c r="GW61" s="995"/>
      <c r="GX61" s="549"/>
      <c r="GY61" s="549"/>
      <c r="GZ61" s="549"/>
      <c r="HA61" s="549"/>
      <c r="HB61" s="549"/>
      <c r="HC61" s="549"/>
      <c r="HD61" s="549"/>
      <c r="HE61" s="549"/>
      <c r="HF61" s="549"/>
      <c r="HG61" s="549"/>
      <c r="HH61" s="549"/>
      <c r="HI61" s="549"/>
      <c r="HJ61" s="549"/>
      <c r="HM61" s="398"/>
      <c r="HN61" s="398"/>
      <c r="HO61" s="398"/>
      <c r="HP61" s="398"/>
      <c r="HQ61" s="398"/>
      <c r="HT61" s="398"/>
      <c r="HU61" s="398"/>
      <c r="HV61" s="515"/>
      <c r="HW61" s="515"/>
      <c r="HX61" s="515"/>
      <c r="HY61" s="515"/>
      <c r="HZ61" s="398"/>
      <c r="IA61" s="398"/>
      <c r="IH61" s="549"/>
      <c r="II61" s="549"/>
      <c r="IJ61" s="549"/>
      <c r="IK61" s="549"/>
      <c r="IL61" s="549"/>
      <c r="IM61" s="549"/>
    </row>
    <row r="62" spans="1:249">
      <c r="A62" s="825"/>
      <c r="B62" s="825"/>
      <c r="C62" s="825"/>
      <c r="D62" s="825"/>
      <c r="E62" s="825"/>
      <c r="F62" s="825"/>
      <c r="G62" s="825"/>
      <c r="H62" s="825"/>
      <c r="I62" s="825"/>
      <c r="J62" s="825"/>
      <c r="K62" s="875"/>
      <c r="L62" s="1778"/>
      <c r="M62" s="549"/>
      <c r="N62" s="549"/>
      <c r="O62" s="549"/>
      <c r="P62" s="549"/>
      <c r="Q62" s="549"/>
      <c r="R62" s="549"/>
      <c r="S62" s="549"/>
      <c r="T62" s="549"/>
      <c r="U62" s="549"/>
      <c r="V62" s="1778"/>
      <c r="W62" s="825" t="s">
        <v>8397</v>
      </c>
      <c r="X62" s="825"/>
      <c r="Y62" s="549"/>
      <c r="Z62" s="1929"/>
      <c r="AA62" s="562"/>
      <c r="AB62" s="986"/>
      <c r="AC62" s="986"/>
      <c r="AD62" s="435"/>
      <c r="AE62" s="435"/>
      <c r="AF62" s="435"/>
      <c r="AG62" s="1778"/>
      <c r="AQ62" s="1709"/>
      <c r="AR62" s="1709"/>
      <c r="AS62" s="1709"/>
      <c r="AT62" s="1709"/>
      <c r="AU62" s="1709"/>
      <c r="AV62" s="1709"/>
      <c r="AW62" s="1709"/>
      <c r="AX62" s="1709"/>
      <c r="AY62" s="1709"/>
      <c r="CC62" s="391">
        <v>2012</v>
      </c>
      <c r="CD62" s="515">
        <v>13020</v>
      </c>
      <c r="CE62" s="515">
        <v>1116</v>
      </c>
      <c r="CF62" s="515">
        <v>992</v>
      </c>
      <c r="CG62" s="515">
        <v>1116</v>
      </c>
      <c r="CH62" s="515">
        <v>1116</v>
      </c>
      <c r="CI62" s="515">
        <v>992</v>
      </c>
      <c r="CJ62" s="515">
        <v>1116</v>
      </c>
      <c r="CK62" s="515">
        <v>1116</v>
      </c>
      <c r="CL62" s="515">
        <v>1116</v>
      </c>
      <c r="CM62" s="515">
        <v>992</v>
      </c>
      <c r="CN62" s="515">
        <v>1116</v>
      </c>
      <c r="CO62" s="515">
        <v>1116</v>
      </c>
      <c r="CP62" s="515">
        <v>1116</v>
      </c>
      <c r="CR62" s="562"/>
      <c r="CS62" s="493"/>
      <c r="CT62" s="667"/>
      <c r="CU62" s="667"/>
      <c r="CV62" s="667"/>
      <c r="CW62" s="2078" t="s">
        <v>8298</v>
      </c>
      <c r="CX62" s="2102"/>
      <c r="CY62" s="2103"/>
      <c r="CZ62" s="667" t="s">
        <v>8299</v>
      </c>
      <c r="DA62" s="667"/>
      <c r="DB62" s="465"/>
      <c r="DC62" s="465"/>
      <c r="DF62" s="585" t="s">
        <v>398</v>
      </c>
      <c r="DG62" s="1739">
        <v>552</v>
      </c>
      <c r="DH62" s="1739">
        <v>66</v>
      </c>
      <c r="DI62" s="1739">
        <v>37</v>
      </c>
      <c r="DJ62" s="1739">
        <v>44</v>
      </c>
      <c r="DK62" s="1739">
        <v>39</v>
      </c>
      <c r="DL62" s="1739">
        <v>47</v>
      </c>
      <c r="DM62" s="1739">
        <v>29</v>
      </c>
      <c r="DN62" s="1739">
        <v>80</v>
      </c>
      <c r="DO62" s="1739">
        <v>22</v>
      </c>
      <c r="DP62" s="1739">
        <v>18</v>
      </c>
      <c r="DQ62" s="1739">
        <v>22</v>
      </c>
      <c r="DR62" s="1739">
        <v>1</v>
      </c>
      <c r="DS62" s="1739">
        <v>0</v>
      </c>
      <c r="DT62" s="1739">
        <v>0</v>
      </c>
      <c r="DU62" s="1739">
        <v>19</v>
      </c>
      <c r="DX62" s="382" t="s">
        <v>390</v>
      </c>
      <c r="DY62" s="1740">
        <v>192145</v>
      </c>
      <c r="DZ62" s="1740">
        <v>109391</v>
      </c>
      <c r="EA62" s="1740">
        <v>34641</v>
      </c>
      <c r="EB62" s="1740">
        <v>13549</v>
      </c>
      <c r="EC62" s="1740">
        <v>5575</v>
      </c>
      <c r="ED62" s="1740">
        <v>2732</v>
      </c>
      <c r="EE62" s="1740">
        <v>5198</v>
      </c>
      <c r="EH62" s="610" t="s">
        <v>8324</v>
      </c>
      <c r="EI62" s="441" t="s">
        <v>129</v>
      </c>
      <c r="EJ62" s="441" t="s">
        <v>8359</v>
      </c>
      <c r="EK62" s="441" t="s">
        <v>8360</v>
      </c>
      <c r="EL62" s="441" t="s">
        <v>8361</v>
      </c>
      <c r="EM62" s="441" t="s">
        <v>13</v>
      </c>
      <c r="EN62" s="441" t="s">
        <v>8362</v>
      </c>
      <c r="EO62" s="442" t="s">
        <v>1709</v>
      </c>
      <c r="ER62" s="382" t="s">
        <v>392</v>
      </c>
      <c r="ES62" s="876">
        <f>SUM(ET62:FG62)+3363</f>
        <v>23501</v>
      </c>
      <c r="ET62" s="862">
        <v>14160</v>
      </c>
      <c r="EU62" s="862">
        <v>297</v>
      </c>
      <c r="EV62" s="933" t="s">
        <v>546</v>
      </c>
      <c r="EW62" s="862">
        <v>396</v>
      </c>
      <c r="EX62" s="862">
        <v>429</v>
      </c>
      <c r="EY62" s="862">
        <v>371</v>
      </c>
      <c r="EZ62" s="435" t="s">
        <v>546</v>
      </c>
      <c r="FA62" s="862">
        <v>408</v>
      </c>
      <c r="FB62" s="435" t="s">
        <v>546</v>
      </c>
      <c r="FC62" s="862">
        <v>41</v>
      </c>
      <c r="FD62" s="862">
        <v>1322</v>
      </c>
      <c r="FE62" s="862">
        <v>1729</v>
      </c>
      <c r="FF62" s="862">
        <v>257</v>
      </c>
      <c r="FG62" s="862">
        <f>424+304</f>
        <v>728</v>
      </c>
      <c r="FW62" s="382"/>
      <c r="FX62" s="1757"/>
      <c r="FY62" s="1757"/>
      <c r="FZ62" s="1757"/>
      <c r="GA62" s="1757"/>
      <c r="GB62" s="1757"/>
      <c r="GC62" s="1757"/>
      <c r="GD62" s="1757"/>
      <c r="GE62" s="1757"/>
      <c r="GF62" s="1757"/>
      <c r="GG62" s="1757"/>
      <c r="GH62" s="1757"/>
      <c r="GI62" s="1757"/>
      <c r="GJ62" s="473"/>
      <c r="GM62" s="995"/>
      <c r="GN62" s="995"/>
      <c r="GO62" s="995"/>
      <c r="GP62" s="995"/>
      <c r="GQ62" s="995"/>
      <c r="GR62" s="995"/>
      <c r="GS62" s="995"/>
      <c r="GT62" s="995"/>
      <c r="GU62" s="995"/>
      <c r="GV62" s="995"/>
      <c r="GW62" s="995"/>
      <c r="GX62" s="549"/>
      <c r="GY62" s="549"/>
      <c r="GZ62" s="549"/>
      <c r="HA62" s="549"/>
      <c r="HB62" s="549"/>
      <c r="HC62" s="549"/>
      <c r="HD62" s="549"/>
      <c r="HE62" s="549"/>
      <c r="HF62" s="549"/>
      <c r="HG62" s="549"/>
      <c r="HH62" s="549"/>
      <c r="HI62" s="549"/>
      <c r="HJ62" s="549"/>
      <c r="HM62" s="398"/>
      <c r="HN62" s="398"/>
      <c r="HO62" s="398"/>
      <c r="HP62" s="398"/>
      <c r="HQ62" s="398"/>
      <c r="HT62" s="398"/>
      <c r="HU62" s="398"/>
      <c r="HV62" s="515"/>
      <c r="HW62" s="515"/>
      <c r="HX62" s="515"/>
      <c r="HY62" s="515"/>
      <c r="HZ62" s="398"/>
      <c r="IA62" s="398"/>
      <c r="IF62" s="549"/>
      <c r="IH62" s="549"/>
      <c r="II62" s="549"/>
      <c r="IJ62" s="549"/>
      <c r="IK62" s="549"/>
      <c r="IL62" s="549"/>
      <c r="IM62" s="549"/>
      <c r="IN62" s="549"/>
      <c r="IO62" s="549"/>
    </row>
    <row r="63" spans="1:249">
      <c r="A63" s="825"/>
      <c r="B63" s="825"/>
      <c r="C63" s="825"/>
      <c r="D63" s="825"/>
      <c r="E63" s="825"/>
      <c r="F63" s="825"/>
      <c r="G63" s="825"/>
      <c r="H63" s="825"/>
      <c r="I63" s="825"/>
      <c r="J63" s="825"/>
      <c r="K63" s="875"/>
      <c r="L63" s="1632"/>
      <c r="M63" s="549"/>
      <c r="N63" s="549"/>
      <c r="O63" s="549"/>
      <c r="P63" s="549"/>
      <c r="Q63" s="549"/>
      <c r="R63" s="549"/>
      <c r="S63" s="549"/>
      <c r="T63" s="549"/>
      <c r="U63" s="549"/>
      <c r="V63" s="1632"/>
      <c r="W63" s="549" t="s">
        <v>8399</v>
      </c>
      <c r="X63" s="549"/>
      <c r="Y63" s="825"/>
      <c r="Z63" s="549"/>
      <c r="AA63" s="549"/>
      <c r="AB63" s="549"/>
      <c r="AC63" s="549"/>
      <c r="AD63" s="382"/>
      <c r="AE63" s="463"/>
      <c r="AF63" s="463"/>
      <c r="AG63" s="1632"/>
      <c r="AQ63" s="398"/>
      <c r="AR63" s="398"/>
      <c r="AS63" s="398"/>
      <c r="AT63" s="398"/>
      <c r="AU63" s="398"/>
      <c r="AV63" s="398"/>
      <c r="AW63" s="398"/>
      <c r="AX63" s="398"/>
      <c r="AY63" s="398"/>
      <c r="CC63" s="391">
        <v>2011</v>
      </c>
      <c r="CD63" s="515">
        <v>24769</v>
      </c>
      <c r="CE63" s="435">
        <v>1984</v>
      </c>
      <c r="CF63" s="435">
        <v>1860</v>
      </c>
      <c r="CG63" s="435">
        <v>2852</v>
      </c>
      <c r="CH63" s="435">
        <v>1240</v>
      </c>
      <c r="CI63" s="435">
        <v>1116</v>
      </c>
      <c r="CJ63" s="435">
        <v>992</v>
      </c>
      <c r="CK63" s="435">
        <v>1612</v>
      </c>
      <c r="CL63" s="435">
        <v>2232</v>
      </c>
      <c r="CM63" s="435">
        <v>3627</v>
      </c>
      <c r="CN63" s="435">
        <v>2511</v>
      </c>
      <c r="CO63" s="435">
        <v>2232</v>
      </c>
      <c r="CP63" s="435">
        <v>2511</v>
      </c>
      <c r="CR63" s="562"/>
      <c r="CS63" s="680"/>
      <c r="CT63" s="910"/>
      <c r="CU63" s="416" t="s">
        <v>129</v>
      </c>
      <c r="CV63" s="416" t="s">
        <v>8318</v>
      </c>
      <c r="CW63" s="416" t="s">
        <v>8321</v>
      </c>
      <c r="CX63" s="416" t="s">
        <v>8308</v>
      </c>
      <c r="CY63" s="416" t="s">
        <v>4373</v>
      </c>
      <c r="CZ63" s="416" t="s">
        <v>8322</v>
      </c>
      <c r="DB63" s="416" t="s">
        <v>8323</v>
      </c>
      <c r="DC63" s="385" t="s">
        <v>1709</v>
      </c>
      <c r="DF63" s="585" t="s">
        <v>388</v>
      </c>
      <c r="DG63" s="1739">
        <v>70430</v>
      </c>
      <c r="DH63" s="1739">
        <v>6737</v>
      </c>
      <c r="DI63" s="1739">
        <v>3496</v>
      </c>
      <c r="DJ63" s="1739">
        <v>3905</v>
      </c>
      <c r="DK63" s="1739">
        <v>3550</v>
      </c>
      <c r="DL63" s="1739">
        <v>3413</v>
      </c>
      <c r="DM63" s="1739">
        <v>3624</v>
      </c>
      <c r="DN63" s="1739">
        <v>8918</v>
      </c>
      <c r="DO63" s="1739">
        <v>8101</v>
      </c>
      <c r="DP63" s="1739">
        <v>7397</v>
      </c>
      <c r="DQ63" s="1739">
        <v>5812</v>
      </c>
      <c r="DR63" s="1739">
        <v>135</v>
      </c>
      <c r="DS63" s="1739">
        <v>0</v>
      </c>
      <c r="DT63" s="1739">
        <v>0</v>
      </c>
      <c r="DU63" s="1739">
        <v>1113</v>
      </c>
      <c r="DX63" s="382" t="s">
        <v>399</v>
      </c>
      <c r="DY63" s="1740">
        <v>633</v>
      </c>
      <c r="DZ63" s="1740">
        <v>229</v>
      </c>
      <c r="EA63" s="1740">
        <v>49</v>
      </c>
      <c r="EB63" s="1740">
        <v>30</v>
      </c>
      <c r="EC63" s="1740">
        <v>17</v>
      </c>
      <c r="ED63" s="1740">
        <v>9</v>
      </c>
      <c r="EE63" s="1740">
        <v>88</v>
      </c>
      <c r="EH63" s="382" t="s">
        <v>3502</v>
      </c>
      <c r="EI63" s="525">
        <f>SUM(EI64:EI78)</f>
        <v>328232</v>
      </c>
      <c r="EJ63" s="525">
        <f t="shared" ref="EJ63:EO63" si="28">SUM(EJ64:EJ78)</f>
        <v>206748</v>
      </c>
      <c r="EK63" s="1576" t="s">
        <v>546</v>
      </c>
      <c r="EL63" s="525">
        <f t="shared" si="28"/>
        <v>4711</v>
      </c>
      <c r="EM63" s="525">
        <f t="shared" si="28"/>
        <v>326</v>
      </c>
      <c r="EN63" s="525">
        <f t="shared" si="28"/>
        <v>711</v>
      </c>
      <c r="EO63" s="525">
        <f t="shared" si="28"/>
        <v>14187</v>
      </c>
      <c r="ER63" s="382" t="s">
        <v>390</v>
      </c>
      <c r="ES63" s="876">
        <f>SUM(ET63:FG63)+22773</f>
        <v>192145</v>
      </c>
      <c r="ET63" s="862">
        <v>141615</v>
      </c>
      <c r="EU63" s="435">
        <v>186</v>
      </c>
      <c r="EV63" s="933" t="s">
        <v>546</v>
      </c>
      <c r="EW63" s="862">
        <v>1341</v>
      </c>
      <c r="EX63" s="435">
        <v>8736</v>
      </c>
      <c r="EY63" s="862">
        <v>1630</v>
      </c>
      <c r="EZ63" s="435" t="s">
        <v>546</v>
      </c>
      <c r="FA63" s="862">
        <v>11999</v>
      </c>
      <c r="FB63" s="435" t="s">
        <v>546</v>
      </c>
      <c r="FC63" s="862">
        <v>321</v>
      </c>
      <c r="FD63" s="862">
        <v>853</v>
      </c>
      <c r="FE63" s="862">
        <v>200</v>
      </c>
      <c r="FF63" s="862">
        <v>875</v>
      </c>
      <c r="FG63" s="862">
        <f>1172+444</f>
        <v>1616</v>
      </c>
      <c r="FW63" s="382"/>
      <c r="FX63" s="1757"/>
      <c r="FY63" s="1757"/>
      <c r="FZ63" s="1757"/>
      <c r="GA63" s="1757"/>
      <c r="GB63" s="1757"/>
      <c r="GC63" s="1757"/>
      <c r="GD63" s="1757"/>
      <c r="GE63" s="1757"/>
      <c r="GF63" s="1757"/>
      <c r="GG63" s="1757"/>
      <c r="GH63" s="1757"/>
      <c r="GI63" s="1757"/>
      <c r="GJ63" s="473"/>
      <c r="GM63" s="2180"/>
      <c r="GN63" s="2180"/>
      <c r="GO63" s="2180"/>
      <c r="GP63" s="2180"/>
      <c r="GQ63" s="2180"/>
      <c r="GR63" s="2180"/>
      <c r="GS63" s="2180"/>
      <c r="GT63" s="2180"/>
      <c r="GU63" s="2180"/>
      <c r="GV63" s="2180"/>
      <c r="GW63" s="2180"/>
      <c r="GX63" s="2180"/>
      <c r="GY63" s="2180"/>
      <c r="GZ63" s="2180"/>
      <c r="HA63" s="2180"/>
      <c r="HB63" s="2180"/>
      <c r="HC63" s="2180"/>
      <c r="HD63" s="2180"/>
      <c r="HE63" s="2180"/>
      <c r="HF63" s="2180"/>
      <c r="HG63" s="2180"/>
      <c r="HH63" s="2180"/>
      <c r="HI63" s="2180"/>
      <c r="HJ63" s="2180"/>
      <c r="HM63" s="398"/>
      <c r="HN63" s="398"/>
      <c r="HO63" s="398"/>
      <c r="HP63" s="398"/>
      <c r="HQ63" s="398"/>
      <c r="HT63" s="398"/>
      <c r="HU63" s="398"/>
      <c r="HV63" s="515"/>
      <c r="HW63" s="515"/>
      <c r="HX63" s="515"/>
      <c r="HY63" s="515"/>
      <c r="HZ63" s="398"/>
      <c r="IA63" s="398"/>
      <c r="IF63" s="549"/>
      <c r="IH63" s="549"/>
      <c r="II63" s="549"/>
      <c r="IJ63" s="549"/>
      <c r="IK63" s="549"/>
      <c r="IL63" s="549"/>
      <c r="IM63" s="549"/>
      <c r="IN63" s="549"/>
      <c r="IO63" s="549"/>
    </row>
    <row r="64" spans="1:249">
      <c r="A64" s="825"/>
      <c r="B64" s="825"/>
      <c r="C64" s="825"/>
      <c r="D64" s="825"/>
      <c r="E64" s="825"/>
      <c r="F64" s="825"/>
      <c r="G64" s="825"/>
      <c r="H64" s="825"/>
      <c r="I64" s="825"/>
      <c r="J64" s="825"/>
      <c r="K64" s="875"/>
      <c r="L64" s="1632"/>
      <c r="M64" s="549"/>
      <c r="N64" s="549"/>
      <c r="O64" s="549"/>
      <c r="P64" s="549"/>
      <c r="Q64" s="549"/>
      <c r="R64" s="549"/>
      <c r="S64" s="549"/>
      <c r="T64" s="549"/>
      <c r="U64" s="549"/>
      <c r="V64" s="1632"/>
      <c r="AG64" s="1632"/>
      <c r="AQ64" s="1709"/>
      <c r="AR64" s="1709"/>
      <c r="AS64" s="1709"/>
      <c r="AT64" s="1709"/>
      <c r="AU64" s="1780"/>
      <c r="AV64" s="382"/>
      <c r="AW64" s="382"/>
      <c r="AX64" s="1780"/>
      <c r="AY64" s="1780"/>
      <c r="CC64" s="391"/>
      <c r="CD64" s="515"/>
      <c r="CE64" s="463"/>
      <c r="CF64" s="463"/>
      <c r="CG64" s="463"/>
      <c r="CH64" s="463"/>
      <c r="CI64" s="463"/>
      <c r="CJ64" s="463"/>
      <c r="CK64" s="463"/>
      <c r="CL64" s="463"/>
      <c r="CM64" s="463"/>
      <c r="CN64" s="463"/>
      <c r="CO64" s="463"/>
      <c r="CP64" s="463"/>
      <c r="CR64" s="562"/>
      <c r="CS64" s="610" t="s">
        <v>501</v>
      </c>
      <c r="CT64" s="441" t="s">
        <v>129</v>
      </c>
      <c r="CU64" s="441" t="s">
        <v>8318</v>
      </c>
      <c r="CV64" s="441" t="s">
        <v>8353</v>
      </c>
      <c r="CW64" s="441" t="s">
        <v>8354</v>
      </c>
      <c r="CX64" s="441" t="s">
        <v>8355</v>
      </c>
      <c r="CY64" s="441" t="s">
        <v>8356</v>
      </c>
      <c r="CZ64" s="441" t="s">
        <v>8357</v>
      </c>
      <c r="DA64" s="441" t="s">
        <v>128</v>
      </c>
      <c r="DB64" s="441" t="s">
        <v>8358</v>
      </c>
      <c r="DC64" s="442" t="s">
        <v>8356</v>
      </c>
      <c r="DF64" s="585" t="s">
        <v>8316</v>
      </c>
      <c r="DG64" s="1739">
        <v>23864</v>
      </c>
      <c r="DH64" s="1739">
        <v>4119</v>
      </c>
      <c r="DI64" s="1739">
        <v>2574</v>
      </c>
      <c r="DJ64" s="1739">
        <v>2590</v>
      </c>
      <c r="DK64" s="1739">
        <v>1884</v>
      </c>
      <c r="DL64" s="1739">
        <v>1190</v>
      </c>
      <c r="DM64" s="1739">
        <v>1061</v>
      </c>
      <c r="DN64" s="1739">
        <v>1884</v>
      </c>
      <c r="DO64" s="1739">
        <v>951</v>
      </c>
      <c r="DP64" s="1739">
        <v>523</v>
      </c>
      <c r="DQ64" s="1739">
        <v>681</v>
      </c>
      <c r="DR64" s="1739">
        <v>14</v>
      </c>
      <c r="DS64" s="1739">
        <v>0</v>
      </c>
      <c r="DT64" s="1739">
        <v>0</v>
      </c>
      <c r="DU64" s="1739">
        <v>1008</v>
      </c>
      <c r="DX64" s="382" t="s">
        <v>398</v>
      </c>
      <c r="DY64" s="1740">
        <v>552</v>
      </c>
      <c r="DZ64" s="1740">
        <v>126</v>
      </c>
      <c r="EA64" s="1740">
        <v>54</v>
      </c>
      <c r="EB64" s="1740">
        <v>15</v>
      </c>
      <c r="EC64" s="1740">
        <v>8</v>
      </c>
      <c r="ED64" s="1740">
        <v>13</v>
      </c>
      <c r="EE64" s="1740">
        <v>203</v>
      </c>
      <c r="EH64" s="382" t="s">
        <v>392</v>
      </c>
      <c r="EI64" s="876">
        <v>23641</v>
      </c>
      <c r="EJ64" s="876">
        <v>14649</v>
      </c>
      <c r="EK64" s="1576" t="s">
        <v>546</v>
      </c>
      <c r="EL64" s="876">
        <v>273</v>
      </c>
      <c r="EM64" s="876">
        <v>16</v>
      </c>
      <c r="EN64" s="876">
        <v>57</v>
      </c>
      <c r="EO64" s="876">
        <f>529+202+34+250</f>
        <v>1015</v>
      </c>
      <c r="ER64" s="382" t="s">
        <v>399</v>
      </c>
      <c r="ES64" s="876">
        <f>SUM(ET64:FG64)+201</f>
        <v>633</v>
      </c>
      <c r="ET64" s="862">
        <v>207</v>
      </c>
      <c r="EU64" s="862">
        <v>12</v>
      </c>
      <c r="EV64" s="933" t="s">
        <v>546</v>
      </c>
      <c r="EW64" s="862">
        <v>10</v>
      </c>
      <c r="EX64" s="862">
        <v>3</v>
      </c>
      <c r="EY64" s="862">
        <v>2</v>
      </c>
      <c r="EZ64" s="435" t="s">
        <v>546</v>
      </c>
      <c r="FA64" s="862">
        <v>17</v>
      </c>
      <c r="FB64" s="435" t="s">
        <v>546</v>
      </c>
      <c r="FC64" s="862">
        <v>13</v>
      </c>
      <c r="FD64" s="862">
        <v>31</v>
      </c>
      <c r="FE64" s="862">
        <v>4</v>
      </c>
      <c r="FF64" s="862">
        <v>55</v>
      </c>
      <c r="FG64" s="862">
        <f>74+4</f>
        <v>78</v>
      </c>
      <c r="FW64" s="382"/>
      <c r="FX64" s="1757"/>
      <c r="FY64" s="1757"/>
      <c r="FZ64" s="1757"/>
      <c r="GA64" s="1757"/>
      <c r="GB64" s="1757"/>
      <c r="GC64" s="1757"/>
      <c r="GD64" s="1757"/>
      <c r="GE64" s="1757"/>
      <c r="GF64" s="1757"/>
      <c r="GG64" s="1757"/>
      <c r="GH64" s="1757"/>
      <c r="GI64" s="1757"/>
      <c r="GJ64" s="473"/>
      <c r="GM64" s="382"/>
      <c r="GN64" s="382"/>
      <c r="GO64" s="382"/>
      <c r="GP64" s="382"/>
      <c r="GQ64" s="382"/>
      <c r="GR64" s="382"/>
      <c r="GS64" s="382"/>
      <c r="GT64" s="382"/>
      <c r="GU64" s="382"/>
      <c r="GV64" s="382"/>
      <c r="GW64" s="382"/>
      <c r="GX64" s="414"/>
      <c r="GY64" s="414"/>
      <c r="GZ64" s="414"/>
      <c r="HA64" s="414"/>
      <c r="HB64" s="414"/>
      <c r="HC64" s="414"/>
      <c r="HD64" s="414"/>
      <c r="HE64" s="414"/>
      <c r="HF64" s="414"/>
      <c r="HG64" s="414"/>
      <c r="HH64" s="414"/>
      <c r="HI64" s="414"/>
      <c r="HJ64" s="439"/>
      <c r="HM64" s="398"/>
      <c r="HN64" s="398"/>
      <c r="HO64" s="398"/>
      <c r="HP64" s="398"/>
      <c r="HQ64" s="398"/>
      <c r="HT64" s="398"/>
      <c r="HU64" s="398"/>
      <c r="HV64" s="515"/>
      <c r="HW64" s="515"/>
      <c r="HX64" s="515"/>
      <c r="HY64" s="515"/>
      <c r="HZ64" s="398"/>
      <c r="IA64" s="398"/>
      <c r="IF64" s="549"/>
      <c r="IH64" s="549"/>
      <c r="II64" s="549"/>
      <c r="IJ64" s="549"/>
      <c r="IK64" s="549"/>
      <c r="IL64" s="549"/>
      <c r="IM64" s="549"/>
      <c r="IN64" s="549"/>
      <c r="IO64" s="549"/>
    </row>
    <row r="65" spans="1:249">
      <c r="A65" s="825"/>
      <c r="B65" s="825"/>
      <c r="C65" s="825"/>
      <c r="D65" s="825"/>
      <c r="E65" s="825"/>
      <c r="F65" s="825"/>
      <c r="G65" s="825"/>
      <c r="H65" s="825"/>
      <c r="I65" s="825"/>
      <c r="J65" s="825"/>
      <c r="K65" s="875"/>
      <c r="L65" s="1632"/>
      <c r="M65" s="549"/>
      <c r="N65" s="549"/>
      <c r="O65" s="549"/>
      <c r="P65" s="549"/>
      <c r="Q65" s="549"/>
      <c r="R65" s="549"/>
      <c r="S65" s="549"/>
      <c r="T65" s="549"/>
      <c r="U65" s="549"/>
      <c r="V65" s="1632"/>
      <c r="AG65" s="1632"/>
      <c r="AQ65" s="1709"/>
      <c r="AR65" s="1709"/>
      <c r="AS65" s="1709"/>
      <c r="AT65" s="1709"/>
      <c r="AU65" s="463"/>
      <c r="AV65" s="463"/>
      <c r="AW65" s="463"/>
      <c r="AX65" s="1733"/>
      <c r="AY65" s="1733"/>
      <c r="CC65" s="391" t="s">
        <v>8495</v>
      </c>
      <c r="CD65" s="515"/>
      <c r="CE65" s="463"/>
      <c r="CF65" s="463"/>
      <c r="CG65" s="463"/>
      <c r="CH65" s="463"/>
      <c r="CI65" s="463"/>
      <c r="CJ65" s="463"/>
      <c r="CK65" s="463"/>
      <c r="CL65" s="463"/>
      <c r="CM65" s="463"/>
      <c r="CN65" s="463"/>
      <c r="CO65" s="463"/>
      <c r="CP65" s="463"/>
      <c r="CR65" s="562"/>
      <c r="CS65" s="382" t="s">
        <v>3502</v>
      </c>
      <c r="CT65" s="862">
        <f>SUM(CT66:CT85)</f>
        <v>554589</v>
      </c>
      <c r="CU65" s="862">
        <f t="shared" ref="CU65:DC65" si="29">SUM(CU66:CU85)</f>
        <v>461862</v>
      </c>
      <c r="CV65" s="435">
        <f t="shared" si="29"/>
        <v>326119</v>
      </c>
      <c r="CW65" s="862">
        <f t="shared" si="29"/>
        <v>322516</v>
      </c>
      <c r="CX65" s="862">
        <f t="shared" si="29"/>
        <v>2882</v>
      </c>
      <c r="CY65" s="862">
        <f t="shared" si="29"/>
        <v>2966</v>
      </c>
      <c r="CZ65" s="862">
        <f t="shared" si="29"/>
        <v>3367</v>
      </c>
      <c r="DA65" s="862">
        <f t="shared" si="29"/>
        <v>51360</v>
      </c>
      <c r="DB65" s="862">
        <f t="shared" si="29"/>
        <v>134218</v>
      </c>
      <c r="DC65" s="862">
        <f t="shared" si="29"/>
        <v>37949</v>
      </c>
      <c r="DF65" s="585" t="s">
        <v>397</v>
      </c>
      <c r="DG65" s="1739">
        <v>8831</v>
      </c>
      <c r="DH65" s="1739">
        <v>283</v>
      </c>
      <c r="DI65" s="1739">
        <v>439</v>
      </c>
      <c r="DJ65" s="1739">
        <v>823</v>
      </c>
      <c r="DK65" s="1739">
        <v>819</v>
      </c>
      <c r="DL65" s="1739">
        <v>466</v>
      </c>
      <c r="DM65" s="1739">
        <v>373</v>
      </c>
      <c r="DN65" s="1739">
        <v>540</v>
      </c>
      <c r="DO65" s="1739">
        <v>261</v>
      </c>
      <c r="DP65" s="1739">
        <v>178</v>
      </c>
      <c r="DQ65" s="1739">
        <v>316</v>
      </c>
      <c r="DR65" s="1739">
        <v>22</v>
      </c>
      <c r="DS65" s="1739">
        <v>0</v>
      </c>
      <c r="DT65" s="1739">
        <v>0</v>
      </c>
      <c r="DU65" s="1739">
        <v>286</v>
      </c>
      <c r="DX65" s="382" t="s">
        <v>388</v>
      </c>
      <c r="DY65" s="1740">
        <v>70430</v>
      </c>
      <c r="DZ65" s="1740">
        <v>19606</v>
      </c>
      <c r="EA65" s="1740">
        <v>9032</v>
      </c>
      <c r="EB65" s="1740">
        <v>4399</v>
      </c>
      <c r="EC65" s="1740">
        <v>2716</v>
      </c>
      <c r="ED65" s="1740">
        <v>1570</v>
      </c>
      <c r="EE65" s="1740">
        <v>18110</v>
      </c>
      <c r="EH65" s="382" t="s">
        <v>390</v>
      </c>
      <c r="EI65" s="876">
        <v>193376</v>
      </c>
      <c r="EJ65" s="876">
        <v>121869</v>
      </c>
      <c r="EK65" s="1576" t="s">
        <v>546</v>
      </c>
      <c r="EL65" s="876">
        <v>2956</v>
      </c>
      <c r="EM65" s="876">
        <v>165</v>
      </c>
      <c r="EN65" s="876">
        <v>478</v>
      </c>
      <c r="EO65" s="876">
        <f>4103+1785+355+2195</f>
        <v>8438</v>
      </c>
      <c r="ER65" s="382" t="s">
        <v>398</v>
      </c>
      <c r="ES65" s="876">
        <f>SUM(ET65:FG65)+142</f>
        <v>552</v>
      </c>
      <c r="ET65" s="862">
        <v>182</v>
      </c>
      <c r="EU65" s="862">
        <v>8</v>
      </c>
      <c r="EV65" s="933" t="s">
        <v>546</v>
      </c>
      <c r="EW65" s="862">
        <v>4</v>
      </c>
      <c r="EX65" s="862">
        <v>5</v>
      </c>
      <c r="EY65" s="862">
        <v>3</v>
      </c>
      <c r="EZ65" s="435" t="s">
        <v>546</v>
      </c>
      <c r="FA65" s="862">
        <v>12</v>
      </c>
      <c r="FB65" s="435" t="s">
        <v>546</v>
      </c>
      <c r="FC65" s="862">
        <v>8</v>
      </c>
      <c r="FD65" s="862">
        <v>85</v>
      </c>
      <c r="FE65" s="862">
        <v>17</v>
      </c>
      <c r="FF65" s="862">
        <v>28</v>
      </c>
      <c r="FG65" s="862">
        <v>58</v>
      </c>
      <c r="FW65" s="382"/>
      <c r="FX65" s="1757"/>
      <c r="FY65" s="1757"/>
      <c r="FZ65" s="1757"/>
      <c r="GA65" s="1757"/>
      <c r="GB65" s="1757"/>
      <c r="GC65" s="1757"/>
      <c r="GD65" s="1757"/>
      <c r="GE65" s="1757"/>
      <c r="GF65" s="1757"/>
      <c r="GG65" s="1757"/>
      <c r="GH65" s="1757"/>
      <c r="GI65" s="1757"/>
      <c r="GJ65" s="473"/>
      <c r="GM65" s="382"/>
      <c r="GN65" s="382"/>
      <c r="GO65" s="382"/>
      <c r="GP65" s="382"/>
      <c r="GQ65" s="382"/>
      <c r="GR65" s="382"/>
      <c r="GS65" s="382"/>
      <c r="GT65" s="382"/>
      <c r="GU65" s="382"/>
      <c r="GV65" s="382"/>
      <c r="GW65" s="382"/>
      <c r="GX65" s="1757"/>
      <c r="GY65" s="1757"/>
      <c r="GZ65" s="1757"/>
      <c r="HA65" s="1757"/>
      <c r="HB65" s="1757"/>
      <c r="HC65" s="1757"/>
      <c r="HD65" s="1757"/>
      <c r="HE65" s="1757"/>
      <c r="HF65" s="1757"/>
      <c r="HG65" s="1757"/>
      <c r="HH65" s="1757"/>
      <c r="HI65" s="1757"/>
      <c r="HJ65" s="473"/>
      <c r="HM65" s="398"/>
      <c r="HN65" s="398"/>
      <c r="HO65" s="398"/>
      <c r="HP65" s="398"/>
      <c r="HQ65" s="398"/>
      <c r="HT65" s="398"/>
      <c r="HU65" s="398"/>
      <c r="HV65" s="515"/>
      <c r="HW65" s="515"/>
      <c r="HX65" s="515"/>
      <c r="HY65" s="515"/>
      <c r="HZ65" s="398"/>
      <c r="IA65" s="398"/>
      <c r="IF65" s="549"/>
      <c r="IH65" s="549"/>
      <c r="II65" s="549"/>
      <c r="IJ65" s="549"/>
      <c r="IK65" s="549"/>
      <c r="IL65" s="549"/>
      <c r="IM65" s="549"/>
      <c r="IN65" s="549"/>
      <c r="IO65" s="549"/>
    </row>
    <row r="66" spans="1:249">
      <c r="A66" s="825"/>
      <c r="B66" s="825"/>
      <c r="C66" s="825"/>
      <c r="D66" s="825"/>
      <c r="E66" s="825"/>
      <c r="F66" s="825"/>
      <c r="G66" s="825"/>
      <c r="H66" s="825"/>
      <c r="I66" s="825"/>
      <c r="J66" s="825"/>
      <c r="K66" s="875"/>
      <c r="L66" s="1632"/>
      <c r="M66" s="549"/>
      <c r="N66" s="549"/>
      <c r="O66" s="549"/>
      <c r="P66" s="549"/>
      <c r="Q66" s="549"/>
      <c r="R66" s="549"/>
      <c r="S66" s="549"/>
      <c r="T66" s="549"/>
      <c r="U66" s="549"/>
      <c r="V66" s="1632"/>
      <c r="AG66" s="1632"/>
      <c r="AQ66" s="1709"/>
      <c r="AR66" s="1709"/>
      <c r="AS66" s="1709"/>
      <c r="AT66" s="1709"/>
      <c r="AU66" s="1733"/>
      <c r="AV66" s="1733"/>
      <c r="AW66" s="1783"/>
      <c r="AX66" s="1783"/>
      <c r="AY66" s="1733"/>
      <c r="CC66" s="391">
        <v>2024</v>
      </c>
      <c r="CD66" s="515">
        <f>SUM(CE66:CP66)</f>
        <v>128100</v>
      </c>
      <c r="CE66" s="463">
        <v>10850</v>
      </c>
      <c r="CF66" s="463">
        <v>10150</v>
      </c>
      <c r="CG66" s="463">
        <v>10850</v>
      </c>
      <c r="CH66" s="463">
        <v>10500</v>
      </c>
      <c r="CI66" s="463">
        <v>10850</v>
      </c>
      <c r="CJ66" s="463">
        <v>10500</v>
      </c>
      <c r="CK66" s="463">
        <v>10850</v>
      </c>
      <c r="CL66" s="463">
        <v>10850</v>
      </c>
      <c r="CM66" s="463">
        <v>10500</v>
      </c>
      <c r="CN66" s="463">
        <v>10850</v>
      </c>
      <c r="CO66" s="463">
        <v>10500</v>
      </c>
      <c r="CP66" s="463">
        <v>10850</v>
      </c>
      <c r="CR66" s="986"/>
      <c r="CS66" s="382" t="s">
        <v>392</v>
      </c>
      <c r="CT66" s="1744">
        <v>27610</v>
      </c>
      <c r="CU66" s="1744">
        <v>23784</v>
      </c>
      <c r="CV66" s="1744">
        <v>23501</v>
      </c>
      <c r="CW66" s="1744">
        <v>23366</v>
      </c>
      <c r="CX66" s="1744">
        <v>107</v>
      </c>
      <c r="CY66" s="1576">
        <v>134</v>
      </c>
      <c r="CZ66" s="1744">
        <v>137</v>
      </c>
      <c r="DA66" s="1744">
        <v>3262</v>
      </c>
      <c r="DB66" s="1744">
        <v>283</v>
      </c>
      <c r="DC66" s="1744">
        <v>430</v>
      </c>
      <c r="DF66" s="585" t="s">
        <v>468</v>
      </c>
      <c r="DG66" s="1739">
        <f>SUM(DH66:DU66)+187+4</f>
        <v>1355</v>
      </c>
      <c r="DH66" s="1739">
        <v>207</v>
      </c>
      <c r="DI66" s="1739">
        <v>69</v>
      </c>
      <c r="DJ66" s="1739">
        <v>43</v>
      </c>
      <c r="DK66" s="1739">
        <v>47</v>
      </c>
      <c r="DL66" s="1739">
        <v>38</v>
      </c>
      <c r="DM66" s="1739">
        <v>49</v>
      </c>
      <c r="DN66" s="1739">
        <v>224</v>
      </c>
      <c r="DO66" s="1739">
        <v>67</v>
      </c>
      <c r="DP66" s="1739">
        <v>298</v>
      </c>
      <c r="DQ66" s="1739">
        <v>97</v>
      </c>
      <c r="DR66" s="1739">
        <v>0</v>
      </c>
      <c r="DS66" s="1739">
        <v>0</v>
      </c>
      <c r="DT66" s="1739">
        <v>0</v>
      </c>
      <c r="DU66" s="1739">
        <v>25</v>
      </c>
      <c r="DX66" s="382" t="s">
        <v>8316</v>
      </c>
      <c r="DY66" s="1740">
        <f>15845+5219+2431+369</f>
        <v>23864</v>
      </c>
      <c r="DZ66" s="1740">
        <f>682+426+123+34</f>
        <v>1265</v>
      </c>
      <c r="EA66" s="1740">
        <f>730+360+111+29</f>
        <v>1230</v>
      </c>
      <c r="EB66" s="1740">
        <f>562+262+97+25</f>
        <v>946</v>
      </c>
      <c r="EC66" s="1740">
        <f>412+187+72+15</f>
        <v>686</v>
      </c>
      <c r="ED66" s="1740">
        <f>408+174+82+8</f>
        <v>672</v>
      </c>
      <c r="EE66" s="1740">
        <f>9825+1264+2149+138</f>
        <v>13376</v>
      </c>
      <c r="EH66" s="382" t="s">
        <v>399</v>
      </c>
      <c r="EI66" s="876">
        <v>637</v>
      </c>
      <c r="EJ66" s="876">
        <v>392</v>
      </c>
      <c r="EK66" s="1576" t="s">
        <v>546</v>
      </c>
      <c r="EL66" s="876">
        <v>3</v>
      </c>
      <c r="EM66" s="876">
        <v>1</v>
      </c>
      <c r="EN66" s="876">
        <v>0</v>
      </c>
      <c r="EO66" s="876">
        <f>15+4+1+5</f>
        <v>25</v>
      </c>
      <c r="ER66" s="382" t="s">
        <v>388</v>
      </c>
      <c r="ES66" s="876">
        <f>SUM(ET66:FG66)+14592</f>
        <v>70430</v>
      </c>
      <c r="ET66" s="862">
        <v>9983</v>
      </c>
      <c r="EU66" s="862">
        <v>2587</v>
      </c>
      <c r="EV66" s="933" t="s">
        <v>546</v>
      </c>
      <c r="EW66" s="862">
        <v>818</v>
      </c>
      <c r="EX66" s="862">
        <v>97</v>
      </c>
      <c r="EY66" s="862">
        <v>38</v>
      </c>
      <c r="EZ66" s="435" t="s">
        <v>546</v>
      </c>
      <c r="FA66" s="862">
        <v>5021</v>
      </c>
      <c r="FB66" s="435" t="s">
        <v>546</v>
      </c>
      <c r="FC66" s="862">
        <v>308</v>
      </c>
      <c r="FD66" s="862">
        <v>17035</v>
      </c>
      <c r="FE66" s="862">
        <v>12637</v>
      </c>
      <c r="FF66" s="862">
        <v>2486</v>
      </c>
      <c r="FG66" s="862">
        <f>4081+747</f>
        <v>4828</v>
      </c>
      <c r="FH66" s="525"/>
      <c r="FI66" s="525"/>
      <c r="FK66" s="525"/>
      <c r="FL66" s="525"/>
      <c r="FM66" s="525"/>
      <c r="FN66" s="525"/>
      <c r="FO66" s="525"/>
      <c r="FP66" s="525"/>
      <c r="FQ66" s="525"/>
      <c r="FR66" s="525"/>
      <c r="FS66" s="525"/>
      <c r="FT66" s="525"/>
      <c r="FU66" s="525"/>
      <c r="FW66" s="382"/>
      <c r="FX66" s="1622"/>
      <c r="FY66" s="1622"/>
      <c r="FZ66" s="1622"/>
      <c r="GA66" s="1622"/>
      <c r="GB66" s="1622"/>
      <c r="GC66" s="1622"/>
      <c r="GD66" s="1622"/>
      <c r="GE66" s="1622"/>
      <c r="GF66" s="1622"/>
      <c r="GG66" s="1622"/>
      <c r="GH66" s="1622"/>
      <c r="GI66" s="1622"/>
      <c r="GJ66" s="918"/>
      <c r="GM66" s="382"/>
      <c r="GN66" s="382"/>
      <c r="GO66" s="382"/>
      <c r="GP66" s="382"/>
      <c r="GQ66" s="382"/>
      <c r="GR66" s="382"/>
      <c r="GS66" s="382"/>
      <c r="GT66" s="382"/>
      <c r="GU66" s="382"/>
      <c r="GV66" s="382"/>
      <c r="GW66" s="382"/>
      <c r="GX66" s="1757"/>
      <c r="GY66" s="1757"/>
      <c r="GZ66" s="1757"/>
      <c r="HA66" s="1757"/>
      <c r="HB66" s="1757"/>
      <c r="HC66" s="1757"/>
      <c r="HD66" s="1757"/>
      <c r="HE66" s="1757"/>
      <c r="HF66" s="1757"/>
      <c r="HG66" s="1757"/>
      <c r="HH66" s="1757"/>
      <c r="HI66" s="1757"/>
      <c r="HJ66" s="473"/>
      <c r="HM66" s="398"/>
      <c r="HN66" s="398"/>
      <c r="HO66" s="398"/>
      <c r="HP66" s="398"/>
      <c r="HQ66" s="398"/>
      <c r="HT66" s="398"/>
      <c r="HU66" s="398"/>
      <c r="HV66" s="515"/>
      <c r="HW66" s="515"/>
      <c r="HX66" s="515"/>
      <c r="HY66" s="515"/>
      <c r="HZ66" s="398"/>
      <c r="IA66" s="398"/>
      <c r="IF66" s="549"/>
      <c r="IH66" s="549"/>
      <c r="II66" s="549"/>
      <c r="IJ66" s="549"/>
      <c r="IK66" s="549"/>
      <c r="IL66" s="549"/>
      <c r="IM66" s="549"/>
      <c r="IN66" s="549"/>
      <c r="IO66" s="549"/>
    </row>
    <row r="67" spans="1:249">
      <c r="A67" s="825"/>
      <c r="B67" s="825"/>
      <c r="C67" s="825"/>
      <c r="D67" s="825"/>
      <c r="E67" s="825"/>
      <c r="F67" s="825"/>
      <c r="G67" s="825"/>
      <c r="H67" s="825"/>
      <c r="I67" s="825"/>
      <c r="J67" s="825"/>
      <c r="K67" s="875"/>
      <c r="L67" s="1632"/>
      <c r="M67" s="549"/>
      <c r="N67" s="549"/>
      <c r="O67" s="549"/>
      <c r="P67" s="549"/>
      <c r="Q67" s="549"/>
      <c r="R67" s="549"/>
      <c r="S67" s="549"/>
      <c r="T67" s="549"/>
      <c r="U67" s="549"/>
      <c r="V67" s="1632"/>
      <c r="W67" s="382"/>
      <c r="X67" s="382"/>
      <c r="Y67" s="382"/>
      <c r="Z67" s="382"/>
      <c r="AA67" s="382"/>
      <c r="AB67" s="382"/>
      <c r="AC67" s="382"/>
      <c r="AD67" s="382"/>
      <c r="AE67" s="382"/>
      <c r="AF67" s="382"/>
      <c r="AG67" s="1632"/>
      <c r="AQ67" s="1709"/>
      <c r="AR67" s="1709"/>
      <c r="AS67" s="1709"/>
      <c r="AT67" s="1709"/>
      <c r="AU67" s="1733"/>
      <c r="AV67" s="1733"/>
      <c r="AW67" s="1783"/>
      <c r="AX67" s="1783"/>
      <c r="AY67" s="1733"/>
      <c r="CC67" s="391">
        <v>2023</v>
      </c>
      <c r="CD67" s="515">
        <f t="shared" ref="CD67:CD72" si="30">SUM(CE67:CP67)</f>
        <v>127750</v>
      </c>
      <c r="CE67" s="463">
        <v>10850</v>
      </c>
      <c r="CF67" s="463">
        <v>9800</v>
      </c>
      <c r="CG67" s="463">
        <v>10850</v>
      </c>
      <c r="CH67" s="463">
        <v>10500</v>
      </c>
      <c r="CI67" s="463">
        <v>10850</v>
      </c>
      <c r="CJ67" s="463">
        <v>10500</v>
      </c>
      <c r="CK67" s="463">
        <v>10850</v>
      </c>
      <c r="CL67" s="463">
        <v>10850</v>
      </c>
      <c r="CM67" s="463">
        <v>10500</v>
      </c>
      <c r="CN67" s="463">
        <v>10850</v>
      </c>
      <c r="CO67" s="463">
        <v>10500</v>
      </c>
      <c r="CP67" s="463">
        <v>10850</v>
      </c>
      <c r="CR67" s="549"/>
      <c r="CS67" s="382" t="s">
        <v>390</v>
      </c>
      <c r="CT67" s="1744">
        <v>204432</v>
      </c>
      <c r="CU67" s="1744">
        <v>192797</v>
      </c>
      <c r="CV67" s="1744">
        <v>192145</v>
      </c>
      <c r="CW67" s="1744">
        <v>191977</v>
      </c>
      <c r="CX67" s="1744">
        <v>149</v>
      </c>
      <c r="CY67" s="1576">
        <v>11</v>
      </c>
      <c r="CZ67" s="1744">
        <v>157</v>
      </c>
      <c r="DA67" s="1744">
        <v>1070</v>
      </c>
      <c r="DB67" s="1744">
        <v>652</v>
      </c>
      <c r="DC67" s="1744">
        <v>10554</v>
      </c>
      <c r="DF67" s="585" t="s">
        <v>485</v>
      </c>
      <c r="DG67" s="1739">
        <f>SUM(DH67:DU67)</f>
        <v>0</v>
      </c>
      <c r="DH67" s="1739">
        <v>0</v>
      </c>
      <c r="DI67" s="1739">
        <v>0</v>
      </c>
      <c r="DJ67" s="1739">
        <v>0</v>
      </c>
      <c r="DK67" s="1739">
        <v>0</v>
      </c>
      <c r="DL67" s="1739">
        <v>0</v>
      </c>
      <c r="DM67" s="1739">
        <v>0</v>
      </c>
      <c r="DN67" s="1739">
        <v>0</v>
      </c>
      <c r="DO67" s="1739">
        <v>0</v>
      </c>
      <c r="DP67" s="1739">
        <v>0</v>
      </c>
      <c r="DQ67" s="1739">
        <v>0</v>
      </c>
      <c r="DR67" s="1739">
        <v>0</v>
      </c>
      <c r="DS67" s="1739">
        <v>0</v>
      </c>
      <c r="DT67" s="1739">
        <v>0</v>
      </c>
      <c r="DU67" s="1739">
        <v>0</v>
      </c>
      <c r="DX67" s="382" t="s">
        <v>397</v>
      </c>
      <c r="DY67" s="1740">
        <v>8831</v>
      </c>
      <c r="DZ67" s="1740">
        <v>1989</v>
      </c>
      <c r="EA67" s="1740">
        <v>946</v>
      </c>
      <c r="EB67" s="1740">
        <v>461</v>
      </c>
      <c r="EC67" s="1740">
        <v>342</v>
      </c>
      <c r="ED67" s="1740">
        <v>195</v>
      </c>
      <c r="EE67" s="1740">
        <v>1083</v>
      </c>
      <c r="EH67" s="382" t="s">
        <v>398</v>
      </c>
      <c r="EI67" s="876">
        <v>555</v>
      </c>
      <c r="EJ67" s="876">
        <v>349</v>
      </c>
      <c r="EK67" s="1576" t="s">
        <v>546</v>
      </c>
      <c r="EL67" s="876">
        <v>12</v>
      </c>
      <c r="EM67" s="876">
        <v>0</v>
      </c>
      <c r="EN67" s="876">
        <v>0</v>
      </c>
      <c r="EO67" s="876">
        <f>8+6+1+1</f>
        <v>16</v>
      </c>
      <c r="ER67" s="382" t="s">
        <v>8316</v>
      </c>
      <c r="ES67" s="876">
        <f>SUM(ET67:FG67)+3179+1644+681+124</f>
        <v>23864</v>
      </c>
      <c r="ET67" s="862">
        <f>4467+412+493+54</f>
        <v>5426</v>
      </c>
      <c r="EU67" s="862">
        <f>327+62+66+6</f>
        <v>461</v>
      </c>
      <c r="EV67" s="933" t="s">
        <v>546</v>
      </c>
      <c r="EW67" s="862">
        <f>287+69+87+35</f>
        <v>478</v>
      </c>
      <c r="EX67" s="862">
        <f>83+38+18+4</f>
        <v>143</v>
      </c>
      <c r="EY67" s="862">
        <f>20+4</f>
        <v>24</v>
      </c>
      <c r="EZ67" s="435" t="s">
        <v>546</v>
      </c>
      <c r="FA67" s="862">
        <f>780+535+183+13</f>
        <v>1511</v>
      </c>
      <c r="FB67" s="435" t="s">
        <v>546</v>
      </c>
      <c r="FC67" s="862">
        <f>1031+184+27+27</f>
        <v>1269</v>
      </c>
      <c r="FD67" s="862">
        <f>1827+1024+401+14</f>
        <v>3266</v>
      </c>
      <c r="FE67" s="862">
        <f>995+157+43+11</f>
        <v>1206</v>
      </c>
      <c r="FF67" s="862">
        <f>348+67+17+3</f>
        <v>435</v>
      </c>
      <c r="FG67" s="862">
        <f>1769+735+289+33+736+288+122+45</f>
        <v>4017</v>
      </c>
      <c r="FJ67" s="525"/>
      <c r="FW67" s="451"/>
      <c r="FX67" s="382"/>
      <c r="FY67" s="382"/>
      <c r="FZ67" s="382"/>
      <c r="GA67" s="382"/>
      <c r="GB67" s="382"/>
      <c r="GC67" s="382"/>
      <c r="GD67" s="382"/>
      <c r="GE67" s="382"/>
      <c r="GF67" s="382"/>
      <c r="GG67" s="382"/>
      <c r="GH67" s="382"/>
      <c r="GI67" s="382"/>
      <c r="GJ67" s="382"/>
      <c r="GM67" s="382"/>
      <c r="GN67" s="382"/>
      <c r="GO67" s="382"/>
      <c r="GP67" s="382"/>
      <c r="GQ67" s="382"/>
      <c r="GR67" s="382"/>
      <c r="GS67" s="382"/>
      <c r="GT67" s="382"/>
      <c r="GU67" s="382"/>
      <c r="GV67" s="382"/>
      <c r="GW67" s="382"/>
      <c r="GX67" s="1757"/>
      <c r="GY67" s="1757"/>
      <c r="GZ67" s="1757"/>
      <c r="HA67" s="1757"/>
      <c r="HB67" s="1757"/>
      <c r="HC67" s="1757"/>
      <c r="HD67" s="1757"/>
      <c r="HE67" s="1757"/>
      <c r="HF67" s="1757"/>
      <c r="HG67" s="1757"/>
      <c r="HH67" s="1757"/>
      <c r="HI67" s="1757"/>
      <c r="HJ67" s="473"/>
      <c r="HM67" s="398"/>
      <c r="HN67" s="398"/>
      <c r="HO67" s="398"/>
      <c r="HP67" s="398"/>
      <c r="HQ67" s="398"/>
      <c r="HT67" s="398"/>
      <c r="HU67" s="398"/>
      <c r="HV67" s="515"/>
      <c r="HW67" s="515"/>
      <c r="HX67" s="515"/>
      <c r="HY67" s="515"/>
      <c r="HZ67" s="398"/>
      <c r="IA67" s="398"/>
      <c r="IF67" s="549"/>
      <c r="IH67" s="549"/>
      <c r="II67" s="549"/>
      <c r="IJ67" s="549"/>
      <c r="IK67" s="549"/>
      <c r="IL67" s="549"/>
      <c r="IM67" s="549"/>
      <c r="IN67" s="549"/>
      <c r="IO67" s="549"/>
    </row>
    <row r="68" spans="1:249" ht="12.75" customHeight="1">
      <c r="A68" s="825"/>
      <c r="B68" s="825"/>
      <c r="C68" s="825"/>
      <c r="D68" s="825"/>
      <c r="E68" s="825"/>
      <c r="F68" s="825"/>
      <c r="G68" s="825"/>
      <c r="H68" s="825"/>
      <c r="I68" s="825"/>
      <c r="J68" s="825"/>
      <c r="K68" s="875"/>
      <c r="L68" s="1632"/>
      <c r="V68" s="1632"/>
      <c r="W68" s="576"/>
      <c r="X68" s="576"/>
      <c r="Y68" s="576"/>
      <c r="Z68" s="385"/>
      <c r="AA68" s="1784"/>
      <c r="AB68" s="382"/>
      <c r="AC68" s="1784"/>
      <c r="AD68" s="1784"/>
      <c r="AE68" s="1784"/>
      <c r="AG68" s="1632"/>
      <c r="AQ68" s="1709"/>
      <c r="AR68" s="1709"/>
      <c r="AS68" s="1709"/>
      <c r="AT68" s="1709"/>
      <c r="AU68" s="1733"/>
      <c r="AV68" s="1733"/>
      <c r="AW68" s="1783"/>
      <c r="AX68" s="1783"/>
      <c r="AY68" s="1733"/>
      <c r="CC68" s="391">
        <v>2022</v>
      </c>
      <c r="CD68" s="515">
        <f t="shared" si="30"/>
        <v>127750</v>
      </c>
      <c r="CE68" s="463">
        <v>10850</v>
      </c>
      <c r="CF68" s="463">
        <v>9800</v>
      </c>
      <c r="CG68" s="463">
        <v>10850</v>
      </c>
      <c r="CH68" s="463">
        <v>10500</v>
      </c>
      <c r="CI68" s="463">
        <v>10850</v>
      </c>
      <c r="CJ68" s="463">
        <v>10500</v>
      </c>
      <c r="CK68" s="463">
        <v>10850</v>
      </c>
      <c r="CL68" s="463">
        <v>10850</v>
      </c>
      <c r="CM68" s="463">
        <v>10500</v>
      </c>
      <c r="CN68" s="463">
        <v>10850</v>
      </c>
      <c r="CO68" s="463">
        <v>10500</v>
      </c>
      <c r="CP68" s="463">
        <v>10850</v>
      </c>
      <c r="CR68" s="902"/>
      <c r="CS68" s="382" t="s">
        <v>399</v>
      </c>
      <c r="CT68" s="1744">
        <v>906</v>
      </c>
      <c r="CU68" s="1744">
        <v>656</v>
      </c>
      <c r="CV68" s="1744">
        <v>633</v>
      </c>
      <c r="CW68" s="1744">
        <v>610</v>
      </c>
      <c r="CX68" s="1744">
        <v>20</v>
      </c>
      <c r="CY68" s="1576">
        <v>4</v>
      </c>
      <c r="CZ68" s="1744">
        <v>20</v>
      </c>
      <c r="DA68" s="1744">
        <v>212</v>
      </c>
      <c r="DB68" s="1744">
        <v>24</v>
      </c>
      <c r="DC68" s="1744">
        <v>33</v>
      </c>
      <c r="DF68" s="585" t="s">
        <v>8401</v>
      </c>
      <c r="DG68" s="1739">
        <f>SUM(DH68:DU68)+195+1</f>
        <v>990</v>
      </c>
      <c r="DH68" s="1739">
        <v>86</v>
      </c>
      <c r="DI68" s="1739">
        <v>75</v>
      </c>
      <c r="DJ68" s="1739">
        <v>85</v>
      </c>
      <c r="DK68" s="1739">
        <v>54</v>
      </c>
      <c r="DL68" s="1739">
        <v>53</v>
      </c>
      <c r="DM68" s="1739">
        <v>36</v>
      </c>
      <c r="DN68" s="1739">
        <v>112</v>
      </c>
      <c r="DO68" s="1739">
        <v>93</v>
      </c>
      <c r="DP68" s="1739">
        <v>112</v>
      </c>
      <c r="DQ68" s="1739">
        <v>56</v>
      </c>
      <c r="DR68" s="1741">
        <v>0</v>
      </c>
      <c r="DS68" s="1739">
        <v>0</v>
      </c>
      <c r="DT68" s="1739">
        <v>0</v>
      </c>
      <c r="DU68" s="1741">
        <v>32</v>
      </c>
      <c r="DX68" s="382" t="s">
        <v>8396</v>
      </c>
      <c r="DY68" s="1740">
        <v>1355</v>
      </c>
      <c r="DZ68" s="1740">
        <v>601</v>
      </c>
      <c r="EA68" s="1740">
        <v>237</v>
      </c>
      <c r="EB68" s="1740">
        <v>99</v>
      </c>
      <c r="EC68" s="1740">
        <v>50</v>
      </c>
      <c r="ED68" s="1740">
        <v>21</v>
      </c>
      <c r="EE68" s="1740">
        <v>141</v>
      </c>
      <c r="EH68" s="382" t="s">
        <v>388</v>
      </c>
      <c r="EI68" s="876">
        <v>70900</v>
      </c>
      <c r="EJ68" s="876">
        <v>44885</v>
      </c>
      <c r="EK68" s="1576" t="s">
        <v>546</v>
      </c>
      <c r="EL68" s="876">
        <v>921</v>
      </c>
      <c r="EM68" s="876">
        <v>88</v>
      </c>
      <c r="EN68" s="876">
        <v>79</v>
      </c>
      <c r="EO68" s="876">
        <f>1426+653+169+810</f>
        <v>3058</v>
      </c>
      <c r="ER68" s="382" t="s">
        <v>397</v>
      </c>
      <c r="ES68" s="876">
        <f>SUM(ET68:FG68)+3770</f>
        <v>8831</v>
      </c>
      <c r="ET68" s="862">
        <v>2888</v>
      </c>
      <c r="EU68" s="862">
        <v>98</v>
      </c>
      <c r="EV68" s="933" t="s">
        <v>546</v>
      </c>
      <c r="EW68" s="862">
        <v>76</v>
      </c>
      <c r="EX68" s="862">
        <v>7</v>
      </c>
      <c r="EY68" s="862">
        <v>15</v>
      </c>
      <c r="EZ68" s="435" t="s">
        <v>546</v>
      </c>
      <c r="FA68" s="862">
        <v>248</v>
      </c>
      <c r="FB68" s="435" t="s">
        <v>546</v>
      </c>
      <c r="FC68" s="862">
        <v>99</v>
      </c>
      <c r="FD68" s="862">
        <v>436</v>
      </c>
      <c r="FE68" s="862">
        <v>105</v>
      </c>
      <c r="FF68" s="862">
        <v>107</v>
      </c>
      <c r="FG68" s="862">
        <f>871+111</f>
        <v>982</v>
      </c>
      <c r="FW68" s="451"/>
      <c r="FX68" s="382"/>
      <c r="FY68" s="382"/>
      <c r="FZ68" s="382"/>
      <c r="GA68" s="382"/>
      <c r="GB68" s="382"/>
      <c r="GC68" s="382"/>
      <c r="GD68" s="382"/>
      <c r="GE68" s="382"/>
      <c r="GF68" s="382"/>
      <c r="GG68" s="382"/>
      <c r="GH68" s="382"/>
      <c r="GI68" s="382"/>
      <c r="GJ68" s="382"/>
      <c r="GM68" s="382"/>
      <c r="GN68" s="382"/>
      <c r="GO68" s="382"/>
      <c r="GP68" s="382"/>
      <c r="GQ68" s="382"/>
      <c r="GR68" s="382"/>
      <c r="GS68" s="382"/>
      <c r="GT68" s="382"/>
      <c r="GU68" s="382"/>
      <c r="GV68" s="382"/>
      <c r="GW68" s="382"/>
      <c r="GX68" s="1757"/>
      <c r="GY68" s="1757"/>
      <c r="GZ68" s="1757"/>
      <c r="HA68" s="1757"/>
      <c r="HB68" s="1757"/>
      <c r="HC68" s="1757"/>
      <c r="HD68" s="1757"/>
      <c r="HE68" s="1757"/>
      <c r="HF68" s="1757"/>
      <c r="HG68" s="1757"/>
      <c r="HH68" s="1757"/>
      <c r="HI68" s="1757"/>
      <c r="HJ68" s="473"/>
      <c r="HM68" s="398"/>
      <c r="HN68" s="398"/>
      <c r="HO68" s="398"/>
      <c r="HP68" s="398"/>
      <c r="HQ68" s="398"/>
      <c r="HT68" s="398"/>
      <c r="HU68" s="398"/>
      <c r="HV68" s="515"/>
      <c r="HW68" s="515"/>
      <c r="HX68" s="515"/>
      <c r="HY68" s="515"/>
      <c r="HZ68" s="398"/>
      <c r="IA68" s="398"/>
      <c r="IF68" s="549"/>
      <c r="IH68" s="1526"/>
      <c r="II68" s="1526"/>
      <c r="IJ68" s="1526"/>
      <c r="IK68" s="1526"/>
      <c r="IL68" s="1526"/>
      <c r="IM68" s="1526"/>
      <c r="IN68" s="549"/>
      <c r="IO68" s="549"/>
    </row>
    <row r="69" spans="1:249">
      <c r="A69" s="825"/>
      <c r="B69" s="825"/>
      <c r="C69" s="825"/>
      <c r="D69" s="825"/>
      <c r="E69" s="825"/>
      <c r="F69" s="825"/>
      <c r="G69" s="825"/>
      <c r="H69" s="825"/>
      <c r="I69" s="825"/>
      <c r="J69" s="825"/>
      <c r="K69" s="875"/>
      <c r="L69" s="1632"/>
      <c r="M69" s="1764"/>
      <c r="N69" s="1764"/>
      <c r="O69" s="1764"/>
      <c r="P69" s="1764"/>
      <c r="Q69" s="1764"/>
      <c r="R69" s="1764"/>
      <c r="S69" s="1764"/>
      <c r="T69" s="1764"/>
      <c r="U69" s="1764"/>
      <c r="V69" s="1632"/>
      <c r="W69" s="398"/>
      <c r="X69" s="385"/>
      <c r="Y69" s="1784"/>
      <c r="Z69" s="1784"/>
      <c r="AA69" s="385"/>
      <c r="AB69" s="439"/>
      <c r="AC69" s="1784"/>
      <c r="AD69" s="1784"/>
      <c r="AE69" s="385"/>
      <c r="AF69" s="599"/>
      <c r="AG69" s="1632"/>
      <c r="AQ69" s="1709"/>
      <c r="AR69" s="1709"/>
      <c r="AS69" s="1709"/>
      <c r="AT69" s="1709"/>
      <c r="AU69" s="1733"/>
      <c r="AV69" s="1733"/>
      <c r="AW69" s="1783"/>
      <c r="AX69" s="1783"/>
      <c r="AY69" s="1733"/>
      <c r="CC69" s="391">
        <v>2021</v>
      </c>
      <c r="CD69" s="515">
        <f t="shared" si="30"/>
        <v>126224</v>
      </c>
      <c r="CE69" s="463">
        <v>11284</v>
      </c>
      <c r="CF69" s="463">
        <v>10024</v>
      </c>
      <c r="CG69" s="463">
        <v>8732</v>
      </c>
      <c r="CH69" s="463">
        <v>8280</v>
      </c>
      <c r="CI69" s="463">
        <v>13004</v>
      </c>
      <c r="CJ69" s="463">
        <v>10500</v>
      </c>
      <c r="CK69" s="463">
        <v>10850</v>
      </c>
      <c r="CL69" s="463">
        <v>10850</v>
      </c>
      <c r="CM69" s="463">
        <v>10500</v>
      </c>
      <c r="CN69" s="463">
        <v>10850</v>
      </c>
      <c r="CO69" s="463">
        <v>10500</v>
      </c>
      <c r="CP69" s="463">
        <v>10850</v>
      </c>
      <c r="CR69" s="902"/>
      <c r="CS69" s="382" t="s">
        <v>398</v>
      </c>
      <c r="CT69" s="1744">
        <v>730</v>
      </c>
      <c r="CU69" s="1744">
        <v>581</v>
      </c>
      <c r="CV69" s="1744">
        <v>583</v>
      </c>
      <c r="CW69" s="1744">
        <v>533</v>
      </c>
      <c r="CX69" s="1744">
        <v>19</v>
      </c>
      <c r="CY69" s="1576">
        <v>2</v>
      </c>
      <c r="CZ69" s="1744">
        <v>20</v>
      </c>
      <c r="DA69" s="1744">
        <v>137</v>
      </c>
      <c r="DB69" s="1744">
        <v>29</v>
      </c>
      <c r="DC69" s="1744">
        <v>10</v>
      </c>
      <c r="DF69" s="585" t="s">
        <v>393</v>
      </c>
      <c r="DG69" s="1739">
        <f>SUM(DH69:DU69)+29</f>
        <v>246</v>
      </c>
      <c r="DH69" s="1739">
        <v>16</v>
      </c>
      <c r="DI69" s="1739">
        <v>11</v>
      </c>
      <c r="DJ69" s="1739">
        <v>38</v>
      </c>
      <c r="DK69" s="1739">
        <v>18</v>
      </c>
      <c r="DL69" s="1739">
        <v>29</v>
      </c>
      <c r="DM69" s="1739">
        <v>26</v>
      </c>
      <c r="DN69" s="1739">
        <v>33</v>
      </c>
      <c r="DO69" s="1739">
        <v>10</v>
      </c>
      <c r="DP69" s="1739">
        <v>16</v>
      </c>
      <c r="DQ69" s="1739">
        <v>15</v>
      </c>
      <c r="DR69" s="1741">
        <v>0</v>
      </c>
      <c r="DS69" s="1739">
        <v>0</v>
      </c>
      <c r="DT69" s="1739">
        <v>0</v>
      </c>
      <c r="DU69" s="1739">
        <v>5</v>
      </c>
      <c r="DX69" s="382" t="s">
        <v>485</v>
      </c>
      <c r="DY69" s="1785">
        <f>SUM(DZ69:EE69)</f>
        <v>0</v>
      </c>
      <c r="DZ69" s="1785">
        <v>0</v>
      </c>
      <c r="EA69" s="1785">
        <v>0</v>
      </c>
      <c r="EB69" s="1785">
        <v>0</v>
      </c>
      <c r="EC69" s="1785">
        <v>0</v>
      </c>
      <c r="ED69" s="1785">
        <v>0</v>
      </c>
      <c r="EE69" s="1785">
        <v>0</v>
      </c>
      <c r="EH69" s="382" t="s">
        <v>8316</v>
      </c>
      <c r="EI69" s="876">
        <f>15967+5257+2443+370</f>
        <v>24037</v>
      </c>
      <c r="EJ69" s="876">
        <f>9970+3419+1522+230</f>
        <v>15141</v>
      </c>
      <c r="EK69" s="1576" t="s">
        <v>546</v>
      </c>
      <c r="EL69" s="876">
        <f>232+64+24+7</f>
        <v>327</v>
      </c>
      <c r="EM69" s="876">
        <f>18+8+6+1</f>
        <v>33</v>
      </c>
      <c r="EN69" s="876">
        <v>78</v>
      </c>
      <c r="EO69" s="876">
        <f>323+122+38+8+147+34+18+3+32+10+168+71+17</f>
        <v>991</v>
      </c>
      <c r="ER69" s="382" t="s">
        <v>8396</v>
      </c>
      <c r="ES69" s="876">
        <f>SUM(ET69:FG69)+217</f>
        <v>1355</v>
      </c>
      <c r="ET69" s="862">
        <v>109</v>
      </c>
      <c r="EU69" s="862">
        <v>97</v>
      </c>
      <c r="EV69" s="933" t="s">
        <v>546</v>
      </c>
      <c r="EW69" s="862">
        <v>20</v>
      </c>
      <c r="EX69" s="862">
        <v>3</v>
      </c>
      <c r="EY69" s="862">
        <v>3</v>
      </c>
      <c r="EZ69" s="435" t="s">
        <v>546</v>
      </c>
      <c r="FA69" s="862">
        <v>26</v>
      </c>
      <c r="FB69" s="435" t="s">
        <v>546</v>
      </c>
      <c r="FC69" s="435">
        <v>1</v>
      </c>
      <c r="FD69" s="862">
        <v>443</v>
      </c>
      <c r="FE69" s="862">
        <v>223</v>
      </c>
      <c r="FF69" s="435">
        <v>63</v>
      </c>
      <c r="FG69" s="862">
        <f>44+106</f>
        <v>150</v>
      </c>
      <c r="FW69" s="451"/>
      <c r="FX69" s="382"/>
      <c r="FY69" s="382"/>
      <c r="FZ69" s="382"/>
      <c r="GA69" s="382"/>
      <c r="GB69" s="382"/>
      <c r="GC69" s="382"/>
      <c r="GD69" s="382"/>
      <c r="GE69" s="382"/>
      <c r="GF69" s="382"/>
      <c r="GG69" s="382"/>
      <c r="GH69" s="382"/>
      <c r="GI69" s="382"/>
      <c r="GJ69" s="382"/>
      <c r="GM69" s="382"/>
      <c r="GN69" s="382"/>
      <c r="GO69" s="382"/>
      <c r="GP69" s="382"/>
      <c r="GQ69" s="382"/>
      <c r="GR69" s="382"/>
      <c r="GS69" s="382"/>
      <c r="GT69" s="382"/>
      <c r="GU69" s="382"/>
      <c r="GV69" s="382"/>
      <c r="GW69" s="382"/>
      <c r="GX69" s="1757"/>
      <c r="GY69" s="1757"/>
      <c r="GZ69" s="1757"/>
      <c r="HA69" s="1757"/>
      <c r="HB69" s="1757"/>
      <c r="HC69" s="1757"/>
      <c r="HD69" s="1757"/>
      <c r="HE69" s="1757"/>
      <c r="HF69" s="1757"/>
      <c r="HG69" s="1757"/>
      <c r="HH69" s="1757"/>
      <c r="HI69" s="1757"/>
      <c r="HJ69" s="473"/>
      <c r="HM69" s="826"/>
      <c r="HN69" s="826"/>
      <c r="HO69" s="826"/>
      <c r="HP69" s="826"/>
      <c r="HQ69" s="826"/>
      <c r="HR69" s="398"/>
      <c r="HS69" s="398"/>
      <c r="HT69" s="398"/>
      <c r="HU69" s="398"/>
      <c r="HV69" s="398"/>
      <c r="HW69" s="398"/>
      <c r="HX69" s="398"/>
      <c r="HY69" s="398"/>
      <c r="HZ69" s="398"/>
      <c r="IA69" s="398"/>
      <c r="IF69" s="549"/>
      <c r="IH69" s="1526"/>
      <c r="II69" s="1526"/>
      <c r="IJ69" s="1526"/>
      <c r="IK69" s="1526"/>
      <c r="IL69" s="1526"/>
      <c r="IM69" s="1526"/>
      <c r="IN69" s="1526"/>
      <c r="IO69" s="1526"/>
    </row>
    <row r="70" spans="1:249" ht="12.75" customHeight="1">
      <c r="A70" s="825"/>
      <c r="B70" s="825"/>
      <c r="C70" s="825"/>
      <c r="D70" s="825"/>
      <c r="E70" s="825"/>
      <c r="F70" s="825"/>
      <c r="G70" s="825"/>
      <c r="H70" s="825"/>
      <c r="I70" s="825"/>
      <c r="J70" s="825"/>
      <c r="K70" s="875"/>
      <c r="L70" s="1632"/>
      <c r="M70" s="549"/>
      <c r="N70" s="549"/>
      <c r="O70" s="549"/>
      <c r="P70" s="549"/>
      <c r="Q70" s="549"/>
      <c r="R70" s="549"/>
      <c r="S70" s="549"/>
      <c r="T70" s="549"/>
      <c r="U70" s="549"/>
      <c r="V70" s="1632"/>
      <c r="W70" s="1735"/>
      <c r="X70" s="463"/>
      <c r="Y70" s="463"/>
      <c r="Z70" s="463"/>
      <c r="AA70" s="463"/>
      <c r="AB70" s="463"/>
      <c r="AC70" s="463"/>
      <c r="AD70" s="463"/>
      <c r="AE70" s="463"/>
      <c r="AF70" s="463"/>
      <c r="AG70" s="1632"/>
      <c r="AQ70" s="1709"/>
      <c r="AR70" s="1709"/>
      <c r="AS70" s="1709"/>
      <c r="AT70" s="1709"/>
      <c r="AU70" s="1733"/>
      <c r="AV70" s="1733"/>
      <c r="AW70" s="1783"/>
      <c r="AX70" s="1783"/>
      <c r="AY70" s="1733"/>
      <c r="CC70" s="391">
        <v>2020</v>
      </c>
      <c r="CD70" s="515">
        <f t="shared" si="30"/>
        <v>133224</v>
      </c>
      <c r="CE70" s="463">
        <v>11284</v>
      </c>
      <c r="CF70" s="463">
        <v>10556</v>
      </c>
      <c r="CG70" s="463">
        <v>11284</v>
      </c>
      <c r="CH70" s="463">
        <v>10920</v>
      </c>
      <c r="CI70" s="463">
        <v>11284</v>
      </c>
      <c r="CJ70" s="463">
        <v>10920</v>
      </c>
      <c r="CK70" s="463">
        <v>11284</v>
      </c>
      <c r="CL70" s="463">
        <v>11284</v>
      </c>
      <c r="CM70" s="463">
        <v>10920</v>
      </c>
      <c r="CN70" s="463">
        <v>11284</v>
      </c>
      <c r="CO70" s="463">
        <v>10920</v>
      </c>
      <c r="CP70" s="463">
        <v>11284</v>
      </c>
      <c r="CR70" s="986"/>
      <c r="CS70" s="382" t="s">
        <v>1967</v>
      </c>
      <c r="CT70" s="1744">
        <v>140654</v>
      </c>
      <c r="CU70" s="1744">
        <v>123996</v>
      </c>
      <c r="CV70" s="1576" t="s">
        <v>546</v>
      </c>
      <c r="CW70" s="1576" t="s">
        <v>546</v>
      </c>
      <c r="CX70" s="1576" t="s">
        <v>546</v>
      </c>
      <c r="CY70" s="1576" t="s">
        <v>546</v>
      </c>
      <c r="CZ70" s="1576">
        <v>0</v>
      </c>
      <c r="DA70" s="1744">
        <v>123</v>
      </c>
      <c r="DB70" s="1744">
        <v>122127</v>
      </c>
      <c r="DC70" s="1744">
        <v>16425</v>
      </c>
      <c r="DF70" s="585" t="s">
        <v>467</v>
      </c>
      <c r="DG70" s="1739">
        <f>SUM(DH70:DU70)</f>
        <v>0</v>
      </c>
      <c r="DH70" s="1739">
        <v>0</v>
      </c>
      <c r="DI70" s="1739">
        <v>0</v>
      </c>
      <c r="DJ70" s="1739">
        <v>0</v>
      </c>
      <c r="DK70" s="1739">
        <v>0</v>
      </c>
      <c r="DL70" s="1739">
        <v>0</v>
      </c>
      <c r="DM70" s="1739">
        <v>0</v>
      </c>
      <c r="DN70" s="1739">
        <v>0</v>
      </c>
      <c r="DO70" s="1739">
        <v>0</v>
      </c>
      <c r="DP70" s="1739">
        <v>0</v>
      </c>
      <c r="DQ70" s="1739">
        <v>0</v>
      </c>
      <c r="DR70" s="1739">
        <v>0</v>
      </c>
      <c r="DS70" s="1739">
        <v>0</v>
      </c>
      <c r="DT70" s="1739">
        <v>0</v>
      </c>
      <c r="DU70" s="1739">
        <v>0</v>
      </c>
      <c r="DX70" s="382" t="s">
        <v>8401</v>
      </c>
      <c r="DY70" s="1740">
        <v>990</v>
      </c>
      <c r="DZ70" s="1740">
        <v>484</v>
      </c>
      <c r="EA70" s="1740">
        <v>125</v>
      </c>
      <c r="EB70" s="1740">
        <v>32</v>
      </c>
      <c r="EC70" s="1740">
        <v>37</v>
      </c>
      <c r="ED70" s="1740">
        <v>13</v>
      </c>
      <c r="EE70" s="1740">
        <v>98</v>
      </c>
      <c r="EH70" s="382" t="s">
        <v>397</v>
      </c>
      <c r="EI70" s="876">
        <v>8891</v>
      </c>
      <c r="EJ70" s="876">
        <v>5576</v>
      </c>
      <c r="EK70" s="1576" t="s">
        <v>546</v>
      </c>
      <c r="EL70" s="876">
        <v>146</v>
      </c>
      <c r="EM70" s="876">
        <v>21</v>
      </c>
      <c r="EN70" s="876">
        <v>13</v>
      </c>
      <c r="EO70" s="876">
        <f>183+107+16+100</f>
        <v>406</v>
      </c>
      <c r="ER70" s="382" t="s">
        <v>485</v>
      </c>
      <c r="ES70" s="933" t="s">
        <v>546</v>
      </c>
      <c r="ET70" s="933" t="s">
        <v>546</v>
      </c>
      <c r="EU70" s="933" t="s">
        <v>546</v>
      </c>
      <c r="EV70" s="933" t="s">
        <v>546</v>
      </c>
      <c r="EW70" s="933" t="s">
        <v>546</v>
      </c>
      <c r="EX70" s="933" t="s">
        <v>546</v>
      </c>
      <c r="EY70" s="933" t="s">
        <v>546</v>
      </c>
      <c r="EZ70" s="933" t="s">
        <v>546</v>
      </c>
      <c r="FA70" s="933" t="s">
        <v>546</v>
      </c>
      <c r="FB70" s="933" t="s">
        <v>546</v>
      </c>
      <c r="FC70" s="933" t="s">
        <v>546</v>
      </c>
      <c r="FD70" s="933" t="s">
        <v>546</v>
      </c>
      <c r="FE70" s="933" t="s">
        <v>546</v>
      </c>
      <c r="FF70" s="933" t="s">
        <v>546</v>
      </c>
      <c r="FG70" s="933" t="s">
        <v>546</v>
      </c>
      <c r="FW70" s="637"/>
      <c r="GM70" s="382"/>
      <c r="GN70" s="382"/>
      <c r="GO70" s="382"/>
      <c r="GP70" s="382"/>
      <c r="GQ70" s="382"/>
      <c r="GR70" s="382"/>
      <c r="GS70" s="382"/>
      <c r="GT70" s="382"/>
      <c r="GU70" s="382"/>
      <c r="GV70" s="382"/>
      <c r="GW70" s="382"/>
      <c r="GX70" s="1622"/>
      <c r="GY70" s="1622"/>
      <c r="GZ70" s="1622"/>
      <c r="HA70" s="1622"/>
      <c r="HB70" s="1622"/>
      <c r="HC70" s="1622"/>
      <c r="HD70" s="1622"/>
      <c r="HE70" s="1622"/>
      <c r="HF70" s="1622"/>
      <c r="HG70" s="1622"/>
      <c r="HH70" s="1622"/>
      <c r="HI70" s="1622"/>
      <c r="HJ70" s="1622"/>
      <c r="IF70" s="549"/>
      <c r="IH70" s="1526"/>
      <c r="II70" s="1526"/>
      <c r="IJ70" s="1526"/>
      <c r="IK70" s="1526"/>
      <c r="IL70" s="1526"/>
      <c r="IM70" s="1526"/>
      <c r="IN70" s="1526"/>
      <c r="IO70" s="1526"/>
    </row>
    <row r="71" spans="1:249">
      <c r="A71" s="825"/>
      <c r="B71" s="825"/>
      <c r="C71" s="825"/>
      <c r="D71" s="825"/>
      <c r="E71" s="825"/>
      <c r="F71" s="825"/>
      <c r="G71" s="825"/>
      <c r="H71" s="825"/>
      <c r="I71" s="825"/>
      <c r="J71" s="825"/>
      <c r="M71" s="549"/>
      <c r="N71" s="549"/>
      <c r="O71" s="549"/>
      <c r="P71" s="549"/>
      <c r="Q71" s="549"/>
      <c r="R71" s="549"/>
      <c r="S71" s="549"/>
      <c r="T71" s="549"/>
      <c r="U71" s="549"/>
      <c r="W71" s="1735"/>
      <c r="X71" s="463"/>
      <c r="Y71" s="463"/>
      <c r="Z71" s="463"/>
      <c r="AA71" s="463"/>
      <c r="AB71" s="463"/>
      <c r="AC71" s="463"/>
      <c r="AD71" s="463"/>
      <c r="AE71" s="463"/>
      <c r="AF71" s="463"/>
      <c r="AQ71" s="1709"/>
      <c r="AR71" s="1709"/>
      <c r="AS71" s="1709"/>
      <c r="AT71" s="1709"/>
      <c r="AU71" s="1733"/>
      <c r="AV71" s="1733"/>
      <c r="AW71" s="1783"/>
      <c r="AX71" s="1783"/>
      <c r="AY71" s="1733"/>
      <c r="CC71" s="391">
        <v>2019</v>
      </c>
      <c r="CD71" s="515">
        <f t="shared" si="30"/>
        <v>133224</v>
      </c>
      <c r="CE71" s="463">
        <v>11284</v>
      </c>
      <c r="CF71" s="463">
        <v>10192</v>
      </c>
      <c r="CG71" s="463">
        <v>11284</v>
      </c>
      <c r="CH71" s="463">
        <v>10920</v>
      </c>
      <c r="CI71" s="463">
        <v>11284</v>
      </c>
      <c r="CJ71" s="463">
        <v>10920</v>
      </c>
      <c r="CK71" s="463">
        <v>11648</v>
      </c>
      <c r="CL71" s="463">
        <v>11284</v>
      </c>
      <c r="CM71" s="463">
        <v>10920</v>
      </c>
      <c r="CN71" s="463">
        <v>11284</v>
      </c>
      <c r="CO71" s="463">
        <v>10920</v>
      </c>
      <c r="CP71" s="463">
        <v>11284</v>
      </c>
      <c r="CR71" s="562"/>
      <c r="CS71" s="382" t="s">
        <v>388</v>
      </c>
      <c r="CT71" s="1744">
        <v>111631</v>
      </c>
      <c r="CU71" s="1744">
        <v>78365</v>
      </c>
      <c r="CV71" s="1744">
        <v>70412</v>
      </c>
      <c r="CW71" s="1744">
        <v>68955</v>
      </c>
      <c r="CX71" s="1744">
        <v>1113</v>
      </c>
      <c r="CY71" s="1576">
        <v>2597</v>
      </c>
      <c r="CZ71" s="1744">
        <v>1379</v>
      </c>
      <c r="DA71" s="1744">
        <v>24013</v>
      </c>
      <c r="DB71" s="1744">
        <v>8221</v>
      </c>
      <c r="DC71" s="1744">
        <v>6372</v>
      </c>
      <c r="DF71" s="585" t="s">
        <v>8414</v>
      </c>
      <c r="DG71" s="1739">
        <f>SUM(DH71:DU71)</f>
        <v>0</v>
      </c>
      <c r="DH71" s="1739">
        <v>0</v>
      </c>
      <c r="DI71" s="1739">
        <v>0</v>
      </c>
      <c r="DJ71" s="1739">
        <v>0</v>
      </c>
      <c r="DK71" s="1739">
        <v>0</v>
      </c>
      <c r="DL71" s="1739">
        <v>0</v>
      </c>
      <c r="DM71" s="1739">
        <v>0</v>
      </c>
      <c r="DN71" s="1739">
        <v>0</v>
      </c>
      <c r="DO71" s="1739">
        <v>0</v>
      </c>
      <c r="DP71" s="1739">
        <v>0</v>
      </c>
      <c r="DQ71" s="1739">
        <v>0</v>
      </c>
      <c r="DR71" s="1739">
        <v>0</v>
      </c>
      <c r="DS71" s="1739">
        <v>0</v>
      </c>
      <c r="DT71" s="1739">
        <v>0</v>
      </c>
      <c r="DU71" s="1739">
        <v>0</v>
      </c>
      <c r="DX71" s="382" t="s">
        <v>8407</v>
      </c>
      <c r="DY71" s="1740">
        <v>246</v>
      </c>
      <c r="DZ71" s="1740">
        <v>99</v>
      </c>
      <c r="EA71" s="1740">
        <v>22</v>
      </c>
      <c r="EB71" s="1740">
        <v>20</v>
      </c>
      <c r="EC71" s="1740">
        <v>4</v>
      </c>
      <c r="ED71" s="1740">
        <v>2</v>
      </c>
      <c r="EE71" s="1740">
        <v>62</v>
      </c>
      <c r="EH71" s="382" t="s">
        <v>468</v>
      </c>
      <c r="EI71" s="876">
        <v>1360</v>
      </c>
      <c r="EJ71" s="876">
        <v>866</v>
      </c>
      <c r="EK71" s="1576" t="s">
        <v>546</v>
      </c>
      <c r="EL71" s="876">
        <v>10</v>
      </c>
      <c r="EM71" s="876">
        <v>0</v>
      </c>
      <c r="EN71" s="876">
        <v>1</v>
      </c>
      <c r="EO71" s="876">
        <f>18+9+4+9</f>
        <v>40</v>
      </c>
      <c r="ER71" s="382" t="s">
        <v>8401</v>
      </c>
      <c r="ES71" s="876">
        <f>SUM(ET71:FG71)+191</f>
        <v>990</v>
      </c>
      <c r="ET71" s="933">
        <v>319</v>
      </c>
      <c r="EU71" s="933">
        <v>61</v>
      </c>
      <c r="EV71" s="933" t="s">
        <v>546</v>
      </c>
      <c r="EW71" s="933">
        <v>8</v>
      </c>
      <c r="EX71" s="933">
        <v>1</v>
      </c>
      <c r="EY71" s="933">
        <v>2</v>
      </c>
      <c r="EZ71" s="435" t="s">
        <v>546</v>
      </c>
      <c r="FA71" s="933">
        <v>60</v>
      </c>
      <c r="FB71" s="435" t="s">
        <v>546</v>
      </c>
      <c r="FC71" s="933">
        <v>2</v>
      </c>
      <c r="FD71" s="933">
        <v>142</v>
      </c>
      <c r="FE71" s="933">
        <v>21</v>
      </c>
      <c r="FF71" s="933">
        <v>60</v>
      </c>
      <c r="FG71" s="933">
        <f>112+11</f>
        <v>123</v>
      </c>
      <c r="FW71" s="382"/>
      <c r="GM71" s="451"/>
      <c r="GN71" s="451"/>
      <c r="GO71" s="451"/>
      <c r="GP71" s="451"/>
      <c r="GQ71" s="451"/>
      <c r="GR71" s="451"/>
      <c r="GS71" s="451"/>
      <c r="GT71" s="451"/>
      <c r="GU71" s="451"/>
      <c r="GV71" s="451"/>
      <c r="GW71" s="451"/>
      <c r="GX71" s="382"/>
      <c r="GY71" s="382"/>
      <c r="GZ71" s="382"/>
      <c r="HA71" s="382"/>
      <c r="HB71" s="382"/>
      <c r="HC71" s="382"/>
      <c r="HD71" s="382"/>
      <c r="HE71" s="382"/>
      <c r="HF71" s="382"/>
      <c r="HG71" s="382"/>
      <c r="HH71" s="382"/>
      <c r="HI71" s="382"/>
      <c r="HJ71" s="382"/>
      <c r="IF71" s="549"/>
      <c r="IH71" s="1526"/>
      <c r="II71" s="1526"/>
      <c r="IJ71" s="1526"/>
      <c r="IK71" s="1526"/>
      <c r="IL71" s="1526"/>
      <c r="IM71" s="1526"/>
      <c r="IN71" s="1526"/>
      <c r="IO71" s="1526"/>
    </row>
    <row r="72" spans="1:249">
      <c r="A72" s="825"/>
      <c r="B72" s="825"/>
      <c r="C72" s="825"/>
      <c r="D72" s="825"/>
      <c r="E72" s="825"/>
      <c r="F72" s="825"/>
      <c r="G72" s="825"/>
      <c r="H72" s="825"/>
      <c r="I72" s="825"/>
      <c r="J72" s="825"/>
      <c r="M72" s="549"/>
      <c r="N72" s="549"/>
      <c r="O72" s="549"/>
      <c r="P72" s="549"/>
      <c r="Q72" s="549"/>
      <c r="R72" s="549"/>
      <c r="S72" s="549"/>
      <c r="T72" s="549"/>
      <c r="U72" s="549"/>
      <c r="W72" s="1735"/>
      <c r="X72" s="463"/>
      <c r="Y72" s="463"/>
      <c r="Z72" s="463"/>
      <c r="AA72" s="463"/>
      <c r="AB72" s="463"/>
      <c r="AC72" s="463"/>
      <c r="AD72" s="463"/>
      <c r="AE72" s="463"/>
      <c r="AF72" s="463"/>
      <c r="AQ72" s="1709"/>
      <c r="AR72" s="1709"/>
      <c r="AS72" s="1709"/>
      <c r="AT72" s="1709"/>
      <c r="AU72" s="1733"/>
      <c r="AV72" s="1733"/>
      <c r="AW72" s="1783"/>
      <c r="AX72" s="1783"/>
      <c r="AY72" s="1733"/>
      <c r="CC72" s="391">
        <v>2018</v>
      </c>
      <c r="CD72" s="515">
        <f t="shared" si="30"/>
        <v>133224</v>
      </c>
      <c r="CE72" s="463">
        <v>11284</v>
      </c>
      <c r="CF72" s="463">
        <v>10192</v>
      </c>
      <c r="CG72" s="463">
        <v>11284</v>
      </c>
      <c r="CH72" s="463">
        <v>10920</v>
      </c>
      <c r="CI72" s="463">
        <v>11284</v>
      </c>
      <c r="CJ72" s="463">
        <v>10920</v>
      </c>
      <c r="CK72" s="463">
        <v>11284</v>
      </c>
      <c r="CL72" s="463">
        <v>11284</v>
      </c>
      <c r="CM72" s="463">
        <v>10920</v>
      </c>
      <c r="CN72" s="463">
        <v>11648</v>
      </c>
      <c r="CO72" s="463">
        <v>10920</v>
      </c>
      <c r="CP72" s="463">
        <v>11284</v>
      </c>
      <c r="CR72" s="562"/>
      <c r="CS72" s="382" t="s">
        <v>2818</v>
      </c>
      <c r="CT72" s="1576">
        <v>0</v>
      </c>
      <c r="CU72" s="1576">
        <v>0</v>
      </c>
      <c r="CV72" s="1576">
        <v>0</v>
      </c>
      <c r="CW72" s="1576">
        <v>0</v>
      </c>
      <c r="CX72" s="1576">
        <v>0</v>
      </c>
      <c r="CY72" s="1576">
        <v>0</v>
      </c>
      <c r="CZ72" s="1576">
        <v>0</v>
      </c>
      <c r="DA72" s="1576">
        <v>0</v>
      </c>
      <c r="DB72" s="1576">
        <v>0</v>
      </c>
      <c r="DC72" s="1576">
        <v>0</v>
      </c>
      <c r="DF72" s="585" t="s">
        <v>530</v>
      </c>
      <c r="DG72" s="1739">
        <f>SUM(DH72:DU72)+40</f>
        <v>88</v>
      </c>
      <c r="DH72" s="1739">
        <v>6</v>
      </c>
      <c r="DI72" s="1739">
        <v>6</v>
      </c>
      <c r="DJ72" s="1739">
        <v>1</v>
      </c>
      <c r="DK72" s="1739">
        <v>1</v>
      </c>
      <c r="DL72" s="1739">
        <v>0</v>
      </c>
      <c r="DM72" s="1739">
        <v>3</v>
      </c>
      <c r="DN72" s="1739">
        <v>12</v>
      </c>
      <c r="DO72" s="1739">
        <v>2</v>
      </c>
      <c r="DP72" s="1739">
        <v>3</v>
      </c>
      <c r="DQ72" s="1739">
        <v>0</v>
      </c>
      <c r="DR72" s="1739">
        <v>1</v>
      </c>
      <c r="DS72" s="1739">
        <v>0</v>
      </c>
      <c r="DT72" s="1739">
        <v>0</v>
      </c>
      <c r="DU72" s="1739">
        <v>13</v>
      </c>
      <c r="DX72" s="382" t="s">
        <v>467</v>
      </c>
      <c r="DY72" s="1785">
        <f>SUM(DZ72:EE72)</f>
        <v>0</v>
      </c>
      <c r="DZ72" s="1785">
        <v>0</v>
      </c>
      <c r="EA72" s="1785">
        <v>0</v>
      </c>
      <c r="EB72" s="1785">
        <v>0</v>
      </c>
      <c r="EC72" s="1785">
        <v>0</v>
      </c>
      <c r="ED72" s="1785">
        <v>0</v>
      </c>
      <c r="EE72" s="1785">
        <v>0</v>
      </c>
      <c r="EH72" s="382" t="s">
        <v>485</v>
      </c>
      <c r="EI72" s="876">
        <f>SUM(EJ72:EO72)</f>
        <v>0</v>
      </c>
      <c r="EJ72" s="463">
        <v>0</v>
      </c>
      <c r="EK72" s="1576" t="s">
        <v>546</v>
      </c>
      <c r="EL72" s="463" t="s">
        <v>546</v>
      </c>
      <c r="EM72" s="463" t="s">
        <v>546</v>
      </c>
      <c r="EN72" s="463" t="s">
        <v>546</v>
      </c>
      <c r="EO72" s="463">
        <v>0</v>
      </c>
      <c r="ER72" s="382" t="s">
        <v>8407</v>
      </c>
      <c r="ES72" s="876">
        <f>SUM(ET72:FG72)+39</f>
        <v>246</v>
      </c>
      <c r="ET72" s="933">
        <v>106</v>
      </c>
      <c r="EU72" s="933">
        <v>11</v>
      </c>
      <c r="EV72" s="933" t="s">
        <v>546</v>
      </c>
      <c r="EW72" s="933">
        <v>13</v>
      </c>
      <c r="EX72" s="933">
        <v>2</v>
      </c>
      <c r="EY72" s="933">
        <v>1</v>
      </c>
      <c r="EZ72" s="435" t="s">
        <v>546</v>
      </c>
      <c r="FA72" s="933">
        <v>15</v>
      </c>
      <c r="FB72" s="435" t="s">
        <v>546</v>
      </c>
      <c r="FC72" s="933">
        <v>3</v>
      </c>
      <c r="FD72" s="933">
        <v>15</v>
      </c>
      <c r="FE72" s="933">
        <v>6</v>
      </c>
      <c r="FF72" s="933">
        <v>4</v>
      </c>
      <c r="FG72" s="933">
        <f>17+14</f>
        <v>31</v>
      </c>
      <c r="FW72" s="637"/>
      <c r="GM72" s="451"/>
      <c r="GN72" s="451"/>
      <c r="GO72" s="451"/>
      <c r="GP72" s="451"/>
      <c r="GQ72" s="451"/>
      <c r="GR72" s="451"/>
      <c r="GS72" s="451"/>
      <c r="GT72" s="451"/>
      <c r="GU72" s="451"/>
      <c r="GV72" s="451"/>
      <c r="GW72" s="451"/>
      <c r="GX72" s="382"/>
      <c r="GY72" s="382"/>
      <c r="GZ72" s="382"/>
      <c r="HA72" s="382"/>
      <c r="HB72" s="382"/>
      <c r="HC72" s="382"/>
      <c r="HD72" s="382"/>
      <c r="HE72" s="382"/>
      <c r="HF72" s="382"/>
      <c r="HG72" s="382"/>
      <c r="HH72" s="382"/>
      <c r="HI72" s="382"/>
      <c r="HJ72" s="382"/>
      <c r="IF72" s="549"/>
      <c r="IH72" s="1526"/>
      <c r="II72" s="1526"/>
      <c r="IJ72" s="1526"/>
      <c r="IK72" s="1526"/>
      <c r="IL72" s="1526"/>
      <c r="IM72" s="1526"/>
      <c r="IN72" s="1526"/>
      <c r="IO72" s="1526"/>
    </row>
    <row r="73" spans="1:249">
      <c r="A73" s="825"/>
      <c r="B73" s="825"/>
      <c r="C73" s="825"/>
      <c r="D73" s="825"/>
      <c r="E73" s="825"/>
      <c r="F73" s="825"/>
      <c r="G73" s="825"/>
      <c r="H73" s="825"/>
      <c r="I73" s="825"/>
      <c r="J73" s="825"/>
      <c r="M73" s="549"/>
      <c r="N73" s="549"/>
      <c r="O73" s="549"/>
      <c r="P73" s="549"/>
      <c r="Q73" s="549"/>
      <c r="R73" s="549"/>
      <c r="S73" s="549"/>
      <c r="T73" s="549"/>
      <c r="U73" s="549"/>
      <c r="W73" s="1735"/>
      <c r="X73" s="463"/>
      <c r="Y73" s="463"/>
      <c r="Z73" s="463"/>
      <c r="AA73" s="463"/>
      <c r="AB73" s="463"/>
      <c r="AC73" s="463"/>
      <c r="AD73" s="463"/>
      <c r="AE73" s="463"/>
      <c r="AF73" s="463"/>
      <c r="AQ73" s="1709"/>
      <c r="AR73" s="1709"/>
      <c r="AS73" s="1709"/>
      <c r="AT73" s="1709"/>
      <c r="AU73" s="1733"/>
      <c r="AV73" s="1733"/>
      <c r="AW73" s="1783"/>
      <c r="AX73" s="1783"/>
      <c r="AY73" s="1733"/>
      <c r="CC73" s="391"/>
      <c r="CD73" s="515"/>
      <c r="CE73" s="463"/>
      <c r="CF73" s="463"/>
      <c r="CG73" s="463"/>
      <c r="CH73" s="463"/>
      <c r="CI73" s="463"/>
      <c r="CJ73" s="463"/>
      <c r="CK73" s="463"/>
      <c r="CL73" s="463"/>
      <c r="CM73" s="463"/>
      <c r="CN73" s="463"/>
      <c r="CO73" s="463"/>
      <c r="CP73" s="463"/>
      <c r="CR73" s="562"/>
      <c r="CS73" s="382" t="s">
        <v>473</v>
      </c>
      <c r="CT73" s="1744">
        <v>26231</v>
      </c>
      <c r="CU73" s="1744">
        <v>16223</v>
      </c>
      <c r="CV73" s="1744">
        <v>15834</v>
      </c>
      <c r="CW73" s="1744">
        <v>15048</v>
      </c>
      <c r="CX73" s="1744">
        <v>686</v>
      </c>
      <c r="CY73" s="1576">
        <v>28</v>
      </c>
      <c r="CZ73" s="1744">
        <v>742</v>
      </c>
      <c r="DA73" s="1744">
        <v>8764</v>
      </c>
      <c r="DB73" s="1744">
        <v>381</v>
      </c>
      <c r="DC73" s="1744">
        <v>1213</v>
      </c>
      <c r="DF73" s="586" t="s">
        <v>8419</v>
      </c>
      <c r="DG73" s="1767">
        <f>SUM(DH73:DU73)+871+26</f>
        <v>3484</v>
      </c>
      <c r="DH73" s="1767">
        <v>316</v>
      </c>
      <c r="DI73" s="1767">
        <v>213</v>
      </c>
      <c r="DJ73" s="1767">
        <v>319</v>
      </c>
      <c r="DK73" s="1767">
        <v>308</v>
      </c>
      <c r="DL73" s="1767">
        <v>200</v>
      </c>
      <c r="DM73" s="1767">
        <v>175</v>
      </c>
      <c r="DN73" s="1767">
        <v>413</v>
      </c>
      <c r="DO73" s="1767">
        <v>195</v>
      </c>
      <c r="DP73" s="1767">
        <v>199</v>
      </c>
      <c r="DQ73" s="1767">
        <v>142</v>
      </c>
      <c r="DR73" s="1767">
        <v>2</v>
      </c>
      <c r="DS73" s="1767">
        <v>0</v>
      </c>
      <c r="DT73" s="1767">
        <v>0</v>
      </c>
      <c r="DU73" s="1767">
        <v>105</v>
      </c>
      <c r="DX73" s="382" t="s">
        <v>8414</v>
      </c>
      <c r="DY73" s="1785">
        <f>SUM(DZ73:EE73)</f>
        <v>0</v>
      </c>
      <c r="DZ73" s="1785">
        <v>0</v>
      </c>
      <c r="EA73" s="1785">
        <v>0</v>
      </c>
      <c r="EB73" s="1785">
        <v>0</v>
      </c>
      <c r="EC73" s="1785">
        <v>0</v>
      </c>
      <c r="ED73" s="1785">
        <v>0</v>
      </c>
      <c r="EE73" s="1785">
        <v>0</v>
      </c>
      <c r="EH73" s="382" t="s">
        <v>8401</v>
      </c>
      <c r="EI73" s="876">
        <v>996</v>
      </c>
      <c r="EJ73" s="876">
        <v>630</v>
      </c>
      <c r="EK73" s="1576" t="s">
        <v>546</v>
      </c>
      <c r="EL73" s="876">
        <v>15</v>
      </c>
      <c r="EM73" s="876" t="s">
        <v>546</v>
      </c>
      <c r="EN73" s="876">
        <v>0</v>
      </c>
      <c r="EO73" s="876">
        <f>20+8+11</f>
        <v>39</v>
      </c>
      <c r="ER73" s="382" t="s">
        <v>467</v>
      </c>
      <c r="ES73" s="933" t="s">
        <v>546</v>
      </c>
      <c r="ET73" s="933" t="s">
        <v>546</v>
      </c>
      <c r="EU73" s="933" t="s">
        <v>546</v>
      </c>
      <c r="EV73" s="933" t="s">
        <v>546</v>
      </c>
      <c r="EW73" s="933" t="s">
        <v>546</v>
      </c>
      <c r="EX73" s="933" t="s">
        <v>546</v>
      </c>
      <c r="EY73" s="933" t="s">
        <v>546</v>
      </c>
      <c r="EZ73" s="933" t="s">
        <v>546</v>
      </c>
      <c r="FA73" s="933" t="s">
        <v>546</v>
      </c>
      <c r="FB73" s="933" t="s">
        <v>546</v>
      </c>
      <c r="FC73" s="933" t="s">
        <v>546</v>
      </c>
      <c r="FD73" s="933" t="s">
        <v>546</v>
      </c>
      <c r="FE73" s="933" t="s">
        <v>546</v>
      </c>
      <c r="FF73" s="933" t="s">
        <v>546</v>
      </c>
      <c r="FG73" s="933" t="s">
        <v>546</v>
      </c>
      <c r="FW73" s="2180"/>
      <c r="FX73" s="2180"/>
      <c r="FY73" s="2180"/>
      <c r="FZ73" s="2180"/>
      <c r="GA73" s="2180"/>
      <c r="GB73" s="2180"/>
      <c r="GC73" s="2180"/>
      <c r="GD73" s="2180"/>
      <c r="GE73" s="2180"/>
      <c r="GF73" s="2180"/>
      <c r="GG73" s="2180"/>
      <c r="GH73" s="2180"/>
      <c r="GI73" s="2180"/>
      <c r="GM73" s="451"/>
      <c r="GN73" s="451"/>
      <c r="GO73" s="451"/>
      <c r="GP73" s="451"/>
      <c r="GQ73" s="451"/>
      <c r="GR73" s="451"/>
      <c r="GS73" s="451"/>
      <c r="GT73" s="451"/>
      <c r="GU73" s="451"/>
      <c r="GV73" s="451"/>
      <c r="GW73" s="451"/>
      <c r="GX73" s="382"/>
      <c r="GY73" s="382"/>
      <c r="GZ73" s="382"/>
      <c r="HA73" s="382"/>
      <c r="HB73" s="382"/>
      <c r="HC73" s="382"/>
      <c r="HD73" s="382"/>
      <c r="HE73" s="382"/>
      <c r="HF73" s="382"/>
      <c r="HG73" s="382"/>
      <c r="HH73" s="382"/>
      <c r="HI73" s="382"/>
      <c r="HJ73" s="382"/>
      <c r="IH73" s="1526"/>
      <c r="II73" s="1526"/>
      <c r="IJ73" s="1526"/>
      <c r="IK73" s="1526"/>
      <c r="IL73" s="1526"/>
      <c r="IM73" s="1526"/>
      <c r="IN73" s="1526"/>
      <c r="IO73" s="1526"/>
    </row>
    <row r="74" spans="1:249">
      <c r="A74" s="902"/>
      <c r="B74" s="902"/>
      <c r="C74" s="902"/>
      <c r="D74" s="902"/>
      <c r="E74" s="902"/>
      <c r="F74" s="902"/>
      <c r="G74" s="902"/>
      <c r="H74" s="902"/>
      <c r="I74" s="902"/>
      <c r="J74" s="902"/>
      <c r="M74" s="549"/>
      <c r="N74" s="549"/>
      <c r="O74" s="549"/>
      <c r="P74" s="549"/>
      <c r="Q74" s="549"/>
      <c r="R74" s="549"/>
      <c r="S74" s="549"/>
      <c r="T74" s="549"/>
      <c r="U74" s="549"/>
      <c r="W74" s="1735"/>
      <c r="X74" s="463"/>
      <c r="Y74" s="463"/>
      <c r="Z74" s="463"/>
      <c r="AA74" s="463"/>
      <c r="AB74" s="463"/>
      <c r="AC74" s="463"/>
      <c r="AD74" s="463"/>
      <c r="AE74" s="463"/>
      <c r="AF74" s="463"/>
      <c r="AQ74" s="1709"/>
      <c r="AR74" s="1709"/>
      <c r="AS74" s="1709"/>
      <c r="AT74" s="1709"/>
      <c r="AU74" s="1733"/>
      <c r="AV74" s="1733"/>
      <c r="AW74" s="1783"/>
      <c r="AX74" s="1783"/>
      <c r="AY74" s="1733"/>
      <c r="CC74" s="391" t="s">
        <v>845</v>
      </c>
      <c r="CD74" s="515"/>
      <c r="CE74" s="463"/>
      <c r="CF74" s="463"/>
      <c r="CG74" s="463"/>
      <c r="CH74" s="463"/>
      <c r="CI74" s="463"/>
      <c r="CJ74" s="463"/>
      <c r="CK74" s="463"/>
      <c r="CL74" s="463"/>
      <c r="CM74" s="463"/>
      <c r="CN74" s="463"/>
      <c r="CO74" s="463"/>
      <c r="CP74" s="463"/>
      <c r="CR74" s="562"/>
      <c r="CS74" s="382" t="s">
        <v>528</v>
      </c>
      <c r="CT74" s="1744">
        <v>5514</v>
      </c>
      <c r="CU74" s="1744">
        <v>2514</v>
      </c>
      <c r="CV74" s="1744">
        <v>2431</v>
      </c>
      <c r="CW74" s="1744">
        <v>2261</v>
      </c>
      <c r="CX74" s="1744">
        <v>153</v>
      </c>
      <c r="CY74" s="1576">
        <v>0</v>
      </c>
      <c r="CZ74" s="1744">
        <v>168</v>
      </c>
      <c r="DA74" s="1744">
        <v>2751</v>
      </c>
      <c r="DB74" s="1744">
        <v>83</v>
      </c>
      <c r="DC74" s="1744">
        <v>249</v>
      </c>
      <c r="DF74" s="549" t="s">
        <v>8423</v>
      </c>
      <c r="DG74" s="549"/>
      <c r="DH74" s="549"/>
      <c r="DI74" s="549"/>
      <c r="DJ74" s="549"/>
      <c r="DK74" s="549"/>
      <c r="DL74" s="549"/>
      <c r="DM74" s="549"/>
      <c r="DN74" s="549"/>
      <c r="DO74" s="549"/>
      <c r="DP74" s="549"/>
      <c r="DQ74" s="549"/>
      <c r="DR74" s="549"/>
      <c r="DS74" s="549"/>
      <c r="DX74" s="382" t="s">
        <v>530</v>
      </c>
      <c r="DY74" s="1740">
        <v>88</v>
      </c>
      <c r="DZ74" s="1740">
        <v>17</v>
      </c>
      <c r="EA74" s="1740">
        <v>3</v>
      </c>
      <c r="EB74" s="1740">
        <v>1</v>
      </c>
      <c r="EC74" s="1740">
        <v>14</v>
      </c>
      <c r="ED74" s="1740">
        <v>1</v>
      </c>
      <c r="EE74" s="1740">
        <v>11</v>
      </c>
      <c r="EH74" s="382" t="s">
        <v>393</v>
      </c>
      <c r="EI74" s="876">
        <v>248</v>
      </c>
      <c r="EJ74" s="876">
        <v>155</v>
      </c>
      <c r="EK74" s="1576" t="s">
        <v>546</v>
      </c>
      <c r="EL74" s="876">
        <v>5</v>
      </c>
      <c r="EM74" s="876" t="s">
        <v>546</v>
      </c>
      <c r="EN74" s="876">
        <v>0</v>
      </c>
      <c r="EO74" s="876">
        <f>4+2+1+3</f>
        <v>10</v>
      </c>
      <c r="ER74" s="382" t="s">
        <v>8414</v>
      </c>
      <c r="ES74" s="933" t="s">
        <v>546</v>
      </c>
      <c r="ET74" s="933" t="s">
        <v>546</v>
      </c>
      <c r="EU74" s="933" t="s">
        <v>546</v>
      </c>
      <c r="EV74" s="933" t="s">
        <v>546</v>
      </c>
      <c r="EW74" s="933" t="s">
        <v>546</v>
      </c>
      <c r="EX74" s="933" t="s">
        <v>546</v>
      </c>
      <c r="EY74" s="933" t="s">
        <v>546</v>
      </c>
      <c r="EZ74" s="933" t="s">
        <v>546</v>
      </c>
      <c r="FA74" s="933" t="s">
        <v>546</v>
      </c>
      <c r="FB74" s="933" t="s">
        <v>546</v>
      </c>
      <c r="FC74" s="933" t="s">
        <v>546</v>
      </c>
      <c r="FD74" s="933" t="s">
        <v>546</v>
      </c>
      <c r="FE74" s="933" t="s">
        <v>546</v>
      </c>
      <c r="FF74" s="933" t="s">
        <v>546</v>
      </c>
      <c r="FG74" s="933" t="s">
        <v>546</v>
      </c>
      <c r="FW74" s="439"/>
      <c r="FX74" s="439"/>
      <c r="FY74" s="439"/>
      <c r="FZ74" s="439"/>
      <c r="GA74" s="439"/>
      <c r="GB74" s="439"/>
      <c r="GC74" s="439"/>
      <c r="GD74" s="439"/>
      <c r="GE74" s="439"/>
      <c r="GF74" s="439"/>
      <c r="GG74" s="439"/>
      <c r="GH74" s="439"/>
      <c r="GI74" s="439"/>
      <c r="GM74" s="549"/>
      <c r="GN74" s="549"/>
      <c r="GO74" s="549"/>
      <c r="GP74" s="549"/>
      <c r="GQ74" s="549"/>
      <c r="GR74" s="549"/>
      <c r="GS74" s="549"/>
      <c r="GT74" s="549"/>
      <c r="GU74" s="549"/>
      <c r="GV74" s="549"/>
      <c r="GW74" s="549"/>
      <c r="GX74" s="1786"/>
      <c r="GY74" s="1786"/>
      <c r="GZ74" s="1786"/>
      <c r="HA74" s="1786"/>
      <c r="HB74" s="1786"/>
      <c r="HC74" s="1786"/>
      <c r="HD74" s="1786"/>
      <c r="HE74" s="1786"/>
      <c r="HF74" s="1786"/>
      <c r="HG74" s="1786"/>
      <c r="HH74" s="1786"/>
      <c r="HI74" s="1786"/>
      <c r="HJ74" s="1786"/>
      <c r="IH74" s="1526"/>
      <c r="II74" s="1526"/>
      <c r="IJ74" s="1526"/>
      <c r="IK74" s="1526"/>
      <c r="IL74" s="1526"/>
      <c r="IM74" s="1526"/>
      <c r="IN74" s="1526"/>
      <c r="IO74" s="1526"/>
    </row>
    <row r="75" spans="1:249">
      <c r="M75" s="549"/>
      <c r="N75" s="549"/>
      <c r="O75" s="549"/>
      <c r="P75" s="549"/>
      <c r="Q75" s="549"/>
      <c r="R75" s="549"/>
      <c r="S75" s="549"/>
      <c r="T75" s="549"/>
      <c r="U75" s="549"/>
      <c r="W75" s="1735"/>
      <c r="X75" s="463"/>
      <c r="Y75" s="463"/>
      <c r="Z75" s="463"/>
      <c r="AA75" s="463"/>
      <c r="AB75" s="463"/>
      <c r="AC75" s="463"/>
      <c r="AD75" s="463"/>
      <c r="AE75" s="463"/>
      <c r="AF75" s="463"/>
      <c r="AQ75" s="1709"/>
      <c r="AR75" s="1709"/>
      <c r="AS75" s="1709"/>
      <c r="AT75" s="1709"/>
      <c r="AU75" s="1733"/>
      <c r="AV75" s="1733"/>
      <c r="AW75" s="1783"/>
      <c r="AX75" s="1783"/>
      <c r="AY75" s="1733"/>
      <c r="CC75" s="391">
        <v>2024</v>
      </c>
      <c r="CD75" s="515"/>
      <c r="CE75" s="463"/>
      <c r="CF75" s="463"/>
      <c r="CG75" s="463"/>
      <c r="CH75" s="463"/>
      <c r="CI75" s="463"/>
      <c r="CJ75" s="463"/>
      <c r="CK75" s="463"/>
      <c r="CL75" s="463"/>
      <c r="CM75" s="463"/>
      <c r="CN75" s="463"/>
      <c r="CO75" s="463"/>
      <c r="CP75" s="463"/>
      <c r="CR75" s="562"/>
      <c r="CS75" s="382" t="s">
        <v>845</v>
      </c>
      <c r="CT75" s="1744">
        <v>8902</v>
      </c>
      <c r="CU75" s="1744">
        <v>6164</v>
      </c>
      <c r="CV75" s="1744">
        <v>5219</v>
      </c>
      <c r="CW75" s="1744">
        <v>5020</v>
      </c>
      <c r="CX75" s="1744">
        <v>148</v>
      </c>
      <c r="CY75" s="1576">
        <v>0</v>
      </c>
      <c r="CZ75" s="1744">
        <v>169</v>
      </c>
      <c r="DA75" s="1744">
        <v>2471</v>
      </c>
      <c r="DB75" s="1744">
        <v>974</v>
      </c>
      <c r="DC75" s="1744">
        <v>238</v>
      </c>
      <c r="DF75" s="549" t="s">
        <v>8428</v>
      </c>
      <c r="DG75" s="549"/>
      <c r="DH75" s="549"/>
      <c r="DI75" s="549"/>
      <c r="DJ75" s="549"/>
      <c r="DK75" s="549"/>
      <c r="DL75" s="549"/>
      <c r="DM75" s="549"/>
      <c r="DN75" s="549"/>
      <c r="DO75" s="549"/>
      <c r="DP75" s="549"/>
      <c r="DQ75" s="549"/>
      <c r="DR75" s="549"/>
      <c r="DS75" s="549"/>
      <c r="DX75" s="382" t="s">
        <v>8420</v>
      </c>
      <c r="DY75" s="1740">
        <f>2706+616+82+80</f>
        <v>3484</v>
      </c>
      <c r="DZ75" s="1740">
        <f>1006+215+37+28</f>
        <v>1286</v>
      </c>
      <c r="EA75" s="1740">
        <f>306+99+9+5</f>
        <v>419</v>
      </c>
      <c r="EB75" s="1740">
        <f>160+50+4+4</f>
        <v>218</v>
      </c>
      <c r="EC75" s="1740">
        <f>75+18+1+6</f>
        <v>100</v>
      </c>
      <c r="ED75" s="1740">
        <f>48+6+3+1</f>
        <v>58</v>
      </c>
      <c r="EE75" s="1740">
        <f>369+87+6+7</f>
        <v>469</v>
      </c>
      <c r="EH75" s="382" t="s">
        <v>467</v>
      </c>
      <c r="EI75" s="876">
        <v>0</v>
      </c>
      <c r="EJ75" s="463" t="s">
        <v>546</v>
      </c>
      <c r="EK75" s="1576" t="s">
        <v>546</v>
      </c>
      <c r="EL75" s="463" t="s">
        <v>546</v>
      </c>
      <c r="EM75" s="463" t="s">
        <v>546</v>
      </c>
      <c r="EN75" s="463" t="s">
        <v>546</v>
      </c>
      <c r="EO75" s="463" t="s">
        <v>546</v>
      </c>
      <c r="ER75" s="382" t="s">
        <v>530</v>
      </c>
      <c r="ES75" s="876">
        <f>SUM(ET75:FG75)+43</f>
        <v>88</v>
      </c>
      <c r="ET75" s="933">
        <v>18</v>
      </c>
      <c r="EU75" s="933">
        <v>1</v>
      </c>
      <c r="EV75" s="933" t="s">
        <v>546</v>
      </c>
      <c r="EW75" s="933" t="s">
        <v>546</v>
      </c>
      <c r="EX75" s="933">
        <v>1</v>
      </c>
      <c r="EY75" s="933" t="s">
        <v>546</v>
      </c>
      <c r="EZ75" s="435" t="s">
        <v>546</v>
      </c>
      <c r="FA75" s="933">
        <v>1</v>
      </c>
      <c r="FB75" s="435" t="s">
        <v>546</v>
      </c>
      <c r="FC75" s="435" t="s">
        <v>546</v>
      </c>
      <c r="FD75" s="435" t="s">
        <v>546</v>
      </c>
      <c r="FE75" s="933">
        <v>3</v>
      </c>
      <c r="FF75" s="933">
        <v>1</v>
      </c>
      <c r="FG75" s="933">
        <v>20</v>
      </c>
      <c r="FW75" s="439"/>
      <c r="FX75" s="463"/>
      <c r="FY75" s="463"/>
      <c r="FZ75" s="463"/>
      <c r="GA75" s="463"/>
      <c r="GB75" s="463"/>
      <c r="GC75" s="463"/>
      <c r="GD75" s="463"/>
      <c r="GE75" s="463"/>
      <c r="GF75" s="463"/>
      <c r="GG75" s="463"/>
      <c r="GH75" s="463"/>
      <c r="GI75" s="463"/>
      <c r="GM75" s="995"/>
      <c r="GN75" s="995"/>
      <c r="GO75" s="995"/>
      <c r="GP75" s="995"/>
      <c r="GQ75" s="995"/>
      <c r="GR75" s="995"/>
      <c r="GS75" s="995"/>
      <c r="GT75" s="995"/>
      <c r="GU75" s="995"/>
      <c r="GV75" s="995"/>
      <c r="GW75" s="995"/>
      <c r="GX75" s="549"/>
      <c r="GY75" s="549"/>
      <c r="GZ75" s="549"/>
      <c r="HA75" s="549"/>
      <c r="HB75" s="549"/>
      <c r="HC75" s="549"/>
      <c r="HD75" s="549"/>
      <c r="HE75" s="549"/>
      <c r="HF75" s="549"/>
      <c r="HG75" s="549"/>
      <c r="HH75" s="549"/>
      <c r="HI75" s="549"/>
      <c r="HJ75" s="549"/>
      <c r="IH75" s="1526"/>
      <c r="II75" s="1526"/>
      <c r="IJ75" s="1526"/>
      <c r="IK75" s="1526"/>
      <c r="IL75" s="1526"/>
      <c r="IM75" s="1526"/>
      <c r="IN75" s="1526"/>
      <c r="IO75" s="1526"/>
    </row>
    <row r="76" spans="1:249">
      <c r="M76" s="549"/>
      <c r="N76" s="549"/>
      <c r="O76" s="549"/>
      <c r="P76" s="549"/>
      <c r="Q76" s="549"/>
      <c r="R76" s="549"/>
      <c r="S76" s="549"/>
      <c r="T76" s="549"/>
      <c r="U76" s="549"/>
      <c r="W76" s="1735"/>
      <c r="X76" s="463"/>
      <c r="Y76" s="463"/>
      <c r="Z76" s="463"/>
      <c r="AA76" s="463"/>
      <c r="AB76" s="463"/>
      <c r="AC76" s="463"/>
      <c r="AD76" s="463"/>
      <c r="AE76" s="463"/>
      <c r="AF76" s="463"/>
      <c r="AQ76" s="1709"/>
      <c r="AR76" s="1709"/>
      <c r="AS76" s="1709"/>
      <c r="AT76" s="1709"/>
      <c r="AU76" s="1733"/>
      <c r="AV76" s="1733"/>
      <c r="AW76" s="1783"/>
      <c r="AX76" s="1783"/>
      <c r="AY76" s="1733"/>
      <c r="CC76" s="391">
        <v>2023</v>
      </c>
      <c r="CD76" s="515">
        <f>SUM(CE76:CP76)</f>
        <v>49634</v>
      </c>
      <c r="CE76" s="463">
        <v>2656</v>
      </c>
      <c r="CF76" s="463">
        <v>2822</v>
      </c>
      <c r="CG76" s="463">
        <v>3320</v>
      </c>
      <c r="CH76" s="463">
        <v>3652</v>
      </c>
      <c r="CI76" s="463">
        <v>3652</v>
      </c>
      <c r="CJ76" s="463">
        <v>3652</v>
      </c>
      <c r="CK76" s="463">
        <v>4482</v>
      </c>
      <c r="CL76" s="463">
        <v>5146</v>
      </c>
      <c r="CM76" s="463">
        <v>4814</v>
      </c>
      <c r="CN76" s="463">
        <v>5312</v>
      </c>
      <c r="CO76" s="463">
        <v>4980</v>
      </c>
      <c r="CP76" s="463">
        <v>5146</v>
      </c>
      <c r="CR76" s="562"/>
      <c r="CS76" s="382" t="s">
        <v>3006</v>
      </c>
      <c r="CT76" s="1744">
        <v>870</v>
      </c>
      <c r="CU76" s="1744">
        <v>377</v>
      </c>
      <c r="CV76" s="1744">
        <v>369</v>
      </c>
      <c r="CW76" s="1744">
        <v>345</v>
      </c>
      <c r="CX76" s="1744">
        <v>21</v>
      </c>
      <c r="CY76" s="1576">
        <v>0</v>
      </c>
      <c r="CZ76" s="1744">
        <v>22</v>
      </c>
      <c r="DA76" s="1744">
        <v>486</v>
      </c>
      <c r="DB76" s="1744">
        <v>8</v>
      </c>
      <c r="DC76" s="1744">
        <v>7</v>
      </c>
      <c r="DF76" s="549" t="s">
        <v>8431</v>
      </c>
      <c r="DG76" s="549"/>
      <c r="DH76" s="549"/>
      <c r="DI76" s="549"/>
      <c r="DJ76" s="549"/>
      <c r="DK76" s="549"/>
      <c r="DL76" s="549"/>
      <c r="DM76" s="549"/>
      <c r="DN76" s="549"/>
      <c r="DO76" s="549"/>
      <c r="DP76" s="549"/>
      <c r="DQ76" s="549"/>
      <c r="DR76" s="549"/>
      <c r="DS76" s="549"/>
      <c r="DX76" s="1508" t="s">
        <v>8423</v>
      </c>
      <c r="DY76" s="1508"/>
      <c r="DZ76" s="1508"/>
      <c r="EA76" s="1508"/>
      <c r="EB76" s="1508"/>
      <c r="EC76" s="1508"/>
      <c r="ED76" s="1508"/>
      <c r="EE76" s="1508"/>
      <c r="EH76" s="382" t="s">
        <v>466</v>
      </c>
      <c r="EI76" s="876">
        <f>SUM(EJ76:EO76)</f>
        <v>0</v>
      </c>
      <c r="EJ76" s="463" t="s">
        <v>546</v>
      </c>
      <c r="EK76" s="1576" t="s">
        <v>546</v>
      </c>
      <c r="EL76" s="463" t="s">
        <v>546</v>
      </c>
      <c r="EM76" s="463" t="s">
        <v>546</v>
      </c>
      <c r="EN76" s="463" t="s">
        <v>546</v>
      </c>
      <c r="EO76" s="463" t="s">
        <v>546</v>
      </c>
      <c r="ER76" s="381" t="s">
        <v>8420</v>
      </c>
      <c r="ES76" s="1787">
        <f>SUM(ET76:FG76)+707+27+22+137</f>
        <v>3484</v>
      </c>
      <c r="ET76" s="866">
        <f>111+21+8+779</f>
        <v>919</v>
      </c>
      <c r="EU76" s="866">
        <f>17+10+106</f>
        <v>133</v>
      </c>
      <c r="EV76" s="556" t="s">
        <v>546</v>
      </c>
      <c r="EW76" s="866">
        <f>27+11+3+110</f>
        <v>151</v>
      </c>
      <c r="EX76" s="866">
        <v>24</v>
      </c>
      <c r="EY76" s="866">
        <v>7</v>
      </c>
      <c r="EZ76" s="556" t="s">
        <v>546</v>
      </c>
      <c r="FA76" s="866">
        <f>22+110</f>
        <v>132</v>
      </c>
      <c r="FB76" s="556" t="s">
        <v>546</v>
      </c>
      <c r="FC76" s="866">
        <v>13</v>
      </c>
      <c r="FD76" s="866">
        <f>78+6+214</f>
        <v>298</v>
      </c>
      <c r="FE76" s="866">
        <f>103+3+123</f>
        <v>229</v>
      </c>
      <c r="FF76" s="866">
        <f>48+2+2+92</f>
        <v>144</v>
      </c>
      <c r="FG76" s="556">
        <f>27+25+299+52+15+123</f>
        <v>541</v>
      </c>
      <c r="FW76" s="439"/>
      <c r="FX76" s="463"/>
      <c r="FY76" s="463"/>
      <c r="FZ76" s="463"/>
      <c r="GA76" s="463"/>
      <c r="GB76" s="463"/>
      <c r="GC76" s="463"/>
      <c r="GD76" s="463"/>
      <c r="GE76" s="463"/>
      <c r="GF76" s="463"/>
      <c r="GG76" s="463"/>
      <c r="GH76" s="463"/>
      <c r="GI76" s="463"/>
      <c r="GM76" s="995"/>
      <c r="GN76" s="995"/>
      <c r="GO76" s="995"/>
      <c r="GP76" s="995"/>
      <c r="GQ76" s="995"/>
      <c r="GR76" s="995"/>
      <c r="GS76" s="995"/>
      <c r="GT76" s="995"/>
      <c r="GU76" s="995"/>
      <c r="GV76" s="995"/>
      <c r="GW76" s="995"/>
      <c r="GX76" s="549"/>
      <c r="GY76" s="549"/>
      <c r="GZ76" s="549"/>
      <c r="HA76" s="549"/>
      <c r="HB76" s="549"/>
      <c r="HC76" s="549"/>
      <c r="HD76" s="549"/>
      <c r="HE76" s="549"/>
      <c r="HF76" s="549"/>
      <c r="HG76" s="549"/>
      <c r="HH76" s="549"/>
      <c r="HI76" s="549"/>
      <c r="HJ76" s="549"/>
      <c r="IH76" s="1526"/>
      <c r="II76" s="1526"/>
      <c r="IJ76" s="1526"/>
      <c r="IK76" s="1526"/>
      <c r="IL76" s="1526"/>
      <c r="IM76" s="1526"/>
      <c r="IN76" s="1526"/>
      <c r="IO76" s="1526"/>
    </row>
    <row r="77" spans="1:249">
      <c r="M77" s="549"/>
      <c r="N77" s="549"/>
      <c r="O77" s="549"/>
      <c r="P77" s="549"/>
      <c r="Q77" s="549"/>
      <c r="R77" s="549"/>
      <c r="S77" s="549"/>
      <c r="T77" s="549"/>
      <c r="U77" s="549"/>
      <c r="W77" s="1735"/>
      <c r="X77" s="463"/>
      <c r="Y77" s="463"/>
      <c r="Z77" s="463"/>
      <c r="AA77" s="463"/>
      <c r="AB77" s="463"/>
      <c r="AC77" s="463"/>
      <c r="AD77" s="463"/>
      <c r="AE77" s="463"/>
      <c r="AF77" s="463"/>
      <c r="AQ77" s="1709"/>
      <c r="AR77" s="1709"/>
      <c r="AS77" s="1709"/>
      <c r="AT77" s="1709"/>
      <c r="AU77" s="1733"/>
      <c r="AV77" s="1733"/>
      <c r="AW77" s="1783"/>
      <c r="AX77" s="1783"/>
      <c r="AY77" s="1733"/>
      <c r="CC77" s="391">
        <v>2022</v>
      </c>
      <c r="CD77" s="515">
        <f>SUM(CE77:CP77)</f>
        <v>26062</v>
      </c>
      <c r="CE77" s="463">
        <v>2324</v>
      </c>
      <c r="CF77" s="463">
        <v>1660</v>
      </c>
      <c r="CG77" s="463">
        <v>1660</v>
      </c>
      <c r="CH77" s="463">
        <v>1494</v>
      </c>
      <c r="CI77" s="463">
        <v>2158</v>
      </c>
      <c r="CJ77" s="463">
        <v>2324</v>
      </c>
      <c r="CK77" s="463">
        <v>2324</v>
      </c>
      <c r="CL77" s="463">
        <v>2490</v>
      </c>
      <c r="CM77" s="463">
        <v>2324</v>
      </c>
      <c r="CN77" s="463">
        <v>2324</v>
      </c>
      <c r="CO77" s="463">
        <v>2490</v>
      </c>
      <c r="CP77" s="463">
        <v>2490</v>
      </c>
      <c r="CR77" s="562"/>
      <c r="CS77" s="382" t="s">
        <v>397</v>
      </c>
      <c r="CT77" s="1744">
        <v>18328</v>
      </c>
      <c r="CU77" s="1744">
        <v>10048</v>
      </c>
      <c r="CV77" s="1744">
        <v>8831</v>
      </c>
      <c r="CW77" s="1744">
        <v>8449</v>
      </c>
      <c r="CX77" s="1744">
        <v>286</v>
      </c>
      <c r="CY77" s="1576">
        <v>7</v>
      </c>
      <c r="CZ77" s="1744">
        <v>345</v>
      </c>
      <c r="DA77" s="1744">
        <v>6197</v>
      </c>
      <c r="DB77" s="1744">
        <v>1239</v>
      </c>
      <c r="DC77" s="1744">
        <v>2054</v>
      </c>
      <c r="DF77" s="549" t="s">
        <v>8434</v>
      </c>
      <c r="DG77" s="549"/>
      <c r="DH77" s="549"/>
      <c r="DI77" s="549"/>
      <c r="DJ77" s="549"/>
      <c r="DK77" s="549"/>
      <c r="DL77" s="549"/>
      <c r="DM77" s="549"/>
      <c r="DN77" s="549"/>
      <c r="DO77" s="549"/>
      <c r="DP77" s="549"/>
      <c r="DQ77" s="549"/>
      <c r="DR77" s="549"/>
      <c r="DS77" s="549"/>
      <c r="DX77" s="549" t="s">
        <v>8428</v>
      </c>
      <c r="DY77" s="549"/>
      <c r="DZ77" s="549"/>
      <c r="EA77" s="549"/>
      <c r="EB77" s="549"/>
      <c r="EC77" s="549"/>
      <c r="ED77" s="549"/>
      <c r="EE77" s="549"/>
      <c r="EH77" s="382" t="s">
        <v>530</v>
      </c>
      <c r="EI77" s="876">
        <v>89</v>
      </c>
      <c r="EJ77" s="876">
        <v>48</v>
      </c>
      <c r="EK77" s="1576" t="s">
        <v>546</v>
      </c>
      <c r="EL77" s="876">
        <v>1</v>
      </c>
      <c r="EM77" s="876">
        <v>0</v>
      </c>
      <c r="EN77" s="876" t="s">
        <v>546</v>
      </c>
      <c r="EO77" s="876">
        <f>3+1+1</f>
        <v>5</v>
      </c>
      <c r="ER77" s="549" t="s">
        <v>8423</v>
      </c>
      <c r="ES77" s="986"/>
      <c r="ET77" s="986"/>
      <c r="EU77" s="986"/>
      <c r="EV77" s="986"/>
      <c r="EW77" s="986"/>
      <c r="EX77" s="986"/>
      <c r="EY77" s="986"/>
      <c r="EZ77" s="986"/>
      <c r="FA77" s="986"/>
      <c r="FB77" s="986"/>
      <c r="FC77" s="861"/>
      <c r="FD77" s="986"/>
      <c r="FE77" s="862"/>
      <c r="FF77" s="525"/>
      <c r="FG77" s="862"/>
      <c r="FW77" s="439"/>
      <c r="FX77" s="463"/>
      <c r="FY77" s="463"/>
      <c r="FZ77" s="463"/>
      <c r="GA77" s="463"/>
      <c r="GB77" s="463"/>
      <c r="GC77" s="463"/>
      <c r="GD77" s="463"/>
      <c r="GE77" s="463"/>
      <c r="GF77" s="463"/>
      <c r="GG77" s="463"/>
      <c r="GH77" s="463"/>
      <c r="GI77" s="463"/>
      <c r="GM77" s="2180"/>
      <c r="GN77" s="2180"/>
      <c r="GO77" s="2180"/>
      <c r="GP77" s="2180"/>
      <c r="GQ77" s="2180"/>
      <c r="GR77" s="2180"/>
      <c r="GS77" s="2180"/>
      <c r="GT77" s="2180"/>
      <c r="GU77" s="2180"/>
      <c r="GV77" s="2180"/>
      <c r="GW77" s="2180"/>
      <c r="GX77" s="2180"/>
      <c r="GY77" s="2180"/>
      <c r="GZ77" s="2180"/>
      <c r="HA77" s="2180"/>
      <c r="HB77" s="2180"/>
      <c r="HC77" s="2180"/>
      <c r="HD77" s="2180"/>
      <c r="HE77" s="2180"/>
      <c r="HF77" s="2180"/>
      <c r="HG77" s="2180"/>
      <c r="HH77" s="2180"/>
      <c r="HI77" s="2180"/>
      <c r="HJ77" s="2180"/>
      <c r="IH77" s="1526"/>
      <c r="II77" s="1526"/>
      <c r="IJ77" s="1526"/>
      <c r="IK77" s="1526"/>
      <c r="IL77" s="1526"/>
      <c r="IM77" s="1526"/>
      <c r="IN77" s="1526"/>
      <c r="IO77" s="1526"/>
    </row>
    <row r="78" spans="1:249">
      <c r="M78" s="549"/>
      <c r="N78" s="549"/>
      <c r="O78" s="549"/>
      <c r="P78" s="549"/>
      <c r="Q78" s="549"/>
      <c r="R78" s="549"/>
      <c r="S78" s="549"/>
      <c r="T78" s="549"/>
      <c r="U78" s="549"/>
      <c r="W78" s="1735"/>
      <c r="X78" s="463"/>
      <c r="Y78" s="463"/>
      <c r="Z78" s="463"/>
      <c r="AA78" s="463"/>
      <c r="AB78" s="463"/>
      <c r="AC78" s="463"/>
      <c r="AD78" s="463"/>
      <c r="AE78" s="463"/>
      <c r="AF78" s="463"/>
      <c r="AQ78" s="1709"/>
      <c r="AR78" s="1709"/>
      <c r="AS78" s="1709"/>
      <c r="AT78" s="1709"/>
      <c r="AU78" s="1709"/>
      <c r="AV78" s="1709"/>
      <c r="AW78" s="1709"/>
      <c r="AX78" s="1709"/>
      <c r="AY78" s="1709"/>
      <c r="CC78" s="391">
        <v>2021</v>
      </c>
      <c r="CD78" s="515">
        <f>SUM(CE78:CP78)</f>
        <v>17682</v>
      </c>
      <c r="CE78" s="463">
        <v>498</v>
      </c>
      <c r="CF78" s="463">
        <v>458</v>
      </c>
      <c r="CG78" s="463">
        <v>458</v>
      </c>
      <c r="CH78" s="463">
        <v>498</v>
      </c>
      <c r="CI78" s="463">
        <v>664</v>
      </c>
      <c r="CJ78" s="463">
        <v>1162</v>
      </c>
      <c r="CK78" s="463">
        <v>2324</v>
      </c>
      <c r="CL78" s="463">
        <v>2490</v>
      </c>
      <c r="CM78" s="463">
        <v>1992</v>
      </c>
      <c r="CN78" s="463">
        <v>2656</v>
      </c>
      <c r="CO78" s="463">
        <v>2324</v>
      </c>
      <c r="CP78" s="463">
        <v>2158</v>
      </c>
      <c r="CR78" s="562"/>
      <c r="CS78" s="382" t="s">
        <v>8396</v>
      </c>
      <c r="CT78" s="1744">
        <v>1743</v>
      </c>
      <c r="CU78" s="1744">
        <v>1379</v>
      </c>
      <c r="CV78" s="1744">
        <v>1353</v>
      </c>
      <c r="CW78" s="1744">
        <v>1326</v>
      </c>
      <c r="CX78" s="1744">
        <v>25</v>
      </c>
      <c r="CY78" s="1576">
        <v>52</v>
      </c>
      <c r="CZ78" s="1744">
        <v>30</v>
      </c>
      <c r="DA78" s="1744">
        <v>280</v>
      </c>
      <c r="DB78" s="1744">
        <v>24</v>
      </c>
      <c r="DC78" s="1744">
        <v>32</v>
      </c>
      <c r="DF78" s="549" t="s">
        <v>8438</v>
      </c>
      <c r="DG78" s="549"/>
      <c r="DH78" s="549"/>
      <c r="DI78" s="549"/>
      <c r="DJ78" s="549"/>
      <c r="DK78" s="549"/>
      <c r="DL78" s="549"/>
      <c r="DM78" s="549"/>
      <c r="DN78" s="549"/>
      <c r="DO78" s="549"/>
      <c r="DP78" s="549"/>
      <c r="DQ78" s="549"/>
      <c r="DR78" s="549"/>
      <c r="DS78" s="549"/>
      <c r="DX78" s="549" t="s">
        <v>8431</v>
      </c>
      <c r="DY78" s="549"/>
      <c r="DZ78" s="549"/>
      <c r="EA78" s="549"/>
      <c r="EB78" s="549"/>
      <c r="EC78" s="549"/>
      <c r="ED78" s="549"/>
      <c r="EE78" s="549"/>
      <c r="EH78" s="382" t="s">
        <v>8420</v>
      </c>
      <c r="EI78" s="876">
        <f>617+85+81+2719</f>
        <v>3502</v>
      </c>
      <c r="EJ78" s="876">
        <f>1716+375+49+48</f>
        <v>2188</v>
      </c>
      <c r="EK78" s="1768" t="s">
        <v>546</v>
      </c>
      <c r="EL78" s="876">
        <f>32+9+1</f>
        <v>42</v>
      </c>
      <c r="EM78" s="876">
        <v>2</v>
      </c>
      <c r="EN78" s="876">
        <v>5</v>
      </c>
      <c r="EO78" s="876">
        <f>17+56+19+6+8+12+26</f>
        <v>144</v>
      </c>
      <c r="ER78" s="549" t="s">
        <v>8428</v>
      </c>
      <c r="ES78" s="549"/>
      <c r="ET78" s="549"/>
      <c r="EU78" s="549"/>
      <c r="EV78" s="549"/>
      <c r="EW78" s="986"/>
      <c r="EX78" s="986"/>
      <c r="EY78" s="986"/>
      <c r="EZ78" s="986"/>
      <c r="FA78" s="986"/>
      <c r="FB78" s="986"/>
      <c r="FC78" s="861"/>
      <c r="FD78" s="986"/>
      <c r="FE78" s="862"/>
      <c r="FF78" s="525"/>
      <c r="FG78" s="862"/>
      <c r="FW78" s="439"/>
      <c r="FX78" s="463"/>
      <c r="FY78" s="463"/>
      <c r="FZ78" s="463"/>
      <c r="GA78" s="463"/>
      <c r="GB78" s="463"/>
      <c r="GC78" s="463"/>
      <c r="GD78" s="463"/>
      <c r="GE78" s="463"/>
      <c r="GF78" s="463"/>
      <c r="GG78" s="463"/>
      <c r="GH78" s="463"/>
      <c r="GI78" s="463"/>
      <c r="GM78" s="382"/>
      <c r="GN78" s="382"/>
      <c r="GO78" s="382"/>
      <c r="GP78" s="382"/>
      <c r="GQ78" s="382"/>
      <c r="GR78" s="382"/>
      <c r="GS78" s="382"/>
      <c r="GT78" s="382"/>
      <c r="GU78" s="382"/>
      <c r="GV78" s="382"/>
      <c r="GW78" s="382"/>
      <c r="GX78" s="414"/>
      <c r="GY78" s="414"/>
      <c r="GZ78" s="414"/>
      <c r="HA78" s="414"/>
      <c r="HB78" s="414"/>
      <c r="HC78" s="414"/>
      <c r="HD78" s="414"/>
      <c r="HE78" s="414"/>
      <c r="HF78" s="414"/>
      <c r="HG78" s="414"/>
      <c r="HH78" s="414"/>
      <c r="HI78" s="414"/>
      <c r="HJ78" s="439"/>
      <c r="IH78" s="1526"/>
      <c r="II78" s="1526"/>
      <c r="IJ78" s="1526"/>
      <c r="IK78" s="1526"/>
      <c r="IL78" s="1526"/>
      <c r="IM78" s="1526"/>
      <c r="IN78" s="1526"/>
      <c r="IO78" s="1526"/>
    </row>
    <row r="79" spans="1:249">
      <c r="M79" s="549"/>
      <c r="N79" s="549"/>
      <c r="O79" s="549"/>
      <c r="P79" s="549"/>
      <c r="Q79" s="549"/>
      <c r="R79" s="549"/>
      <c r="S79" s="549"/>
      <c r="T79" s="549"/>
      <c r="U79" s="549"/>
      <c r="W79" s="1735"/>
      <c r="X79" s="463"/>
      <c r="Y79" s="463"/>
      <c r="Z79" s="463"/>
      <c r="AA79" s="463"/>
      <c r="AB79" s="463"/>
      <c r="AC79" s="463"/>
      <c r="AD79" s="463"/>
      <c r="AE79" s="463"/>
      <c r="AF79" s="463"/>
      <c r="CC79" s="391">
        <v>2020</v>
      </c>
      <c r="CD79" s="515">
        <f>SUM(CE79:CP79)</f>
        <v>18436</v>
      </c>
      <c r="CE79" s="463">
        <v>4460</v>
      </c>
      <c r="CF79" s="463">
        <v>4334</v>
      </c>
      <c r="CG79" s="463">
        <v>4294</v>
      </c>
      <c r="CH79" s="463">
        <v>378</v>
      </c>
      <c r="CI79" s="463">
        <v>378</v>
      </c>
      <c r="CJ79" s="463">
        <v>630</v>
      </c>
      <c r="CK79" s="463">
        <v>378</v>
      </c>
      <c r="CL79" s="463">
        <v>670</v>
      </c>
      <c r="CM79" s="463">
        <v>544</v>
      </c>
      <c r="CN79" s="463">
        <v>790</v>
      </c>
      <c r="CO79" s="463">
        <v>790</v>
      </c>
      <c r="CP79" s="463">
        <v>790</v>
      </c>
      <c r="CS79" s="382" t="s">
        <v>485</v>
      </c>
      <c r="CT79" s="1576">
        <v>0</v>
      </c>
      <c r="CU79" s="1576">
        <v>0</v>
      </c>
      <c r="CV79" s="1576" t="s">
        <v>546</v>
      </c>
      <c r="CW79" s="1576">
        <v>0</v>
      </c>
      <c r="CX79" s="1576">
        <v>0</v>
      </c>
      <c r="CY79" s="1576">
        <v>0</v>
      </c>
      <c r="CZ79" s="1576">
        <v>0</v>
      </c>
      <c r="DA79" s="1576">
        <v>0</v>
      </c>
      <c r="DB79" s="1576">
        <v>0</v>
      </c>
      <c r="DC79" s="1576">
        <v>0</v>
      </c>
      <c r="DF79" s="549"/>
      <c r="DG79" s="549"/>
      <c r="DH79" s="549"/>
      <c r="DI79" s="549"/>
      <c r="DJ79" s="549"/>
      <c r="DK79" s="549"/>
      <c r="DL79" s="549"/>
      <c r="DM79" s="549"/>
      <c r="DN79" s="549"/>
      <c r="DO79" s="549"/>
      <c r="DP79" s="549"/>
      <c r="DQ79" s="549"/>
      <c r="DR79" s="549"/>
      <c r="DS79" s="549"/>
      <c r="DX79" s="549" t="s">
        <v>8435</v>
      </c>
      <c r="DY79" s="549"/>
      <c r="DZ79" s="549"/>
      <c r="EA79" s="549"/>
      <c r="EB79" s="549"/>
      <c r="EC79" s="549"/>
      <c r="ED79" s="549"/>
      <c r="EE79" s="549"/>
      <c r="EH79" s="1508" t="s">
        <v>8423</v>
      </c>
      <c r="EI79" s="1508"/>
      <c r="EJ79" s="1508"/>
      <c r="EK79" s="1508"/>
      <c r="EL79" s="1508"/>
      <c r="EM79" s="1508"/>
      <c r="EN79" s="1508"/>
      <c r="EO79" s="415"/>
      <c r="ER79" s="549" t="s">
        <v>8431</v>
      </c>
      <c r="ES79" s="549"/>
      <c r="ET79" s="549"/>
      <c r="EU79" s="549"/>
      <c r="EV79" s="549"/>
      <c r="EW79" s="986"/>
      <c r="EX79" s="986"/>
      <c r="EY79" s="986"/>
      <c r="EZ79" s="986"/>
      <c r="FA79" s="986"/>
      <c r="FB79" s="986"/>
      <c r="FC79" s="861"/>
      <c r="FD79" s="986"/>
      <c r="FE79" s="862"/>
      <c r="FF79" s="525"/>
      <c r="FG79" s="862"/>
      <c r="FW79" s="439"/>
      <c r="FX79" s="463"/>
      <c r="FY79" s="463"/>
      <c r="FZ79" s="463"/>
      <c r="GA79" s="463"/>
      <c r="GB79" s="463"/>
      <c r="GC79" s="463"/>
      <c r="GD79" s="463"/>
      <c r="GE79" s="463"/>
      <c r="GF79" s="463"/>
      <c r="GG79" s="463"/>
      <c r="GH79" s="463"/>
      <c r="GI79" s="463"/>
      <c r="GM79" s="382"/>
      <c r="GN79" s="382"/>
      <c r="GO79" s="382"/>
      <c r="GP79" s="382"/>
      <c r="GQ79" s="382"/>
      <c r="GR79" s="382"/>
      <c r="GS79" s="382"/>
      <c r="GT79" s="382"/>
      <c r="GU79" s="382"/>
      <c r="GV79" s="382"/>
      <c r="GW79" s="382"/>
      <c r="GX79" s="1757"/>
      <c r="GY79" s="1757"/>
      <c r="GZ79" s="1757"/>
      <c r="HA79" s="1757"/>
      <c r="HB79" s="1757"/>
      <c r="HC79" s="1757"/>
      <c r="HD79" s="1757"/>
      <c r="HE79" s="1757"/>
      <c r="HF79" s="1757"/>
      <c r="HG79" s="1757"/>
      <c r="HH79" s="1757"/>
      <c r="HI79" s="1757"/>
      <c r="HJ79" s="473"/>
      <c r="HM79" s="571"/>
      <c r="HN79" s="571"/>
      <c r="HO79" s="571"/>
      <c r="HP79" s="571"/>
      <c r="HQ79" s="571"/>
      <c r="HR79" s="571"/>
      <c r="HS79" s="571"/>
      <c r="HT79" s="571"/>
      <c r="HU79" s="571"/>
      <c r="HV79" s="571"/>
      <c r="HW79" s="571"/>
      <c r="HX79" s="571"/>
      <c r="HY79" s="571"/>
      <c r="HZ79" s="571"/>
      <c r="IA79" s="571"/>
      <c r="IB79" s="571"/>
      <c r="IC79" s="571"/>
      <c r="IH79" s="1526"/>
      <c r="II79" s="1526"/>
      <c r="IJ79" s="1526"/>
      <c r="IK79" s="1526"/>
      <c r="IL79" s="1526"/>
      <c r="IM79" s="1526"/>
      <c r="IN79" s="1526"/>
      <c r="IO79" s="1526"/>
    </row>
    <row r="80" spans="1:249">
      <c r="M80" s="549"/>
      <c r="N80" s="549"/>
      <c r="O80" s="549"/>
      <c r="P80" s="549"/>
      <c r="Q80" s="549"/>
      <c r="R80" s="549"/>
      <c r="S80" s="549"/>
      <c r="T80" s="549"/>
      <c r="U80" s="549"/>
      <c r="W80" s="1735"/>
      <c r="X80" s="463"/>
      <c r="Y80" s="463"/>
      <c r="Z80" s="463"/>
      <c r="AA80" s="463"/>
      <c r="AB80" s="463"/>
      <c r="AC80" s="463"/>
      <c r="AD80" s="463"/>
      <c r="AE80" s="463"/>
      <c r="AF80" s="463"/>
      <c r="CC80" s="391"/>
      <c r="CD80" s="515"/>
      <c r="CE80" s="463"/>
      <c r="CF80" s="463"/>
      <c r="CG80" s="463"/>
      <c r="CH80" s="463"/>
      <c r="CI80" s="463"/>
      <c r="CJ80" s="463"/>
      <c r="CK80" s="463"/>
      <c r="CL80" s="463"/>
      <c r="CM80" s="463"/>
      <c r="CN80" s="463"/>
      <c r="CO80" s="463"/>
      <c r="CP80" s="463"/>
      <c r="CS80" s="382" t="s">
        <v>8401</v>
      </c>
      <c r="CT80" s="1744">
        <v>1480</v>
      </c>
      <c r="CU80" s="1744">
        <v>1014</v>
      </c>
      <c r="CV80" s="1744">
        <v>990</v>
      </c>
      <c r="CW80" s="1744">
        <v>957</v>
      </c>
      <c r="CX80" s="1744">
        <v>32</v>
      </c>
      <c r="CY80" s="1576">
        <v>14</v>
      </c>
      <c r="CZ80" s="1744">
        <v>41</v>
      </c>
      <c r="DA80" s="1744">
        <v>372</v>
      </c>
      <c r="DB80" s="1744">
        <v>24</v>
      </c>
      <c r="DC80" s="1744">
        <v>80</v>
      </c>
      <c r="DX80" s="549" t="s">
        <v>8439</v>
      </c>
      <c r="DY80" s="549"/>
      <c r="DZ80" s="549"/>
      <c r="EA80" s="549"/>
      <c r="EB80" s="549"/>
      <c r="EC80" s="549"/>
      <c r="ED80" s="549"/>
      <c r="EE80" s="549"/>
      <c r="EH80" s="549" t="s">
        <v>8428</v>
      </c>
      <c r="EI80" s="549"/>
      <c r="EJ80" s="549"/>
      <c r="EK80" s="549"/>
      <c r="EL80" s="549"/>
      <c r="EM80" s="549"/>
      <c r="EN80" s="549"/>
      <c r="EO80" s="382"/>
      <c r="ER80" s="549" t="s">
        <v>8435</v>
      </c>
      <c r="ES80" s="986"/>
      <c r="ET80" s="986"/>
      <c r="EU80" s="986"/>
      <c r="EV80" s="986"/>
      <c r="EW80" s="986"/>
      <c r="EX80" s="986"/>
      <c r="EY80" s="986"/>
      <c r="EZ80" s="986"/>
      <c r="FA80" s="986"/>
      <c r="FB80" s="986"/>
      <c r="FC80" s="861"/>
      <c r="FD80" s="986"/>
      <c r="FE80" s="862"/>
      <c r="FF80" s="525"/>
      <c r="FG80" s="862"/>
      <c r="FW80" s="439"/>
      <c r="FX80" s="463"/>
      <c r="FY80" s="463"/>
      <c r="FZ80" s="463"/>
      <c r="GA80" s="463"/>
      <c r="GB80" s="463"/>
      <c r="GC80" s="463"/>
      <c r="GD80" s="463"/>
      <c r="GE80" s="463"/>
      <c r="GF80" s="463"/>
      <c r="GG80" s="463"/>
      <c r="GH80" s="463"/>
      <c r="GI80" s="463"/>
      <c r="GM80" s="382"/>
      <c r="GN80" s="382"/>
      <c r="GO80" s="382"/>
      <c r="GP80" s="382"/>
      <c r="GQ80" s="382"/>
      <c r="GR80" s="382"/>
      <c r="GS80" s="382"/>
      <c r="GT80" s="382"/>
      <c r="GU80" s="382"/>
      <c r="GV80" s="382"/>
      <c r="GW80" s="382"/>
      <c r="GX80" s="1757"/>
      <c r="GY80" s="1757"/>
      <c r="GZ80" s="1757"/>
      <c r="HA80" s="1757"/>
      <c r="HB80" s="1757"/>
      <c r="HC80" s="1757"/>
      <c r="HD80" s="1757"/>
      <c r="HE80" s="1757"/>
      <c r="HF80" s="1757"/>
      <c r="HG80" s="1757"/>
      <c r="HH80" s="1757"/>
      <c r="HI80" s="1757"/>
      <c r="HJ80" s="473"/>
      <c r="HM80" s="571"/>
      <c r="HN80" s="571"/>
      <c r="HO80" s="571"/>
      <c r="HP80" s="571"/>
      <c r="HQ80" s="571"/>
      <c r="HR80" s="571"/>
      <c r="HS80" s="571"/>
      <c r="HT80" s="571"/>
      <c r="HU80" s="571"/>
      <c r="HV80" s="571"/>
      <c r="HW80" s="571"/>
      <c r="HX80" s="571"/>
      <c r="HY80" s="571"/>
      <c r="HZ80" s="571"/>
      <c r="IA80" s="571"/>
      <c r="IB80" s="571"/>
      <c r="IC80" s="571"/>
      <c r="IH80" s="1526"/>
      <c r="II80" s="1526"/>
      <c r="IJ80" s="1526"/>
      <c r="IK80" s="1526"/>
      <c r="IL80" s="1526"/>
      <c r="IM80" s="1526"/>
      <c r="IN80" s="1526"/>
      <c r="IO80" s="1526"/>
    </row>
    <row r="81" spans="13:249">
      <c r="M81" s="549"/>
      <c r="N81" s="549"/>
      <c r="O81" s="549"/>
      <c r="P81" s="549"/>
      <c r="Q81" s="549"/>
      <c r="R81" s="549"/>
      <c r="S81" s="549"/>
      <c r="T81" s="549"/>
      <c r="U81" s="549"/>
      <c r="W81" s="1735"/>
      <c r="X81" s="463"/>
      <c r="Y81" s="463"/>
      <c r="Z81" s="463"/>
      <c r="AA81" s="463"/>
      <c r="AB81" s="463"/>
      <c r="AC81" s="463"/>
      <c r="AD81" s="463"/>
      <c r="AE81" s="463"/>
      <c r="AF81" s="463"/>
      <c r="CC81" s="391" t="s">
        <v>528</v>
      </c>
      <c r="CD81" s="515"/>
      <c r="CE81" s="463"/>
      <c r="CF81" s="463"/>
      <c r="CG81" s="463"/>
      <c r="CH81" s="463"/>
      <c r="CI81" s="463"/>
      <c r="CJ81" s="463"/>
      <c r="CK81" s="463"/>
      <c r="CL81" s="463"/>
      <c r="CM81" s="463"/>
      <c r="CN81" s="463"/>
      <c r="CO81" s="463"/>
      <c r="CP81" s="463"/>
      <c r="CS81" s="382" t="s">
        <v>8407</v>
      </c>
      <c r="CT81" s="1744">
        <v>307</v>
      </c>
      <c r="CU81" s="1744">
        <v>256</v>
      </c>
      <c r="CV81" s="1744">
        <v>246</v>
      </c>
      <c r="CW81" s="1744">
        <v>241</v>
      </c>
      <c r="CX81" s="1744">
        <v>5</v>
      </c>
      <c r="CY81" s="1576">
        <v>0</v>
      </c>
      <c r="CZ81" s="1744">
        <v>5</v>
      </c>
      <c r="DA81" s="1744">
        <v>46</v>
      </c>
      <c r="DB81" s="1744">
        <v>10</v>
      </c>
      <c r="DC81" s="1744">
        <v>5</v>
      </c>
      <c r="DX81" s="549" t="s">
        <v>8442</v>
      </c>
      <c r="DY81" s="549"/>
      <c r="DZ81" s="549"/>
      <c r="EA81" s="549"/>
      <c r="EB81" s="549"/>
      <c r="EC81" s="549"/>
      <c r="ED81" s="549"/>
      <c r="EE81" s="549"/>
      <c r="EH81" s="549" t="s">
        <v>8431</v>
      </c>
      <c r="EI81" s="549"/>
      <c r="EJ81" s="549"/>
      <c r="EK81" s="549"/>
      <c r="EL81" s="549"/>
      <c r="EM81" s="549"/>
      <c r="EN81" s="549"/>
      <c r="EO81" s="382"/>
      <c r="ER81" s="549" t="s">
        <v>8443</v>
      </c>
      <c r="ES81" s="986"/>
      <c r="ET81" s="986"/>
      <c r="EU81" s="986"/>
      <c r="EV81" s="986"/>
      <c r="EW81" s="986"/>
      <c r="EX81" s="986"/>
      <c r="EY81" s="986"/>
      <c r="EZ81" s="986"/>
      <c r="FA81" s="986"/>
      <c r="FB81" s="986"/>
      <c r="FC81" s="861"/>
      <c r="FD81" s="986"/>
      <c r="FE81" s="862"/>
      <c r="FF81" s="525"/>
      <c r="FG81" s="862"/>
      <c r="FW81" s="439"/>
      <c r="FX81" s="463"/>
      <c r="FY81" s="463"/>
      <c r="FZ81" s="463"/>
      <c r="GA81" s="463"/>
      <c r="GB81" s="463"/>
      <c r="GC81" s="463"/>
      <c r="GD81" s="463"/>
      <c r="GE81" s="463"/>
      <c r="GF81" s="463"/>
      <c r="GG81" s="463"/>
      <c r="GH81" s="463"/>
      <c r="GI81" s="463"/>
      <c r="GM81" s="382"/>
      <c r="GN81" s="382"/>
      <c r="GO81" s="382"/>
      <c r="GP81" s="382"/>
      <c r="GQ81" s="382"/>
      <c r="GR81" s="382"/>
      <c r="GS81" s="382"/>
      <c r="GT81" s="382"/>
      <c r="GU81" s="382"/>
      <c r="GV81" s="382"/>
      <c r="GW81" s="382"/>
      <c r="GX81" s="1757"/>
      <c r="GY81" s="1757"/>
      <c r="GZ81" s="1757"/>
      <c r="HA81" s="1757"/>
      <c r="HB81" s="1757"/>
      <c r="HC81" s="1757"/>
      <c r="HD81" s="1757"/>
      <c r="HE81" s="1757"/>
      <c r="HF81" s="1757"/>
      <c r="HG81" s="1757"/>
      <c r="HH81" s="1757"/>
      <c r="HI81" s="1757"/>
      <c r="HJ81" s="473"/>
      <c r="IH81" s="1526"/>
      <c r="II81" s="1526"/>
      <c r="IJ81" s="1526"/>
      <c r="IK81" s="1526"/>
      <c r="IL81" s="1526"/>
      <c r="IM81" s="1526"/>
      <c r="IN81" s="1526"/>
      <c r="IO81" s="1526"/>
    </row>
    <row r="82" spans="13:249">
      <c r="W82" s="398"/>
      <c r="X82" s="463"/>
      <c r="Y82" s="515"/>
      <c r="Z82" s="463"/>
      <c r="AA82" s="515"/>
      <c r="AB82" s="515"/>
      <c r="AC82" s="525"/>
      <c r="AD82" s="515"/>
      <c r="AE82" s="515"/>
      <c r="AF82" s="463"/>
      <c r="CC82" s="391">
        <v>2024</v>
      </c>
      <c r="CD82" s="515">
        <f t="shared" ref="CD82:CD87" si="31">SUM(CE82:CP82)</f>
        <v>52124</v>
      </c>
      <c r="CE82" s="463">
        <v>4482</v>
      </c>
      <c r="CF82" s="463">
        <v>4150</v>
      </c>
      <c r="CG82" s="463">
        <v>4316</v>
      </c>
      <c r="CH82" s="463">
        <v>4316</v>
      </c>
      <c r="CI82" s="463">
        <v>4482</v>
      </c>
      <c r="CJ82" s="463">
        <v>4150</v>
      </c>
      <c r="CK82" s="463">
        <v>4482</v>
      </c>
      <c r="CL82" s="463">
        <v>4482</v>
      </c>
      <c r="CM82" s="463">
        <v>4150</v>
      </c>
      <c r="CN82" s="463">
        <v>4482</v>
      </c>
      <c r="CO82" s="463">
        <v>4316</v>
      </c>
      <c r="CP82" s="463">
        <v>4316</v>
      </c>
      <c r="CS82" s="382" t="s">
        <v>467</v>
      </c>
      <c r="CT82" s="1576">
        <v>0</v>
      </c>
      <c r="CU82" s="1576">
        <v>0</v>
      </c>
      <c r="CV82" s="1576">
        <v>0</v>
      </c>
      <c r="CW82" s="1576">
        <v>0</v>
      </c>
      <c r="CX82" s="1576">
        <v>0</v>
      </c>
      <c r="CY82" s="1576">
        <v>0</v>
      </c>
      <c r="CZ82" s="1576">
        <v>0</v>
      </c>
      <c r="DA82" s="1576">
        <v>0</v>
      </c>
      <c r="DB82" s="1576">
        <v>0</v>
      </c>
      <c r="DC82" s="1576">
        <v>0</v>
      </c>
      <c r="DF82" s="382"/>
      <c r="DX82" s="549"/>
      <c r="DY82" s="549"/>
      <c r="DZ82" s="549"/>
      <c r="EA82" s="549"/>
      <c r="EB82" s="549"/>
      <c r="EC82" s="549"/>
      <c r="ED82" s="549"/>
      <c r="EE82" s="549"/>
      <c r="EH82" s="549" t="s">
        <v>8435</v>
      </c>
      <c r="EI82" s="549"/>
      <c r="EJ82" s="549"/>
      <c r="EK82" s="549"/>
      <c r="EL82" s="549"/>
      <c r="EM82" s="549"/>
      <c r="EN82" s="549"/>
      <c r="EO82" s="382"/>
      <c r="FW82" s="382"/>
      <c r="FX82" s="382"/>
      <c r="FY82" s="382"/>
      <c r="FZ82" s="382"/>
      <c r="GA82" s="382"/>
      <c r="GB82" s="382"/>
      <c r="GC82" s="382"/>
      <c r="GD82" s="382"/>
      <c r="GE82" s="382"/>
      <c r="GF82" s="382"/>
      <c r="GG82" s="382"/>
      <c r="GH82" s="382"/>
      <c r="GI82" s="382"/>
      <c r="GM82" s="382"/>
      <c r="GN82" s="382"/>
      <c r="GO82" s="382"/>
      <c r="GP82" s="382"/>
      <c r="GQ82" s="382"/>
      <c r="GR82" s="382"/>
      <c r="GS82" s="382"/>
      <c r="GT82" s="382"/>
      <c r="GU82" s="382"/>
      <c r="GV82" s="382"/>
      <c r="GW82" s="382"/>
      <c r="GX82" s="1757"/>
      <c r="GY82" s="1757"/>
      <c r="GZ82" s="1757"/>
      <c r="HA82" s="1757"/>
      <c r="HB82" s="1757"/>
      <c r="HC82" s="1757"/>
      <c r="HD82" s="1757"/>
      <c r="HE82" s="1757"/>
      <c r="HF82" s="1757"/>
      <c r="HG82" s="1757"/>
      <c r="HH82" s="1757"/>
      <c r="HI82" s="1757"/>
      <c r="HJ82" s="473"/>
      <c r="IH82" s="1526"/>
      <c r="II82" s="1526"/>
      <c r="IJ82" s="1526"/>
      <c r="IK82" s="1526"/>
      <c r="IL82" s="1526"/>
      <c r="IM82" s="1526"/>
      <c r="IN82" s="1526"/>
      <c r="IO82" s="1526"/>
    </row>
    <row r="83" spans="13:249">
      <c r="M83" s="1764"/>
      <c r="N83" s="1764"/>
      <c r="O83" s="1764"/>
      <c r="P83" s="1764"/>
      <c r="Q83" s="1764"/>
      <c r="R83" s="1764"/>
      <c r="S83" s="1764"/>
      <c r="T83" s="1764"/>
      <c r="U83" s="1764"/>
      <c r="W83" s="382"/>
      <c r="X83" s="382"/>
      <c r="Y83" s="382"/>
      <c r="Z83" s="1763"/>
      <c r="AA83" s="463"/>
      <c r="AB83" s="435"/>
      <c r="AC83" s="435"/>
      <c r="AD83" s="435"/>
      <c r="AE83" s="435"/>
      <c r="AF83" s="435"/>
      <c r="CC83" s="391">
        <v>2023</v>
      </c>
      <c r="CD83" s="515">
        <f t="shared" si="31"/>
        <v>44654</v>
      </c>
      <c r="CE83" s="463">
        <v>3652</v>
      </c>
      <c r="CF83" s="463">
        <v>3320</v>
      </c>
      <c r="CG83" s="463">
        <v>3652</v>
      </c>
      <c r="CH83" s="463">
        <v>3486</v>
      </c>
      <c r="CI83" s="463">
        <v>3818</v>
      </c>
      <c r="CJ83" s="463">
        <v>3486</v>
      </c>
      <c r="CK83" s="463">
        <v>3652</v>
      </c>
      <c r="CL83" s="463">
        <v>3652</v>
      </c>
      <c r="CM83" s="463">
        <v>3652</v>
      </c>
      <c r="CN83" s="463">
        <v>3652</v>
      </c>
      <c r="CO83" s="463">
        <v>4316</v>
      </c>
      <c r="CP83" s="463">
        <v>4316</v>
      </c>
      <c r="CS83" s="382" t="s">
        <v>8414</v>
      </c>
      <c r="CT83" s="1576">
        <v>0</v>
      </c>
      <c r="CU83" s="1576">
        <v>0</v>
      </c>
      <c r="CV83" s="1576">
        <v>0</v>
      </c>
      <c r="CW83" s="1576">
        <v>0</v>
      </c>
      <c r="CX83" s="1576">
        <v>0</v>
      </c>
      <c r="CY83" s="1576">
        <v>0</v>
      </c>
      <c r="CZ83" s="1576">
        <v>0</v>
      </c>
      <c r="DA83" s="1576">
        <v>0</v>
      </c>
      <c r="DB83" s="1576">
        <v>0</v>
      </c>
      <c r="DC83" s="1576">
        <v>0</v>
      </c>
      <c r="DG83" s="599"/>
      <c r="DH83" s="599"/>
      <c r="DI83" s="599"/>
      <c r="DJ83" s="599"/>
      <c r="DK83" s="599"/>
      <c r="DL83" s="599"/>
      <c r="DM83" s="599"/>
      <c r="DN83" s="599"/>
      <c r="DO83" s="599"/>
      <c r="DP83" s="599"/>
      <c r="DQ83" s="599"/>
      <c r="DR83" s="599"/>
      <c r="DS83" s="599"/>
      <c r="DT83" s="599"/>
      <c r="DU83" s="599"/>
      <c r="EH83" s="549" t="s">
        <v>8439</v>
      </c>
      <c r="EI83" s="549"/>
      <c r="EJ83" s="549"/>
      <c r="EK83" s="549"/>
      <c r="EL83" s="549"/>
      <c r="EM83" s="549"/>
      <c r="EN83" s="549"/>
      <c r="FW83" s="439"/>
      <c r="FX83" s="382"/>
      <c r="FY83" s="382"/>
      <c r="FZ83" s="382"/>
      <c r="GA83" s="382"/>
      <c r="GB83" s="382"/>
      <c r="GC83" s="382"/>
      <c r="GD83" s="382"/>
      <c r="GE83" s="382"/>
      <c r="GF83" s="382"/>
      <c r="GG83" s="382"/>
      <c r="GH83" s="382"/>
      <c r="GI83" s="382"/>
      <c r="GM83" s="382"/>
      <c r="GN83" s="382"/>
      <c r="GO83" s="382"/>
      <c r="GP83" s="382"/>
      <c r="GQ83" s="382"/>
      <c r="GR83" s="382"/>
      <c r="GS83" s="382"/>
      <c r="GT83" s="382"/>
      <c r="GU83" s="382"/>
      <c r="GV83" s="382"/>
      <c r="GW83" s="382"/>
      <c r="GX83" s="1757"/>
      <c r="GY83" s="1757"/>
      <c r="GZ83" s="1757"/>
      <c r="HA83" s="1757"/>
      <c r="HB83" s="1757"/>
      <c r="HC83" s="1757"/>
      <c r="HD83" s="1757"/>
      <c r="HE83" s="1757"/>
      <c r="HF83" s="1757"/>
      <c r="HG83" s="1757"/>
      <c r="HH83" s="1757"/>
      <c r="HI83" s="1757"/>
      <c r="HJ83" s="473"/>
      <c r="IH83" s="1526"/>
      <c r="II83" s="1526"/>
      <c r="IJ83" s="1526"/>
      <c r="IK83" s="1526"/>
      <c r="IL83" s="1526"/>
      <c r="IM83" s="1526"/>
      <c r="IN83" s="1526"/>
      <c r="IO83" s="1526"/>
    </row>
    <row r="84" spans="13:249">
      <c r="M84" s="549"/>
      <c r="N84" s="549"/>
      <c r="O84" s="549"/>
      <c r="P84" s="549"/>
      <c r="Q84" s="549"/>
      <c r="R84" s="549"/>
      <c r="S84" s="549"/>
      <c r="T84" s="549"/>
      <c r="U84" s="549"/>
      <c r="W84" s="386"/>
      <c r="X84" s="386"/>
      <c r="Y84" s="382"/>
      <c r="Z84" s="1763"/>
      <c r="AA84" s="463"/>
      <c r="AB84" s="435"/>
      <c r="AC84" s="435"/>
      <c r="AD84" s="435"/>
      <c r="AE84" s="435"/>
      <c r="AF84" s="435"/>
      <c r="CC84" s="391">
        <v>2022</v>
      </c>
      <c r="CD84" s="515">
        <f t="shared" si="31"/>
        <v>30046</v>
      </c>
      <c r="CE84" s="463">
        <v>1494</v>
      </c>
      <c r="CF84" s="463">
        <v>1328</v>
      </c>
      <c r="CG84" s="463">
        <v>1328</v>
      </c>
      <c r="CH84" s="463">
        <v>2324</v>
      </c>
      <c r="CI84" s="463">
        <v>1328</v>
      </c>
      <c r="CJ84" s="463">
        <v>2988</v>
      </c>
      <c r="CK84" s="463">
        <v>3154</v>
      </c>
      <c r="CL84" s="463">
        <v>2988</v>
      </c>
      <c r="CM84" s="463">
        <v>2822</v>
      </c>
      <c r="CN84" s="463">
        <v>2988</v>
      </c>
      <c r="CO84" s="463">
        <v>3652</v>
      </c>
      <c r="CP84" s="463">
        <v>3652</v>
      </c>
      <c r="CS84" s="382" t="s">
        <v>530</v>
      </c>
      <c r="CT84" s="1744">
        <v>128</v>
      </c>
      <c r="CU84" s="1744">
        <v>101</v>
      </c>
      <c r="CV84" s="1744">
        <v>88</v>
      </c>
      <c r="CW84" s="1744">
        <v>75</v>
      </c>
      <c r="CX84" s="1744">
        <v>13</v>
      </c>
      <c r="CY84" s="1576">
        <v>0</v>
      </c>
      <c r="CZ84" s="1744">
        <v>14</v>
      </c>
      <c r="DA84" s="1744">
        <v>21</v>
      </c>
      <c r="DB84" s="1744">
        <v>13</v>
      </c>
      <c r="DC84" s="1744">
        <v>6</v>
      </c>
      <c r="DG84" s="599"/>
      <c r="DH84" s="599"/>
      <c r="DI84" s="599"/>
      <c r="DJ84" s="599"/>
      <c r="DK84" s="599"/>
      <c r="DL84" s="599"/>
      <c r="DM84" s="599"/>
      <c r="DN84" s="599"/>
      <c r="DO84" s="599"/>
      <c r="DP84" s="599"/>
      <c r="DQ84" s="599"/>
      <c r="DR84" s="599"/>
      <c r="DS84" s="599"/>
      <c r="DT84" s="599"/>
      <c r="DU84" s="599"/>
      <c r="EH84" s="549" t="s">
        <v>8442</v>
      </c>
      <c r="EI84" s="549"/>
      <c r="EJ84" s="549"/>
      <c r="EK84" s="549"/>
      <c r="EL84" s="549"/>
      <c r="EM84" s="549"/>
      <c r="EN84" s="549"/>
      <c r="FW84" s="439"/>
      <c r="FX84" s="463"/>
      <c r="FY84" s="463"/>
      <c r="FZ84" s="463"/>
      <c r="GA84" s="463"/>
      <c r="GB84" s="463"/>
      <c r="GC84" s="463"/>
      <c r="GD84" s="463"/>
      <c r="GE84" s="463"/>
      <c r="GF84" s="463"/>
      <c r="GG84" s="463"/>
      <c r="GH84" s="463"/>
      <c r="GI84" s="463"/>
      <c r="GM84" s="382"/>
      <c r="GN84" s="382"/>
      <c r="GO84" s="382"/>
      <c r="GP84" s="382"/>
      <c r="GQ84" s="382"/>
      <c r="GR84" s="382"/>
      <c r="GS84" s="382"/>
      <c r="GT84" s="382"/>
      <c r="GU84" s="382"/>
      <c r="GV84" s="382"/>
      <c r="GW84" s="382"/>
      <c r="GX84" s="1622"/>
      <c r="GY84" s="1622"/>
      <c r="GZ84" s="1622"/>
      <c r="HA84" s="1622"/>
      <c r="HB84" s="1622"/>
      <c r="HC84" s="1622"/>
      <c r="HD84" s="1622"/>
      <c r="HE84" s="1622"/>
      <c r="HF84" s="1622"/>
      <c r="HG84" s="1622"/>
      <c r="HH84" s="1622"/>
      <c r="HI84" s="1622"/>
      <c r="HJ84" s="1622"/>
      <c r="IH84" s="1526"/>
      <c r="II84" s="1526"/>
      <c r="IJ84" s="1526"/>
      <c r="IK84" s="1526"/>
      <c r="IL84" s="1526"/>
      <c r="IM84" s="1526"/>
      <c r="IN84" s="1526"/>
      <c r="IO84" s="1526"/>
    </row>
    <row r="85" spans="13:249">
      <c r="M85" s="549"/>
      <c r="N85" s="549"/>
      <c r="O85" s="549"/>
      <c r="P85" s="549"/>
      <c r="Q85" s="549"/>
      <c r="R85" s="549"/>
      <c r="S85" s="549"/>
      <c r="T85" s="549"/>
      <c r="U85" s="549"/>
      <c r="W85" s="382"/>
      <c r="X85" s="382"/>
      <c r="Y85" s="386"/>
      <c r="Z85" s="382"/>
      <c r="AA85" s="382"/>
      <c r="AB85" s="382"/>
      <c r="AC85" s="382"/>
      <c r="AD85" s="382"/>
      <c r="AE85" s="463"/>
      <c r="AF85" s="463"/>
      <c r="CC85" s="391">
        <v>2021</v>
      </c>
      <c r="CD85" s="515">
        <f t="shared" si="31"/>
        <v>6394</v>
      </c>
      <c r="CE85" s="463">
        <v>166</v>
      </c>
      <c r="CF85" s="463">
        <v>0</v>
      </c>
      <c r="CG85" s="463">
        <v>418</v>
      </c>
      <c r="CH85" s="463">
        <v>166</v>
      </c>
      <c r="CI85" s="463">
        <v>498</v>
      </c>
      <c r="CJ85" s="463">
        <v>332</v>
      </c>
      <c r="CK85" s="463">
        <v>664</v>
      </c>
      <c r="CL85" s="463">
        <v>830</v>
      </c>
      <c r="CM85" s="463">
        <v>664</v>
      </c>
      <c r="CN85" s="463">
        <v>664</v>
      </c>
      <c r="CO85" s="463">
        <v>830</v>
      </c>
      <c r="CP85" s="463">
        <v>1162</v>
      </c>
      <c r="CS85" s="381" t="s">
        <v>8420</v>
      </c>
      <c r="CT85" s="1769">
        <v>5123</v>
      </c>
      <c r="CU85" s="1769">
        <v>3607</v>
      </c>
      <c r="CV85" s="1769">
        <v>3484</v>
      </c>
      <c r="CW85" s="1769">
        <v>3353</v>
      </c>
      <c r="CX85" s="1769">
        <v>105</v>
      </c>
      <c r="CY85" s="1768">
        <v>117</v>
      </c>
      <c r="CZ85" s="1769">
        <v>118</v>
      </c>
      <c r="DA85" s="1769">
        <v>1155</v>
      </c>
      <c r="DB85" s="1769">
        <v>126</v>
      </c>
      <c r="DC85" s="1769">
        <v>241</v>
      </c>
      <c r="DG85" s="933"/>
      <c r="DH85" s="933"/>
      <c r="DI85" s="933"/>
      <c r="DJ85" s="933"/>
      <c r="DK85" s="933"/>
      <c r="DL85" s="933"/>
      <c r="DM85" s="933"/>
      <c r="DN85" s="933"/>
      <c r="DO85" s="933"/>
      <c r="DP85" s="933"/>
      <c r="DQ85" s="933"/>
      <c r="DR85" s="933"/>
      <c r="DS85" s="933"/>
      <c r="DT85" s="933"/>
      <c r="DU85" s="933"/>
      <c r="DX85" s="382"/>
      <c r="DY85" s="398"/>
      <c r="DZ85" s="398"/>
      <c r="EA85" s="398"/>
      <c r="EB85" s="398"/>
      <c r="EC85" s="398"/>
      <c r="ED85" s="398"/>
      <c r="EE85" s="398"/>
      <c r="ER85" s="382"/>
      <c r="ES85" s="870"/>
      <c r="ET85" s="870"/>
      <c r="EU85" s="870"/>
      <c r="EV85" s="870"/>
      <c r="EW85" s="870"/>
      <c r="EX85" s="870"/>
      <c r="EY85" s="870"/>
      <c r="EZ85" s="870"/>
      <c r="FA85" s="870"/>
      <c r="FB85" s="870"/>
      <c r="FC85" s="870"/>
      <c r="FD85" s="870"/>
      <c r="FE85" s="870"/>
      <c r="FW85" s="439"/>
      <c r="FX85" s="463"/>
      <c r="FY85" s="463"/>
      <c r="FZ85" s="463"/>
      <c r="GA85" s="463"/>
      <c r="GB85" s="463"/>
      <c r="GC85" s="463"/>
      <c r="GD85" s="463"/>
      <c r="GE85" s="463"/>
      <c r="GF85" s="463"/>
      <c r="GG85" s="463"/>
      <c r="GH85" s="463"/>
      <c r="GI85" s="463"/>
      <c r="GM85" s="451"/>
      <c r="GN85" s="451"/>
      <c r="GO85" s="451"/>
      <c r="GP85" s="451"/>
      <c r="GQ85" s="451"/>
      <c r="GR85" s="451"/>
      <c r="GS85" s="451"/>
      <c r="GT85" s="451"/>
      <c r="GU85" s="451"/>
      <c r="GV85" s="451"/>
      <c r="GW85" s="451"/>
      <c r="GX85" s="382"/>
      <c r="GY85" s="382"/>
      <c r="GZ85" s="382"/>
      <c r="HA85" s="382"/>
      <c r="HB85" s="382"/>
      <c r="HC85" s="382"/>
      <c r="HD85" s="382"/>
      <c r="HE85" s="382"/>
      <c r="HF85" s="382"/>
      <c r="HG85" s="382"/>
      <c r="HH85" s="382"/>
      <c r="HI85" s="382"/>
      <c r="HJ85" s="918"/>
      <c r="IH85" s="1526"/>
      <c r="II85" s="1526"/>
      <c r="IJ85" s="1526"/>
      <c r="IK85" s="1526"/>
      <c r="IL85" s="1526"/>
      <c r="IM85" s="1526"/>
      <c r="IN85" s="1526"/>
      <c r="IO85" s="1526"/>
    </row>
    <row r="86" spans="13:249">
      <c r="M86" s="549"/>
      <c r="N86" s="549"/>
      <c r="O86" s="549"/>
      <c r="P86" s="549"/>
      <c r="Q86" s="549"/>
      <c r="R86" s="549"/>
      <c r="S86" s="549"/>
      <c r="T86" s="549"/>
      <c r="U86" s="549"/>
      <c r="CC86" s="391">
        <v>2020</v>
      </c>
      <c r="CD86" s="515">
        <f t="shared" si="31"/>
        <v>11830</v>
      </c>
      <c r="CE86" s="463">
        <v>3762</v>
      </c>
      <c r="CF86" s="463">
        <v>3510</v>
      </c>
      <c r="CG86" s="463">
        <v>2886</v>
      </c>
      <c r="CH86" s="463">
        <v>0</v>
      </c>
      <c r="CI86" s="463">
        <v>126</v>
      </c>
      <c r="CJ86" s="463">
        <v>126</v>
      </c>
      <c r="CK86" s="463">
        <v>252</v>
      </c>
      <c r="CL86" s="463">
        <v>126</v>
      </c>
      <c r="CM86" s="463">
        <v>252</v>
      </c>
      <c r="CN86" s="463">
        <v>126</v>
      </c>
      <c r="CO86" s="463">
        <v>332</v>
      </c>
      <c r="CP86" s="463">
        <v>332</v>
      </c>
      <c r="CS86" s="549" t="s">
        <v>8423</v>
      </c>
      <c r="CT86" s="986"/>
      <c r="CU86" s="986"/>
      <c r="CV86" s="986"/>
      <c r="CW86" s="986"/>
      <c r="CX86" s="986"/>
      <c r="CY86" s="986"/>
      <c r="CZ86" s="986"/>
      <c r="DA86" s="862"/>
      <c r="DB86" s="862"/>
      <c r="DC86" s="862"/>
      <c r="DG86" s="933"/>
      <c r="DH86" s="933"/>
      <c r="DI86" s="933"/>
      <c r="DJ86" s="933"/>
      <c r="DK86" s="933"/>
      <c r="DL86" s="933"/>
      <c r="DM86" s="933"/>
      <c r="DN86" s="933"/>
      <c r="DO86" s="933"/>
      <c r="DP86" s="933"/>
      <c r="DQ86" s="933"/>
      <c r="DR86" s="933"/>
      <c r="DS86" s="933"/>
      <c r="DT86" s="933"/>
      <c r="DU86" s="933"/>
      <c r="DX86" s="382"/>
      <c r="DY86" s="382"/>
      <c r="DZ86" s="2073"/>
      <c r="EA86" s="2073"/>
      <c r="EB86" s="2073"/>
      <c r="EC86" s="2073"/>
      <c r="ED86" s="2073"/>
      <c r="EE86" s="2073"/>
      <c r="ER86" s="870"/>
      <c r="ES86" s="870"/>
      <c r="ET86" s="2073"/>
      <c r="EU86" s="2073"/>
      <c r="EV86" s="2073"/>
      <c r="EW86" s="2073"/>
      <c r="EX86" s="2073"/>
      <c r="EY86" s="2073"/>
      <c r="EZ86" s="2073"/>
      <c r="FA86" s="2073"/>
      <c r="FB86" s="2073"/>
      <c r="FC86" s="2073"/>
      <c r="FD86" s="2073"/>
      <c r="FE86" s="2073"/>
      <c r="FF86" s="2073"/>
      <c r="FG86" s="2073"/>
      <c r="FW86" s="2180"/>
      <c r="FX86" s="2180"/>
      <c r="FY86" s="2180"/>
      <c r="FZ86" s="2180"/>
      <c r="GA86" s="2180"/>
      <c r="GB86" s="2180"/>
      <c r="GC86" s="2180"/>
      <c r="GD86" s="2180"/>
      <c r="GE86" s="2180"/>
      <c r="GF86" s="2180"/>
      <c r="GG86" s="2180"/>
      <c r="GH86" s="2180"/>
      <c r="GI86" s="2180"/>
      <c r="GM86" s="451"/>
      <c r="GN86" s="451"/>
      <c r="GO86" s="451"/>
      <c r="GP86" s="451"/>
      <c r="GQ86" s="451"/>
      <c r="GR86" s="451"/>
      <c r="GS86" s="451"/>
      <c r="GT86" s="451"/>
      <c r="GU86" s="451"/>
      <c r="GV86" s="451"/>
      <c r="GW86" s="451"/>
      <c r="GX86" s="382"/>
      <c r="GY86" s="382"/>
      <c r="GZ86" s="382"/>
      <c r="HA86" s="382"/>
      <c r="HB86" s="382"/>
      <c r="HC86" s="382"/>
      <c r="HD86" s="382"/>
      <c r="HE86" s="382"/>
      <c r="HF86" s="382"/>
      <c r="HG86" s="382"/>
      <c r="HH86" s="382"/>
      <c r="HI86" s="382"/>
      <c r="HJ86" s="382"/>
      <c r="IH86" s="1526"/>
      <c r="II86" s="1526"/>
      <c r="IJ86" s="1526"/>
      <c r="IK86" s="1526"/>
      <c r="IL86" s="1526"/>
      <c r="IM86" s="1526"/>
      <c r="IN86" s="1526"/>
      <c r="IO86" s="1526"/>
    </row>
    <row r="87" spans="13:249">
      <c r="M87" s="549"/>
      <c r="N87" s="549"/>
      <c r="O87" s="549"/>
      <c r="P87" s="549"/>
      <c r="Q87" s="549"/>
      <c r="R87" s="549"/>
      <c r="S87" s="549"/>
      <c r="T87" s="549"/>
      <c r="U87" s="549"/>
      <c r="CC87" s="391">
        <v>2019</v>
      </c>
      <c r="CD87" s="515">
        <f t="shared" si="31"/>
        <v>43878</v>
      </c>
      <c r="CE87" s="463">
        <v>3922</v>
      </c>
      <c r="CF87" s="463">
        <v>3464</v>
      </c>
      <c r="CG87" s="463">
        <v>3796</v>
      </c>
      <c r="CH87" s="463">
        <v>3436</v>
      </c>
      <c r="CI87" s="463">
        <v>3682</v>
      </c>
      <c r="CJ87" s="463">
        <v>3470</v>
      </c>
      <c r="CK87" s="463">
        <v>3762</v>
      </c>
      <c r="CL87" s="463">
        <v>3802</v>
      </c>
      <c r="CM87" s="463">
        <v>3510</v>
      </c>
      <c r="CN87" s="463">
        <v>3802</v>
      </c>
      <c r="CO87" s="463">
        <v>3636</v>
      </c>
      <c r="CP87" s="463">
        <v>3596</v>
      </c>
      <c r="CS87" s="549" t="s">
        <v>8399</v>
      </c>
      <c r="CT87" s="549"/>
      <c r="CU87" s="549"/>
      <c r="CV87" s="549"/>
      <c r="CW87" s="549"/>
      <c r="CX87" s="549"/>
      <c r="CY87" s="549"/>
      <c r="CZ87" s="549"/>
      <c r="DA87" s="382"/>
      <c r="DB87" s="382"/>
      <c r="DC87" s="382"/>
      <c r="DG87" s="933"/>
      <c r="DH87" s="933"/>
      <c r="DI87" s="933"/>
      <c r="DJ87" s="933"/>
      <c r="DK87" s="933"/>
      <c r="DL87" s="933"/>
      <c r="DM87" s="933"/>
      <c r="DN87" s="933"/>
      <c r="DO87" s="933"/>
      <c r="DP87" s="933"/>
      <c r="DQ87" s="933"/>
      <c r="DR87" s="933"/>
      <c r="DS87" s="933"/>
      <c r="DT87" s="933"/>
      <c r="DU87" s="933"/>
      <c r="DX87" s="382"/>
      <c r="DY87" s="439"/>
      <c r="DZ87" s="439"/>
      <c r="EA87" s="439"/>
      <c r="EB87" s="439"/>
      <c r="EC87" s="439"/>
      <c r="ED87" s="439"/>
      <c r="EE87" s="439"/>
      <c r="ER87" s="382"/>
      <c r="ES87" s="439"/>
      <c r="ET87" s="439"/>
      <c r="EU87" s="439"/>
      <c r="EV87" s="439"/>
      <c r="EW87" s="439"/>
      <c r="EX87" s="439"/>
      <c r="EY87" s="439"/>
      <c r="EZ87" s="439"/>
      <c r="FA87" s="439"/>
      <c r="FB87" s="439"/>
      <c r="FC87" s="439"/>
      <c r="FD87" s="439"/>
      <c r="FE87" s="439"/>
      <c r="FF87" s="439"/>
      <c r="FW87" s="439"/>
      <c r="FX87" s="439"/>
      <c r="FY87" s="439"/>
      <c r="FZ87" s="439"/>
      <c r="GA87" s="439"/>
      <c r="GB87" s="439"/>
      <c r="GC87" s="439"/>
      <c r="GD87" s="439"/>
      <c r="GE87" s="439"/>
      <c r="GF87" s="439"/>
      <c r="GG87" s="439"/>
      <c r="GH87" s="439"/>
      <c r="GI87" s="439"/>
      <c r="GM87" s="451"/>
      <c r="GN87" s="451"/>
      <c r="GO87" s="451"/>
      <c r="GP87" s="451"/>
      <c r="GQ87" s="451"/>
      <c r="GR87" s="451"/>
      <c r="GS87" s="451"/>
      <c r="GT87" s="451"/>
      <c r="GU87" s="451"/>
      <c r="GV87" s="451"/>
      <c r="GW87" s="451"/>
      <c r="GX87" s="382"/>
      <c r="GY87" s="382"/>
      <c r="GZ87" s="382"/>
      <c r="HA87" s="382"/>
      <c r="HB87" s="382"/>
      <c r="HC87" s="382"/>
      <c r="HD87" s="382"/>
      <c r="HE87" s="382"/>
      <c r="HF87" s="382"/>
      <c r="HG87" s="382"/>
      <c r="HH87" s="382"/>
      <c r="HI87" s="382"/>
      <c r="HJ87" s="382"/>
      <c r="IH87" s="1526"/>
      <c r="II87" s="1526"/>
      <c r="IJ87" s="1526"/>
      <c r="IK87" s="1526"/>
      <c r="IL87" s="1526"/>
      <c r="IM87" s="1526"/>
      <c r="IN87" s="1526"/>
      <c r="IO87" s="1526"/>
    </row>
    <row r="88" spans="13:249">
      <c r="M88" s="549"/>
      <c r="N88" s="549"/>
      <c r="O88" s="549"/>
      <c r="P88" s="549"/>
      <c r="Q88" s="549"/>
      <c r="R88" s="549"/>
      <c r="S88" s="549"/>
      <c r="T88" s="549"/>
      <c r="U88" s="549"/>
      <c r="W88" s="382"/>
      <c r="X88" s="382"/>
      <c r="Y88" s="382"/>
      <c r="Z88" s="382"/>
      <c r="AA88" s="382"/>
      <c r="AB88" s="382"/>
      <c r="AC88" s="382"/>
      <c r="AD88" s="382"/>
      <c r="AE88" s="382"/>
      <c r="AF88" s="382"/>
      <c r="CC88" s="391"/>
      <c r="CD88" s="515"/>
      <c r="CE88" s="463"/>
      <c r="CF88" s="463"/>
      <c r="CG88" s="463"/>
      <c r="CH88" s="463"/>
      <c r="CI88" s="463"/>
      <c r="CJ88" s="463"/>
      <c r="CK88" s="463"/>
      <c r="CL88" s="463"/>
      <c r="CM88" s="463"/>
      <c r="CN88" s="463"/>
      <c r="CO88" s="463"/>
      <c r="CP88" s="463"/>
      <c r="DG88" s="933"/>
      <c r="DH88" s="933"/>
      <c r="DI88" s="933"/>
      <c r="DJ88" s="933"/>
      <c r="DK88" s="933"/>
      <c r="DL88" s="933"/>
      <c r="DM88" s="933"/>
      <c r="DN88" s="933"/>
      <c r="DO88" s="933"/>
      <c r="DP88" s="933"/>
      <c r="DQ88" s="933"/>
      <c r="DR88" s="933"/>
      <c r="DS88" s="933"/>
      <c r="DT88" s="933"/>
      <c r="DU88" s="933"/>
      <c r="DX88" s="382"/>
      <c r="DY88" s="853"/>
      <c r="DZ88" s="853"/>
      <c r="EA88" s="853"/>
      <c r="EB88" s="853"/>
      <c r="EC88" s="853"/>
      <c r="ED88" s="853"/>
      <c r="EE88" s="853"/>
      <c r="EH88" s="382"/>
      <c r="EI88" s="382"/>
      <c r="EJ88" s="382"/>
      <c r="EK88" s="382"/>
      <c r="EL88" s="382"/>
      <c r="EM88" s="382"/>
      <c r="EN88" s="382"/>
      <c r="EO88" s="382"/>
      <c r="ER88" s="382"/>
      <c r="ES88" s="439"/>
      <c r="ET88" s="439"/>
      <c r="EU88" s="439"/>
      <c r="EV88" s="439"/>
      <c r="EW88" s="439"/>
      <c r="EX88" s="439"/>
      <c r="EY88" s="439"/>
      <c r="EZ88" s="439"/>
      <c r="FA88" s="439"/>
      <c r="FB88" s="439"/>
      <c r="FC88" s="439"/>
      <c r="FD88" s="439"/>
      <c r="FE88" s="439"/>
      <c r="FF88" s="439"/>
      <c r="FG88" s="439"/>
      <c r="FW88" s="439"/>
      <c r="FX88" s="918"/>
      <c r="FY88" s="918"/>
      <c r="FZ88" s="918"/>
      <c r="GA88" s="918"/>
      <c r="GB88" s="918"/>
      <c r="GC88" s="918"/>
      <c r="GD88" s="918"/>
      <c r="GE88" s="918"/>
      <c r="GF88" s="918"/>
      <c r="GG88" s="918"/>
      <c r="GH88" s="918"/>
      <c r="GI88" s="918"/>
      <c r="GM88" s="549"/>
      <c r="GN88" s="549"/>
      <c r="GO88" s="549"/>
      <c r="GP88" s="549"/>
      <c r="GQ88" s="549"/>
      <c r="GR88" s="549"/>
      <c r="GS88" s="549"/>
      <c r="GT88" s="549"/>
      <c r="GU88" s="549"/>
      <c r="GV88" s="549"/>
      <c r="GW88" s="549"/>
      <c r="GX88" s="1786"/>
      <c r="GY88" s="1786"/>
      <c r="GZ88" s="1786"/>
      <c r="HA88" s="1786"/>
      <c r="HB88" s="1786"/>
      <c r="HC88" s="1786"/>
      <c r="HD88" s="1786"/>
      <c r="HE88" s="1786"/>
      <c r="HF88" s="1786"/>
      <c r="HG88" s="1786"/>
      <c r="HH88" s="1786"/>
      <c r="HI88" s="1786"/>
      <c r="HJ88" s="1786"/>
      <c r="IH88" s="1526"/>
      <c r="II88" s="1526"/>
      <c r="IJ88" s="1526"/>
      <c r="IK88" s="1526"/>
      <c r="IL88" s="1526"/>
      <c r="IM88" s="1526"/>
      <c r="IN88" s="1526"/>
      <c r="IO88" s="1526"/>
    </row>
    <row r="89" spans="13:249">
      <c r="M89" s="549"/>
      <c r="N89" s="549"/>
      <c r="O89" s="549"/>
      <c r="P89" s="549"/>
      <c r="Q89" s="549"/>
      <c r="R89" s="549"/>
      <c r="S89" s="549"/>
      <c r="T89" s="549"/>
      <c r="U89" s="549"/>
      <c r="W89" s="382"/>
      <c r="X89" s="382"/>
      <c r="Y89" s="382"/>
      <c r="Z89" s="382"/>
      <c r="AA89" s="382"/>
      <c r="AB89" s="382"/>
      <c r="AC89" s="382"/>
      <c r="AD89" s="382"/>
      <c r="AE89" s="382"/>
      <c r="AF89" s="382"/>
      <c r="CC89" s="391" t="s">
        <v>479</v>
      </c>
      <c r="CD89" s="515"/>
      <c r="CE89" s="463"/>
      <c r="CF89" s="463"/>
      <c r="CG89" s="463"/>
      <c r="CH89" s="463"/>
      <c r="CI89" s="463"/>
      <c r="CJ89" s="463"/>
      <c r="CK89" s="463"/>
      <c r="CL89" s="463"/>
      <c r="CM89" s="463"/>
      <c r="CN89" s="463"/>
      <c r="CO89" s="463"/>
      <c r="CP89" s="463"/>
      <c r="DG89" s="933"/>
      <c r="DH89" s="933"/>
      <c r="DI89" s="933"/>
      <c r="DJ89" s="933"/>
      <c r="DK89" s="933"/>
      <c r="DL89" s="933"/>
      <c r="DM89" s="933"/>
      <c r="DN89" s="933"/>
      <c r="DO89" s="933"/>
      <c r="DP89" s="933"/>
      <c r="DQ89" s="933"/>
      <c r="DR89" s="933"/>
      <c r="DS89" s="933"/>
      <c r="DT89" s="933"/>
      <c r="DU89" s="933"/>
      <c r="DX89" s="382"/>
      <c r="DY89" s="1740"/>
      <c r="DZ89" s="1740"/>
      <c r="EA89" s="1740"/>
      <c r="EB89" s="1740"/>
      <c r="EC89" s="1740"/>
      <c r="ED89" s="1740"/>
      <c r="EE89" s="1740"/>
      <c r="EH89" s="382"/>
      <c r="EI89" s="439"/>
      <c r="EJ89" s="2073"/>
      <c r="EK89" s="2073"/>
      <c r="EL89" s="2073"/>
      <c r="EM89" s="2073"/>
      <c r="EN89" s="2073"/>
      <c r="EO89" s="2073"/>
      <c r="ER89" s="382"/>
      <c r="ES89" s="933"/>
      <c r="ET89" s="525"/>
      <c r="EU89" s="525"/>
      <c r="EV89" s="435"/>
      <c r="EW89" s="525"/>
      <c r="EX89" s="525"/>
      <c r="EY89" s="525"/>
      <c r="EZ89" s="435"/>
      <c r="FA89" s="525"/>
      <c r="FB89" s="435"/>
      <c r="FC89" s="525"/>
      <c r="FD89" s="525"/>
      <c r="FE89" s="525"/>
      <c r="FF89" s="525"/>
      <c r="FG89" s="525"/>
      <c r="FW89" s="439"/>
      <c r="FX89" s="918"/>
      <c r="FY89" s="918"/>
      <c r="FZ89" s="918"/>
      <c r="GA89" s="918"/>
      <c r="GB89" s="918"/>
      <c r="GC89" s="918"/>
      <c r="GD89" s="918"/>
      <c r="GE89" s="918"/>
      <c r="GF89" s="918"/>
      <c r="GG89" s="918"/>
      <c r="GH89" s="918"/>
      <c r="GI89" s="918"/>
      <c r="GM89" s="1788"/>
      <c r="GN89" s="1788"/>
      <c r="GO89" s="1788"/>
      <c r="GP89" s="1788"/>
      <c r="GQ89" s="1788"/>
      <c r="GR89" s="1788"/>
      <c r="GS89" s="1788"/>
      <c r="GT89" s="1788"/>
      <c r="GU89" s="1788"/>
      <c r="GV89" s="1788"/>
      <c r="GW89" s="1788"/>
      <c r="GX89" s="549"/>
      <c r="GY89" s="549"/>
      <c r="GZ89" s="549"/>
      <c r="HA89" s="549"/>
      <c r="HB89" s="549"/>
      <c r="HC89" s="549"/>
      <c r="HD89" s="549"/>
      <c r="HE89" s="549"/>
      <c r="HF89" s="549"/>
      <c r="HG89" s="549"/>
      <c r="HH89" s="549"/>
      <c r="HI89" s="549"/>
      <c r="HJ89" s="549"/>
      <c r="IH89" s="1526"/>
      <c r="II89" s="1526"/>
      <c r="IJ89" s="1526"/>
      <c r="IK89" s="1526"/>
      <c r="IL89" s="1526"/>
      <c r="IM89" s="1526"/>
      <c r="IN89" s="1526"/>
      <c r="IO89" s="1526"/>
    </row>
    <row r="90" spans="13:249">
      <c r="M90" s="549"/>
      <c r="N90" s="549"/>
      <c r="O90" s="549"/>
      <c r="P90" s="549"/>
      <c r="Q90" s="549"/>
      <c r="R90" s="549"/>
      <c r="S90" s="549"/>
      <c r="T90" s="549"/>
      <c r="U90" s="549"/>
      <c r="W90" s="576"/>
      <c r="X90" s="576"/>
      <c r="Y90" s="576"/>
      <c r="Z90" s="385"/>
      <c r="AA90" s="1784"/>
      <c r="AB90" s="382"/>
      <c r="AC90" s="1784"/>
      <c r="AD90" s="1784"/>
      <c r="AE90" s="1784"/>
      <c r="CC90" s="391">
        <v>2024</v>
      </c>
      <c r="CD90" s="515">
        <f t="shared" ref="CD90:CD95" si="32">SUM(CE90:CP90)</f>
        <v>60756</v>
      </c>
      <c r="CE90" s="463">
        <v>5146</v>
      </c>
      <c r="CF90" s="463">
        <v>4814</v>
      </c>
      <c r="CG90" s="463">
        <v>5146</v>
      </c>
      <c r="CH90" s="463">
        <v>4980</v>
      </c>
      <c r="CI90" s="463">
        <v>5146</v>
      </c>
      <c r="CJ90" s="463">
        <v>4980</v>
      </c>
      <c r="CK90" s="463">
        <v>5146</v>
      </c>
      <c r="CL90" s="463">
        <v>5146</v>
      </c>
      <c r="CM90" s="463">
        <v>4980</v>
      </c>
      <c r="CN90" s="463">
        <v>5146</v>
      </c>
      <c r="CO90" s="463">
        <v>4980</v>
      </c>
      <c r="CP90" s="463">
        <v>5146</v>
      </c>
      <c r="DG90" s="933"/>
      <c r="DH90" s="933"/>
      <c r="DI90" s="933"/>
      <c r="DJ90" s="933"/>
      <c r="DK90" s="933"/>
      <c r="DL90" s="933"/>
      <c r="DM90" s="933"/>
      <c r="DN90" s="933"/>
      <c r="DO90" s="933"/>
      <c r="DP90" s="933"/>
      <c r="DQ90" s="933"/>
      <c r="DR90" s="933"/>
      <c r="DS90" s="933"/>
      <c r="DT90" s="933"/>
      <c r="DU90" s="933"/>
      <c r="DX90" s="382"/>
      <c r="DY90" s="1740"/>
      <c r="DZ90" s="1740"/>
      <c r="EA90" s="1740"/>
      <c r="EB90" s="1740"/>
      <c r="EC90" s="1740"/>
      <c r="ED90" s="1740"/>
      <c r="EE90" s="1740"/>
      <c r="EH90" s="382"/>
      <c r="EI90" s="414"/>
      <c r="EJ90" s="439"/>
      <c r="EK90" s="439"/>
      <c r="EL90" s="439"/>
      <c r="EM90" s="439"/>
      <c r="EN90" s="439"/>
      <c r="EO90" s="439"/>
      <c r="ER90" s="382"/>
      <c r="ES90" s="933"/>
      <c r="ET90" s="862"/>
      <c r="EU90" s="862"/>
      <c r="EV90" s="435"/>
      <c r="EW90" s="862"/>
      <c r="EX90" s="862"/>
      <c r="EY90" s="862"/>
      <c r="EZ90" s="435"/>
      <c r="FA90" s="862"/>
      <c r="FB90" s="435"/>
      <c r="FC90" s="862"/>
      <c r="FD90" s="525"/>
      <c r="FE90" s="862"/>
      <c r="FF90" s="862"/>
      <c r="FG90" s="525"/>
      <c r="FW90" s="439"/>
      <c r="FX90" s="918"/>
      <c r="FY90" s="918"/>
      <c r="FZ90" s="918"/>
      <c r="GA90" s="918"/>
      <c r="GB90" s="918"/>
      <c r="GC90" s="918"/>
      <c r="GD90" s="918"/>
      <c r="GE90" s="918"/>
      <c r="GF90" s="918"/>
      <c r="GG90" s="918"/>
      <c r="GH90" s="918"/>
      <c r="GI90" s="918"/>
      <c r="GM90" s="2348"/>
      <c r="GN90" s="2348"/>
      <c r="GO90" s="2348"/>
      <c r="GP90" s="2348"/>
      <c r="GQ90" s="2348"/>
      <c r="GR90" s="2348"/>
      <c r="GS90" s="2348"/>
      <c r="GT90" s="2348"/>
      <c r="GU90" s="2348"/>
      <c r="GV90" s="2348"/>
      <c r="GW90" s="2348"/>
      <c r="GX90" s="2348"/>
      <c r="GY90" s="2348"/>
      <c r="GZ90" s="2348"/>
      <c r="HA90" s="2348"/>
      <c r="HB90" s="2348"/>
      <c r="HC90" s="2348"/>
      <c r="HD90" s="2348"/>
      <c r="HE90" s="2348"/>
      <c r="HF90" s="2348"/>
      <c r="HG90" s="2348"/>
      <c r="HH90" s="2348"/>
      <c r="HI90" s="2348"/>
      <c r="HJ90" s="549"/>
      <c r="IH90" s="1526"/>
      <c r="II90" s="1526"/>
      <c r="IJ90" s="1526"/>
      <c r="IK90" s="1526"/>
      <c r="IL90" s="1526"/>
      <c r="IM90" s="1526"/>
      <c r="IN90" s="1526"/>
      <c r="IO90" s="1526"/>
    </row>
    <row r="91" spans="13:249">
      <c r="M91" s="549"/>
      <c r="N91" s="549"/>
      <c r="O91" s="549"/>
      <c r="P91" s="549"/>
      <c r="Q91" s="549"/>
      <c r="R91" s="549"/>
      <c r="S91" s="549"/>
      <c r="T91" s="549"/>
      <c r="U91" s="549"/>
      <c r="W91" s="398"/>
      <c r="X91" s="385"/>
      <c r="Y91" s="1784"/>
      <c r="Z91" s="1784"/>
      <c r="AA91" s="385"/>
      <c r="AB91" s="439"/>
      <c r="AC91" s="1784"/>
      <c r="AD91" s="1784"/>
      <c r="AE91" s="385"/>
      <c r="AF91" s="599"/>
      <c r="CC91" s="391">
        <v>2023</v>
      </c>
      <c r="CD91" s="515">
        <f t="shared" si="32"/>
        <v>66566</v>
      </c>
      <c r="CE91" s="463">
        <v>5146</v>
      </c>
      <c r="CF91" s="463">
        <v>4648</v>
      </c>
      <c r="CG91" s="463">
        <v>5146</v>
      </c>
      <c r="CH91" s="463">
        <v>4980</v>
      </c>
      <c r="CI91" s="463">
        <v>5146</v>
      </c>
      <c r="CJ91" s="463">
        <v>6308</v>
      </c>
      <c r="CK91" s="463">
        <v>6640</v>
      </c>
      <c r="CL91" s="463">
        <v>6640</v>
      </c>
      <c r="CM91" s="463">
        <v>5146</v>
      </c>
      <c r="CN91" s="463">
        <v>5146</v>
      </c>
      <c r="CO91" s="463">
        <v>5644</v>
      </c>
      <c r="CP91" s="463">
        <v>5976</v>
      </c>
      <c r="CS91" s="382"/>
      <c r="CT91" s="382"/>
      <c r="CU91" s="382"/>
      <c r="CV91" s="382"/>
      <c r="CW91" s="382"/>
      <c r="CX91" s="382"/>
      <c r="CY91" s="382"/>
      <c r="CZ91" s="382"/>
      <c r="DA91" s="382"/>
      <c r="DB91" s="382"/>
      <c r="DC91" s="382"/>
      <c r="DG91" s="933"/>
      <c r="DH91" s="933"/>
      <c r="DI91" s="933"/>
      <c r="DJ91" s="933"/>
      <c r="DK91" s="933"/>
      <c r="DL91" s="933"/>
      <c r="DM91" s="933"/>
      <c r="DN91" s="933"/>
      <c r="DO91" s="933"/>
      <c r="DP91" s="933"/>
      <c r="DQ91" s="933"/>
      <c r="DR91" s="933"/>
      <c r="DS91" s="933"/>
      <c r="DT91" s="933"/>
      <c r="DU91" s="933"/>
      <c r="DX91" s="382"/>
      <c r="DY91" s="1740"/>
      <c r="DZ91" s="1740"/>
      <c r="EA91" s="1740"/>
      <c r="EB91" s="1740"/>
      <c r="EC91" s="1740"/>
      <c r="ED91" s="1740"/>
      <c r="EE91" s="1740"/>
      <c r="EH91" s="382"/>
      <c r="EI91" s="439"/>
      <c r="EJ91" s="439"/>
      <c r="EK91" s="439"/>
      <c r="EL91" s="439"/>
      <c r="EM91" s="439"/>
      <c r="EN91" s="439"/>
      <c r="EO91" s="439"/>
      <c r="ER91" s="382"/>
      <c r="ES91" s="933"/>
      <c r="ET91" s="862"/>
      <c r="EU91" s="435"/>
      <c r="EV91" s="435"/>
      <c r="EW91" s="862"/>
      <c r="EX91" s="435"/>
      <c r="EY91" s="862"/>
      <c r="EZ91" s="435"/>
      <c r="FA91" s="862"/>
      <c r="FB91" s="435"/>
      <c r="FC91" s="862"/>
      <c r="FD91" s="525"/>
      <c r="FE91" s="862"/>
      <c r="FF91" s="862"/>
      <c r="FG91" s="525"/>
      <c r="FW91" s="439"/>
      <c r="FX91" s="918"/>
      <c r="FY91" s="918"/>
      <c r="FZ91" s="918"/>
      <c r="GA91" s="918"/>
      <c r="GB91" s="918"/>
      <c r="GC91" s="918"/>
      <c r="GD91" s="918"/>
      <c r="GE91" s="918"/>
      <c r="GF91" s="918"/>
      <c r="GG91" s="918"/>
      <c r="GH91" s="918"/>
      <c r="GI91" s="918"/>
      <c r="GM91" s="861"/>
      <c r="GN91" s="861"/>
      <c r="GO91" s="861"/>
      <c r="GP91" s="861"/>
      <c r="GQ91" s="861"/>
      <c r="GR91" s="861"/>
      <c r="GS91" s="861"/>
      <c r="GT91" s="861"/>
      <c r="GU91" s="861"/>
      <c r="GV91" s="861"/>
      <c r="GW91" s="861"/>
      <c r="GX91" s="861"/>
      <c r="GY91" s="861"/>
      <c r="GZ91" s="861"/>
      <c r="HA91" s="861"/>
      <c r="HB91" s="861"/>
      <c r="HC91" s="861"/>
      <c r="HD91" s="861"/>
      <c r="HE91" s="861"/>
      <c r="HF91" s="861"/>
      <c r="HG91" s="861"/>
      <c r="HH91" s="861"/>
      <c r="HI91" s="861"/>
      <c r="HJ91" s="549"/>
      <c r="IH91" s="1526"/>
      <c r="II91" s="1526"/>
      <c r="IJ91" s="1526"/>
      <c r="IK91" s="1526"/>
      <c r="IL91" s="1526"/>
      <c r="IM91" s="1526"/>
      <c r="IN91" s="1526"/>
      <c r="IO91" s="1526"/>
    </row>
    <row r="92" spans="13:249">
      <c r="M92" s="549"/>
      <c r="N92" s="549"/>
      <c r="O92" s="549"/>
      <c r="P92" s="549"/>
      <c r="Q92" s="549"/>
      <c r="R92" s="549"/>
      <c r="S92" s="549"/>
      <c r="T92" s="549"/>
      <c r="U92" s="549"/>
      <c r="W92" s="1735"/>
      <c r="X92" s="463"/>
      <c r="Y92" s="463"/>
      <c r="Z92" s="463"/>
      <c r="AA92" s="463"/>
      <c r="AB92" s="463"/>
      <c r="AC92" s="463"/>
      <c r="AD92" s="463"/>
      <c r="AE92" s="463"/>
      <c r="AF92" s="463"/>
      <c r="CC92" s="391">
        <v>2022</v>
      </c>
      <c r="CD92" s="515">
        <f t="shared" si="32"/>
        <v>64413</v>
      </c>
      <c r="CE92" s="463">
        <v>5146</v>
      </c>
      <c r="CF92" s="463">
        <v>4648</v>
      </c>
      <c r="CG92" s="463">
        <v>5146</v>
      </c>
      <c r="CH92" s="463">
        <v>4980</v>
      </c>
      <c r="CI92" s="463">
        <v>5146</v>
      </c>
      <c r="CJ92" s="463">
        <v>5644</v>
      </c>
      <c r="CK92" s="463">
        <v>5976</v>
      </c>
      <c r="CL92" s="463">
        <v>5981</v>
      </c>
      <c r="CM92" s="463">
        <v>5644</v>
      </c>
      <c r="CN92" s="463">
        <v>5976</v>
      </c>
      <c r="CO92" s="463">
        <v>4980</v>
      </c>
      <c r="CP92" s="463">
        <v>5146</v>
      </c>
      <c r="CS92" s="382"/>
      <c r="CT92" s="439"/>
      <c r="CU92" s="439"/>
      <c r="CV92" s="439"/>
      <c r="CW92" s="2073"/>
      <c r="CX92" s="2154"/>
      <c r="CY92" s="2154"/>
      <c r="CZ92" s="439"/>
      <c r="DA92" s="439"/>
      <c r="DB92" s="439"/>
      <c r="DC92" s="439"/>
      <c r="DG92" s="933"/>
      <c r="DH92" s="933"/>
      <c r="DI92" s="933"/>
      <c r="DJ92" s="933"/>
      <c r="DK92" s="933"/>
      <c r="DL92" s="933"/>
      <c r="DM92" s="933"/>
      <c r="DN92" s="933"/>
      <c r="DO92" s="933"/>
      <c r="DP92" s="933"/>
      <c r="DQ92" s="933"/>
      <c r="DR92" s="933"/>
      <c r="DS92" s="933"/>
      <c r="DT92" s="933"/>
      <c r="DU92" s="933"/>
      <c r="DX92" s="382"/>
      <c r="DY92" s="1740"/>
      <c r="DZ92" s="1740"/>
      <c r="EA92" s="1740"/>
      <c r="EB92" s="1740"/>
      <c r="EC92" s="1740"/>
      <c r="ED92" s="1740"/>
      <c r="EE92" s="1740"/>
      <c r="EH92" s="382"/>
      <c r="EI92" s="525"/>
      <c r="EJ92" s="525"/>
      <c r="EK92" s="525"/>
      <c r="EL92" s="525"/>
      <c r="EM92" s="525"/>
      <c r="EN92" s="525"/>
      <c r="EO92" s="525"/>
      <c r="ER92" s="382"/>
      <c r="ES92" s="933"/>
      <c r="ET92" s="862"/>
      <c r="EU92" s="862"/>
      <c r="EV92" s="435"/>
      <c r="EW92" s="862"/>
      <c r="EX92" s="862"/>
      <c r="EY92" s="862"/>
      <c r="EZ92" s="435"/>
      <c r="FA92" s="862"/>
      <c r="FB92" s="435"/>
      <c r="FC92" s="862"/>
      <c r="FD92" s="525"/>
      <c r="FE92" s="862"/>
      <c r="FF92" s="862"/>
      <c r="FG92" s="525"/>
      <c r="FW92" s="439"/>
      <c r="FX92" s="918"/>
      <c r="FY92" s="918"/>
      <c r="FZ92" s="918"/>
      <c r="GA92" s="918"/>
      <c r="GB92" s="918"/>
      <c r="GC92" s="918"/>
      <c r="GD92" s="918"/>
      <c r="GE92" s="918"/>
      <c r="GF92" s="918"/>
      <c r="GG92" s="918"/>
      <c r="GH92" s="918"/>
      <c r="GI92" s="918"/>
      <c r="GM92" s="861"/>
      <c r="GN92" s="861"/>
      <c r="GO92" s="861"/>
      <c r="GP92" s="861"/>
      <c r="GQ92" s="861"/>
      <c r="GR92" s="861"/>
      <c r="GS92" s="861"/>
      <c r="GT92" s="861"/>
      <c r="GU92" s="861"/>
      <c r="GV92" s="861"/>
      <c r="GW92" s="861"/>
      <c r="GX92" s="562"/>
      <c r="GY92" s="562"/>
      <c r="GZ92" s="562"/>
      <c r="HA92" s="562"/>
      <c r="HB92" s="562"/>
      <c r="HC92" s="562"/>
      <c r="HD92" s="562"/>
      <c r="HE92" s="562"/>
      <c r="HF92" s="562"/>
      <c r="HG92" s="562"/>
      <c r="HH92" s="562"/>
      <c r="HI92" s="562"/>
      <c r="IH92" s="1526"/>
      <c r="II92" s="1526"/>
      <c r="IJ92" s="1526"/>
      <c r="IK92" s="1526"/>
      <c r="IL92" s="1526"/>
      <c r="IM92" s="1526"/>
      <c r="IN92" s="1526"/>
      <c r="IO92" s="1526"/>
    </row>
    <row r="93" spans="13:249">
      <c r="M93" s="549"/>
      <c r="N93" s="549"/>
      <c r="O93" s="549"/>
      <c r="P93" s="549"/>
      <c r="Q93" s="549"/>
      <c r="R93" s="549"/>
      <c r="S93" s="549"/>
      <c r="T93" s="549"/>
      <c r="U93" s="549"/>
      <c r="W93" s="1735"/>
      <c r="X93" s="463"/>
      <c r="Y93" s="463"/>
      <c r="Z93" s="463"/>
      <c r="AA93" s="463"/>
      <c r="AB93" s="463"/>
      <c r="AC93" s="463"/>
      <c r="AD93" s="463"/>
      <c r="AE93" s="463"/>
      <c r="AF93" s="463"/>
      <c r="CC93" s="391">
        <v>2021</v>
      </c>
      <c r="CD93" s="515">
        <f t="shared" si="32"/>
        <v>44054</v>
      </c>
      <c r="CE93" s="463">
        <v>2158</v>
      </c>
      <c r="CF93" s="463">
        <v>1992</v>
      </c>
      <c r="CG93" s="463">
        <v>2222</v>
      </c>
      <c r="CH93" s="463">
        <v>2988</v>
      </c>
      <c r="CI93" s="463">
        <v>2988</v>
      </c>
      <c r="CJ93" s="463">
        <v>2656</v>
      </c>
      <c r="CK93" s="463">
        <v>3652</v>
      </c>
      <c r="CL93" s="463">
        <v>5146</v>
      </c>
      <c r="CM93" s="463">
        <v>4980</v>
      </c>
      <c r="CN93" s="463">
        <v>5146</v>
      </c>
      <c r="CO93" s="463">
        <v>4980</v>
      </c>
      <c r="CP93" s="463">
        <v>5146</v>
      </c>
      <c r="CS93" s="398"/>
      <c r="CT93" s="398"/>
      <c r="CU93" s="385"/>
      <c r="CV93" s="385"/>
      <c r="CW93" s="385"/>
      <c r="CX93" s="385"/>
      <c r="CY93" s="385"/>
      <c r="CZ93" s="385"/>
      <c r="DB93" s="385"/>
      <c r="DC93" s="385"/>
      <c r="DG93" s="933"/>
      <c r="DH93" s="933"/>
      <c r="DI93" s="933"/>
      <c r="DJ93" s="933"/>
      <c r="DK93" s="933"/>
      <c r="DL93" s="933"/>
      <c r="DM93" s="933"/>
      <c r="DN93" s="933"/>
      <c r="DO93" s="933"/>
      <c r="DP93" s="933"/>
      <c r="DQ93" s="933"/>
      <c r="DR93" s="933"/>
      <c r="DS93" s="933"/>
      <c r="DT93" s="933"/>
      <c r="DU93" s="933"/>
      <c r="DX93" s="382"/>
      <c r="DY93" s="1740"/>
      <c r="DZ93" s="1740"/>
      <c r="EA93" s="1740"/>
      <c r="EB93" s="1740"/>
      <c r="EC93" s="1740"/>
      <c r="ED93" s="1740"/>
      <c r="EE93" s="1740"/>
      <c r="EH93" s="382"/>
      <c r="EI93" s="876"/>
      <c r="EJ93" s="876"/>
      <c r="EK93" s="463"/>
      <c r="EL93" s="876"/>
      <c r="EM93" s="876"/>
      <c r="EN93" s="876"/>
      <c r="EO93" s="876"/>
      <c r="ER93" s="382"/>
      <c r="ES93" s="933"/>
      <c r="ET93" s="862"/>
      <c r="EU93" s="862"/>
      <c r="EV93" s="435"/>
      <c r="EW93" s="862"/>
      <c r="EX93" s="862"/>
      <c r="EY93" s="862"/>
      <c r="EZ93" s="435"/>
      <c r="FA93" s="862"/>
      <c r="FB93" s="435"/>
      <c r="FC93" s="862"/>
      <c r="FD93" s="525"/>
      <c r="FE93" s="862"/>
      <c r="FF93" s="862"/>
      <c r="FG93" s="525"/>
      <c r="FW93" s="439"/>
      <c r="FX93" s="463"/>
      <c r="FY93" s="463"/>
      <c r="FZ93" s="463"/>
      <c r="GA93" s="463"/>
      <c r="GB93" s="463"/>
      <c r="GC93" s="463"/>
      <c r="GD93" s="463"/>
      <c r="GE93" s="463"/>
      <c r="GF93" s="463"/>
      <c r="GG93" s="463"/>
      <c r="GH93" s="463"/>
      <c r="GI93" s="463"/>
      <c r="GM93" s="861"/>
      <c r="GN93" s="861"/>
      <c r="GO93" s="861"/>
      <c r="GP93" s="861"/>
      <c r="GQ93" s="861"/>
      <c r="GR93" s="861"/>
      <c r="GS93" s="861"/>
      <c r="GT93" s="861"/>
      <c r="GU93" s="861"/>
      <c r="GV93" s="861"/>
      <c r="GW93" s="861"/>
      <c r="GX93" s="562"/>
      <c r="GY93" s="562"/>
      <c r="GZ93" s="562"/>
      <c r="HA93" s="562"/>
      <c r="HB93" s="562"/>
      <c r="HC93" s="562"/>
      <c r="HD93" s="562"/>
      <c r="HE93" s="562"/>
      <c r="HF93" s="562"/>
      <c r="HG93" s="562"/>
      <c r="HH93" s="562"/>
      <c r="HI93" s="562"/>
      <c r="IH93" s="1526"/>
      <c r="II93" s="1526"/>
      <c r="IJ93" s="1526"/>
      <c r="IK93" s="1526"/>
      <c r="IL93" s="1526"/>
      <c r="IM93" s="1526"/>
      <c r="IN93" s="1526"/>
      <c r="IO93" s="1526"/>
    </row>
    <row r="94" spans="13:249">
      <c r="M94" s="549"/>
      <c r="N94" s="549"/>
      <c r="O94" s="549"/>
      <c r="P94" s="549"/>
      <c r="Q94" s="549"/>
      <c r="R94" s="549"/>
      <c r="S94" s="549"/>
      <c r="T94" s="549"/>
      <c r="U94" s="549"/>
      <c r="W94" s="1735"/>
      <c r="X94" s="463"/>
      <c r="Y94" s="463"/>
      <c r="Z94" s="463"/>
      <c r="AA94" s="463"/>
      <c r="AB94" s="463"/>
      <c r="AC94" s="463"/>
      <c r="AD94" s="463"/>
      <c r="AE94" s="463"/>
      <c r="AF94" s="463"/>
      <c r="CC94" s="391">
        <v>2019</v>
      </c>
      <c r="CD94" s="515">
        <f t="shared" si="32"/>
        <v>74678</v>
      </c>
      <c r="CE94" s="463">
        <v>6406</v>
      </c>
      <c r="CF94" s="463">
        <v>5616</v>
      </c>
      <c r="CG94" s="463">
        <v>5954</v>
      </c>
      <c r="CH94" s="463">
        <v>6308</v>
      </c>
      <c r="CI94" s="463">
        <v>6440</v>
      </c>
      <c r="CJ94" s="463">
        <v>5988</v>
      </c>
      <c r="CK94" s="463">
        <v>6280</v>
      </c>
      <c r="CL94" s="463">
        <v>6280</v>
      </c>
      <c r="CM94" s="463">
        <v>5988</v>
      </c>
      <c r="CN94" s="463">
        <v>6566</v>
      </c>
      <c r="CO94" s="463">
        <v>6068</v>
      </c>
      <c r="CP94" s="463">
        <v>6784</v>
      </c>
      <c r="CS94" s="382"/>
      <c r="CT94" s="439"/>
      <c r="CU94" s="439"/>
      <c r="CV94" s="439"/>
      <c r="CW94" s="439"/>
      <c r="CX94" s="439"/>
      <c r="CY94" s="439"/>
      <c r="CZ94" s="439"/>
      <c r="DA94" s="439"/>
      <c r="DB94" s="439"/>
      <c r="DC94" s="439"/>
      <c r="DG94" s="933"/>
      <c r="DH94" s="933"/>
      <c r="DI94" s="933"/>
      <c r="DJ94" s="933"/>
      <c r="DK94" s="933"/>
      <c r="DL94" s="933"/>
      <c r="DM94" s="933"/>
      <c r="DN94" s="933"/>
      <c r="DO94" s="933"/>
      <c r="DP94" s="933"/>
      <c r="DQ94" s="933"/>
      <c r="DR94" s="933"/>
      <c r="DS94" s="933"/>
      <c r="DT94" s="933"/>
      <c r="DU94" s="933"/>
      <c r="DX94" s="382"/>
      <c r="DY94" s="1740"/>
      <c r="DZ94" s="1740"/>
      <c r="EA94" s="1740"/>
      <c r="EB94" s="1740"/>
      <c r="EC94" s="1740"/>
      <c r="ED94" s="1740"/>
      <c r="EE94" s="1740"/>
      <c r="EH94" s="382"/>
      <c r="EI94" s="876"/>
      <c r="EJ94" s="876"/>
      <c r="EK94" s="463"/>
      <c r="EL94" s="876"/>
      <c r="EM94" s="876"/>
      <c r="EN94" s="876"/>
      <c r="EO94" s="876"/>
      <c r="ER94" s="382"/>
      <c r="ES94" s="933"/>
      <c r="ET94" s="862"/>
      <c r="EU94" s="862"/>
      <c r="EV94" s="435"/>
      <c r="EW94" s="862"/>
      <c r="EX94" s="862"/>
      <c r="EY94" s="862"/>
      <c r="EZ94" s="435"/>
      <c r="FA94" s="862"/>
      <c r="FB94" s="435"/>
      <c r="FC94" s="862"/>
      <c r="FD94" s="525"/>
      <c r="FE94" s="862"/>
      <c r="FF94" s="862"/>
      <c r="FG94" s="525"/>
      <c r="FW94" s="637"/>
      <c r="FX94" s="1757"/>
      <c r="FY94" s="1757"/>
      <c r="FZ94" s="1757"/>
      <c r="GA94" s="1757"/>
      <c r="GB94" s="1757"/>
      <c r="GC94" s="1757"/>
      <c r="GD94" s="1757"/>
      <c r="GE94" s="1757"/>
      <c r="GF94" s="1757"/>
      <c r="GG94" s="1757"/>
      <c r="GH94" s="1757"/>
      <c r="GI94" s="1757"/>
      <c r="GJ94" s="473"/>
      <c r="GM94" s="861"/>
      <c r="GN94" s="861"/>
      <c r="GO94" s="861"/>
      <c r="GP94" s="861"/>
      <c r="GQ94" s="861"/>
      <c r="GR94" s="861"/>
      <c r="GS94" s="861"/>
      <c r="GT94" s="861"/>
      <c r="GU94" s="861"/>
      <c r="GV94" s="861"/>
      <c r="GW94" s="861"/>
      <c r="GX94" s="562"/>
      <c r="GY94" s="562"/>
      <c r="GZ94" s="562"/>
      <c r="HA94" s="562"/>
      <c r="HB94" s="562"/>
      <c r="HC94" s="562"/>
      <c r="HD94" s="562"/>
      <c r="HE94" s="562"/>
      <c r="HF94" s="562"/>
      <c r="HG94" s="562"/>
      <c r="HH94" s="562"/>
      <c r="HI94" s="562"/>
      <c r="IH94" s="1526"/>
      <c r="II94" s="1526"/>
      <c r="IJ94" s="1526"/>
      <c r="IK94" s="1526"/>
      <c r="IL94" s="1526"/>
      <c r="IM94" s="1526"/>
      <c r="IN94" s="1526"/>
      <c r="IO94" s="1526"/>
    </row>
    <row r="95" spans="13:249">
      <c r="M95" s="549"/>
      <c r="N95" s="549"/>
      <c r="O95" s="549"/>
      <c r="P95" s="549"/>
      <c r="Q95" s="549"/>
      <c r="R95" s="549"/>
      <c r="S95" s="549"/>
      <c r="T95" s="549"/>
      <c r="U95" s="549"/>
      <c r="W95" s="1735"/>
      <c r="X95" s="463"/>
      <c r="Y95" s="463"/>
      <c r="Z95" s="463"/>
      <c r="AA95" s="463"/>
      <c r="AB95" s="463"/>
      <c r="AC95" s="463"/>
      <c r="AD95" s="463"/>
      <c r="AE95" s="463"/>
      <c r="AF95" s="463"/>
      <c r="CC95" s="423">
        <v>2018</v>
      </c>
      <c r="CD95" s="766">
        <f t="shared" si="32"/>
        <v>75712</v>
      </c>
      <c r="CE95" s="497">
        <v>7130</v>
      </c>
      <c r="CF95" s="497">
        <v>6440</v>
      </c>
      <c r="CG95" s="497">
        <v>7130</v>
      </c>
      <c r="CH95" s="497">
        <v>6900</v>
      </c>
      <c r="CI95" s="497">
        <v>7130</v>
      </c>
      <c r="CJ95" s="497">
        <v>4980</v>
      </c>
      <c r="CK95" s="497">
        <v>5146</v>
      </c>
      <c r="CL95" s="497">
        <v>6208</v>
      </c>
      <c r="CM95" s="497">
        <v>5924</v>
      </c>
      <c r="CN95" s="497">
        <v>6208</v>
      </c>
      <c r="CO95" s="497">
        <v>6042</v>
      </c>
      <c r="CP95" s="497">
        <v>6474</v>
      </c>
      <c r="CS95" s="382"/>
      <c r="CT95" s="862"/>
      <c r="CU95" s="862"/>
      <c r="CV95" s="435"/>
      <c r="CW95" s="862"/>
      <c r="CX95" s="862"/>
      <c r="CY95" s="862"/>
      <c r="CZ95" s="862"/>
      <c r="DA95" s="862"/>
      <c r="DB95" s="862"/>
      <c r="DC95" s="862"/>
      <c r="DG95" s="933"/>
      <c r="DH95" s="933"/>
      <c r="DI95" s="933"/>
      <c r="DJ95" s="933"/>
      <c r="DK95" s="933"/>
      <c r="DL95" s="933"/>
      <c r="DM95" s="933"/>
      <c r="DN95" s="933"/>
      <c r="DO95" s="933"/>
      <c r="DP95" s="933"/>
      <c r="DQ95" s="933"/>
      <c r="DR95" s="933"/>
      <c r="DS95" s="933"/>
      <c r="DT95" s="933"/>
      <c r="DU95" s="933"/>
      <c r="DX95" s="382"/>
      <c r="DY95" s="1740"/>
      <c r="DZ95" s="1740"/>
      <c r="EA95" s="1740"/>
      <c r="EB95" s="1740"/>
      <c r="EC95" s="1740"/>
      <c r="ED95" s="1740"/>
      <c r="EE95" s="1740"/>
      <c r="EH95" s="382"/>
      <c r="EI95" s="876"/>
      <c r="EJ95" s="876"/>
      <c r="EK95" s="463"/>
      <c r="EL95" s="876"/>
      <c r="EM95" s="876"/>
      <c r="EN95" s="876"/>
      <c r="EO95" s="876"/>
      <c r="ER95" s="382"/>
      <c r="ES95" s="933"/>
      <c r="ET95" s="862"/>
      <c r="EU95" s="862"/>
      <c r="EV95" s="435"/>
      <c r="EW95" s="862"/>
      <c r="EX95" s="862"/>
      <c r="EY95" s="862"/>
      <c r="EZ95" s="435"/>
      <c r="FA95" s="862"/>
      <c r="FB95" s="435"/>
      <c r="FC95" s="862"/>
      <c r="FD95" s="525"/>
      <c r="FE95" s="862"/>
      <c r="FF95" s="862"/>
      <c r="FG95" s="525"/>
      <c r="FW95" s="637"/>
      <c r="FX95" s="1757"/>
      <c r="FY95" s="1757"/>
      <c r="FZ95" s="1757"/>
      <c r="GA95" s="1757"/>
      <c r="GB95" s="1757"/>
      <c r="GC95" s="1757"/>
      <c r="GD95" s="1757"/>
      <c r="GE95" s="1757"/>
      <c r="GF95" s="1757"/>
      <c r="GG95" s="1757"/>
      <c r="GH95" s="1757"/>
      <c r="GI95" s="1757"/>
      <c r="GJ95" s="473"/>
      <c r="GM95" s="861"/>
      <c r="GN95" s="861"/>
      <c r="GO95" s="861"/>
      <c r="GP95" s="861"/>
      <c r="GQ95" s="861"/>
      <c r="GR95" s="861"/>
      <c r="GS95" s="861"/>
      <c r="GT95" s="861"/>
      <c r="GU95" s="861"/>
      <c r="GV95" s="861"/>
      <c r="GW95" s="861"/>
      <c r="GX95" s="562"/>
      <c r="GY95" s="562"/>
      <c r="GZ95" s="562"/>
      <c r="HA95" s="562"/>
      <c r="HB95" s="562"/>
      <c r="HC95" s="562"/>
      <c r="HD95" s="562"/>
      <c r="HE95" s="562"/>
      <c r="HF95" s="562"/>
      <c r="HG95" s="562"/>
      <c r="HH95" s="562"/>
      <c r="HI95" s="562"/>
      <c r="IH95" s="1526"/>
      <c r="II95" s="1526"/>
      <c r="IJ95" s="1526"/>
      <c r="IK95" s="1526"/>
      <c r="IL95" s="1526"/>
      <c r="IM95" s="1526"/>
      <c r="IN95" s="1526"/>
      <c r="IO95" s="1526"/>
    </row>
    <row r="96" spans="13:249">
      <c r="M96" s="549"/>
      <c r="N96" s="549"/>
      <c r="O96" s="549"/>
      <c r="P96" s="549"/>
      <c r="Q96" s="549"/>
      <c r="R96" s="549"/>
      <c r="S96" s="549"/>
      <c r="T96" s="549"/>
      <c r="U96" s="549"/>
      <c r="W96" s="1735"/>
      <c r="X96" s="463"/>
      <c r="Y96" s="463"/>
      <c r="Z96" s="463"/>
      <c r="AA96" s="463"/>
      <c r="AB96" s="463"/>
      <c r="AC96" s="463"/>
      <c r="AD96" s="463"/>
      <c r="AE96" s="463"/>
      <c r="AF96" s="463"/>
      <c r="CC96" s="583" t="s">
        <v>8402</v>
      </c>
      <c r="CS96" s="382"/>
      <c r="CT96" s="862"/>
      <c r="CU96" s="862"/>
      <c r="CV96" s="862"/>
      <c r="CW96" s="862"/>
      <c r="CX96" s="862"/>
      <c r="CY96" s="435"/>
      <c r="CZ96" s="862"/>
      <c r="DA96" s="862"/>
      <c r="DB96" s="862"/>
      <c r="DC96" s="862"/>
      <c r="DG96" s="933"/>
      <c r="DH96" s="933"/>
      <c r="DI96" s="933"/>
      <c r="DJ96" s="933"/>
      <c r="DK96" s="933"/>
      <c r="DL96" s="933"/>
      <c r="DM96" s="933"/>
      <c r="DN96" s="933"/>
      <c r="DO96" s="933"/>
      <c r="DP96" s="933"/>
      <c r="DQ96" s="933"/>
      <c r="DR96" s="933"/>
      <c r="DS96" s="933"/>
      <c r="DT96" s="933"/>
      <c r="DU96" s="933"/>
      <c r="DX96" s="382"/>
      <c r="DY96" s="1740"/>
      <c r="DZ96" s="1740"/>
      <c r="EA96" s="1740"/>
      <c r="EB96" s="1740"/>
      <c r="EC96" s="1740"/>
      <c r="ED96" s="1740"/>
      <c r="EE96" s="1740"/>
      <c r="EH96" s="382"/>
      <c r="EI96" s="876"/>
      <c r="EJ96" s="876"/>
      <c r="EK96" s="463"/>
      <c r="EL96" s="876"/>
      <c r="EM96" s="876"/>
      <c r="EN96" s="876"/>
      <c r="EO96" s="876"/>
      <c r="ER96" s="382"/>
      <c r="ES96" s="933"/>
      <c r="ET96" s="862"/>
      <c r="EU96" s="862"/>
      <c r="EV96" s="435"/>
      <c r="EW96" s="862"/>
      <c r="EX96" s="862"/>
      <c r="EY96" s="862"/>
      <c r="EZ96" s="435"/>
      <c r="FA96" s="862"/>
      <c r="FB96" s="435"/>
      <c r="FC96" s="862"/>
      <c r="FD96" s="525"/>
      <c r="FE96" s="862"/>
      <c r="FF96" s="862"/>
      <c r="FG96" s="525"/>
      <c r="FW96" s="637"/>
      <c r="FX96" s="1757"/>
      <c r="FY96" s="1757"/>
      <c r="FZ96" s="1757"/>
      <c r="GA96" s="1757"/>
      <c r="GB96" s="1757"/>
      <c r="GC96" s="1757"/>
      <c r="GD96" s="1757"/>
      <c r="GE96" s="1757"/>
      <c r="GF96" s="1757"/>
      <c r="GG96" s="1757"/>
      <c r="GH96" s="1757"/>
      <c r="GI96" s="1757"/>
      <c r="GJ96" s="473"/>
      <c r="GM96" s="861"/>
      <c r="GN96" s="861"/>
      <c r="GO96" s="861"/>
      <c r="GP96" s="861"/>
      <c r="GQ96" s="861"/>
      <c r="GR96" s="861"/>
      <c r="GS96" s="861"/>
      <c r="GT96" s="861"/>
      <c r="GU96" s="861"/>
      <c r="GV96" s="861"/>
      <c r="GW96" s="861"/>
      <c r="GX96" s="562"/>
      <c r="GY96" s="562"/>
      <c r="GZ96" s="562"/>
      <c r="HA96" s="562"/>
      <c r="HB96" s="562"/>
      <c r="HC96" s="562"/>
      <c r="HD96" s="562"/>
      <c r="HE96" s="562"/>
      <c r="HF96" s="562"/>
      <c r="HG96" s="562"/>
      <c r="HH96" s="562"/>
      <c r="HI96" s="562"/>
      <c r="HJ96" s="571"/>
      <c r="IH96" s="1526"/>
      <c r="II96" s="1526"/>
      <c r="IJ96" s="1526"/>
      <c r="IK96" s="1526"/>
      <c r="IL96" s="1526"/>
      <c r="IM96" s="1526"/>
      <c r="IN96" s="1526"/>
      <c r="IO96" s="1526"/>
    </row>
    <row r="97" spans="13:249">
      <c r="M97" s="549"/>
      <c r="N97" s="549"/>
      <c r="O97" s="549"/>
      <c r="P97" s="549"/>
      <c r="Q97" s="549"/>
      <c r="R97" s="549"/>
      <c r="S97" s="549"/>
      <c r="T97" s="549"/>
      <c r="U97" s="549"/>
      <c r="W97" s="1735"/>
      <c r="X97" s="463"/>
      <c r="Y97" s="463"/>
      <c r="Z97" s="463"/>
      <c r="AA97" s="463"/>
      <c r="AB97" s="463"/>
      <c r="AC97" s="463"/>
      <c r="AD97" s="463"/>
      <c r="AE97" s="463"/>
      <c r="AF97" s="463"/>
      <c r="CS97" s="382"/>
      <c r="CT97" s="862"/>
      <c r="CU97" s="862"/>
      <c r="CV97" s="862"/>
      <c r="CW97" s="862"/>
      <c r="CX97" s="862"/>
      <c r="CY97" s="435"/>
      <c r="CZ97" s="862"/>
      <c r="DA97" s="862"/>
      <c r="DB97" s="862"/>
      <c r="DC97" s="862"/>
      <c r="DG97" s="933"/>
      <c r="DH97" s="933"/>
      <c r="DI97" s="933"/>
      <c r="DJ97" s="933"/>
      <c r="DK97" s="933"/>
      <c r="DL97" s="933"/>
      <c r="DM97" s="933"/>
      <c r="DN97" s="933"/>
      <c r="DO97" s="933"/>
      <c r="DP97" s="933"/>
      <c r="DQ97" s="933"/>
      <c r="DR97" s="933"/>
      <c r="DS97" s="933"/>
      <c r="DT97" s="933"/>
      <c r="DU97" s="933"/>
      <c r="DX97" s="382"/>
      <c r="DY97" s="1740"/>
      <c r="DZ97" s="1785"/>
      <c r="EA97" s="1785"/>
      <c r="EB97" s="1785"/>
      <c r="EC97" s="1785"/>
      <c r="ED97" s="1785"/>
      <c r="EE97" s="1785"/>
      <c r="EH97" s="382"/>
      <c r="EI97" s="876"/>
      <c r="EJ97" s="876"/>
      <c r="EK97" s="463"/>
      <c r="EL97" s="876"/>
      <c r="EM97" s="876"/>
      <c r="EN97" s="876"/>
      <c r="EO97" s="876"/>
      <c r="ER97" s="382"/>
      <c r="ES97" s="933"/>
      <c r="ET97" s="862"/>
      <c r="EU97" s="862"/>
      <c r="EV97" s="435"/>
      <c r="EW97" s="862"/>
      <c r="EX97" s="862"/>
      <c r="EY97" s="862"/>
      <c r="EZ97" s="435"/>
      <c r="FA97" s="862"/>
      <c r="FB97" s="435"/>
      <c r="FC97" s="435"/>
      <c r="FD97" s="525"/>
      <c r="FE97" s="862"/>
      <c r="FF97" s="435"/>
      <c r="FG97" s="525"/>
      <c r="FW97" s="1766"/>
      <c r="FX97" s="1757"/>
      <c r="FY97" s="1757"/>
      <c r="FZ97" s="1757"/>
      <c r="GA97" s="1757"/>
      <c r="GB97" s="1757"/>
      <c r="GC97" s="1757"/>
      <c r="GD97" s="1757"/>
      <c r="GE97" s="1757"/>
      <c r="GF97" s="1757"/>
      <c r="GG97" s="1757"/>
      <c r="GH97" s="1757"/>
      <c r="GI97" s="1757"/>
      <c r="GJ97" s="473"/>
      <c r="GM97" s="861"/>
      <c r="GN97" s="861"/>
      <c r="GO97" s="861"/>
      <c r="GP97" s="861"/>
      <c r="GQ97" s="861"/>
      <c r="GR97" s="861"/>
      <c r="GS97" s="861"/>
      <c r="GT97" s="861"/>
      <c r="GU97" s="861"/>
      <c r="GV97" s="861"/>
      <c r="GW97" s="861"/>
      <c r="GX97" s="562"/>
      <c r="GY97" s="562"/>
      <c r="GZ97" s="562"/>
      <c r="HA97" s="562"/>
      <c r="HB97" s="562"/>
      <c r="HC97" s="562"/>
      <c r="HD97" s="562"/>
      <c r="HE97" s="562"/>
      <c r="HF97" s="562"/>
      <c r="HG97" s="562"/>
      <c r="HH97" s="562"/>
      <c r="HI97" s="562"/>
      <c r="HJ97" s="861"/>
      <c r="IH97" s="1526"/>
      <c r="II97" s="1526"/>
      <c r="IJ97" s="1526"/>
      <c r="IK97" s="1526"/>
      <c r="IL97" s="1526"/>
      <c r="IM97" s="1526"/>
      <c r="IN97" s="1526"/>
      <c r="IO97" s="1526"/>
    </row>
    <row r="98" spans="13:249">
      <c r="M98" s="571"/>
      <c r="N98" s="571"/>
      <c r="O98" s="571"/>
      <c r="P98" s="571"/>
      <c r="Q98" s="571"/>
      <c r="R98" s="571"/>
      <c r="S98" s="571"/>
      <c r="T98" s="571"/>
      <c r="U98" s="571"/>
      <c r="W98" s="1735"/>
      <c r="X98" s="463"/>
      <c r="Y98" s="463"/>
      <c r="Z98" s="463"/>
      <c r="AA98" s="463"/>
      <c r="AB98" s="463"/>
      <c r="AC98" s="463"/>
      <c r="AD98" s="463"/>
      <c r="AE98" s="463"/>
      <c r="AF98" s="463"/>
      <c r="CS98" s="382"/>
      <c r="CT98" s="862"/>
      <c r="CU98" s="862"/>
      <c r="CV98" s="862"/>
      <c r="CW98" s="862"/>
      <c r="CX98" s="862"/>
      <c r="CY98" s="435"/>
      <c r="CZ98" s="862"/>
      <c r="DA98" s="862"/>
      <c r="DB98" s="862"/>
      <c r="DC98" s="862"/>
      <c r="DG98" s="933"/>
      <c r="DH98" s="933"/>
      <c r="DI98" s="933"/>
      <c r="DJ98" s="933"/>
      <c r="DK98" s="933"/>
      <c r="DL98" s="933"/>
      <c r="DM98" s="933"/>
      <c r="DN98" s="933"/>
      <c r="DO98" s="933"/>
      <c r="DP98" s="933"/>
      <c r="DQ98" s="933"/>
      <c r="DR98" s="933"/>
      <c r="DS98" s="933"/>
      <c r="DT98" s="933"/>
      <c r="DU98" s="933"/>
      <c r="DX98" s="382"/>
      <c r="DY98" s="1740"/>
      <c r="DZ98" s="1740"/>
      <c r="EA98" s="1740"/>
      <c r="EB98" s="1740"/>
      <c r="EC98" s="1740"/>
      <c r="ED98" s="1740"/>
      <c r="EE98" s="1740"/>
      <c r="EH98" s="382"/>
      <c r="EI98" s="876"/>
      <c r="EJ98" s="876"/>
      <c r="EK98" s="463"/>
      <c r="EL98" s="876"/>
      <c r="EM98" s="876"/>
      <c r="EN98" s="876"/>
      <c r="EO98" s="876"/>
      <c r="ER98" s="382"/>
      <c r="ES98" s="933"/>
      <c r="ET98" s="933"/>
      <c r="EU98" s="933"/>
      <c r="EV98" s="435"/>
      <c r="EW98" s="933"/>
      <c r="EX98" s="933"/>
      <c r="EY98" s="933"/>
      <c r="EZ98" s="435"/>
      <c r="FA98" s="933"/>
      <c r="FB98" s="435"/>
      <c r="FC98" s="933"/>
      <c r="FD98" s="933"/>
      <c r="FE98" s="933"/>
      <c r="FF98" s="933"/>
      <c r="FG98" s="933"/>
      <c r="FW98" s="2180"/>
      <c r="FX98" s="2180"/>
      <c r="FY98" s="2180"/>
      <c r="FZ98" s="2180"/>
      <c r="GA98" s="2180"/>
      <c r="GB98" s="2180"/>
      <c r="GC98" s="2180"/>
      <c r="GD98" s="2180"/>
      <c r="GE98" s="2180"/>
      <c r="GF98" s="2180"/>
      <c r="GG98" s="2180"/>
      <c r="GH98" s="2180"/>
      <c r="GI98" s="2180"/>
      <c r="GJ98" s="2180"/>
      <c r="GM98" s="861"/>
      <c r="GN98" s="861"/>
      <c r="GO98" s="861"/>
      <c r="GP98" s="861"/>
      <c r="GQ98" s="861"/>
      <c r="GR98" s="861"/>
      <c r="GS98" s="861"/>
      <c r="GT98" s="861"/>
      <c r="GU98" s="861"/>
      <c r="GV98" s="861"/>
      <c r="GW98" s="861"/>
      <c r="GX98" s="562"/>
      <c r="GY98" s="562"/>
      <c r="GZ98" s="562"/>
      <c r="HA98" s="562"/>
      <c r="HB98" s="562"/>
      <c r="HC98" s="562"/>
      <c r="HD98" s="562"/>
      <c r="HE98" s="562"/>
      <c r="HF98" s="562"/>
      <c r="HG98" s="562"/>
      <c r="HH98" s="562"/>
      <c r="HI98" s="562"/>
      <c r="HJ98" s="1782"/>
      <c r="IH98" s="1526"/>
      <c r="II98" s="1526"/>
      <c r="IJ98" s="1526"/>
      <c r="IK98" s="1526"/>
      <c r="IL98" s="1526"/>
      <c r="IM98" s="1526"/>
      <c r="IN98" s="1526"/>
      <c r="IO98" s="1526"/>
    </row>
    <row r="99" spans="13:249">
      <c r="M99" s="1789"/>
      <c r="N99" s="1789"/>
      <c r="O99" s="1789"/>
      <c r="P99" s="1789"/>
      <c r="Q99" s="1789"/>
      <c r="R99" s="1789"/>
      <c r="S99" s="1789"/>
      <c r="T99" s="1789"/>
      <c r="U99" s="1789"/>
      <c r="W99" s="1735"/>
      <c r="X99" s="463"/>
      <c r="Y99" s="463"/>
      <c r="Z99" s="463"/>
      <c r="AA99" s="463"/>
      <c r="AB99" s="463"/>
      <c r="AC99" s="463"/>
      <c r="AD99" s="463"/>
      <c r="AE99" s="463"/>
      <c r="AF99" s="463"/>
      <c r="CD99" s="525"/>
      <c r="CS99" s="382"/>
      <c r="CT99" s="862"/>
      <c r="CU99" s="862"/>
      <c r="CV99" s="862"/>
      <c r="CW99" s="862"/>
      <c r="CX99" s="862"/>
      <c r="CY99" s="435"/>
      <c r="CZ99" s="862"/>
      <c r="DA99" s="862"/>
      <c r="DB99" s="862"/>
      <c r="DC99" s="862"/>
      <c r="DG99" s="933"/>
      <c r="DH99" s="933"/>
      <c r="DI99" s="933"/>
      <c r="DJ99" s="933"/>
      <c r="DK99" s="933"/>
      <c r="DL99" s="933"/>
      <c r="DM99" s="933"/>
      <c r="DN99" s="933"/>
      <c r="DO99" s="933"/>
      <c r="DP99" s="933"/>
      <c r="DQ99" s="933"/>
      <c r="DR99" s="933"/>
      <c r="DS99" s="933"/>
      <c r="DT99" s="933"/>
      <c r="DU99" s="933"/>
      <c r="DX99" s="382"/>
      <c r="DY99" s="1740"/>
      <c r="DZ99" s="1740"/>
      <c r="EA99" s="1740"/>
      <c r="EB99" s="1740"/>
      <c r="EC99" s="1740"/>
      <c r="ED99" s="1740"/>
      <c r="EE99" s="1740"/>
      <c r="EH99" s="382"/>
      <c r="EI99" s="876"/>
      <c r="EJ99" s="876"/>
      <c r="EK99" s="463"/>
      <c r="EL99" s="876"/>
      <c r="EM99" s="876"/>
      <c r="EN99" s="876"/>
      <c r="EO99" s="876"/>
      <c r="ER99" s="382"/>
      <c r="ES99" s="933"/>
      <c r="ET99" s="933"/>
      <c r="EU99" s="933"/>
      <c r="EV99" s="435"/>
      <c r="EW99" s="933"/>
      <c r="EX99" s="933"/>
      <c r="EY99" s="933"/>
      <c r="EZ99" s="435"/>
      <c r="FA99" s="933"/>
      <c r="FB99" s="435"/>
      <c r="FC99" s="933"/>
      <c r="FD99" s="933"/>
      <c r="FE99" s="933"/>
      <c r="FF99" s="933"/>
      <c r="FG99" s="933"/>
      <c r="FW99" s="382"/>
      <c r="FX99" s="439"/>
      <c r="FY99" s="439"/>
      <c r="FZ99" s="439"/>
      <c r="GA99" s="439"/>
      <c r="GB99" s="439"/>
      <c r="GC99" s="439"/>
      <c r="GD99" s="439"/>
      <c r="GE99" s="439"/>
      <c r="GF99" s="439"/>
      <c r="GG99" s="439"/>
      <c r="GH99" s="439"/>
      <c r="GI99" s="439"/>
      <c r="GJ99" s="439"/>
      <c r="GM99" s="549"/>
      <c r="GN99" s="549"/>
      <c r="GO99" s="549"/>
      <c r="GP99" s="549"/>
      <c r="GQ99" s="549"/>
      <c r="GR99" s="549"/>
      <c r="GS99" s="549"/>
      <c r="GT99" s="549"/>
      <c r="GU99" s="549"/>
      <c r="GV99" s="549"/>
      <c r="GW99" s="549"/>
      <c r="GX99" s="549"/>
      <c r="GY99" s="549"/>
      <c r="GZ99" s="549"/>
      <c r="HA99" s="549"/>
      <c r="HB99" s="549"/>
      <c r="HC99" s="549"/>
      <c r="HD99" s="549"/>
      <c r="HE99" s="549"/>
      <c r="HF99" s="549"/>
      <c r="HG99" s="549"/>
      <c r="HH99" s="549"/>
      <c r="HI99" s="549"/>
      <c r="HJ99" s="1782"/>
      <c r="IH99" s="1526"/>
      <c r="II99" s="1526"/>
      <c r="IJ99" s="1526"/>
      <c r="IK99" s="1526"/>
      <c r="IL99" s="1526"/>
      <c r="IM99" s="1526"/>
      <c r="IN99" s="1526"/>
      <c r="IO99" s="1526"/>
    </row>
    <row r="100" spans="13:249">
      <c r="W100" s="1735"/>
      <c r="X100" s="463"/>
      <c r="Y100" s="463"/>
      <c r="Z100" s="463"/>
      <c r="AA100" s="463"/>
      <c r="AB100" s="463"/>
      <c r="AC100" s="463"/>
      <c r="AD100" s="463"/>
      <c r="AE100" s="463"/>
      <c r="AF100" s="463"/>
      <c r="CS100" s="382"/>
      <c r="CT100" s="862"/>
      <c r="CU100" s="862"/>
      <c r="CV100" s="862"/>
      <c r="CW100" s="435"/>
      <c r="CX100" s="435"/>
      <c r="CY100" s="435"/>
      <c r="CZ100" s="435"/>
      <c r="DA100" s="862"/>
      <c r="DB100" s="862"/>
      <c r="DC100" s="862"/>
      <c r="DG100" s="933"/>
      <c r="DH100" s="933"/>
      <c r="DI100" s="933"/>
      <c r="DJ100" s="933"/>
      <c r="DK100" s="933"/>
      <c r="DL100" s="933"/>
      <c r="DM100" s="933"/>
      <c r="DN100" s="933"/>
      <c r="DO100" s="933"/>
      <c r="DP100" s="933"/>
      <c r="DQ100" s="933"/>
      <c r="DR100" s="933"/>
      <c r="DS100" s="933"/>
      <c r="DT100" s="933"/>
      <c r="DU100" s="933"/>
      <c r="DX100" s="382"/>
      <c r="DY100" s="1740"/>
      <c r="DZ100" s="1785"/>
      <c r="EA100" s="1785"/>
      <c r="EB100" s="1785"/>
      <c r="EC100" s="1785"/>
      <c r="ED100" s="1785"/>
      <c r="EE100" s="1785"/>
      <c r="EH100" s="382"/>
      <c r="EI100" s="876"/>
      <c r="EJ100" s="876"/>
      <c r="EK100" s="463"/>
      <c r="EL100" s="876"/>
      <c r="EM100" s="876"/>
      <c r="EN100" s="876"/>
      <c r="EO100" s="876"/>
      <c r="ER100" s="382"/>
      <c r="ES100" s="933"/>
      <c r="ET100" s="933"/>
      <c r="EU100" s="933"/>
      <c r="EV100" s="435"/>
      <c r="EW100" s="933"/>
      <c r="EX100" s="933"/>
      <c r="EY100" s="933"/>
      <c r="EZ100" s="435"/>
      <c r="FA100" s="933"/>
      <c r="FB100" s="435"/>
      <c r="FC100" s="933"/>
      <c r="FD100" s="933"/>
      <c r="FE100" s="933"/>
      <c r="FF100" s="933"/>
      <c r="FG100" s="933"/>
      <c r="FW100" s="382"/>
      <c r="FX100" s="1757"/>
      <c r="FY100" s="1757"/>
      <c r="FZ100" s="1757"/>
      <c r="GA100" s="1757"/>
      <c r="GB100" s="1757"/>
      <c r="GC100" s="1757"/>
      <c r="GD100" s="1757"/>
      <c r="GE100" s="1757"/>
      <c r="GF100" s="1757"/>
      <c r="GG100" s="1757"/>
      <c r="GH100" s="1757"/>
      <c r="GI100" s="1757"/>
      <c r="GJ100" s="473"/>
      <c r="GM100" s="861"/>
      <c r="GN100" s="861"/>
      <c r="GO100" s="861"/>
      <c r="GP100" s="861"/>
      <c r="GQ100" s="861"/>
      <c r="GR100" s="861"/>
      <c r="GS100" s="861"/>
      <c r="GT100" s="861"/>
      <c r="GU100" s="861"/>
      <c r="GV100" s="861"/>
      <c r="GW100" s="861"/>
      <c r="GX100" s="549"/>
      <c r="GY100" s="549"/>
      <c r="GZ100" s="549"/>
      <c r="HA100" s="549"/>
      <c r="HB100" s="549"/>
      <c r="HC100" s="549"/>
      <c r="HD100" s="549"/>
      <c r="HE100" s="549"/>
      <c r="HF100" s="549"/>
      <c r="HG100" s="549"/>
      <c r="HH100" s="549"/>
      <c r="HI100" s="549"/>
      <c r="HJ100" s="1782"/>
      <c r="IH100" s="1526"/>
      <c r="II100" s="1526"/>
      <c r="IJ100" s="1526"/>
      <c r="IK100" s="1526"/>
      <c r="IL100" s="1526"/>
      <c r="IM100" s="1526"/>
      <c r="IN100" s="1526"/>
      <c r="IO100" s="1526"/>
    </row>
    <row r="101" spans="13:249">
      <c r="W101" s="1735"/>
      <c r="X101" s="463"/>
      <c r="Y101" s="463"/>
      <c r="Z101" s="463"/>
      <c r="AA101" s="463"/>
      <c r="AB101" s="463"/>
      <c r="AC101" s="463"/>
      <c r="AD101" s="463"/>
      <c r="AE101" s="463"/>
      <c r="AF101" s="463"/>
      <c r="CS101" s="382"/>
      <c r="CT101" s="862"/>
      <c r="CU101" s="862"/>
      <c r="CV101" s="862"/>
      <c r="CW101" s="862"/>
      <c r="CX101" s="862"/>
      <c r="CY101" s="435"/>
      <c r="CZ101" s="862"/>
      <c r="DA101" s="862"/>
      <c r="DB101" s="862"/>
      <c r="DC101" s="862"/>
      <c r="DX101" s="382"/>
      <c r="DY101" s="1740"/>
      <c r="DZ101" s="1785"/>
      <c r="EA101" s="1785"/>
      <c r="EB101" s="1785"/>
      <c r="EC101" s="1785"/>
      <c r="ED101" s="1785"/>
      <c r="EE101" s="1785"/>
      <c r="EH101" s="382"/>
      <c r="EI101" s="463"/>
      <c r="EJ101" s="463"/>
      <c r="EK101" s="463"/>
      <c r="EL101" s="463"/>
      <c r="EM101" s="463"/>
      <c r="EN101" s="463"/>
      <c r="EO101" s="463"/>
      <c r="ER101" s="382"/>
      <c r="ES101" s="933"/>
      <c r="ET101" s="933"/>
      <c r="EU101" s="933"/>
      <c r="EV101" s="435"/>
      <c r="EW101" s="933"/>
      <c r="EX101" s="933"/>
      <c r="EY101" s="933"/>
      <c r="EZ101" s="435"/>
      <c r="FA101" s="933"/>
      <c r="FB101" s="435"/>
      <c r="FC101" s="933"/>
      <c r="FD101" s="933"/>
      <c r="FE101" s="933"/>
      <c r="FF101" s="933"/>
      <c r="FG101" s="933"/>
      <c r="FW101" s="382"/>
      <c r="FX101" s="1757"/>
      <c r="FY101" s="1757"/>
      <c r="FZ101" s="1757"/>
      <c r="GA101" s="1757"/>
      <c r="GB101" s="1757"/>
      <c r="GC101" s="1757"/>
      <c r="GD101" s="1757"/>
      <c r="GE101" s="1757"/>
      <c r="GF101" s="1757"/>
      <c r="GG101" s="1757"/>
      <c r="GH101" s="1757"/>
      <c r="GI101" s="1757"/>
      <c r="GJ101" s="473"/>
      <c r="GM101" s="861"/>
      <c r="GN101" s="861"/>
      <c r="GO101" s="861"/>
      <c r="GP101" s="861"/>
      <c r="GQ101" s="861"/>
      <c r="GR101" s="861"/>
      <c r="GS101" s="861"/>
      <c r="GT101" s="861"/>
      <c r="GU101" s="861"/>
      <c r="GV101" s="861"/>
      <c r="GW101" s="861"/>
      <c r="GX101" s="562"/>
      <c r="GY101" s="549"/>
      <c r="GZ101" s="549"/>
      <c r="HA101" s="549"/>
      <c r="HB101" s="549"/>
      <c r="HC101" s="549"/>
      <c r="HD101" s="549"/>
      <c r="HE101" s="549"/>
      <c r="HF101" s="549"/>
      <c r="HG101" s="549"/>
      <c r="HH101" s="549"/>
      <c r="HI101" s="549"/>
      <c r="HJ101" s="1782"/>
      <c r="IH101" s="1526"/>
      <c r="II101" s="1526"/>
      <c r="IJ101" s="1526"/>
      <c r="IK101" s="1526"/>
      <c r="IL101" s="1526"/>
      <c r="IM101" s="1526"/>
      <c r="IN101" s="1526"/>
      <c r="IO101" s="1526"/>
    </row>
    <row r="102" spans="13:249">
      <c r="W102" s="1735"/>
      <c r="X102" s="463"/>
      <c r="Y102" s="463"/>
      <c r="Z102" s="463"/>
      <c r="AA102" s="463"/>
      <c r="AB102" s="463"/>
      <c r="AC102" s="463"/>
      <c r="AD102" s="463"/>
      <c r="AE102" s="463"/>
      <c r="AF102" s="463"/>
      <c r="CS102" s="382"/>
      <c r="CT102" s="862"/>
      <c r="CU102" s="862"/>
      <c r="CV102" s="862"/>
      <c r="CW102" s="435"/>
      <c r="CX102" s="435"/>
      <c r="CY102" s="435"/>
      <c r="CZ102" s="435"/>
      <c r="DA102" s="435"/>
      <c r="DB102" s="435"/>
      <c r="DC102" s="435"/>
      <c r="DX102" s="382"/>
      <c r="DY102" s="1740"/>
      <c r="DZ102" s="1740"/>
      <c r="EA102" s="1740"/>
      <c r="EB102" s="1740"/>
      <c r="EC102" s="1740"/>
      <c r="ED102" s="1740"/>
      <c r="EE102" s="1740"/>
      <c r="EH102" s="382"/>
      <c r="EI102" s="876"/>
      <c r="EJ102" s="876"/>
      <c r="EK102" s="463"/>
      <c r="EL102" s="876"/>
      <c r="EM102" s="876"/>
      <c r="EN102" s="876"/>
      <c r="EO102" s="876"/>
      <c r="ER102" s="382"/>
      <c r="ES102" s="933"/>
      <c r="ET102" s="933"/>
      <c r="EU102" s="933"/>
      <c r="EV102" s="435"/>
      <c r="EW102" s="933"/>
      <c r="EX102" s="933"/>
      <c r="EY102" s="933"/>
      <c r="EZ102" s="435"/>
      <c r="FA102" s="933"/>
      <c r="FB102" s="435"/>
      <c r="FC102" s="933"/>
      <c r="FD102" s="933"/>
      <c r="FE102" s="933"/>
      <c r="FF102" s="933"/>
      <c r="FG102" s="933"/>
      <c r="FW102" s="382"/>
      <c r="FX102" s="1757"/>
      <c r="FY102" s="1757"/>
      <c r="FZ102" s="1757"/>
      <c r="GA102" s="1757"/>
      <c r="GB102" s="1757"/>
      <c r="GC102" s="1757"/>
      <c r="GD102" s="1757"/>
      <c r="GE102" s="1757"/>
      <c r="GF102" s="1757"/>
      <c r="GG102" s="1757"/>
      <c r="GH102" s="1757"/>
      <c r="GI102" s="1757"/>
      <c r="GJ102" s="473"/>
      <c r="GM102" s="571"/>
      <c r="GN102" s="571"/>
      <c r="GO102" s="571"/>
      <c r="GP102" s="571"/>
      <c r="GQ102" s="571"/>
      <c r="GR102" s="571"/>
      <c r="GS102" s="571"/>
      <c r="GT102" s="571"/>
      <c r="GU102" s="571"/>
      <c r="GV102" s="571"/>
      <c r="GW102" s="571"/>
      <c r="GX102" s="571"/>
      <c r="GY102" s="571"/>
      <c r="GZ102" s="571"/>
      <c r="HA102" s="571"/>
      <c r="HB102" s="571"/>
      <c r="HC102" s="571"/>
      <c r="HD102" s="571"/>
      <c r="HE102" s="571"/>
      <c r="HF102" s="571"/>
      <c r="HG102" s="571"/>
      <c r="HH102" s="571"/>
      <c r="HI102" s="571"/>
      <c r="HJ102" s="1782"/>
      <c r="IH102" s="1526"/>
      <c r="II102" s="1526"/>
      <c r="IJ102" s="1526"/>
      <c r="IK102" s="1526"/>
      <c r="IL102" s="1526"/>
      <c r="IM102" s="1526"/>
      <c r="IN102" s="1526"/>
      <c r="IO102" s="1526"/>
    </row>
    <row r="103" spans="13:249">
      <c r="W103" s="1735"/>
      <c r="X103" s="463"/>
      <c r="Y103" s="463"/>
      <c r="Z103" s="463"/>
      <c r="AA103" s="463"/>
      <c r="AB103" s="463"/>
      <c r="AC103" s="463"/>
      <c r="AD103" s="463"/>
      <c r="AE103" s="463"/>
      <c r="AF103" s="463"/>
      <c r="CS103" s="382"/>
      <c r="CT103" s="862"/>
      <c r="CU103" s="862"/>
      <c r="CV103" s="862"/>
      <c r="CW103" s="862"/>
      <c r="CX103" s="862"/>
      <c r="CY103" s="435"/>
      <c r="CZ103" s="862"/>
      <c r="DA103" s="862"/>
      <c r="DB103" s="862"/>
      <c r="DC103" s="862"/>
      <c r="DX103" s="382"/>
      <c r="DY103" s="1740"/>
      <c r="DZ103" s="1740"/>
      <c r="EA103" s="1740"/>
      <c r="EB103" s="1740"/>
      <c r="EC103" s="1740"/>
      <c r="ED103" s="1740"/>
      <c r="EE103" s="1740"/>
      <c r="EH103" s="382"/>
      <c r="EI103" s="876"/>
      <c r="EJ103" s="876"/>
      <c r="EK103" s="463"/>
      <c r="EL103" s="876"/>
      <c r="EM103" s="876"/>
      <c r="EN103" s="876"/>
      <c r="EO103" s="876"/>
      <c r="ER103" s="382"/>
      <c r="ES103" s="933"/>
      <c r="ET103" s="933"/>
      <c r="EU103" s="933"/>
      <c r="EV103" s="435"/>
      <c r="EW103" s="933"/>
      <c r="EX103" s="933"/>
      <c r="EY103" s="933"/>
      <c r="EZ103" s="435"/>
      <c r="FA103" s="933"/>
      <c r="FB103" s="435"/>
      <c r="FC103" s="933"/>
      <c r="FD103" s="933"/>
      <c r="FE103" s="933"/>
      <c r="FF103" s="933"/>
      <c r="FG103" s="933"/>
      <c r="FW103" s="382"/>
      <c r="FX103" s="1757"/>
      <c r="FY103" s="1757"/>
      <c r="FZ103" s="1757"/>
      <c r="GA103" s="1757"/>
      <c r="GB103" s="1757"/>
      <c r="GC103" s="1757"/>
      <c r="GD103" s="1757"/>
      <c r="GE103" s="1757"/>
      <c r="GF103" s="1757"/>
      <c r="GG103" s="1757"/>
      <c r="GH103" s="1757"/>
      <c r="GI103" s="1757"/>
      <c r="GJ103" s="473"/>
      <c r="GM103" s="861"/>
      <c r="GN103" s="861"/>
      <c r="GO103" s="861"/>
      <c r="GP103" s="861"/>
      <c r="GQ103" s="861"/>
      <c r="GR103" s="861"/>
      <c r="GS103" s="861"/>
      <c r="GT103" s="861"/>
      <c r="GU103" s="861"/>
      <c r="GV103" s="861"/>
      <c r="GW103" s="861"/>
      <c r="GX103" s="861"/>
      <c r="GY103" s="861"/>
      <c r="GZ103" s="861"/>
      <c r="HA103" s="861"/>
      <c r="HB103" s="861"/>
      <c r="HC103" s="861"/>
      <c r="HD103" s="861"/>
      <c r="HE103" s="861"/>
      <c r="HF103" s="861"/>
      <c r="HG103" s="861"/>
      <c r="HH103" s="861"/>
      <c r="HI103" s="861"/>
      <c r="HJ103" s="1786"/>
      <c r="IH103" s="1526"/>
      <c r="II103" s="1526"/>
      <c r="IJ103" s="1526"/>
      <c r="IK103" s="1526"/>
      <c r="IL103" s="1526"/>
      <c r="IM103" s="1526"/>
      <c r="IN103" s="1526"/>
      <c r="IO103" s="1526"/>
    </row>
    <row r="104" spans="13:249">
      <c r="W104" s="398"/>
      <c r="X104" s="463"/>
      <c r="Y104" s="515"/>
      <c r="Z104" s="463"/>
      <c r="AA104" s="515"/>
      <c r="AB104" s="515"/>
      <c r="AC104" s="525"/>
      <c r="AD104" s="515"/>
      <c r="AE104" s="515"/>
      <c r="AF104" s="463"/>
      <c r="CS104" s="382"/>
      <c r="CT104" s="862"/>
      <c r="CU104" s="862"/>
      <c r="CV104" s="862"/>
      <c r="CW104" s="862"/>
      <c r="CX104" s="862"/>
      <c r="CY104" s="435"/>
      <c r="CZ104" s="862"/>
      <c r="DA104" s="862"/>
      <c r="DB104" s="862"/>
      <c r="DC104" s="862"/>
      <c r="DX104" s="382"/>
      <c r="DY104" s="382"/>
      <c r="DZ104" s="382"/>
      <c r="EA104" s="382"/>
      <c r="EB104" s="382"/>
      <c r="EC104" s="382"/>
      <c r="ED104" s="382"/>
      <c r="EE104" s="382"/>
      <c r="EH104" s="382"/>
      <c r="EI104" s="463"/>
      <c r="EJ104" s="463"/>
      <c r="EK104" s="463"/>
      <c r="EL104" s="463"/>
      <c r="EM104" s="463"/>
      <c r="EN104" s="463"/>
      <c r="EO104" s="463"/>
      <c r="ER104" s="382"/>
      <c r="ES104" s="933"/>
      <c r="ET104" s="862"/>
      <c r="EU104" s="862"/>
      <c r="EV104" s="435"/>
      <c r="EW104" s="862"/>
      <c r="EX104" s="862"/>
      <c r="EY104" s="862"/>
      <c r="EZ104" s="435"/>
      <c r="FA104" s="862"/>
      <c r="FB104" s="435"/>
      <c r="FC104" s="862"/>
      <c r="FD104" s="525"/>
      <c r="FE104" s="862"/>
      <c r="FF104" s="862"/>
      <c r="FG104" s="463"/>
      <c r="FW104" s="382"/>
      <c r="FX104" s="1757"/>
      <c r="FY104" s="1757"/>
      <c r="FZ104" s="1757"/>
      <c r="GA104" s="1757"/>
      <c r="GB104" s="1757"/>
      <c r="GC104" s="1757"/>
      <c r="GD104" s="1757"/>
      <c r="GE104" s="1757"/>
      <c r="GF104" s="1757"/>
      <c r="GG104" s="1757"/>
      <c r="GH104" s="1757"/>
      <c r="GI104" s="1757"/>
      <c r="GJ104" s="473"/>
      <c r="GM104" s="861"/>
      <c r="GN104" s="861"/>
      <c r="GO104" s="861"/>
      <c r="GP104" s="861"/>
      <c r="GQ104" s="861"/>
      <c r="GR104" s="861"/>
      <c r="GS104" s="861"/>
      <c r="GT104" s="861"/>
      <c r="GU104" s="861"/>
      <c r="GV104" s="861"/>
      <c r="GW104" s="861"/>
      <c r="GX104" s="1631"/>
      <c r="GY104" s="1631"/>
      <c r="GZ104" s="1631"/>
      <c r="HA104" s="1631"/>
      <c r="HB104" s="1631"/>
      <c r="HC104" s="1631"/>
      <c r="HD104" s="1631"/>
      <c r="HE104" s="1631"/>
      <c r="HF104" s="1631"/>
      <c r="HG104" s="1631"/>
      <c r="HH104" s="1631"/>
      <c r="HI104" s="1631"/>
      <c r="HJ104" s="1631"/>
      <c r="IH104" s="1526"/>
      <c r="II104" s="1526"/>
      <c r="IJ104" s="1526"/>
      <c r="IK104" s="1526"/>
      <c r="IL104" s="1526"/>
      <c r="IM104" s="1526"/>
      <c r="IN104" s="1526"/>
      <c r="IO104" s="1526"/>
    </row>
    <row r="105" spans="13:249">
      <c r="W105" s="382"/>
      <c r="X105" s="382"/>
      <c r="Y105" s="382"/>
      <c r="Z105" s="1763"/>
      <c r="AA105" s="463"/>
      <c r="AB105" s="435"/>
      <c r="AC105" s="435"/>
      <c r="AD105" s="435"/>
      <c r="AE105" s="435"/>
      <c r="AF105" s="435"/>
      <c r="CS105" s="382"/>
      <c r="CT105" s="862"/>
      <c r="CU105" s="862"/>
      <c r="CV105" s="862"/>
      <c r="CW105" s="862"/>
      <c r="CX105" s="862"/>
      <c r="CY105" s="435"/>
      <c r="CZ105" s="862"/>
      <c r="DA105" s="862"/>
      <c r="DB105" s="862"/>
      <c r="DC105" s="862"/>
      <c r="EE105" s="382"/>
      <c r="EH105" s="382"/>
      <c r="EI105" s="463"/>
      <c r="EJ105" s="463"/>
      <c r="EK105" s="463"/>
      <c r="EL105" s="463"/>
      <c r="EM105" s="463"/>
      <c r="EN105" s="463"/>
      <c r="EO105" s="463"/>
      <c r="ER105" s="382"/>
      <c r="ES105" s="862"/>
      <c r="ET105" s="862"/>
      <c r="EU105" s="862"/>
      <c r="EV105" s="862"/>
      <c r="EW105" s="862"/>
      <c r="EX105" s="862"/>
      <c r="EY105" s="862"/>
      <c r="EZ105" s="862"/>
      <c r="FA105" s="862"/>
      <c r="FB105" s="862"/>
      <c r="FC105" s="439"/>
      <c r="FD105" s="862"/>
      <c r="FE105" s="862"/>
      <c r="FF105" s="525"/>
      <c r="FG105" s="862"/>
      <c r="FW105" s="382"/>
      <c r="FX105" s="1622"/>
      <c r="FY105" s="1622"/>
      <c r="FZ105" s="1622"/>
      <c r="GA105" s="1622"/>
      <c r="GB105" s="1622"/>
      <c r="GC105" s="1622"/>
      <c r="GD105" s="1622"/>
      <c r="GE105" s="1622"/>
      <c r="GF105" s="1622"/>
      <c r="GG105" s="1622"/>
      <c r="GH105" s="1622"/>
      <c r="GI105" s="1622"/>
      <c r="GJ105" s="918"/>
      <c r="GM105" s="861"/>
      <c r="GN105" s="861"/>
      <c r="GO105" s="861"/>
      <c r="GP105" s="861"/>
      <c r="GQ105" s="861"/>
      <c r="GR105" s="861"/>
      <c r="GS105" s="861"/>
      <c r="GT105" s="861"/>
      <c r="GU105" s="861"/>
      <c r="GV105" s="861"/>
      <c r="GW105" s="861"/>
      <c r="GX105" s="1631"/>
      <c r="GY105" s="1631"/>
      <c r="GZ105" s="1631"/>
      <c r="HA105" s="1631"/>
      <c r="HB105" s="1631"/>
      <c r="HC105" s="1631"/>
      <c r="HD105" s="1631"/>
      <c r="HE105" s="1631"/>
      <c r="HF105" s="1631"/>
      <c r="HG105" s="1631"/>
      <c r="HH105" s="1631"/>
      <c r="HI105" s="1631"/>
      <c r="HJ105" s="549"/>
      <c r="IH105" s="1526"/>
      <c r="II105" s="1526"/>
      <c r="IJ105" s="1526"/>
      <c r="IK105" s="1526"/>
      <c r="IL105" s="1526"/>
      <c r="IM105" s="1526"/>
      <c r="IN105" s="1526"/>
      <c r="IO105" s="1526"/>
    </row>
    <row r="106" spans="13:249">
      <c r="W106" s="386"/>
      <c r="X106" s="386"/>
      <c r="Y106" s="382"/>
      <c r="Z106" s="1763"/>
      <c r="AA106" s="463"/>
      <c r="AB106" s="435"/>
      <c r="AC106" s="435"/>
      <c r="AD106" s="435"/>
      <c r="AE106" s="435"/>
      <c r="AF106" s="435"/>
      <c r="CS106" s="382"/>
      <c r="CT106" s="862"/>
      <c r="CU106" s="862"/>
      <c r="CV106" s="862"/>
      <c r="CW106" s="862"/>
      <c r="CX106" s="862"/>
      <c r="CY106" s="435"/>
      <c r="CZ106" s="862"/>
      <c r="DA106" s="862"/>
      <c r="DB106" s="862"/>
      <c r="DC106" s="862"/>
      <c r="EE106" s="382"/>
      <c r="EH106" s="382"/>
      <c r="EI106" s="876"/>
      <c r="EJ106" s="876"/>
      <c r="EK106" s="463"/>
      <c r="EL106" s="876"/>
      <c r="EM106" s="876"/>
      <c r="EN106" s="876"/>
      <c r="EO106" s="876"/>
      <c r="EW106" s="862"/>
      <c r="EX106" s="862"/>
      <c r="EY106" s="862"/>
      <c r="EZ106" s="862"/>
      <c r="FA106" s="862"/>
      <c r="FB106" s="862"/>
      <c r="FC106" s="439"/>
      <c r="FD106" s="862"/>
      <c r="FE106" s="862"/>
      <c r="FF106" s="525"/>
      <c r="FG106" s="862"/>
      <c r="FW106" s="451"/>
      <c r="FX106" s="382"/>
      <c r="FY106" s="382"/>
      <c r="FZ106" s="382"/>
      <c r="GA106" s="382"/>
      <c r="GB106" s="382"/>
      <c r="GC106" s="382"/>
      <c r="GD106" s="382"/>
      <c r="GE106" s="382"/>
      <c r="GF106" s="382"/>
      <c r="GG106" s="382"/>
      <c r="GH106" s="382"/>
      <c r="GI106" s="382"/>
      <c r="GJ106" s="382"/>
      <c r="GM106" s="861"/>
      <c r="GN106" s="861"/>
      <c r="GO106" s="861"/>
      <c r="GP106" s="861"/>
      <c r="GQ106" s="861"/>
      <c r="GR106" s="861"/>
      <c r="GS106" s="861"/>
      <c r="GT106" s="861"/>
      <c r="GU106" s="861"/>
      <c r="GV106" s="861"/>
      <c r="GW106" s="861"/>
      <c r="GX106" s="1631"/>
      <c r="GY106" s="1631"/>
      <c r="GZ106" s="1631"/>
      <c r="HA106" s="1631"/>
      <c r="HB106" s="1631"/>
      <c r="HC106" s="1631"/>
      <c r="HD106" s="1631"/>
      <c r="HE106" s="1631"/>
      <c r="HF106" s="1631"/>
      <c r="HG106" s="1631"/>
      <c r="HH106" s="1631"/>
      <c r="HI106" s="1631"/>
      <c r="HJ106" s="549"/>
      <c r="IH106" s="1526"/>
      <c r="II106" s="1526"/>
      <c r="IJ106" s="1526"/>
      <c r="IK106" s="1526"/>
      <c r="IL106" s="1526"/>
      <c r="IM106" s="1526"/>
      <c r="IN106" s="1526"/>
      <c r="IO106" s="1526"/>
    </row>
    <row r="107" spans="13:249">
      <c r="W107" s="382"/>
      <c r="X107" s="382"/>
      <c r="Y107" s="386"/>
      <c r="Z107" s="382"/>
      <c r="AA107" s="382"/>
      <c r="AB107" s="382"/>
      <c r="AC107" s="382"/>
      <c r="AD107" s="382"/>
      <c r="AE107" s="463"/>
      <c r="AF107" s="463"/>
      <c r="CS107" s="382"/>
      <c r="CT107" s="862"/>
      <c r="CU107" s="862"/>
      <c r="CV107" s="862"/>
      <c r="CW107" s="862"/>
      <c r="CX107" s="862"/>
      <c r="CY107" s="435"/>
      <c r="CZ107" s="862"/>
      <c r="DA107" s="862"/>
      <c r="DB107" s="862"/>
      <c r="DC107" s="862"/>
      <c r="DX107" s="382"/>
      <c r="DY107" s="382"/>
      <c r="DZ107" s="382"/>
      <c r="EA107" s="382"/>
      <c r="EB107" s="382"/>
      <c r="EC107" s="382"/>
      <c r="ED107" s="382"/>
      <c r="EE107" s="382"/>
      <c r="EH107" s="382"/>
      <c r="EI107" s="876"/>
      <c r="EJ107" s="876"/>
      <c r="EK107" s="463"/>
      <c r="EL107" s="876"/>
      <c r="EM107" s="876"/>
      <c r="EN107" s="876"/>
      <c r="EO107" s="876"/>
      <c r="EQ107" s="862"/>
      <c r="EW107" s="862"/>
      <c r="EX107" s="862"/>
      <c r="EY107" s="862"/>
      <c r="EZ107" s="862"/>
      <c r="FA107" s="862"/>
      <c r="FB107" s="862"/>
      <c r="FC107" s="439"/>
      <c r="FD107" s="862"/>
      <c r="FE107" s="862"/>
      <c r="FF107" s="525"/>
      <c r="FG107" s="862"/>
      <c r="FW107" s="451"/>
      <c r="FX107" s="382"/>
      <c r="FY107" s="382"/>
      <c r="FZ107" s="382"/>
      <c r="GA107" s="382"/>
      <c r="GB107" s="382"/>
      <c r="GC107" s="382"/>
      <c r="GD107" s="382"/>
      <c r="GE107" s="382"/>
      <c r="GF107" s="382"/>
      <c r="GG107" s="382"/>
      <c r="GH107" s="382"/>
      <c r="GI107" s="382"/>
      <c r="GJ107" s="382"/>
      <c r="GM107" s="861"/>
      <c r="GN107" s="861"/>
      <c r="GO107" s="861"/>
      <c r="GP107" s="861"/>
      <c r="GQ107" s="861"/>
      <c r="GR107" s="861"/>
      <c r="GS107" s="861"/>
      <c r="GT107" s="861"/>
      <c r="GU107" s="861"/>
      <c r="GV107" s="861"/>
      <c r="GW107" s="861"/>
      <c r="GX107" s="1631"/>
      <c r="GY107" s="1631"/>
      <c r="GZ107" s="1631"/>
      <c r="HA107" s="1631"/>
      <c r="HB107" s="1631"/>
      <c r="HC107" s="1631"/>
      <c r="HD107" s="1631"/>
      <c r="HE107" s="1631"/>
      <c r="HF107" s="1631"/>
      <c r="HG107" s="1631"/>
      <c r="HH107" s="1631"/>
      <c r="HI107" s="1631"/>
      <c r="IH107" s="1526"/>
      <c r="II107" s="1526"/>
      <c r="IJ107" s="1526"/>
      <c r="IK107" s="1526"/>
      <c r="IL107" s="1526"/>
      <c r="IM107" s="1526"/>
      <c r="IN107" s="1526"/>
      <c r="IO107" s="1526"/>
    </row>
    <row r="108" spans="13:249">
      <c r="CS108" s="382"/>
      <c r="CT108" s="862"/>
      <c r="CU108" s="862"/>
      <c r="CV108" s="862"/>
      <c r="CW108" s="862"/>
      <c r="CX108" s="862"/>
      <c r="CY108" s="435"/>
      <c r="CZ108" s="862"/>
      <c r="DA108" s="862"/>
      <c r="DB108" s="862"/>
      <c r="DC108" s="862"/>
      <c r="DY108" s="382"/>
      <c r="DZ108" s="382"/>
      <c r="EA108" s="382"/>
      <c r="EB108" s="382"/>
      <c r="EC108" s="382"/>
      <c r="ED108" s="382"/>
      <c r="EE108" s="382"/>
      <c r="EH108" s="382"/>
      <c r="EI108" s="382"/>
      <c r="EJ108" s="382"/>
      <c r="EK108" s="382"/>
      <c r="EL108" s="382"/>
      <c r="EM108" s="382"/>
      <c r="EN108" s="382"/>
      <c r="EO108" s="382"/>
      <c r="EQ108" s="862"/>
      <c r="ER108" s="382"/>
      <c r="ES108" s="862"/>
      <c r="ET108" s="862"/>
      <c r="EU108" s="862"/>
      <c r="EV108" s="862"/>
      <c r="EW108" s="862"/>
      <c r="EX108" s="862"/>
      <c r="EY108" s="862"/>
      <c r="EZ108" s="862"/>
      <c r="FA108" s="862"/>
      <c r="FB108" s="862"/>
      <c r="FC108" s="439"/>
      <c r="FD108" s="862"/>
      <c r="FE108" s="862"/>
      <c r="FF108" s="525"/>
      <c r="FG108" s="862"/>
      <c r="FW108" s="451"/>
      <c r="FX108" s="382"/>
      <c r="FY108" s="382"/>
      <c r="FZ108" s="382"/>
      <c r="GA108" s="382"/>
      <c r="GB108" s="382"/>
      <c r="GC108" s="382"/>
      <c r="GD108" s="382"/>
      <c r="GE108" s="382"/>
      <c r="GF108" s="382"/>
      <c r="GG108" s="382"/>
      <c r="GH108" s="382"/>
      <c r="GI108" s="382"/>
      <c r="GJ108" s="382"/>
      <c r="GM108" s="861"/>
      <c r="GN108" s="861"/>
      <c r="GO108" s="861"/>
      <c r="GP108" s="861"/>
      <c r="GQ108" s="861"/>
      <c r="GR108" s="861"/>
      <c r="GS108" s="861"/>
      <c r="GT108" s="861"/>
      <c r="GU108" s="861"/>
      <c r="GV108" s="861"/>
      <c r="GW108" s="861"/>
      <c r="GX108" s="1631"/>
      <c r="GY108" s="1631"/>
      <c r="GZ108" s="1631"/>
      <c r="HA108" s="1631"/>
      <c r="HB108" s="1631"/>
      <c r="HC108" s="1631"/>
      <c r="HD108" s="1631"/>
      <c r="HE108" s="1631"/>
      <c r="HF108" s="1631"/>
      <c r="HG108" s="1631"/>
      <c r="HH108" s="1631"/>
      <c r="HI108" s="1631"/>
      <c r="IH108" s="1526"/>
      <c r="II108" s="1526"/>
      <c r="IJ108" s="1526"/>
      <c r="IK108" s="1526"/>
      <c r="IL108" s="1526"/>
      <c r="IM108" s="1526"/>
      <c r="IN108" s="1526"/>
      <c r="IO108" s="1526"/>
    </row>
    <row r="109" spans="13:249">
      <c r="CS109" s="382"/>
      <c r="CT109" s="862"/>
      <c r="CU109" s="862"/>
      <c r="CV109" s="862"/>
      <c r="CW109" s="435"/>
      <c r="CX109" s="435"/>
      <c r="CY109" s="435"/>
      <c r="CZ109" s="435"/>
      <c r="DA109" s="435"/>
      <c r="DB109" s="435"/>
      <c r="DC109" s="435"/>
      <c r="DF109" s="382"/>
      <c r="DX109" s="382"/>
      <c r="DY109" s="382"/>
      <c r="DZ109" s="382"/>
      <c r="EA109" s="382"/>
      <c r="EB109" s="382"/>
      <c r="EC109" s="382"/>
      <c r="ED109" s="382"/>
      <c r="EE109" s="382"/>
      <c r="EM109" s="382"/>
      <c r="EN109" s="382"/>
      <c r="EO109" s="382"/>
      <c r="EQ109" s="435"/>
      <c r="ES109" s="862"/>
      <c r="ET109" s="862"/>
      <c r="EU109" s="862"/>
      <c r="EV109" s="862"/>
      <c r="EW109" s="862"/>
      <c r="EX109" s="862"/>
      <c r="EY109" s="862"/>
      <c r="EZ109" s="862"/>
      <c r="FA109" s="862"/>
      <c r="FB109" s="862"/>
      <c r="FC109" s="439"/>
      <c r="FD109" s="862"/>
      <c r="FE109" s="862"/>
      <c r="FF109" s="525"/>
      <c r="FG109" s="862"/>
      <c r="FW109" s="637"/>
      <c r="GM109" s="861"/>
      <c r="GN109" s="861"/>
      <c r="GO109" s="861"/>
      <c r="GP109" s="861"/>
      <c r="GQ109" s="861"/>
      <c r="GR109" s="861"/>
      <c r="GS109" s="861"/>
      <c r="GT109" s="861"/>
      <c r="GU109" s="861"/>
      <c r="GV109" s="861"/>
      <c r="GW109" s="861"/>
      <c r="GX109" s="562"/>
      <c r="GY109" s="562"/>
      <c r="GZ109" s="562"/>
      <c r="HA109" s="562"/>
      <c r="HB109" s="562"/>
      <c r="HC109" s="562"/>
      <c r="HD109" s="562"/>
      <c r="HE109" s="562"/>
      <c r="HF109" s="562"/>
      <c r="HG109" s="562"/>
      <c r="HH109" s="562"/>
      <c r="HI109" s="562"/>
      <c r="IH109" s="1526"/>
      <c r="II109" s="1526"/>
      <c r="IJ109" s="1526"/>
      <c r="IK109" s="1526"/>
      <c r="IL109" s="1526"/>
      <c r="IM109" s="1526"/>
      <c r="IN109" s="1526"/>
      <c r="IO109" s="1526"/>
    </row>
    <row r="110" spans="13:249">
      <c r="CS110" s="382"/>
      <c r="CT110" s="862"/>
      <c r="CU110" s="862"/>
      <c r="CV110" s="862"/>
      <c r="CW110" s="862"/>
      <c r="CX110" s="862"/>
      <c r="CY110" s="435"/>
      <c r="CZ110" s="862"/>
      <c r="DA110" s="862"/>
      <c r="DB110" s="862"/>
      <c r="DC110" s="862"/>
      <c r="DG110" s="599"/>
      <c r="DH110" s="599"/>
      <c r="DI110" s="599"/>
      <c r="DJ110" s="599"/>
      <c r="DK110" s="599"/>
      <c r="DL110" s="599"/>
      <c r="DM110" s="599"/>
      <c r="DN110" s="599"/>
      <c r="DO110" s="599"/>
      <c r="DP110" s="599"/>
      <c r="DQ110" s="599"/>
      <c r="DR110" s="599"/>
      <c r="DS110" s="599"/>
      <c r="DT110" s="599"/>
      <c r="DU110" s="599"/>
      <c r="EM110" s="382"/>
      <c r="EN110" s="382"/>
      <c r="EO110" s="382"/>
      <c r="EQ110" s="435"/>
      <c r="FW110" s="382"/>
      <c r="GM110" s="637"/>
      <c r="GN110" s="637"/>
      <c r="GO110" s="637"/>
      <c r="GP110" s="637"/>
      <c r="GQ110" s="637"/>
      <c r="GR110" s="637"/>
      <c r="GS110" s="637"/>
      <c r="GT110" s="637"/>
      <c r="GU110" s="637"/>
      <c r="GV110" s="637"/>
      <c r="GW110" s="637"/>
      <c r="IH110" s="1526"/>
      <c r="II110" s="1526"/>
      <c r="IJ110" s="1526"/>
      <c r="IK110" s="1526"/>
      <c r="IL110" s="1526"/>
      <c r="IM110" s="1526"/>
      <c r="IN110" s="1526"/>
      <c r="IO110" s="1526"/>
    </row>
    <row r="111" spans="13:249">
      <c r="W111" s="382"/>
      <c r="X111" s="382"/>
      <c r="Y111" s="382"/>
      <c r="Z111" s="382"/>
      <c r="AA111" s="382"/>
      <c r="AB111" s="382"/>
      <c r="AC111" s="382"/>
      <c r="AD111" s="382"/>
      <c r="AE111" s="382"/>
      <c r="AF111" s="382"/>
      <c r="CS111" s="382"/>
      <c r="CT111" s="862"/>
      <c r="CU111" s="862"/>
      <c r="CV111" s="862"/>
      <c r="CW111" s="862"/>
      <c r="CX111" s="862"/>
      <c r="CY111" s="435"/>
      <c r="CZ111" s="862"/>
      <c r="DA111" s="862"/>
      <c r="DB111" s="862"/>
      <c r="DC111" s="862"/>
      <c r="DG111" s="599"/>
      <c r="DH111" s="599"/>
      <c r="DI111" s="599"/>
      <c r="DJ111" s="599"/>
      <c r="DK111" s="599"/>
      <c r="DL111" s="599"/>
      <c r="DM111" s="599"/>
      <c r="DN111" s="599"/>
      <c r="DO111" s="599"/>
      <c r="DP111" s="599"/>
      <c r="DQ111" s="599"/>
      <c r="DR111" s="599"/>
      <c r="DS111" s="599"/>
      <c r="DT111" s="599"/>
      <c r="DU111" s="599"/>
      <c r="EG111" s="463"/>
      <c r="EH111" s="382"/>
      <c r="EI111" s="382"/>
      <c r="EJ111" s="382"/>
      <c r="EK111" s="382"/>
      <c r="EL111" s="382"/>
      <c r="EM111" s="382"/>
      <c r="EN111" s="382"/>
      <c r="EO111" s="382"/>
      <c r="EQ111" s="435"/>
      <c r="FW111" s="637"/>
      <c r="IH111" s="1526"/>
      <c r="II111" s="1526"/>
      <c r="IJ111" s="1526"/>
      <c r="IK111" s="1526"/>
      <c r="IL111" s="1526"/>
      <c r="IM111" s="1526"/>
      <c r="IN111" s="1526"/>
      <c r="IO111" s="1526"/>
    </row>
    <row r="112" spans="13:249">
      <c r="W112" s="576"/>
      <c r="X112" s="576"/>
      <c r="Y112" s="576"/>
      <c r="Z112" s="385"/>
      <c r="AA112" s="1784"/>
      <c r="AB112" s="382"/>
      <c r="AC112" s="1784"/>
      <c r="AD112" s="1784"/>
      <c r="AE112" s="1784"/>
      <c r="CS112" s="382"/>
      <c r="CT112" s="862"/>
      <c r="CU112" s="862"/>
      <c r="CV112" s="862"/>
      <c r="CW112" s="435"/>
      <c r="CX112" s="435"/>
      <c r="CY112" s="435"/>
      <c r="CZ112" s="435"/>
      <c r="DA112" s="435"/>
      <c r="DB112" s="435"/>
      <c r="DC112" s="435"/>
      <c r="DG112" s="933"/>
      <c r="DH112" s="933"/>
      <c r="DI112" s="933"/>
      <c r="DJ112" s="933"/>
      <c r="DK112" s="933"/>
      <c r="DL112" s="933"/>
      <c r="DM112" s="933"/>
      <c r="DN112" s="933"/>
      <c r="DO112" s="933"/>
      <c r="DP112" s="933"/>
      <c r="DQ112" s="933"/>
      <c r="DR112" s="933"/>
      <c r="DS112" s="933"/>
      <c r="DT112" s="933"/>
      <c r="DU112" s="933"/>
      <c r="EG112" s="463"/>
      <c r="EQ112" s="862"/>
      <c r="FW112" s="2180"/>
      <c r="FX112" s="2180"/>
      <c r="FY112" s="2180"/>
      <c r="FZ112" s="2180"/>
      <c r="GA112" s="2180"/>
      <c r="GB112" s="2180"/>
      <c r="GC112" s="2180"/>
      <c r="GD112" s="2180"/>
      <c r="GE112" s="2180"/>
      <c r="GF112" s="2180"/>
      <c r="GG112" s="2180"/>
      <c r="GH112" s="2180"/>
      <c r="GI112" s="2180"/>
      <c r="GM112" s="2348"/>
      <c r="GN112" s="2348"/>
      <c r="GO112" s="2348"/>
      <c r="GP112" s="2348"/>
      <c r="GQ112" s="2348"/>
      <c r="GR112" s="2348"/>
      <c r="GS112" s="2348"/>
      <c r="GT112" s="2348"/>
      <c r="GU112" s="2348"/>
      <c r="GV112" s="2348"/>
      <c r="GW112" s="2348"/>
      <c r="GX112" s="2348"/>
      <c r="GY112" s="2348"/>
      <c r="GZ112" s="2348"/>
      <c r="HA112" s="2348"/>
      <c r="HB112" s="2348"/>
      <c r="HC112" s="2348"/>
      <c r="HD112" s="2348"/>
      <c r="HE112" s="2348"/>
      <c r="HF112" s="2348"/>
      <c r="HG112" s="2348"/>
      <c r="HH112" s="2348"/>
      <c r="HI112" s="2348"/>
      <c r="IH112" s="1526"/>
      <c r="II112" s="1526"/>
      <c r="IJ112" s="1526"/>
      <c r="IK112" s="1526"/>
      <c r="IL112" s="1526"/>
      <c r="IM112" s="1526"/>
      <c r="IN112" s="1526"/>
      <c r="IO112" s="1526"/>
    </row>
    <row r="113" spans="23:249">
      <c r="W113" s="398"/>
      <c r="X113" s="385"/>
      <c r="Y113" s="1784"/>
      <c r="Z113" s="1784"/>
      <c r="AA113" s="385"/>
      <c r="AB113" s="439"/>
      <c r="AC113" s="1784"/>
      <c r="AD113" s="1784"/>
      <c r="AE113" s="385"/>
      <c r="AF113" s="599"/>
      <c r="CS113" s="382"/>
      <c r="CT113" s="862"/>
      <c r="CU113" s="862"/>
      <c r="CV113" s="862"/>
      <c r="CW113" s="435"/>
      <c r="CX113" s="435"/>
      <c r="CY113" s="435"/>
      <c r="CZ113" s="435"/>
      <c r="DA113" s="435"/>
      <c r="DB113" s="435"/>
      <c r="DC113" s="435"/>
      <c r="DG113" s="933"/>
      <c r="DH113" s="933"/>
      <c r="DI113" s="933"/>
      <c r="DJ113" s="933"/>
      <c r="DK113" s="933"/>
      <c r="DL113" s="933"/>
      <c r="DM113" s="933"/>
      <c r="DN113" s="933"/>
      <c r="DO113" s="933"/>
      <c r="DP113" s="933"/>
      <c r="DQ113" s="933"/>
      <c r="DR113" s="933"/>
      <c r="DS113" s="933"/>
      <c r="DT113" s="933"/>
      <c r="DU113" s="933"/>
      <c r="DX113" s="382"/>
      <c r="DY113" s="398"/>
      <c r="DZ113" s="398"/>
      <c r="EA113" s="398"/>
      <c r="EB113" s="398"/>
      <c r="EC113" s="398"/>
      <c r="ED113" s="398"/>
      <c r="EE113" s="398"/>
      <c r="EG113" s="382"/>
      <c r="EH113" s="382"/>
      <c r="EQ113" s="862"/>
      <c r="ER113" s="382"/>
      <c r="ES113" s="870"/>
      <c r="ET113" s="870"/>
      <c r="EU113" s="870"/>
      <c r="EV113" s="870"/>
      <c r="EW113" s="870"/>
      <c r="EX113" s="870"/>
      <c r="EY113" s="870"/>
      <c r="EZ113" s="870"/>
      <c r="FA113" s="870"/>
      <c r="FB113" s="870"/>
      <c r="FC113" s="870"/>
      <c r="FD113" s="870"/>
      <c r="FE113" s="870"/>
      <c r="FW113" s="439"/>
      <c r="FX113" s="439"/>
      <c r="FY113" s="439"/>
      <c r="FZ113" s="439"/>
      <c r="GA113" s="439"/>
      <c r="GB113" s="439"/>
      <c r="GC113" s="439"/>
      <c r="GD113" s="439"/>
      <c r="GE113" s="439"/>
      <c r="GF113" s="439"/>
      <c r="GG113" s="439"/>
      <c r="GH113" s="439"/>
      <c r="GI113" s="439"/>
      <c r="GM113" s="861"/>
      <c r="GN113" s="861"/>
      <c r="GO113" s="861"/>
      <c r="GP113" s="861"/>
      <c r="GQ113" s="861"/>
      <c r="GR113" s="861"/>
      <c r="GS113" s="861"/>
      <c r="GT113" s="861"/>
      <c r="GU113" s="861"/>
      <c r="GV113" s="861"/>
      <c r="GW113" s="861"/>
      <c r="GX113" s="861"/>
      <c r="GY113" s="861"/>
      <c r="GZ113" s="861"/>
      <c r="HA113" s="861"/>
      <c r="HB113" s="861"/>
      <c r="HC113" s="861"/>
      <c r="HD113" s="861"/>
      <c r="HE113" s="861"/>
      <c r="HF113" s="861"/>
      <c r="HG113" s="861"/>
      <c r="HH113" s="861"/>
      <c r="HI113" s="861"/>
      <c r="IH113" s="1526"/>
      <c r="II113" s="1526"/>
      <c r="IJ113" s="1526"/>
      <c r="IK113" s="1526"/>
      <c r="IL113" s="1526"/>
      <c r="IM113" s="1526"/>
      <c r="IN113" s="1526"/>
      <c r="IO113" s="1526"/>
    </row>
    <row r="114" spans="23:249">
      <c r="W114" s="1735"/>
      <c r="X114" s="463"/>
      <c r="Y114" s="463"/>
      <c r="Z114" s="463"/>
      <c r="AA114" s="463"/>
      <c r="AB114" s="463"/>
      <c r="AC114" s="463"/>
      <c r="AD114" s="463"/>
      <c r="AE114" s="463"/>
      <c r="AF114" s="463"/>
      <c r="CS114" s="382"/>
      <c r="CT114" s="862"/>
      <c r="CU114" s="862"/>
      <c r="CV114" s="862"/>
      <c r="CW114" s="862"/>
      <c r="CX114" s="862"/>
      <c r="CY114" s="435"/>
      <c r="CZ114" s="862"/>
      <c r="DA114" s="862"/>
      <c r="DB114" s="862"/>
      <c r="DC114" s="862"/>
      <c r="DG114" s="933"/>
      <c r="DH114" s="933"/>
      <c r="DI114" s="933"/>
      <c r="DJ114" s="933"/>
      <c r="DK114" s="933"/>
      <c r="DL114" s="933"/>
      <c r="DM114" s="933"/>
      <c r="DN114" s="933"/>
      <c r="DO114" s="933"/>
      <c r="DP114" s="933"/>
      <c r="DQ114" s="933"/>
      <c r="DR114" s="933"/>
      <c r="DS114" s="933"/>
      <c r="DT114" s="933"/>
      <c r="DU114" s="933"/>
      <c r="DX114" s="382"/>
      <c r="DY114" s="382"/>
      <c r="DZ114" s="2073"/>
      <c r="EA114" s="2073"/>
      <c r="EB114" s="2073"/>
      <c r="EC114" s="2073"/>
      <c r="ED114" s="2073"/>
      <c r="EE114" s="2073"/>
      <c r="EG114" s="463"/>
      <c r="EQ114" s="862"/>
      <c r="ER114" s="870"/>
      <c r="ES114" s="870"/>
      <c r="ET114" s="2073"/>
      <c r="EU114" s="2073"/>
      <c r="EV114" s="2073"/>
      <c r="EW114" s="2073"/>
      <c r="EX114" s="2073"/>
      <c r="EY114" s="2073"/>
      <c r="EZ114" s="2073"/>
      <c r="FA114" s="2073"/>
      <c r="FB114" s="2073"/>
      <c r="FC114" s="2073"/>
      <c r="FD114" s="2073"/>
      <c r="FE114" s="2073"/>
      <c r="FF114" s="2073"/>
      <c r="FG114" s="2073"/>
      <c r="FW114" s="439"/>
      <c r="FX114" s="463"/>
      <c r="FY114" s="463"/>
      <c r="FZ114" s="463"/>
      <c r="GA114" s="463"/>
      <c r="GB114" s="463"/>
      <c r="GC114" s="463"/>
      <c r="GD114" s="463"/>
      <c r="GE114" s="463"/>
      <c r="GF114" s="463"/>
      <c r="GG114" s="463"/>
      <c r="GH114" s="463"/>
      <c r="GI114" s="463"/>
      <c r="GM114" s="861"/>
      <c r="GN114" s="861"/>
      <c r="GO114" s="861"/>
      <c r="GP114" s="861"/>
      <c r="GQ114" s="861"/>
      <c r="GR114" s="861"/>
      <c r="GS114" s="861"/>
      <c r="GT114" s="861"/>
      <c r="GU114" s="861"/>
      <c r="GV114" s="861"/>
      <c r="GW114" s="861"/>
      <c r="GX114" s="562"/>
      <c r="GY114" s="562"/>
      <c r="GZ114" s="562"/>
      <c r="HA114" s="562"/>
      <c r="HB114" s="562"/>
      <c r="HC114" s="562"/>
      <c r="HD114" s="562"/>
      <c r="HE114" s="562"/>
      <c r="HF114" s="562"/>
      <c r="HG114" s="562"/>
      <c r="HH114" s="562"/>
      <c r="HI114" s="562"/>
      <c r="IH114" s="1526"/>
      <c r="II114" s="1526"/>
      <c r="IJ114" s="1526"/>
      <c r="IK114" s="1526"/>
      <c r="IL114" s="1526"/>
      <c r="IM114" s="1526"/>
      <c r="IN114" s="1526"/>
      <c r="IO114" s="1526"/>
    </row>
    <row r="115" spans="23:249">
      <c r="W115" s="1735"/>
      <c r="X115" s="463"/>
      <c r="Y115" s="463"/>
      <c r="Z115" s="463"/>
      <c r="AA115" s="463"/>
      <c r="AB115" s="463"/>
      <c r="AC115" s="463"/>
      <c r="AD115" s="463"/>
      <c r="AE115" s="463"/>
      <c r="AF115" s="463"/>
      <c r="CS115" s="382"/>
      <c r="CT115" s="862"/>
      <c r="CU115" s="862"/>
      <c r="CV115" s="862"/>
      <c r="CW115" s="862"/>
      <c r="CX115" s="862"/>
      <c r="CY115" s="435"/>
      <c r="CZ115" s="862"/>
      <c r="DA115" s="862"/>
      <c r="DB115" s="862"/>
      <c r="DC115" s="862"/>
      <c r="DG115" s="933"/>
      <c r="DH115" s="933"/>
      <c r="DI115" s="933"/>
      <c r="DJ115" s="933"/>
      <c r="DK115" s="933"/>
      <c r="DL115" s="933"/>
      <c r="DM115" s="933"/>
      <c r="DN115" s="933"/>
      <c r="DO115" s="933"/>
      <c r="DP115" s="933"/>
      <c r="DQ115" s="933"/>
      <c r="DR115" s="933"/>
      <c r="DS115" s="933"/>
      <c r="DT115" s="933"/>
      <c r="DU115" s="933"/>
      <c r="DX115" s="382"/>
      <c r="DY115" s="439"/>
      <c r="DZ115" s="439"/>
      <c r="EA115" s="439"/>
      <c r="EB115" s="439"/>
      <c r="EC115" s="439"/>
      <c r="ED115" s="439"/>
      <c r="EE115" s="439"/>
      <c r="EG115" s="382"/>
      <c r="EQ115" s="862"/>
      <c r="ER115" s="382"/>
      <c r="ES115" s="439"/>
      <c r="ET115" s="439"/>
      <c r="EU115" s="439"/>
      <c r="EV115" s="439"/>
      <c r="EW115" s="439"/>
      <c r="EX115" s="439"/>
      <c r="EY115" s="439"/>
      <c r="EZ115" s="439"/>
      <c r="FA115" s="439"/>
      <c r="FB115" s="439"/>
      <c r="FC115" s="439"/>
      <c r="FD115" s="439"/>
      <c r="FE115" s="439"/>
      <c r="FF115" s="439"/>
      <c r="FW115" s="439"/>
      <c r="FX115" s="463"/>
      <c r="FY115" s="463"/>
      <c r="FZ115" s="463"/>
      <c r="GA115" s="463"/>
      <c r="GB115" s="463"/>
      <c r="GC115" s="463"/>
      <c r="GD115" s="463"/>
      <c r="GE115" s="463"/>
      <c r="GF115" s="463"/>
      <c r="GG115" s="463"/>
      <c r="GH115" s="463"/>
      <c r="GI115" s="463"/>
      <c r="GM115" s="861"/>
      <c r="GN115" s="861"/>
      <c r="GO115" s="861"/>
      <c r="GP115" s="861"/>
      <c r="GQ115" s="861"/>
      <c r="GR115" s="861"/>
      <c r="GS115" s="861"/>
      <c r="GT115" s="861"/>
      <c r="GU115" s="861"/>
      <c r="GV115" s="861"/>
      <c r="GW115" s="861"/>
      <c r="GX115" s="562"/>
      <c r="GY115" s="562"/>
      <c r="GZ115" s="562"/>
      <c r="HA115" s="562"/>
      <c r="HB115" s="562"/>
      <c r="HC115" s="562"/>
      <c r="HD115" s="562"/>
      <c r="HE115" s="562"/>
      <c r="HF115" s="562"/>
      <c r="HG115" s="562"/>
      <c r="HH115" s="562"/>
      <c r="HI115" s="562"/>
      <c r="IH115" s="549"/>
      <c r="II115" s="549"/>
      <c r="IJ115" s="549"/>
      <c r="IK115" s="549"/>
      <c r="IL115" s="549"/>
      <c r="IM115" s="549"/>
      <c r="IN115" s="1526"/>
      <c r="IO115" s="1526"/>
    </row>
    <row r="116" spans="23:249">
      <c r="W116" s="1735"/>
      <c r="X116" s="463"/>
      <c r="Y116" s="463"/>
      <c r="Z116" s="463"/>
      <c r="AA116" s="463"/>
      <c r="AB116" s="463"/>
      <c r="AC116" s="463"/>
      <c r="AD116" s="463"/>
      <c r="AE116" s="463"/>
      <c r="AF116" s="463"/>
      <c r="CS116" s="382"/>
      <c r="CT116" s="862"/>
      <c r="CU116" s="862"/>
      <c r="CV116" s="862"/>
      <c r="CW116" s="862"/>
      <c r="CX116" s="862"/>
      <c r="CY116" s="862"/>
      <c r="CZ116" s="862"/>
      <c r="DA116" s="862"/>
      <c r="DB116" s="862"/>
      <c r="DC116" s="862"/>
      <c r="DG116" s="933"/>
      <c r="DH116" s="933"/>
      <c r="DI116" s="933"/>
      <c r="DJ116" s="933"/>
      <c r="DK116" s="933"/>
      <c r="DL116" s="933"/>
      <c r="DM116" s="933"/>
      <c r="DN116" s="933"/>
      <c r="DO116" s="933"/>
      <c r="DP116" s="933"/>
      <c r="DQ116" s="933"/>
      <c r="DR116" s="933"/>
      <c r="DS116" s="933"/>
      <c r="DT116" s="933"/>
      <c r="DU116" s="933"/>
      <c r="DX116" s="382"/>
      <c r="DY116" s="853"/>
      <c r="DZ116" s="853"/>
      <c r="EA116" s="853"/>
      <c r="EB116" s="853"/>
      <c r="EC116" s="853"/>
      <c r="ED116" s="853"/>
      <c r="EE116" s="853"/>
      <c r="EG116" s="382"/>
      <c r="EQ116" s="862"/>
      <c r="ER116" s="382"/>
      <c r="ES116" s="439"/>
      <c r="ET116" s="439"/>
      <c r="EU116" s="439"/>
      <c r="EV116" s="439"/>
      <c r="EW116" s="439"/>
      <c r="EX116" s="439"/>
      <c r="EY116" s="439"/>
      <c r="EZ116" s="439"/>
      <c r="FA116" s="439"/>
      <c r="FB116" s="439"/>
      <c r="FC116" s="439"/>
      <c r="FD116" s="439"/>
      <c r="FE116" s="439"/>
      <c r="FF116" s="439"/>
      <c r="FG116" s="439"/>
      <c r="FW116" s="439"/>
      <c r="FX116" s="463"/>
      <c r="FY116" s="463"/>
      <c r="FZ116" s="463"/>
      <c r="GA116" s="463"/>
      <c r="GB116" s="463"/>
      <c r="GC116" s="463"/>
      <c r="GD116" s="463"/>
      <c r="GE116" s="463"/>
      <c r="GF116" s="463"/>
      <c r="GG116" s="463"/>
      <c r="GH116" s="463"/>
      <c r="GI116" s="463"/>
      <c r="GM116" s="861"/>
      <c r="GN116" s="861"/>
      <c r="GO116" s="861"/>
      <c r="GP116" s="861"/>
      <c r="GQ116" s="861"/>
      <c r="GR116" s="861"/>
      <c r="GS116" s="861"/>
      <c r="GT116" s="861"/>
      <c r="GU116" s="861"/>
      <c r="GV116" s="861"/>
      <c r="GW116" s="861"/>
      <c r="GX116" s="562"/>
      <c r="GY116" s="562"/>
      <c r="GZ116" s="562"/>
      <c r="HA116" s="562"/>
      <c r="HB116" s="562"/>
      <c r="HC116" s="562"/>
      <c r="HD116" s="562"/>
      <c r="HE116" s="562"/>
      <c r="HF116" s="562"/>
      <c r="HG116" s="562"/>
      <c r="HH116" s="562"/>
      <c r="HI116" s="562"/>
      <c r="IH116" s="549"/>
      <c r="II116" s="549"/>
      <c r="IJ116" s="549"/>
      <c r="IK116" s="549"/>
      <c r="IL116" s="549"/>
      <c r="IM116" s="549"/>
      <c r="IN116" s="549"/>
      <c r="IO116" s="549"/>
    </row>
    <row r="117" spans="23:249">
      <c r="W117" s="1735"/>
      <c r="X117" s="463"/>
      <c r="Y117" s="463"/>
      <c r="Z117" s="463"/>
      <c r="AA117" s="463"/>
      <c r="AB117" s="463"/>
      <c r="AC117" s="463"/>
      <c r="AD117" s="463"/>
      <c r="AE117" s="463"/>
      <c r="AF117" s="463"/>
      <c r="CS117" s="382"/>
      <c r="CT117" s="382"/>
      <c r="CU117" s="382"/>
      <c r="CV117" s="382"/>
      <c r="CW117" s="382"/>
      <c r="CX117" s="382"/>
      <c r="CY117" s="382"/>
      <c r="CZ117" s="382"/>
      <c r="DA117" s="382"/>
      <c r="DB117" s="382"/>
      <c r="DC117" s="382"/>
      <c r="DG117" s="933"/>
      <c r="DH117" s="933"/>
      <c r="DI117" s="933"/>
      <c r="DJ117" s="933"/>
      <c r="DK117" s="933"/>
      <c r="DL117" s="933"/>
      <c r="DM117" s="933"/>
      <c r="DN117" s="933"/>
      <c r="DO117" s="933"/>
      <c r="DP117" s="933"/>
      <c r="DQ117" s="933"/>
      <c r="DR117" s="933"/>
      <c r="DS117" s="933"/>
      <c r="DT117" s="933"/>
      <c r="DU117" s="933"/>
      <c r="DX117" s="382"/>
      <c r="DY117" s="853"/>
      <c r="DZ117" s="853"/>
      <c r="EA117" s="853"/>
      <c r="EB117" s="853"/>
      <c r="EC117" s="853"/>
      <c r="ED117" s="853"/>
      <c r="EE117" s="853"/>
      <c r="EG117" s="382"/>
      <c r="EH117" s="382"/>
      <c r="EI117" s="382"/>
      <c r="EJ117" s="382"/>
      <c r="EK117" s="382"/>
      <c r="EL117" s="382"/>
      <c r="EM117" s="382"/>
      <c r="EN117" s="382"/>
      <c r="EO117" s="382"/>
      <c r="EQ117" s="862"/>
      <c r="ER117" s="382"/>
      <c r="ES117" s="933"/>
      <c r="ET117" s="933"/>
      <c r="EU117" s="933"/>
      <c r="EV117" s="435"/>
      <c r="EW117" s="933"/>
      <c r="EX117" s="933"/>
      <c r="EY117" s="933"/>
      <c r="EZ117" s="435"/>
      <c r="FA117" s="933"/>
      <c r="FB117" s="435"/>
      <c r="FC117" s="933"/>
      <c r="FD117" s="933"/>
      <c r="FE117" s="933"/>
      <c r="FF117" s="933"/>
      <c r="FG117" s="933"/>
      <c r="FW117" s="439"/>
      <c r="FX117" s="463"/>
      <c r="FY117" s="463"/>
      <c r="FZ117" s="463"/>
      <c r="GA117" s="463"/>
      <c r="GB117" s="463"/>
      <c r="GC117" s="463"/>
      <c r="GD117" s="463"/>
      <c r="GE117" s="463"/>
      <c r="GF117" s="463"/>
      <c r="GG117" s="463"/>
      <c r="GH117" s="463"/>
      <c r="GI117" s="463"/>
      <c r="GM117" s="861"/>
      <c r="GN117" s="861"/>
      <c r="GO117" s="861"/>
      <c r="GP117" s="861"/>
      <c r="GQ117" s="861"/>
      <c r="GR117" s="861"/>
      <c r="GS117" s="861"/>
      <c r="GT117" s="861"/>
      <c r="GU117" s="861"/>
      <c r="GV117" s="861"/>
      <c r="GW117" s="861"/>
      <c r="GX117" s="562"/>
      <c r="GY117" s="562"/>
      <c r="GZ117" s="562"/>
      <c r="HA117" s="562"/>
      <c r="HB117" s="562"/>
      <c r="HC117" s="562"/>
      <c r="HD117" s="562"/>
      <c r="HE117" s="562"/>
      <c r="HF117" s="562"/>
      <c r="HG117" s="562"/>
      <c r="HH117" s="562"/>
      <c r="HI117" s="562"/>
      <c r="IH117" s="549"/>
      <c r="II117" s="549"/>
      <c r="IJ117" s="549"/>
      <c r="IK117" s="549"/>
      <c r="IL117" s="549"/>
      <c r="IM117" s="549"/>
      <c r="IN117" s="549"/>
      <c r="IO117" s="549"/>
    </row>
    <row r="118" spans="23:249">
      <c r="W118" s="1735"/>
      <c r="X118" s="463"/>
      <c r="Y118" s="463"/>
      <c r="Z118" s="463"/>
      <c r="AA118" s="463"/>
      <c r="AB118" s="463"/>
      <c r="AC118" s="463"/>
      <c r="AD118" s="463"/>
      <c r="AE118" s="463"/>
      <c r="AF118" s="463"/>
      <c r="DG118" s="933"/>
      <c r="DH118" s="933"/>
      <c r="DI118" s="933"/>
      <c r="DJ118" s="933"/>
      <c r="DK118" s="933"/>
      <c r="DL118" s="933"/>
      <c r="DM118" s="933"/>
      <c r="DN118" s="933"/>
      <c r="DO118" s="933"/>
      <c r="DP118" s="933"/>
      <c r="DQ118" s="933"/>
      <c r="DR118" s="933"/>
      <c r="DS118" s="933"/>
      <c r="DT118" s="933"/>
      <c r="DU118" s="933"/>
      <c r="DX118" s="382"/>
      <c r="DY118" s="853"/>
      <c r="DZ118" s="853"/>
      <c r="EA118" s="853"/>
      <c r="EB118" s="853"/>
      <c r="EC118" s="853"/>
      <c r="ED118" s="853"/>
      <c r="EE118" s="853"/>
      <c r="EG118" s="382"/>
      <c r="EH118" s="382"/>
      <c r="EI118" s="439"/>
      <c r="EJ118" s="2073"/>
      <c r="EK118" s="2073"/>
      <c r="EL118" s="2073"/>
      <c r="EM118" s="2073"/>
      <c r="EN118" s="2073"/>
      <c r="EO118" s="2073"/>
      <c r="EQ118" s="862"/>
      <c r="ER118" s="382"/>
      <c r="ES118" s="933"/>
      <c r="ET118" s="862"/>
      <c r="EU118" s="862"/>
      <c r="EV118" s="435"/>
      <c r="EW118" s="862"/>
      <c r="EX118" s="862"/>
      <c r="EY118" s="862"/>
      <c r="EZ118" s="435"/>
      <c r="FA118" s="862"/>
      <c r="FB118" s="435"/>
      <c r="FC118" s="862"/>
      <c r="FD118" s="525"/>
      <c r="FE118" s="862"/>
      <c r="FF118" s="862"/>
      <c r="FG118" s="525"/>
      <c r="FW118" s="439"/>
      <c r="FX118" s="463"/>
      <c r="FY118" s="463"/>
      <c r="FZ118" s="463"/>
      <c r="GA118" s="463"/>
      <c r="GB118" s="463"/>
      <c r="GC118" s="463"/>
      <c r="GD118" s="463"/>
      <c r="GE118" s="463"/>
      <c r="GF118" s="463"/>
      <c r="GG118" s="463"/>
      <c r="GH118" s="463"/>
      <c r="GI118" s="463"/>
      <c r="GM118" s="861"/>
      <c r="GN118" s="861"/>
      <c r="GO118" s="861"/>
      <c r="GP118" s="861"/>
      <c r="GQ118" s="861"/>
      <c r="GR118" s="861"/>
      <c r="GS118" s="861"/>
      <c r="GT118" s="861"/>
      <c r="GU118" s="861"/>
      <c r="GV118" s="861"/>
      <c r="GW118" s="861"/>
      <c r="GX118" s="562"/>
      <c r="GY118" s="562"/>
      <c r="GZ118" s="562"/>
      <c r="HA118" s="562"/>
      <c r="HB118" s="562"/>
      <c r="HC118" s="562"/>
      <c r="HD118" s="562"/>
      <c r="HE118" s="562"/>
      <c r="HF118" s="562"/>
      <c r="HG118" s="562"/>
      <c r="HH118" s="562"/>
      <c r="HI118" s="562"/>
      <c r="IH118" s="549"/>
      <c r="II118" s="549"/>
      <c r="IJ118" s="549"/>
      <c r="IK118" s="549"/>
      <c r="IL118" s="549"/>
      <c r="IM118" s="549"/>
      <c r="IN118" s="549"/>
      <c r="IO118" s="549"/>
    </row>
    <row r="119" spans="23:249">
      <c r="W119" s="1735"/>
      <c r="X119" s="463"/>
      <c r="Y119" s="463"/>
      <c r="Z119" s="463"/>
      <c r="AA119" s="463"/>
      <c r="AB119" s="463"/>
      <c r="AC119" s="463"/>
      <c r="AD119" s="463"/>
      <c r="AE119" s="463"/>
      <c r="AF119" s="463"/>
      <c r="DG119" s="933"/>
      <c r="DH119" s="933"/>
      <c r="DI119" s="933"/>
      <c r="DJ119" s="933"/>
      <c r="DK119" s="933"/>
      <c r="DL119" s="933"/>
      <c r="DM119" s="933"/>
      <c r="DN119" s="933"/>
      <c r="DO119" s="933"/>
      <c r="DP119" s="933"/>
      <c r="DQ119" s="933"/>
      <c r="DR119" s="933"/>
      <c r="DS119" s="933"/>
      <c r="DT119" s="933"/>
      <c r="DU119" s="933"/>
      <c r="DX119" s="382"/>
      <c r="DY119" s="853"/>
      <c r="DZ119" s="853"/>
      <c r="EA119" s="853"/>
      <c r="EB119" s="853"/>
      <c r="EC119" s="853"/>
      <c r="ED119" s="853"/>
      <c r="EE119" s="853"/>
      <c r="EG119" s="382"/>
      <c r="EH119" s="382"/>
      <c r="EI119" s="414"/>
      <c r="EJ119" s="439"/>
      <c r="EK119" s="439"/>
      <c r="EL119" s="439"/>
      <c r="EM119" s="439"/>
      <c r="EN119" s="439"/>
      <c r="EO119" s="439"/>
      <c r="EQ119" s="862"/>
      <c r="ER119" s="382"/>
      <c r="ES119" s="933"/>
      <c r="ET119" s="862"/>
      <c r="EU119" s="435"/>
      <c r="EV119" s="435"/>
      <c r="EW119" s="862"/>
      <c r="EX119" s="435"/>
      <c r="EY119" s="862"/>
      <c r="EZ119" s="435"/>
      <c r="FA119" s="862"/>
      <c r="FB119" s="435"/>
      <c r="FC119" s="862"/>
      <c r="FD119" s="525"/>
      <c r="FE119" s="862"/>
      <c r="FF119" s="862"/>
      <c r="FG119" s="525"/>
      <c r="FW119" s="439"/>
      <c r="FX119" s="463"/>
      <c r="FY119" s="463"/>
      <c r="FZ119" s="463"/>
      <c r="GA119" s="463"/>
      <c r="GB119" s="463"/>
      <c r="GC119" s="463"/>
      <c r="GD119" s="463"/>
      <c r="GE119" s="463"/>
      <c r="GF119" s="463"/>
      <c r="GG119" s="463"/>
      <c r="GH119" s="463"/>
      <c r="GI119" s="463"/>
      <c r="GM119" s="861"/>
      <c r="GN119" s="861"/>
      <c r="GO119" s="861"/>
      <c r="GP119" s="861"/>
      <c r="GQ119" s="861"/>
      <c r="GR119" s="861"/>
      <c r="GS119" s="861"/>
      <c r="GT119" s="861"/>
      <c r="GU119" s="861"/>
      <c r="GV119" s="861"/>
      <c r="GW119" s="861"/>
      <c r="GX119" s="562"/>
      <c r="GY119" s="562"/>
      <c r="GZ119" s="562"/>
      <c r="HA119" s="562"/>
      <c r="HB119" s="562"/>
      <c r="HC119" s="562"/>
      <c r="HD119" s="562"/>
      <c r="HE119" s="562"/>
      <c r="HF119" s="562"/>
      <c r="HG119" s="562"/>
      <c r="HH119" s="562"/>
      <c r="HI119" s="562"/>
      <c r="IH119" s="549"/>
      <c r="II119" s="549"/>
      <c r="IJ119" s="549"/>
      <c r="IK119" s="549"/>
      <c r="IL119" s="549"/>
      <c r="IM119" s="549"/>
      <c r="IN119" s="549"/>
      <c r="IO119" s="549"/>
    </row>
    <row r="120" spans="23:249">
      <c r="W120" s="1735"/>
      <c r="X120" s="463"/>
      <c r="Y120" s="463"/>
      <c r="Z120" s="463"/>
      <c r="AA120" s="463"/>
      <c r="AB120" s="463"/>
      <c r="AC120" s="463"/>
      <c r="AD120" s="463"/>
      <c r="AE120" s="463"/>
      <c r="AF120" s="463"/>
      <c r="DG120" s="933"/>
      <c r="DH120" s="933"/>
      <c r="DI120" s="933"/>
      <c r="DJ120" s="933"/>
      <c r="DK120" s="933"/>
      <c r="DL120" s="933"/>
      <c r="DM120" s="933"/>
      <c r="DN120" s="933"/>
      <c r="DO120" s="933"/>
      <c r="DP120" s="933"/>
      <c r="DQ120" s="933"/>
      <c r="DR120" s="933"/>
      <c r="DS120" s="933"/>
      <c r="DT120" s="933"/>
      <c r="DU120" s="933"/>
      <c r="DX120" s="382"/>
      <c r="DY120" s="853"/>
      <c r="DZ120" s="853"/>
      <c r="EA120" s="853"/>
      <c r="EB120" s="853"/>
      <c r="EC120" s="853"/>
      <c r="ED120" s="853"/>
      <c r="EE120" s="853"/>
      <c r="EH120" s="382"/>
      <c r="EI120" s="439"/>
      <c r="EJ120" s="439"/>
      <c r="EK120" s="439"/>
      <c r="EL120" s="439"/>
      <c r="EM120" s="439"/>
      <c r="EN120" s="439"/>
      <c r="EO120" s="439"/>
      <c r="EQ120" s="862"/>
      <c r="ER120" s="382"/>
      <c r="ES120" s="933"/>
      <c r="ET120" s="862"/>
      <c r="EU120" s="862"/>
      <c r="EV120" s="435"/>
      <c r="EW120" s="862"/>
      <c r="EX120" s="862"/>
      <c r="EY120" s="862"/>
      <c r="EZ120" s="435"/>
      <c r="FA120" s="862"/>
      <c r="FB120" s="435"/>
      <c r="FC120" s="862"/>
      <c r="FD120" s="525"/>
      <c r="FE120" s="862"/>
      <c r="FF120" s="862"/>
      <c r="FG120" s="525"/>
      <c r="FW120" s="439"/>
      <c r="FX120" s="463"/>
      <c r="FY120" s="463"/>
      <c r="FZ120" s="463"/>
      <c r="GA120" s="463"/>
      <c r="GB120" s="463"/>
      <c r="GC120" s="463"/>
      <c r="GD120" s="463"/>
      <c r="GE120" s="463"/>
      <c r="GF120" s="463"/>
      <c r="GG120" s="463"/>
      <c r="GH120" s="463"/>
      <c r="GI120" s="463"/>
      <c r="GM120" s="861"/>
      <c r="GN120" s="861"/>
      <c r="GO120" s="861"/>
      <c r="GP120" s="861"/>
      <c r="GQ120" s="861"/>
      <c r="GR120" s="861"/>
      <c r="GS120" s="861"/>
      <c r="GT120" s="861"/>
      <c r="GU120" s="861"/>
      <c r="GV120" s="861"/>
      <c r="GW120" s="861"/>
      <c r="GX120" s="562"/>
      <c r="GY120" s="562"/>
      <c r="GZ120" s="562"/>
      <c r="HA120" s="562"/>
      <c r="HB120" s="562"/>
      <c r="HC120" s="562"/>
      <c r="HD120" s="562"/>
      <c r="HE120" s="562"/>
      <c r="HF120" s="562"/>
      <c r="HG120" s="562"/>
      <c r="HH120" s="562"/>
      <c r="HI120" s="562"/>
      <c r="IH120" s="549"/>
      <c r="II120" s="549"/>
      <c r="IJ120" s="549"/>
      <c r="IK120" s="549"/>
      <c r="IL120" s="549"/>
      <c r="IM120" s="549"/>
      <c r="IN120" s="549"/>
      <c r="IO120" s="549"/>
    </row>
    <row r="121" spans="23:249">
      <c r="W121" s="1735"/>
      <c r="X121" s="463"/>
      <c r="Y121" s="463"/>
      <c r="Z121" s="463"/>
      <c r="AA121" s="463"/>
      <c r="AB121" s="463"/>
      <c r="AC121" s="463"/>
      <c r="AD121" s="463"/>
      <c r="AE121" s="463"/>
      <c r="AF121" s="463"/>
      <c r="CS121" s="382"/>
      <c r="CT121" s="382"/>
      <c r="CU121" s="382"/>
      <c r="CV121" s="382"/>
      <c r="CW121" s="382"/>
      <c r="CX121" s="382"/>
      <c r="CY121" s="382"/>
      <c r="CZ121" s="382"/>
      <c r="DA121" s="382"/>
      <c r="DB121" s="382"/>
      <c r="DC121" s="382"/>
      <c r="DG121" s="933"/>
      <c r="DH121" s="933"/>
      <c r="DI121" s="933"/>
      <c r="DJ121" s="933"/>
      <c r="DK121" s="933"/>
      <c r="DL121" s="933"/>
      <c r="DM121" s="933"/>
      <c r="DN121" s="933"/>
      <c r="DO121" s="933"/>
      <c r="DP121" s="933"/>
      <c r="DQ121" s="933"/>
      <c r="DR121" s="933"/>
      <c r="DS121" s="933"/>
      <c r="DT121" s="933"/>
      <c r="DU121" s="933"/>
      <c r="DX121" s="382"/>
      <c r="DY121" s="853"/>
      <c r="DZ121" s="853"/>
      <c r="EA121" s="853"/>
      <c r="EB121" s="853"/>
      <c r="EC121" s="853"/>
      <c r="ED121" s="853"/>
      <c r="EE121" s="853"/>
      <c r="EH121" s="382"/>
      <c r="EI121" s="525"/>
      <c r="EJ121" s="525"/>
      <c r="EK121" s="435"/>
      <c r="EL121" s="525"/>
      <c r="EM121" s="525"/>
      <c r="EN121" s="525"/>
      <c r="EO121" s="525"/>
      <c r="EQ121" s="862"/>
      <c r="ER121" s="382"/>
      <c r="ES121" s="933"/>
      <c r="ET121" s="862"/>
      <c r="EU121" s="862"/>
      <c r="EV121" s="435"/>
      <c r="EW121" s="862"/>
      <c r="EX121" s="862"/>
      <c r="EY121" s="862"/>
      <c r="EZ121" s="435"/>
      <c r="FA121" s="862"/>
      <c r="FB121" s="435"/>
      <c r="FC121" s="862"/>
      <c r="FD121" s="525"/>
      <c r="FE121" s="862"/>
      <c r="FF121" s="862"/>
      <c r="FG121" s="525"/>
      <c r="FW121" s="382"/>
      <c r="FX121" s="382"/>
      <c r="FY121" s="382"/>
      <c r="FZ121" s="382"/>
      <c r="GA121" s="382"/>
      <c r="GB121" s="382"/>
      <c r="GC121" s="382"/>
      <c r="GD121" s="382"/>
      <c r="GE121" s="382"/>
      <c r="GF121" s="382"/>
      <c r="GG121" s="382"/>
      <c r="GH121" s="382"/>
      <c r="GI121" s="382"/>
      <c r="GM121" s="549"/>
      <c r="GN121" s="549"/>
      <c r="GO121" s="549"/>
      <c r="GP121" s="549"/>
      <c r="GQ121" s="549"/>
      <c r="GR121" s="549"/>
      <c r="GS121" s="549"/>
      <c r="GT121" s="549"/>
      <c r="GU121" s="549"/>
      <c r="GV121" s="549"/>
      <c r="GW121" s="549"/>
      <c r="GX121" s="549"/>
      <c r="GY121" s="549"/>
      <c r="GZ121" s="549"/>
      <c r="HA121" s="549"/>
      <c r="HB121" s="549"/>
      <c r="HC121" s="549"/>
      <c r="HD121" s="549"/>
      <c r="HE121" s="549"/>
      <c r="HF121" s="549"/>
      <c r="HG121" s="549"/>
      <c r="HH121" s="549"/>
      <c r="HI121" s="549"/>
      <c r="IH121" s="549"/>
      <c r="II121" s="549"/>
      <c r="IJ121" s="549"/>
      <c r="IK121" s="549"/>
      <c r="IL121" s="549"/>
      <c r="IM121" s="549"/>
      <c r="IN121" s="549"/>
      <c r="IO121" s="549"/>
    </row>
    <row r="122" spans="23:249">
      <c r="W122" s="1735"/>
      <c r="X122" s="463"/>
      <c r="Y122" s="463"/>
      <c r="Z122" s="463"/>
      <c r="AA122" s="463"/>
      <c r="AB122" s="463"/>
      <c r="AC122" s="463"/>
      <c r="AD122" s="463"/>
      <c r="AE122" s="463"/>
      <c r="AF122" s="463"/>
      <c r="CS122" s="382"/>
      <c r="CT122" s="439"/>
      <c r="CU122" s="439"/>
      <c r="CV122" s="439"/>
      <c r="CW122" s="2073"/>
      <c r="CX122" s="2154"/>
      <c r="CY122" s="2154"/>
      <c r="CZ122" s="439"/>
      <c r="DA122" s="439"/>
      <c r="DB122" s="439"/>
      <c r="DC122" s="439"/>
      <c r="DG122" s="933"/>
      <c r="DH122" s="933"/>
      <c r="DI122" s="933"/>
      <c r="DJ122" s="933"/>
      <c r="DK122" s="933"/>
      <c r="DL122" s="933"/>
      <c r="DM122" s="933"/>
      <c r="DN122" s="933"/>
      <c r="DO122" s="933"/>
      <c r="DP122" s="933"/>
      <c r="DQ122" s="933"/>
      <c r="DR122" s="933"/>
      <c r="DS122" s="933"/>
      <c r="DT122" s="933"/>
      <c r="DU122" s="933"/>
      <c r="DX122" s="382"/>
      <c r="DY122" s="853"/>
      <c r="DZ122" s="853"/>
      <c r="EA122" s="853"/>
      <c r="EB122" s="853"/>
      <c r="EC122" s="853"/>
      <c r="ED122" s="853"/>
      <c r="EE122" s="853"/>
      <c r="EH122" s="382"/>
      <c r="EI122" s="933"/>
      <c r="EJ122" s="933"/>
      <c r="EK122" s="435"/>
      <c r="EL122" s="933"/>
      <c r="EM122" s="933"/>
      <c r="EN122" s="933"/>
      <c r="EO122" s="933"/>
      <c r="EQ122" s="862"/>
      <c r="ER122" s="382"/>
      <c r="ES122" s="933"/>
      <c r="ET122" s="862"/>
      <c r="EU122" s="862"/>
      <c r="EV122" s="435"/>
      <c r="EW122" s="862"/>
      <c r="EX122" s="862"/>
      <c r="EY122" s="862"/>
      <c r="EZ122" s="435"/>
      <c r="FA122" s="862"/>
      <c r="FB122" s="435"/>
      <c r="FC122" s="862"/>
      <c r="FD122" s="525"/>
      <c r="FE122" s="862"/>
      <c r="FF122" s="862"/>
      <c r="FG122" s="525"/>
      <c r="FW122" s="439"/>
      <c r="FX122" s="382"/>
      <c r="FY122" s="382"/>
      <c r="FZ122" s="382"/>
      <c r="GA122" s="382"/>
      <c r="GB122" s="382"/>
      <c r="GC122" s="382"/>
      <c r="GD122" s="382"/>
      <c r="GE122" s="382"/>
      <c r="GF122" s="382"/>
      <c r="GG122" s="382"/>
      <c r="GH122" s="382"/>
      <c r="GI122" s="382"/>
      <c r="GM122" s="861"/>
      <c r="GN122" s="861"/>
      <c r="GO122" s="861"/>
      <c r="GP122" s="861"/>
      <c r="GQ122" s="861"/>
      <c r="GR122" s="861"/>
      <c r="GS122" s="861"/>
      <c r="GT122" s="861"/>
      <c r="GU122" s="861"/>
      <c r="GV122" s="861"/>
      <c r="GW122" s="861"/>
      <c r="GX122" s="549"/>
      <c r="GY122" s="549"/>
      <c r="GZ122" s="549"/>
      <c r="HA122" s="549"/>
      <c r="HB122" s="549"/>
      <c r="HC122" s="549"/>
      <c r="HD122" s="549"/>
      <c r="HE122" s="549"/>
      <c r="HF122" s="549"/>
      <c r="HG122" s="549"/>
      <c r="HH122" s="549"/>
      <c r="HI122" s="549"/>
      <c r="IN122" s="549"/>
      <c r="IO122" s="549"/>
    </row>
    <row r="123" spans="23:249">
      <c r="W123" s="1735"/>
      <c r="X123" s="463"/>
      <c r="Y123" s="463"/>
      <c r="Z123" s="463"/>
      <c r="AA123" s="463"/>
      <c r="AB123" s="463"/>
      <c r="AC123" s="463"/>
      <c r="AD123" s="463"/>
      <c r="AE123" s="463"/>
      <c r="AF123" s="463"/>
      <c r="CS123" s="398"/>
      <c r="CT123" s="398"/>
      <c r="CU123" s="385"/>
      <c r="CV123" s="385"/>
      <c r="CW123" s="385"/>
      <c r="CX123" s="385"/>
      <c r="CY123" s="385"/>
      <c r="CZ123" s="385"/>
      <c r="DB123" s="385"/>
      <c r="DC123" s="385"/>
      <c r="DG123" s="933"/>
      <c r="DH123" s="933"/>
      <c r="DI123" s="933"/>
      <c r="DJ123" s="933"/>
      <c r="DK123" s="933"/>
      <c r="DL123" s="933"/>
      <c r="DM123" s="933"/>
      <c r="DN123" s="933"/>
      <c r="DO123" s="933"/>
      <c r="DP123" s="933"/>
      <c r="DQ123" s="933"/>
      <c r="DR123" s="933"/>
      <c r="DS123" s="933"/>
      <c r="DT123" s="933"/>
      <c r="DU123" s="933"/>
      <c r="DX123" s="382"/>
      <c r="DY123" s="853"/>
      <c r="DZ123" s="853"/>
      <c r="EA123" s="853"/>
      <c r="EB123" s="853"/>
      <c r="EC123" s="853"/>
      <c r="ED123" s="853"/>
      <c r="EE123" s="853"/>
      <c r="EH123" s="382"/>
      <c r="EI123" s="933"/>
      <c r="EJ123" s="933"/>
      <c r="EK123" s="435"/>
      <c r="EL123" s="933"/>
      <c r="EM123" s="933"/>
      <c r="EN123" s="933"/>
      <c r="EO123" s="933"/>
      <c r="EQ123" s="862"/>
      <c r="ER123" s="382"/>
      <c r="ES123" s="933"/>
      <c r="ET123" s="862"/>
      <c r="EU123" s="862"/>
      <c r="EV123" s="435"/>
      <c r="EW123" s="862"/>
      <c r="EX123" s="862"/>
      <c r="EY123" s="862"/>
      <c r="EZ123" s="435"/>
      <c r="FA123" s="862"/>
      <c r="FB123" s="435"/>
      <c r="FC123" s="862"/>
      <c r="FD123" s="525"/>
      <c r="FE123" s="862"/>
      <c r="FF123" s="862"/>
      <c r="FG123" s="525"/>
      <c r="FW123" s="439"/>
      <c r="FX123" s="463"/>
      <c r="FY123" s="463"/>
      <c r="FZ123" s="463"/>
      <c r="GA123" s="463"/>
      <c r="GB123" s="463"/>
      <c r="GC123" s="463"/>
      <c r="GD123" s="463"/>
      <c r="GE123" s="463"/>
      <c r="GF123" s="463"/>
      <c r="GG123" s="463"/>
      <c r="GH123" s="463"/>
      <c r="GI123" s="463"/>
    </row>
    <row r="124" spans="23:249">
      <c r="W124" s="1735"/>
      <c r="X124" s="463"/>
      <c r="Y124" s="463"/>
      <c r="Z124" s="463"/>
      <c r="AA124" s="463"/>
      <c r="AB124" s="463"/>
      <c r="AC124" s="463"/>
      <c r="AD124" s="463"/>
      <c r="AE124" s="463"/>
      <c r="AF124" s="463"/>
      <c r="CS124" s="382"/>
      <c r="CT124" s="439"/>
      <c r="CU124" s="439"/>
      <c r="CV124" s="439"/>
      <c r="CW124" s="439"/>
      <c r="CX124" s="439"/>
      <c r="CY124" s="439"/>
      <c r="CZ124" s="439"/>
      <c r="DA124" s="439"/>
      <c r="DB124" s="439"/>
      <c r="DC124" s="439"/>
      <c r="DG124" s="933"/>
      <c r="DH124" s="933"/>
      <c r="DI124" s="933"/>
      <c r="DJ124" s="933"/>
      <c r="DK124" s="933"/>
      <c r="DL124" s="933"/>
      <c r="DM124" s="933"/>
      <c r="DN124" s="933"/>
      <c r="DO124" s="933"/>
      <c r="DP124" s="933"/>
      <c r="DQ124" s="933"/>
      <c r="DR124" s="933"/>
      <c r="DS124" s="933"/>
      <c r="DT124" s="933"/>
      <c r="DU124" s="933"/>
      <c r="DX124" s="382"/>
      <c r="DY124" s="853"/>
      <c r="DZ124" s="853"/>
      <c r="EA124" s="853"/>
      <c r="EB124" s="853"/>
      <c r="EC124" s="853"/>
      <c r="ED124" s="853"/>
      <c r="EE124" s="853"/>
      <c r="EF124" s="398"/>
      <c r="EG124" s="398"/>
      <c r="EH124" s="382"/>
      <c r="EI124" s="933"/>
      <c r="EJ124" s="933"/>
      <c r="EK124" s="435"/>
      <c r="EL124" s="933"/>
      <c r="EM124" s="933"/>
      <c r="EN124" s="933"/>
      <c r="EO124" s="933"/>
      <c r="EQ124" s="862"/>
      <c r="ER124" s="382"/>
      <c r="ES124" s="933"/>
      <c r="ET124" s="862"/>
      <c r="EU124" s="862"/>
      <c r="EV124" s="435"/>
      <c r="EW124" s="862"/>
      <c r="EX124" s="862"/>
      <c r="EY124" s="862"/>
      <c r="EZ124" s="435"/>
      <c r="FA124" s="862"/>
      <c r="FB124" s="435"/>
      <c r="FC124" s="862"/>
      <c r="FD124" s="525"/>
      <c r="FE124" s="862"/>
      <c r="FF124" s="862"/>
      <c r="FG124" s="525"/>
      <c r="FW124" s="439"/>
      <c r="FX124" s="463"/>
      <c r="FY124" s="463"/>
      <c r="FZ124" s="463"/>
      <c r="GA124" s="463"/>
      <c r="GB124" s="463"/>
      <c r="GC124" s="463"/>
      <c r="GD124" s="463"/>
      <c r="GE124" s="463"/>
      <c r="GF124" s="463"/>
      <c r="GG124" s="463"/>
      <c r="GH124" s="463"/>
      <c r="GI124" s="463"/>
    </row>
    <row r="125" spans="23:249">
      <c r="W125" s="1735"/>
      <c r="X125" s="463"/>
      <c r="Y125" s="463"/>
      <c r="Z125" s="463"/>
      <c r="AA125" s="463"/>
      <c r="AB125" s="463"/>
      <c r="AC125" s="463"/>
      <c r="AD125" s="463"/>
      <c r="AE125" s="463"/>
      <c r="AF125" s="463"/>
      <c r="CS125" s="382"/>
      <c r="CT125" s="862"/>
      <c r="CU125" s="862"/>
      <c r="CV125" s="435"/>
      <c r="CW125" s="862"/>
      <c r="CX125" s="862"/>
      <c r="CY125" s="862"/>
      <c r="CZ125" s="862"/>
      <c r="DA125" s="862"/>
      <c r="DB125" s="862"/>
      <c r="DC125" s="862"/>
      <c r="DG125" s="933"/>
      <c r="DH125" s="933"/>
      <c r="DI125" s="933"/>
      <c r="DJ125" s="933"/>
      <c r="DK125" s="933"/>
      <c r="DL125" s="933"/>
      <c r="DM125" s="933"/>
      <c r="DN125" s="933"/>
      <c r="DO125" s="933"/>
      <c r="DP125" s="933"/>
      <c r="DQ125" s="933"/>
      <c r="DR125" s="933"/>
      <c r="DS125" s="933"/>
      <c r="DT125" s="933"/>
      <c r="DU125" s="933"/>
      <c r="DX125" s="382"/>
      <c r="DY125" s="853"/>
      <c r="DZ125" s="872"/>
      <c r="EA125" s="872"/>
      <c r="EB125" s="872"/>
      <c r="EC125" s="872"/>
      <c r="ED125" s="872"/>
      <c r="EE125" s="872"/>
      <c r="EF125" s="439"/>
      <c r="EG125" s="439"/>
      <c r="EH125" s="382"/>
      <c r="EI125" s="933"/>
      <c r="EJ125" s="933"/>
      <c r="EK125" s="435"/>
      <c r="EL125" s="933"/>
      <c r="EM125" s="933"/>
      <c r="EN125" s="933"/>
      <c r="EO125" s="933"/>
      <c r="EQ125" s="862"/>
      <c r="ER125" s="382"/>
      <c r="ES125" s="933"/>
      <c r="ET125" s="862"/>
      <c r="EU125" s="862"/>
      <c r="EV125" s="435"/>
      <c r="EW125" s="862"/>
      <c r="EX125" s="862"/>
      <c r="EY125" s="862"/>
      <c r="EZ125" s="435"/>
      <c r="FA125" s="862"/>
      <c r="FB125" s="435"/>
      <c r="FC125" s="435"/>
      <c r="FD125" s="525"/>
      <c r="FE125" s="862"/>
      <c r="FF125" s="435"/>
      <c r="FG125" s="525"/>
      <c r="FW125" s="2180"/>
      <c r="FX125" s="2180"/>
      <c r="FY125" s="2180"/>
      <c r="FZ125" s="2180"/>
      <c r="GA125" s="2180"/>
      <c r="GB125" s="2180"/>
      <c r="GC125" s="2180"/>
      <c r="GD125" s="2180"/>
      <c r="GE125" s="2180"/>
      <c r="GF125" s="2180"/>
      <c r="GG125" s="2180"/>
      <c r="GH125" s="2180"/>
      <c r="GI125" s="2180"/>
    </row>
    <row r="126" spans="23:249">
      <c r="W126" s="398"/>
      <c r="X126" s="463"/>
      <c r="Y126" s="515"/>
      <c r="Z126" s="463"/>
      <c r="AA126" s="515"/>
      <c r="AB126" s="515"/>
      <c r="AC126" s="525"/>
      <c r="AD126" s="515"/>
      <c r="AE126" s="515"/>
      <c r="AF126" s="463"/>
      <c r="CS126" s="382"/>
      <c r="CT126" s="862"/>
      <c r="CU126" s="862"/>
      <c r="CV126" s="862"/>
      <c r="CW126" s="862"/>
      <c r="CX126" s="862"/>
      <c r="CY126" s="435"/>
      <c r="CZ126" s="862"/>
      <c r="DA126" s="862"/>
      <c r="DB126" s="862"/>
      <c r="DC126" s="862"/>
      <c r="DG126" s="933"/>
      <c r="DH126" s="933"/>
      <c r="DI126" s="933"/>
      <c r="DJ126" s="933"/>
      <c r="DK126" s="933"/>
      <c r="DL126" s="933"/>
      <c r="DM126" s="933"/>
      <c r="DN126" s="933"/>
      <c r="DO126" s="933"/>
      <c r="DP126" s="933"/>
      <c r="DQ126" s="933"/>
      <c r="DR126" s="933"/>
      <c r="DS126" s="933"/>
      <c r="DT126" s="933"/>
      <c r="DU126" s="933"/>
      <c r="DX126" s="382"/>
      <c r="DY126" s="853"/>
      <c r="DZ126" s="853"/>
      <c r="EA126" s="853"/>
      <c r="EB126" s="853"/>
      <c r="EC126" s="853"/>
      <c r="ED126" s="853"/>
      <c r="EE126" s="853"/>
      <c r="EF126" s="439"/>
      <c r="EG126" s="439"/>
      <c r="EH126" s="382"/>
      <c r="EI126" s="933"/>
      <c r="EJ126" s="933"/>
      <c r="EK126" s="435"/>
      <c r="EL126" s="933"/>
      <c r="EM126" s="933"/>
      <c r="EN126" s="933"/>
      <c r="EO126" s="933"/>
      <c r="EQ126" s="862"/>
      <c r="ER126" s="382"/>
      <c r="ES126" s="933"/>
      <c r="ET126" s="933"/>
      <c r="EU126" s="933"/>
      <c r="EV126" s="435"/>
      <c r="EW126" s="933"/>
      <c r="EX126" s="933"/>
      <c r="EY126" s="933"/>
      <c r="EZ126" s="435"/>
      <c r="FA126" s="933"/>
      <c r="FB126" s="435"/>
      <c r="FC126" s="933"/>
      <c r="FD126" s="933"/>
      <c r="FE126" s="933"/>
      <c r="FF126" s="933"/>
      <c r="FG126" s="933"/>
      <c r="FW126" s="439"/>
      <c r="FX126" s="439"/>
      <c r="FY126" s="439"/>
      <c r="FZ126" s="439"/>
      <c r="GA126" s="439"/>
      <c r="GB126" s="439"/>
      <c r="GC126" s="439"/>
      <c r="GD126" s="439"/>
      <c r="GE126" s="439"/>
      <c r="GF126" s="439"/>
      <c r="GG126" s="439"/>
      <c r="GH126" s="439"/>
      <c r="GI126" s="439"/>
      <c r="GM126" s="2348"/>
      <c r="GN126" s="2348"/>
      <c r="GO126" s="2348"/>
      <c r="GP126" s="2348"/>
      <c r="GQ126" s="2348"/>
      <c r="GR126" s="2348"/>
      <c r="GS126" s="2348"/>
      <c r="GT126" s="2348"/>
      <c r="GU126" s="2348"/>
      <c r="GV126" s="2348"/>
      <c r="GW126" s="2348"/>
      <c r="GX126" s="2348"/>
      <c r="GY126" s="2348"/>
      <c r="GZ126" s="2348"/>
      <c r="HA126" s="2348"/>
      <c r="HB126" s="2348"/>
      <c r="HC126" s="2348"/>
      <c r="HD126" s="2348"/>
      <c r="HE126" s="2348"/>
      <c r="HF126" s="2348"/>
      <c r="HG126" s="2348"/>
      <c r="HH126" s="2348"/>
      <c r="HI126" s="2348"/>
    </row>
    <row r="127" spans="23:249">
      <c r="W127" s="382"/>
      <c r="X127" s="382"/>
      <c r="Y127" s="382"/>
      <c r="Z127" s="1763"/>
      <c r="AA127" s="463"/>
      <c r="AB127" s="435"/>
      <c r="AC127" s="435"/>
      <c r="AD127" s="435"/>
      <c r="AE127" s="435"/>
      <c r="AF127" s="435"/>
      <c r="CS127" s="382"/>
      <c r="CT127" s="862"/>
      <c r="CU127" s="862"/>
      <c r="CV127" s="862"/>
      <c r="CW127" s="862"/>
      <c r="CX127" s="862"/>
      <c r="CY127" s="435"/>
      <c r="CZ127" s="862"/>
      <c r="DA127" s="862"/>
      <c r="DB127" s="862"/>
      <c r="DC127" s="862"/>
      <c r="DG127" s="933"/>
      <c r="DH127" s="933"/>
      <c r="DI127" s="933"/>
      <c r="DJ127" s="933"/>
      <c r="DK127" s="933"/>
      <c r="DL127" s="933"/>
      <c r="DM127" s="933"/>
      <c r="DN127" s="933"/>
      <c r="DO127" s="933"/>
      <c r="DP127" s="933"/>
      <c r="DQ127" s="933"/>
      <c r="DR127" s="933"/>
      <c r="DS127" s="933"/>
      <c r="DT127" s="933"/>
      <c r="DU127" s="933"/>
      <c r="DX127" s="382"/>
      <c r="DY127" s="853"/>
      <c r="DZ127" s="853"/>
      <c r="EA127" s="853"/>
      <c r="EB127" s="853"/>
      <c r="EC127" s="853"/>
      <c r="ED127" s="853"/>
      <c r="EE127" s="853"/>
      <c r="EF127" s="463"/>
      <c r="EG127" s="463"/>
      <c r="EH127" s="382"/>
      <c r="EI127" s="933"/>
      <c r="EJ127" s="933"/>
      <c r="EK127" s="435"/>
      <c r="EL127" s="933"/>
      <c r="EM127" s="933"/>
      <c r="EN127" s="933"/>
      <c r="EO127" s="933"/>
      <c r="EQ127" s="862"/>
      <c r="ER127" s="382"/>
      <c r="ES127" s="933"/>
      <c r="ET127" s="933"/>
      <c r="EU127" s="933"/>
      <c r="EV127" s="435"/>
      <c r="EW127" s="933"/>
      <c r="EX127" s="933"/>
      <c r="EY127" s="933"/>
      <c r="EZ127" s="435"/>
      <c r="FA127" s="933"/>
      <c r="FB127" s="435"/>
      <c r="FC127" s="933"/>
      <c r="FD127" s="933"/>
      <c r="FE127" s="933"/>
      <c r="FF127" s="933"/>
      <c r="FG127" s="933"/>
      <c r="FW127" s="439"/>
      <c r="FX127" s="918"/>
      <c r="FY127" s="918"/>
      <c r="FZ127" s="918"/>
      <c r="GA127" s="918"/>
      <c r="GB127" s="918"/>
      <c r="GC127" s="918"/>
      <c r="GD127" s="918"/>
      <c r="GE127" s="918"/>
      <c r="GF127" s="918"/>
      <c r="GG127" s="918"/>
      <c r="GH127" s="918"/>
      <c r="GI127" s="918"/>
      <c r="GM127" s="861"/>
      <c r="GN127" s="861"/>
      <c r="GO127" s="861"/>
      <c r="GP127" s="861"/>
      <c r="GQ127" s="861"/>
      <c r="GR127" s="861"/>
      <c r="GS127" s="861"/>
      <c r="GT127" s="861"/>
      <c r="GU127" s="861"/>
      <c r="GV127" s="861"/>
      <c r="GW127" s="861"/>
      <c r="GX127" s="861"/>
      <c r="GY127" s="861"/>
      <c r="GZ127" s="861"/>
      <c r="HA127" s="861"/>
      <c r="HB127" s="861"/>
      <c r="HC127" s="861"/>
      <c r="HD127" s="861"/>
      <c r="HE127" s="861"/>
      <c r="HF127" s="861"/>
      <c r="HG127" s="861"/>
      <c r="HH127" s="861"/>
      <c r="HI127" s="861"/>
    </row>
    <row r="128" spans="23:249">
      <c r="W128" s="386"/>
      <c r="X128" s="386"/>
      <c r="Y128" s="382"/>
      <c r="Z128" s="1763"/>
      <c r="AA128" s="463"/>
      <c r="AB128" s="435"/>
      <c r="AC128" s="435"/>
      <c r="AD128" s="435"/>
      <c r="AE128" s="435"/>
      <c r="AF128" s="435"/>
      <c r="CS128" s="382"/>
      <c r="CT128" s="862"/>
      <c r="CU128" s="862"/>
      <c r="CV128" s="862"/>
      <c r="CW128" s="862"/>
      <c r="CX128" s="862"/>
      <c r="CY128" s="435"/>
      <c r="CZ128" s="862"/>
      <c r="DA128" s="862"/>
      <c r="DB128" s="862"/>
      <c r="DC128" s="862"/>
      <c r="DX128" s="382"/>
      <c r="DY128" s="853"/>
      <c r="DZ128" s="872"/>
      <c r="EA128" s="872"/>
      <c r="EB128" s="872"/>
      <c r="EC128" s="872"/>
      <c r="ED128" s="872"/>
      <c r="EE128" s="872"/>
      <c r="EF128" s="463"/>
      <c r="EG128" s="463"/>
      <c r="EH128" s="382"/>
      <c r="EI128" s="933"/>
      <c r="EJ128" s="933"/>
      <c r="EK128" s="435"/>
      <c r="EL128" s="933"/>
      <c r="EM128" s="933"/>
      <c r="EN128" s="933"/>
      <c r="EO128" s="933"/>
      <c r="EP128" s="382"/>
      <c r="EQ128" s="862"/>
      <c r="ER128" s="382"/>
      <c r="ES128" s="933"/>
      <c r="ET128" s="933"/>
      <c r="EU128" s="933"/>
      <c r="EV128" s="435"/>
      <c r="EW128" s="933"/>
      <c r="EX128" s="933"/>
      <c r="EY128" s="933"/>
      <c r="EZ128" s="435"/>
      <c r="FA128" s="933"/>
      <c r="FB128" s="435"/>
      <c r="FC128" s="933"/>
      <c r="FD128" s="933"/>
      <c r="FE128" s="933"/>
      <c r="FF128" s="933"/>
      <c r="FG128" s="933"/>
      <c r="FW128" s="439"/>
      <c r="FX128" s="918"/>
      <c r="FY128" s="918"/>
      <c r="FZ128" s="918"/>
      <c r="GA128" s="918"/>
      <c r="GB128" s="918"/>
      <c r="GC128" s="918"/>
      <c r="GD128" s="918"/>
      <c r="GE128" s="918"/>
      <c r="GF128" s="918"/>
      <c r="GG128" s="918"/>
      <c r="GH128" s="918"/>
      <c r="GI128" s="918"/>
      <c r="GM128" s="861"/>
      <c r="GN128" s="861"/>
      <c r="GO128" s="861"/>
      <c r="GP128" s="861"/>
      <c r="GQ128" s="861"/>
      <c r="GR128" s="861"/>
      <c r="GS128" s="861"/>
      <c r="GT128" s="861"/>
      <c r="GU128" s="861"/>
      <c r="GV128" s="861"/>
      <c r="GW128" s="861"/>
      <c r="GX128" s="1631"/>
      <c r="GY128" s="1631"/>
      <c r="GZ128" s="1631"/>
      <c r="HA128" s="1631"/>
      <c r="HB128" s="1631"/>
      <c r="HC128" s="1631"/>
      <c r="HD128" s="1631"/>
      <c r="HE128" s="1631"/>
      <c r="HF128" s="1631"/>
      <c r="HG128" s="1631"/>
      <c r="HH128" s="1631"/>
      <c r="HI128" s="1631"/>
    </row>
    <row r="129" spans="23:217">
      <c r="W129" s="382"/>
      <c r="X129" s="382"/>
      <c r="Y129" s="386"/>
      <c r="Z129" s="382"/>
      <c r="AA129" s="382"/>
      <c r="AB129" s="382"/>
      <c r="AC129" s="382"/>
      <c r="AD129" s="382"/>
      <c r="AE129" s="463"/>
      <c r="AF129" s="463"/>
      <c r="CS129" s="382"/>
      <c r="CT129" s="862"/>
      <c r="CU129" s="862"/>
      <c r="CV129" s="862"/>
      <c r="CW129" s="862"/>
      <c r="CX129" s="862"/>
      <c r="CY129" s="435"/>
      <c r="CZ129" s="862"/>
      <c r="DA129" s="862"/>
      <c r="DB129" s="862"/>
      <c r="DC129" s="862"/>
      <c r="DX129" s="382"/>
      <c r="DY129" s="853"/>
      <c r="DZ129" s="872"/>
      <c r="EA129" s="872"/>
      <c r="EB129" s="872"/>
      <c r="EC129" s="872"/>
      <c r="ED129" s="872"/>
      <c r="EE129" s="872"/>
      <c r="EH129" s="382"/>
      <c r="EI129" s="933"/>
      <c r="EJ129" s="933"/>
      <c r="EK129" s="435"/>
      <c r="EL129" s="933"/>
      <c r="EM129" s="933"/>
      <c r="EN129" s="933"/>
      <c r="EO129" s="933"/>
      <c r="EP129" s="382"/>
      <c r="EQ129" s="862"/>
      <c r="ER129" s="382"/>
      <c r="ES129" s="933"/>
      <c r="ET129" s="933"/>
      <c r="EU129" s="933"/>
      <c r="EV129" s="435"/>
      <c r="EW129" s="933"/>
      <c r="EX129" s="933"/>
      <c r="EY129" s="933"/>
      <c r="EZ129" s="435"/>
      <c r="FA129" s="933"/>
      <c r="FB129" s="435"/>
      <c r="FC129" s="933"/>
      <c r="FD129" s="933"/>
      <c r="FE129" s="933"/>
      <c r="FF129" s="933"/>
      <c r="FG129" s="933"/>
      <c r="FW129" s="439"/>
      <c r="FX129" s="918"/>
      <c r="FY129" s="918"/>
      <c r="FZ129" s="918"/>
      <c r="GA129" s="918"/>
      <c r="GB129" s="918"/>
      <c r="GC129" s="918"/>
      <c r="GD129" s="918"/>
      <c r="GE129" s="918"/>
      <c r="GF129" s="918"/>
      <c r="GG129" s="918"/>
      <c r="GH129" s="918"/>
      <c r="GI129" s="918"/>
      <c r="GM129" s="861"/>
      <c r="GN129" s="861"/>
      <c r="GO129" s="861"/>
      <c r="GP129" s="861"/>
      <c r="GQ129" s="861"/>
      <c r="GR129" s="861"/>
      <c r="GS129" s="861"/>
      <c r="GT129" s="861"/>
      <c r="GU129" s="861"/>
      <c r="GV129" s="861"/>
      <c r="GW129" s="861"/>
      <c r="GX129" s="1631"/>
      <c r="GY129" s="1631"/>
      <c r="GZ129" s="1631"/>
      <c r="HA129" s="1631"/>
      <c r="HB129" s="1631"/>
      <c r="HC129" s="1631"/>
      <c r="HD129" s="1631"/>
      <c r="HE129" s="1631"/>
      <c r="HF129" s="1631"/>
      <c r="HG129" s="1631"/>
      <c r="HH129" s="1631"/>
      <c r="HI129" s="1631"/>
    </row>
    <row r="130" spans="23:217">
      <c r="CS130" s="382"/>
      <c r="CT130" s="862"/>
      <c r="CU130" s="862"/>
      <c r="CV130" s="862"/>
      <c r="CW130" s="435"/>
      <c r="CX130" s="435"/>
      <c r="CY130" s="435"/>
      <c r="CZ130" s="435"/>
      <c r="DA130" s="862"/>
      <c r="DB130" s="862"/>
      <c r="DC130" s="862"/>
      <c r="DX130" s="382"/>
      <c r="DY130" s="853"/>
      <c r="DZ130" s="853"/>
      <c r="EA130" s="853"/>
      <c r="EB130" s="853"/>
      <c r="EC130" s="853"/>
      <c r="ED130" s="853"/>
      <c r="EE130" s="853"/>
      <c r="EH130" s="382"/>
      <c r="EI130" s="933"/>
      <c r="EJ130" s="435"/>
      <c r="EK130" s="435"/>
      <c r="EL130" s="435"/>
      <c r="EM130" s="435"/>
      <c r="EN130" s="435"/>
      <c r="EO130" s="435"/>
      <c r="EP130" s="439"/>
      <c r="EQ130" s="862"/>
      <c r="ER130" s="382"/>
      <c r="ES130" s="933"/>
      <c r="ET130" s="933"/>
      <c r="EU130" s="933"/>
      <c r="EV130" s="435"/>
      <c r="EW130" s="933"/>
      <c r="EX130" s="933"/>
      <c r="EY130" s="933"/>
      <c r="EZ130" s="435"/>
      <c r="FA130" s="933"/>
      <c r="FB130" s="435"/>
      <c r="FC130" s="933"/>
      <c r="FD130" s="933"/>
      <c r="FE130" s="933"/>
      <c r="FF130" s="933"/>
      <c r="FG130" s="933"/>
      <c r="FW130" s="439"/>
      <c r="FX130" s="918"/>
      <c r="FY130" s="918"/>
      <c r="FZ130" s="918"/>
      <c r="GA130" s="918"/>
      <c r="GB130" s="918"/>
      <c r="GC130" s="918"/>
      <c r="GD130" s="918"/>
      <c r="GE130" s="918"/>
      <c r="GF130" s="918"/>
      <c r="GG130" s="918"/>
      <c r="GH130" s="918"/>
      <c r="GI130" s="918"/>
      <c r="GM130" s="861"/>
      <c r="GN130" s="861"/>
      <c r="GO130" s="861"/>
      <c r="GP130" s="861"/>
      <c r="GQ130" s="861"/>
      <c r="GR130" s="861"/>
      <c r="GS130" s="861"/>
      <c r="GT130" s="861"/>
      <c r="GU130" s="861"/>
      <c r="GV130" s="861"/>
      <c r="GW130" s="861"/>
      <c r="GX130" s="1631"/>
      <c r="GY130" s="1631"/>
      <c r="GZ130" s="1631"/>
      <c r="HA130" s="1631"/>
      <c r="HB130" s="1631"/>
      <c r="HC130" s="1631"/>
      <c r="HD130" s="1631"/>
      <c r="HE130" s="1631"/>
      <c r="HF130" s="1631"/>
      <c r="HG130" s="1631"/>
      <c r="HH130" s="1631"/>
      <c r="HI130" s="1631"/>
    </row>
    <row r="131" spans="23:217">
      <c r="CS131" s="382"/>
      <c r="CT131" s="862"/>
      <c r="CU131" s="862"/>
      <c r="CV131" s="862"/>
      <c r="CW131" s="862"/>
      <c r="CX131" s="862"/>
      <c r="CY131" s="435"/>
      <c r="CZ131" s="862"/>
      <c r="DA131" s="862"/>
      <c r="DB131" s="862"/>
      <c r="DC131" s="862"/>
      <c r="DX131" s="382"/>
      <c r="DY131" s="853"/>
      <c r="DZ131" s="853"/>
      <c r="EA131" s="853"/>
      <c r="EB131" s="853"/>
      <c r="EC131" s="853"/>
      <c r="ED131" s="853"/>
      <c r="EE131" s="853"/>
      <c r="EH131" s="382"/>
      <c r="EI131" s="933"/>
      <c r="EJ131" s="933"/>
      <c r="EK131" s="435"/>
      <c r="EL131" s="933"/>
      <c r="EM131" s="933"/>
      <c r="EN131" s="933"/>
      <c r="EO131" s="933"/>
      <c r="EP131" s="439"/>
      <c r="EQ131" s="862"/>
      <c r="ER131" s="382"/>
      <c r="ES131" s="933"/>
      <c r="ET131" s="862"/>
      <c r="EU131" s="862"/>
      <c r="EV131" s="435"/>
      <c r="EW131" s="862"/>
      <c r="EX131" s="862"/>
      <c r="EY131" s="862"/>
      <c r="EZ131" s="435"/>
      <c r="FA131" s="862"/>
      <c r="FB131" s="435"/>
      <c r="FC131" s="862"/>
      <c r="FD131" s="525"/>
      <c r="FE131" s="862"/>
      <c r="FF131" s="862"/>
      <c r="FG131" s="525"/>
      <c r="FW131" s="439"/>
      <c r="FX131" s="918"/>
      <c r="FY131" s="918"/>
      <c r="FZ131" s="918"/>
      <c r="GA131" s="918"/>
      <c r="GB131" s="918"/>
      <c r="GC131" s="918"/>
      <c r="GD131" s="918"/>
      <c r="GE131" s="918"/>
      <c r="GF131" s="918"/>
      <c r="GG131" s="918"/>
      <c r="GH131" s="918"/>
      <c r="GI131" s="918"/>
      <c r="GM131" s="861"/>
      <c r="GN131" s="861"/>
      <c r="GO131" s="861"/>
      <c r="GP131" s="861"/>
      <c r="GQ131" s="861"/>
      <c r="GR131" s="861"/>
      <c r="GS131" s="861"/>
      <c r="GT131" s="861"/>
      <c r="GU131" s="861"/>
      <c r="GV131" s="861"/>
      <c r="GW131" s="861"/>
      <c r="GX131" s="1631"/>
      <c r="GY131" s="1631"/>
      <c r="GZ131" s="1631"/>
      <c r="HA131" s="1631"/>
      <c r="HB131" s="1631"/>
      <c r="HC131" s="1631"/>
      <c r="HD131" s="1631"/>
      <c r="HE131" s="1631"/>
      <c r="HF131" s="1631"/>
      <c r="HG131" s="1631"/>
      <c r="HH131" s="1631"/>
      <c r="HI131" s="1631"/>
    </row>
    <row r="132" spans="23:217">
      <c r="CS132" s="382"/>
      <c r="CT132" s="862"/>
      <c r="CU132" s="862"/>
      <c r="CV132" s="862"/>
      <c r="CW132" s="435"/>
      <c r="CX132" s="435"/>
      <c r="CY132" s="435"/>
      <c r="CZ132" s="435"/>
      <c r="DA132" s="435"/>
      <c r="DB132" s="435"/>
      <c r="DC132" s="435"/>
      <c r="DX132" s="382"/>
      <c r="DY132" s="382"/>
      <c r="DZ132" s="382"/>
      <c r="EA132" s="382"/>
      <c r="EB132" s="382"/>
      <c r="EC132" s="382"/>
      <c r="ED132" s="382"/>
      <c r="EE132" s="382"/>
      <c r="EH132" s="382"/>
      <c r="EI132" s="933"/>
      <c r="EJ132" s="933"/>
      <c r="EK132" s="435"/>
      <c r="EL132" s="933"/>
      <c r="EM132" s="933"/>
      <c r="EN132" s="933"/>
      <c r="EO132" s="933"/>
      <c r="EP132" s="862"/>
      <c r="EQ132" s="862"/>
      <c r="ER132" s="382"/>
      <c r="ES132" s="933"/>
      <c r="ET132" s="862"/>
      <c r="EU132" s="862"/>
      <c r="EV132" s="435"/>
      <c r="EW132" s="862"/>
      <c r="EX132" s="862"/>
      <c r="EY132" s="862"/>
      <c r="EZ132" s="435"/>
      <c r="FA132" s="862"/>
      <c r="FB132" s="435"/>
      <c r="FC132" s="862"/>
      <c r="FD132" s="525"/>
      <c r="FE132" s="862"/>
      <c r="FF132" s="862"/>
      <c r="FG132" s="463"/>
      <c r="FW132" s="439"/>
      <c r="FX132" s="463"/>
      <c r="FY132" s="463"/>
      <c r="FZ132" s="463"/>
      <c r="GA132" s="463"/>
      <c r="GB132" s="463"/>
      <c r="GC132" s="463"/>
      <c r="GD132" s="463"/>
      <c r="GE132" s="463"/>
      <c r="GF132" s="463"/>
      <c r="GG132" s="463"/>
      <c r="GH132" s="463"/>
      <c r="GI132" s="463"/>
      <c r="GM132" s="861"/>
      <c r="GN132" s="861"/>
      <c r="GO132" s="861"/>
      <c r="GP132" s="861"/>
      <c r="GQ132" s="861"/>
      <c r="GR132" s="861"/>
      <c r="GS132" s="861"/>
      <c r="GT132" s="861"/>
      <c r="GU132" s="861"/>
      <c r="GV132" s="861"/>
      <c r="GW132" s="861"/>
      <c r="GX132" s="1631"/>
      <c r="GY132" s="1631"/>
      <c r="GZ132" s="1631"/>
      <c r="HA132" s="1631"/>
      <c r="HB132" s="1631"/>
      <c r="HC132" s="1631"/>
      <c r="HD132" s="1631"/>
      <c r="HE132" s="1631"/>
      <c r="HF132" s="1631"/>
      <c r="HG132" s="1631"/>
      <c r="HH132" s="1631"/>
      <c r="HI132" s="1631"/>
    </row>
    <row r="133" spans="23:217">
      <c r="CS133" s="382"/>
      <c r="CT133" s="862"/>
      <c r="CU133" s="862"/>
      <c r="CV133" s="862"/>
      <c r="CW133" s="862"/>
      <c r="CX133" s="862"/>
      <c r="CY133" s="435"/>
      <c r="CZ133" s="862"/>
      <c r="DA133" s="862"/>
      <c r="DB133" s="862"/>
      <c r="DC133" s="862"/>
      <c r="EE133" s="382"/>
      <c r="EH133" s="382"/>
      <c r="EI133" s="933"/>
      <c r="EJ133" s="435"/>
      <c r="EK133" s="435"/>
      <c r="EL133" s="435"/>
      <c r="EM133" s="435"/>
      <c r="EN133" s="435"/>
      <c r="EO133" s="435"/>
      <c r="EP133" s="862"/>
      <c r="EQ133" s="862"/>
      <c r="ER133" s="382"/>
      <c r="ES133" s="862"/>
      <c r="ET133" s="862"/>
      <c r="EU133" s="862"/>
      <c r="EV133" s="862"/>
      <c r="EW133" s="862"/>
      <c r="EX133" s="862"/>
      <c r="EY133" s="862"/>
      <c r="EZ133" s="862"/>
      <c r="FA133" s="862"/>
      <c r="FB133" s="862"/>
      <c r="FC133" s="439"/>
      <c r="FD133" s="862"/>
      <c r="FE133" s="862"/>
      <c r="FF133" s="525"/>
      <c r="FG133" s="862"/>
      <c r="FW133" s="637"/>
      <c r="FX133" s="1757"/>
      <c r="FY133" s="1757"/>
      <c r="FZ133" s="1757"/>
      <c r="GA133" s="1757"/>
      <c r="GB133" s="1757"/>
      <c r="GC133" s="1757"/>
      <c r="GD133" s="1757"/>
      <c r="GE133" s="1757"/>
      <c r="GF133" s="1757"/>
      <c r="GG133" s="1757"/>
      <c r="GH133" s="1757"/>
      <c r="GI133" s="1757"/>
      <c r="GJ133" s="473"/>
      <c r="GM133" s="861"/>
      <c r="GN133" s="861"/>
      <c r="GO133" s="861"/>
      <c r="GP133" s="861"/>
      <c r="GQ133" s="861"/>
      <c r="GR133" s="861"/>
      <c r="GS133" s="861"/>
      <c r="GT133" s="861"/>
      <c r="GU133" s="861"/>
      <c r="GV133" s="861"/>
      <c r="GW133" s="861"/>
      <c r="GX133" s="562"/>
      <c r="GY133" s="562"/>
      <c r="GZ133" s="562"/>
      <c r="HA133" s="562"/>
      <c r="HB133" s="562"/>
      <c r="HC133" s="562"/>
      <c r="HD133" s="562"/>
      <c r="HE133" s="562"/>
      <c r="HF133" s="562"/>
      <c r="HG133" s="562"/>
      <c r="HH133" s="562"/>
      <c r="HI133" s="562"/>
    </row>
    <row r="134" spans="23:217">
      <c r="CS134" s="382"/>
      <c r="CT134" s="862"/>
      <c r="CU134" s="862"/>
      <c r="CV134" s="862"/>
      <c r="CW134" s="862"/>
      <c r="CX134" s="862"/>
      <c r="CY134" s="435"/>
      <c r="CZ134" s="862"/>
      <c r="DA134" s="862"/>
      <c r="DB134" s="862"/>
      <c r="DC134" s="862"/>
      <c r="EE134" s="382"/>
      <c r="EH134" s="382"/>
      <c r="EI134" s="933"/>
      <c r="EJ134" s="435"/>
      <c r="EK134" s="435"/>
      <c r="EL134" s="435"/>
      <c r="EM134" s="435"/>
      <c r="EN134" s="435"/>
      <c r="EO134" s="435"/>
      <c r="EP134" s="862"/>
      <c r="EQ134" s="862"/>
      <c r="EW134" s="862"/>
      <c r="EX134" s="862"/>
      <c r="EY134" s="862"/>
      <c r="EZ134" s="862"/>
      <c r="FA134" s="862"/>
      <c r="FB134" s="862"/>
      <c r="FC134" s="439"/>
      <c r="FD134" s="862"/>
      <c r="FE134" s="862"/>
      <c r="FF134" s="525"/>
      <c r="FG134" s="862"/>
      <c r="FW134" s="637"/>
      <c r="FX134" s="1757"/>
      <c r="FY134" s="1757"/>
      <c r="FZ134" s="1757"/>
      <c r="GA134" s="1757"/>
      <c r="GB134" s="1757"/>
      <c r="GC134" s="1757"/>
      <c r="GD134" s="1757"/>
      <c r="GE134" s="1757"/>
      <c r="GF134" s="1757"/>
      <c r="GG134" s="1757"/>
      <c r="GH134" s="1757"/>
      <c r="GI134" s="1757"/>
      <c r="GJ134" s="473"/>
      <c r="GM134" s="549"/>
      <c r="GN134" s="549"/>
      <c r="GO134" s="549"/>
      <c r="GP134" s="549"/>
      <c r="GQ134" s="549"/>
      <c r="GR134" s="549"/>
      <c r="GS134" s="549"/>
      <c r="GT134" s="549"/>
      <c r="GU134" s="549"/>
      <c r="GV134" s="549"/>
      <c r="GW134" s="549"/>
    </row>
    <row r="135" spans="23:217">
      <c r="CS135" s="382"/>
      <c r="CT135" s="862"/>
      <c r="CU135" s="862"/>
      <c r="CV135" s="862"/>
      <c r="CW135" s="862"/>
      <c r="CX135" s="862"/>
      <c r="CY135" s="435"/>
      <c r="CZ135" s="862"/>
      <c r="DA135" s="862"/>
      <c r="DB135" s="862"/>
      <c r="DC135" s="862"/>
      <c r="DX135" s="382"/>
      <c r="DY135" s="382"/>
      <c r="DZ135" s="382"/>
      <c r="EA135" s="382"/>
      <c r="EB135" s="382"/>
      <c r="EC135" s="382"/>
      <c r="ED135" s="382"/>
      <c r="EE135" s="382"/>
      <c r="EH135" s="382"/>
      <c r="EI135" s="933"/>
      <c r="EJ135" s="933"/>
      <c r="EK135" s="435"/>
      <c r="EL135" s="933"/>
      <c r="EM135" s="933"/>
      <c r="EN135" s="933"/>
      <c r="EO135" s="933"/>
      <c r="EP135" s="862"/>
      <c r="EQ135" s="862"/>
      <c r="EW135" s="862"/>
      <c r="EX135" s="862"/>
      <c r="EY135" s="862"/>
      <c r="EZ135" s="862"/>
      <c r="FA135" s="862"/>
      <c r="FB135" s="862"/>
      <c r="FC135" s="439"/>
      <c r="FD135" s="862"/>
      <c r="FE135" s="862"/>
      <c r="FF135" s="525"/>
      <c r="FG135" s="862"/>
      <c r="FW135" s="637"/>
      <c r="FX135" s="1757"/>
      <c r="FY135" s="1757"/>
      <c r="FZ135" s="1757"/>
      <c r="GA135" s="1757"/>
      <c r="GB135" s="1757"/>
      <c r="GC135" s="1757"/>
      <c r="GD135" s="1757"/>
      <c r="GE135" s="1757"/>
      <c r="GF135" s="1757"/>
      <c r="GG135" s="1757"/>
      <c r="GH135" s="1757"/>
      <c r="GI135" s="1757"/>
      <c r="GJ135" s="473"/>
      <c r="GM135" s="861"/>
      <c r="GN135" s="861"/>
      <c r="GO135" s="861"/>
      <c r="GP135" s="861"/>
      <c r="GQ135" s="861"/>
      <c r="GR135" s="861"/>
      <c r="GS135" s="861"/>
      <c r="GT135" s="861"/>
      <c r="GU135" s="861"/>
      <c r="GV135" s="861"/>
      <c r="GW135" s="861"/>
    </row>
    <row r="136" spans="23:217">
      <c r="CS136" s="382"/>
      <c r="CT136" s="862"/>
      <c r="CU136" s="862"/>
      <c r="CV136" s="862"/>
      <c r="CW136" s="862"/>
      <c r="CX136" s="862"/>
      <c r="CY136" s="435"/>
      <c r="CZ136" s="862"/>
      <c r="DA136" s="862"/>
      <c r="DB136" s="862"/>
      <c r="DC136" s="862"/>
      <c r="DF136" s="382"/>
      <c r="DY136" s="382"/>
      <c r="DZ136" s="382"/>
      <c r="EA136" s="382"/>
      <c r="EB136" s="382"/>
      <c r="EC136" s="382"/>
      <c r="ED136" s="382"/>
      <c r="EE136" s="382"/>
      <c r="EH136" s="382"/>
      <c r="EI136" s="933"/>
      <c r="EJ136" s="933"/>
      <c r="EK136" s="933"/>
      <c r="EL136" s="933"/>
      <c r="EM136" s="933"/>
      <c r="EN136" s="933"/>
      <c r="EO136" s="933"/>
      <c r="EP136" s="862"/>
      <c r="EQ136" s="862"/>
      <c r="ER136" s="382"/>
      <c r="ES136" s="862"/>
      <c r="ET136" s="862"/>
      <c r="EU136" s="862"/>
      <c r="EV136" s="862"/>
      <c r="EW136" s="862"/>
      <c r="EX136" s="862"/>
      <c r="EY136" s="862"/>
      <c r="EZ136" s="862"/>
      <c r="FA136" s="862"/>
      <c r="FB136" s="862"/>
      <c r="FC136" s="439"/>
      <c r="FD136" s="862"/>
      <c r="FE136" s="862"/>
      <c r="FF136" s="525"/>
      <c r="FG136" s="862"/>
      <c r="FW136" s="1766"/>
      <c r="FX136" s="1757"/>
      <c r="FY136" s="1757"/>
      <c r="FZ136" s="1757"/>
      <c r="GA136" s="1757"/>
      <c r="GB136" s="1757"/>
      <c r="GC136" s="1757"/>
      <c r="GD136" s="1757"/>
      <c r="GE136" s="1757"/>
      <c r="GF136" s="1757"/>
      <c r="GG136" s="1757"/>
      <c r="GH136" s="1757"/>
      <c r="GI136" s="1757"/>
      <c r="GJ136" s="473"/>
    </row>
    <row r="137" spans="23:217">
      <c r="CS137" s="382"/>
      <c r="CT137" s="862"/>
      <c r="CU137" s="862"/>
      <c r="CV137" s="862"/>
      <c r="CW137" s="862"/>
      <c r="CX137" s="862"/>
      <c r="CY137" s="435"/>
      <c r="CZ137" s="862"/>
      <c r="DA137" s="862"/>
      <c r="DB137" s="862"/>
      <c r="DC137" s="862"/>
      <c r="DG137" s="599"/>
      <c r="DH137" s="599"/>
      <c r="DI137" s="599"/>
      <c r="DJ137" s="599"/>
      <c r="DK137" s="599"/>
      <c r="DL137" s="599"/>
      <c r="DM137" s="599"/>
      <c r="DN137" s="599"/>
      <c r="DO137" s="599"/>
      <c r="DP137" s="599"/>
      <c r="DQ137" s="599"/>
      <c r="DR137" s="599"/>
      <c r="DS137" s="599"/>
      <c r="DT137" s="599"/>
      <c r="DU137" s="599"/>
      <c r="DX137" s="382"/>
      <c r="DY137" s="382"/>
      <c r="DZ137" s="382"/>
      <c r="EA137" s="382"/>
      <c r="EB137" s="382"/>
      <c r="EC137" s="382"/>
      <c r="ED137" s="382"/>
      <c r="EE137" s="382"/>
      <c r="EH137" s="382"/>
      <c r="EI137" s="382"/>
      <c r="EJ137" s="382"/>
      <c r="EK137" s="382"/>
      <c r="EL137" s="382"/>
      <c r="EM137" s="382"/>
      <c r="EN137" s="382"/>
      <c r="EO137" s="382"/>
      <c r="EP137" s="862"/>
      <c r="ES137" s="862"/>
      <c r="ET137" s="862"/>
      <c r="EU137" s="862"/>
      <c r="EV137" s="862"/>
      <c r="EW137" s="862"/>
      <c r="EX137" s="862"/>
      <c r="EY137" s="862"/>
      <c r="EZ137" s="862"/>
      <c r="FA137" s="862"/>
      <c r="FB137" s="862"/>
      <c r="FC137" s="439"/>
      <c r="FD137" s="862"/>
      <c r="FE137" s="862"/>
      <c r="FF137" s="525"/>
      <c r="FG137" s="862"/>
      <c r="FW137" s="2180"/>
      <c r="FX137" s="2180"/>
      <c r="FY137" s="2180"/>
      <c r="FZ137" s="2180"/>
      <c r="GA137" s="2180"/>
      <c r="GB137" s="2180"/>
      <c r="GC137" s="2180"/>
      <c r="GD137" s="2180"/>
      <c r="GE137" s="2180"/>
      <c r="GF137" s="2180"/>
      <c r="GG137" s="2180"/>
      <c r="GH137" s="2180"/>
      <c r="GI137" s="2180"/>
      <c r="GJ137" s="2180"/>
    </row>
    <row r="138" spans="23:217">
      <c r="CS138" s="382"/>
      <c r="CT138" s="862"/>
      <c r="CU138" s="862"/>
      <c r="CV138" s="862"/>
      <c r="CW138" s="862"/>
      <c r="CX138" s="862"/>
      <c r="CY138" s="435"/>
      <c r="CZ138" s="862"/>
      <c r="DA138" s="862"/>
      <c r="DB138" s="862"/>
      <c r="DC138" s="862"/>
      <c r="DG138" s="599"/>
      <c r="DH138" s="599"/>
      <c r="DI138" s="599"/>
      <c r="DJ138" s="599"/>
      <c r="DK138" s="599"/>
      <c r="DL138" s="599"/>
      <c r="DM138" s="599"/>
      <c r="DN138" s="599"/>
      <c r="DO138" s="599"/>
      <c r="DP138" s="599"/>
      <c r="DQ138" s="599"/>
      <c r="DR138" s="599"/>
      <c r="DS138" s="599"/>
      <c r="DT138" s="599"/>
      <c r="DU138" s="599"/>
      <c r="EM138" s="382"/>
      <c r="EN138" s="382"/>
      <c r="EO138" s="382"/>
      <c r="EP138" s="862"/>
      <c r="FW138" s="382"/>
      <c r="FX138" s="439"/>
      <c r="FY138" s="439"/>
      <c r="FZ138" s="439"/>
      <c r="GA138" s="439"/>
      <c r="GB138" s="439"/>
      <c r="GC138" s="439"/>
      <c r="GD138" s="439"/>
      <c r="GE138" s="439"/>
      <c r="GF138" s="439"/>
      <c r="GG138" s="439"/>
      <c r="GH138" s="439"/>
      <c r="GI138" s="439"/>
      <c r="GJ138" s="439"/>
    </row>
    <row r="139" spans="23:217">
      <c r="CS139" s="382"/>
      <c r="CT139" s="862"/>
      <c r="CU139" s="862"/>
      <c r="CV139" s="862"/>
      <c r="CW139" s="435"/>
      <c r="CX139" s="435"/>
      <c r="CY139" s="435"/>
      <c r="CZ139" s="435"/>
      <c r="DA139" s="435"/>
      <c r="DB139" s="435"/>
      <c r="DC139" s="435"/>
      <c r="DG139" s="933"/>
      <c r="DH139" s="933"/>
      <c r="DI139" s="933"/>
      <c r="DJ139" s="933"/>
      <c r="DK139" s="933"/>
      <c r="DL139" s="933"/>
      <c r="DM139" s="933"/>
      <c r="DN139" s="933"/>
      <c r="DO139" s="933"/>
      <c r="DP139" s="933"/>
      <c r="DQ139" s="933"/>
      <c r="DR139" s="933"/>
      <c r="DS139" s="933"/>
      <c r="DT139" s="933"/>
      <c r="DU139" s="933"/>
      <c r="EM139" s="382"/>
      <c r="EN139" s="382"/>
      <c r="EO139" s="382"/>
      <c r="EP139" s="862"/>
      <c r="FW139" s="382"/>
      <c r="FX139" s="1757"/>
      <c r="FY139" s="1757"/>
      <c r="FZ139" s="1757"/>
      <c r="GA139" s="1757"/>
      <c r="GB139" s="1757"/>
      <c r="GC139" s="1757"/>
      <c r="GD139" s="1757"/>
      <c r="GE139" s="1757"/>
      <c r="GF139" s="1757"/>
      <c r="GG139" s="1757"/>
      <c r="GH139" s="1757"/>
      <c r="GI139" s="1757"/>
      <c r="GJ139" s="473"/>
      <c r="GM139" s="637"/>
      <c r="GN139" s="637"/>
      <c r="GO139" s="637"/>
      <c r="GP139" s="637"/>
      <c r="GQ139" s="637"/>
      <c r="GR139" s="637"/>
      <c r="GS139" s="637"/>
      <c r="GT139" s="637"/>
      <c r="GU139" s="637"/>
      <c r="GV139" s="637"/>
      <c r="GW139" s="637"/>
    </row>
    <row r="140" spans="23:217">
      <c r="CS140" s="382"/>
      <c r="CT140" s="862"/>
      <c r="CU140" s="862"/>
      <c r="CV140" s="862"/>
      <c r="CW140" s="862"/>
      <c r="CX140" s="862"/>
      <c r="CY140" s="435"/>
      <c r="CZ140" s="862"/>
      <c r="DA140" s="862"/>
      <c r="DB140" s="862"/>
      <c r="DC140" s="862"/>
      <c r="DG140" s="933"/>
      <c r="DH140" s="933"/>
      <c r="DI140" s="933"/>
      <c r="DJ140" s="933"/>
      <c r="DK140" s="933"/>
      <c r="DL140" s="933"/>
      <c r="DM140" s="933"/>
      <c r="DN140" s="933"/>
      <c r="DO140" s="933"/>
      <c r="DP140" s="933"/>
      <c r="DQ140" s="933"/>
      <c r="DR140" s="933"/>
      <c r="DS140" s="933"/>
      <c r="DT140" s="933"/>
      <c r="DU140" s="933"/>
      <c r="EH140" s="382"/>
      <c r="EI140" s="382"/>
      <c r="EJ140" s="382"/>
      <c r="EK140" s="382"/>
      <c r="EL140" s="382"/>
      <c r="EM140" s="382"/>
      <c r="EN140" s="382"/>
      <c r="EO140" s="382"/>
      <c r="EP140" s="862"/>
      <c r="FW140" s="382"/>
      <c r="FX140" s="1757"/>
      <c r="FY140" s="1757"/>
      <c r="FZ140" s="1757"/>
      <c r="GA140" s="1757"/>
      <c r="GB140" s="1757"/>
      <c r="GC140" s="1757"/>
      <c r="GD140" s="1757"/>
      <c r="GE140" s="1757"/>
      <c r="GF140" s="1757"/>
      <c r="GG140" s="1757"/>
      <c r="GH140" s="1757"/>
      <c r="GI140" s="1757"/>
      <c r="GJ140" s="473"/>
    </row>
    <row r="141" spans="23:217">
      <c r="CS141" s="382"/>
      <c r="CT141" s="862"/>
      <c r="CU141" s="862"/>
      <c r="CV141" s="862"/>
      <c r="CW141" s="862"/>
      <c r="CX141" s="862"/>
      <c r="CY141" s="435"/>
      <c r="CZ141" s="862"/>
      <c r="DA141" s="862"/>
      <c r="DB141" s="862"/>
      <c r="DC141" s="862"/>
      <c r="DG141" s="933"/>
      <c r="DH141" s="933"/>
      <c r="DI141" s="933"/>
      <c r="DJ141" s="933"/>
      <c r="DK141" s="933"/>
      <c r="DL141" s="933"/>
      <c r="DM141" s="933"/>
      <c r="DN141" s="933"/>
      <c r="DO141" s="933"/>
      <c r="DP141" s="933"/>
      <c r="DQ141" s="933"/>
      <c r="DR141" s="933"/>
      <c r="DS141" s="933"/>
      <c r="DT141" s="933"/>
      <c r="DU141" s="933"/>
      <c r="DX141" s="382"/>
      <c r="DY141" s="398"/>
      <c r="DZ141" s="398"/>
      <c r="EA141" s="398"/>
      <c r="EB141" s="398"/>
      <c r="EC141" s="398"/>
      <c r="ED141" s="398"/>
      <c r="EE141" s="398"/>
      <c r="EP141" s="862"/>
      <c r="ER141" s="382"/>
      <c r="ES141" s="870"/>
      <c r="ET141" s="870"/>
      <c r="EU141" s="870"/>
      <c r="EV141" s="870"/>
      <c r="EW141" s="870"/>
      <c r="EX141" s="870"/>
      <c r="EY141" s="870"/>
      <c r="EZ141" s="870"/>
      <c r="FA141" s="870"/>
      <c r="FB141" s="870"/>
      <c r="FC141" s="870"/>
      <c r="FD141" s="870"/>
      <c r="FE141" s="870"/>
      <c r="FW141" s="382"/>
      <c r="FX141" s="1757"/>
      <c r="FY141" s="1757"/>
      <c r="FZ141" s="1757"/>
      <c r="GA141" s="1757"/>
      <c r="GB141" s="1757"/>
      <c r="GC141" s="1757"/>
      <c r="GD141" s="1757"/>
      <c r="GE141" s="1757"/>
      <c r="GF141" s="1757"/>
      <c r="GG141" s="1757"/>
      <c r="GH141" s="1757"/>
      <c r="GI141" s="1757"/>
      <c r="GJ141" s="473"/>
      <c r="GM141" s="571"/>
      <c r="GN141" s="571"/>
      <c r="GO141" s="571"/>
      <c r="GP141" s="571"/>
      <c r="GQ141" s="571"/>
      <c r="GR141" s="571"/>
      <c r="GS141" s="571"/>
      <c r="GT141" s="571"/>
      <c r="GU141" s="571"/>
      <c r="GV141" s="571"/>
      <c r="GW141" s="571"/>
      <c r="GX141" s="571"/>
      <c r="GY141" s="571"/>
      <c r="GZ141" s="571"/>
      <c r="HA141" s="571"/>
      <c r="HB141" s="571"/>
      <c r="HC141" s="571"/>
      <c r="HD141" s="571"/>
      <c r="HE141" s="571"/>
      <c r="HF141" s="571"/>
      <c r="HG141" s="571"/>
      <c r="HH141" s="571"/>
      <c r="HI141" s="571"/>
    </row>
    <row r="142" spans="23:217">
      <c r="CS142" s="382"/>
      <c r="CT142" s="862"/>
      <c r="CU142" s="862"/>
      <c r="CV142" s="862"/>
      <c r="CW142" s="435"/>
      <c r="CX142" s="435"/>
      <c r="CY142" s="435"/>
      <c r="CZ142" s="435"/>
      <c r="DA142" s="435"/>
      <c r="DB142" s="435"/>
      <c r="DC142" s="435"/>
      <c r="DG142" s="933"/>
      <c r="DH142" s="933"/>
      <c r="DI142" s="933"/>
      <c r="DJ142" s="933"/>
      <c r="DK142" s="933"/>
      <c r="DL142" s="933"/>
      <c r="DM142" s="933"/>
      <c r="DN142" s="933"/>
      <c r="DO142" s="933"/>
      <c r="DP142" s="933"/>
      <c r="DQ142" s="933"/>
      <c r="DR142" s="933"/>
      <c r="DS142" s="933"/>
      <c r="DT142" s="933"/>
      <c r="DU142" s="933"/>
      <c r="DX142" s="382"/>
      <c r="DY142" s="382"/>
      <c r="DZ142" s="2073"/>
      <c r="EA142" s="2073"/>
      <c r="EB142" s="2073"/>
      <c r="EC142" s="2073"/>
      <c r="ED142" s="2073"/>
      <c r="EE142" s="2073"/>
      <c r="EH142" s="382"/>
      <c r="EP142" s="862"/>
      <c r="ER142" s="870"/>
      <c r="ES142" s="870"/>
      <c r="ET142" s="2073"/>
      <c r="EU142" s="2073"/>
      <c r="EV142" s="2073"/>
      <c r="EW142" s="2073"/>
      <c r="EX142" s="2073"/>
      <c r="EY142" s="2073"/>
      <c r="EZ142" s="2073"/>
      <c r="FA142" s="2073"/>
      <c r="FB142" s="2073"/>
      <c r="FC142" s="2073"/>
      <c r="FD142" s="2073"/>
      <c r="FE142" s="2073"/>
      <c r="FF142" s="2073"/>
      <c r="FG142" s="2073"/>
      <c r="FW142" s="382"/>
      <c r="FX142" s="1757"/>
      <c r="FY142" s="1757"/>
      <c r="FZ142" s="1757"/>
      <c r="GA142" s="1757"/>
      <c r="GB142" s="1757"/>
      <c r="GC142" s="1757"/>
      <c r="GD142" s="1757"/>
      <c r="GE142" s="1757"/>
      <c r="GF142" s="1757"/>
      <c r="GG142" s="1757"/>
      <c r="GH142" s="1757"/>
      <c r="GI142" s="1757"/>
      <c r="GJ142" s="473"/>
      <c r="GM142" s="861"/>
      <c r="GN142" s="861"/>
      <c r="GO142" s="861"/>
      <c r="GP142" s="861"/>
      <c r="GQ142" s="861"/>
      <c r="GR142" s="861"/>
      <c r="GS142" s="861"/>
      <c r="GT142" s="861"/>
      <c r="GU142" s="861"/>
      <c r="GV142" s="861"/>
      <c r="GW142" s="861"/>
      <c r="GX142" s="861"/>
      <c r="GY142" s="861"/>
      <c r="GZ142" s="861"/>
      <c r="HA142" s="861"/>
      <c r="HB142" s="861"/>
      <c r="HC142" s="861"/>
      <c r="HD142" s="861"/>
      <c r="HE142" s="861"/>
      <c r="HF142" s="861"/>
      <c r="HG142" s="861"/>
      <c r="HH142" s="861"/>
      <c r="HI142" s="861"/>
    </row>
    <row r="143" spans="23:217">
      <c r="CS143" s="382"/>
      <c r="CT143" s="862"/>
      <c r="CU143" s="862"/>
      <c r="CV143" s="862"/>
      <c r="CW143" s="435"/>
      <c r="CX143" s="435"/>
      <c r="CY143" s="435"/>
      <c r="CZ143" s="435"/>
      <c r="DA143" s="435"/>
      <c r="DB143" s="435"/>
      <c r="DC143" s="435"/>
      <c r="DG143" s="933"/>
      <c r="DH143" s="933"/>
      <c r="DI143" s="933"/>
      <c r="DJ143" s="933"/>
      <c r="DK143" s="933"/>
      <c r="DL143" s="933"/>
      <c r="DM143" s="933"/>
      <c r="DN143" s="933"/>
      <c r="DO143" s="933"/>
      <c r="DP143" s="933"/>
      <c r="DQ143" s="933"/>
      <c r="DR143" s="933"/>
      <c r="DS143" s="933"/>
      <c r="DT143" s="933"/>
      <c r="DU143" s="933"/>
      <c r="DX143" s="382"/>
      <c r="DY143" s="439"/>
      <c r="DZ143" s="439"/>
      <c r="EA143" s="439"/>
      <c r="EB143" s="439"/>
      <c r="EC143" s="439"/>
      <c r="ED143" s="439"/>
      <c r="EE143" s="439"/>
      <c r="EP143" s="862"/>
      <c r="ER143" s="382"/>
      <c r="ES143" s="439"/>
      <c r="ET143" s="439"/>
      <c r="EU143" s="439"/>
      <c r="EV143" s="439"/>
      <c r="EW143" s="439"/>
      <c r="EX143" s="439"/>
      <c r="EY143" s="439"/>
      <c r="EZ143" s="439"/>
      <c r="FA143" s="439"/>
      <c r="FB143" s="439"/>
      <c r="FC143" s="439"/>
      <c r="FD143" s="439"/>
      <c r="FE143" s="439"/>
      <c r="FF143" s="439"/>
      <c r="FW143" s="382"/>
      <c r="FX143" s="1757"/>
      <c r="FY143" s="1757"/>
      <c r="FZ143" s="1757"/>
      <c r="GA143" s="1757"/>
      <c r="GB143" s="1757"/>
      <c r="GC143" s="1757"/>
      <c r="GD143" s="1757"/>
      <c r="GE143" s="1757"/>
      <c r="GF143" s="1757"/>
      <c r="GG143" s="1757"/>
      <c r="GH143" s="1757"/>
      <c r="GI143" s="1757"/>
      <c r="GJ143" s="473"/>
      <c r="GM143" s="861"/>
      <c r="GN143" s="861"/>
      <c r="GO143" s="861"/>
      <c r="GP143" s="861"/>
      <c r="GQ143" s="861"/>
      <c r="GR143" s="861"/>
      <c r="GS143" s="861"/>
      <c r="GT143" s="861"/>
      <c r="GU143" s="861"/>
      <c r="GV143" s="861"/>
      <c r="GW143" s="861"/>
      <c r="GX143" s="562"/>
      <c r="GY143" s="562"/>
      <c r="GZ143" s="562"/>
      <c r="HA143" s="562"/>
      <c r="HB143" s="562"/>
      <c r="HC143" s="562"/>
      <c r="HD143" s="562"/>
      <c r="HE143" s="562"/>
      <c r="HF143" s="562"/>
      <c r="HG143" s="562"/>
      <c r="HH143" s="562"/>
      <c r="HI143" s="562"/>
    </row>
    <row r="144" spans="23:217">
      <c r="CS144" s="382"/>
      <c r="CT144" s="862"/>
      <c r="CU144" s="862"/>
      <c r="CV144" s="862"/>
      <c r="CW144" s="862"/>
      <c r="CX144" s="862"/>
      <c r="CY144" s="435"/>
      <c r="CZ144" s="862"/>
      <c r="DA144" s="862"/>
      <c r="DB144" s="862"/>
      <c r="DC144" s="862"/>
      <c r="DG144" s="933"/>
      <c r="DH144" s="933"/>
      <c r="DI144" s="933"/>
      <c r="DJ144" s="933"/>
      <c r="DK144" s="933"/>
      <c r="DL144" s="933"/>
      <c r="DM144" s="933"/>
      <c r="DN144" s="933"/>
      <c r="DO144" s="933"/>
      <c r="DP144" s="933"/>
      <c r="DQ144" s="933"/>
      <c r="DR144" s="933"/>
      <c r="DS144" s="933"/>
      <c r="DT144" s="933"/>
      <c r="DU144" s="933"/>
      <c r="DX144" s="382"/>
      <c r="DY144" s="853"/>
      <c r="DZ144" s="853"/>
      <c r="EA144" s="853"/>
      <c r="EB144" s="853"/>
      <c r="EC144" s="853"/>
      <c r="ED144" s="853"/>
      <c r="EE144" s="853"/>
      <c r="EP144" s="862"/>
      <c r="ER144" s="382"/>
      <c r="ES144" s="439"/>
      <c r="ET144" s="439"/>
      <c r="EU144" s="439"/>
      <c r="EV144" s="439"/>
      <c r="EW144" s="439"/>
      <c r="EX144" s="439"/>
      <c r="EY144" s="439"/>
      <c r="EZ144" s="439"/>
      <c r="FA144" s="439"/>
      <c r="FB144" s="439"/>
      <c r="FC144" s="439"/>
      <c r="FD144" s="439"/>
      <c r="FE144" s="439"/>
      <c r="FF144" s="439"/>
      <c r="FG144" s="439"/>
      <c r="FW144" s="382"/>
      <c r="FX144" s="1622"/>
      <c r="FY144" s="1622"/>
      <c r="FZ144" s="1622"/>
      <c r="GA144" s="1622"/>
      <c r="GB144" s="1622"/>
      <c r="GC144" s="1622"/>
      <c r="GD144" s="1622"/>
      <c r="GE144" s="1622"/>
      <c r="GF144" s="1622"/>
      <c r="GG144" s="1622"/>
      <c r="GH144" s="1622"/>
      <c r="GI144" s="1622"/>
      <c r="GJ144" s="918"/>
      <c r="GM144" s="861"/>
      <c r="GN144" s="861"/>
      <c r="GO144" s="861"/>
      <c r="GP144" s="861"/>
      <c r="GQ144" s="861"/>
      <c r="GR144" s="861"/>
      <c r="GS144" s="861"/>
      <c r="GT144" s="861"/>
      <c r="GU144" s="861"/>
      <c r="GV144" s="861"/>
      <c r="GW144" s="861"/>
      <c r="GX144" s="562"/>
      <c r="GY144" s="562"/>
      <c r="GZ144" s="562"/>
      <c r="HA144" s="562"/>
      <c r="HB144" s="562"/>
      <c r="HC144" s="562"/>
      <c r="HD144" s="562"/>
      <c r="HE144" s="562"/>
      <c r="HF144" s="562"/>
      <c r="HG144" s="562"/>
      <c r="HH144" s="562"/>
      <c r="HI144" s="562"/>
    </row>
    <row r="145" spans="23:217">
      <c r="CS145" s="382"/>
      <c r="CT145" s="862"/>
      <c r="CU145" s="862"/>
      <c r="CV145" s="862"/>
      <c r="CW145" s="862"/>
      <c r="CX145" s="862"/>
      <c r="CY145" s="435"/>
      <c r="CZ145" s="862"/>
      <c r="DA145" s="862"/>
      <c r="DB145" s="862"/>
      <c r="DC145" s="862"/>
      <c r="DG145" s="933"/>
      <c r="DH145" s="933"/>
      <c r="DI145" s="933"/>
      <c r="DJ145" s="933"/>
      <c r="DK145" s="933"/>
      <c r="DL145" s="933"/>
      <c r="DM145" s="933"/>
      <c r="DN145" s="933"/>
      <c r="DO145" s="933"/>
      <c r="DP145" s="933"/>
      <c r="DQ145" s="933"/>
      <c r="DR145" s="933"/>
      <c r="DS145" s="933"/>
      <c r="DT145" s="933"/>
      <c r="DU145" s="933"/>
      <c r="DX145" s="382"/>
      <c r="DY145" s="853"/>
      <c r="DZ145" s="853"/>
      <c r="EA145" s="853"/>
      <c r="EB145" s="853"/>
      <c r="EC145" s="853"/>
      <c r="ED145" s="853"/>
      <c r="EE145" s="853"/>
      <c r="EP145" s="862"/>
      <c r="ER145" s="382"/>
      <c r="ES145" s="933"/>
      <c r="ET145" s="933"/>
      <c r="EU145" s="933"/>
      <c r="EV145" s="435"/>
      <c r="EW145" s="933"/>
      <c r="EX145" s="933"/>
      <c r="EY145" s="933"/>
      <c r="EZ145" s="435"/>
      <c r="FA145" s="933"/>
      <c r="FB145" s="435"/>
      <c r="FC145" s="933"/>
      <c r="FD145" s="933"/>
      <c r="FE145" s="933"/>
      <c r="FF145" s="933"/>
      <c r="FG145" s="933"/>
      <c r="FW145" s="451"/>
      <c r="FX145" s="382"/>
      <c r="FY145" s="382"/>
      <c r="FZ145" s="382"/>
      <c r="GA145" s="382"/>
      <c r="GB145" s="382"/>
      <c r="GC145" s="382"/>
      <c r="GD145" s="382"/>
      <c r="GE145" s="382"/>
      <c r="GF145" s="382"/>
      <c r="GG145" s="382"/>
      <c r="GH145" s="382"/>
      <c r="GI145" s="382"/>
      <c r="GJ145" s="382"/>
      <c r="GM145" s="861"/>
      <c r="GN145" s="861"/>
      <c r="GO145" s="861"/>
      <c r="GP145" s="861"/>
      <c r="GQ145" s="861"/>
      <c r="GR145" s="861"/>
      <c r="GS145" s="861"/>
      <c r="GT145" s="861"/>
      <c r="GU145" s="861"/>
      <c r="GV145" s="861"/>
      <c r="GW145" s="861"/>
      <c r="GX145" s="562"/>
      <c r="GY145" s="562"/>
      <c r="GZ145" s="562"/>
      <c r="HA145" s="562"/>
      <c r="HB145" s="562"/>
      <c r="HC145" s="562"/>
      <c r="HD145" s="562"/>
      <c r="HE145" s="562"/>
      <c r="HF145" s="562"/>
      <c r="HG145" s="562"/>
      <c r="HH145" s="562"/>
      <c r="HI145" s="562"/>
    </row>
    <row r="146" spans="23:217">
      <c r="CS146" s="382"/>
      <c r="CT146" s="862"/>
      <c r="CU146" s="862"/>
      <c r="CV146" s="862"/>
      <c r="CW146" s="862"/>
      <c r="CX146" s="862"/>
      <c r="CY146" s="862"/>
      <c r="CZ146" s="862"/>
      <c r="DA146" s="862"/>
      <c r="DB146" s="862"/>
      <c r="DC146" s="862"/>
      <c r="DG146" s="933"/>
      <c r="DH146" s="933"/>
      <c r="DI146" s="933"/>
      <c r="DJ146" s="933"/>
      <c r="DK146" s="933"/>
      <c r="DL146" s="933"/>
      <c r="DM146" s="933"/>
      <c r="DN146" s="933"/>
      <c r="DO146" s="933"/>
      <c r="DP146" s="933"/>
      <c r="DQ146" s="933"/>
      <c r="DR146" s="933"/>
      <c r="DS146" s="933"/>
      <c r="DT146" s="933"/>
      <c r="DU146" s="933"/>
      <c r="DX146" s="382"/>
      <c r="DY146" s="853"/>
      <c r="DZ146" s="853"/>
      <c r="EA146" s="853"/>
      <c r="EB146" s="853"/>
      <c r="EC146" s="853"/>
      <c r="ED146" s="853"/>
      <c r="EE146" s="853"/>
      <c r="EH146" s="382"/>
      <c r="EI146" s="382"/>
      <c r="EJ146" s="382"/>
      <c r="EK146" s="382"/>
      <c r="EL146" s="382"/>
      <c r="EM146" s="382"/>
      <c r="EN146" s="382"/>
      <c r="EO146" s="382"/>
      <c r="EP146" s="862"/>
      <c r="ER146" s="382"/>
      <c r="ES146" s="933"/>
      <c r="ET146" s="862"/>
      <c r="EU146" s="862"/>
      <c r="EV146" s="435"/>
      <c r="EW146" s="862"/>
      <c r="EX146" s="862"/>
      <c r="EY146" s="862"/>
      <c r="EZ146" s="435"/>
      <c r="FA146" s="862"/>
      <c r="FB146" s="435"/>
      <c r="FC146" s="862"/>
      <c r="FD146" s="525"/>
      <c r="FE146" s="862"/>
      <c r="FF146" s="862"/>
      <c r="FG146" s="525"/>
      <c r="FW146" s="451"/>
      <c r="FX146" s="382"/>
      <c r="FY146" s="382"/>
      <c r="FZ146" s="382"/>
      <c r="GA146" s="382"/>
      <c r="GB146" s="382"/>
      <c r="GC146" s="382"/>
      <c r="GD146" s="382"/>
      <c r="GE146" s="382"/>
      <c r="GF146" s="382"/>
      <c r="GG146" s="382"/>
      <c r="GH146" s="382"/>
      <c r="GI146" s="382"/>
      <c r="GJ146" s="382"/>
      <c r="GM146" s="861"/>
      <c r="GN146" s="861"/>
      <c r="GO146" s="861"/>
      <c r="GP146" s="861"/>
      <c r="GQ146" s="861"/>
      <c r="GR146" s="861"/>
      <c r="GS146" s="861"/>
      <c r="GT146" s="861"/>
      <c r="GU146" s="861"/>
      <c r="GV146" s="861"/>
      <c r="GW146" s="861"/>
      <c r="GX146" s="562"/>
      <c r="GY146" s="562"/>
      <c r="GZ146" s="562"/>
      <c r="HA146" s="562"/>
      <c r="HB146" s="562"/>
      <c r="HC146" s="562"/>
      <c r="HD146" s="562"/>
      <c r="HE146" s="562"/>
      <c r="HF146" s="562"/>
      <c r="HG146" s="562"/>
      <c r="HH146" s="562"/>
      <c r="HI146" s="562"/>
    </row>
    <row r="147" spans="23:217">
      <c r="CS147" s="382"/>
      <c r="CT147" s="382"/>
      <c r="CU147" s="382"/>
      <c r="CV147" s="382"/>
      <c r="CW147" s="382"/>
      <c r="CX147" s="382"/>
      <c r="CY147" s="382"/>
      <c r="CZ147" s="382"/>
      <c r="DA147" s="382"/>
      <c r="DB147" s="382"/>
      <c r="DC147" s="382"/>
      <c r="DG147" s="933"/>
      <c r="DH147" s="933"/>
      <c r="DI147" s="933"/>
      <c r="DJ147" s="933"/>
      <c r="DK147" s="933"/>
      <c r="DL147" s="933"/>
      <c r="DM147" s="933"/>
      <c r="DN147" s="933"/>
      <c r="DO147" s="933"/>
      <c r="DP147" s="933"/>
      <c r="DQ147" s="933"/>
      <c r="DR147" s="933"/>
      <c r="DS147" s="933"/>
      <c r="DT147" s="933"/>
      <c r="DU147" s="933"/>
      <c r="DX147" s="382"/>
      <c r="DY147" s="853"/>
      <c r="DZ147" s="853"/>
      <c r="EA147" s="853"/>
      <c r="EB147" s="853"/>
      <c r="EC147" s="853"/>
      <c r="ED147" s="853"/>
      <c r="EE147" s="853"/>
      <c r="EH147" s="382"/>
      <c r="EI147" s="439"/>
      <c r="EJ147" s="2073"/>
      <c r="EK147" s="2073"/>
      <c r="EL147" s="2073"/>
      <c r="EM147" s="2073"/>
      <c r="EN147" s="2073"/>
      <c r="EO147" s="2073"/>
      <c r="EP147" s="862"/>
      <c r="ER147" s="382"/>
      <c r="ES147" s="933"/>
      <c r="ET147" s="862"/>
      <c r="EU147" s="435"/>
      <c r="EV147" s="435"/>
      <c r="EW147" s="862"/>
      <c r="EX147" s="435"/>
      <c r="EY147" s="862"/>
      <c r="EZ147" s="435"/>
      <c r="FA147" s="862"/>
      <c r="FB147" s="435"/>
      <c r="FC147" s="862"/>
      <c r="FD147" s="525"/>
      <c r="FE147" s="862"/>
      <c r="FF147" s="862"/>
      <c r="FG147" s="525"/>
      <c r="FW147" s="451"/>
      <c r="FX147" s="382"/>
      <c r="FY147" s="382"/>
      <c r="FZ147" s="382"/>
      <c r="GA147" s="382"/>
      <c r="GB147" s="382"/>
      <c r="GC147" s="382"/>
      <c r="GD147" s="382"/>
      <c r="GE147" s="382"/>
      <c r="GF147" s="382"/>
      <c r="GG147" s="382"/>
      <c r="GH147" s="382"/>
      <c r="GI147" s="382"/>
      <c r="GJ147" s="382"/>
      <c r="GM147" s="861"/>
      <c r="GN147" s="861"/>
      <c r="GO147" s="861"/>
      <c r="GP147" s="861"/>
      <c r="GQ147" s="861"/>
      <c r="GR147" s="861"/>
      <c r="GS147" s="861"/>
      <c r="GT147" s="861"/>
      <c r="GU147" s="861"/>
      <c r="GV147" s="861"/>
      <c r="GW147" s="861"/>
      <c r="GX147" s="562"/>
      <c r="GY147" s="562"/>
      <c r="GZ147" s="562"/>
      <c r="HA147" s="562"/>
      <c r="HB147" s="562"/>
      <c r="HC147" s="562"/>
      <c r="HD147" s="562"/>
      <c r="HE147" s="562"/>
      <c r="HF147" s="562"/>
      <c r="HG147" s="562"/>
      <c r="HH147" s="562"/>
      <c r="HI147" s="562"/>
    </row>
    <row r="148" spans="23:217">
      <c r="DG148" s="933"/>
      <c r="DH148" s="933"/>
      <c r="DI148" s="933"/>
      <c r="DJ148" s="933"/>
      <c r="DK148" s="933"/>
      <c r="DL148" s="933"/>
      <c r="DM148" s="933"/>
      <c r="DN148" s="933"/>
      <c r="DO148" s="933"/>
      <c r="DP148" s="933"/>
      <c r="DQ148" s="933"/>
      <c r="DR148" s="933"/>
      <c r="DS148" s="933"/>
      <c r="DT148" s="933"/>
      <c r="DU148" s="933"/>
      <c r="DX148" s="382"/>
      <c r="DY148" s="853"/>
      <c r="DZ148" s="853"/>
      <c r="EA148" s="853"/>
      <c r="EB148" s="853"/>
      <c r="EC148" s="853"/>
      <c r="ED148" s="853"/>
      <c r="EE148" s="853"/>
      <c r="EH148" s="382"/>
      <c r="EI148" s="414"/>
      <c r="EJ148" s="439"/>
      <c r="EK148" s="439"/>
      <c r="EL148" s="439"/>
      <c r="EM148" s="439"/>
      <c r="EN148" s="439"/>
      <c r="EO148" s="439"/>
      <c r="EP148" s="862"/>
      <c r="ER148" s="382"/>
      <c r="ES148" s="933"/>
      <c r="ET148" s="862"/>
      <c r="EU148" s="862"/>
      <c r="EV148" s="435"/>
      <c r="EW148" s="862"/>
      <c r="EX148" s="862"/>
      <c r="EY148" s="862"/>
      <c r="EZ148" s="435"/>
      <c r="FA148" s="862"/>
      <c r="FB148" s="435"/>
      <c r="FC148" s="862"/>
      <c r="FD148" s="525"/>
      <c r="FE148" s="862"/>
      <c r="FF148" s="862"/>
      <c r="FG148" s="525"/>
      <c r="FW148" s="637"/>
      <c r="GM148" s="861"/>
      <c r="GN148" s="861"/>
      <c r="GO148" s="861"/>
      <c r="GP148" s="861"/>
      <c r="GQ148" s="861"/>
      <c r="GR148" s="861"/>
      <c r="GS148" s="861"/>
      <c r="GT148" s="861"/>
      <c r="GU148" s="861"/>
      <c r="GV148" s="861"/>
      <c r="GW148" s="861"/>
      <c r="GX148" s="562"/>
      <c r="GY148" s="562"/>
      <c r="GZ148" s="562"/>
      <c r="HA148" s="562"/>
      <c r="HB148" s="562"/>
      <c r="HC148" s="562"/>
      <c r="HD148" s="562"/>
      <c r="HE148" s="562"/>
      <c r="HF148" s="562"/>
      <c r="HG148" s="562"/>
      <c r="HH148" s="562"/>
      <c r="HI148" s="562"/>
    </row>
    <row r="149" spans="23:217">
      <c r="DG149" s="933"/>
      <c r="DH149" s="933"/>
      <c r="DI149" s="933"/>
      <c r="DJ149" s="933"/>
      <c r="DK149" s="933"/>
      <c r="DL149" s="933"/>
      <c r="DM149" s="933"/>
      <c r="DN149" s="933"/>
      <c r="DO149" s="933"/>
      <c r="DP149" s="933"/>
      <c r="DQ149" s="933"/>
      <c r="DR149" s="933"/>
      <c r="DS149" s="933"/>
      <c r="DT149" s="933"/>
      <c r="DU149" s="933"/>
      <c r="DX149" s="382"/>
      <c r="DY149" s="853"/>
      <c r="DZ149" s="853"/>
      <c r="EA149" s="853"/>
      <c r="EB149" s="853"/>
      <c r="EC149" s="853"/>
      <c r="ED149" s="853"/>
      <c r="EE149" s="853"/>
      <c r="EH149" s="382"/>
      <c r="EI149" s="439"/>
      <c r="EJ149" s="439"/>
      <c r="EK149" s="439"/>
      <c r="EL149" s="439"/>
      <c r="EM149" s="439"/>
      <c r="EN149" s="439"/>
      <c r="EO149" s="439"/>
      <c r="EP149" s="862"/>
      <c r="ER149" s="382"/>
      <c r="ES149" s="933"/>
      <c r="ET149" s="862"/>
      <c r="EU149" s="862"/>
      <c r="EV149" s="435"/>
      <c r="EW149" s="862"/>
      <c r="EX149" s="862"/>
      <c r="EY149" s="862"/>
      <c r="EZ149" s="435"/>
      <c r="FA149" s="862"/>
      <c r="FB149" s="435"/>
      <c r="FC149" s="862"/>
      <c r="FD149" s="525"/>
      <c r="FE149" s="862"/>
      <c r="FF149" s="862"/>
      <c r="FG149" s="525"/>
      <c r="FW149" s="382"/>
      <c r="GM149" s="861"/>
      <c r="GN149" s="861"/>
      <c r="GO149" s="861"/>
      <c r="GP149" s="861"/>
      <c r="GQ149" s="861"/>
      <c r="GR149" s="861"/>
      <c r="GS149" s="861"/>
      <c r="GT149" s="861"/>
      <c r="GU149" s="861"/>
      <c r="GV149" s="861"/>
      <c r="GW149" s="861"/>
      <c r="GX149" s="562"/>
      <c r="GY149" s="562"/>
      <c r="GZ149" s="562"/>
      <c r="HA149" s="562"/>
      <c r="HB149" s="562"/>
      <c r="HC149" s="562"/>
      <c r="HD149" s="562"/>
      <c r="HE149" s="562"/>
      <c r="HF149" s="562"/>
      <c r="HG149" s="562"/>
      <c r="HH149" s="562"/>
      <c r="HI149" s="562"/>
    </row>
    <row r="150" spans="23:217">
      <c r="DG150" s="933"/>
      <c r="DH150" s="933"/>
      <c r="DI150" s="933"/>
      <c r="DJ150" s="933"/>
      <c r="DK150" s="933"/>
      <c r="DL150" s="933"/>
      <c r="DM150" s="933"/>
      <c r="DN150" s="933"/>
      <c r="DO150" s="933"/>
      <c r="DP150" s="933"/>
      <c r="DQ150" s="933"/>
      <c r="DR150" s="933"/>
      <c r="DS150" s="933"/>
      <c r="DT150" s="933"/>
      <c r="DU150" s="933"/>
      <c r="DV150" s="599"/>
      <c r="DW150" s="599"/>
      <c r="DX150" s="382"/>
      <c r="DY150" s="853"/>
      <c r="DZ150" s="853"/>
      <c r="EA150" s="853"/>
      <c r="EB150" s="853"/>
      <c r="EC150" s="853"/>
      <c r="ED150" s="853"/>
      <c r="EE150" s="853"/>
      <c r="EH150" s="382"/>
      <c r="EI150" s="525"/>
      <c r="EJ150" s="525"/>
      <c r="EK150" s="435"/>
      <c r="EL150" s="525"/>
      <c r="EM150" s="525"/>
      <c r="EN150" s="525"/>
      <c r="EO150" s="525"/>
      <c r="EP150" s="862"/>
      <c r="ER150" s="382"/>
      <c r="ES150" s="933"/>
      <c r="ET150" s="862"/>
      <c r="EU150" s="862"/>
      <c r="EV150" s="435"/>
      <c r="EW150" s="862"/>
      <c r="EX150" s="862"/>
      <c r="EY150" s="862"/>
      <c r="EZ150" s="435"/>
      <c r="FA150" s="862"/>
      <c r="FB150" s="435"/>
      <c r="FC150" s="862"/>
      <c r="FD150" s="525"/>
      <c r="FE150" s="862"/>
      <c r="FF150" s="862"/>
      <c r="FG150" s="525"/>
      <c r="FW150" s="637"/>
      <c r="GM150" s="549"/>
      <c r="GN150" s="549"/>
      <c r="GO150" s="549"/>
      <c r="GP150" s="549"/>
      <c r="GQ150" s="549"/>
      <c r="GR150" s="549"/>
      <c r="GS150" s="549"/>
      <c r="GT150" s="549"/>
      <c r="GU150" s="549"/>
      <c r="GV150" s="549"/>
      <c r="GW150" s="549"/>
      <c r="GX150" s="549"/>
      <c r="GY150" s="549"/>
      <c r="GZ150" s="549"/>
      <c r="HA150" s="549"/>
      <c r="HB150" s="549"/>
      <c r="HC150" s="549"/>
      <c r="HD150" s="549"/>
      <c r="HE150" s="549"/>
      <c r="HF150" s="549"/>
      <c r="HG150" s="549"/>
      <c r="HH150" s="549"/>
      <c r="HI150" s="549"/>
    </row>
    <row r="151" spans="23:217">
      <c r="CS151" s="382"/>
      <c r="CT151" s="382"/>
      <c r="CU151" s="382"/>
      <c r="CV151" s="382"/>
      <c r="CW151" s="382"/>
      <c r="CX151" s="382"/>
      <c r="CY151" s="382"/>
      <c r="CZ151" s="382"/>
      <c r="DA151" s="382"/>
      <c r="DB151" s="382"/>
      <c r="DC151" s="382"/>
      <c r="DG151" s="933"/>
      <c r="DH151" s="933"/>
      <c r="DI151" s="933"/>
      <c r="DJ151" s="933"/>
      <c r="DK151" s="933"/>
      <c r="DL151" s="933"/>
      <c r="DM151" s="933"/>
      <c r="DN151" s="933"/>
      <c r="DO151" s="933"/>
      <c r="DP151" s="933"/>
      <c r="DQ151" s="933"/>
      <c r="DR151" s="933"/>
      <c r="DS151" s="933"/>
      <c r="DT151" s="933"/>
      <c r="DU151" s="933"/>
      <c r="DV151" s="599"/>
      <c r="DW151" s="599"/>
      <c r="DX151" s="382"/>
      <c r="DY151" s="853"/>
      <c r="DZ151" s="853"/>
      <c r="EA151" s="853"/>
      <c r="EB151" s="853"/>
      <c r="EC151" s="853"/>
      <c r="ED151" s="853"/>
      <c r="EE151" s="853"/>
      <c r="EH151" s="382"/>
      <c r="EI151" s="933"/>
      <c r="EJ151" s="933"/>
      <c r="EK151" s="435"/>
      <c r="EL151" s="933"/>
      <c r="EM151" s="933"/>
      <c r="EN151" s="933"/>
      <c r="EO151" s="933"/>
      <c r="EP151" s="862"/>
      <c r="ER151" s="382"/>
      <c r="ES151" s="933"/>
      <c r="ET151" s="862"/>
      <c r="EU151" s="862"/>
      <c r="EV151" s="435"/>
      <c r="EW151" s="862"/>
      <c r="EX151" s="862"/>
      <c r="EY151" s="862"/>
      <c r="EZ151" s="435"/>
      <c r="FA151" s="862"/>
      <c r="FB151" s="435"/>
      <c r="FC151" s="862"/>
      <c r="FD151" s="525"/>
      <c r="FE151" s="862"/>
      <c r="FF151" s="862"/>
      <c r="FG151" s="525"/>
      <c r="FW151" s="2180"/>
      <c r="FX151" s="2180"/>
      <c r="FY151" s="2180"/>
      <c r="FZ151" s="2180"/>
      <c r="GA151" s="2180"/>
      <c r="GB151" s="2180"/>
      <c r="GC151" s="2180"/>
      <c r="GD151" s="2180"/>
      <c r="GE151" s="2180"/>
      <c r="GF151" s="2180"/>
      <c r="GG151" s="2180"/>
      <c r="GH151" s="2180"/>
      <c r="GI151" s="2180"/>
      <c r="GM151" s="861"/>
      <c r="GN151" s="861"/>
      <c r="GO151" s="861"/>
      <c r="GP151" s="861"/>
      <c r="GQ151" s="861"/>
      <c r="GR151" s="861"/>
      <c r="GS151" s="861"/>
      <c r="GT151" s="861"/>
      <c r="GU151" s="861"/>
      <c r="GV151" s="861"/>
      <c r="GW151" s="861"/>
      <c r="GX151" s="549"/>
      <c r="GY151" s="549"/>
      <c r="GZ151" s="549"/>
      <c r="HA151" s="549"/>
      <c r="HB151" s="549"/>
      <c r="HC151" s="549"/>
      <c r="HD151" s="549"/>
      <c r="HE151" s="549"/>
      <c r="HF151" s="549"/>
      <c r="HG151" s="549"/>
      <c r="HH151" s="549"/>
      <c r="HI151" s="549"/>
    </row>
    <row r="152" spans="23:217">
      <c r="CS152" s="382"/>
      <c r="CT152" s="439"/>
      <c r="CU152" s="439"/>
      <c r="CV152" s="439"/>
      <c r="CW152" s="2073"/>
      <c r="CX152" s="2154"/>
      <c r="CY152" s="2154"/>
      <c r="CZ152" s="439"/>
      <c r="DA152" s="439"/>
      <c r="DB152" s="439"/>
      <c r="DC152" s="439"/>
      <c r="DG152" s="933"/>
      <c r="DH152" s="933"/>
      <c r="DI152" s="933"/>
      <c r="DJ152" s="933"/>
      <c r="DK152" s="933"/>
      <c r="DL152" s="933"/>
      <c r="DM152" s="933"/>
      <c r="DN152" s="933"/>
      <c r="DO152" s="933"/>
      <c r="DP152" s="933"/>
      <c r="DQ152" s="933"/>
      <c r="DR152" s="933"/>
      <c r="DS152" s="933"/>
      <c r="DT152" s="933"/>
      <c r="DU152" s="933"/>
      <c r="DV152" s="525"/>
      <c r="DW152" s="525"/>
      <c r="DX152" s="382"/>
      <c r="DY152" s="853"/>
      <c r="DZ152" s="853"/>
      <c r="EA152" s="853"/>
      <c r="EB152" s="853"/>
      <c r="EC152" s="853"/>
      <c r="ED152" s="853"/>
      <c r="EE152" s="853"/>
      <c r="EH152" s="382"/>
      <c r="EI152" s="933"/>
      <c r="EJ152" s="933"/>
      <c r="EK152" s="435"/>
      <c r="EL152" s="933"/>
      <c r="EM152" s="933"/>
      <c r="EN152" s="933"/>
      <c r="EO152" s="933"/>
      <c r="EP152" s="382"/>
      <c r="ER152" s="382"/>
      <c r="ES152" s="933"/>
      <c r="ET152" s="862"/>
      <c r="EU152" s="862"/>
      <c r="EV152" s="435"/>
      <c r="EW152" s="862"/>
      <c r="EX152" s="862"/>
      <c r="EY152" s="862"/>
      <c r="EZ152" s="435"/>
      <c r="FA152" s="862"/>
      <c r="FB152" s="435"/>
      <c r="FC152" s="862"/>
      <c r="FD152" s="525"/>
      <c r="FE152" s="862"/>
      <c r="FF152" s="862"/>
      <c r="FG152" s="525"/>
      <c r="FW152" s="439"/>
      <c r="FX152" s="439"/>
      <c r="FY152" s="439"/>
      <c r="FZ152" s="439"/>
      <c r="GA152" s="439"/>
      <c r="GB152" s="439"/>
      <c r="GC152" s="439"/>
      <c r="GD152" s="439"/>
      <c r="GE152" s="439"/>
      <c r="GF152" s="439"/>
      <c r="GG152" s="439"/>
      <c r="GH152" s="439"/>
      <c r="GI152" s="439"/>
    </row>
    <row r="153" spans="23:217">
      <c r="CS153" s="398"/>
      <c r="CT153" s="398"/>
      <c r="CU153" s="385"/>
      <c r="CV153" s="385"/>
      <c r="CW153" s="385"/>
      <c r="CX153" s="385"/>
      <c r="CY153" s="385"/>
      <c r="CZ153" s="385"/>
      <c r="DB153" s="385"/>
      <c r="DC153" s="385"/>
      <c r="DG153" s="933"/>
      <c r="DH153" s="933"/>
      <c r="DI153" s="933"/>
      <c r="DJ153" s="933"/>
      <c r="DK153" s="933"/>
      <c r="DL153" s="933"/>
      <c r="DM153" s="933"/>
      <c r="DN153" s="933"/>
      <c r="DO153" s="933"/>
      <c r="DP153" s="933"/>
      <c r="DQ153" s="933"/>
      <c r="DR153" s="933"/>
      <c r="DS153" s="933"/>
      <c r="DT153" s="933"/>
      <c r="DU153" s="933"/>
      <c r="DV153" s="525"/>
      <c r="DW153" s="525"/>
      <c r="DX153" s="382"/>
      <c r="DY153" s="872"/>
      <c r="DZ153" s="872"/>
      <c r="EA153" s="872"/>
      <c r="EB153" s="872"/>
      <c r="EC153" s="872"/>
      <c r="ED153" s="872"/>
      <c r="EE153" s="872"/>
      <c r="EH153" s="382"/>
      <c r="EI153" s="933"/>
      <c r="EJ153" s="933"/>
      <c r="EK153" s="435"/>
      <c r="EL153" s="933"/>
      <c r="EM153" s="933"/>
      <c r="EN153" s="933"/>
      <c r="EO153" s="933"/>
      <c r="EP153" s="382"/>
      <c r="ER153" s="382"/>
      <c r="ES153" s="933"/>
      <c r="ET153" s="862"/>
      <c r="EU153" s="862"/>
      <c r="EV153" s="435"/>
      <c r="EW153" s="862"/>
      <c r="EX153" s="862"/>
      <c r="EY153" s="862"/>
      <c r="EZ153" s="435"/>
      <c r="FA153" s="862"/>
      <c r="FB153" s="435"/>
      <c r="FC153" s="435"/>
      <c r="FD153" s="525"/>
      <c r="FE153" s="862"/>
      <c r="FF153" s="435"/>
      <c r="FG153" s="525"/>
      <c r="FW153" s="439"/>
      <c r="FX153" s="463"/>
      <c r="FY153" s="463"/>
      <c r="FZ153" s="463"/>
      <c r="GA153" s="463"/>
      <c r="GB153" s="463"/>
      <c r="GC153" s="463"/>
      <c r="GD153" s="463"/>
      <c r="GE153" s="463"/>
      <c r="GF153" s="463"/>
      <c r="GG153" s="463"/>
      <c r="GH153" s="463"/>
      <c r="GI153" s="463"/>
    </row>
    <row r="154" spans="23:217" ht="14.25">
      <c r="W154" s="1602"/>
      <c r="X154" s="1602"/>
      <c r="Y154" s="1602"/>
      <c r="Z154" s="1602"/>
      <c r="AA154" s="1602"/>
      <c r="AB154" s="1602"/>
      <c r="AC154" s="1602"/>
      <c r="AD154" s="1602"/>
      <c r="AE154" s="1602"/>
      <c r="AF154" s="1602"/>
      <c r="CS154" s="382"/>
      <c r="CT154" s="439"/>
      <c r="CU154" s="439"/>
      <c r="CV154" s="439"/>
      <c r="CW154" s="439"/>
      <c r="CX154" s="439"/>
      <c r="CY154" s="439"/>
      <c r="CZ154" s="439"/>
      <c r="DA154" s="439"/>
      <c r="DB154" s="439"/>
      <c r="DC154" s="439"/>
      <c r="DG154" s="933"/>
      <c r="DH154" s="933"/>
      <c r="DI154" s="933"/>
      <c r="DJ154" s="933"/>
      <c r="DK154" s="933"/>
      <c r="DL154" s="933"/>
      <c r="DM154" s="933"/>
      <c r="DN154" s="933"/>
      <c r="DO154" s="933"/>
      <c r="DP154" s="933"/>
      <c r="DQ154" s="933"/>
      <c r="DR154" s="933"/>
      <c r="DS154" s="933"/>
      <c r="DT154" s="933"/>
      <c r="DU154" s="933"/>
      <c r="DV154" s="525"/>
      <c r="DW154" s="525"/>
      <c r="DX154" s="382"/>
      <c r="DY154" s="853"/>
      <c r="DZ154" s="853"/>
      <c r="EA154" s="853"/>
      <c r="EB154" s="853"/>
      <c r="EC154" s="853"/>
      <c r="ED154" s="853"/>
      <c r="EE154" s="853"/>
      <c r="EH154" s="382"/>
      <c r="EI154" s="933"/>
      <c r="EJ154" s="933"/>
      <c r="EK154" s="435"/>
      <c r="EL154" s="933"/>
      <c r="EM154" s="933"/>
      <c r="EN154" s="933"/>
      <c r="EO154" s="933"/>
      <c r="EP154" s="382"/>
      <c r="ER154" s="382"/>
      <c r="ES154" s="933"/>
      <c r="ET154" s="933"/>
      <c r="EU154" s="933"/>
      <c r="EV154" s="435"/>
      <c r="EW154" s="933"/>
      <c r="EX154" s="933"/>
      <c r="EY154" s="933"/>
      <c r="EZ154" s="435"/>
      <c r="FA154" s="933"/>
      <c r="FB154" s="435"/>
      <c r="FC154" s="933"/>
      <c r="FD154" s="933"/>
      <c r="FE154" s="933"/>
      <c r="FF154" s="933"/>
      <c r="FG154" s="933"/>
      <c r="FW154" s="439"/>
      <c r="FX154" s="463"/>
      <c r="FY154" s="463"/>
      <c r="FZ154" s="463"/>
      <c r="GA154" s="463"/>
      <c r="GB154" s="463"/>
      <c r="GC154" s="463"/>
      <c r="GD154" s="463"/>
      <c r="GE154" s="463"/>
      <c r="GF154" s="463"/>
      <c r="GG154" s="463"/>
      <c r="GH154" s="463"/>
      <c r="GI154" s="463"/>
    </row>
    <row r="155" spans="23:217" ht="14.25">
      <c r="W155" s="1602"/>
      <c r="X155" s="1602"/>
      <c r="Y155" s="1602"/>
      <c r="Z155" s="1602"/>
      <c r="AA155" s="1602"/>
      <c r="AB155" s="1602"/>
      <c r="AC155" s="1602"/>
      <c r="AD155" s="1602"/>
      <c r="AE155" s="1602"/>
      <c r="AF155" s="1602"/>
      <c r="CS155" s="382"/>
      <c r="CT155" s="862"/>
      <c r="CU155" s="862"/>
      <c r="CV155" s="435"/>
      <c r="CW155" s="862"/>
      <c r="CX155" s="862"/>
      <c r="CY155" s="862"/>
      <c r="CZ155" s="862"/>
      <c r="DA155" s="862"/>
      <c r="DB155" s="862"/>
      <c r="DC155" s="862"/>
      <c r="DV155" s="525"/>
      <c r="DW155" s="525"/>
      <c r="DX155" s="382"/>
      <c r="DY155" s="853"/>
      <c r="DZ155" s="853"/>
      <c r="EA155" s="853"/>
      <c r="EB155" s="853"/>
      <c r="EC155" s="853"/>
      <c r="ED155" s="853"/>
      <c r="EE155" s="853"/>
      <c r="EH155" s="382"/>
      <c r="EI155" s="933"/>
      <c r="EJ155" s="933"/>
      <c r="EK155" s="435"/>
      <c r="EL155" s="933"/>
      <c r="EM155" s="933"/>
      <c r="EN155" s="933"/>
      <c r="EO155" s="933"/>
      <c r="EP155" s="382"/>
      <c r="ER155" s="382"/>
      <c r="ES155" s="933"/>
      <c r="ET155" s="933"/>
      <c r="EU155" s="933"/>
      <c r="EV155" s="435"/>
      <c r="EW155" s="933"/>
      <c r="EX155" s="933"/>
      <c r="EY155" s="933"/>
      <c r="EZ155" s="435"/>
      <c r="FA155" s="933"/>
      <c r="FB155" s="435"/>
      <c r="FC155" s="933"/>
      <c r="FD155" s="933"/>
      <c r="FE155" s="933"/>
      <c r="FF155" s="933"/>
      <c r="FG155" s="933"/>
      <c r="FW155" s="439"/>
      <c r="FX155" s="463"/>
      <c r="FY155" s="463"/>
      <c r="FZ155" s="463"/>
      <c r="GA155" s="463"/>
      <c r="GB155" s="463"/>
      <c r="GC155" s="463"/>
      <c r="GD155" s="463"/>
      <c r="GE155" s="463"/>
      <c r="GF155" s="463"/>
      <c r="GG155" s="463"/>
      <c r="GH155" s="463"/>
      <c r="GI155" s="463"/>
      <c r="GM155" s="571"/>
      <c r="GN155" s="571"/>
      <c r="GO155" s="571"/>
      <c r="GP155" s="571"/>
      <c r="GQ155" s="571"/>
      <c r="GR155" s="571"/>
      <c r="GS155" s="571"/>
      <c r="GT155" s="571"/>
      <c r="GU155" s="571"/>
      <c r="GV155" s="571"/>
      <c r="GW155" s="571"/>
      <c r="GX155" s="571"/>
      <c r="GY155" s="571"/>
      <c r="GZ155" s="571"/>
      <c r="HA155" s="571"/>
      <c r="HB155" s="571"/>
      <c r="HC155" s="571"/>
      <c r="HD155" s="571"/>
      <c r="HE155" s="571"/>
      <c r="HF155" s="571"/>
      <c r="HG155" s="571"/>
      <c r="HH155" s="571"/>
      <c r="HI155" s="571"/>
    </row>
    <row r="156" spans="23:217" ht="14.25">
      <c r="W156" s="1602"/>
      <c r="X156" s="1602"/>
      <c r="Y156" s="1602"/>
      <c r="Z156" s="1602"/>
      <c r="AA156" s="1602"/>
      <c r="AB156" s="1602"/>
      <c r="AC156" s="1602"/>
      <c r="AD156" s="1602"/>
      <c r="AE156" s="1602"/>
      <c r="AF156" s="1602"/>
      <c r="CS156" s="382"/>
      <c r="CT156" s="862"/>
      <c r="CU156" s="862"/>
      <c r="CV156" s="862"/>
      <c r="CW156" s="862"/>
      <c r="CX156" s="862"/>
      <c r="CY156" s="435"/>
      <c r="CZ156" s="862"/>
      <c r="DA156" s="862"/>
      <c r="DB156" s="862"/>
      <c r="DC156" s="862"/>
      <c r="DV156" s="525"/>
      <c r="DW156" s="525"/>
      <c r="DX156" s="382"/>
      <c r="DY156" s="872"/>
      <c r="DZ156" s="872"/>
      <c r="EA156" s="872"/>
      <c r="EB156" s="872"/>
      <c r="EC156" s="872"/>
      <c r="ED156" s="872"/>
      <c r="EE156" s="872"/>
      <c r="EH156" s="382"/>
      <c r="EI156" s="933"/>
      <c r="EJ156" s="933"/>
      <c r="EK156" s="435"/>
      <c r="EL156" s="933"/>
      <c r="EM156" s="933"/>
      <c r="EN156" s="933"/>
      <c r="EO156" s="933"/>
      <c r="EP156" s="870"/>
      <c r="ER156" s="382"/>
      <c r="ES156" s="933"/>
      <c r="ET156" s="933"/>
      <c r="EU156" s="933"/>
      <c r="EV156" s="435"/>
      <c r="EW156" s="933"/>
      <c r="EX156" s="933"/>
      <c r="EY156" s="933"/>
      <c r="EZ156" s="435"/>
      <c r="FA156" s="933"/>
      <c r="FB156" s="435"/>
      <c r="FC156" s="933"/>
      <c r="FD156" s="933"/>
      <c r="FE156" s="933"/>
      <c r="FF156" s="933"/>
      <c r="FG156" s="933"/>
      <c r="FW156" s="439"/>
      <c r="FX156" s="463"/>
      <c r="FY156" s="463"/>
      <c r="FZ156" s="463"/>
      <c r="GA156" s="463"/>
      <c r="GB156" s="463"/>
      <c r="GC156" s="463"/>
      <c r="GD156" s="463"/>
      <c r="GE156" s="463"/>
      <c r="GF156" s="463"/>
      <c r="GG156" s="463"/>
      <c r="GH156" s="463"/>
      <c r="GI156" s="463"/>
      <c r="GM156" s="861"/>
      <c r="GN156" s="861"/>
      <c r="GO156" s="861"/>
      <c r="GP156" s="861"/>
      <c r="GQ156" s="861"/>
      <c r="GR156" s="861"/>
      <c r="GS156" s="861"/>
      <c r="GT156" s="861"/>
      <c r="GU156" s="861"/>
      <c r="GV156" s="861"/>
      <c r="GW156" s="861"/>
      <c r="GX156" s="861"/>
      <c r="GY156" s="861"/>
      <c r="GZ156" s="861"/>
      <c r="HA156" s="861"/>
      <c r="HB156" s="861"/>
      <c r="HC156" s="861"/>
      <c r="HD156" s="861"/>
      <c r="HE156" s="861"/>
      <c r="HF156" s="861"/>
      <c r="HG156" s="861"/>
      <c r="HH156" s="861"/>
      <c r="HI156" s="861"/>
    </row>
    <row r="157" spans="23:217">
      <c r="CS157" s="382"/>
      <c r="CT157" s="862"/>
      <c r="CU157" s="862"/>
      <c r="CV157" s="862"/>
      <c r="CW157" s="862"/>
      <c r="CX157" s="862"/>
      <c r="CY157" s="435"/>
      <c r="CZ157" s="862"/>
      <c r="DA157" s="862"/>
      <c r="DB157" s="862"/>
      <c r="DC157" s="862"/>
      <c r="DV157" s="525"/>
      <c r="DW157" s="525"/>
      <c r="DX157" s="382"/>
      <c r="DY157" s="872"/>
      <c r="DZ157" s="872"/>
      <c r="EA157" s="872"/>
      <c r="EB157" s="872"/>
      <c r="EC157" s="872"/>
      <c r="ED157" s="872"/>
      <c r="EE157" s="872"/>
      <c r="EH157" s="382"/>
      <c r="EI157" s="933"/>
      <c r="EJ157" s="933"/>
      <c r="EK157" s="435"/>
      <c r="EL157" s="933"/>
      <c r="EM157" s="933"/>
      <c r="EN157" s="933"/>
      <c r="EO157" s="933"/>
      <c r="EP157" s="1790"/>
      <c r="ER157" s="382"/>
      <c r="ES157" s="933"/>
      <c r="ET157" s="933"/>
      <c r="EU157" s="933"/>
      <c r="EV157" s="435"/>
      <c r="EW157" s="933"/>
      <c r="EX157" s="933"/>
      <c r="EY157" s="933"/>
      <c r="EZ157" s="435"/>
      <c r="FA157" s="933"/>
      <c r="FB157" s="435"/>
      <c r="FC157" s="933"/>
      <c r="FD157" s="933"/>
      <c r="FE157" s="933"/>
      <c r="FF157" s="933"/>
      <c r="FG157" s="933"/>
      <c r="FW157" s="439"/>
      <c r="FX157" s="463"/>
      <c r="FY157" s="463"/>
      <c r="FZ157" s="463"/>
      <c r="GA157" s="463"/>
      <c r="GB157" s="463"/>
      <c r="GC157" s="463"/>
      <c r="GD157" s="463"/>
      <c r="GE157" s="463"/>
      <c r="GF157" s="463"/>
      <c r="GG157" s="463"/>
      <c r="GH157" s="463"/>
      <c r="GI157" s="463"/>
      <c r="GM157" s="861"/>
      <c r="GN157" s="861"/>
      <c r="GO157" s="861"/>
      <c r="GP157" s="861"/>
      <c r="GQ157" s="861"/>
      <c r="GR157" s="861"/>
      <c r="GS157" s="861"/>
      <c r="GT157" s="861"/>
      <c r="GU157" s="861"/>
      <c r="GV157" s="861"/>
      <c r="GW157" s="861"/>
      <c r="GX157" s="1631"/>
      <c r="GY157" s="1631"/>
      <c r="GZ157" s="1631"/>
      <c r="HA157" s="1631"/>
      <c r="HB157" s="1631"/>
      <c r="HC157" s="1631"/>
      <c r="HD157" s="1631"/>
      <c r="HE157" s="1631"/>
      <c r="HF157" s="1631"/>
      <c r="HG157" s="1631"/>
      <c r="HH157" s="1631"/>
      <c r="HI157" s="1631"/>
    </row>
    <row r="158" spans="23:217">
      <c r="W158" s="549"/>
      <c r="X158" s="549"/>
      <c r="Y158" s="549"/>
      <c r="Z158" s="549"/>
      <c r="AA158" s="549"/>
      <c r="AB158" s="549"/>
      <c r="AC158" s="549"/>
      <c r="AD158" s="549"/>
      <c r="AE158" s="549"/>
      <c r="AF158" s="549"/>
      <c r="CS158" s="382"/>
      <c r="CT158" s="862"/>
      <c r="CU158" s="862"/>
      <c r="CV158" s="862"/>
      <c r="CW158" s="862"/>
      <c r="CX158" s="862"/>
      <c r="CY158" s="435"/>
      <c r="CZ158" s="862"/>
      <c r="DA158" s="862"/>
      <c r="DB158" s="862"/>
      <c r="DC158" s="862"/>
      <c r="DV158" s="525"/>
      <c r="DW158" s="525"/>
      <c r="DX158" s="382"/>
      <c r="DY158" s="853"/>
      <c r="DZ158" s="853"/>
      <c r="EA158" s="853"/>
      <c r="EB158" s="853"/>
      <c r="EC158" s="853"/>
      <c r="ED158" s="853"/>
      <c r="EE158" s="853"/>
      <c r="EH158" s="382"/>
      <c r="EI158" s="933"/>
      <c r="EJ158" s="933"/>
      <c r="EK158" s="435"/>
      <c r="EL158" s="933"/>
      <c r="EM158" s="933"/>
      <c r="EN158" s="933"/>
      <c r="EO158" s="933"/>
      <c r="ER158" s="382"/>
      <c r="ES158" s="933"/>
      <c r="ET158" s="933"/>
      <c r="EU158" s="933"/>
      <c r="EV158" s="435"/>
      <c r="EW158" s="933"/>
      <c r="EX158" s="933"/>
      <c r="EY158" s="933"/>
      <c r="EZ158" s="435"/>
      <c r="FA158" s="933"/>
      <c r="FB158" s="435"/>
      <c r="FC158" s="933"/>
      <c r="FD158" s="933"/>
      <c r="FE158" s="933"/>
      <c r="FF158" s="933"/>
      <c r="FG158" s="933"/>
      <c r="FW158" s="439"/>
      <c r="FX158" s="463"/>
      <c r="FY158" s="463"/>
      <c r="FZ158" s="463"/>
      <c r="GA158" s="463"/>
      <c r="GB158" s="463"/>
      <c r="GC158" s="463"/>
      <c r="GD158" s="463"/>
      <c r="GE158" s="463"/>
      <c r="GF158" s="463"/>
      <c r="GG158" s="463"/>
      <c r="GH158" s="463"/>
      <c r="GI158" s="463"/>
      <c r="GM158" s="861"/>
      <c r="GN158" s="861"/>
      <c r="GO158" s="861"/>
      <c r="GP158" s="861"/>
      <c r="GQ158" s="861"/>
      <c r="GR158" s="861"/>
      <c r="GS158" s="861"/>
      <c r="GT158" s="861"/>
      <c r="GU158" s="861"/>
      <c r="GV158" s="861"/>
      <c r="GW158" s="861"/>
      <c r="GX158" s="1631"/>
      <c r="GY158" s="1631"/>
      <c r="GZ158" s="1631"/>
      <c r="HA158" s="1631"/>
      <c r="HB158" s="1631"/>
      <c r="HC158" s="1631"/>
      <c r="HD158" s="1631"/>
      <c r="HE158" s="1631"/>
      <c r="HF158" s="1631"/>
      <c r="HG158" s="1631"/>
      <c r="HH158" s="1631"/>
      <c r="HI158" s="1631"/>
    </row>
    <row r="159" spans="23:217">
      <c r="W159" s="562"/>
      <c r="X159" s="562"/>
      <c r="Y159" s="562"/>
      <c r="Z159" s="562"/>
      <c r="AA159" s="562"/>
      <c r="AB159" s="562"/>
      <c r="AC159" s="562"/>
      <c r="AD159" s="562"/>
      <c r="AE159" s="562"/>
      <c r="AF159" s="562"/>
      <c r="CS159" s="382"/>
      <c r="CT159" s="862"/>
      <c r="CU159" s="862"/>
      <c r="CV159" s="862"/>
      <c r="CW159" s="862"/>
      <c r="CX159" s="862"/>
      <c r="CY159" s="435"/>
      <c r="CZ159" s="862"/>
      <c r="DA159" s="862"/>
      <c r="DB159" s="862"/>
      <c r="DC159" s="862"/>
      <c r="DV159" s="525"/>
      <c r="DW159" s="525"/>
      <c r="DX159" s="382"/>
      <c r="DY159" s="853"/>
      <c r="DZ159" s="853"/>
      <c r="EA159" s="853"/>
      <c r="EB159" s="853"/>
      <c r="EC159" s="853"/>
      <c r="ED159" s="853"/>
      <c r="EE159" s="853"/>
      <c r="EH159" s="382"/>
      <c r="EI159" s="933"/>
      <c r="EJ159" s="435"/>
      <c r="EK159" s="435"/>
      <c r="EL159" s="435"/>
      <c r="EM159" s="435"/>
      <c r="EN159" s="435"/>
      <c r="EO159" s="435"/>
      <c r="ER159" s="382"/>
      <c r="ES159" s="933"/>
      <c r="ET159" s="862"/>
      <c r="EU159" s="862"/>
      <c r="EV159" s="435"/>
      <c r="EW159" s="862"/>
      <c r="EX159" s="862"/>
      <c r="EY159" s="862"/>
      <c r="EZ159" s="435"/>
      <c r="FA159" s="862"/>
      <c r="FB159" s="435"/>
      <c r="FC159" s="862"/>
      <c r="FD159" s="525"/>
      <c r="FE159" s="862"/>
      <c r="FF159" s="862"/>
      <c r="FG159" s="525"/>
      <c r="FW159" s="439"/>
      <c r="FX159" s="463"/>
      <c r="FY159" s="463"/>
      <c r="FZ159" s="463"/>
      <c r="GA159" s="463"/>
      <c r="GB159" s="463"/>
      <c r="GC159" s="463"/>
      <c r="GD159" s="463"/>
      <c r="GE159" s="463"/>
      <c r="GF159" s="463"/>
      <c r="GG159" s="463"/>
      <c r="GH159" s="463"/>
      <c r="GI159" s="463"/>
      <c r="GM159" s="861"/>
      <c r="GN159" s="861"/>
      <c r="GO159" s="861"/>
      <c r="GP159" s="861"/>
      <c r="GQ159" s="861"/>
      <c r="GR159" s="861"/>
      <c r="GS159" s="861"/>
      <c r="GT159" s="861"/>
      <c r="GU159" s="861"/>
      <c r="GV159" s="861"/>
      <c r="GW159" s="861"/>
      <c r="GX159" s="1631"/>
      <c r="GY159" s="1631"/>
      <c r="GZ159" s="1631"/>
      <c r="HA159" s="1631"/>
      <c r="HB159" s="1631"/>
      <c r="HC159" s="1631"/>
      <c r="HD159" s="1631"/>
      <c r="HE159" s="1631"/>
      <c r="HF159" s="1631"/>
      <c r="HG159" s="1631"/>
      <c r="HH159" s="1631"/>
      <c r="HI159" s="1631"/>
    </row>
    <row r="160" spans="23:217">
      <c r="W160" s="562"/>
      <c r="X160" s="562"/>
      <c r="Y160" s="562"/>
      <c r="Z160" s="562"/>
      <c r="AA160" s="562"/>
      <c r="AB160" s="562"/>
      <c r="AC160" s="562"/>
      <c r="AD160" s="562"/>
      <c r="AE160" s="562"/>
      <c r="AF160" s="562"/>
      <c r="CS160" s="382"/>
      <c r="CT160" s="862"/>
      <c r="CU160" s="862"/>
      <c r="CV160" s="435"/>
      <c r="CW160" s="435"/>
      <c r="CX160" s="435"/>
      <c r="CY160" s="435"/>
      <c r="CZ160" s="435"/>
      <c r="DA160" s="862"/>
      <c r="DB160" s="862"/>
      <c r="DC160" s="862"/>
      <c r="DV160" s="525"/>
      <c r="DW160" s="525"/>
      <c r="DX160" s="382"/>
      <c r="DY160" s="382"/>
      <c r="DZ160" s="382"/>
      <c r="EA160" s="382"/>
      <c r="EB160" s="382"/>
      <c r="EC160" s="382"/>
      <c r="ED160" s="382"/>
      <c r="EE160" s="382"/>
      <c r="EH160" s="382"/>
      <c r="EI160" s="933"/>
      <c r="EJ160" s="933"/>
      <c r="EK160" s="435"/>
      <c r="EL160" s="933"/>
      <c r="EM160" s="933"/>
      <c r="EN160" s="933"/>
      <c r="EO160" s="933"/>
      <c r="ER160" s="382"/>
      <c r="ES160" s="933"/>
      <c r="ET160" s="862"/>
      <c r="EU160" s="862"/>
      <c r="EV160" s="435"/>
      <c r="EW160" s="862"/>
      <c r="EX160" s="862"/>
      <c r="EY160" s="862"/>
      <c r="EZ160" s="435"/>
      <c r="FA160" s="862"/>
      <c r="FB160" s="435"/>
      <c r="FC160" s="862"/>
      <c r="FD160" s="525"/>
      <c r="FE160" s="862"/>
      <c r="FF160" s="862"/>
      <c r="FG160" s="463"/>
      <c r="FW160" s="382"/>
      <c r="FX160" s="382"/>
      <c r="FY160" s="382"/>
      <c r="FZ160" s="382"/>
      <c r="GA160" s="382"/>
      <c r="GB160" s="382"/>
      <c r="GC160" s="382"/>
      <c r="GD160" s="382"/>
      <c r="GE160" s="382"/>
      <c r="GF160" s="382"/>
      <c r="GG160" s="382"/>
      <c r="GH160" s="382"/>
      <c r="GI160" s="382"/>
      <c r="GM160" s="861"/>
      <c r="GN160" s="861"/>
      <c r="GO160" s="861"/>
      <c r="GP160" s="861"/>
      <c r="GQ160" s="861"/>
      <c r="GR160" s="861"/>
      <c r="GS160" s="861"/>
      <c r="GT160" s="861"/>
      <c r="GU160" s="861"/>
      <c r="GV160" s="861"/>
      <c r="GW160" s="861"/>
      <c r="GX160" s="1631"/>
      <c r="GY160" s="1631"/>
      <c r="GZ160" s="1631"/>
      <c r="HA160" s="1631"/>
      <c r="HB160" s="1631"/>
      <c r="HC160" s="1631"/>
      <c r="HD160" s="1631"/>
      <c r="HE160" s="1631"/>
      <c r="HF160" s="1631"/>
      <c r="HG160" s="1631"/>
      <c r="HH160" s="1631"/>
      <c r="HI160" s="1631"/>
    </row>
    <row r="161" spans="23:217">
      <c r="W161" s="861"/>
      <c r="X161" s="861"/>
      <c r="Y161" s="861"/>
      <c r="Z161" s="861"/>
      <c r="AA161" s="861"/>
      <c r="AB161" s="861"/>
      <c r="AC161" s="861"/>
      <c r="AD161" s="861"/>
      <c r="AE161" s="861"/>
      <c r="AF161" s="861"/>
      <c r="CS161" s="382"/>
      <c r="CT161" s="862"/>
      <c r="CU161" s="862"/>
      <c r="CV161" s="862"/>
      <c r="CW161" s="862"/>
      <c r="CX161" s="862"/>
      <c r="CY161" s="435"/>
      <c r="CZ161" s="862"/>
      <c r="DA161" s="862"/>
      <c r="DB161" s="862"/>
      <c r="DC161" s="862"/>
      <c r="DG161" s="599"/>
      <c r="DH161" s="599"/>
      <c r="DI161" s="599"/>
      <c r="DJ161" s="599"/>
      <c r="DK161" s="599"/>
      <c r="DL161" s="599"/>
      <c r="DM161" s="599"/>
      <c r="DN161" s="599"/>
      <c r="DO161" s="599"/>
      <c r="DP161" s="599"/>
      <c r="DQ161" s="599"/>
      <c r="DR161" s="599"/>
      <c r="DS161" s="599"/>
      <c r="DT161" s="599"/>
      <c r="DU161" s="599"/>
      <c r="DV161" s="525"/>
      <c r="DW161" s="525"/>
      <c r="EE161" s="382"/>
      <c r="EH161" s="382"/>
      <c r="EI161" s="933"/>
      <c r="EJ161" s="933"/>
      <c r="EK161" s="435"/>
      <c r="EL161" s="933"/>
      <c r="EM161" s="933"/>
      <c r="EN161" s="933"/>
      <c r="EO161" s="933"/>
      <c r="EP161" s="382"/>
      <c r="ER161" s="382"/>
      <c r="ES161" s="862"/>
      <c r="ET161" s="862"/>
      <c r="EU161" s="862"/>
      <c r="EV161" s="862"/>
      <c r="EW161" s="862"/>
      <c r="EX161" s="862"/>
      <c r="EY161" s="862"/>
      <c r="EZ161" s="862"/>
      <c r="FA161" s="862"/>
      <c r="FB161" s="862"/>
      <c r="FC161" s="439"/>
      <c r="FD161" s="862"/>
      <c r="FE161" s="862"/>
      <c r="FF161" s="525"/>
      <c r="FG161" s="862"/>
      <c r="FW161" s="439"/>
      <c r="FX161" s="382"/>
      <c r="FY161" s="382"/>
      <c r="FZ161" s="382"/>
      <c r="GA161" s="382"/>
      <c r="GB161" s="382"/>
      <c r="GC161" s="382"/>
      <c r="GD161" s="382"/>
      <c r="GE161" s="382"/>
      <c r="GF161" s="382"/>
      <c r="GG161" s="382"/>
      <c r="GH161" s="382"/>
      <c r="GI161" s="382"/>
      <c r="GM161" s="861"/>
      <c r="GN161" s="861"/>
      <c r="GO161" s="861"/>
      <c r="GP161" s="861"/>
      <c r="GQ161" s="861"/>
      <c r="GR161" s="861"/>
      <c r="GS161" s="861"/>
      <c r="GT161" s="861"/>
      <c r="GU161" s="861"/>
      <c r="GV161" s="861"/>
      <c r="GW161" s="861"/>
      <c r="GX161" s="1631"/>
      <c r="GY161" s="1631"/>
      <c r="GZ161" s="1631"/>
      <c r="HA161" s="1631"/>
      <c r="HB161" s="1631"/>
      <c r="HC161" s="1631"/>
      <c r="HD161" s="1631"/>
      <c r="HE161" s="1631"/>
      <c r="HF161" s="1631"/>
      <c r="HG161" s="1631"/>
      <c r="HH161" s="1631"/>
      <c r="HI161" s="1631"/>
    </row>
    <row r="162" spans="23:217">
      <c r="W162" s="562"/>
      <c r="X162" s="562"/>
      <c r="Y162" s="562"/>
      <c r="Z162" s="562"/>
      <c r="AA162" s="562"/>
      <c r="AB162" s="562"/>
      <c r="AC162" s="562"/>
      <c r="AD162" s="562"/>
      <c r="AE162" s="562"/>
      <c r="AF162" s="562"/>
      <c r="CS162" s="382"/>
      <c r="CT162" s="435"/>
      <c r="CU162" s="435"/>
      <c r="CV162" s="435"/>
      <c r="CW162" s="435"/>
      <c r="CX162" s="435"/>
      <c r="CY162" s="435"/>
      <c r="CZ162" s="435"/>
      <c r="DA162" s="435"/>
      <c r="DB162" s="435"/>
      <c r="DC162" s="435"/>
      <c r="DG162" s="599"/>
      <c r="DH162" s="599"/>
      <c r="DI162" s="599"/>
      <c r="DJ162" s="599"/>
      <c r="DK162" s="599"/>
      <c r="DL162" s="599"/>
      <c r="DM162" s="599"/>
      <c r="DN162" s="599"/>
      <c r="DO162" s="599"/>
      <c r="DP162" s="599"/>
      <c r="DQ162" s="599"/>
      <c r="DR162" s="599"/>
      <c r="DS162" s="599"/>
      <c r="DT162" s="599"/>
      <c r="DU162" s="599"/>
      <c r="DV162" s="525"/>
      <c r="DW162" s="525"/>
      <c r="EE162" s="382"/>
      <c r="EH162" s="382"/>
      <c r="EI162" s="933"/>
      <c r="EJ162" s="435"/>
      <c r="EK162" s="435"/>
      <c r="EL162" s="435"/>
      <c r="EM162" s="435"/>
      <c r="EN162" s="435"/>
      <c r="EO162" s="435"/>
      <c r="EP162" s="382"/>
      <c r="EW162" s="862"/>
      <c r="EX162" s="862"/>
      <c r="EY162" s="862"/>
      <c r="EZ162" s="862"/>
      <c r="FA162" s="862"/>
      <c r="FB162" s="862"/>
      <c r="FC162" s="439"/>
      <c r="FD162" s="862"/>
      <c r="FE162" s="862"/>
      <c r="FF162" s="525"/>
      <c r="FG162" s="862"/>
      <c r="FW162" s="439"/>
      <c r="FX162" s="463"/>
      <c r="FY162" s="463"/>
      <c r="FZ162" s="463"/>
      <c r="GA162" s="463"/>
      <c r="GB162" s="463"/>
      <c r="GC162" s="463"/>
      <c r="GD162" s="463"/>
      <c r="GE162" s="463"/>
      <c r="GF162" s="463"/>
      <c r="GG162" s="463"/>
      <c r="GH162" s="463"/>
      <c r="GI162" s="463"/>
      <c r="GM162" s="861"/>
      <c r="GN162" s="861"/>
      <c r="GO162" s="861"/>
      <c r="GP162" s="861"/>
      <c r="GQ162" s="861"/>
      <c r="GR162" s="861"/>
      <c r="GS162" s="861"/>
      <c r="GT162" s="861"/>
      <c r="GU162" s="861"/>
      <c r="GV162" s="861"/>
      <c r="GW162" s="861"/>
      <c r="GX162" s="562"/>
      <c r="GY162" s="562"/>
      <c r="GZ162" s="562"/>
      <c r="HA162" s="562"/>
      <c r="HB162" s="562"/>
      <c r="HC162" s="562"/>
      <c r="HD162" s="562"/>
      <c r="HE162" s="562"/>
      <c r="HF162" s="562"/>
      <c r="HG162" s="562"/>
      <c r="HH162" s="562"/>
      <c r="HI162" s="562"/>
    </row>
    <row r="163" spans="23:217">
      <c r="W163" s="562"/>
      <c r="X163" s="562"/>
      <c r="Y163" s="562"/>
      <c r="Z163" s="562"/>
      <c r="AA163" s="562"/>
      <c r="AB163" s="562"/>
      <c r="AC163" s="562"/>
      <c r="AD163" s="562"/>
      <c r="AE163" s="562"/>
      <c r="AF163" s="562"/>
      <c r="CS163" s="382"/>
      <c r="CT163" s="862"/>
      <c r="CU163" s="862"/>
      <c r="CV163" s="862"/>
      <c r="CW163" s="862"/>
      <c r="CX163" s="862"/>
      <c r="CY163" s="435"/>
      <c r="CZ163" s="862"/>
      <c r="DA163" s="862"/>
      <c r="DB163" s="862"/>
      <c r="DC163" s="862"/>
      <c r="DF163" s="382"/>
      <c r="DV163" s="525"/>
      <c r="DW163" s="525"/>
      <c r="DX163" s="382"/>
      <c r="DY163" s="382"/>
      <c r="DZ163" s="382"/>
      <c r="EA163" s="382"/>
      <c r="EB163" s="382"/>
      <c r="EC163" s="382"/>
      <c r="ED163" s="382"/>
      <c r="EE163" s="382"/>
      <c r="EH163" s="382"/>
      <c r="EI163" s="933"/>
      <c r="EJ163" s="435"/>
      <c r="EK163" s="435"/>
      <c r="EL163" s="435"/>
      <c r="EM163" s="435"/>
      <c r="EN163" s="435"/>
      <c r="EO163" s="435"/>
      <c r="EP163" s="439"/>
      <c r="EW163" s="862"/>
      <c r="EX163" s="862"/>
      <c r="EY163" s="862"/>
      <c r="EZ163" s="862"/>
      <c r="FA163" s="862"/>
      <c r="FB163" s="862"/>
      <c r="FC163" s="439"/>
      <c r="FD163" s="862"/>
      <c r="FE163" s="862"/>
      <c r="FF163" s="525"/>
      <c r="FG163" s="862"/>
      <c r="FW163" s="439"/>
      <c r="FX163" s="463"/>
      <c r="FY163" s="463"/>
      <c r="FZ163" s="463"/>
      <c r="GA163" s="463"/>
      <c r="GB163" s="463"/>
      <c r="GC163" s="463"/>
      <c r="GD163" s="463"/>
      <c r="GE163" s="463"/>
      <c r="GF163" s="463"/>
      <c r="GG163" s="463"/>
      <c r="GH163" s="463"/>
      <c r="GI163" s="463"/>
      <c r="GM163" s="549"/>
      <c r="GN163" s="549"/>
      <c r="GO163" s="549"/>
      <c r="GP163" s="549"/>
      <c r="GQ163" s="549"/>
      <c r="GR163" s="549"/>
      <c r="GS163" s="549"/>
      <c r="GT163" s="549"/>
      <c r="GU163" s="549"/>
      <c r="GV163" s="549"/>
      <c r="GW163" s="549"/>
    </row>
    <row r="164" spans="23:217">
      <c r="W164" s="562"/>
      <c r="X164" s="562"/>
      <c r="Y164" s="562"/>
      <c r="Z164" s="562"/>
      <c r="AA164" s="562"/>
      <c r="AB164" s="562"/>
      <c r="AC164" s="562"/>
      <c r="AD164" s="562"/>
      <c r="AE164" s="562"/>
      <c r="AF164" s="562"/>
      <c r="CS164" s="382"/>
      <c r="CT164" s="862"/>
      <c r="CU164" s="862"/>
      <c r="CV164" s="862"/>
      <c r="CW164" s="862"/>
      <c r="CX164" s="862"/>
      <c r="CY164" s="435"/>
      <c r="CZ164" s="862"/>
      <c r="DA164" s="862"/>
      <c r="DB164" s="862"/>
      <c r="DC164" s="862"/>
      <c r="DF164" s="382"/>
      <c r="DV164" s="525"/>
      <c r="DW164" s="525"/>
      <c r="DY164" s="382"/>
      <c r="DZ164" s="382"/>
      <c r="EA164" s="382"/>
      <c r="EB164" s="382"/>
      <c r="EC164" s="382"/>
      <c r="ED164" s="382"/>
      <c r="EE164" s="382"/>
      <c r="EH164" s="382"/>
      <c r="EI164" s="933"/>
      <c r="EJ164" s="933"/>
      <c r="EK164" s="435"/>
      <c r="EL164" s="933"/>
      <c r="EM164" s="933"/>
      <c r="EN164" s="933"/>
      <c r="EO164" s="933"/>
      <c r="EP164" s="439"/>
      <c r="ER164" s="382"/>
      <c r="ES164" s="862"/>
      <c r="ET164" s="862"/>
      <c r="EU164" s="862"/>
      <c r="EV164" s="862"/>
      <c r="EW164" s="862"/>
      <c r="EX164" s="862"/>
      <c r="EY164" s="862"/>
      <c r="EZ164" s="862"/>
      <c r="FA164" s="862"/>
      <c r="FB164" s="862"/>
      <c r="FC164" s="439"/>
      <c r="FD164" s="862"/>
      <c r="FE164" s="862"/>
      <c r="FF164" s="525"/>
      <c r="FG164" s="862"/>
      <c r="FW164" s="2180"/>
      <c r="FX164" s="2180"/>
      <c r="FY164" s="2180"/>
      <c r="FZ164" s="2180"/>
      <c r="GA164" s="2180"/>
      <c r="GB164" s="2180"/>
      <c r="GC164" s="2180"/>
      <c r="GD164" s="2180"/>
      <c r="GE164" s="2180"/>
      <c r="GF164" s="2180"/>
      <c r="GG164" s="2180"/>
      <c r="GH164" s="2180"/>
      <c r="GI164" s="2180"/>
      <c r="GM164" s="861"/>
      <c r="GN164" s="861"/>
      <c r="GO164" s="861"/>
      <c r="GP164" s="861"/>
      <c r="GQ164" s="861"/>
      <c r="GR164" s="861"/>
      <c r="GS164" s="861"/>
      <c r="GT164" s="861"/>
      <c r="GU164" s="861"/>
      <c r="GV164" s="861"/>
      <c r="GW164" s="861"/>
    </row>
    <row r="165" spans="23:217">
      <c r="W165" s="562"/>
      <c r="X165" s="562"/>
      <c r="Y165" s="562"/>
      <c r="Z165" s="562"/>
      <c r="AA165" s="562"/>
      <c r="AB165" s="562"/>
      <c r="AC165" s="562"/>
      <c r="AD165" s="562"/>
      <c r="AE165" s="562"/>
      <c r="AF165" s="562"/>
      <c r="CS165" s="382"/>
      <c r="CT165" s="862"/>
      <c r="CU165" s="862"/>
      <c r="CV165" s="862"/>
      <c r="CW165" s="862"/>
      <c r="CX165" s="862"/>
      <c r="CY165" s="435"/>
      <c r="CZ165" s="862"/>
      <c r="DA165" s="862"/>
      <c r="DB165" s="862"/>
      <c r="DC165" s="862"/>
      <c r="DG165" s="599"/>
      <c r="DH165" s="599"/>
      <c r="DI165" s="599"/>
      <c r="DJ165" s="599"/>
      <c r="DK165" s="599"/>
      <c r="DL165" s="599"/>
      <c r="DM165" s="599"/>
      <c r="DN165" s="599"/>
      <c r="DO165" s="599"/>
      <c r="DP165" s="599"/>
      <c r="DQ165" s="599"/>
      <c r="DR165" s="599"/>
      <c r="DS165" s="599"/>
      <c r="DT165" s="599"/>
      <c r="DU165" s="599"/>
      <c r="DV165" s="525"/>
      <c r="DW165" s="525"/>
      <c r="DX165" s="382"/>
      <c r="DY165" s="382"/>
      <c r="DZ165" s="382"/>
      <c r="EA165" s="382"/>
      <c r="EB165" s="382"/>
      <c r="EC165" s="382"/>
      <c r="ED165" s="382"/>
      <c r="EE165" s="382"/>
      <c r="EH165" s="382"/>
      <c r="EI165" s="933"/>
      <c r="EJ165" s="933"/>
      <c r="EK165" s="933"/>
      <c r="EL165" s="933"/>
      <c r="EM165" s="933"/>
      <c r="EN165" s="933"/>
      <c r="EO165" s="933"/>
      <c r="EP165" s="525"/>
      <c r="ES165" s="862"/>
      <c r="ET165" s="862"/>
      <c r="EU165" s="862"/>
      <c r="EV165" s="862"/>
      <c r="EW165" s="862"/>
      <c r="EX165" s="862"/>
      <c r="EY165" s="862"/>
      <c r="EZ165" s="862"/>
      <c r="FA165" s="862"/>
      <c r="FB165" s="862"/>
      <c r="FC165" s="439"/>
      <c r="FD165" s="862"/>
      <c r="FE165" s="862"/>
      <c r="FF165" s="525"/>
      <c r="FG165" s="862"/>
      <c r="FW165" s="439"/>
      <c r="FX165" s="439"/>
      <c r="FY165" s="439"/>
      <c r="FZ165" s="439"/>
      <c r="GA165" s="439"/>
      <c r="GB165" s="439"/>
      <c r="GC165" s="439"/>
      <c r="GD165" s="439"/>
      <c r="GE165" s="439"/>
      <c r="GF165" s="439"/>
      <c r="GG165" s="439"/>
      <c r="GH165" s="439"/>
      <c r="GI165" s="439"/>
    </row>
    <row r="166" spans="23:217">
      <c r="W166" s="562"/>
      <c r="X166" s="562"/>
      <c r="Y166" s="562"/>
      <c r="Z166" s="562"/>
      <c r="AA166" s="562"/>
      <c r="AB166" s="562"/>
      <c r="AC166" s="562"/>
      <c r="AD166" s="562"/>
      <c r="AE166" s="562"/>
      <c r="AF166" s="562"/>
      <c r="CS166" s="382"/>
      <c r="CT166" s="862"/>
      <c r="CU166" s="862"/>
      <c r="CV166" s="862"/>
      <c r="CW166" s="862"/>
      <c r="CX166" s="862"/>
      <c r="CY166" s="435"/>
      <c r="CZ166" s="862"/>
      <c r="DA166" s="862"/>
      <c r="DB166" s="862"/>
      <c r="DC166" s="862"/>
      <c r="DG166" s="599"/>
      <c r="DH166" s="599"/>
      <c r="DI166" s="599"/>
      <c r="DJ166" s="599"/>
      <c r="DK166" s="599"/>
      <c r="DL166" s="599"/>
      <c r="DM166" s="599"/>
      <c r="DN166" s="599"/>
      <c r="DO166" s="599"/>
      <c r="DP166" s="599"/>
      <c r="DQ166" s="599"/>
      <c r="DR166" s="599"/>
      <c r="DS166" s="599"/>
      <c r="DT166" s="599"/>
      <c r="DU166" s="599"/>
      <c r="DV166" s="525"/>
      <c r="DW166" s="525"/>
      <c r="EH166" s="382"/>
      <c r="EI166" s="382"/>
      <c r="EJ166" s="382"/>
      <c r="EK166" s="382"/>
      <c r="EL166" s="382"/>
      <c r="EM166" s="382"/>
      <c r="EN166" s="382"/>
      <c r="EO166" s="382"/>
      <c r="EP166" s="525"/>
      <c r="ES166" s="862"/>
      <c r="ET166" s="862"/>
      <c r="EU166" s="862"/>
      <c r="EV166" s="862"/>
      <c r="EW166" s="862"/>
      <c r="EX166" s="862"/>
      <c r="EY166" s="862"/>
      <c r="EZ166" s="862"/>
      <c r="FA166" s="862"/>
      <c r="FB166" s="862"/>
      <c r="FC166" s="439"/>
      <c r="FD166" s="862"/>
      <c r="FE166" s="862"/>
      <c r="FF166" s="525"/>
      <c r="FG166" s="862"/>
      <c r="FW166" s="439"/>
      <c r="FX166" s="918"/>
      <c r="FY166" s="918"/>
      <c r="FZ166" s="918"/>
      <c r="GA166" s="918"/>
      <c r="GB166" s="918"/>
      <c r="GC166" s="918"/>
      <c r="GD166" s="918"/>
      <c r="GE166" s="918"/>
      <c r="GF166" s="918"/>
      <c r="GG166" s="918"/>
      <c r="GH166" s="918"/>
      <c r="GI166" s="918"/>
    </row>
    <row r="167" spans="23:217">
      <c r="W167" s="562"/>
      <c r="X167" s="562"/>
      <c r="Y167" s="562"/>
      <c r="Z167" s="562"/>
      <c r="AA167" s="562"/>
      <c r="AB167" s="562"/>
      <c r="AC167" s="562"/>
      <c r="AD167" s="562"/>
      <c r="AE167" s="562"/>
      <c r="AF167" s="562"/>
      <c r="CS167" s="382"/>
      <c r="CT167" s="862"/>
      <c r="CU167" s="862"/>
      <c r="CV167" s="862"/>
      <c r="CW167" s="862"/>
      <c r="CX167" s="862"/>
      <c r="CY167" s="435"/>
      <c r="CZ167" s="862"/>
      <c r="DA167" s="862"/>
      <c r="DB167" s="862"/>
      <c r="DC167" s="862"/>
      <c r="DG167" s="933"/>
      <c r="DH167" s="933"/>
      <c r="DI167" s="933"/>
      <c r="DJ167" s="933"/>
      <c r="DK167" s="933"/>
      <c r="DL167" s="933"/>
      <c r="DM167" s="933"/>
      <c r="DN167" s="933"/>
      <c r="DO167" s="933"/>
      <c r="DP167" s="933"/>
      <c r="DQ167" s="933"/>
      <c r="DR167" s="933"/>
      <c r="DS167" s="933"/>
      <c r="DT167" s="933"/>
      <c r="DU167" s="933"/>
      <c r="DV167" s="525"/>
      <c r="DW167" s="525"/>
      <c r="EM167" s="382"/>
      <c r="EN167" s="382"/>
      <c r="EO167" s="382"/>
      <c r="EP167" s="525"/>
      <c r="FW167" s="439"/>
      <c r="FX167" s="918"/>
      <c r="FY167" s="918"/>
      <c r="FZ167" s="918"/>
      <c r="GA167" s="918"/>
      <c r="GB167" s="918"/>
      <c r="GC167" s="918"/>
      <c r="GD167" s="918"/>
      <c r="GE167" s="918"/>
      <c r="GF167" s="918"/>
      <c r="GG167" s="918"/>
      <c r="GH167" s="918"/>
      <c r="GI167" s="918"/>
    </row>
    <row r="168" spans="23:217">
      <c r="W168" s="562"/>
      <c r="X168" s="562"/>
      <c r="Y168" s="562"/>
      <c r="Z168" s="562"/>
      <c r="AA168" s="562"/>
      <c r="AB168" s="562"/>
      <c r="AC168" s="562"/>
      <c r="AD168" s="562"/>
      <c r="AE168" s="562"/>
      <c r="AF168" s="562"/>
      <c r="CS168" s="382"/>
      <c r="CT168" s="862"/>
      <c r="CU168" s="862"/>
      <c r="CV168" s="862"/>
      <c r="CW168" s="862"/>
      <c r="CX168" s="862"/>
      <c r="CY168" s="435"/>
      <c r="CZ168" s="862"/>
      <c r="DA168" s="862"/>
      <c r="DB168" s="862"/>
      <c r="DC168" s="862"/>
      <c r="DG168" s="933"/>
      <c r="DH168" s="933"/>
      <c r="DI168" s="933"/>
      <c r="DJ168" s="933"/>
      <c r="DK168" s="933"/>
      <c r="DL168" s="933"/>
      <c r="DM168" s="933"/>
      <c r="DN168" s="933"/>
      <c r="DO168" s="933"/>
      <c r="DP168" s="933"/>
      <c r="DQ168" s="933"/>
      <c r="DR168" s="933"/>
      <c r="DS168" s="933"/>
      <c r="DT168" s="933"/>
      <c r="DU168" s="933"/>
      <c r="DV168" s="525"/>
      <c r="DW168" s="525"/>
      <c r="EM168" s="382"/>
      <c r="EN168" s="382"/>
      <c r="EO168" s="382"/>
      <c r="EP168" s="525"/>
      <c r="ER168" s="382"/>
      <c r="ES168" s="870"/>
      <c r="ET168" s="870"/>
      <c r="EU168" s="870"/>
      <c r="EV168" s="870"/>
      <c r="EW168" s="870"/>
      <c r="EX168" s="870"/>
      <c r="EY168" s="870"/>
      <c r="EZ168" s="870"/>
      <c r="FA168" s="870"/>
      <c r="FB168" s="870"/>
      <c r="FC168" s="870"/>
      <c r="FD168" s="870"/>
      <c r="FE168" s="870"/>
      <c r="FW168" s="439"/>
      <c r="FX168" s="918"/>
      <c r="FY168" s="918"/>
      <c r="FZ168" s="918"/>
      <c r="GA168" s="918"/>
      <c r="GB168" s="918"/>
      <c r="GC168" s="918"/>
      <c r="GD168" s="918"/>
      <c r="GE168" s="918"/>
      <c r="GF168" s="918"/>
      <c r="GG168" s="918"/>
      <c r="GH168" s="918"/>
      <c r="GI168" s="918"/>
    </row>
    <row r="169" spans="23:217">
      <c r="W169" s="562"/>
      <c r="X169" s="562"/>
      <c r="Y169" s="562"/>
      <c r="Z169" s="562"/>
      <c r="AA169" s="562"/>
      <c r="AB169" s="562"/>
      <c r="AC169" s="562"/>
      <c r="AD169" s="562"/>
      <c r="AE169" s="562"/>
      <c r="AF169" s="562"/>
      <c r="CS169" s="382"/>
      <c r="CT169" s="435"/>
      <c r="CU169" s="435"/>
      <c r="CV169" s="435"/>
      <c r="CW169" s="435"/>
      <c r="CX169" s="435"/>
      <c r="CY169" s="435"/>
      <c r="CZ169" s="435"/>
      <c r="DA169" s="435"/>
      <c r="DB169" s="435"/>
      <c r="DC169" s="435"/>
      <c r="DG169" s="933"/>
      <c r="DH169" s="933"/>
      <c r="DI169" s="933"/>
      <c r="DJ169" s="933"/>
      <c r="DK169" s="933"/>
      <c r="DL169" s="933"/>
      <c r="DM169" s="933"/>
      <c r="DN169" s="933"/>
      <c r="DO169" s="933"/>
      <c r="DP169" s="933"/>
      <c r="DQ169" s="933"/>
      <c r="DR169" s="933"/>
      <c r="DS169" s="933"/>
      <c r="DT169" s="933"/>
      <c r="DU169" s="933"/>
      <c r="DV169" s="525"/>
      <c r="DW169" s="525"/>
      <c r="DX169" s="382"/>
      <c r="DY169" s="398"/>
      <c r="DZ169" s="398"/>
      <c r="EA169" s="398"/>
      <c r="EB169" s="398"/>
      <c r="EC169" s="398"/>
      <c r="ED169" s="398"/>
      <c r="EE169" s="398"/>
      <c r="EH169" s="382"/>
      <c r="EI169" s="382"/>
      <c r="EJ169" s="382"/>
      <c r="EK169" s="382"/>
      <c r="EL169" s="382"/>
      <c r="EM169" s="382"/>
      <c r="EN169" s="382"/>
      <c r="EO169" s="382"/>
      <c r="EP169" s="525"/>
      <c r="ER169" s="870"/>
      <c r="ES169" s="870"/>
      <c r="ET169" s="2073"/>
      <c r="EU169" s="2073"/>
      <c r="EV169" s="2073"/>
      <c r="EW169" s="2073"/>
      <c r="EX169" s="2073"/>
      <c r="EY169" s="2073"/>
      <c r="EZ169" s="2073"/>
      <c r="FA169" s="2073"/>
      <c r="FB169" s="2073"/>
      <c r="FC169" s="2073"/>
      <c r="FD169" s="2073"/>
      <c r="FE169" s="2073"/>
      <c r="FF169" s="2073"/>
      <c r="FG169" s="2073"/>
      <c r="FW169" s="439"/>
      <c r="FX169" s="918"/>
      <c r="FY169" s="918"/>
      <c r="FZ169" s="918"/>
      <c r="GA169" s="918"/>
      <c r="GB169" s="918"/>
      <c r="GC169" s="918"/>
      <c r="GD169" s="918"/>
      <c r="GE169" s="918"/>
      <c r="GF169" s="918"/>
      <c r="GG169" s="918"/>
      <c r="GH169" s="918"/>
      <c r="GI169" s="918"/>
    </row>
    <row r="170" spans="23:217">
      <c r="W170" s="562"/>
      <c r="X170" s="562"/>
      <c r="Y170" s="562"/>
      <c r="Z170" s="562"/>
      <c r="AA170" s="562"/>
      <c r="AB170" s="562"/>
      <c r="AC170" s="562"/>
      <c r="AD170" s="562"/>
      <c r="AE170" s="562"/>
      <c r="AF170" s="562"/>
      <c r="CS170" s="382"/>
      <c r="CT170" s="862"/>
      <c r="CU170" s="862"/>
      <c r="CV170" s="862"/>
      <c r="CW170" s="862"/>
      <c r="CX170" s="862"/>
      <c r="CY170" s="435"/>
      <c r="CZ170" s="862"/>
      <c r="DA170" s="862"/>
      <c r="DB170" s="862"/>
      <c r="DC170" s="862"/>
      <c r="DG170" s="933"/>
      <c r="DH170" s="933"/>
      <c r="DI170" s="933"/>
      <c r="DJ170" s="933"/>
      <c r="DK170" s="933"/>
      <c r="DL170" s="933"/>
      <c r="DM170" s="933"/>
      <c r="DN170" s="933"/>
      <c r="DO170" s="933"/>
      <c r="DP170" s="933"/>
      <c r="DQ170" s="933"/>
      <c r="DR170" s="933"/>
      <c r="DS170" s="933"/>
      <c r="DT170" s="933"/>
      <c r="DU170" s="933"/>
      <c r="DV170" s="862"/>
      <c r="DW170" s="525"/>
      <c r="DX170" s="382"/>
      <c r="DY170" s="382"/>
      <c r="DZ170" s="2073"/>
      <c r="EA170" s="2073"/>
      <c r="EB170" s="2073"/>
      <c r="EC170" s="2073"/>
      <c r="ED170" s="2073"/>
      <c r="EE170" s="2073"/>
      <c r="EP170" s="525"/>
      <c r="ER170" s="382"/>
      <c r="ES170" s="870"/>
      <c r="ET170" s="870"/>
      <c r="EU170" s="870"/>
      <c r="EV170" s="870"/>
      <c r="EW170" s="870"/>
      <c r="EX170" s="870"/>
      <c r="EY170" s="870"/>
      <c r="EZ170" s="870"/>
      <c r="FA170" s="870"/>
      <c r="FB170" s="870"/>
      <c r="FC170" s="870"/>
      <c r="FD170" s="870"/>
      <c r="FE170" s="870"/>
      <c r="FW170" s="439"/>
      <c r="FX170" s="918"/>
      <c r="FY170" s="918"/>
      <c r="FZ170" s="918"/>
      <c r="GA170" s="918"/>
      <c r="GB170" s="918"/>
      <c r="GC170" s="918"/>
      <c r="GD170" s="918"/>
      <c r="GE170" s="918"/>
      <c r="GF170" s="918"/>
      <c r="GG170" s="918"/>
      <c r="GH170" s="918"/>
      <c r="GI170" s="918"/>
    </row>
    <row r="171" spans="23:217">
      <c r="W171" s="1778"/>
      <c r="X171" s="1778"/>
      <c r="Y171" s="1778"/>
      <c r="Z171" s="1778"/>
      <c r="AA171" s="1778"/>
      <c r="AB171" s="1778"/>
      <c r="AC171" s="1778"/>
      <c r="AD171" s="1778"/>
      <c r="AE171" s="1778"/>
      <c r="AF171" s="1778"/>
      <c r="CS171" s="382"/>
      <c r="CT171" s="862"/>
      <c r="CU171" s="862"/>
      <c r="CV171" s="862"/>
      <c r="CW171" s="862"/>
      <c r="CX171" s="862"/>
      <c r="CY171" s="435"/>
      <c r="CZ171" s="862"/>
      <c r="DA171" s="862"/>
      <c r="DB171" s="862"/>
      <c r="DC171" s="862"/>
      <c r="DG171" s="933"/>
      <c r="DH171" s="933"/>
      <c r="DI171" s="933"/>
      <c r="DJ171" s="933"/>
      <c r="DK171" s="933"/>
      <c r="DL171" s="933"/>
      <c r="DM171" s="933"/>
      <c r="DN171" s="933"/>
      <c r="DO171" s="933"/>
      <c r="DP171" s="933"/>
      <c r="DQ171" s="933"/>
      <c r="DR171" s="933"/>
      <c r="DS171" s="933"/>
      <c r="DT171" s="933"/>
      <c r="DU171" s="933"/>
      <c r="DV171" s="862"/>
      <c r="DW171" s="862"/>
      <c r="DX171" s="382"/>
      <c r="DY171" s="439"/>
      <c r="DZ171" s="439"/>
      <c r="EA171" s="439"/>
      <c r="EB171" s="439"/>
      <c r="EC171" s="439"/>
      <c r="ED171" s="439"/>
      <c r="EE171" s="439"/>
      <c r="EH171" s="382"/>
      <c r="EP171" s="525"/>
      <c r="ER171" s="870"/>
      <c r="ES171" s="870"/>
      <c r="ET171" s="2073"/>
      <c r="EU171" s="2073"/>
      <c r="EV171" s="2073"/>
      <c r="EW171" s="2073"/>
      <c r="EX171" s="2073"/>
      <c r="EY171" s="2073"/>
      <c r="EZ171" s="2073"/>
      <c r="FA171" s="2073"/>
      <c r="FB171" s="2073"/>
      <c r="FC171" s="2073"/>
      <c r="FD171" s="2073"/>
      <c r="FE171" s="2073"/>
      <c r="FF171" s="2073"/>
      <c r="FG171" s="2073"/>
      <c r="FW171" s="439"/>
      <c r="FX171" s="463"/>
      <c r="FY171" s="463"/>
      <c r="FZ171" s="463"/>
      <c r="GA171" s="463"/>
      <c r="GB171" s="463"/>
      <c r="GC171" s="463"/>
      <c r="GD171" s="463"/>
      <c r="GE171" s="463"/>
      <c r="GF171" s="463"/>
      <c r="GG171" s="463"/>
      <c r="GH171" s="463"/>
      <c r="GI171" s="463"/>
    </row>
    <row r="172" spans="23:217">
      <c r="W172" s="1632"/>
      <c r="X172" s="1632"/>
      <c r="Y172" s="1632"/>
      <c r="Z172" s="1632"/>
      <c r="AA172" s="1632"/>
      <c r="AB172" s="1632"/>
      <c r="AC172" s="1632"/>
      <c r="AD172" s="1632"/>
      <c r="AE172" s="1632"/>
      <c r="AF172" s="1632"/>
      <c r="CS172" s="382"/>
      <c r="CT172" s="435"/>
      <c r="CU172" s="435"/>
      <c r="CV172" s="435"/>
      <c r="CW172" s="435"/>
      <c r="CX172" s="435"/>
      <c r="CY172" s="435"/>
      <c r="CZ172" s="435"/>
      <c r="DA172" s="435"/>
      <c r="DB172" s="435"/>
      <c r="DC172" s="435"/>
      <c r="DG172" s="933"/>
      <c r="DH172" s="933"/>
      <c r="DI172" s="933"/>
      <c r="DJ172" s="933"/>
      <c r="DK172" s="933"/>
      <c r="DL172" s="933"/>
      <c r="DM172" s="933"/>
      <c r="DN172" s="933"/>
      <c r="DO172" s="933"/>
      <c r="DP172" s="933"/>
      <c r="DQ172" s="933"/>
      <c r="DR172" s="933"/>
      <c r="DS172" s="933"/>
      <c r="DT172" s="933"/>
      <c r="DU172" s="933"/>
      <c r="DV172" s="862"/>
      <c r="DW172" s="862"/>
      <c r="DX172" s="382"/>
      <c r="DY172" s="525"/>
      <c r="DZ172" s="525"/>
      <c r="EA172" s="525"/>
      <c r="EB172" s="525"/>
      <c r="EC172" s="525"/>
      <c r="ED172" s="525"/>
      <c r="EE172" s="525"/>
      <c r="EP172" s="525"/>
      <c r="ER172" s="382"/>
      <c r="ES172" s="439"/>
      <c r="ET172" s="439"/>
      <c r="EU172" s="439"/>
      <c r="EV172" s="439"/>
      <c r="EW172" s="439"/>
      <c r="EX172" s="439"/>
      <c r="EY172" s="439"/>
      <c r="EZ172" s="439"/>
      <c r="FA172" s="439"/>
      <c r="FB172" s="439"/>
      <c r="FC172" s="439"/>
      <c r="FD172" s="439"/>
      <c r="FE172" s="439"/>
      <c r="FF172" s="439"/>
      <c r="FW172" s="2180"/>
      <c r="FX172" s="2180"/>
      <c r="FY172" s="2180"/>
      <c r="FZ172" s="2180"/>
      <c r="GA172" s="2180"/>
      <c r="GB172" s="2180"/>
      <c r="GC172" s="2180"/>
      <c r="GD172" s="2180"/>
      <c r="GE172" s="2180"/>
      <c r="GF172" s="2180"/>
      <c r="GG172" s="2180"/>
      <c r="GH172" s="2180"/>
      <c r="GI172" s="2180"/>
    </row>
    <row r="173" spans="23:217">
      <c r="W173" s="1632"/>
      <c r="X173" s="1632"/>
      <c r="Y173" s="1632"/>
      <c r="Z173" s="1632"/>
      <c r="AA173" s="1632"/>
      <c r="AB173" s="1632"/>
      <c r="AC173" s="1632"/>
      <c r="AD173" s="1632"/>
      <c r="AE173" s="1632"/>
      <c r="AF173" s="1632"/>
      <c r="CS173" s="382"/>
      <c r="CT173" s="435"/>
      <c r="CU173" s="435"/>
      <c r="CV173" s="435"/>
      <c r="CW173" s="435"/>
      <c r="CX173" s="435"/>
      <c r="CY173" s="435"/>
      <c r="CZ173" s="435"/>
      <c r="DA173" s="435"/>
      <c r="DB173" s="435"/>
      <c r="DC173" s="435"/>
      <c r="DG173" s="933"/>
      <c r="DH173" s="933"/>
      <c r="DI173" s="933"/>
      <c r="DJ173" s="933"/>
      <c r="DK173" s="933"/>
      <c r="DL173" s="933"/>
      <c r="DM173" s="933"/>
      <c r="DN173" s="933"/>
      <c r="DO173" s="933"/>
      <c r="DP173" s="933"/>
      <c r="DQ173" s="933"/>
      <c r="DR173" s="933"/>
      <c r="DS173" s="933"/>
      <c r="DT173" s="933"/>
      <c r="DU173" s="933"/>
      <c r="DV173" s="862"/>
      <c r="DW173" s="862"/>
      <c r="DX173" s="382"/>
      <c r="DY173" s="525"/>
      <c r="DZ173" s="525"/>
      <c r="EA173" s="525"/>
      <c r="EB173" s="525"/>
      <c r="EC173" s="525"/>
      <c r="ED173" s="525"/>
      <c r="EE173" s="525"/>
      <c r="EP173" s="525"/>
      <c r="ER173" s="382"/>
      <c r="ES173" s="439"/>
      <c r="ET173" s="439"/>
      <c r="EU173" s="439"/>
      <c r="EV173" s="439"/>
      <c r="EW173" s="439"/>
      <c r="EX173" s="439"/>
      <c r="EY173" s="439"/>
      <c r="EZ173" s="439"/>
      <c r="FA173" s="439"/>
      <c r="FB173" s="439"/>
      <c r="FC173" s="439"/>
      <c r="FD173" s="439"/>
      <c r="FE173" s="439"/>
      <c r="FF173" s="439"/>
      <c r="FG173" s="439"/>
      <c r="FW173" s="439"/>
      <c r="FX173" s="439"/>
      <c r="FY173" s="439"/>
      <c r="FZ173" s="439"/>
      <c r="GA173" s="439"/>
      <c r="GB173" s="439"/>
      <c r="GC173" s="439"/>
      <c r="GD173" s="439"/>
      <c r="GE173" s="439"/>
      <c r="GF173" s="439"/>
      <c r="GG173" s="439"/>
      <c r="GH173" s="439"/>
      <c r="GI173" s="439"/>
    </row>
    <row r="174" spans="23:217">
      <c r="W174" s="1632"/>
      <c r="X174" s="1632"/>
      <c r="Y174" s="1632"/>
      <c r="Z174" s="1632"/>
      <c r="AA174" s="1632"/>
      <c r="AB174" s="1632"/>
      <c r="AC174" s="1632"/>
      <c r="AD174" s="1632"/>
      <c r="AE174" s="1632"/>
      <c r="AF174" s="1632"/>
      <c r="CS174" s="382"/>
      <c r="CT174" s="862"/>
      <c r="CU174" s="862"/>
      <c r="CV174" s="862"/>
      <c r="CW174" s="862"/>
      <c r="CX174" s="862"/>
      <c r="CY174" s="435"/>
      <c r="CZ174" s="862"/>
      <c r="DA174" s="862"/>
      <c r="DB174" s="862"/>
      <c r="DC174" s="862"/>
      <c r="DG174" s="933"/>
      <c r="DH174" s="933"/>
      <c r="DI174" s="933"/>
      <c r="DJ174" s="933"/>
      <c r="DK174" s="933"/>
      <c r="DL174" s="933"/>
      <c r="DM174" s="933"/>
      <c r="DN174" s="933"/>
      <c r="DO174" s="933"/>
      <c r="DP174" s="933"/>
      <c r="DQ174" s="933"/>
      <c r="DR174" s="933"/>
      <c r="DS174" s="933"/>
      <c r="DT174" s="933"/>
      <c r="DU174" s="933"/>
      <c r="DV174" s="862"/>
      <c r="DW174" s="862"/>
      <c r="DX174" s="382"/>
      <c r="DY174" s="525"/>
      <c r="DZ174" s="525"/>
      <c r="EA174" s="525"/>
      <c r="EB174" s="525"/>
      <c r="EC174" s="525"/>
      <c r="ED174" s="525"/>
      <c r="EE174" s="525"/>
      <c r="EP174" s="525"/>
      <c r="ER174" s="382"/>
      <c r="ES174" s="862"/>
      <c r="ET174" s="862"/>
      <c r="EU174" s="862"/>
      <c r="EV174" s="862"/>
      <c r="EW174" s="862"/>
      <c r="EX174" s="862"/>
      <c r="EY174" s="862"/>
      <c r="EZ174" s="862"/>
      <c r="FA174" s="862"/>
      <c r="FB174" s="862"/>
      <c r="FC174" s="862"/>
      <c r="FD174" s="525"/>
      <c r="FE174" s="862"/>
      <c r="FF174" s="862"/>
      <c r="FG174" s="525"/>
      <c r="FW174" s="439"/>
      <c r="FX174" s="918"/>
      <c r="FY174" s="918"/>
      <c r="FZ174" s="918"/>
      <c r="GA174" s="918"/>
      <c r="GB174" s="918"/>
      <c r="GC174" s="918"/>
      <c r="GD174" s="918"/>
      <c r="GE174" s="918"/>
      <c r="GF174" s="918"/>
      <c r="GG174" s="918"/>
      <c r="GH174" s="918"/>
      <c r="GI174" s="918"/>
    </row>
    <row r="175" spans="23:217">
      <c r="W175" s="1632"/>
      <c r="X175" s="1632"/>
      <c r="Y175" s="1632"/>
      <c r="Z175" s="1632"/>
      <c r="AA175" s="1632"/>
      <c r="AB175" s="1632"/>
      <c r="AC175" s="1632"/>
      <c r="AD175" s="1632"/>
      <c r="AE175" s="1632"/>
      <c r="AF175" s="1632"/>
      <c r="CS175" s="382"/>
      <c r="CT175" s="862"/>
      <c r="CU175" s="862"/>
      <c r="CV175" s="862"/>
      <c r="CW175" s="862"/>
      <c r="CX175" s="862"/>
      <c r="CY175" s="435"/>
      <c r="CZ175" s="862"/>
      <c r="DA175" s="862"/>
      <c r="DB175" s="862"/>
      <c r="DC175" s="862"/>
      <c r="DG175" s="933"/>
      <c r="DH175" s="933"/>
      <c r="DI175" s="933"/>
      <c r="DJ175" s="933"/>
      <c r="DK175" s="933"/>
      <c r="DL175" s="933"/>
      <c r="DM175" s="933"/>
      <c r="DN175" s="933"/>
      <c r="DO175" s="933"/>
      <c r="DP175" s="933"/>
      <c r="DQ175" s="933"/>
      <c r="DR175" s="933"/>
      <c r="DS175" s="933"/>
      <c r="DT175" s="933"/>
      <c r="DU175" s="933"/>
      <c r="DV175" s="862"/>
      <c r="DW175" s="862"/>
      <c r="DX175" s="382"/>
      <c r="DY175" s="525"/>
      <c r="DZ175" s="525"/>
      <c r="EA175" s="525"/>
      <c r="EB175" s="525"/>
      <c r="EC175" s="525"/>
      <c r="ED175" s="525"/>
      <c r="EE175" s="525"/>
      <c r="EH175" s="382"/>
      <c r="EI175" s="382"/>
      <c r="EJ175" s="382"/>
      <c r="EK175" s="382"/>
      <c r="EL175" s="382"/>
      <c r="EM175" s="382"/>
      <c r="EN175" s="382"/>
      <c r="EO175" s="382"/>
      <c r="EP175" s="525"/>
      <c r="ER175" s="382"/>
      <c r="ES175" s="862"/>
      <c r="ET175" s="862"/>
      <c r="EU175" s="862"/>
      <c r="EV175" s="862"/>
      <c r="EW175" s="862"/>
      <c r="EX175" s="862"/>
      <c r="EY175" s="862"/>
      <c r="EZ175" s="862"/>
      <c r="FA175" s="862"/>
      <c r="FB175" s="862"/>
      <c r="FC175" s="862"/>
      <c r="FD175" s="525"/>
      <c r="FE175" s="862"/>
      <c r="FF175" s="862"/>
      <c r="FG175" s="525"/>
      <c r="FW175" s="391"/>
      <c r="FX175" s="1757"/>
      <c r="FY175" s="1757"/>
      <c r="FZ175" s="1757"/>
      <c r="GA175" s="1757"/>
      <c r="GB175" s="1757"/>
      <c r="GC175" s="1757"/>
      <c r="GD175" s="1757"/>
      <c r="GE175" s="1757"/>
      <c r="GF175" s="1757"/>
      <c r="GG175" s="1757"/>
      <c r="GH175" s="1757"/>
      <c r="GI175" s="1757"/>
      <c r="GJ175" s="473"/>
    </row>
    <row r="176" spans="23:217">
      <c r="W176" s="1632"/>
      <c r="X176" s="1632"/>
      <c r="Y176" s="1632"/>
      <c r="Z176" s="1632"/>
      <c r="AA176" s="1632"/>
      <c r="AB176" s="1632"/>
      <c r="AC176" s="1632"/>
      <c r="AD176" s="1632"/>
      <c r="AE176" s="1632"/>
      <c r="AF176" s="1632"/>
      <c r="CS176" s="382"/>
      <c r="CT176" s="862"/>
      <c r="CU176" s="862"/>
      <c r="CV176" s="862"/>
      <c r="CW176" s="862"/>
      <c r="CX176" s="862"/>
      <c r="CY176" s="862"/>
      <c r="CZ176" s="862"/>
      <c r="DA176" s="862"/>
      <c r="DB176" s="862"/>
      <c r="DC176" s="862"/>
      <c r="DG176" s="933"/>
      <c r="DH176" s="933"/>
      <c r="DI176" s="933"/>
      <c r="DJ176" s="933"/>
      <c r="DK176" s="933"/>
      <c r="DL176" s="933"/>
      <c r="DM176" s="933"/>
      <c r="DN176" s="933"/>
      <c r="DO176" s="933"/>
      <c r="DP176" s="933"/>
      <c r="DQ176" s="933"/>
      <c r="DR176" s="933"/>
      <c r="DS176" s="933"/>
      <c r="DT176" s="933"/>
      <c r="DU176" s="933"/>
      <c r="DV176" s="599"/>
      <c r="DW176" s="599"/>
      <c r="DX176" s="382"/>
      <c r="DY176" s="525"/>
      <c r="DZ176" s="525"/>
      <c r="EA176" s="525"/>
      <c r="EB176" s="525"/>
      <c r="EC176" s="525"/>
      <c r="ED176" s="525"/>
      <c r="EE176" s="525"/>
      <c r="EH176" s="382"/>
      <c r="EI176" s="439"/>
      <c r="EJ176" s="2073"/>
      <c r="EK176" s="2073"/>
      <c r="EL176" s="2073"/>
      <c r="EM176" s="2073"/>
      <c r="EN176" s="2073"/>
      <c r="EO176" s="2073"/>
      <c r="EP176" s="525"/>
      <c r="ER176" s="382"/>
      <c r="ES176" s="862"/>
      <c r="ET176" s="862"/>
      <c r="EU176" s="862"/>
      <c r="EV176" s="862"/>
      <c r="EW176" s="862"/>
      <c r="EX176" s="862"/>
      <c r="EY176" s="862"/>
      <c r="EZ176" s="862"/>
      <c r="FA176" s="862"/>
      <c r="FB176" s="862"/>
      <c r="FC176" s="862"/>
      <c r="FD176" s="525"/>
      <c r="FE176" s="862"/>
      <c r="FF176" s="862"/>
      <c r="FG176" s="525"/>
      <c r="FW176" s="2180"/>
      <c r="FX176" s="2180"/>
      <c r="FY176" s="2180"/>
      <c r="FZ176" s="2180"/>
      <c r="GA176" s="2180"/>
      <c r="GB176" s="2180"/>
      <c r="GC176" s="2180"/>
      <c r="GD176" s="2180"/>
      <c r="GE176" s="2180"/>
      <c r="GF176" s="2180"/>
      <c r="GG176" s="2180"/>
      <c r="GH176" s="2180"/>
      <c r="GI176" s="2180"/>
      <c r="GJ176" s="2180"/>
    </row>
    <row r="177" spans="23:208">
      <c r="W177" s="1632"/>
      <c r="X177" s="1632"/>
      <c r="Y177" s="1632"/>
      <c r="Z177" s="1632"/>
      <c r="AA177" s="1632"/>
      <c r="AB177" s="1632"/>
      <c r="AC177" s="1632"/>
      <c r="AD177" s="1632"/>
      <c r="AE177" s="1632"/>
      <c r="AF177" s="1632"/>
      <c r="CS177" s="382"/>
      <c r="CT177" s="382"/>
      <c r="CU177" s="382"/>
      <c r="CV177" s="382"/>
      <c r="CW177" s="382"/>
      <c r="CX177" s="382"/>
      <c r="CY177" s="382"/>
      <c r="CZ177" s="382"/>
      <c r="DA177" s="382"/>
      <c r="DB177" s="382"/>
      <c r="DC177" s="382"/>
      <c r="DG177" s="933"/>
      <c r="DH177" s="933"/>
      <c r="DI177" s="933"/>
      <c r="DJ177" s="933"/>
      <c r="DK177" s="933"/>
      <c r="DL177" s="933"/>
      <c r="DM177" s="933"/>
      <c r="DN177" s="933"/>
      <c r="DO177" s="933"/>
      <c r="DP177" s="933"/>
      <c r="DQ177" s="933"/>
      <c r="DR177" s="933"/>
      <c r="DS177" s="933"/>
      <c r="DT177" s="933"/>
      <c r="DU177" s="933"/>
      <c r="DV177" s="599"/>
      <c r="DW177" s="599"/>
      <c r="DX177" s="382"/>
      <c r="DY177" s="525"/>
      <c r="DZ177" s="525"/>
      <c r="EA177" s="525"/>
      <c r="EB177" s="525"/>
      <c r="EC177" s="525"/>
      <c r="ED177" s="525"/>
      <c r="EE177" s="525"/>
      <c r="EH177" s="382"/>
      <c r="EI177" s="414"/>
      <c r="EJ177" s="439"/>
      <c r="EK177" s="439"/>
      <c r="EL177" s="439"/>
      <c r="EM177" s="439"/>
      <c r="EN177" s="439"/>
      <c r="EO177" s="439"/>
      <c r="EP177" s="525"/>
      <c r="ER177" s="382"/>
      <c r="ES177" s="862"/>
      <c r="ET177" s="862"/>
      <c r="EU177" s="862"/>
      <c r="EV177" s="862"/>
      <c r="EW177" s="862"/>
      <c r="EX177" s="862"/>
      <c r="EY177" s="862"/>
      <c r="EZ177" s="862"/>
      <c r="FA177" s="862"/>
      <c r="FB177" s="862"/>
      <c r="FC177" s="862"/>
      <c r="FD177" s="525"/>
      <c r="FE177" s="862"/>
      <c r="FF177" s="862"/>
      <c r="FG177" s="525"/>
      <c r="FW177" s="382"/>
      <c r="FX177" s="439"/>
      <c r="FY177" s="439"/>
      <c r="FZ177" s="439"/>
      <c r="GA177" s="439"/>
      <c r="GB177" s="439"/>
      <c r="GC177" s="439"/>
      <c r="GD177" s="439"/>
      <c r="GE177" s="439"/>
      <c r="GF177" s="439"/>
      <c r="GG177" s="439"/>
      <c r="GH177" s="439"/>
      <c r="GI177" s="439"/>
      <c r="GJ177" s="439"/>
    </row>
    <row r="178" spans="23:208">
      <c r="W178" s="1632"/>
      <c r="X178" s="1632"/>
      <c r="Y178" s="1632"/>
      <c r="Z178" s="1632"/>
      <c r="AA178" s="1632"/>
      <c r="AB178" s="1632"/>
      <c r="AC178" s="1632"/>
      <c r="AD178" s="1632"/>
      <c r="AE178" s="1632"/>
      <c r="AF178" s="1632"/>
      <c r="DG178" s="933"/>
      <c r="DH178" s="933"/>
      <c r="DI178" s="933"/>
      <c r="DJ178" s="933"/>
      <c r="DK178" s="933"/>
      <c r="DL178" s="933"/>
      <c r="DM178" s="933"/>
      <c r="DN178" s="933"/>
      <c r="DO178" s="933"/>
      <c r="DP178" s="933"/>
      <c r="DQ178" s="933"/>
      <c r="DR178" s="933"/>
      <c r="DS178" s="933"/>
      <c r="DT178" s="933"/>
      <c r="DU178" s="933"/>
      <c r="DV178" s="599"/>
      <c r="DW178" s="599"/>
      <c r="DX178" s="382"/>
      <c r="DY178" s="525"/>
      <c r="DZ178" s="525"/>
      <c r="EA178" s="525"/>
      <c r="EB178" s="525"/>
      <c r="EC178" s="525"/>
      <c r="ED178" s="525"/>
      <c r="EE178" s="525"/>
      <c r="EH178" s="382"/>
      <c r="EI178" s="439"/>
      <c r="EJ178" s="439"/>
      <c r="EK178" s="439"/>
      <c r="EL178" s="439"/>
      <c r="EM178" s="439"/>
      <c r="EN178" s="439"/>
      <c r="EO178" s="439"/>
      <c r="EP178" s="525"/>
      <c r="ER178" s="382"/>
      <c r="ES178" s="862"/>
      <c r="ET178" s="862"/>
      <c r="EU178" s="862"/>
      <c r="EV178" s="862"/>
      <c r="EW178" s="862"/>
      <c r="EX178" s="862"/>
      <c r="EY178" s="862"/>
      <c r="EZ178" s="862"/>
      <c r="FA178" s="862"/>
      <c r="FB178" s="862"/>
      <c r="FC178" s="862"/>
      <c r="FD178" s="525"/>
      <c r="FE178" s="862"/>
      <c r="FF178" s="862"/>
      <c r="FG178" s="525"/>
      <c r="FW178" s="382"/>
      <c r="FX178" s="1757"/>
      <c r="FY178" s="1757"/>
      <c r="FZ178" s="1757"/>
      <c r="GA178" s="1757"/>
      <c r="GB178" s="1757"/>
      <c r="GC178" s="1757"/>
      <c r="GD178" s="1757"/>
      <c r="GE178" s="1757"/>
      <c r="GF178" s="1757"/>
      <c r="GG178" s="1757"/>
      <c r="GH178" s="1757"/>
      <c r="GI178" s="1757"/>
      <c r="GJ178" s="473"/>
    </row>
    <row r="179" spans="23:208">
      <c r="W179" s="1632"/>
      <c r="X179" s="1632"/>
      <c r="Y179" s="1632"/>
      <c r="Z179" s="1632"/>
      <c r="AA179" s="1632"/>
      <c r="AB179" s="1632"/>
      <c r="AC179" s="1632"/>
      <c r="AD179" s="1632"/>
      <c r="AE179" s="1632"/>
      <c r="AF179" s="1632"/>
      <c r="CS179" s="382"/>
      <c r="CT179" s="382"/>
      <c r="CU179" s="382"/>
      <c r="CV179" s="382"/>
      <c r="CW179" s="382"/>
      <c r="CX179" s="382"/>
      <c r="CY179" s="382"/>
      <c r="CZ179" s="382"/>
      <c r="DA179" s="382"/>
      <c r="DB179" s="382"/>
      <c r="DC179" s="382"/>
      <c r="DE179" s="862"/>
      <c r="DG179" s="933"/>
      <c r="DH179" s="933"/>
      <c r="DI179" s="933"/>
      <c r="DJ179" s="933"/>
      <c r="DK179" s="933"/>
      <c r="DL179" s="933"/>
      <c r="DM179" s="933"/>
      <c r="DN179" s="933"/>
      <c r="DO179" s="933"/>
      <c r="DP179" s="933"/>
      <c r="DQ179" s="933"/>
      <c r="DR179" s="933"/>
      <c r="DS179" s="933"/>
      <c r="DT179" s="933"/>
      <c r="DU179" s="933"/>
      <c r="DV179" s="599"/>
      <c r="DW179" s="599"/>
      <c r="DX179" s="382"/>
      <c r="DY179" s="525"/>
      <c r="DZ179" s="525"/>
      <c r="EA179" s="525"/>
      <c r="EB179" s="525"/>
      <c r="EC179" s="525"/>
      <c r="ED179" s="525"/>
      <c r="EE179" s="525"/>
      <c r="EH179" s="382"/>
      <c r="EI179" s="933"/>
      <c r="EJ179" s="933"/>
      <c r="EK179" s="933"/>
      <c r="EL179" s="933"/>
      <c r="EM179" s="933"/>
      <c r="EN179" s="933"/>
      <c r="EO179" s="933"/>
      <c r="EP179" s="525"/>
      <c r="ER179" s="382"/>
      <c r="ES179" s="862"/>
      <c r="ET179" s="862"/>
      <c r="EU179" s="862"/>
      <c r="EV179" s="862"/>
      <c r="EW179" s="862"/>
      <c r="EX179" s="862"/>
      <c r="EY179" s="862"/>
      <c r="EZ179" s="862"/>
      <c r="FA179" s="862"/>
      <c r="FB179" s="862"/>
      <c r="FC179" s="862"/>
      <c r="FD179" s="525"/>
      <c r="FE179" s="862"/>
      <c r="FF179" s="862"/>
      <c r="FG179" s="525"/>
      <c r="FW179" s="382"/>
      <c r="FX179" s="1757"/>
      <c r="FY179" s="1757"/>
      <c r="FZ179" s="1757"/>
      <c r="GA179" s="1757"/>
      <c r="GB179" s="1757"/>
      <c r="GC179" s="1757"/>
      <c r="GD179" s="1757"/>
      <c r="GE179" s="1757"/>
      <c r="GF179" s="1757"/>
      <c r="GG179" s="1757"/>
      <c r="GH179" s="1757"/>
      <c r="GI179" s="1757"/>
      <c r="GJ179" s="473"/>
    </row>
    <row r="180" spans="23:208">
      <c r="CS180" s="382"/>
      <c r="CT180" s="439"/>
      <c r="CU180" s="439"/>
      <c r="CV180" s="439"/>
      <c r="CW180" s="2073"/>
      <c r="CX180" s="2154"/>
      <c r="CY180" s="2154"/>
      <c r="CZ180" s="439"/>
      <c r="DA180" s="439"/>
      <c r="DB180" s="439"/>
      <c r="DC180" s="439"/>
      <c r="DE180" s="862"/>
      <c r="DG180" s="933"/>
      <c r="DH180" s="933"/>
      <c r="DI180" s="933"/>
      <c r="DJ180" s="933"/>
      <c r="DK180" s="933"/>
      <c r="DL180" s="933"/>
      <c r="DM180" s="933"/>
      <c r="DN180" s="933"/>
      <c r="DO180" s="933"/>
      <c r="DP180" s="933"/>
      <c r="DQ180" s="933"/>
      <c r="DR180" s="933"/>
      <c r="DS180" s="933"/>
      <c r="DT180" s="933"/>
      <c r="DU180" s="933"/>
      <c r="DV180" s="599"/>
      <c r="DW180" s="599"/>
      <c r="DX180" s="382"/>
      <c r="DY180" s="525"/>
      <c r="DZ180" s="525"/>
      <c r="EA180" s="525"/>
      <c r="EB180" s="525"/>
      <c r="EC180" s="525"/>
      <c r="ED180" s="525"/>
      <c r="EE180" s="525"/>
      <c r="EH180" s="382"/>
      <c r="EI180" s="933"/>
      <c r="EJ180" s="933"/>
      <c r="EK180" s="933"/>
      <c r="EL180" s="933"/>
      <c r="EM180" s="933"/>
      <c r="EN180" s="933"/>
      <c r="EO180" s="933"/>
      <c r="EP180" s="525"/>
      <c r="ER180" s="382"/>
      <c r="ES180" s="862"/>
      <c r="ET180" s="862"/>
      <c r="EU180" s="862"/>
      <c r="EV180" s="862"/>
      <c r="EW180" s="862"/>
      <c r="EX180" s="862"/>
      <c r="EY180" s="862"/>
      <c r="EZ180" s="862"/>
      <c r="FA180" s="862"/>
      <c r="FB180" s="862"/>
      <c r="FC180" s="862"/>
      <c r="FD180" s="525"/>
      <c r="FE180" s="862"/>
      <c r="FF180" s="862"/>
      <c r="FG180" s="525"/>
      <c r="FW180" s="382"/>
      <c r="FX180" s="1757"/>
      <c r="FY180" s="1757"/>
      <c r="FZ180" s="1757"/>
      <c r="GA180" s="1757"/>
      <c r="GB180" s="1757"/>
      <c r="GC180" s="1757"/>
      <c r="GD180" s="1757"/>
      <c r="GE180" s="1757"/>
      <c r="GF180" s="1757"/>
      <c r="GG180" s="1757"/>
      <c r="GH180" s="1757"/>
      <c r="GI180" s="1757"/>
      <c r="GJ180" s="473"/>
    </row>
    <row r="181" spans="23:208">
      <c r="CS181" s="382"/>
      <c r="CT181" s="382"/>
      <c r="CU181" s="382"/>
      <c r="CV181" s="382"/>
      <c r="CW181" s="382"/>
      <c r="CX181" s="382"/>
      <c r="CY181" s="382"/>
      <c r="CZ181" s="382"/>
      <c r="DA181" s="382"/>
      <c r="DB181" s="382"/>
      <c r="DC181" s="382"/>
      <c r="DE181" s="862"/>
      <c r="DG181" s="933"/>
      <c r="DH181" s="933"/>
      <c r="DI181" s="933"/>
      <c r="DJ181" s="933"/>
      <c r="DK181" s="933"/>
      <c r="DL181" s="933"/>
      <c r="DM181" s="933"/>
      <c r="DN181" s="933"/>
      <c r="DO181" s="933"/>
      <c r="DP181" s="933"/>
      <c r="DQ181" s="933"/>
      <c r="DR181" s="933"/>
      <c r="DS181" s="933"/>
      <c r="DT181" s="933"/>
      <c r="DU181" s="933"/>
      <c r="DV181" s="599"/>
      <c r="DW181" s="599"/>
      <c r="DX181" s="382"/>
      <c r="DY181" s="525"/>
      <c r="DZ181" s="525"/>
      <c r="EA181" s="525"/>
      <c r="EB181" s="525"/>
      <c r="EC181" s="525"/>
      <c r="ED181" s="525"/>
      <c r="EE181" s="525"/>
      <c r="EH181" s="382"/>
      <c r="EI181" s="933"/>
      <c r="EJ181" s="933"/>
      <c r="EK181" s="933"/>
      <c r="EL181" s="933"/>
      <c r="EM181" s="933"/>
      <c r="EN181" s="933"/>
      <c r="EO181" s="933"/>
      <c r="EP181" s="525"/>
      <c r="ER181" s="382"/>
      <c r="ES181" s="862"/>
      <c r="ET181" s="862"/>
      <c r="EU181" s="862"/>
      <c r="EV181" s="862"/>
      <c r="EW181" s="862"/>
      <c r="EX181" s="862"/>
      <c r="EY181" s="862"/>
      <c r="EZ181" s="862"/>
      <c r="FA181" s="862"/>
      <c r="FB181" s="862"/>
      <c r="FC181" s="862"/>
      <c r="FD181" s="525"/>
      <c r="FE181" s="862"/>
      <c r="FF181" s="862"/>
      <c r="FG181" s="525"/>
      <c r="FW181" s="382"/>
      <c r="FX181" s="1757"/>
      <c r="FY181" s="1757"/>
      <c r="FZ181" s="1757"/>
      <c r="GA181" s="1757"/>
      <c r="GB181" s="1757"/>
      <c r="GC181" s="1757"/>
      <c r="GD181" s="1757"/>
      <c r="GE181" s="1757"/>
      <c r="GF181" s="1757"/>
      <c r="GG181" s="1757"/>
      <c r="GH181" s="1757"/>
      <c r="GI181" s="1757"/>
      <c r="GJ181" s="473"/>
    </row>
    <row r="182" spans="23:208">
      <c r="CS182" s="382"/>
      <c r="CT182" s="439"/>
      <c r="CU182" s="439"/>
      <c r="CV182" s="439"/>
      <c r="CW182" s="2073"/>
      <c r="CX182" s="2154"/>
      <c r="CY182" s="2154"/>
      <c r="CZ182" s="439"/>
      <c r="DA182" s="439"/>
      <c r="DB182" s="439"/>
      <c r="DC182" s="439"/>
      <c r="DE182" s="862"/>
      <c r="DG182" s="933"/>
      <c r="DH182" s="933"/>
      <c r="DI182" s="933"/>
      <c r="DJ182" s="933"/>
      <c r="DK182" s="933"/>
      <c r="DL182" s="933"/>
      <c r="DM182" s="933"/>
      <c r="DN182" s="933"/>
      <c r="DO182" s="933"/>
      <c r="DP182" s="933"/>
      <c r="DQ182" s="933"/>
      <c r="DR182" s="933"/>
      <c r="DS182" s="933"/>
      <c r="DT182" s="933"/>
      <c r="DU182" s="933"/>
      <c r="DV182" s="599"/>
      <c r="DW182" s="599"/>
      <c r="DX182" s="382"/>
      <c r="DY182" s="525"/>
      <c r="DZ182" s="525"/>
      <c r="EA182" s="525"/>
      <c r="EB182" s="525"/>
      <c r="EC182" s="525"/>
      <c r="ED182" s="525"/>
      <c r="EE182" s="525"/>
      <c r="EH182" s="382"/>
      <c r="EI182" s="933"/>
      <c r="EJ182" s="933"/>
      <c r="EK182" s="933"/>
      <c r="EL182" s="933"/>
      <c r="EM182" s="933"/>
      <c r="EN182" s="933"/>
      <c r="EO182" s="933"/>
      <c r="EP182" s="525"/>
      <c r="ER182" s="382"/>
      <c r="ES182" s="862"/>
      <c r="ET182" s="862"/>
      <c r="EU182" s="862"/>
      <c r="EV182" s="862"/>
      <c r="EW182" s="862"/>
      <c r="EX182" s="862"/>
      <c r="EY182" s="862"/>
      <c r="EZ182" s="862"/>
      <c r="FA182" s="862"/>
      <c r="FB182" s="862"/>
      <c r="FC182" s="862"/>
      <c r="FD182" s="525"/>
      <c r="FE182" s="862"/>
      <c r="FF182" s="862"/>
      <c r="FG182" s="525"/>
      <c r="FW182" s="382"/>
      <c r="FX182" s="1757"/>
      <c r="FY182" s="1757"/>
      <c r="FZ182" s="1757"/>
      <c r="GA182" s="1757"/>
      <c r="GB182" s="1757"/>
      <c r="GC182" s="1757"/>
      <c r="GD182" s="1757"/>
      <c r="GE182" s="1757"/>
      <c r="GF182" s="1757"/>
      <c r="GG182" s="1757"/>
      <c r="GH182" s="1757"/>
      <c r="GI182" s="1757"/>
      <c r="GJ182" s="473"/>
    </row>
    <row r="183" spans="23:208">
      <c r="CS183" s="398"/>
      <c r="CT183" s="398"/>
      <c r="CU183" s="385"/>
      <c r="CV183" s="385"/>
      <c r="CW183" s="385"/>
      <c r="CX183" s="385"/>
      <c r="CY183" s="385"/>
      <c r="CZ183" s="385"/>
      <c r="DB183" s="385"/>
      <c r="DC183" s="385"/>
      <c r="DE183" s="862"/>
      <c r="DV183" s="599"/>
      <c r="DW183" s="599"/>
      <c r="DX183" s="382"/>
      <c r="DY183" s="525"/>
      <c r="DZ183" s="525"/>
      <c r="EA183" s="525"/>
      <c r="EB183" s="525"/>
      <c r="EC183" s="525"/>
      <c r="ED183" s="525"/>
      <c r="EE183" s="525"/>
      <c r="EH183" s="382"/>
      <c r="EI183" s="933"/>
      <c r="EJ183" s="933"/>
      <c r="EK183" s="933"/>
      <c r="EL183" s="933"/>
      <c r="EM183" s="933"/>
      <c r="EN183" s="933"/>
      <c r="EO183" s="933"/>
      <c r="EP183" s="525"/>
      <c r="ER183" s="382"/>
      <c r="ES183" s="862"/>
      <c r="ET183" s="862"/>
      <c r="EU183" s="862"/>
      <c r="EV183" s="862"/>
      <c r="EW183" s="862"/>
      <c r="EX183" s="862"/>
      <c r="EY183" s="862"/>
      <c r="EZ183" s="862"/>
      <c r="FA183" s="862"/>
      <c r="FB183" s="862"/>
      <c r="FC183" s="862"/>
      <c r="FD183" s="525"/>
      <c r="FE183" s="862"/>
      <c r="FF183" s="862"/>
      <c r="FG183" s="525"/>
      <c r="FW183" s="382"/>
      <c r="FX183" s="1622"/>
      <c r="FY183" s="1622"/>
      <c r="FZ183" s="1622"/>
      <c r="GA183" s="1622"/>
      <c r="GB183" s="1622"/>
      <c r="GC183" s="1622"/>
      <c r="GD183" s="1622"/>
      <c r="GE183" s="1622"/>
      <c r="GF183" s="1622"/>
      <c r="GG183" s="1622"/>
      <c r="GH183" s="1622"/>
      <c r="GI183" s="1622"/>
      <c r="GJ183" s="918"/>
    </row>
    <row r="184" spans="23:208">
      <c r="CS184" s="382"/>
      <c r="CT184" s="439"/>
      <c r="CU184" s="439"/>
      <c r="CV184" s="439"/>
      <c r="CW184" s="439"/>
      <c r="CX184" s="439"/>
      <c r="CY184" s="439"/>
      <c r="CZ184" s="439"/>
      <c r="DA184" s="439"/>
      <c r="DB184" s="439"/>
      <c r="DC184" s="439"/>
      <c r="DE184" s="862"/>
      <c r="DV184" s="599"/>
      <c r="DW184" s="599"/>
      <c r="DX184" s="382"/>
      <c r="DY184" s="525"/>
      <c r="DZ184" s="525"/>
      <c r="EA184" s="525"/>
      <c r="EB184" s="525"/>
      <c r="EC184" s="525"/>
      <c r="ED184" s="525"/>
      <c r="EE184" s="525"/>
      <c r="EH184" s="382"/>
      <c r="EI184" s="933"/>
      <c r="EJ184" s="933"/>
      <c r="EK184" s="933"/>
      <c r="EL184" s="933"/>
      <c r="EM184" s="933"/>
      <c r="EN184" s="933"/>
      <c r="EO184" s="933"/>
      <c r="EP184" s="525"/>
      <c r="ER184" s="382"/>
      <c r="ES184" s="862"/>
      <c r="ET184" s="862"/>
      <c r="EU184" s="862"/>
      <c r="EV184" s="862"/>
      <c r="EW184" s="862"/>
      <c r="EX184" s="862"/>
      <c r="EY184" s="862"/>
      <c r="EZ184" s="862"/>
      <c r="FA184" s="862"/>
      <c r="FB184" s="862"/>
      <c r="FC184" s="862"/>
      <c r="FD184" s="525"/>
      <c r="FE184" s="862"/>
      <c r="FF184" s="862"/>
      <c r="FG184" s="525"/>
      <c r="FW184" s="451"/>
      <c r="FX184" s="382"/>
      <c r="FY184" s="382"/>
      <c r="FZ184" s="382"/>
      <c r="GA184" s="382"/>
      <c r="GB184" s="382"/>
      <c r="GC184" s="382"/>
      <c r="GD184" s="382"/>
      <c r="GE184" s="382"/>
      <c r="GF184" s="382"/>
      <c r="GG184" s="382"/>
      <c r="GH184" s="382"/>
      <c r="GI184" s="382"/>
      <c r="GJ184" s="382"/>
    </row>
    <row r="185" spans="23:208">
      <c r="CS185" s="382"/>
      <c r="CT185" s="862"/>
      <c r="CU185" s="862"/>
      <c r="CV185" s="862"/>
      <c r="CW185" s="862"/>
      <c r="CX185" s="862"/>
      <c r="CY185" s="862"/>
      <c r="CZ185" s="862"/>
      <c r="DA185" s="862"/>
      <c r="DB185" s="862"/>
      <c r="DC185" s="862"/>
      <c r="DE185" s="862"/>
      <c r="DV185" s="599"/>
      <c r="DW185" s="599"/>
      <c r="DX185" s="382"/>
      <c r="DY185" s="525"/>
      <c r="DZ185" s="525"/>
      <c r="EA185" s="525"/>
      <c r="EB185" s="525"/>
      <c r="EC185" s="525"/>
      <c r="ED185" s="525"/>
      <c r="EE185" s="525"/>
      <c r="EH185" s="382"/>
      <c r="EI185" s="933"/>
      <c r="EJ185" s="933"/>
      <c r="EK185" s="933"/>
      <c r="EL185" s="933"/>
      <c r="EM185" s="933"/>
      <c r="EN185" s="933"/>
      <c r="EO185" s="933"/>
      <c r="EP185" s="382"/>
      <c r="ER185" s="382"/>
      <c r="ES185" s="862"/>
      <c r="ET185" s="862"/>
      <c r="EU185" s="862"/>
      <c r="EV185" s="862"/>
      <c r="EW185" s="862"/>
      <c r="EX185" s="862"/>
      <c r="EY185" s="862"/>
      <c r="EZ185" s="862"/>
      <c r="FA185" s="862"/>
      <c r="FB185" s="862"/>
      <c r="FC185" s="862"/>
      <c r="FD185" s="525"/>
      <c r="FE185" s="862"/>
      <c r="FF185" s="862"/>
      <c r="FG185" s="525"/>
      <c r="FW185" s="451"/>
      <c r="FX185" s="382"/>
      <c r="FY185" s="382"/>
      <c r="FZ185" s="382"/>
      <c r="GA185" s="382"/>
      <c r="GB185" s="382"/>
      <c r="GC185" s="382"/>
      <c r="GD185" s="382"/>
      <c r="GE185" s="382"/>
      <c r="GF185" s="382"/>
      <c r="GG185" s="382"/>
      <c r="GH185" s="382"/>
      <c r="GI185" s="382"/>
      <c r="GJ185" s="382"/>
    </row>
    <row r="186" spans="23:208">
      <c r="CS186" s="382"/>
      <c r="CT186" s="862"/>
      <c r="CU186" s="862"/>
      <c r="CV186" s="862"/>
      <c r="CW186" s="862"/>
      <c r="CX186" s="862"/>
      <c r="CY186" s="862"/>
      <c r="CZ186" s="862"/>
      <c r="DA186" s="862"/>
      <c r="DB186" s="862"/>
      <c r="DC186" s="862"/>
      <c r="DE186" s="862"/>
      <c r="DV186" s="599"/>
      <c r="DW186" s="599"/>
      <c r="DX186" s="382"/>
      <c r="DY186" s="525"/>
      <c r="DZ186" s="525"/>
      <c r="EA186" s="525"/>
      <c r="EB186" s="525"/>
      <c r="EC186" s="525"/>
      <c r="ED186" s="525"/>
      <c r="EE186" s="525"/>
      <c r="EH186" s="382"/>
      <c r="EI186" s="933"/>
      <c r="EJ186" s="933"/>
      <c r="EK186" s="933"/>
      <c r="EL186" s="933"/>
      <c r="EM186" s="933"/>
      <c r="EN186" s="933"/>
      <c r="EO186" s="933"/>
      <c r="EP186" s="382"/>
      <c r="ER186" s="382"/>
      <c r="ES186" s="862"/>
      <c r="ET186" s="862"/>
      <c r="EU186" s="862"/>
      <c r="EV186" s="862"/>
      <c r="EW186" s="862"/>
      <c r="EX186" s="862"/>
      <c r="EY186" s="862"/>
      <c r="EZ186" s="862"/>
      <c r="FA186" s="862"/>
      <c r="FB186" s="862"/>
      <c r="FC186" s="862"/>
      <c r="FD186" s="525"/>
      <c r="FE186" s="862"/>
      <c r="FF186" s="862"/>
      <c r="FG186" s="525"/>
      <c r="FW186" s="451"/>
      <c r="FX186" s="382"/>
      <c r="FY186" s="382"/>
      <c r="FZ186" s="382"/>
      <c r="GA186" s="382"/>
      <c r="GB186" s="382"/>
      <c r="GC186" s="382"/>
      <c r="GD186" s="382"/>
      <c r="GE186" s="382"/>
      <c r="GF186" s="382"/>
      <c r="GG186" s="382"/>
      <c r="GH186" s="382"/>
      <c r="GI186" s="382"/>
      <c r="GJ186" s="382"/>
    </row>
    <row r="187" spans="23:208">
      <c r="CS187" s="382"/>
      <c r="CT187" s="862"/>
      <c r="CU187" s="862"/>
      <c r="CV187" s="862"/>
      <c r="CW187" s="862"/>
      <c r="CX187" s="862"/>
      <c r="CY187" s="862"/>
      <c r="CZ187" s="862"/>
      <c r="DA187" s="862"/>
      <c r="DB187" s="862"/>
      <c r="DC187" s="862"/>
      <c r="DE187" s="862"/>
      <c r="DG187" s="599"/>
      <c r="DH187" s="599"/>
      <c r="DI187" s="599"/>
      <c r="DJ187" s="599"/>
      <c r="DK187" s="599"/>
      <c r="DL187" s="599"/>
      <c r="DM187" s="599"/>
      <c r="DN187" s="599"/>
      <c r="DO187" s="599"/>
      <c r="DP187" s="599"/>
      <c r="DQ187" s="599"/>
      <c r="DR187" s="599"/>
      <c r="DS187" s="599"/>
      <c r="DT187" s="599"/>
      <c r="DU187" s="599"/>
      <c r="DV187" s="599"/>
      <c r="DW187" s="599"/>
      <c r="DX187" s="382"/>
      <c r="DY187" s="525"/>
      <c r="DZ187" s="525"/>
      <c r="EA187" s="525"/>
      <c r="EB187" s="525"/>
      <c r="EC187" s="525"/>
      <c r="ED187" s="525"/>
      <c r="EE187" s="525"/>
      <c r="EH187" s="382"/>
      <c r="EI187" s="933"/>
      <c r="EJ187" s="933"/>
      <c r="EK187" s="933"/>
      <c r="EL187" s="933"/>
      <c r="EM187" s="933"/>
      <c r="EN187" s="933"/>
      <c r="EO187" s="933"/>
      <c r="EP187" s="382"/>
      <c r="ER187" s="382"/>
      <c r="ES187" s="862"/>
      <c r="ET187" s="862"/>
      <c r="EU187" s="862"/>
      <c r="EV187" s="862"/>
      <c r="EW187" s="862"/>
      <c r="EX187" s="862"/>
      <c r="EY187" s="862"/>
      <c r="EZ187" s="862"/>
      <c r="FA187" s="862"/>
      <c r="FB187" s="862"/>
      <c r="FC187" s="862"/>
      <c r="FD187" s="525"/>
      <c r="FE187" s="862"/>
      <c r="FF187" s="862"/>
      <c r="FG187" s="525"/>
      <c r="FW187" s="637"/>
    </row>
    <row r="188" spans="23:208">
      <c r="CS188" s="382"/>
      <c r="CT188" s="862"/>
      <c r="CU188" s="862"/>
      <c r="CV188" s="862"/>
      <c r="CW188" s="862"/>
      <c r="CX188" s="862"/>
      <c r="CY188" s="862"/>
      <c r="CZ188" s="862"/>
      <c r="DA188" s="862"/>
      <c r="DB188" s="862"/>
      <c r="DC188" s="862"/>
      <c r="DE188" s="862"/>
      <c r="DG188" s="599"/>
      <c r="DH188" s="599"/>
      <c r="DI188" s="599"/>
      <c r="DJ188" s="599"/>
      <c r="DK188" s="599"/>
      <c r="DL188" s="599"/>
      <c r="DM188" s="599"/>
      <c r="DN188" s="599"/>
      <c r="DO188" s="599"/>
      <c r="DP188" s="599"/>
      <c r="DQ188" s="599"/>
      <c r="DR188" s="599"/>
      <c r="DS188" s="599"/>
      <c r="DT188" s="599"/>
      <c r="DU188" s="599"/>
      <c r="DV188" s="599"/>
      <c r="DW188" s="599"/>
      <c r="DX188" s="382"/>
      <c r="DY188" s="382"/>
      <c r="DZ188" s="382"/>
      <c r="EA188" s="382"/>
      <c r="EB188" s="382"/>
      <c r="EC188" s="382"/>
      <c r="ED188" s="382"/>
      <c r="EE188" s="382"/>
      <c r="EH188" s="382"/>
      <c r="EI188" s="933"/>
      <c r="EJ188" s="933"/>
      <c r="EK188" s="933"/>
      <c r="EL188" s="933"/>
      <c r="EM188" s="933"/>
      <c r="EN188" s="933"/>
      <c r="EO188" s="933"/>
      <c r="EP188" s="382"/>
      <c r="ER188" s="382"/>
      <c r="ES188" s="862"/>
      <c r="ET188" s="862"/>
      <c r="EU188" s="862"/>
      <c r="EV188" s="862"/>
      <c r="EW188" s="862"/>
      <c r="EX188" s="862"/>
      <c r="EY188" s="862"/>
      <c r="EZ188" s="862"/>
      <c r="FA188" s="862"/>
      <c r="FB188" s="862"/>
      <c r="FC188" s="862"/>
      <c r="FD188" s="525"/>
      <c r="FE188" s="862"/>
      <c r="FF188" s="862"/>
      <c r="FG188" s="525"/>
      <c r="FW188" s="382"/>
    </row>
    <row r="189" spans="23:208">
      <c r="CS189" s="382"/>
      <c r="CT189" s="862"/>
      <c r="CU189" s="862"/>
      <c r="CV189" s="862"/>
      <c r="CW189" s="862"/>
      <c r="CX189" s="862"/>
      <c r="CY189" s="862"/>
      <c r="CZ189" s="862"/>
      <c r="DA189" s="862"/>
      <c r="DB189" s="862"/>
      <c r="DC189" s="862"/>
      <c r="DE189" s="862"/>
      <c r="DV189" s="599"/>
      <c r="DW189" s="599"/>
      <c r="DX189" s="382"/>
      <c r="DY189" s="382"/>
      <c r="DZ189" s="382"/>
      <c r="EA189" s="382"/>
      <c r="EB189" s="382"/>
      <c r="EC189" s="382"/>
      <c r="ED189" s="382"/>
      <c r="EE189" s="382"/>
      <c r="EH189" s="382"/>
      <c r="EI189" s="933"/>
      <c r="EJ189" s="933"/>
      <c r="EK189" s="933"/>
      <c r="EL189" s="933"/>
      <c r="EM189" s="933"/>
      <c r="EN189" s="933"/>
      <c r="EO189" s="933"/>
      <c r="EP189" s="870"/>
      <c r="ER189" s="382"/>
      <c r="ES189" s="862"/>
      <c r="ET189" s="862"/>
      <c r="EU189" s="862"/>
      <c r="EV189" s="862"/>
      <c r="EW189" s="862"/>
      <c r="EX189" s="862"/>
      <c r="EY189" s="862"/>
      <c r="EZ189" s="862"/>
      <c r="FA189" s="862"/>
      <c r="FB189" s="862"/>
      <c r="FC189" s="862"/>
      <c r="FD189" s="525"/>
      <c r="FE189" s="862"/>
      <c r="FF189" s="862"/>
      <c r="FG189" s="525"/>
      <c r="FW189" s="637"/>
    </row>
    <row r="190" spans="23:208">
      <c r="CS190" s="382"/>
      <c r="CT190" s="862"/>
      <c r="CU190" s="862"/>
      <c r="CV190" s="862"/>
      <c r="CW190" s="862"/>
      <c r="CX190" s="862"/>
      <c r="CY190" s="862"/>
      <c r="CZ190" s="862"/>
      <c r="DA190" s="862"/>
      <c r="DB190" s="862"/>
      <c r="DC190" s="862"/>
      <c r="DE190" s="862"/>
      <c r="DV190" s="599"/>
      <c r="DW190" s="599"/>
      <c r="DX190" s="382"/>
      <c r="DY190" s="382"/>
      <c r="DZ190" s="382"/>
      <c r="EA190" s="382"/>
      <c r="EB190" s="382"/>
      <c r="EC190" s="382"/>
      <c r="ED190" s="382"/>
      <c r="EE190" s="382"/>
      <c r="EH190" s="382"/>
      <c r="EI190" s="933"/>
      <c r="EJ190" s="933"/>
      <c r="EK190" s="933"/>
      <c r="EL190" s="933"/>
      <c r="EM190" s="933"/>
      <c r="EN190" s="933"/>
      <c r="EO190" s="933"/>
      <c r="EP190" s="1790"/>
      <c r="ER190" s="382"/>
      <c r="ES190" s="862"/>
      <c r="ET190" s="862"/>
      <c r="EU190" s="862"/>
      <c r="EV190" s="862"/>
      <c r="EW190" s="862"/>
      <c r="EX190" s="862"/>
      <c r="EY190" s="862"/>
      <c r="EZ190" s="862"/>
      <c r="FA190" s="862"/>
      <c r="FB190" s="862"/>
      <c r="FC190" s="439"/>
      <c r="FD190" s="862"/>
      <c r="FE190" s="862"/>
      <c r="FF190" s="525"/>
      <c r="FG190" s="862"/>
      <c r="FW190" s="2180"/>
      <c r="FX190" s="2180"/>
      <c r="FY190" s="2180"/>
      <c r="FZ190" s="2180"/>
      <c r="GA190" s="2180"/>
      <c r="GB190" s="2180"/>
      <c r="GC190" s="2180"/>
      <c r="GD190" s="2180"/>
      <c r="GE190" s="2180"/>
      <c r="GF190" s="2180"/>
      <c r="GG190" s="2180"/>
      <c r="GH190" s="2180"/>
      <c r="GI190" s="2180"/>
      <c r="GZ190" s="1052"/>
    </row>
    <row r="191" spans="23:208">
      <c r="CS191" s="382"/>
      <c r="CT191" s="862"/>
      <c r="CU191" s="862"/>
      <c r="CV191" s="862"/>
      <c r="CW191" s="862"/>
      <c r="CX191" s="862"/>
      <c r="CY191" s="862"/>
      <c r="CZ191" s="862"/>
      <c r="DA191" s="862"/>
      <c r="DB191" s="862"/>
      <c r="DC191" s="862"/>
      <c r="DE191" s="862"/>
      <c r="DV191" s="599"/>
      <c r="DW191" s="599"/>
      <c r="DY191" s="382"/>
      <c r="DZ191" s="382"/>
      <c r="EA191" s="382"/>
      <c r="EB191" s="382"/>
      <c r="EC191" s="382"/>
      <c r="ED191" s="382"/>
      <c r="EE191" s="382"/>
      <c r="EH191" s="382"/>
      <c r="EI191" s="933"/>
      <c r="EJ191" s="933"/>
      <c r="EK191" s="933"/>
      <c r="EL191" s="933"/>
      <c r="EM191" s="933"/>
      <c r="EN191" s="933"/>
      <c r="EO191" s="933"/>
      <c r="EP191" s="439"/>
      <c r="ER191" s="382"/>
      <c r="ES191" s="862"/>
      <c r="ET191" s="862"/>
      <c r="EU191" s="862"/>
      <c r="EV191" s="862"/>
      <c r="EW191" s="862"/>
      <c r="EX191" s="862"/>
      <c r="EY191" s="862"/>
      <c r="EZ191" s="862"/>
      <c r="FA191" s="862"/>
      <c r="FB191" s="862"/>
      <c r="FC191" s="439"/>
      <c r="FD191" s="862"/>
      <c r="FE191" s="862"/>
      <c r="FF191" s="525"/>
      <c r="FG191" s="862"/>
      <c r="FH191" s="862"/>
      <c r="FI191" s="862"/>
      <c r="FK191" s="862"/>
      <c r="FL191" s="862"/>
      <c r="FM191" s="862"/>
      <c r="FN191" s="862"/>
      <c r="FO191" s="862"/>
      <c r="FP191" s="862"/>
      <c r="FQ191" s="862"/>
      <c r="FR191" s="862"/>
      <c r="FS191" s="862"/>
      <c r="FT191" s="862"/>
      <c r="FU191" s="862"/>
      <c r="FV191" s="862"/>
      <c r="FW191" s="439"/>
      <c r="FX191" s="439"/>
      <c r="FY191" s="439"/>
      <c r="FZ191" s="439"/>
      <c r="GA191" s="439"/>
      <c r="GB191" s="439"/>
      <c r="GC191" s="439"/>
      <c r="GD191" s="439"/>
      <c r="GE191" s="439"/>
      <c r="GF191" s="439"/>
      <c r="GG191" s="439"/>
      <c r="GH191" s="439"/>
      <c r="GI191" s="439"/>
      <c r="GK191" s="862"/>
      <c r="GL191" s="1791"/>
      <c r="GZ191" s="1052"/>
    </row>
    <row r="192" spans="23:208">
      <c r="CS192" s="382"/>
      <c r="CT192" s="862"/>
      <c r="CU192" s="862"/>
      <c r="CV192" s="862"/>
      <c r="CW192" s="862"/>
      <c r="CX192" s="862"/>
      <c r="CY192" s="862"/>
      <c r="CZ192" s="862"/>
      <c r="DA192" s="862"/>
      <c r="DB192" s="862"/>
      <c r="DC192" s="862"/>
      <c r="DE192" s="862"/>
      <c r="DV192" s="599"/>
      <c r="DW192" s="599"/>
      <c r="DX192" s="382"/>
      <c r="DY192" s="382"/>
      <c r="DZ192" s="382"/>
      <c r="EA192" s="382"/>
      <c r="EB192" s="382"/>
      <c r="EC192" s="382"/>
      <c r="ED192" s="382"/>
      <c r="EE192" s="382"/>
      <c r="EH192" s="382"/>
      <c r="EI192" s="933"/>
      <c r="EJ192" s="933"/>
      <c r="EK192" s="933"/>
      <c r="EL192" s="933"/>
      <c r="EM192" s="933"/>
      <c r="EN192" s="933"/>
      <c r="EO192" s="933"/>
      <c r="EP192" s="382"/>
      <c r="ER192" s="382"/>
      <c r="ES192" s="862"/>
      <c r="ET192" s="862"/>
      <c r="EU192" s="862"/>
      <c r="EV192" s="862"/>
      <c r="EW192" s="862"/>
      <c r="EX192" s="862"/>
      <c r="EY192" s="862"/>
      <c r="EZ192" s="862"/>
      <c r="FA192" s="862"/>
      <c r="FB192" s="862"/>
      <c r="FC192" s="439"/>
      <c r="FD192" s="862"/>
      <c r="FE192" s="862"/>
      <c r="FF192" s="525"/>
      <c r="FG192" s="862"/>
      <c r="FH192" s="862"/>
      <c r="FI192" s="862"/>
      <c r="FJ192" s="862"/>
      <c r="FK192" s="862"/>
      <c r="FL192" s="862"/>
      <c r="FM192" s="862"/>
      <c r="FN192" s="862"/>
      <c r="FO192" s="862"/>
      <c r="FP192" s="862"/>
      <c r="FQ192" s="862"/>
      <c r="FR192" s="862"/>
      <c r="FS192" s="862"/>
      <c r="FT192" s="862"/>
      <c r="FU192" s="862"/>
      <c r="FV192" s="862"/>
      <c r="FW192" s="439"/>
      <c r="FX192" s="463"/>
      <c r="FY192" s="463"/>
      <c r="FZ192" s="463"/>
      <c r="GA192" s="463"/>
      <c r="GB192" s="463"/>
      <c r="GC192" s="463"/>
      <c r="GD192" s="463"/>
      <c r="GE192" s="463"/>
      <c r="GF192" s="463"/>
      <c r="GG192" s="463"/>
      <c r="GH192" s="463"/>
      <c r="GI192" s="463"/>
      <c r="GK192" s="862"/>
      <c r="GL192" s="1792"/>
    </row>
    <row r="193" spans="97:209">
      <c r="CS193" s="382"/>
      <c r="CT193" s="862"/>
      <c r="CU193" s="862"/>
      <c r="CV193" s="862"/>
      <c r="CW193" s="862"/>
      <c r="CX193" s="862"/>
      <c r="CY193" s="862"/>
      <c r="CZ193" s="862"/>
      <c r="DA193" s="862"/>
      <c r="DB193" s="862"/>
      <c r="DC193" s="862"/>
      <c r="DE193" s="862"/>
      <c r="DV193" s="599"/>
      <c r="DW193" s="599"/>
      <c r="DX193" s="382"/>
      <c r="DY193" s="398"/>
      <c r="DZ193" s="398"/>
      <c r="EA193" s="398"/>
      <c r="EB193" s="398"/>
      <c r="EC193" s="398"/>
      <c r="ED193" s="398"/>
      <c r="EE193" s="398"/>
      <c r="EH193" s="382"/>
      <c r="EI193" s="933"/>
      <c r="EJ193" s="933"/>
      <c r="EK193" s="933"/>
      <c r="EL193" s="933"/>
      <c r="EM193" s="933"/>
      <c r="EN193" s="933"/>
      <c r="EO193" s="933"/>
      <c r="EP193" s="382"/>
      <c r="ES193" s="862"/>
      <c r="ET193" s="862"/>
      <c r="EU193" s="862"/>
      <c r="EV193" s="862"/>
      <c r="EW193" s="862"/>
      <c r="EX193" s="862"/>
      <c r="EY193" s="862"/>
      <c r="EZ193" s="862"/>
      <c r="FA193" s="862"/>
      <c r="FB193" s="862"/>
      <c r="FC193" s="439"/>
      <c r="FD193" s="862"/>
      <c r="FE193" s="862"/>
      <c r="FF193" s="525"/>
      <c r="FG193" s="862"/>
      <c r="FH193" s="862"/>
      <c r="FI193" s="862"/>
      <c r="FJ193" s="862"/>
      <c r="FK193" s="862"/>
      <c r="FL193" s="862"/>
      <c r="FM193" s="862"/>
      <c r="FN193" s="862"/>
      <c r="FO193" s="862"/>
      <c r="FP193" s="862"/>
      <c r="FQ193" s="862"/>
      <c r="FR193" s="862"/>
      <c r="FS193" s="862"/>
      <c r="FT193" s="862"/>
      <c r="FU193" s="862"/>
      <c r="FV193" s="862"/>
      <c r="FW193" s="439"/>
      <c r="FX193" s="463"/>
      <c r="FY193" s="463"/>
      <c r="FZ193" s="463"/>
      <c r="GA193" s="463"/>
      <c r="GB193" s="463"/>
      <c r="GC193" s="463"/>
      <c r="GD193" s="463"/>
      <c r="GE193" s="463"/>
      <c r="GF193" s="463"/>
      <c r="GG193" s="463"/>
      <c r="GH193" s="463"/>
      <c r="GI193" s="463"/>
      <c r="GK193" s="862"/>
      <c r="GL193" s="862"/>
      <c r="GM193" s="862"/>
      <c r="GN193" s="862"/>
      <c r="GO193" s="862"/>
      <c r="GP193" s="862"/>
      <c r="GQ193" s="862"/>
      <c r="GR193" s="862"/>
      <c r="GS193" s="862"/>
      <c r="GT193" s="862"/>
      <c r="GU193" s="862"/>
      <c r="GV193" s="862"/>
      <c r="GW193" s="862"/>
      <c r="GX193" s="862"/>
      <c r="GY193" s="599"/>
      <c r="GZ193" s="525"/>
      <c r="HA193" s="525"/>
    </row>
    <row r="194" spans="97:209">
      <c r="CS194" s="382"/>
      <c r="CT194" s="862"/>
      <c r="CU194" s="862"/>
      <c r="CV194" s="862"/>
      <c r="CW194" s="862"/>
      <c r="CX194" s="862"/>
      <c r="CY194" s="862"/>
      <c r="CZ194" s="862"/>
      <c r="DA194" s="862"/>
      <c r="DB194" s="862"/>
      <c r="DC194" s="862"/>
      <c r="DE194" s="862"/>
      <c r="DX194" s="382"/>
      <c r="DY194" s="382"/>
      <c r="DZ194" s="2073"/>
      <c r="EA194" s="2073"/>
      <c r="EB194" s="2073"/>
      <c r="EC194" s="2073"/>
      <c r="ED194" s="2073"/>
      <c r="EE194" s="2073"/>
      <c r="EH194" s="382"/>
      <c r="EI194" s="933"/>
      <c r="EJ194" s="933"/>
      <c r="EK194" s="933"/>
      <c r="EL194" s="933"/>
      <c r="EM194" s="933"/>
      <c r="EN194" s="933"/>
      <c r="EO194" s="933"/>
      <c r="EP194" s="382"/>
      <c r="ER194" s="382"/>
      <c r="ES194" s="862"/>
      <c r="ET194" s="862"/>
      <c r="EU194" s="862"/>
      <c r="EV194" s="862"/>
      <c r="EW194" s="862"/>
      <c r="EX194" s="862"/>
      <c r="EY194" s="862"/>
      <c r="EZ194" s="862"/>
      <c r="FA194" s="862"/>
      <c r="FB194" s="862"/>
      <c r="FC194" s="439"/>
      <c r="FD194" s="862"/>
      <c r="FE194" s="862"/>
      <c r="FF194" s="525"/>
      <c r="FG194" s="862"/>
      <c r="FH194" s="862"/>
      <c r="FI194" s="862"/>
      <c r="FJ194" s="862"/>
      <c r="FK194" s="862"/>
      <c r="FL194" s="862"/>
      <c r="FM194" s="862"/>
      <c r="FN194" s="862"/>
      <c r="FO194" s="862"/>
      <c r="FP194" s="862"/>
      <c r="FQ194" s="862"/>
      <c r="FR194" s="862"/>
      <c r="FS194" s="862"/>
      <c r="FT194" s="862"/>
      <c r="FU194" s="862"/>
      <c r="FV194" s="1791"/>
      <c r="FW194" s="439"/>
      <c r="FX194" s="463"/>
      <c r="FY194" s="463"/>
      <c r="FZ194" s="463"/>
      <c r="GA194" s="463"/>
      <c r="GB194" s="463"/>
      <c r="GC194" s="463"/>
      <c r="GD194" s="463"/>
      <c r="GE194" s="463"/>
      <c r="GF194" s="463"/>
      <c r="GG194" s="463"/>
      <c r="GH194" s="463"/>
      <c r="GI194" s="463"/>
      <c r="GK194" s="1791"/>
      <c r="GL194" s="862"/>
      <c r="GM194" s="862"/>
      <c r="GN194" s="862"/>
      <c r="GO194" s="862"/>
      <c r="GP194" s="862"/>
      <c r="GQ194" s="862"/>
      <c r="GR194" s="862"/>
      <c r="GS194" s="862"/>
      <c r="GT194" s="862"/>
      <c r="GU194" s="862"/>
      <c r="GV194" s="862"/>
      <c r="GW194" s="862"/>
      <c r="GX194" s="862"/>
      <c r="GY194" s="862"/>
      <c r="GZ194" s="525"/>
      <c r="HA194" s="525"/>
    </row>
    <row r="195" spans="97:209">
      <c r="CS195" s="382"/>
      <c r="CT195" s="862"/>
      <c r="CU195" s="862"/>
      <c r="CV195" s="862"/>
      <c r="CW195" s="862"/>
      <c r="CX195" s="862"/>
      <c r="CY195" s="862"/>
      <c r="CZ195" s="862"/>
      <c r="DA195" s="862"/>
      <c r="DB195" s="862"/>
      <c r="DC195" s="862"/>
      <c r="DE195" s="862"/>
      <c r="DX195" s="382"/>
      <c r="DY195" s="439"/>
      <c r="DZ195" s="439"/>
      <c r="EA195" s="439"/>
      <c r="EB195" s="439"/>
      <c r="EC195" s="439"/>
      <c r="ED195" s="439"/>
      <c r="EE195" s="439"/>
      <c r="EH195" s="382"/>
      <c r="EI195" s="382"/>
      <c r="EJ195" s="382"/>
      <c r="EK195" s="382"/>
      <c r="EL195" s="382"/>
      <c r="EM195" s="382"/>
      <c r="EN195" s="382"/>
      <c r="EO195" s="382"/>
      <c r="EP195" s="382"/>
      <c r="ES195" s="862"/>
      <c r="ET195" s="862"/>
      <c r="EU195" s="862"/>
      <c r="EV195" s="862"/>
      <c r="EW195" s="862"/>
      <c r="EX195" s="862"/>
      <c r="EY195" s="862"/>
      <c r="EZ195" s="862"/>
      <c r="FA195" s="862"/>
      <c r="FB195" s="862"/>
      <c r="FC195" s="439"/>
      <c r="FD195" s="862"/>
      <c r="FE195" s="862"/>
      <c r="FF195" s="525"/>
      <c r="FG195" s="862"/>
      <c r="FH195" s="862"/>
      <c r="FI195" s="862"/>
      <c r="FJ195" s="862"/>
      <c r="FK195" s="862"/>
      <c r="FL195" s="862"/>
      <c r="FM195" s="862"/>
      <c r="FN195" s="862"/>
      <c r="FO195" s="862"/>
      <c r="FP195" s="862"/>
      <c r="FQ195" s="862"/>
      <c r="FR195" s="862"/>
      <c r="FS195" s="862"/>
      <c r="FT195" s="862"/>
      <c r="FU195" s="862"/>
      <c r="FV195" s="1791"/>
      <c r="FW195" s="439"/>
      <c r="FX195" s="463"/>
      <c r="FY195" s="463"/>
      <c r="FZ195" s="463"/>
      <c r="GA195" s="463"/>
      <c r="GB195" s="463"/>
      <c r="GC195" s="463"/>
      <c r="GD195" s="463"/>
      <c r="GE195" s="463"/>
      <c r="GF195" s="463"/>
      <c r="GG195" s="463"/>
      <c r="GH195" s="463"/>
      <c r="GI195" s="463"/>
      <c r="GK195" s="1791"/>
      <c r="GL195" s="862"/>
      <c r="GM195" s="862"/>
      <c r="GN195" s="862"/>
      <c r="GO195" s="862"/>
      <c r="GP195" s="862"/>
      <c r="GQ195" s="862"/>
      <c r="GR195" s="862"/>
      <c r="GS195" s="862"/>
      <c r="GT195" s="862"/>
      <c r="GU195" s="862"/>
      <c r="GV195" s="862"/>
      <c r="GW195" s="862"/>
      <c r="GX195" s="862"/>
      <c r="GZ195" s="525"/>
      <c r="HA195" s="525"/>
    </row>
    <row r="196" spans="97:209">
      <c r="CS196" s="382"/>
      <c r="CT196" s="862"/>
      <c r="CU196" s="862"/>
      <c r="CV196" s="862"/>
      <c r="CW196" s="862"/>
      <c r="CX196" s="862"/>
      <c r="CY196" s="862"/>
      <c r="CZ196" s="862"/>
      <c r="DA196" s="862"/>
      <c r="DB196" s="862"/>
      <c r="DC196" s="862"/>
      <c r="DE196" s="862"/>
      <c r="DV196" s="525"/>
      <c r="DW196" s="525"/>
      <c r="DX196" s="382"/>
      <c r="DY196" s="862"/>
      <c r="DZ196" s="862"/>
      <c r="EA196" s="862"/>
      <c r="EB196" s="862"/>
      <c r="EC196" s="862"/>
      <c r="ED196" s="862"/>
      <c r="EE196" s="862"/>
      <c r="EH196" s="382"/>
      <c r="EI196" s="382"/>
      <c r="EJ196" s="382"/>
      <c r="EK196" s="382"/>
      <c r="EL196" s="382"/>
      <c r="EM196" s="382"/>
      <c r="EN196" s="382"/>
      <c r="EO196" s="382"/>
      <c r="EP196" s="870"/>
      <c r="ER196" s="870"/>
      <c r="ES196" s="870"/>
      <c r="ET196" s="2073"/>
      <c r="EU196" s="2073"/>
      <c r="EV196" s="2073"/>
      <c r="EW196" s="2073"/>
      <c r="EX196" s="2073"/>
      <c r="EY196" s="2073"/>
      <c r="EZ196" s="2073"/>
      <c r="FA196" s="2073"/>
      <c r="FB196" s="2073"/>
      <c r="FC196" s="2073"/>
      <c r="FD196" s="2073"/>
      <c r="FE196" s="2073"/>
      <c r="FF196" s="2073"/>
      <c r="FG196" s="2073"/>
      <c r="FH196" s="862"/>
      <c r="FI196" s="862"/>
      <c r="FJ196" s="862"/>
      <c r="FK196" s="862"/>
      <c r="FL196" s="862"/>
      <c r="FM196" s="862"/>
      <c r="FN196" s="862"/>
      <c r="FO196" s="862"/>
      <c r="FP196" s="862"/>
      <c r="FQ196" s="862"/>
      <c r="FR196" s="862"/>
      <c r="FS196" s="862"/>
      <c r="FT196" s="862"/>
      <c r="FU196" s="862"/>
      <c r="FV196" s="1791"/>
      <c r="FW196" s="439"/>
      <c r="FX196" s="463"/>
      <c r="FY196" s="463"/>
      <c r="FZ196" s="463"/>
      <c r="GA196" s="463"/>
      <c r="GB196" s="463"/>
      <c r="GC196" s="463"/>
      <c r="GD196" s="463"/>
      <c r="GE196" s="463"/>
      <c r="GF196" s="463"/>
      <c r="GG196" s="463"/>
      <c r="GH196" s="463"/>
      <c r="GI196" s="463"/>
      <c r="GK196" s="1791"/>
      <c r="GL196" s="862"/>
      <c r="GM196" s="862"/>
      <c r="GN196" s="862"/>
      <c r="GO196" s="862"/>
      <c r="GP196" s="862"/>
      <c r="GQ196" s="862"/>
      <c r="GR196" s="862"/>
      <c r="GS196" s="862"/>
      <c r="GT196" s="862"/>
      <c r="GU196" s="862"/>
      <c r="GV196" s="862"/>
      <c r="GW196" s="862"/>
      <c r="GX196" s="862"/>
      <c r="GY196" s="525"/>
      <c r="GZ196" s="525"/>
      <c r="HA196" s="525"/>
    </row>
    <row r="197" spans="97:209">
      <c r="CS197" s="382"/>
      <c r="CT197" s="862"/>
      <c r="CU197" s="862"/>
      <c r="CV197" s="862"/>
      <c r="CW197" s="862"/>
      <c r="CX197" s="862"/>
      <c r="CY197" s="862"/>
      <c r="CZ197" s="862"/>
      <c r="DA197" s="862"/>
      <c r="DB197" s="862"/>
      <c r="DC197" s="862"/>
      <c r="DE197" s="862"/>
      <c r="DX197" s="382"/>
      <c r="DY197" s="862"/>
      <c r="DZ197" s="862"/>
      <c r="EA197" s="862"/>
      <c r="EB197" s="862"/>
      <c r="EC197" s="862"/>
      <c r="ED197" s="862"/>
      <c r="EE197" s="862"/>
      <c r="EH197" s="382"/>
      <c r="EI197" s="382"/>
      <c r="EJ197" s="382"/>
      <c r="EK197" s="382"/>
      <c r="EL197" s="382"/>
      <c r="EM197" s="382"/>
      <c r="EN197" s="382"/>
      <c r="EO197" s="382"/>
      <c r="EP197" s="1790"/>
      <c r="ER197" s="382"/>
      <c r="ES197" s="439"/>
      <c r="ET197" s="439"/>
      <c r="EU197" s="439"/>
      <c r="EV197" s="439"/>
      <c r="EW197" s="439"/>
      <c r="EX197" s="439"/>
      <c r="EY197" s="439"/>
      <c r="EZ197" s="439"/>
      <c r="FA197" s="439"/>
      <c r="FB197" s="439"/>
      <c r="FC197" s="439"/>
      <c r="FD197" s="439"/>
      <c r="FE197" s="439"/>
      <c r="FF197" s="439"/>
      <c r="FH197" s="862"/>
      <c r="FI197" s="862"/>
      <c r="FJ197" s="862"/>
      <c r="FK197" s="862"/>
      <c r="FL197" s="862"/>
      <c r="FM197" s="862"/>
      <c r="FN197" s="862"/>
      <c r="FO197" s="862"/>
      <c r="FP197" s="862"/>
      <c r="FQ197" s="862"/>
      <c r="FR197" s="862"/>
      <c r="FS197" s="862"/>
      <c r="FT197" s="862"/>
      <c r="FU197" s="862"/>
      <c r="FV197" s="1791"/>
      <c r="FW197" s="439"/>
      <c r="FX197" s="463"/>
      <c r="FY197" s="463"/>
      <c r="FZ197" s="463"/>
      <c r="GA197" s="463"/>
      <c r="GB197" s="463"/>
      <c r="GC197" s="463"/>
      <c r="GD197" s="463"/>
      <c r="GE197" s="463"/>
      <c r="GF197" s="463"/>
      <c r="GG197" s="463"/>
      <c r="GH197" s="463"/>
      <c r="GI197" s="463"/>
      <c r="GK197" s="1791"/>
      <c r="GL197" s="862"/>
      <c r="GM197" s="862"/>
      <c r="GN197" s="862"/>
      <c r="GO197" s="862"/>
      <c r="GP197" s="862"/>
      <c r="GQ197" s="862"/>
      <c r="GR197" s="862"/>
      <c r="GS197" s="862"/>
      <c r="GT197" s="862"/>
      <c r="GU197" s="862"/>
      <c r="GV197" s="862"/>
      <c r="GW197" s="862"/>
      <c r="GX197" s="862"/>
      <c r="GY197" s="525"/>
      <c r="GZ197" s="525"/>
      <c r="HA197" s="525"/>
    </row>
    <row r="198" spans="97:209">
      <c r="CS198" s="382"/>
      <c r="CT198" s="862"/>
      <c r="CU198" s="862"/>
      <c r="CV198" s="862"/>
      <c r="CW198" s="862"/>
      <c r="CX198" s="862"/>
      <c r="CY198" s="862"/>
      <c r="CZ198" s="862"/>
      <c r="DA198" s="862"/>
      <c r="DB198" s="862"/>
      <c r="DC198" s="862"/>
      <c r="DE198" s="862"/>
      <c r="DX198" s="382"/>
      <c r="DY198" s="862"/>
      <c r="DZ198" s="862"/>
      <c r="EA198" s="862"/>
      <c r="EB198" s="862"/>
      <c r="EC198" s="862"/>
      <c r="ED198" s="862"/>
      <c r="EE198" s="862"/>
      <c r="ER198" s="382"/>
      <c r="ES198" s="439"/>
      <c r="ET198" s="439"/>
      <c r="EU198" s="439"/>
      <c r="EV198" s="439"/>
      <c r="EW198" s="439"/>
      <c r="EX198" s="439"/>
      <c r="EY198" s="439"/>
      <c r="EZ198" s="439"/>
      <c r="FA198" s="439"/>
      <c r="FB198" s="439"/>
      <c r="FC198" s="439"/>
      <c r="FD198" s="439"/>
      <c r="FE198" s="439"/>
      <c r="FF198" s="439"/>
      <c r="FG198" s="439"/>
      <c r="FH198" s="862"/>
      <c r="FI198" s="862"/>
      <c r="FJ198" s="862"/>
      <c r="FK198" s="862"/>
      <c r="FL198" s="862"/>
      <c r="FM198" s="862"/>
      <c r="FN198" s="862"/>
      <c r="FO198" s="862"/>
      <c r="FP198" s="862"/>
      <c r="FQ198" s="862"/>
      <c r="FR198" s="862"/>
      <c r="FS198" s="862"/>
      <c r="FT198" s="862"/>
      <c r="FU198" s="862"/>
      <c r="FV198" s="1791"/>
      <c r="FW198" s="439"/>
      <c r="FX198" s="463"/>
      <c r="FY198" s="463"/>
      <c r="FZ198" s="463"/>
      <c r="GA198" s="463"/>
      <c r="GB198" s="463"/>
      <c r="GC198" s="463"/>
      <c r="GD198" s="463"/>
      <c r="GE198" s="463"/>
      <c r="GF198" s="463"/>
      <c r="GG198" s="463"/>
      <c r="GH198" s="463"/>
      <c r="GI198" s="463"/>
      <c r="GK198" s="1791"/>
      <c r="GL198" s="862"/>
      <c r="GM198" s="862"/>
      <c r="GN198" s="862"/>
      <c r="GO198" s="862"/>
      <c r="GP198" s="862"/>
      <c r="GQ198" s="862"/>
      <c r="GR198" s="862"/>
      <c r="GS198" s="862"/>
      <c r="GT198" s="862"/>
      <c r="GU198" s="862"/>
      <c r="GV198" s="862"/>
      <c r="GW198" s="862"/>
      <c r="GX198" s="862"/>
      <c r="GY198" s="525"/>
      <c r="GZ198" s="525"/>
      <c r="HA198" s="525"/>
    </row>
    <row r="199" spans="97:209">
      <c r="CS199" s="382"/>
      <c r="CT199" s="862"/>
      <c r="CU199" s="862"/>
      <c r="CV199" s="862"/>
      <c r="CW199" s="862"/>
      <c r="CX199" s="862"/>
      <c r="CY199" s="862"/>
      <c r="CZ199" s="862"/>
      <c r="DA199" s="862"/>
      <c r="DB199" s="862"/>
      <c r="DC199" s="862"/>
      <c r="DE199" s="862"/>
      <c r="DX199" s="382"/>
      <c r="DY199" s="862"/>
      <c r="DZ199" s="862"/>
      <c r="EA199" s="862"/>
      <c r="EB199" s="862"/>
      <c r="EC199" s="862"/>
      <c r="ED199" s="862"/>
      <c r="EE199" s="862"/>
      <c r="EH199" s="382"/>
      <c r="ER199" s="382"/>
      <c r="ES199" s="525"/>
      <c r="ET199" s="525"/>
      <c r="EU199" s="525"/>
      <c r="EV199" s="525"/>
      <c r="EW199" s="525"/>
      <c r="EX199" s="525"/>
      <c r="EY199" s="525"/>
      <c r="EZ199" s="525"/>
      <c r="FA199" s="525"/>
      <c r="FB199" s="525"/>
      <c r="FC199" s="525"/>
      <c r="FD199" s="525"/>
      <c r="FE199" s="525"/>
      <c r="FF199" s="525"/>
      <c r="FG199" s="525"/>
      <c r="FH199" s="862"/>
      <c r="FI199" s="862"/>
      <c r="FJ199" s="862"/>
      <c r="FK199" s="862"/>
      <c r="FL199" s="862"/>
      <c r="FM199" s="862"/>
      <c r="FN199" s="862"/>
      <c r="FO199" s="862"/>
      <c r="FP199" s="862"/>
      <c r="FQ199" s="862"/>
      <c r="FR199" s="862"/>
      <c r="FS199" s="862"/>
      <c r="FT199" s="862"/>
      <c r="FU199" s="862"/>
      <c r="FV199" s="1791"/>
      <c r="FW199" s="382"/>
      <c r="FX199" s="382"/>
      <c r="FY199" s="382"/>
      <c r="FZ199" s="382"/>
      <c r="GA199" s="382"/>
      <c r="GB199" s="382"/>
      <c r="GC199" s="382"/>
      <c r="GD199" s="382"/>
      <c r="GE199" s="382"/>
      <c r="GF199" s="382"/>
      <c r="GG199" s="382"/>
      <c r="GH199" s="382"/>
      <c r="GI199" s="382"/>
      <c r="GK199" s="1791"/>
      <c r="GL199" s="862"/>
      <c r="GM199" s="862"/>
      <c r="GN199" s="862"/>
      <c r="GO199" s="862"/>
      <c r="GP199" s="862"/>
      <c r="GQ199" s="862"/>
      <c r="GR199" s="862"/>
      <c r="GS199" s="862"/>
      <c r="GT199" s="862"/>
      <c r="GU199" s="862"/>
      <c r="GV199" s="862"/>
      <c r="GW199" s="862"/>
      <c r="GX199" s="862"/>
      <c r="GY199" s="525"/>
      <c r="GZ199" s="525"/>
      <c r="HA199" s="525"/>
    </row>
    <row r="200" spans="97:209">
      <c r="CS200" s="382"/>
      <c r="CT200" s="862"/>
      <c r="CU200" s="862"/>
      <c r="CV200" s="862"/>
      <c r="CW200" s="862"/>
      <c r="CX200" s="862"/>
      <c r="CY200" s="862"/>
      <c r="CZ200" s="862"/>
      <c r="DA200" s="862"/>
      <c r="DB200" s="862"/>
      <c r="DC200" s="862"/>
      <c r="DE200" s="862"/>
      <c r="DV200" s="525"/>
      <c r="DW200" s="525"/>
      <c r="DX200" s="382"/>
      <c r="DY200" s="862"/>
      <c r="DZ200" s="862"/>
      <c r="EA200" s="862"/>
      <c r="EB200" s="862"/>
      <c r="EC200" s="862"/>
      <c r="ED200" s="862"/>
      <c r="EE200" s="862"/>
      <c r="ER200" s="382"/>
      <c r="ES200" s="525"/>
      <c r="ET200" s="525"/>
      <c r="EU200" s="525"/>
      <c r="EV200" s="525"/>
      <c r="EW200" s="525"/>
      <c r="EX200" s="525"/>
      <c r="EY200" s="525"/>
      <c r="EZ200" s="525"/>
      <c r="FA200" s="525"/>
      <c r="FB200" s="525"/>
      <c r="FC200" s="525"/>
      <c r="FD200" s="525"/>
      <c r="FE200" s="525"/>
      <c r="FF200" s="525"/>
      <c r="FG200" s="525"/>
      <c r="FH200" s="862"/>
      <c r="FI200" s="862"/>
      <c r="FJ200" s="862"/>
      <c r="FK200" s="862"/>
      <c r="FL200" s="862"/>
      <c r="FM200" s="862"/>
      <c r="FN200" s="862"/>
      <c r="FO200" s="862"/>
      <c r="FP200" s="862"/>
      <c r="FQ200" s="862"/>
      <c r="FR200" s="862"/>
      <c r="FS200" s="862"/>
      <c r="FT200" s="862"/>
      <c r="FU200" s="862"/>
      <c r="FV200" s="1791"/>
      <c r="FW200" s="439"/>
      <c r="FX200" s="382"/>
      <c r="FY200" s="382"/>
      <c r="FZ200" s="382"/>
      <c r="GA200" s="382"/>
      <c r="GB200" s="382"/>
      <c r="GC200" s="382"/>
      <c r="GD200" s="382"/>
      <c r="GE200" s="382"/>
      <c r="GF200" s="382"/>
      <c r="GG200" s="382"/>
      <c r="GH200" s="382"/>
      <c r="GI200" s="382"/>
      <c r="GK200" s="1791"/>
      <c r="GL200" s="862"/>
      <c r="GM200" s="862"/>
      <c r="GN200" s="862"/>
      <c r="GO200" s="862"/>
      <c r="GP200" s="862"/>
      <c r="GQ200" s="862"/>
      <c r="GR200" s="862"/>
      <c r="GS200" s="862"/>
      <c r="GT200" s="862"/>
      <c r="GU200" s="862"/>
      <c r="GV200" s="862"/>
      <c r="GW200" s="862"/>
      <c r="GX200" s="862"/>
      <c r="GY200" s="525"/>
      <c r="GZ200" s="525"/>
      <c r="HA200" s="525"/>
    </row>
    <row r="201" spans="97:209">
      <c r="CS201" s="382"/>
      <c r="CT201" s="862"/>
      <c r="CU201" s="862"/>
      <c r="CV201" s="862"/>
      <c r="CW201" s="862"/>
      <c r="CX201" s="862"/>
      <c r="CY201" s="862"/>
      <c r="CZ201" s="862"/>
      <c r="DA201" s="862"/>
      <c r="DB201" s="862"/>
      <c r="DC201" s="862"/>
      <c r="DX201" s="382"/>
      <c r="DY201" s="862"/>
      <c r="DZ201" s="862"/>
      <c r="EA201" s="862"/>
      <c r="EB201" s="862"/>
      <c r="EC201" s="862"/>
      <c r="ED201" s="862"/>
      <c r="EE201" s="862"/>
      <c r="EH201" s="382"/>
      <c r="EI201" s="382"/>
      <c r="EJ201" s="382"/>
      <c r="EK201" s="382"/>
      <c r="EL201" s="382"/>
      <c r="EM201" s="382"/>
      <c r="EN201" s="382"/>
      <c r="EO201" s="382"/>
      <c r="ER201" s="382"/>
      <c r="ES201" s="525"/>
      <c r="ET201" s="525"/>
      <c r="EU201" s="525"/>
      <c r="EV201" s="525"/>
      <c r="EW201" s="525"/>
      <c r="EX201" s="525"/>
      <c r="EY201" s="525"/>
      <c r="EZ201" s="525"/>
      <c r="FA201" s="525"/>
      <c r="FB201" s="525"/>
      <c r="FC201" s="525"/>
      <c r="FD201" s="525"/>
      <c r="FE201" s="525"/>
      <c r="FF201" s="525"/>
      <c r="FG201" s="525"/>
      <c r="FH201" s="862"/>
      <c r="FI201" s="862"/>
      <c r="FJ201" s="862"/>
      <c r="FK201" s="862"/>
      <c r="FL201" s="862"/>
      <c r="FM201" s="862"/>
      <c r="FN201" s="862"/>
      <c r="FO201" s="862"/>
      <c r="FP201" s="862"/>
      <c r="FQ201" s="862"/>
      <c r="FR201" s="862"/>
      <c r="FS201" s="862"/>
      <c r="FT201" s="862"/>
      <c r="FU201" s="862"/>
      <c r="FV201" s="1791"/>
      <c r="FW201" s="637"/>
      <c r="FX201" s="525"/>
      <c r="FY201" s="525"/>
      <c r="FZ201" s="525"/>
      <c r="GA201" s="525"/>
      <c r="GB201" s="525"/>
      <c r="GC201" s="525"/>
      <c r="GD201" s="525"/>
      <c r="GE201" s="525"/>
      <c r="GF201" s="525"/>
      <c r="GG201" s="525"/>
      <c r="GH201" s="525"/>
      <c r="GI201" s="525"/>
      <c r="GK201" s="1791"/>
      <c r="GL201" s="862"/>
      <c r="GM201" s="862"/>
      <c r="GN201" s="862"/>
      <c r="GO201" s="862"/>
      <c r="GP201" s="862"/>
      <c r="GQ201" s="862"/>
      <c r="GR201" s="862"/>
      <c r="GS201" s="862"/>
      <c r="GT201" s="862"/>
      <c r="GU201" s="862"/>
      <c r="GV201" s="862"/>
      <c r="GW201" s="862"/>
      <c r="GX201" s="862"/>
      <c r="GY201" s="525"/>
      <c r="GZ201" s="525"/>
      <c r="HA201" s="525"/>
    </row>
    <row r="202" spans="97:209">
      <c r="CS202" s="382"/>
      <c r="CT202" s="862"/>
      <c r="CU202" s="862"/>
      <c r="CV202" s="862"/>
      <c r="CW202" s="862"/>
      <c r="CX202" s="862"/>
      <c r="CY202" s="862"/>
      <c r="CZ202" s="862"/>
      <c r="DA202" s="862"/>
      <c r="DB202" s="862"/>
      <c r="DC202" s="862"/>
      <c r="DV202" s="599"/>
      <c r="DW202" s="599"/>
      <c r="DX202" s="382"/>
      <c r="DY202" s="862"/>
      <c r="DZ202" s="862"/>
      <c r="EA202" s="862"/>
      <c r="EB202" s="862"/>
      <c r="EC202" s="862"/>
      <c r="ED202" s="862"/>
      <c r="EE202" s="862"/>
      <c r="EH202" s="382"/>
      <c r="EI202" s="439"/>
      <c r="EJ202" s="2073"/>
      <c r="EK202" s="2073"/>
      <c r="EL202" s="2073"/>
      <c r="EM202" s="2073"/>
      <c r="EN202" s="2073"/>
      <c r="EO202" s="2073"/>
      <c r="ER202" s="382"/>
      <c r="ES202" s="525"/>
      <c r="ET202" s="525"/>
      <c r="EU202" s="525"/>
      <c r="EV202" s="525"/>
      <c r="EW202" s="525"/>
      <c r="EX202" s="525"/>
      <c r="EY202" s="525"/>
      <c r="EZ202" s="525"/>
      <c r="FA202" s="525"/>
      <c r="FB202" s="525"/>
      <c r="FC202" s="525"/>
      <c r="FD202" s="525"/>
      <c r="FE202" s="525"/>
      <c r="FF202" s="525"/>
      <c r="FG202" s="525"/>
      <c r="FH202" s="862"/>
      <c r="FI202" s="862"/>
      <c r="FJ202" s="862"/>
      <c r="FK202" s="862"/>
      <c r="FL202" s="862"/>
      <c r="FM202" s="862"/>
      <c r="FN202" s="862"/>
      <c r="FO202" s="862"/>
      <c r="FP202" s="862"/>
      <c r="FQ202" s="862"/>
      <c r="FR202" s="862"/>
      <c r="FS202" s="862"/>
      <c r="FT202" s="862"/>
      <c r="FU202" s="862"/>
      <c r="FV202" s="1791"/>
      <c r="FW202" s="637"/>
      <c r="GK202" s="1791"/>
      <c r="GL202" s="862"/>
      <c r="GM202" s="862"/>
      <c r="GN202" s="862"/>
      <c r="GO202" s="862"/>
      <c r="GP202" s="862"/>
      <c r="GQ202" s="862"/>
      <c r="GR202" s="862"/>
      <c r="GS202" s="862"/>
      <c r="GT202" s="862"/>
      <c r="GU202" s="862"/>
      <c r="GV202" s="862"/>
      <c r="GW202" s="862"/>
      <c r="GX202" s="862"/>
      <c r="GY202" s="525"/>
      <c r="GZ202" s="525"/>
      <c r="HA202" s="525"/>
    </row>
    <row r="203" spans="97:209">
      <c r="CS203" s="382"/>
      <c r="CT203" s="862"/>
      <c r="CU203" s="862"/>
      <c r="CV203" s="862"/>
      <c r="CW203" s="862"/>
      <c r="CX203" s="862"/>
      <c r="CY203" s="862"/>
      <c r="CZ203" s="862"/>
      <c r="DA203" s="862"/>
      <c r="DB203" s="862"/>
      <c r="DC203" s="862"/>
      <c r="DV203" s="599"/>
      <c r="DW203" s="599"/>
      <c r="DX203" s="382"/>
      <c r="DY203" s="862"/>
      <c r="DZ203" s="862"/>
      <c r="EA203" s="862"/>
      <c r="EB203" s="862"/>
      <c r="EC203" s="862"/>
      <c r="ED203" s="862"/>
      <c r="EE203" s="862"/>
      <c r="EH203" s="382"/>
      <c r="EI203" s="414"/>
      <c r="EJ203" s="439"/>
      <c r="EK203" s="439"/>
      <c r="EL203" s="439"/>
      <c r="EM203" s="439"/>
      <c r="EN203" s="439"/>
      <c r="EO203" s="439"/>
      <c r="ER203" s="382"/>
      <c r="ES203" s="525"/>
      <c r="ET203" s="525"/>
      <c r="EU203" s="525"/>
      <c r="EV203" s="525"/>
      <c r="EW203" s="525"/>
      <c r="EX203" s="525"/>
      <c r="EY203" s="525"/>
      <c r="EZ203" s="525"/>
      <c r="FA203" s="525"/>
      <c r="FB203" s="525"/>
      <c r="FC203" s="525"/>
      <c r="FD203" s="525"/>
      <c r="FE203" s="525"/>
      <c r="FF203" s="525"/>
      <c r="FG203" s="525"/>
      <c r="FH203" s="862"/>
      <c r="FI203" s="862"/>
      <c r="FJ203" s="862"/>
      <c r="FK203" s="862"/>
      <c r="FL203" s="862"/>
      <c r="FM203" s="862"/>
      <c r="FN203" s="862"/>
      <c r="FO203" s="862"/>
      <c r="FP203" s="862"/>
      <c r="FQ203" s="862"/>
      <c r="FR203" s="862"/>
      <c r="FS203" s="862"/>
      <c r="FT203" s="862"/>
      <c r="FU203" s="862"/>
      <c r="FV203" s="1791"/>
      <c r="FW203" s="2180"/>
      <c r="FX203" s="2180"/>
      <c r="FY203" s="2180"/>
      <c r="FZ203" s="2180"/>
      <c r="GA203" s="2180"/>
      <c r="GB203" s="2180"/>
      <c r="GC203" s="2180"/>
      <c r="GD203" s="2180"/>
      <c r="GE203" s="2180"/>
      <c r="GF203" s="2180"/>
      <c r="GG203" s="2180"/>
      <c r="GH203" s="2180"/>
      <c r="GI203" s="2180"/>
      <c r="GK203" s="1791"/>
      <c r="GL203" s="862"/>
      <c r="GM203" s="862"/>
      <c r="GN203" s="862"/>
      <c r="GO203" s="862"/>
      <c r="GP203" s="862"/>
      <c r="GQ203" s="862"/>
      <c r="GR203" s="862"/>
      <c r="GS203" s="862"/>
      <c r="GT203" s="862"/>
      <c r="GU203" s="862"/>
      <c r="GV203" s="862"/>
      <c r="GW203" s="862"/>
      <c r="GX203" s="862"/>
      <c r="GY203" s="525"/>
      <c r="GZ203" s="525"/>
      <c r="HA203" s="525"/>
    </row>
    <row r="204" spans="97:209">
      <c r="CS204" s="382"/>
      <c r="CT204" s="862"/>
      <c r="CU204" s="862"/>
      <c r="CV204" s="862"/>
      <c r="CW204" s="862"/>
      <c r="CX204" s="862"/>
      <c r="CY204" s="862"/>
      <c r="CZ204" s="862"/>
      <c r="DA204" s="862"/>
      <c r="DB204" s="862"/>
      <c r="DC204" s="862"/>
      <c r="DX204" s="382"/>
      <c r="DY204" s="862"/>
      <c r="DZ204" s="862"/>
      <c r="EA204" s="862"/>
      <c r="EB204" s="862"/>
      <c r="EC204" s="862"/>
      <c r="ED204" s="862"/>
      <c r="EE204" s="862"/>
      <c r="EH204" s="382"/>
      <c r="EI204" s="439"/>
      <c r="EJ204" s="439"/>
      <c r="EK204" s="439"/>
      <c r="EL204" s="439"/>
      <c r="EM204" s="439"/>
      <c r="EN204" s="439"/>
      <c r="EO204" s="439"/>
      <c r="ER204" s="382"/>
      <c r="ES204" s="525"/>
      <c r="ET204" s="525"/>
      <c r="EU204" s="525"/>
      <c r="EV204" s="525"/>
      <c r="EW204" s="525"/>
      <c r="EX204" s="525"/>
      <c r="EY204" s="525"/>
      <c r="EZ204" s="525"/>
      <c r="FA204" s="525"/>
      <c r="FB204" s="525"/>
      <c r="FC204" s="525"/>
      <c r="FD204" s="525"/>
      <c r="FE204" s="525"/>
      <c r="FF204" s="525"/>
      <c r="FG204" s="525"/>
      <c r="FH204" s="862"/>
      <c r="FI204" s="862"/>
      <c r="FJ204" s="862"/>
      <c r="FK204" s="862"/>
      <c r="FL204" s="862"/>
      <c r="FM204" s="862"/>
      <c r="FN204" s="862"/>
      <c r="FO204" s="862"/>
      <c r="FP204" s="862"/>
      <c r="FQ204" s="862"/>
      <c r="FR204" s="862"/>
      <c r="FS204" s="862"/>
      <c r="FT204" s="862"/>
      <c r="FU204" s="862"/>
      <c r="FV204" s="1791"/>
      <c r="FW204" s="439"/>
      <c r="FX204" s="439"/>
      <c r="FY204" s="439"/>
      <c r="FZ204" s="439"/>
      <c r="GA204" s="439"/>
      <c r="GB204" s="439"/>
      <c r="GC204" s="439"/>
      <c r="GD204" s="439"/>
      <c r="GE204" s="439"/>
      <c r="GF204" s="439"/>
      <c r="GG204" s="439"/>
      <c r="GH204" s="439"/>
      <c r="GI204" s="439"/>
      <c r="GK204" s="1791"/>
      <c r="GL204" s="862"/>
      <c r="GM204" s="862"/>
      <c r="GN204" s="862"/>
      <c r="GO204" s="862"/>
      <c r="GP204" s="862"/>
      <c r="GQ204" s="862"/>
      <c r="GR204" s="862"/>
      <c r="GS204" s="862"/>
      <c r="GT204" s="862"/>
      <c r="GU204" s="862"/>
      <c r="GV204" s="862"/>
      <c r="GW204" s="862"/>
      <c r="GX204" s="862"/>
      <c r="GY204" s="525"/>
      <c r="GZ204" s="525"/>
      <c r="HA204" s="525"/>
    </row>
    <row r="205" spans="97:209">
      <c r="CS205" s="382"/>
      <c r="CT205" s="862"/>
      <c r="CU205" s="862"/>
      <c r="CV205" s="862"/>
      <c r="CW205" s="862"/>
      <c r="CX205" s="862"/>
      <c r="CY205" s="862"/>
      <c r="CZ205" s="862"/>
      <c r="DA205" s="862"/>
      <c r="DB205" s="862"/>
      <c r="DC205" s="862"/>
      <c r="DV205" s="862"/>
      <c r="DX205" s="382"/>
      <c r="DY205" s="862"/>
      <c r="DZ205" s="862"/>
      <c r="EA205" s="862"/>
      <c r="EB205" s="862"/>
      <c r="EC205" s="862"/>
      <c r="ED205" s="862"/>
      <c r="EE205" s="862"/>
      <c r="EH205" s="382"/>
      <c r="EI205" s="862"/>
      <c r="EJ205" s="862"/>
      <c r="EK205" s="862"/>
      <c r="EL205" s="862"/>
      <c r="EM205" s="862"/>
      <c r="EN205" s="862"/>
      <c r="EO205" s="862"/>
      <c r="EP205" s="599"/>
      <c r="ER205" s="382"/>
      <c r="ES205" s="525"/>
      <c r="ET205" s="525"/>
      <c r="EU205" s="525"/>
      <c r="EV205" s="525"/>
      <c r="EW205" s="525"/>
      <c r="EX205" s="525"/>
      <c r="EY205" s="525"/>
      <c r="EZ205" s="525"/>
      <c r="FA205" s="525"/>
      <c r="FB205" s="525"/>
      <c r="FC205" s="525"/>
      <c r="FD205" s="525"/>
      <c r="FE205" s="525"/>
      <c r="FF205" s="525"/>
      <c r="FG205" s="525"/>
      <c r="FH205" s="862"/>
      <c r="FI205" s="862"/>
      <c r="FJ205" s="862"/>
      <c r="FK205" s="862"/>
      <c r="FL205" s="862"/>
      <c r="FM205" s="862"/>
      <c r="FN205" s="862"/>
      <c r="FO205" s="862"/>
      <c r="FP205" s="862"/>
      <c r="FQ205" s="862"/>
      <c r="FR205" s="862"/>
      <c r="FS205" s="862"/>
      <c r="FT205" s="862"/>
      <c r="FU205" s="862"/>
      <c r="FV205" s="1791"/>
      <c r="FW205" s="439"/>
      <c r="FX205" s="918"/>
      <c r="FY205" s="918"/>
      <c r="FZ205" s="918"/>
      <c r="GA205" s="918"/>
      <c r="GB205" s="918"/>
      <c r="GC205" s="918"/>
      <c r="GD205" s="918"/>
      <c r="GE205" s="918"/>
      <c r="GF205" s="918"/>
      <c r="GG205" s="918"/>
      <c r="GH205" s="918"/>
      <c r="GI205" s="918"/>
      <c r="GK205" s="1791"/>
      <c r="GL205" s="862"/>
      <c r="GM205" s="862"/>
      <c r="GN205" s="862"/>
      <c r="GO205" s="862"/>
      <c r="GP205" s="862"/>
      <c r="GQ205" s="862"/>
      <c r="GR205" s="862"/>
      <c r="GS205" s="862"/>
      <c r="GT205" s="862"/>
      <c r="GU205" s="862"/>
      <c r="GV205" s="862"/>
      <c r="GW205" s="862"/>
      <c r="GX205" s="862"/>
      <c r="GY205" s="525"/>
      <c r="GZ205" s="525"/>
      <c r="HA205" s="525"/>
    </row>
    <row r="206" spans="97:209">
      <c r="CS206" s="382"/>
      <c r="CT206" s="862"/>
      <c r="CU206" s="862"/>
      <c r="CV206" s="862"/>
      <c r="CW206" s="862"/>
      <c r="CX206" s="862"/>
      <c r="CY206" s="862"/>
      <c r="CZ206" s="862"/>
      <c r="DA206" s="862"/>
      <c r="DB206" s="862"/>
      <c r="DC206" s="862"/>
      <c r="DV206" s="862"/>
      <c r="DX206" s="382"/>
      <c r="DY206" s="862"/>
      <c r="DZ206" s="862"/>
      <c r="EA206" s="862"/>
      <c r="EB206" s="862"/>
      <c r="EC206" s="862"/>
      <c r="ED206" s="862"/>
      <c r="EE206" s="862"/>
      <c r="EH206" s="382"/>
      <c r="EI206" s="862"/>
      <c r="EJ206" s="862"/>
      <c r="EK206" s="862"/>
      <c r="EL206" s="862"/>
      <c r="EM206" s="862"/>
      <c r="EN206" s="862"/>
      <c r="EO206" s="862"/>
      <c r="EP206" s="599"/>
      <c r="ER206" s="382"/>
      <c r="ES206" s="525"/>
      <c r="ET206" s="525"/>
      <c r="EU206" s="525"/>
      <c r="EV206" s="525"/>
      <c r="EW206" s="525"/>
      <c r="EX206" s="525"/>
      <c r="EY206" s="525"/>
      <c r="EZ206" s="525"/>
      <c r="FA206" s="525"/>
      <c r="FB206" s="525"/>
      <c r="FC206" s="525"/>
      <c r="FD206" s="525"/>
      <c r="FE206" s="525"/>
      <c r="FF206" s="525"/>
      <c r="FG206" s="525"/>
      <c r="FH206" s="862"/>
      <c r="FI206" s="862"/>
      <c r="FJ206" s="862"/>
      <c r="FK206" s="862"/>
      <c r="FL206" s="862"/>
      <c r="FM206" s="862"/>
      <c r="FN206" s="862"/>
      <c r="FO206" s="862"/>
      <c r="FP206" s="862"/>
      <c r="FQ206" s="862"/>
      <c r="FR206" s="862"/>
      <c r="FS206" s="862"/>
      <c r="FT206" s="862"/>
      <c r="FU206" s="862"/>
      <c r="FV206" s="1791"/>
      <c r="FW206" s="439"/>
      <c r="FX206" s="918"/>
      <c r="FY206" s="918"/>
      <c r="FZ206" s="918"/>
      <c r="GA206" s="918"/>
      <c r="GB206" s="918"/>
      <c r="GC206" s="918"/>
      <c r="GD206" s="918"/>
      <c r="GE206" s="918"/>
      <c r="GF206" s="918"/>
      <c r="GG206" s="918"/>
      <c r="GH206" s="918"/>
      <c r="GI206" s="918"/>
      <c r="GK206" s="1791"/>
      <c r="GL206" s="862"/>
      <c r="GM206" s="862"/>
      <c r="GN206" s="862"/>
      <c r="GO206" s="862"/>
      <c r="GP206" s="862"/>
      <c r="GQ206" s="862"/>
      <c r="GR206" s="862"/>
      <c r="GS206" s="862"/>
      <c r="GT206" s="862"/>
      <c r="GU206" s="862"/>
      <c r="GV206" s="862"/>
      <c r="GW206" s="862"/>
      <c r="GX206" s="862"/>
      <c r="GY206" s="525"/>
      <c r="GZ206" s="525"/>
      <c r="HA206" s="525"/>
    </row>
    <row r="207" spans="97:209">
      <c r="CS207" s="382"/>
      <c r="CT207" s="382"/>
      <c r="CU207" s="382"/>
      <c r="CV207" s="382"/>
      <c r="CW207" s="382"/>
      <c r="CX207" s="382"/>
      <c r="CY207" s="382"/>
      <c r="CZ207" s="382"/>
      <c r="DA207" s="382"/>
      <c r="DB207" s="382"/>
      <c r="DC207" s="382"/>
      <c r="DV207" s="862"/>
      <c r="DX207" s="382"/>
      <c r="DY207" s="862"/>
      <c r="DZ207" s="862"/>
      <c r="EA207" s="862"/>
      <c r="EB207" s="862"/>
      <c r="EC207" s="862"/>
      <c r="ED207" s="862"/>
      <c r="EE207" s="862"/>
      <c r="EH207" s="382"/>
      <c r="EI207" s="862"/>
      <c r="EJ207" s="862"/>
      <c r="EK207" s="862"/>
      <c r="EL207" s="862"/>
      <c r="EM207" s="862"/>
      <c r="EN207" s="862"/>
      <c r="EO207" s="862"/>
      <c r="ER207" s="382"/>
      <c r="ES207" s="525"/>
      <c r="ET207" s="525"/>
      <c r="EU207" s="525"/>
      <c r="EV207" s="525"/>
      <c r="EW207" s="525"/>
      <c r="EX207" s="525"/>
      <c r="EY207" s="525"/>
      <c r="EZ207" s="525"/>
      <c r="FA207" s="525"/>
      <c r="FB207" s="525"/>
      <c r="FC207" s="525"/>
      <c r="FD207" s="525"/>
      <c r="FE207" s="525"/>
      <c r="FF207" s="525"/>
      <c r="FG207" s="525"/>
      <c r="FH207" s="862"/>
      <c r="FI207" s="862"/>
      <c r="FJ207" s="862"/>
      <c r="FK207" s="862"/>
      <c r="FL207" s="862"/>
      <c r="FM207" s="862"/>
      <c r="FN207" s="862"/>
      <c r="FO207" s="862"/>
      <c r="FP207" s="862"/>
      <c r="FQ207" s="862"/>
      <c r="FR207" s="862"/>
      <c r="FS207" s="862"/>
      <c r="FT207" s="862"/>
      <c r="FU207" s="862"/>
      <c r="FV207" s="1791"/>
      <c r="FW207" s="439"/>
      <c r="FX207" s="918"/>
      <c r="FY207" s="918"/>
      <c r="FZ207" s="918"/>
      <c r="GA207" s="918"/>
      <c r="GB207" s="918"/>
      <c r="GC207" s="918"/>
      <c r="GD207" s="918"/>
      <c r="GE207" s="918"/>
      <c r="GF207" s="918"/>
      <c r="GG207" s="918"/>
      <c r="GH207" s="918"/>
      <c r="GI207" s="918"/>
      <c r="GK207" s="1791"/>
      <c r="GL207" s="862"/>
      <c r="GM207" s="862"/>
      <c r="GN207" s="862"/>
      <c r="GO207" s="862"/>
      <c r="GP207" s="862"/>
      <c r="GQ207" s="862"/>
      <c r="GR207" s="862"/>
      <c r="GS207" s="862"/>
      <c r="GT207" s="862"/>
      <c r="GU207" s="862"/>
      <c r="GV207" s="862"/>
      <c r="GW207" s="862"/>
      <c r="GX207" s="862"/>
      <c r="GY207" s="525"/>
      <c r="GZ207" s="525"/>
      <c r="HA207" s="525"/>
    </row>
    <row r="208" spans="97:209">
      <c r="DV208" s="862"/>
      <c r="DX208" s="382"/>
      <c r="DY208" s="862"/>
      <c r="DZ208" s="862"/>
      <c r="EA208" s="862"/>
      <c r="EB208" s="862"/>
      <c r="EC208" s="862"/>
      <c r="ED208" s="862"/>
      <c r="EE208" s="862"/>
      <c r="EH208" s="382"/>
      <c r="EI208" s="862"/>
      <c r="EJ208" s="862"/>
      <c r="EK208" s="862"/>
      <c r="EL208" s="862"/>
      <c r="EM208" s="862"/>
      <c r="EN208" s="862"/>
      <c r="EO208" s="862"/>
      <c r="EP208" s="862"/>
      <c r="ER208" s="382"/>
      <c r="ES208" s="525"/>
      <c r="ET208" s="525"/>
      <c r="EU208" s="525"/>
      <c r="EV208" s="525"/>
      <c r="EW208" s="525"/>
      <c r="EX208" s="525"/>
      <c r="EY208" s="525"/>
      <c r="EZ208" s="525"/>
      <c r="FA208" s="525"/>
      <c r="FB208" s="525"/>
      <c r="FC208" s="525"/>
      <c r="FD208" s="525"/>
      <c r="FE208" s="525"/>
      <c r="FF208" s="525"/>
      <c r="FG208" s="525"/>
      <c r="FH208" s="862"/>
      <c r="FI208" s="862"/>
      <c r="FJ208" s="862"/>
      <c r="FK208" s="862"/>
      <c r="FL208" s="862"/>
      <c r="FM208" s="862"/>
      <c r="FN208" s="862"/>
      <c r="FO208" s="862"/>
      <c r="FP208" s="862"/>
      <c r="FQ208" s="862"/>
      <c r="FR208" s="862"/>
      <c r="FS208" s="862"/>
      <c r="FT208" s="862"/>
      <c r="FU208" s="862"/>
      <c r="FV208" s="1791"/>
      <c r="FW208" s="439"/>
      <c r="FX208" s="918"/>
      <c r="FY208" s="918"/>
      <c r="FZ208" s="918"/>
      <c r="GA208" s="918"/>
      <c r="GB208" s="918"/>
      <c r="GC208" s="918"/>
      <c r="GD208" s="918"/>
      <c r="GE208" s="918"/>
      <c r="GF208" s="918"/>
      <c r="GG208" s="918"/>
      <c r="GH208" s="918"/>
      <c r="GI208" s="918"/>
      <c r="GK208" s="1791"/>
      <c r="GL208" s="862"/>
      <c r="GM208" s="862"/>
      <c r="GN208" s="862"/>
      <c r="GO208" s="862"/>
      <c r="GP208" s="862"/>
      <c r="GQ208" s="862"/>
      <c r="GR208" s="862"/>
      <c r="GS208" s="862"/>
      <c r="GT208" s="862"/>
      <c r="GU208" s="862"/>
      <c r="GV208" s="862"/>
      <c r="GW208" s="862"/>
      <c r="GX208" s="862"/>
      <c r="GY208" s="525"/>
      <c r="GZ208" s="525"/>
      <c r="HA208" s="525"/>
    </row>
    <row r="209" spans="97:209">
      <c r="DV209" s="862"/>
      <c r="DX209" s="382"/>
      <c r="DY209" s="862"/>
      <c r="DZ209" s="862"/>
      <c r="EA209" s="862"/>
      <c r="EB209" s="862"/>
      <c r="EC209" s="862"/>
      <c r="ED209" s="862"/>
      <c r="EE209" s="862"/>
      <c r="EH209" s="382"/>
      <c r="EI209" s="862"/>
      <c r="EJ209" s="862"/>
      <c r="EK209" s="862"/>
      <c r="EL209" s="862"/>
      <c r="EM209" s="862"/>
      <c r="EN209" s="862"/>
      <c r="EO209" s="862"/>
      <c r="EP209" s="862"/>
      <c r="ER209" s="382"/>
      <c r="ES209" s="525"/>
      <c r="ET209" s="525"/>
      <c r="EU209" s="525"/>
      <c r="EV209" s="525"/>
      <c r="EW209" s="525"/>
      <c r="EX209" s="525"/>
      <c r="EY209" s="525"/>
      <c r="EZ209" s="525"/>
      <c r="FA209" s="525"/>
      <c r="FB209" s="525"/>
      <c r="FC209" s="525"/>
      <c r="FD209" s="525"/>
      <c r="FE209" s="525"/>
      <c r="FF209" s="525"/>
      <c r="FG209" s="525"/>
      <c r="FH209" s="862"/>
      <c r="FI209" s="862"/>
      <c r="FJ209" s="862"/>
      <c r="FK209" s="862"/>
      <c r="FL209" s="862"/>
      <c r="FM209" s="862"/>
      <c r="FN209" s="862"/>
      <c r="FO209" s="862"/>
      <c r="FP209" s="862"/>
      <c r="FQ209" s="862"/>
      <c r="FR209" s="862"/>
      <c r="FS209" s="862"/>
      <c r="FT209" s="862"/>
      <c r="FU209" s="862"/>
      <c r="FV209" s="1791"/>
      <c r="FW209" s="439"/>
      <c r="FX209" s="918"/>
      <c r="FY209" s="918"/>
      <c r="FZ209" s="918"/>
      <c r="GA209" s="918"/>
      <c r="GB209" s="918"/>
      <c r="GC209" s="918"/>
      <c r="GD209" s="918"/>
      <c r="GE209" s="918"/>
      <c r="GF209" s="918"/>
      <c r="GG209" s="918"/>
      <c r="GH209" s="918"/>
      <c r="GI209" s="918"/>
      <c r="GK209" s="1791"/>
      <c r="GL209" s="862"/>
      <c r="GM209" s="862"/>
      <c r="GN209" s="862"/>
      <c r="GO209" s="862"/>
      <c r="GP209" s="862"/>
      <c r="GQ209" s="862"/>
      <c r="GR209" s="862"/>
      <c r="GS209" s="862"/>
      <c r="GT209" s="862"/>
      <c r="GU209" s="862"/>
      <c r="GV209" s="862"/>
      <c r="GW209" s="862"/>
      <c r="GX209" s="862"/>
      <c r="GY209" s="525"/>
      <c r="GZ209" s="525"/>
      <c r="HA209" s="525"/>
    </row>
    <row r="210" spans="97:209">
      <c r="DV210" s="862"/>
      <c r="DX210" s="382"/>
      <c r="DY210" s="862"/>
      <c r="DZ210" s="862"/>
      <c r="EA210" s="862"/>
      <c r="EB210" s="862"/>
      <c r="EC210" s="862"/>
      <c r="ED210" s="862"/>
      <c r="EE210" s="862"/>
      <c r="EH210" s="382"/>
      <c r="EI210" s="862"/>
      <c r="EJ210" s="862"/>
      <c r="EK210" s="862"/>
      <c r="EL210" s="862"/>
      <c r="EM210" s="862"/>
      <c r="EN210" s="862"/>
      <c r="EO210" s="862"/>
      <c r="EP210" s="862"/>
      <c r="ER210" s="382"/>
      <c r="ES210" s="525"/>
      <c r="ET210" s="525"/>
      <c r="EU210" s="525"/>
      <c r="EV210" s="525"/>
      <c r="EW210" s="525"/>
      <c r="EX210" s="525"/>
      <c r="EY210" s="525"/>
      <c r="EZ210" s="525"/>
      <c r="FA210" s="525"/>
      <c r="FB210" s="525"/>
      <c r="FC210" s="525"/>
      <c r="FD210" s="525"/>
      <c r="FE210" s="525"/>
      <c r="FF210" s="525"/>
      <c r="FG210" s="525"/>
      <c r="FH210" s="862"/>
      <c r="FI210" s="862"/>
      <c r="FJ210" s="862"/>
      <c r="FK210" s="862"/>
      <c r="FL210" s="862"/>
      <c r="FM210" s="862"/>
      <c r="FN210" s="862"/>
      <c r="FO210" s="862"/>
      <c r="FP210" s="862"/>
      <c r="FQ210" s="862"/>
      <c r="FR210" s="862"/>
      <c r="FS210" s="862"/>
      <c r="FT210" s="862"/>
      <c r="FU210" s="862"/>
      <c r="FV210" s="1791"/>
      <c r="FW210" s="439"/>
      <c r="FX210" s="463"/>
      <c r="FY210" s="463"/>
      <c r="FZ210" s="463"/>
      <c r="GA210" s="463"/>
      <c r="GB210" s="463"/>
      <c r="GC210" s="463"/>
      <c r="GD210" s="463"/>
      <c r="GE210" s="463"/>
      <c r="GF210" s="463"/>
      <c r="GG210" s="463"/>
      <c r="GH210" s="463"/>
      <c r="GI210" s="463"/>
      <c r="GK210" s="1791"/>
      <c r="GL210" s="862"/>
      <c r="GM210" s="862"/>
      <c r="GN210" s="862"/>
      <c r="GO210" s="862"/>
      <c r="GP210" s="862"/>
      <c r="GQ210" s="862"/>
      <c r="GR210" s="862"/>
      <c r="GS210" s="862"/>
      <c r="GT210" s="862"/>
      <c r="GU210" s="862"/>
      <c r="GV210" s="862"/>
      <c r="GW210" s="862"/>
      <c r="GX210" s="862"/>
      <c r="GY210" s="525"/>
      <c r="GZ210" s="525"/>
      <c r="HA210" s="525"/>
    </row>
    <row r="211" spans="97:209">
      <c r="DV211" s="862"/>
      <c r="DX211" s="382"/>
      <c r="DY211" s="862"/>
      <c r="DZ211" s="862"/>
      <c r="EA211" s="862"/>
      <c r="EB211" s="862"/>
      <c r="EC211" s="862"/>
      <c r="ED211" s="862"/>
      <c r="EE211" s="862"/>
      <c r="EH211" s="382"/>
      <c r="EI211" s="862"/>
      <c r="EJ211" s="862"/>
      <c r="EK211" s="862"/>
      <c r="EL211" s="862"/>
      <c r="EM211" s="862"/>
      <c r="EN211" s="862"/>
      <c r="EO211" s="862"/>
      <c r="EP211" s="435"/>
      <c r="ER211" s="382"/>
      <c r="ES211" s="525"/>
      <c r="ET211" s="525"/>
      <c r="EU211" s="525"/>
      <c r="EV211" s="525"/>
      <c r="EW211" s="525"/>
      <c r="EX211" s="525"/>
      <c r="EY211" s="525"/>
      <c r="EZ211" s="525"/>
      <c r="FA211" s="525"/>
      <c r="FB211" s="525"/>
      <c r="FC211" s="525"/>
      <c r="FD211" s="525"/>
      <c r="FE211" s="525"/>
      <c r="FF211" s="525"/>
      <c r="FG211" s="525"/>
      <c r="FH211" s="862"/>
      <c r="FI211" s="862"/>
      <c r="FJ211" s="862"/>
      <c r="FK211" s="862"/>
      <c r="FL211" s="862"/>
      <c r="FM211" s="862"/>
      <c r="FN211" s="862"/>
      <c r="FO211" s="862"/>
      <c r="FP211" s="862"/>
      <c r="FQ211" s="862"/>
      <c r="FR211" s="862"/>
      <c r="FS211" s="862"/>
      <c r="FT211" s="862"/>
      <c r="FU211" s="862"/>
      <c r="FV211" s="1791"/>
      <c r="FW211" s="2180"/>
      <c r="FX211" s="2180"/>
      <c r="FY211" s="2180"/>
      <c r="FZ211" s="2180"/>
      <c r="GA211" s="2180"/>
      <c r="GB211" s="2180"/>
      <c r="GC211" s="2180"/>
      <c r="GD211" s="2180"/>
      <c r="GE211" s="2180"/>
      <c r="GF211" s="2180"/>
      <c r="GG211" s="2180"/>
      <c r="GH211" s="2180"/>
      <c r="GI211" s="2180"/>
      <c r="GK211" s="1791"/>
      <c r="GL211" s="862"/>
      <c r="GM211" s="862"/>
      <c r="GN211" s="862"/>
      <c r="GO211" s="862"/>
      <c r="GP211" s="862"/>
      <c r="GQ211" s="862"/>
      <c r="GR211" s="862"/>
      <c r="GS211" s="862"/>
      <c r="GT211" s="862"/>
      <c r="GU211" s="862"/>
      <c r="GV211" s="862"/>
      <c r="GW211" s="862"/>
      <c r="GX211" s="862"/>
      <c r="GY211" s="525"/>
      <c r="GZ211" s="525"/>
      <c r="HA211" s="525"/>
    </row>
    <row r="212" spans="97:209">
      <c r="DV212" s="862"/>
      <c r="DX212" s="382"/>
      <c r="DY212" s="382"/>
      <c r="DZ212" s="382"/>
      <c r="EA212" s="382"/>
      <c r="EB212" s="382"/>
      <c r="EC212" s="382"/>
      <c r="ED212" s="382"/>
      <c r="EE212" s="382"/>
      <c r="EF212" s="862"/>
      <c r="EH212" s="382"/>
      <c r="EI212" s="862"/>
      <c r="EJ212" s="862"/>
      <c r="EK212" s="862"/>
      <c r="EL212" s="862"/>
      <c r="EM212" s="862"/>
      <c r="EN212" s="862"/>
      <c r="EO212" s="862"/>
      <c r="EP212" s="435"/>
      <c r="ER212" s="382"/>
      <c r="ES212" s="525"/>
      <c r="ET212" s="525"/>
      <c r="EU212" s="525"/>
      <c r="EV212" s="525"/>
      <c r="EW212" s="525"/>
      <c r="EX212" s="525"/>
      <c r="EY212" s="525"/>
      <c r="EZ212" s="525"/>
      <c r="FA212" s="525"/>
      <c r="FB212" s="525"/>
      <c r="FC212" s="525"/>
      <c r="FD212" s="525"/>
      <c r="FE212" s="525"/>
      <c r="FF212" s="525"/>
      <c r="FG212" s="525"/>
      <c r="FH212" s="862"/>
      <c r="FI212" s="862"/>
      <c r="FJ212" s="862"/>
      <c r="FK212" s="862"/>
      <c r="FL212" s="862"/>
      <c r="FM212" s="862"/>
      <c r="FN212" s="862"/>
      <c r="FO212" s="862"/>
      <c r="FP212" s="862"/>
      <c r="FQ212" s="862"/>
      <c r="FR212" s="862"/>
      <c r="FS212" s="862"/>
      <c r="FT212" s="862"/>
      <c r="FU212" s="862"/>
      <c r="FV212" s="1791"/>
      <c r="FW212" s="439"/>
      <c r="FX212" s="439"/>
      <c r="FY212" s="439"/>
      <c r="FZ212" s="439"/>
      <c r="GA212" s="439"/>
      <c r="GB212" s="439"/>
      <c r="GC212" s="439"/>
      <c r="GD212" s="439"/>
      <c r="GE212" s="439"/>
      <c r="GF212" s="439"/>
      <c r="GG212" s="439"/>
      <c r="GH212" s="439"/>
      <c r="GI212" s="439"/>
      <c r="GK212" s="1791"/>
      <c r="GL212" s="862"/>
      <c r="GM212" s="862"/>
      <c r="GN212" s="862"/>
      <c r="GO212" s="862"/>
      <c r="GP212" s="862"/>
      <c r="GQ212" s="862"/>
      <c r="GR212" s="862"/>
      <c r="GS212" s="862"/>
      <c r="GT212" s="862"/>
      <c r="GU212" s="862"/>
      <c r="GV212" s="862"/>
      <c r="GW212" s="862"/>
      <c r="GX212" s="862"/>
      <c r="GY212" s="525"/>
      <c r="GZ212" s="525"/>
      <c r="HA212" s="525"/>
    </row>
    <row r="213" spans="97:209">
      <c r="CS213" s="382"/>
      <c r="CT213" s="382"/>
      <c r="CU213" s="382"/>
      <c r="CV213" s="382"/>
      <c r="CW213" s="382"/>
      <c r="CX213" s="382"/>
      <c r="CY213" s="382"/>
      <c r="CZ213" s="382"/>
      <c r="DA213" s="382"/>
      <c r="DB213" s="382"/>
      <c r="DC213" s="382"/>
      <c r="DE213" s="862"/>
      <c r="DV213" s="862"/>
      <c r="DX213" s="382"/>
      <c r="DY213" s="382"/>
      <c r="DZ213" s="382"/>
      <c r="EA213" s="382"/>
      <c r="EB213" s="382"/>
      <c r="EC213" s="382"/>
      <c r="ED213" s="382"/>
      <c r="EE213" s="382"/>
      <c r="EF213" s="862"/>
      <c r="EH213" s="382"/>
      <c r="EI213" s="862"/>
      <c r="EJ213" s="862"/>
      <c r="EK213" s="862"/>
      <c r="EL213" s="862"/>
      <c r="EM213" s="862"/>
      <c r="EN213" s="862"/>
      <c r="EO213" s="862"/>
      <c r="EP213" s="435"/>
      <c r="FH213" s="862"/>
      <c r="FI213" s="862"/>
      <c r="FJ213" s="862"/>
      <c r="FK213" s="862"/>
      <c r="FL213" s="862"/>
      <c r="FM213" s="862"/>
      <c r="FN213" s="862"/>
      <c r="FO213" s="862"/>
      <c r="FP213" s="862"/>
      <c r="FQ213" s="862"/>
      <c r="FR213" s="862"/>
      <c r="FS213" s="862"/>
      <c r="FT213" s="862"/>
      <c r="FU213" s="862"/>
      <c r="FV213" s="1791"/>
      <c r="FW213" s="439"/>
      <c r="FX213" s="918"/>
      <c r="FY213" s="918"/>
      <c r="FZ213" s="918"/>
      <c r="GA213" s="918"/>
      <c r="GB213" s="918"/>
      <c r="GC213" s="918"/>
      <c r="GD213" s="918"/>
      <c r="GE213" s="918"/>
      <c r="GF213" s="918"/>
      <c r="GG213" s="918"/>
      <c r="GH213" s="918"/>
      <c r="GI213" s="918"/>
      <c r="GK213" s="1791"/>
      <c r="GL213" s="862"/>
      <c r="GM213" s="862"/>
      <c r="GN213" s="862"/>
      <c r="GO213" s="862"/>
      <c r="GP213" s="862"/>
      <c r="GQ213" s="862"/>
      <c r="GR213" s="862"/>
      <c r="GS213" s="862"/>
      <c r="GT213" s="862"/>
      <c r="GU213" s="862"/>
      <c r="GV213" s="862"/>
      <c r="GW213" s="862"/>
      <c r="GY213" s="525"/>
      <c r="HA213" s="525"/>
    </row>
    <row r="214" spans="97:209">
      <c r="DE214" s="862"/>
      <c r="DV214" s="862"/>
      <c r="DX214" s="382"/>
      <c r="DY214" s="382"/>
      <c r="DZ214" s="382"/>
      <c r="EA214" s="382"/>
      <c r="EB214" s="382"/>
      <c r="EC214" s="382"/>
      <c r="ED214" s="382"/>
      <c r="EE214" s="382"/>
      <c r="EF214" s="862"/>
      <c r="EH214" s="382"/>
      <c r="EI214" s="862"/>
      <c r="EJ214" s="862"/>
      <c r="EK214" s="862"/>
      <c r="EL214" s="862"/>
      <c r="EM214" s="862"/>
      <c r="EN214" s="862"/>
      <c r="EO214" s="862"/>
      <c r="EP214" s="435"/>
      <c r="FJ214" s="862"/>
      <c r="FW214" s="439"/>
      <c r="FX214" s="918"/>
      <c r="FY214" s="918"/>
      <c r="FZ214" s="918"/>
      <c r="GA214" s="918"/>
      <c r="GB214" s="918"/>
      <c r="GC214" s="918"/>
      <c r="GD214" s="918"/>
      <c r="GE214" s="918"/>
      <c r="GF214" s="918"/>
      <c r="GG214" s="918"/>
      <c r="GH214" s="918"/>
      <c r="GI214" s="918"/>
      <c r="GM214" s="862"/>
      <c r="GN214" s="862"/>
      <c r="GO214" s="862"/>
      <c r="GP214" s="862"/>
      <c r="GQ214" s="862"/>
      <c r="GR214" s="862"/>
      <c r="GS214" s="862"/>
      <c r="GT214" s="862"/>
      <c r="GU214" s="862"/>
      <c r="GV214" s="862"/>
      <c r="GW214" s="862"/>
      <c r="GY214" s="525"/>
      <c r="HA214" s="525"/>
    </row>
    <row r="215" spans="97:209">
      <c r="DE215" s="862"/>
      <c r="DV215" s="862"/>
      <c r="DY215" s="382"/>
      <c r="DZ215" s="382"/>
      <c r="EA215" s="382"/>
      <c r="EB215" s="382"/>
      <c r="EC215" s="382"/>
      <c r="ED215" s="382"/>
      <c r="EE215" s="382"/>
      <c r="EF215" s="862"/>
      <c r="EH215" s="382"/>
      <c r="EI215" s="862"/>
      <c r="EJ215" s="862"/>
      <c r="EK215" s="862"/>
      <c r="EL215" s="862"/>
      <c r="EM215" s="862"/>
      <c r="EN215" s="862"/>
      <c r="EO215" s="862"/>
      <c r="EP215" s="435"/>
      <c r="FW215" s="439"/>
      <c r="FX215" s="918"/>
      <c r="FY215" s="918"/>
      <c r="FZ215" s="918"/>
      <c r="GA215" s="918"/>
      <c r="GB215" s="918"/>
      <c r="GC215" s="918"/>
      <c r="GD215" s="918"/>
      <c r="GE215" s="918"/>
      <c r="GF215" s="918"/>
      <c r="GG215" s="918"/>
      <c r="GH215" s="918"/>
      <c r="GI215" s="918"/>
      <c r="GM215" s="862"/>
      <c r="GN215" s="862"/>
      <c r="GO215" s="862"/>
      <c r="GP215" s="862"/>
      <c r="GQ215" s="862"/>
      <c r="GR215" s="862"/>
      <c r="GS215" s="862"/>
      <c r="GT215" s="862"/>
      <c r="GU215" s="862"/>
      <c r="GV215" s="862"/>
      <c r="GW215" s="862"/>
      <c r="GY215" s="525"/>
      <c r="HA215" s="525"/>
    </row>
    <row r="216" spans="97:209">
      <c r="DE216" s="862"/>
      <c r="DV216" s="862"/>
      <c r="DX216" s="382"/>
      <c r="DY216" s="382"/>
      <c r="DZ216" s="382"/>
      <c r="EA216" s="382"/>
      <c r="EB216" s="382"/>
      <c r="EC216" s="382"/>
      <c r="ED216" s="382"/>
      <c r="EE216" s="382"/>
      <c r="EF216" s="862"/>
      <c r="EH216" s="382"/>
      <c r="EI216" s="862"/>
      <c r="EJ216" s="862"/>
      <c r="EK216" s="862"/>
      <c r="EL216" s="862"/>
      <c r="EM216" s="862"/>
      <c r="EN216" s="862"/>
      <c r="EO216" s="862"/>
      <c r="EP216" s="435"/>
      <c r="FW216" s="439"/>
      <c r="FX216" s="918"/>
      <c r="FY216" s="918"/>
      <c r="FZ216" s="918"/>
      <c r="GA216" s="918"/>
      <c r="GB216" s="918"/>
      <c r="GC216" s="918"/>
      <c r="GD216" s="918"/>
      <c r="GE216" s="918"/>
      <c r="GF216" s="918"/>
      <c r="GG216" s="918"/>
      <c r="GH216" s="918"/>
      <c r="GI216" s="918"/>
    </row>
    <row r="217" spans="97:209">
      <c r="DE217" s="862"/>
      <c r="DV217" s="862"/>
      <c r="EF217" s="862"/>
      <c r="EH217" s="382"/>
      <c r="EI217" s="862"/>
      <c r="EJ217" s="862"/>
      <c r="EK217" s="862"/>
      <c r="EL217" s="862"/>
      <c r="EM217" s="862"/>
      <c r="EN217" s="862"/>
      <c r="EO217" s="862"/>
      <c r="EP217" s="435"/>
      <c r="FW217" s="439"/>
      <c r="FX217" s="918"/>
      <c r="FY217" s="918"/>
      <c r="FZ217" s="918"/>
      <c r="GA217" s="918"/>
      <c r="GB217" s="918"/>
      <c r="GC217" s="918"/>
      <c r="GD217" s="918"/>
      <c r="GE217" s="918"/>
      <c r="GF217" s="918"/>
      <c r="GG217" s="918"/>
      <c r="GH217" s="918"/>
      <c r="GI217" s="918"/>
    </row>
    <row r="218" spans="97:209">
      <c r="DE218" s="862"/>
      <c r="DV218" s="862"/>
      <c r="EF218" s="862"/>
      <c r="EH218" s="382"/>
      <c r="EI218" s="862"/>
      <c r="EJ218" s="862"/>
      <c r="EK218" s="862"/>
      <c r="EL218" s="862"/>
      <c r="EM218" s="862"/>
      <c r="EN218" s="862"/>
      <c r="EO218" s="862"/>
      <c r="EP218" s="435"/>
      <c r="FW218" s="439"/>
      <c r="FX218" s="463"/>
      <c r="FY218" s="463"/>
      <c r="FZ218" s="463"/>
      <c r="GA218" s="463"/>
      <c r="GB218" s="463"/>
      <c r="GC218" s="463"/>
      <c r="GD218" s="463"/>
      <c r="GE218" s="463"/>
      <c r="GF218" s="463"/>
      <c r="GG218" s="463"/>
      <c r="GH218" s="463"/>
      <c r="GI218" s="463"/>
    </row>
    <row r="219" spans="97:209">
      <c r="DE219" s="862"/>
      <c r="DV219" s="862"/>
      <c r="EF219" s="862"/>
      <c r="EH219" s="382"/>
      <c r="EI219" s="862"/>
      <c r="EJ219" s="862"/>
      <c r="EK219" s="862"/>
      <c r="EL219" s="862"/>
      <c r="EM219" s="862"/>
      <c r="EN219" s="862"/>
      <c r="EO219" s="862"/>
      <c r="EP219" s="435"/>
      <c r="FW219" s="637"/>
      <c r="FX219" s="1757"/>
      <c r="FY219" s="1757"/>
      <c r="FZ219" s="1757"/>
      <c r="GA219" s="1757"/>
      <c r="GB219" s="1757"/>
      <c r="GC219" s="1757"/>
      <c r="GD219" s="1757"/>
      <c r="GE219" s="1757"/>
      <c r="GF219" s="1757"/>
      <c r="GG219" s="1757"/>
      <c r="GH219" s="1757"/>
      <c r="GI219" s="1757"/>
      <c r="GJ219" s="473"/>
    </row>
    <row r="220" spans="97:209">
      <c r="DE220" s="862"/>
      <c r="DV220" s="862"/>
      <c r="DX220" s="382"/>
      <c r="DY220" s="398"/>
      <c r="DZ220" s="398"/>
      <c r="EA220" s="398"/>
      <c r="EB220" s="398"/>
      <c r="EC220" s="398"/>
      <c r="ED220" s="398"/>
      <c r="EE220" s="398"/>
      <c r="EF220" s="862"/>
      <c r="EH220" s="382"/>
      <c r="EI220" s="862"/>
      <c r="EJ220" s="862"/>
      <c r="EK220" s="862"/>
      <c r="EL220" s="862"/>
      <c r="EM220" s="862"/>
      <c r="EN220" s="862"/>
      <c r="EO220" s="862"/>
      <c r="EP220" s="435"/>
      <c r="FW220" s="637"/>
      <c r="FX220" s="1757"/>
      <c r="FY220" s="1757"/>
      <c r="FZ220" s="1757"/>
      <c r="GA220" s="1757"/>
      <c r="GB220" s="1757"/>
      <c r="GC220" s="1757"/>
      <c r="GD220" s="1757"/>
      <c r="GE220" s="1757"/>
      <c r="GF220" s="1757"/>
      <c r="GG220" s="1757"/>
      <c r="GH220" s="1757"/>
      <c r="GI220" s="1757"/>
      <c r="GJ220" s="473"/>
    </row>
    <row r="221" spans="97:209">
      <c r="DE221" s="862"/>
      <c r="DV221" s="862"/>
      <c r="DX221" s="382"/>
      <c r="DY221" s="382"/>
      <c r="DZ221" s="2073"/>
      <c r="EA221" s="2073"/>
      <c r="EB221" s="2073"/>
      <c r="EC221" s="2073"/>
      <c r="ED221" s="2073"/>
      <c r="EE221" s="2073"/>
      <c r="EF221" s="862"/>
      <c r="EH221" s="382"/>
      <c r="EI221" s="382"/>
      <c r="EJ221" s="382"/>
      <c r="EK221" s="382"/>
      <c r="EL221" s="382"/>
      <c r="EM221" s="382"/>
      <c r="EN221" s="382"/>
      <c r="EO221" s="382"/>
      <c r="EP221" s="435"/>
      <c r="FW221" s="637"/>
      <c r="FX221" s="1757"/>
      <c r="FY221" s="1757"/>
      <c r="FZ221" s="1757"/>
      <c r="GA221" s="1757"/>
      <c r="GB221" s="1757"/>
      <c r="GC221" s="1757"/>
      <c r="GD221" s="1757"/>
      <c r="GE221" s="1757"/>
      <c r="GF221" s="1757"/>
      <c r="GG221" s="1757"/>
      <c r="GH221" s="1757"/>
      <c r="GI221" s="1757"/>
      <c r="GJ221" s="473"/>
    </row>
    <row r="222" spans="97:209">
      <c r="DE222" s="862"/>
      <c r="DV222" s="862"/>
      <c r="DX222" s="382"/>
      <c r="DY222" s="439"/>
      <c r="DZ222" s="439"/>
      <c r="EA222" s="439"/>
      <c r="EB222" s="439"/>
      <c r="EC222" s="439"/>
      <c r="ED222" s="439"/>
      <c r="EE222" s="439"/>
      <c r="EF222" s="862"/>
      <c r="EH222" s="382"/>
      <c r="EI222" s="382"/>
      <c r="EJ222" s="382"/>
      <c r="EK222" s="382"/>
      <c r="EL222" s="382"/>
      <c r="EM222" s="382"/>
      <c r="EN222" s="382"/>
      <c r="EO222" s="382"/>
      <c r="EP222" s="435"/>
      <c r="FW222" s="1793"/>
      <c r="FX222" s="1757"/>
      <c r="FY222" s="1757"/>
      <c r="FZ222" s="1757"/>
      <c r="GA222" s="1757"/>
      <c r="GB222" s="1757"/>
      <c r="GC222" s="1757"/>
      <c r="GD222" s="1757"/>
      <c r="GE222" s="1757"/>
      <c r="GF222" s="1757"/>
      <c r="GG222" s="1757"/>
      <c r="GH222" s="1757"/>
      <c r="GI222" s="1757"/>
      <c r="GJ222" s="473"/>
    </row>
    <row r="223" spans="97:209">
      <c r="DE223" s="862"/>
      <c r="DV223" s="862"/>
      <c r="DX223" s="382"/>
      <c r="DY223" s="862"/>
      <c r="DZ223" s="862"/>
      <c r="EA223" s="862"/>
      <c r="EB223" s="862"/>
      <c r="EC223" s="862"/>
      <c r="ED223" s="862"/>
      <c r="EE223" s="862"/>
      <c r="EF223" s="862"/>
      <c r="EH223" s="382"/>
      <c r="EI223" s="382"/>
      <c r="EJ223" s="382"/>
      <c r="EK223" s="382"/>
      <c r="EL223" s="382"/>
      <c r="EM223" s="382"/>
      <c r="EN223" s="382"/>
      <c r="EO223" s="382"/>
      <c r="EP223" s="435"/>
      <c r="FW223" s="2180"/>
      <c r="FX223" s="2180"/>
      <c r="FY223" s="2180"/>
      <c r="FZ223" s="2180"/>
      <c r="GA223" s="2180"/>
      <c r="GB223" s="2180"/>
      <c r="GC223" s="2180"/>
      <c r="GD223" s="2180"/>
      <c r="GE223" s="2180"/>
      <c r="GF223" s="2180"/>
      <c r="GG223" s="2180"/>
      <c r="GH223" s="2180"/>
      <c r="GI223" s="2180"/>
      <c r="GJ223" s="2180"/>
    </row>
    <row r="224" spans="97:209">
      <c r="DE224" s="862"/>
      <c r="DV224" s="862"/>
      <c r="EF224" s="862"/>
      <c r="FW224" s="382"/>
      <c r="FX224" s="439"/>
      <c r="FY224" s="439"/>
      <c r="FZ224" s="439"/>
      <c r="GA224" s="439"/>
      <c r="GB224" s="439"/>
      <c r="GC224" s="439"/>
      <c r="GD224" s="439"/>
      <c r="GE224" s="439"/>
      <c r="GF224" s="439"/>
      <c r="GG224" s="439"/>
      <c r="GH224" s="439"/>
      <c r="GI224" s="439"/>
      <c r="GJ224" s="439"/>
    </row>
    <row r="225" spans="109:192">
      <c r="DE225" s="862"/>
      <c r="DV225" s="862"/>
      <c r="EF225" s="862"/>
      <c r="EH225" s="382"/>
      <c r="FW225" s="382"/>
      <c r="FX225" s="1757"/>
      <c r="FY225" s="1757"/>
      <c r="FZ225" s="1757"/>
      <c r="GA225" s="1757"/>
      <c r="GB225" s="1757"/>
      <c r="GC225" s="1757"/>
      <c r="GD225" s="1757"/>
      <c r="GE225" s="1757"/>
      <c r="GF225" s="1757"/>
      <c r="GG225" s="1757"/>
      <c r="GH225" s="1757"/>
      <c r="GI225" s="1757"/>
      <c r="GJ225" s="473"/>
    </row>
    <row r="226" spans="109:192">
      <c r="DE226" s="862"/>
      <c r="DV226" s="862"/>
      <c r="EF226" s="862"/>
      <c r="FW226" s="382"/>
      <c r="FX226" s="1757"/>
      <c r="FY226" s="1757"/>
      <c r="FZ226" s="1757"/>
      <c r="GA226" s="1757"/>
      <c r="GB226" s="1757"/>
      <c r="GC226" s="1757"/>
      <c r="GD226" s="1757"/>
      <c r="GE226" s="1757"/>
      <c r="GF226" s="1757"/>
      <c r="GG226" s="1757"/>
      <c r="GH226" s="1757"/>
      <c r="GI226" s="1757"/>
      <c r="GJ226" s="473"/>
    </row>
    <row r="227" spans="109:192">
      <c r="DE227" s="862"/>
      <c r="DV227" s="862"/>
      <c r="FW227" s="382"/>
      <c r="FX227" s="1757"/>
      <c r="FY227" s="1757"/>
      <c r="FZ227" s="1757"/>
      <c r="GA227" s="1757"/>
      <c r="GB227" s="1757"/>
      <c r="GC227" s="1757"/>
      <c r="GD227" s="1757"/>
      <c r="GE227" s="1757"/>
      <c r="GF227" s="1757"/>
      <c r="GG227" s="1757"/>
      <c r="GH227" s="1757"/>
      <c r="GI227" s="1757"/>
      <c r="GJ227" s="473"/>
    </row>
    <row r="228" spans="109:192">
      <c r="DE228" s="862"/>
      <c r="DV228" s="862"/>
      <c r="FW228" s="382"/>
      <c r="FX228" s="1757"/>
      <c r="FY228" s="1757"/>
      <c r="FZ228" s="1757"/>
      <c r="GA228" s="1757"/>
      <c r="GB228" s="1757"/>
      <c r="GC228" s="1757"/>
      <c r="GD228" s="1757"/>
      <c r="GE228" s="1757"/>
      <c r="GF228" s="1757"/>
      <c r="GG228" s="1757"/>
      <c r="GH228" s="1757"/>
      <c r="GI228" s="1757"/>
      <c r="GJ228" s="473"/>
    </row>
    <row r="229" spans="109:192">
      <c r="DE229" s="862"/>
      <c r="DV229" s="862"/>
      <c r="EH229" s="382"/>
      <c r="EI229" s="382"/>
      <c r="EJ229" s="382"/>
      <c r="EK229" s="382"/>
      <c r="EL229" s="382"/>
      <c r="EM229" s="382"/>
      <c r="EN229" s="382"/>
      <c r="EO229" s="382"/>
      <c r="FW229" s="382"/>
      <c r="FX229" s="1757"/>
      <c r="FY229" s="1757"/>
      <c r="FZ229" s="1757"/>
      <c r="GA229" s="1757"/>
      <c r="GB229" s="1757"/>
      <c r="GC229" s="1757"/>
      <c r="GD229" s="1757"/>
      <c r="GE229" s="1757"/>
      <c r="GF229" s="1757"/>
      <c r="GG229" s="1757"/>
      <c r="GH229" s="1757"/>
      <c r="GI229" s="1757"/>
      <c r="GJ229" s="473"/>
    </row>
    <row r="230" spans="109:192">
      <c r="DE230" s="862"/>
      <c r="DV230" s="862"/>
      <c r="EH230" s="382"/>
      <c r="EI230" s="439"/>
      <c r="EJ230" s="2073"/>
      <c r="EK230" s="2073"/>
      <c r="EL230" s="2073"/>
      <c r="EM230" s="2073"/>
      <c r="EN230" s="2073"/>
      <c r="EO230" s="2073"/>
      <c r="FW230" s="382"/>
      <c r="FX230" s="1622"/>
      <c r="FY230" s="1622"/>
      <c r="FZ230" s="1622"/>
      <c r="GA230" s="1622"/>
      <c r="GB230" s="1622"/>
      <c r="GC230" s="1622"/>
      <c r="GD230" s="1622"/>
      <c r="GE230" s="1622"/>
      <c r="GF230" s="1622"/>
      <c r="GG230" s="1622"/>
      <c r="GH230" s="1622"/>
      <c r="GI230" s="1622"/>
      <c r="GJ230" s="918"/>
    </row>
    <row r="231" spans="109:192">
      <c r="DE231" s="862"/>
      <c r="DV231" s="862"/>
      <c r="EH231" s="382"/>
      <c r="EI231" s="414"/>
      <c r="EJ231" s="439"/>
      <c r="EK231" s="439"/>
      <c r="EL231" s="439"/>
      <c r="EM231" s="439"/>
      <c r="EN231" s="439"/>
      <c r="EO231" s="439"/>
      <c r="FW231" s="451"/>
      <c r="FX231" s="382"/>
      <c r="FY231" s="382"/>
      <c r="FZ231" s="382"/>
      <c r="GA231" s="382"/>
      <c r="GB231" s="382"/>
      <c r="GC231" s="382"/>
      <c r="GD231" s="382"/>
      <c r="GE231" s="382"/>
      <c r="GF231" s="382"/>
      <c r="GG231" s="382"/>
      <c r="GH231" s="382"/>
      <c r="GI231" s="382"/>
      <c r="GJ231" s="382"/>
    </row>
    <row r="232" spans="109:192">
      <c r="DE232" s="862"/>
      <c r="DV232" s="862"/>
      <c r="EH232" s="382"/>
      <c r="EI232" s="439"/>
      <c r="EJ232" s="439"/>
      <c r="EK232" s="439"/>
      <c r="EL232" s="439"/>
      <c r="EM232" s="439"/>
      <c r="EN232" s="439"/>
      <c r="EO232" s="439"/>
      <c r="FW232" s="451"/>
      <c r="FX232" s="382"/>
      <c r="FY232" s="382"/>
      <c r="FZ232" s="382"/>
      <c r="GA232" s="382"/>
      <c r="GB232" s="382"/>
      <c r="GC232" s="382"/>
      <c r="GD232" s="382"/>
      <c r="GE232" s="382"/>
      <c r="GF232" s="382"/>
      <c r="GG232" s="382"/>
      <c r="GH232" s="382"/>
      <c r="GI232" s="382"/>
      <c r="GJ232" s="382"/>
    </row>
    <row r="233" spans="109:192">
      <c r="DE233" s="862"/>
      <c r="DV233" s="862"/>
      <c r="EH233" s="382"/>
      <c r="EI233" s="525"/>
      <c r="EJ233" s="525"/>
      <c r="EK233" s="525"/>
      <c r="EL233" s="862"/>
      <c r="EM233" s="862"/>
      <c r="EN233" s="862"/>
      <c r="EO233" s="862"/>
      <c r="FW233" s="451"/>
      <c r="FX233" s="382"/>
      <c r="FY233" s="382"/>
      <c r="FZ233" s="382"/>
      <c r="GA233" s="382"/>
      <c r="GB233" s="382"/>
      <c r="GC233" s="382"/>
      <c r="GD233" s="382"/>
      <c r="GE233" s="382"/>
      <c r="GF233" s="382"/>
      <c r="GG233" s="382"/>
      <c r="GH233" s="382"/>
      <c r="GI233" s="382"/>
      <c r="GJ233" s="382"/>
    </row>
    <row r="234" spans="109:192">
      <c r="DE234" s="862"/>
      <c r="EH234" s="382"/>
      <c r="EI234" s="525"/>
      <c r="EJ234" s="525"/>
      <c r="EK234" s="525"/>
      <c r="EL234" s="862"/>
      <c r="EM234" s="862"/>
      <c r="EN234" s="862"/>
      <c r="EO234" s="862"/>
      <c r="FW234" s="637"/>
    </row>
    <row r="235" spans="109:192">
      <c r="DV235" s="862"/>
      <c r="EH235" s="382"/>
      <c r="EI235" s="525"/>
      <c r="EJ235" s="525"/>
      <c r="EK235" s="525"/>
      <c r="EL235" s="862"/>
      <c r="EM235" s="862"/>
      <c r="EN235" s="862"/>
      <c r="EO235" s="862"/>
      <c r="FW235" s="382"/>
    </row>
    <row r="236" spans="109:192">
      <c r="DV236" s="862"/>
      <c r="EH236" s="382"/>
      <c r="EI236" s="525"/>
      <c r="EJ236" s="525"/>
      <c r="EK236" s="525"/>
      <c r="EL236" s="862"/>
      <c r="EM236" s="862"/>
      <c r="EN236" s="862"/>
      <c r="EO236" s="862"/>
      <c r="EP236" s="382"/>
      <c r="FW236" s="637"/>
    </row>
    <row r="237" spans="109:192">
      <c r="DV237" s="862"/>
      <c r="FW237" s="2180"/>
      <c r="FX237" s="2180"/>
      <c r="FY237" s="2180"/>
      <c r="FZ237" s="2180"/>
      <c r="GA237" s="2180"/>
      <c r="GB237" s="2180"/>
      <c r="GC237" s="2180"/>
      <c r="GD237" s="2180"/>
      <c r="GE237" s="2180"/>
      <c r="GF237" s="2180"/>
      <c r="GG237" s="2180"/>
      <c r="GH237" s="2180"/>
      <c r="GI237" s="2180"/>
    </row>
    <row r="238" spans="109:192">
      <c r="DV238" s="862"/>
      <c r="ET238" s="525"/>
      <c r="EU238" s="525"/>
      <c r="EV238" s="525"/>
      <c r="EW238" s="525"/>
      <c r="EX238" s="525"/>
      <c r="EY238" s="525"/>
      <c r="EZ238" s="525"/>
      <c r="FA238" s="525"/>
      <c r="FB238" s="525"/>
      <c r="FC238" s="525"/>
      <c r="FD238" s="525"/>
      <c r="FE238" s="525"/>
      <c r="FF238" s="525"/>
      <c r="FG238" s="525"/>
      <c r="FW238" s="439"/>
      <c r="FX238" s="439"/>
      <c r="FY238" s="439"/>
      <c r="FZ238" s="439"/>
      <c r="GA238" s="439"/>
      <c r="GB238" s="439"/>
      <c r="GC238" s="439"/>
      <c r="GD238" s="439"/>
      <c r="GE238" s="439"/>
      <c r="GF238" s="439"/>
      <c r="GG238" s="439"/>
      <c r="GH238" s="439"/>
      <c r="GI238" s="439"/>
    </row>
    <row r="239" spans="109:192">
      <c r="DF239" s="382"/>
      <c r="DG239" s="382"/>
      <c r="DH239" s="382"/>
      <c r="DI239" s="382"/>
      <c r="DJ239" s="382"/>
      <c r="DK239" s="382"/>
      <c r="DL239" s="382"/>
      <c r="DM239" s="382"/>
      <c r="DN239" s="382"/>
      <c r="DO239" s="382"/>
      <c r="DP239" s="382"/>
      <c r="DQ239" s="382"/>
      <c r="DR239" s="382"/>
      <c r="DS239" s="382"/>
      <c r="DT239" s="382"/>
      <c r="DU239" s="382"/>
      <c r="DV239" s="862"/>
      <c r="FW239" s="439"/>
      <c r="FX239" s="463"/>
      <c r="FY239" s="463"/>
      <c r="FZ239" s="463"/>
      <c r="GA239" s="463"/>
      <c r="GB239" s="463"/>
      <c r="GC239" s="463"/>
      <c r="GD239" s="463"/>
      <c r="GE239" s="463"/>
      <c r="GF239" s="463"/>
      <c r="GG239" s="463"/>
      <c r="GH239" s="463"/>
      <c r="GI239" s="463"/>
    </row>
    <row r="240" spans="109:192">
      <c r="DF240" s="382"/>
      <c r="DG240" s="382"/>
      <c r="DH240" s="382"/>
      <c r="DI240" s="382"/>
      <c r="DJ240" s="382"/>
      <c r="DK240" s="382"/>
      <c r="DL240" s="382"/>
      <c r="DM240" s="382"/>
      <c r="DN240" s="382"/>
      <c r="DO240" s="382"/>
      <c r="DP240" s="382"/>
      <c r="DQ240" s="382"/>
      <c r="DR240" s="382"/>
      <c r="DS240" s="382"/>
      <c r="DT240" s="382"/>
      <c r="DU240" s="382"/>
      <c r="EP240" s="435"/>
      <c r="FW240" s="439"/>
      <c r="FX240" s="463"/>
      <c r="FY240" s="463"/>
      <c r="FZ240" s="463"/>
      <c r="GA240" s="463"/>
      <c r="GB240" s="463"/>
      <c r="GC240" s="463"/>
      <c r="GD240" s="463"/>
      <c r="GE240" s="463"/>
      <c r="GF240" s="463"/>
      <c r="GG240" s="463"/>
      <c r="GH240" s="463"/>
      <c r="GI240" s="463"/>
    </row>
    <row r="241" spans="126:191">
      <c r="DV241" s="862"/>
      <c r="EP241" s="439"/>
      <c r="ER241" s="382"/>
      <c r="ES241" s="870"/>
      <c r="ET241" s="870"/>
      <c r="EU241" s="870"/>
      <c r="EV241" s="870"/>
      <c r="EW241" s="870"/>
      <c r="EX241" s="870"/>
      <c r="EY241" s="870"/>
      <c r="EZ241" s="870"/>
      <c r="FA241" s="870"/>
      <c r="FB241" s="870"/>
      <c r="FC241" s="870"/>
      <c r="FD241" s="870"/>
      <c r="FE241" s="870"/>
      <c r="FW241" s="439"/>
      <c r="FX241" s="463"/>
      <c r="FY241" s="463"/>
      <c r="FZ241" s="463"/>
      <c r="GA241" s="463"/>
      <c r="GB241" s="463"/>
      <c r="GC241" s="463"/>
      <c r="GD241" s="463"/>
      <c r="GE241" s="463"/>
      <c r="GF241" s="463"/>
      <c r="GG241" s="463"/>
      <c r="GH241" s="463"/>
      <c r="GI241" s="463"/>
    </row>
    <row r="242" spans="126:191">
      <c r="DV242" s="862"/>
      <c r="EP242" s="439"/>
      <c r="ER242" s="870"/>
      <c r="ES242" s="870"/>
      <c r="ET242" s="2073"/>
      <c r="EU242" s="2073"/>
      <c r="EV242" s="2073"/>
      <c r="EW242" s="2073"/>
      <c r="EX242" s="2073"/>
      <c r="EY242" s="2073"/>
      <c r="EZ242" s="2073"/>
      <c r="FA242" s="2073"/>
      <c r="FB242" s="2073"/>
      <c r="FC242" s="2073"/>
      <c r="FD242" s="2073"/>
      <c r="FE242" s="2073"/>
      <c r="FF242" s="2073"/>
      <c r="FG242" s="2073"/>
      <c r="FW242" s="439"/>
      <c r="FX242" s="463"/>
      <c r="FY242" s="463"/>
      <c r="FZ242" s="463"/>
      <c r="GA242" s="463"/>
      <c r="GB242" s="463"/>
      <c r="GC242" s="463"/>
      <c r="GD242" s="463"/>
      <c r="GE242" s="463"/>
      <c r="GF242" s="463"/>
      <c r="GG242" s="463"/>
      <c r="GH242" s="463"/>
      <c r="GI242" s="463"/>
    </row>
    <row r="243" spans="126:191">
      <c r="DV243" s="862"/>
      <c r="FW243" s="439"/>
      <c r="FX243" s="463"/>
      <c r="FY243" s="463"/>
      <c r="FZ243" s="463"/>
      <c r="GA243" s="463"/>
      <c r="GB243" s="463"/>
      <c r="GC243" s="463"/>
      <c r="GD243" s="463"/>
      <c r="GE243" s="463"/>
      <c r="GF243" s="463"/>
      <c r="GG243" s="463"/>
      <c r="GH243" s="463"/>
      <c r="GI243" s="463"/>
    </row>
    <row r="244" spans="126:191">
      <c r="DV244" s="862"/>
      <c r="EP244" s="439"/>
      <c r="FW244" s="439"/>
      <c r="FX244" s="463"/>
      <c r="FY244" s="463"/>
      <c r="FZ244" s="463"/>
      <c r="GA244" s="463"/>
      <c r="GB244" s="463"/>
      <c r="GC244" s="463"/>
      <c r="GD244" s="463"/>
      <c r="GE244" s="463"/>
      <c r="GF244" s="463"/>
      <c r="GG244" s="463"/>
      <c r="GH244" s="463"/>
      <c r="GI244" s="463"/>
    </row>
    <row r="245" spans="126:191">
      <c r="DV245" s="862"/>
      <c r="EP245" s="439"/>
      <c r="FW245" s="439"/>
      <c r="FX245" s="463"/>
      <c r="FY245" s="463"/>
      <c r="FZ245" s="463"/>
      <c r="GA245" s="463"/>
      <c r="GB245" s="463"/>
      <c r="GC245" s="463"/>
      <c r="GD245" s="463"/>
      <c r="GE245" s="463"/>
      <c r="GF245" s="463"/>
      <c r="GG245" s="463"/>
      <c r="GH245" s="463"/>
      <c r="GI245" s="463"/>
    </row>
    <row r="246" spans="126:191">
      <c r="EP246" s="439"/>
      <c r="FW246" s="382"/>
      <c r="FX246" s="382"/>
      <c r="FY246" s="382"/>
      <c r="FZ246" s="382"/>
      <c r="GA246" s="382"/>
      <c r="GB246" s="382"/>
      <c r="GC246" s="382"/>
      <c r="GD246" s="382"/>
      <c r="GE246" s="382"/>
      <c r="GF246" s="382"/>
      <c r="GG246" s="382"/>
      <c r="GH246" s="382"/>
      <c r="GI246" s="382"/>
    </row>
    <row r="247" spans="126:191">
      <c r="EP247" s="439"/>
      <c r="FW247" s="439"/>
      <c r="FX247" s="382"/>
      <c r="FY247" s="382"/>
      <c r="FZ247" s="382"/>
      <c r="GA247" s="382"/>
      <c r="GB247" s="382"/>
      <c r="GC247" s="382"/>
      <c r="GD247" s="382"/>
      <c r="GE247" s="382"/>
      <c r="GF247" s="382"/>
      <c r="GG247" s="382"/>
      <c r="GH247" s="382"/>
      <c r="GI247" s="382"/>
    </row>
    <row r="248" spans="126:191">
      <c r="EP248" s="439"/>
      <c r="FW248" s="637"/>
    </row>
    <row r="249" spans="126:191">
      <c r="FW249" s="637"/>
    </row>
    <row r="250" spans="126:191">
      <c r="DX250" s="382"/>
      <c r="DY250" s="398"/>
      <c r="DZ250" s="398"/>
      <c r="EA250" s="398"/>
      <c r="EB250" s="398"/>
      <c r="EC250" s="398"/>
      <c r="ED250" s="398"/>
      <c r="EE250" s="398"/>
      <c r="FW250" s="2180"/>
      <c r="FX250" s="2180"/>
      <c r="FY250" s="2180"/>
      <c r="FZ250" s="2180"/>
      <c r="GA250" s="2180"/>
      <c r="GB250" s="2180"/>
      <c r="GC250" s="2180"/>
      <c r="GD250" s="2180"/>
      <c r="GE250" s="2180"/>
      <c r="GF250" s="2180"/>
      <c r="GG250" s="2180"/>
      <c r="GH250" s="2180"/>
      <c r="GI250" s="2180"/>
    </row>
    <row r="251" spans="126:191">
      <c r="DX251" s="382"/>
      <c r="DY251" s="382"/>
      <c r="DZ251" s="2073"/>
      <c r="EA251" s="2073"/>
      <c r="EB251" s="2073"/>
      <c r="EC251" s="2073"/>
      <c r="ED251" s="2073"/>
      <c r="EE251" s="2073"/>
      <c r="FW251" s="439"/>
      <c r="FX251" s="439"/>
      <c r="FY251" s="439"/>
      <c r="FZ251" s="439"/>
      <c r="GA251" s="439"/>
      <c r="GB251" s="439"/>
      <c r="GC251" s="439"/>
      <c r="GD251" s="439"/>
      <c r="GE251" s="439"/>
      <c r="GF251" s="439"/>
      <c r="GG251" s="439"/>
      <c r="GH251" s="439"/>
      <c r="GI251" s="439"/>
    </row>
    <row r="252" spans="126:191">
      <c r="FW252" s="439"/>
      <c r="FX252" s="918"/>
      <c r="FY252" s="918"/>
      <c r="FZ252" s="918"/>
      <c r="GA252" s="918"/>
      <c r="GB252" s="918"/>
      <c r="GC252" s="918"/>
      <c r="GD252" s="918"/>
      <c r="GE252" s="918"/>
      <c r="GF252" s="918"/>
      <c r="GG252" s="918"/>
      <c r="GH252" s="918"/>
      <c r="GI252" s="918"/>
    </row>
    <row r="253" spans="126:191">
      <c r="FW253" s="439"/>
      <c r="FX253" s="918"/>
      <c r="FY253" s="918"/>
      <c r="FZ253" s="918"/>
      <c r="GA253" s="918"/>
      <c r="GB253" s="918"/>
      <c r="GC253" s="918"/>
      <c r="GD253" s="918"/>
      <c r="GE253" s="918"/>
      <c r="GF253" s="918"/>
      <c r="GG253" s="918"/>
      <c r="GH253" s="918"/>
      <c r="GI253" s="918"/>
    </row>
    <row r="254" spans="126:191">
      <c r="FW254" s="439"/>
      <c r="FX254" s="918"/>
      <c r="FY254" s="918"/>
      <c r="FZ254" s="918"/>
      <c r="GA254" s="918"/>
      <c r="GB254" s="918"/>
      <c r="GC254" s="918"/>
      <c r="GD254" s="918"/>
      <c r="GE254" s="918"/>
      <c r="GF254" s="918"/>
      <c r="GG254" s="918"/>
      <c r="GH254" s="918"/>
      <c r="GI254" s="918"/>
    </row>
    <row r="255" spans="126:191">
      <c r="FW255" s="439"/>
      <c r="FX255" s="918"/>
      <c r="FY255" s="918"/>
      <c r="FZ255" s="918"/>
      <c r="GA255" s="918"/>
      <c r="GB255" s="918"/>
      <c r="GC255" s="918"/>
      <c r="GD255" s="918"/>
      <c r="GE255" s="918"/>
      <c r="GF255" s="918"/>
      <c r="GG255" s="918"/>
      <c r="GH255" s="918"/>
      <c r="GI255" s="918"/>
    </row>
    <row r="256" spans="126:191">
      <c r="FW256" s="439"/>
      <c r="FX256" s="918"/>
      <c r="FY256" s="918"/>
      <c r="FZ256" s="918"/>
      <c r="GA256" s="918"/>
      <c r="GB256" s="918"/>
      <c r="GC256" s="918"/>
      <c r="GD256" s="918"/>
      <c r="GE256" s="918"/>
      <c r="GF256" s="918"/>
      <c r="GG256" s="918"/>
      <c r="GH256" s="918"/>
      <c r="GI256" s="918"/>
    </row>
    <row r="257" spans="138:192">
      <c r="FW257" s="439"/>
      <c r="FX257" s="463"/>
      <c r="FY257" s="463"/>
      <c r="FZ257" s="463"/>
      <c r="GA257" s="463"/>
      <c r="GB257" s="463"/>
      <c r="GC257" s="463"/>
      <c r="GD257" s="463"/>
      <c r="GE257" s="463"/>
      <c r="GF257" s="463"/>
      <c r="GG257" s="463"/>
      <c r="GH257" s="463"/>
      <c r="GI257" s="463"/>
    </row>
    <row r="258" spans="138:192">
      <c r="FW258" s="637"/>
      <c r="FX258" s="1757"/>
      <c r="FY258" s="1757"/>
      <c r="FZ258" s="1757"/>
      <c r="GA258" s="1757"/>
      <c r="GB258" s="1757"/>
      <c r="GC258" s="1757"/>
      <c r="GD258" s="1757"/>
      <c r="GE258" s="1757"/>
      <c r="GF258" s="1757"/>
      <c r="GG258" s="1757"/>
      <c r="GH258" s="1757"/>
      <c r="GI258" s="1757"/>
      <c r="GJ258" s="473"/>
    </row>
    <row r="259" spans="138:192">
      <c r="FW259" s="637"/>
      <c r="FX259" s="1757"/>
      <c r="FY259" s="1757"/>
      <c r="FZ259" s="1757"/>
      <c r="GA259" s="1757"/>
      <c r="GB259" s="1757"/>
      <c r="GC259" s="1757"/>
      <c r="GD259" s="1757"/>
      <c r="GE259" s="1757"/>
      <c r="GF259" s="1757"/>
      <c r="GG259" s="1757"/>
      <c r="GH259" s="1757"/>
      <c r="GI259" s="1757"/>
      <c r="GJ259" s="473"/>
    </row>
    <row r="260" spans="138:192">
      <c r="EP260" s="382"/>
      <c r="FW260" s="637"/>
      <c r="FX260" s="1757"/>
      <c r="FY260" s="1757"/>
      <c r="FZ260" s="1757"/>
      <c r="GA260" s="1757"/>
      <c r="GB260" s="1757"/>
      <c r="GC260" s="1757"/>
      <c r="GD260" s="1757"/>
      <c r="GE260" s="1757"/>
      <c r="GF260" s="1757"/>
      <c r="GG260" s="1757"/>
      <c r="GH260" s="1757"/>
      <c r="GI260" s="1757"/>
      <c r="GJ260" s="473"/>
    </row>
    <row r="261" spans="138:192">
      <c r="EP261" s="382"/>
      <c r="FW261" s="1793"/>
      <c r="FX261" s="1757"/>
      <c r="FY261" s="1757"/>
      <c r="FZ261" s="1757"/>
      <c r="GA261" s="1757"/>
      <c r="GB261" s="1757"/>
      <c r="GC261" s="1757"/>
      <c r="GD261" s="1757"/>
      <c r="GE261" s="1757"/>
      <c r="GF261" s="1757"/>
      <c r="GG261" s="1757"/>
      <c r="GH261" s="1757"/>
      <c r="GI261" s="1757"/>
      <c r="GJ261" s="473"/>
    </row>
    <row r="262" spans="138:192">
      <c r="EP262" s="382"/>
      <c r="FW262" s="2180"/>
      <c r="FX262" s="2180"/>
      <c r="FY262" s="2180"/>
      <c r="FZ262" s="2180"/>
      <c r="GA262" s="2180"/>
      <c r="GB262" s="2180"/>
      <c r="GC262" s="2180"/>
      <c r="GD262" s="2180"/>
      <c r="GE262" s="2180"/>
      <c r="GF262" s="2180"/>
      <c r="GG262" s="2180"/>
      <c r="GH262" s="2180"/>
      <c r="GI262" s="2180"/>
      <c r="GJ262" s="2180"/>
    </row>
    <row r="263" spans="138:192">
      <c r="EI263" s="525"/>
      <c r="EJ263" s="525"/>
      <c r="EK263" s="525"/>
      <c r="EL263" s="525"/>
      <c r="EM263" s="525"/>
      <c r="EN263" s="525"/>
      <c r="EO263" s="525"/>
      <c r="EP263" s="382"/>
      <c r="FW263" s="382"/>
      <c r="FX263" s="439"/>
      <c r="FY263" s="439"/>
      <c r="FZ263" s="439"/>
      <c r="GA263" s="439"/>
      <c r="GB263" s="439"/>
      <c r="GC263" s="439"/>
      <c r="GD263" s="439"/>
      <c r="GE263" s="439"/>
      <c r="GF263" s="439"/>
      <c r="GG263" s="439"/>
      <c r="GH263" s="439"/>
      <c r="GI263" s="439"/>
      <c r="GJ263" s="439"/>
    </row>
    <row r="264" spans="138:192">
      <c r="EP264" s="870"/>
      <c r="FW264" s="382"/>
      <c r="FX264" s="1757"/>
      <c r="FY264" s="1757"/>
      <c r="FZ264" s="1757"/>
      <c r="GA264" s="1757"/>
      <c r="GB264" s="1757"/>
      <c r="GC264" s="1757"/>
      <c r="GD264" s="1757"/>
      <c r="GE264" s="1757"/>
      <c r="GF264" s="1757"/>
      <c r="GG264" s="1757"/>
      <c r="GH264" s="1757"/>
      <c r="GI264" s="1757"/>
      <c r="GJ264" s="473"/>
    </row>
    <row r="265" spans="138:192">
      <c r="EP265" s="1790"/>
      <c r="FW265" s="382"/>
      <c r="FX265" s="1757"/>
      <c r="FY265" s="1757"/>
      <c r="FZ265" s="1757"/>
      <c r="GA265" s="1757"/>
      <c r="GB265" s="1757"/>
      <c r="GC265" s="1757"/>
      <c r="GD265" s="1757"/>
      <c r="GE265" s="1757"/>
      <c r="GF265" s="1757"/>
      <c r="GG265" s="1757"/>
      <c r="GH265" s="1757"/>
      <c r="GI265" s="1757"/>
      <c r="GJ265" s="473"/>
    </row>
    <row r="266" spans="138:192">
      <c r="EH266" s="382"/>
      <c r="EI266" s="382"/>
      <c r="EJ266" s="382"/>
      <c r="EK266" s="382"/>
      <c r="EL266" s="382"/>
      <c r="EM266" s="382"/>
      <c r="EN266" s="382"/>
      <c r="EO266" s="382"/>
      <c r="FW266" s="382"/>
      <c r="FX266" s="1757"/>
      <c r="FY266" s="1757"/>
      <c r="FZ266" s="1757"/>
      <c r="GA266" s="1757"/>
      <c r="GB266" s="1757"/>
      <c r="GC266" s="1757"/>
      <c r="GD266" s="1757"/>
      <c r="GE266" s="1757"/>
      <c r="GF266" s="1757"/>
      <c r="GG266" s="1757"/>
      <c r="GH266" s="1757"/>
      <c r="GI266" s="1757"/>
      <c r="GJ266" s="473"/>
    </row>
    <row r="267" spans="138:192">
      <c r="FW267" s="382"/>
      <c r="FX267" s="1757"/>
      <c r="FY267" s="1757"/>
      <c r="FZ267" s="1757"/>
      <c r="GA267" s="1757"/>
      <c r="GB267" s="1757"/>
      <c r="GC267" s="1757"/>
      <c r="GD267" s="1757"/>
      <c r="GE267" s="1757"/>
      <c r="GF267" s="1757"/>
      <c r="GG267" s="1757"/>
      <c r="GH267" s="1757"/>
      <c r="GI267" s="1757"/>
      <c r="GJ267" s="473"/>
    </row>
    <row r="268" spans="138:192">
      <c r="FW268" s="382"/>
      <c r="FX268" s="1757"/>
      <c r="FY268" s="1757"/>
      <c r="FZ268" s="1757"/>
      <c r="GA268" s="1757"/>
      <c r="GB268" s="1757"/>
      <c r="GC268" s="1757"/>
      <c r="GD268" s="1757"/>
      <c r="GE268" s="1757"/>
      <c r="GF268" s="1757"/>
      <c r="GG268" s="1757"/>
      <c r="GH268" s="1757"/>
      <c r="GI268" s="1757"/>
      <c r="GJ268" s="473"/>
    </row>
    <row r="269" spans="138:192">
      <c r="FW269" s="382"/>
      <c r="FX269" s="1622"/>
      <c r="FY269" s="1622"/>
      <c r="FZ269" s="1622"/>
      <c r="GA269" s="1622"/>
      <c r="GB269" s="1622"/>
      <c r="GC269" s="1622"/>
      <c r="GD269" s="1622"/>
      <c r="GE269" s="1622"/>
      <c r="GF269" s="1622"/>
      <c r="GG269" s="1622"/>
      <c r="GH269" s="1622"/>
      <c r="GI269" s="1622"/>
      <c r="GJ269" s="918"/>
    </row>
    <row r="270" spans="138:192">
      <c r="FW270" s="451"/>
      <c r="FX270" s="382"/>
      <c r="FY270" s="382"/>
      <c r="FZ270" s="382"/>
      <c r="GA270" s="382"/>
      <c r="GB270" s="382"/>
      <c r="GC270" s="382"/>
      <c r="GD270" s="382"/>
      <c r="GE270" s="382"/>
      <c r="GF270" s="382"/>
      <c r="GG270" s="382"/>
      <c r="GH270" s="382"/>
      <c r="GI270" s="382"/>
      <c r="GJ270" s="382"/>
    </row>
    <row r="271" spans="138:192">
      <c r="FW271" s="451"/>
      <c r="FX271" s="382"/>
      <c r="FY271" s="382"/>
      <c r="FZ271" s="382"/>
      <c r="GA271" s="382"/>
      <c r="GB271" s="382"/>
      <c r="GC271" s="382"/>
      <c r="GD271" s="382"/>
      <c r="GE271" s="382"/>
      <c r="GF271" s="382"/>
      <c r="GG271" s="382"/>
      <c r="GH271" s="382"/>
      <c r="GI271" s="382"/>
      <c r="GJ271" s="382"/>
    </row>
    <row r="272" spans="138:192">
      <c r="FW272" s="451"/>
      <c r="FX272" s="382"/>
      <c r="FY272" s="382"/>
      <c r="FZ272" s="382"/>
      <c r="GA272" s="382"/>
      <c r="GB272" s="382"/>
      <c r="GC272" s="382"/>
      <c r="GD272" s="382"/>
      <c r="GE272" s="382"/>
      <c r="GF272" s="382"/>
      <c r="GG272" s="382"/>
      <c r="GH272" s="382"/>
      <c r="GI272" s="382"/>
      <c r="GJ272" s="382"/>
    </row>
    <row r="273" spans="97:191">
      <c r="CS273" s="549"/>
      <c r="CT273" s="549"/>
      <c r="CU273" s="549"/>
      <c r="CV273" s="549"/>
      <c r="CW273" s="549"/>
      <c r="CX273" s="549"/>
      <c r="CY273" s="549"/>
      <c r="CZ273" s="562"/>
      <c r="DA273" s="562"/>
      <c r="DB273" s="562"/>
      <c r="DC273" s="549"/>
      <c r="FW273" s="637"/>
    </row>
    <row r="274" spans="97:191">
      <c r="CS274" s="549"/>
      <c r="CT274" s="549"/>
      <c r="CU274" s="549"/>
      <c r="CV274" s="549"/>
      <c r="CW274" s="549"/>
      <c r="CX274" s="549"/>
      <c r="CY274" s="549"/>
      <c r="CZ274" s="562"/>
      <c r="DA274" s="562"/>
      <c r="DB274" s="562"/>
      <c r="DC274" s="549"/>
      <c r="FW274" s="382"/>
    </row>
    <row r="275" spans="97:191">
      <c r="CS275" s="549"/>
      <c r="CT275" s="549"/>
      <c r="CU275" s="549"/>
      <c r="CV275" s="549"/>
      <c r="CW275" s="549"/>
      <c r="CX275" s="549"/>
      <c r="CY275" s="549"/>
      <c r="CZ275" s="562"/>
      <c r="DA275" s="562"/>
      <c r="DB275" s="562"/>
      <c r="DC275" s="549"/>
      <c r="FW275" s="637"/>
    </row>
    <row r="276" spans="97:191">
      <c r="FW276" s="2180"/>
      <c r="FX276" s="2180"/>
      <c r="FY276" s="2180"/>
      <c r="FZ276" s="2180"/>
      <c r="GA276" s="2180"/>
      <c r="GB276" s="2180"/>
      <c r="GC276" s="2180"/>
      <c r="GD276" s="2180"/>
      <c r="GE276" s="2180"/>
      <c r="GF276" s="2180"/>
      <c r="GG276" s="2180"/>
      <c r="GH276" s="2180"/>
      <c r="GI276" s="2180"/>
    </row>
    <row r="277" spans="97:191">
      <c r="DX277" s="382"/>
      <c r="DY277" s="398"/>
      <c r="DZ277" s="398"/>
      <c r="EA277" s="398"/>
      <c r="EB277" s="398"/>
      <c r="EC277" s="398"/>
      <c r="ED277" s="398"/>
      <c r="EE277" s="398"/>
      <c r="FW277" s="439"/>
      <c r="FX277" s="439"/>
      <c r="FY277" s="439"/>
      <c r="FZ277" s="439"/>
      <c r="GA277" s="439"/>
      <c r="GB277" s="439"/>
      <c r="GC277" s="439"/>
      <c r="GD277" s="439"/>
      <c r="GE277" s="439"/>
      <c r="GF277" s="439"/>
      <c r="GG277" s="439"/>
      <c r="GH277" s="439"/>
      <c r="GI277" s="439"/>
    </row>
    <row r="278" spans="97:191">
      <c r="DX278" s="382"/>
      <c r="DY278" s="398"/>
      <c r="DZ278" s="398"/>
      <c r="EA278" s="398"/>
      <c r="EB278" s="398"/>
      <c r="EC278" s="398"/>
      <c r="ED278" s="398"/>
      <c r="EE278" s="398"/>
      <c r="FW278" s="439"/>
      <c r="FX278" s="463"/>
      <c r="FY278" s="463"/>
      <c r="FZ278" s="463"/>
      <c r="GA278" s="463"/>
      <c r="GB278" s="463"/>
      <c r="GC278" s="463"/>
      <c r="GD278" s="463"/>
      <c r="GE278" s="463"/>
      <c r="GF278" s="463"/>
      <c r="GG278" s="463"/>
      <c r="GH278" s="463"/>
      <c r="GI278" s="463"/>
    </row>
    <row r="279" spans="97:191">
      <c r="DX279" s="382"/>
      <c r="DY279" s="382"/>
      <c r="DZ279" s="2073"/>
      <c r="EA279" s="2073"/>
      <c r="EB279" s="2073"/>
      <c r="EC279" s="2073"/>
      <c r="ED279" s="2073"/>
      <c r="EE279" s="2073"/>
      <c r="FW279" s="439"/>
      <c r="FX279" s="463"/>
      <c r="FY279" s="463"/>
      <c r="FZ279" s="463"/>
      <c r="GA279" s="463"/>
      <c r="GB279" s="463"/>
      <c r="GC279" s="463"/>
      <c r="GD279" s="463"/>
      <c r="GE279" s="463"/>
      <c r="GF279" s="463"/>
      <c r="GG279" s="463"/>
      <c r="GH279" s="463"/>
      <c r="GI279" s="463"/>
    </row>
    <row r="280" spans="97:191">
      <c r="DX280" s="382"/>
      <c r="DY280" s="439"/>
      <c r="DZ280" s="439"/>
      <c r="EA280" s="439"/>
      <c r="EB280" s="439"/>
      <c r="EC280" s="439"/>
      <c r="ED280" s="439"/>
      <c r="EE280" s="439"/>
      <c r="FW280" s="439"/>
      <c r="FX280" s="463"/>
      <c r="FY280" s="463"/>
      <c r="FZ280" s="463"/>
      <c r="GA280" s="463"/>
      <c r="GB280" s="463"/>
      <c r="GC280" s="463"/>
      <c r="GD280" s="463"/>
      <c r="GE280" s="463"/>
      <c r="GF280" s="463"/>
      <c r="GG280" s="463"/>
      <c r="GH280" s="463"/>
      <c r="GI280" s="463"/>
    </row>
    <row r="281" spans="97:191">
      <c r="DX281" s="382"/>
      <c r="DY281" s="933"/>
      <c r="DZ281" s="933"/>
      <c r="EA281" s="933"/>
      <c r="EB281" s="933"/>
      <c r="EC281" s="933"/>
      <c r="ED281" s="933"/>
      <c r="EE281" s="933"/>
      <c r="FW281" s="439"/>
      <c r="FX281" s="463"/>
      <c r="FY281" s="463"/>
      <c r="FZ281" s="463"/>
      <c r="GA281" s="463"/>
      <c r="GB281" s="463"/>
      <c r="GC281" s="463"/>
      <c r="GD281" s="463"/>
      <c r="GE281" s="463"/>
      <c r="GF281" s="463"/>
      <c r="GG281" s="463"/>
      <c r="GH281" s="463"/>
      <c r="GI281" s="463"/>
    </row>
    <row r="282" spans="97:191">
      <c r="DX282" s="382"/>
      <c r="DY282" s="933"/>
      <c r="DZ282" s="933"/>
      <c r="EA282" s="933"/>
      <c r="EB282" s="933"/>
      <c r="EC282" s="933"/>
      <c r="ED282" s="933"/>
      <c r="EE282" s="933"/>
      <c r="FW282" s="439"/>
      <c r="FX282" s="463"/>
      <c r="FY282" s="463"/>
      <c r="FZ282" s="463"/>
      <c r="GA282" s="463"/>
      <c r="GB282" s="463"/>
      <c r="GC282" s="463"/>
      <c r="GD282" s="463"/>
      <c r="GE282" s="463"/>
      <c r="GF282" s="463"/>
      <c r="GG282" s="463"/>
      <c r="GH282" s="463"/>
      <c r="GI282" s="463"/>
    </row>
    <row r="283" spans="97:191">
      <c r="DX283" s="382"/>
      <c r="DY283" s="933"/>
      <c r="DZ283" s="933"/>
      <c r="EA283" s="933"/>
      <c r="EB283" s="933"/>
      <c r="EC283" s="933"/>
      <c r="ED283" s="933"/>
      <c r="EE283" s="933"/>
      <c r="FW283" s="439"/>
      <c r="FX283" s="463"/>
      <c r="FY283" s="463"/>
      <c r="FZ283" s="463"/>
      <c r="GA283" s="463"/>
      <c r="GB283" s="463"/>
      <c r="GC283" s="463"/>
      <c r="GD283" s="463"/>
      <c r="GE283" s="463"/>
      <c r="GF283" s="463"/>
      <c r="GG283" s="463"/>
      <c r="GH283" s="463"/>
      <c r="GI283" s="463"/>
    </row>
    <row r="284" spans="97:191">
      <c r="DX284" s="382"/>
      <c r="DY284" s="933"/>
      <c r="DZ284" s="933"/>
      <c r="EA284" s="933"/>
      <c r="EB284" s="933"/>
      <c r="EC284" s="933"/>
      <c r="ED284" s="933"/>
      <c r="EE284" s="933"/>
      <c r="FW284" s="439"/>
      <c r="FX284" s="463"/>
      <c r="FY284" s="463"/>
      <c r="FZ284" s="463"/>
      <c r="GA284" s="463"/>
      <c r="GB284" s="463"/>
      <c r="GC284" s="463"/>
      <c r="GD284" s="463"/>
      <c r="GE284" s="463"/>
      <c r="GF284" s="463"/>
      <c r="GG284" s="463"/>
      <c r="GH284" s="463"/>
      <c r="GI284" s="463"/>
    </row>
    <row r="285" spans="97:191">
      <c r="DX285" s="382"/>
      <c r="DY285" s="933"/>
      <c r="DZ285" s="933"/>
      <c r="EA285" s="933"/>
      <c r="EB285" s="933"/>
      <c r="EC285" s="933"/>
      <c r="ED285" s="933"/>
      <c r="EE285" s="933"/>
      <c r="FW285" s="382"/>
      <c r="FX285" s="382"/>
      <c r="FY285" s="382"/>
      <c r="FZ285" s="382"/>
      <c r="GA285" s="382"/>
      <c r="GB285" s="382"/>
      <c r="GC285" s="382"/>
      <c r="GD285" s="382"/>
      <c r="GE285" s="382"/>
      <c r="GF285" s="382"/>
      <c r="GG285" s="382"/>
      <c r="GH285" s="382"/>
      <c r="GI285" s="382"/>
    </row>
    <row r="286" spans="97:191">
      <c r="DX286" s="382"/>
      <c r="DY286" s="933"/>
      <c r="DZ286" s="933"/>
      <c r="EA286" s="933"/>
      <c r="EB286" s="933"/>
      <c r="EC286" s="933"/>
      <c r="ED286" s="933"/>
      <c r="EE286" s="933"/>
      <c r="FW286" s="439"/>
      <c r="FX286" s="382"/>
      <c r="FY286" s="382"/>
      <c r="FZ286" s="382"/>
      <c r="GA286" s="382"/>
      <c r="GB286" s="382"/>
      <c r="GC286" s="382"/>
      <c r="GD286" s="382"/>
      <c r="GE286" s="382"/>
      <c r="GF286" s="382"/>
      <c r="GG286" s="382"/>
      <c r="GH286" s="382"/>
      <c r="GI286" s="382"/>
    </row>
    <row r="287" spans="97:191">
      <c r="DX287" s="382"/>
      <c r="DY287" s="933"/>
      <c r="DZ287" s="933"/>
      <c r="EA287" s="933"/>
      <c r="EB287" s="933"/>
      <c r="EC287" s="933"/>
      <c r="ED287" s="933"/>
      <c r="EE287" s="933"/>
      <c r="FW287" s="637"/>
    </row>
    <row r="288" spans="97:191">
      <c r="DX288" s="382"/>
      <c r="DY288" s="933"/>
      <c r="DZ288" s="933"/>
      <c r="EA288" s="933"/>
      <c r="EB288" s="933"/>
      <c r="EC288" s="933"/>
      <c r="ED288" s="933"/>
      <c r="EE288" s="933"/>
      <c r="FW288" s="637"/>
    </row>
    <row r="289" spans="128:192">
      <c r="DX289" s="382"/>
      <c r="DY289" s="933"/>
      <c r="DZ289" s="933"/>
      <c r="EA289" s="933"/>
      <c r="EB289" s="933"/>
      <c r="EC289" s="933"/>
      <c r="ED289" s="933"/>
      <c r="EE289" s="933"/>
      <c r="FW289" s="2180"/>
      <c r="FX289" s="2180"/>
      <c r="FY289" s="2180"/>
      <c r="FZ289" s="2180"/>
      <c r="GA289" s="2180"/>
      <c r="GB289" s="2180"/>
      <c r="GC289" s="2180"/>
      <c r="GD289" s="2180"/>
      <c r="GE289" s="2180"/>
      <c r="GF289" s="2180"/>
      <c r="GG289" s="2180"/>
      <c r="GH289" s="2180"/>
      <c r="GI289" s="2180"/>
    </row>
    <row r="290" spans="128:192">
      <c r="DX290" s="382"/>
      <c r="DY290" s="933"/>
      <c r="DZ290" s="933"/>
      <c r="EA290" s="933"/>
      <c r="EB290" s="933"/>
      <c r="EC290" s="933"/>
      <c r="ED290" s="933"/>
      <c r="EE290" s="933"/>
      <c r="FW290" s="439"/>
      <c r="FX290" s="439"/>
      <c r="FY290" s="439"/>
      <c r="FZ290" s="439"/>
      <c r="GA290" s="439"/>
      <c r="GB290" s="439"/>
      <c r="GC290" s="439"/>
      <c r="GD290" s="439"/>
      <c r="GE290" s="439"/>
      <c r="GF290" s="439"/>
      <c r="GG290" s="439"/>
      <c r="GH290" s="439"/>
      <c r="GI290" s="439"/>
    </row>
    <row r="291" spans="128:192">
      <c r="DX291" s="382"/>
      <c r="DY291" s="933"/>
      <c r="DZ291" s="933"/>
      <c r="EA291" s="933"/>
      <c r="EB291" s="933"/>
      <c r="EC291" s="933"/>
      <c r="ED291" s="933"/>
      <c r="EE291" s="933"/>
      <c r="FW291" s="439"/>
      <c r="FX291" s="918"/>
      <c r="FY291" s="918"/>
      <c r="FZ291" s="918"/>
      <c r="GA291" s="918"/>
      <c r="GB291" s="918"/>
      <c r="GC291" s="918"/>
      <c r="GD291" s="918"/>
      <c r="GE291" s="918"/>
      <c r="GF291" s="918"/>
      <c r="GG291" s="918"/>
      <c r="GH291" s="918"/>
      <c r="GI291" s="918"/>
    </row>
    <row r="292" spans="128:192">
      <c r="DX292" s="382"/>
      <c r="DY292" s="933"/>
      <c r="DZ292" s="933"/>
      <c r="EA292" s="933"/>
      <c r="EB292" s="933"/>
      <c r="EC292" s="933"/>
      <c r="ED292" s="933"/>
      <c r="EE292" s="933"/>
      <c r="FW292" s="439"/>
      <c r="FX292" s="918"/>
      <c r="FY292" s="918"/>
      <c r="FZ292" s="918"/>
      <c r="GA292" s="918"/>
      <c r="GB292" s="918"/>
      <c r="GC292" s="918"/>
      <c r="GD292" s="918"/>
      <c r="GE292" s="918"/>
      <c r="GF292" s="918"/>
      <c r="GG292" s="918"/>
      <c r="GH292" s="918"/>
      <c r="GI292" s="918"/>
    </row>
    <row r="293" spans="128:192">
      <c r="DX293" s="382"/>
      <c r="DY293" s="933"/>
      <c r="DZ293" s="933"/>
      <c r="EA293" s="933"/>
      <c r="EB293" s="933"/>
      <c r="EC293" s="933"/>
      <c r="ED293" s="933"/>
      <c r="EE293" s="933"/>
      <c r="EH293" s="382"/>
      <c r="EI293" s="382"/>
      <c r="EJ293" s="382"/>
      <c r="EK293" s="382"/>
      <c r="EL293" s="382"/>
      <c r="EM293" s="382"/>
      <c r="EN293" s="382"/>
      <c r="EO293" s="382"/>
      <c r="FW293" s="439"/>
      <c r="FX293" s="918"/>
      <c r="FY293" s="918"/>
      <c r="FZ293" s="918"/>
      <c r="GA293" s="918"/>
      <c r="GB293" s="918"/>
      <c r="GC293" s="918"/>
      <c r="GD293" s="918"/>
      <c r="GE293" s="918"/>
      <c r="GF293" s="918"/>
      <c r="GG293" s="918"/>
      <c r="GH293" s="918"/>
      <c r="GI293" s="918"/>
    </row>
    <row r="294" spans="128:192">
      <c r="DX294" s="382"/>
      <c r="DY294" s="933"/>
      <c r="DZ294" s="933"/>
      <c r="EA294" s="933"/>
      <c r="EB294" s="933"/>
      <c r="EC294" s="933"/>
      <c r="ED294" s="933"/>
      <c r="EE294" s="933"/>
      <c r="EH294" s="382"/>
      <c r="EI294" s="439"/>
      <c r="EJ294" s="2073"/>
      <c r="EK294" s="2073"/>
      <c r="EL294" s="2073"/>
      <c r="EM294" s="2073"/>
      <c r="EN294" s="2073"/>
      <c r="EO294" s="2073"/>
      <c r="FW294" s="439"/>
      <c r="FX294" s="918"/>
      <c r="FY294" s="918"/>
      <c r="FZ294" s="918"/>
      <c r="GA294" s="918"/>
      <c r="GB294" s="918"/>
      <c r="GC294" s="918"/>
      <c r="GD294" s="918"/>
      <c r="GE294" s="918"/>
      <c r="GF294" s="918"/>
      <c r="GG294" s="918"/>
      <c r="GH294" s="918"/>
      <c r="GI294" s="918"/>
    </row>
    <row r="295" spans="128:192">
      <c r="DX295" s="382"/>
      <c r="DY295" s="933"/>
      <c r="DZ295" s="933"/>
      <c r="EA295" s="933"/>
      <c r="EB295" s="933"/>
      <c r="EC295" s="933"/>
      <c r="ED295" s="933"/>
      <c r="EE295" s="933"/>
      <c r="EH295" s="382"/>
      <c r="EI295" s="382"/>
      <c r="EJ295" s="382"/>
      <c r="EK295" s="382"/>
      <c r="EL295" s="382"/>
      <c r="EM295" s="382"/>
      <c r="EN295" s="382"/>
      <c r="EO295" s="382"/>
      <c r="FW295" s="439"/>
      <c r="FX295" s="918"/>
      <c r="FY295" s="918"/>
      <c r="FZ295" s="918"/>
      <c r="GA295" s="918"/>
      <c r="GB295" s="918"/>
      <c r="GC295" s="918"/>
      <c r="GD295" s="918"/>
      <c r="GE295" s="918"/>
      <c r="GF295" s="918"/>
      <c r="GG295" s="918"/>
      <c r="GH295" s="918"/>
      <c r="GI295" s="918"/>
    </row>
    <row r="296" spans="128:192">
      <c r="DX296" s="382"/>
      <c r="DY296" s="933"/>
      <c r="DZ296" s="933"/>
      <c r="EA296" s="933"/>
      <c r="EB296" s="933"/>
      <c r="EC296" s="933"/>
      <c r="ED296" s="933"/>
      <c r="EE296" s="933"/>
      <c r="EH296" s="382"/>
      <c r="EI296" s="439"/>
      <c r="EJ296" s="2073"/>
      <c r="EK296" s="2073"/>
      <c r="EL296" s="2073"/>
      <c r="EM296" s="2073"/>
      <c r="EN296" s="2073"/>
      <c r="EO296" s="2073"/>
      <c r="FW296" s="439"/>
      <c r="FX296" s="463"/>
      <c r="FY296" s="463"/>
      <c r="FZ296" s="463"/>
      <c r="GA296" s="463"/>
      <c r="GB296" s="463"/>
      <c r="GC296" s="463"/>
      <c r="GD296" s="463"/>
      <c r="GE296" s="463"/>
      <c r="GF296" s="463"/>
      <c r="GG296" s="463"/>
      <c r="GH296" s="463"/>
      <c r="GI296" s="463"/>
    </row>
    <row r="297" spans="128:192">
      <c r="DX297" s="382"/>
      <c r="DY297" s="382"/>
      <c r="DZ297" s="382"/>
      <c r="EA297" s="382"/>
      <c r="EB297" s="382"/>
      <c r="EC297" s="382"/>
      <c r="ED297" s="382"/>
      <c r="EE297" s="382"/>
      <c r="EH297" s="382"/>
      <c r="EI297" s="414"/>
      <c r="EJ297" s="439"/>
      <c r="EK297" s="439"/>
      <c r="EL297" s="439"/>
      <c r="EM297" s="439"/>
      <c r="EN297" s="439"/>
      <c r="EO297" s="439"/>
      <c r="FW297" s="1793"/>
      <c r="FX297" s="1757"/>
      <c r="FY297" s="1757"/>
      <c r="FZ297" s="1757"/>
      <c r="GA297" s="1757"/>
      <c r="GB297" s="1757"/>
      <c r="GC297" s="1757"/>
      <c r="GD297" s="1757"/>
      <c r="GE297" s="1757"/>
      <c r="GF297" s="1757"/>
      <c r="GG297" s="1757"/>
      <c r="GH297" s="1757"/>
      <c r="GI297" s="1757"/>
      <c r="GJ297" s="473"/>
    </row>
    <row r="298" spans="128:192">
      <c r="DX298" s="382"/>
      <c r="DY298" s="382"/>
      <c r="DZ298" s="382"/>
      <c r="EA298" s="382"/>
      <c r="EB298" s="382"/>
      <c r="EC298" s="382"/>
      <c r="ED298" s="382"/>
      <c r="EE298" s="382"/>
      <c r="EH298" s="382"/>
      <c r="EI298" s="439"/>
      <c r="EJ298" s="439"/>
      <c r="EK298" s="439"/>
      <c r="EL298" s="439"/>
      <c r="EM298" s="439"/>
      <c r="EN298" s="439"/>
      <c r="EO298" s="439"/>
      <c r="FW298" s="1793"/>
      <c r="FX298" s="1757"/>
      <c r="FY298" s="1757"/>
      <c r="FZ298" s="1757"/>
      <c r="GA298" s="1757"/>
      <c r="GB298" s="1757"/>
      <c r="GC298" s="1757"/>
      <c r="GD298" s="1757"/>
      <c r="GE298" s="1757"/>
      <c r="GF298" s="1757"/>
      <c r="GG298" s="1757"/>
      <c r="GH298" s="1757"/>
      <c r="GI298" s="1757"/>
      <c r="GJ298" s="473"/>
    </row>
    <row r="299" spans="128:192">
      <c r="DX299" s="382"/>
      <c r="DY299" s="382"/>
      <c r="DZ299" s="382"/>
      <c r="EA299" s="382"/>
      <c r="EB299" s="382"/>
      <c r="EC299" s="382"/>
      <c r="ED299" s="382"/>
      <c r="EE299" s="382"/>
      <c r="EH299" s="382"/>
      <c r="EI299" s="933"/>
      <c r="EJ299" s="933"/>
      <c r="EK299" s="933"/>
      <c r="EL299" s="933"/>
      <c r="EM299" s="933"/>
      <c r="EN299" s="933"/>
      <c r="EO299" s="933"/>
      <c r="FW299" s="1793"/>
      <c r="FX299" s="1757"/>
      <c r="FY299" s="1757"/>
      <c r="FZ299" s="1757"/>
      <c r="GA299" s="1757"/>
      <c r="GB299" s="1757"/>
      <c r="GC299" s="1757"/>
      <c r="GD299" s="1757"/>
      <c r="GE299" s="1757"/>
      <c r="GF299" s="1757"/>
      <c r="GG299" s="1757"/>
      <c r="GH299" s="1757"/>
      <c r="GI299" s="1757"/>
      <c r="GJ299" s="473"/>
    </row>
    <row r="300" spans="128:192">
      <c r="DY300" s="382"/>
      <c r="DZ300" s="382"/>
      <c r="EA300" s="382"/>
      <c r="EB300" s="382"/>
      <c r="EC300" s="382"/>
      <c r="ED300" s="382"/>
      <c r="EE300" s="382"/>
      <c r="EH300" s="382"/>
      <c r="EI300" s="933"/>
      <c r="EJ300" s="933"/>
      <c r="EK300" s="933"/>
      <c r="EL300" s="933"/>
      <c r="EM300" s="933"/>
      <c r="EN300" s="933"/>
      <c r="EO300" s="933"/>
      <c r="FW300" s="1793"/>
      <c r="FX300" s="1757"/>
      <c r="FY300" s="1757"/>
      <c r="FZ300" s="1757"/>
      <c r="GA300" s="1757"/>
      <c r="GB300" s="1757"/>
      <c r="GC300" s="1757"/>
      <c r="GD300" s="1757"/>
      <c r="GE300" s="1757"/>
      <c r="GF300" s="1757"/>
      <c r="GG300" s="1757"/>
      <c r="GH300" s="1757"/>
      <c r="GI300" s="1757"/>
      <c r="GJ300" s="473"/>
    </row>
    <row r="301" spans="128:192">
      <c r="DX301" s="382"/>
      <c r="DY301" s="382"/>
      <c r="DZ301" s="382"/>
      <c r="EA301" s="382"/>
      <c r="EB301" s="382"/>
      <c r="EC301" s="382"/>
      <c r="ED301" s="382"/>
      <c r="EE301" s="382"/>
      <c r="EH301" s="382"/>
      <c r="EI301" s="933"/>
      <c r="EJ301" s="933"/>
      <c r="EK301" s="933"/>
      <c r="EL301" s="933"/>
      <c r="EM301" s="933"/>
      <c r="EN301" s="933"/>
      <c r="EO301" s="933"/>
      <c r="FW301" s="2180"/>
      <c r="FX301" s="2180"/>
      <c r="FY301" s="2180"/>
      <c r="FZ301" s="2180"/>
      <c r="GA301" s="2180"/>
      <c r="GB301" s="2180"/>
      <c r="GC301" s="2180"/>
      <c r="GD301" s="2180"/>
      <c r="GE301" s="2180"/>
      <c r="GF301" s="2180"/>
      <c r="GG301" s="2180"/>
      <c r="GH301" s="2180"/>
      <c r="GI301" s="2180"/>
      <c r="GJ301" s="2180"/>
    </row>
    <row r="302" spans="128:192">
      <c r="EH302" s="382"/>
      <c r="EI302" s="933"/>
      <c r="EJ302" s="933"/>
      <c r="EK302" s="933"/>
      <c r="EL302" s="933"/>
      <c r="EM302" s="933"/>
      <c r="EN302" s="933"/>
      <c r="EO302" s="933"/>
      <c r="FW302" s="382"/>
      <c r="FX302" s="439"/>
      <c r="FY302" s="439"/>
      <c r="FZ302" s="439"/>
      <c r="GA302" s="439"/>
      <c r="GB302" s="439"/>
      <c r="GC302" s="439"/>
      <c r="GD302" s="439"/>
      <c r="GE302" s="439"/>
      <c r="GF302" s="439"/>
      <c r="GG302" s="439"/>
      <c r="GH302" s="439"/>
      <c r="GI302" s="439"/>
      <c r="GJ302" s="439"/>
    </row>
    <row r="303" spans="128:192">
      <c r="EH303" s="382"/>
      <c r="EI303" s="933"/>
      <c r="EJ303" s="933"/>
      <c r="EK303" s="933"/>
      <c r="EL303" s="933"/>
      <c r="EM303" s="933"/>
      <c r="EN303" s="933"/>
      <c r="EO303" s="933"/>
      <c r="FW303" s="382"/>
      <c r="FX303" s="1757"/>
      <c r="FY303" s="1757"/>
      <c r="FZ303" s="1757"/>
      <c r="GA303" s="1757"/>
      <c r="GB303" s="1757"/>
      <c r="GC303" s="1757"/>
      <c r="GD303" s="1757"/>
      <c r="GE303" s="1757"/>
      <c r="GF303" s="1757"/>
      <c r="GG303" s="1757"/>
      <c r="GH303" s="1757"/>
      <c r="GI303" s="1757"/>
      <c r="GJ303" s="473"/>
    </row>
    <row r="304" spans="128:192">
      <c r="EH304" s="382"/>
      <c r="EI304" s="933"/>
      <c r="EJ304" s="933"/>
      <c r="EK304" s="933"/>
      <c r="EL304" s="933"/>
      <c r="EM304" s="933"/>
      <c r="EN304" s="933"/>
      <c r="EO304" s="933"/>
      <c r="FW304" s="382"/>
      <c r="FX304" s="1757"/>
      <c r="FY304" s="1757"/>
      <c r="FZ304" s="1757"/>
      <c r="GA304" s="1757"/>
      <c r="GB304" s="1757"/>
      <c r="GC304" s="1757"/>
      <c r="GD304" s="1757"/>
      <c r="GE304" s="1757"/>
      <c r="GF304" s="1757"/>
      <c r="GG304" s="1757"/>
      <c r="GH304" s="1757"/>
      <c r="GI304" s="1757"/>
      <c r="GJ304" s="473"/>
    </row>
    <row r="305" spans="138:192">
      <c r="EH305" s="382"/>
      <c r="EI305" s="933"/>
      <c r="EJ305" s="933"/>
      <c r="EK305" s="933"/>
      <c r="EL305" s="933"/>
      <c r="EM305" s="933"/>
      <c r="EN305" s="933"/>
      <c r="EO305" s="933"/>
      <c r="FW305" s="382"/>
      <c r="FX305" s="1757"/>
      <c r="FY305" s="1757"/>
      <c r="FZ305" s="1757"/>
      <c r="GA305" s="1757"/>
      <c r="GB305" s="1757"/>
      <c r="GC305" s="1757"/>
      <c r="GD305" s="1757"/>
      <c r="GE305" s="1757"/>
      <c r="GF305" s="1757"/>
      <c r="GG305" s="1757"/>
      <c r="GH305" s="1757"/>
      <c r="GI305" s="1757"/>
      <c r="GJ305" s="473"/>
    </row>
    <row r="306" spans="138:192">
      <c r="EH306" s="382"/>
      <c r="EI306" s="933"/>
      <c r="EJ306" s="933"/>
      <c r="EK306" s="933"/>
      <c r="EL306" s="933"/>
      <c r="EM306" s="933"/>
      <c r="EN306" s="933"/>
      <c r="EO306" s="933"/>
      <c r="FW306" s="382"/>
      <c r="FX306" s="1757"/>
      <c r="FY306" s="1757"/>
      <c r="FZ306" s="1757"/>
      <c r="GA306" s="1757"/>
      <c r="GB306" s="1757"/>
      <c r="GC306" s="1757"/>
      <c r="GD306" s="1757"/>
      <c r="GE306" s="1757"/>
      <c r="GF306" s="1757"/>
      <c r="GG306" s="1757"/>
      <c r="GH306" s="1757"/>
      <c r="GI306" s="1757"/>
      <c r="GJ306" s="473"/>
    </row>
    <row r="307" spans="138:192">
      <c r="EH307" s="382"/>
      <c r="EI307" s="933"/>
      <c r="EJ307" s="933"/>
      <c r="EK307" s="933"/>
      <c r="EL307" s="933"/>
      <c r="EM307" s="933"/>
      <c r="EN307" s="933"/>
      <c r="EO307" s="933"/>
      <c r="FW307" s="382"/>
      <c r="FX307" s="1757"/>
      <c r="FY307" s="1757"/>
      <c r="FZ307" s="1757"/>
      <c r="GA307" s="1757"/>
      <c r="GB307" s="1757"/>
      <c r="GC307" s="1757"/>
      <c r="GD307" s="1757"/>
      <c r="GE307" s="1757"/>
      <c r="GF307" s="1757"/>
      <c r="GG307" s="1757"/>
      <c r="GH307" s="1757"/>
      <c r="GI307" s="1757"/>
      <c r="GJ307" s="473"/>
    </row>
    <row r="308" spans="138:192">
      <c r="EH308" s="382"/>
      <c r="EI308" s="933"/>
      <c r="EJ308" s="933"/>
      <c r="EK308" s="933"/>
      <c r="EL308" s="933"/>
      <c r="EM308" s="933"/>
      <c r="EN308" s="933"/>
      <c r="EO308" s="933"/>
      <c r="FW308" s="382"/>
      <c r="FX308" s="1622"/>
      <c r="FY308" s="1622"/>
      <c r="FZ308" s="1622"/>
      <c r="GA308" s="1622"/>
      <c r="GB308" s="1622"/>
      <c r="GC308" s="1622"/>
      <c r="GD308" s="1622"/>
      <c r="GE308" s="1622"/>
      <c r="GF308" s="1622"/>
      <c r="GG308" s="1622"/>
      <c r="GH308" s="1622"/>
      <c r="GI308" s="1622"/>
      <c r="GJ308" s="1794"/>
    </row>
    <row r="309" spans="138:192">
      <c r="EH309" s="382"/>
      <c r="EI309" s="933"/>
      <c r="EJ309" s="933"/>
      <c r="EK309" s="933"/>
      <c r="EL309" s="933"/>
      <c r="EM309" s="933"/>
      <c r="EN309" s="933"/>
      <c r="EO309" s="933"/>
      <c r="FW309" s="451"/>
      <c r="FX309" s="382"/>
      <c r="FY309" s="382"/>
      <c r="FZ309" s="382"/>
      <c r="GA309" s="382"/>
      <c r="GB309" s="382"/>
      <c r="GC309" s="382"/>
      <c r="GD309" s="382"/>
      <c r="GE309" s="382"/>
      <c r="GF309" s="382"/>
      <c r="GG309" s="382"/>
      <c r="GH309" s="382"/>
      <c r="GI309" s="382"/>
      <c r="GJ309" s="382"/>
    </row>
    <row r="310" spans="138:192">
      <c r="EH310" s="382"/>
      <c r="EI310" s="933"/>
      <c r="EJ310" s="933"/>
      <c r="EK310" s="933"/>
      <c r="EL310" s="933"/>
      <c r="EM310" s="933"/>
      <c r="EN310" s="933"/>
      <c r="EO310" s="933"/>
      <c r="FW310" s="451"/>
      <c r="FX310" s="382"/>
      <c r="FY310" s="382"/>
      <c r="FZ310" s="382"/>
      <c r="GA310" s="382"/>
      <c r="GB310" s="382"/>
      <c r="GC310" s="382"/>
      <c r="GD310" s="382"/>
      <c r="GE310" s="382"/>
      <c r="GF310" s="382"/>
      <c r="GG310" s="382"/>
      <c r="GH310" s="382"/>
      <c r="GI310" s="382"/>
      <c r="GJ310" s="382"/>
    </row>
    <row r="311" spans="138:192">
      <c r="EH311" s="382"/>
      <c r="EI311" s="933"/>
      <c r="EJ311" s="933"/>
      <c r="EK311" s="933"/>
      <c r="EL311" s="933"/>
      <c r="EM311" s="933"/>
      <c r="EN311" s="933"/>
      <c r="EO311" s="933"/>
      <c r="FW311" s="451"/>
      <c r="FX311" s="382"/>
      <c r="FY311" s="382"/>
      <c r="FZ311" s="382"/>
      <c r="GA311" s="382"/>
      <c r="GB311" s="382"/>
      <c r="GC311" s="382"/>
      <c r="GD311" s="382"/>
      <c r="GE311" s="382"/>
      <c r="GF311" s="382"/>
      <c r="GG311" s="382"/>
      <c r="GH311" s="382"/>
      <c r="GI311" s="382"/>
      <c r="GJ311" s="382"/>
    </row>
    <row r="312" spans="138:192">
      <c r="EH312" s="382"/>
      <c r="EI312" s="933"/>
      <c r="EJ312" s="933"/>
      <c r="EK312" s="933"/>
      <c r="EL312" s="933"/>
      <c r="EM312" s="933"/>
      <c r="EN312" s="933"/>
      <c r="EO312" s="933"/>
      <c r="FW312" s="637"/>
    </row>
    <row r="313" spans="138:192">
      <c r="EH313" s="382"/>
      <c r="EI313" s="933"/>
      <c r="EJ313" s="933"/>
      <c r="EK313" s="933"/>
      <c r="EL313" s="933"/>
      <c r="EM313" s="933"/>
      <c r="EN313" s="933"/>
      <c r="EO313" s="933"/>
      <c r="FW313" s="382"/>
    </row>
    <row r="314" spans="138:192">
      <c r="EH314" s="382"/>
      <c r="EI314" s="933"/>
      <c r="EJ314" s="933"/>
      <c r="EK314" s="933"/>
      <c r="EL314" s="933"/>
      <c r="EM314" s="933"/>
      <c r="EN314" s="933"/>
      <c r="EO314" s="933"/>
      <c r="FW314" s="637"/>
    </row>
    <row r="315" spans="138:192">
      <c r="EH315" s="382"/>
      <c r="EI315" s="382"/>
      <c r="EJ315" s="382"/>
      <c r="EK315" s="382"/>
      <c r="EL315" s="382"/>
      <c r="EM315" s="382"/>
      <c r="EN315" s="382"/>
      <c r="EO315" s="382"/>
      <c r="FW315" s="2180"/>
      <c r="FX315" s="2180"/>
      <c r="FY315" s="2180"/>
      <c r="FZ315" s="2180"/>
      <c r="GA315" s="2180"/>
      <c r="GB315" s="2180"/>
      <c r="GC315" s="2180"/>
      <c r="GD315" s="2180"/>
      <c r="GE315" s="2180"/>
      <c r="GF315" s="2180"/>
      <c r="GG315" s="2180"/>
      <c r="GH315" s="2180"/>
      <c r="GI315" s="2180"/>
    </row>
    <row r="316" spans="138:192">
      <c r="EH316" s="382"/>
      <c r="EI316" s="382"/>
      <c r="EJ316" s="382"/>
      <c r="EK316" s="382"/>
      <c r="EL316" s="382"/>
      <c r="EM316" s="382"/>
      <c r="EN316" s="382"/>
      <c r="EO316" s="382"/>
      <c r="FW316" s="439"/>
      <c r="FX316" s="439"/>
      <c r="FY316" s="439"/>
      <c r="FZ316" s="439"/>
      <c r="GA316" s="439"/>
      <c r="GB316" s="439"/>
      <c r="GC316" s="439"/>
      <c r="GD316" s="439"/>
      <c r="GE316" s="439"/>
      <c r="GF316" s="439"/>
      <c r="GG316" s="439"/>
      <c r="GH316" s="439"/>
      <c r="GI316" s="439"/>
    </row>
    <row r="317" spans="138:192">
      <c r="EH317" s="382"/>
      <c r="EI317" s="382"/>
      <c r="EJ317" s="382"/>
      <c r="EK317" s="382"/>
      <c r="EL317" s="382"/>
      <c r="EM317" s="382"/>
      <c r="EN317" s="382"/>
      <c r="EO317" s="382"/>
      <c r="FW317" s="439"/>
      <c r="FX317" s="463"/>
      <c r="FY317" s="463"/>
      <c r="FZ317" s="463"/>
      <c r="GA317" s="463"/>
      <c r="GB317" s="463"/>
      <c r="GC317" s="463"/>
      <c r="GD317" s="463"/>
      <c r="GE317" s="463"/>
      <c r="GF317" s="463"/>
      <c r="GG317" s="463"/>
      <c r="GH317" s="463"/>
      <c r="GI317" s="463"/>
    </row>
    <row r="318" spans="138:192">
      <c r="FW318" s="439"/>
      <c r="FX318" s="463"/>
      <c r="FY318" s="463"/>
      <c r="FZ318" s="463"/>
      <c r="GA318" s="463"/>
      <c r="GB318" s="463"/>
      <c r="GC318" s="463"/>
      <c r="GD318" s="463"/>
      <c r="GE318" s="463"/>
      <c r="GF318" s="463"/>
      <c r="GG318" s="463"/>
      <c r="GH318" s="463"/>
      <c r="GI318" s="463"/>
    </row>
    <row r="319" spans="138:192">
      <c r="EH319" s="382"/>
      <c r="FW319" s="439"/>
      <c r="FX319" s="463"/>
      <c r="FY319" s="463"/>
      <c r="FZ319" s="463"/>
      <c r="GA319" s="463"/>
      <c r="GB319" s="463"/>
      <c r="GC319" s="463"/>
      <c r="GD319" s="463"/>
      <c r="GE319" s="463"/>
      <c r="GF319" s="463"/>
      <c r="GG319" s="463"/>
      <c r="GH319" s="463"/>
      <c r="GI319" s="463"/>
    </row>
    <row r="320" spans="138:192">
      <c r="FW320" s="439"/>
      <c r="FX320" s="463"/>
      <c r="FY320" s="463"/>
      <c r="FZ320" s="463"/>
      <c r="GA320" s="463"/>
      <c r="GB320" s="463"/>
      <c r="GC320" s="463"/>
      <c r="GD320" s="463"/>
      <c r="GE320" s="463"/>
      <c r="GF320" s="463"/>
      <c r="GG320" s="463"/>
      <c r="GH320" s="463"/>
      <c r="GI320" s="463"/>
    </row>
    <row r="321" spans="179:192">
      <c r="FW321" s="439"/>
      <c r="FX321" s="463"/>
      <c r="FY321" s="463"/>
      <c r="FZ321" s="463"/>
      <c r="GA321" s="463"/>
      <c r="GB321" s="463"/>
      <c r="GC321" s="463"/>
      <c r="GD321" s="463"/>
      <c r="GE321" s="463"/>
      <c r="GF321" s="463"/>
      <c r="GG321" s="463"/>
      <c r="GH321" s="463"/>
      <c r="GI321" s="463"/>
    </row>
    <row r="322" spans="179:192">
      <c r="FW322" s="439"/>
      <c r="FX322" s="463"/>
      <c r="FY322" s="463"/>
      <c r="FZ322" s="463"/>
      <c r="GA322" s="463"/>
      <c r="GB322" s="463"/>
      <c r="GC322" s="463"/>
      <c r="GD322" s="463"/>
      <c r="GE322" s="463"/>
      <c r="GF322" s="463"/>
      <c r="GG322" s="463"/>
      <c r="GH322" s="463"/>
      <c r="GI322" s="463"/>
    </row>
    <row r="323" spans="179:192">
      <c r="FW323" s="439"/>
      <c r="FX323" s="463"/>
      <c r="FY323" s="463"/>
      <c r="FZ323" s="463"/>
      <c r="GA323" s="463"/>
      <c r="GB323" s="463"/>
      <c r="GC323" s="463"/>
      <c r="GD323" s="463"/>
      <c r="GE323" s="463"/>
      <c r="GF323" s="463"/>
      <c r="GG323" s="463"/>
      <c r="GH323" s="463"/>
      <c r="GI323" s="463"/>
    </row>
    <row r="324" spans="179:192">
      <c r="FW324" s="382"/>
      <c r="FX324" s="382"/>
      <c r="FY324" s="382"/>
      <c r="FZ324" s="382"/>
      <c r="GA324" s="382"/>
      <c r="GB324" s="382"/>
      <c r="GC324" s="382"/>
      <c r="GD324" s="382"/>
      <c r="GE324" s="382"/>
      <c r="GF324" s="382"/>
      <c r="GG324" s="382"/>
      <c r="GH324" s="382"/>
      <c r="GI324" s="382"/>
    </row>
    <row r="325" spans="179:192">
      <c r="FW325" s="439"/>
      <c r="FX325" s="382"/>
      <c r="FY325" s="382"/>
      <c r="FZ325" s="382"/>
      <c r="GA325" s="382"/>
      <c r="GB325" s="382"/>
      <c r="GC325" s="382"/>
      <c r="GD325" s="382"/>
      <c r="GE325" s="382"/>
      <c r="GF325" s="382"/>
      <c r="GG325" s="382"/>
      <c r="GH325" s="382"/>
      <c r="GI325" s="382"/>
    </row>
    <row r="326" spans="179:192">
      <c r="FW326" s="637"/>
    </row>
    <row r="327" spans="179:192">
      <c r="FW327" s="637"/>
    </row>
    <row r="328" spans="179:192">
      <c r="FW328" s="2180"/>
      <c r="FX328" s="2180"/>
      <c r="FY328" s="2180"/>
      <c r="FZ328" s="2180"/>
      <c r="GA328" s="2180"/>
      <c r="GB328" s="2180"/>
      <c r="GC328" s="2180"/>
      <c r="GD328" s="2180"/>
      <c r="GE328" s="2180"/>
      <c r="GF328" s="2180"/>
      <c r="GG328" s="2180"/>
      <c r="GH328" s="2180"/>
      <c r="GI328" s="2180"/>
    </row>
    <row r="329" spans="179:192">
      <c r="FW329" s="439"/>
      <c r="FX329" s="439"/>
      <c r="FY329" s="439"/>
      <c r="FZ329" s="439"/>
      <c r="GA329" s="439"/>
      <c r="GB329" s="439"/>
      <c r="GC329" s="439"/>
      <c r="GD329" s="439"/>
      <c r="GE329" s="439"/>
      <c r="GF329" s="439"/>
      <c r="GG329" s="439"/>
      <c r="GH329" s="439"/>
      <c r="GI329" s="439"/>
    </row>
    <row r="330" spans="179:192">
      <c r="FW330" s="439"/>
      <c r="FX330" s="918"/>
      <c r="FY330" s="918"/>
      <c r="FZ330" s="918"/>
      <c r="GA330" s="918"/>
      <c r="GB330" s="918"/>
      <c r="GC330" s="918"/>
      <c r="GD330" s="918"/>
      <c r="GE330" s="918"/>
      <c r="GF330" s="918"/>
      <c r="GG330" s="918"/>
      <c r="GH330" s="918"/>
      <c r="GI330" s="918"/>
    </row>
    <row r="331" spans="179:192">
      <c r="FW331" s="439"/>
      <c r="FX331" s="918"/>
      <c r="FY331" s="918"/>
      <c r="FZ331" s="918"/>
      <c r="GA331" s="918"/>
      <c r="GB331" s="918"/>
      <c r="GC331" s="918"/>
      <c r="GD331" s="918"/>
      <c r="GE331" s="918"/>
      <c r="GF331" s="918"/>
      <c r="GG331" s="918"/>
      <c r="GH331" s="918"/>
      <c r="GI331" s="918"/>
    </row>
    <row r="332" spans="179:192">
      <c r="FW332" s="439"/>
      <c r="FX332" s="918"/>
      <c r="FY332" s="918"/>
      <c r="FZ332" s="918"/>
      <c r="GA332" s="918"/>
      <c r="GB332" s="918"/>
      <c r="GC332" s="918"/>
      <c r="GD332" s="918"/>
      <c r="GE332" s="918"/>
      <c r="GF332" s="918"/>
      <c r="GG332" s="918"/>
      <c r="GH332" s="918"/>
      <c r="GI332" s="918"/>
    </row>
    <row r="333" spans="179:192">
      <c r="FW333" s="439"/>
      <c r="FX333" s="918"/>
      <c r="FY333" s="918"/>
      <c r="FZ333" s="918"/>
      <c r="GA333" s="918"/>
      <c r="GB333" s="918"/>
      <c r="GC333" s="918"/>
      <c r="GD333" s="918"/>
      <c r="GE333" s="918"/>
      <c r="GF333" s="918"/>
      <c r="GG333" s="918"/>
      <c r="GH333" s="918"/>
      <c r="GI333" s="918"/>
    </row>
    <row r="334" spans="179:192">
      <c r="FW334" s="439"/>
      <c r="FX334" s="918"/>
      <c r="FY334" s="918"/>
      <c r="FZ334" s="918"/>
      <c r="GA334" s="918"/>
      <c r="GB334" s="918"/>
      <c r="GC334" s="918"/>
      <c r="GD334" s="918"/>
      <c r="GE334" s="918"/>
      <c r="GF334" s="918"/>
      <c r="GG334" s="918"/>
      <c r="GH334" s="918"/>
      <c r="GI334" s="918"/>
    </row>
    <row r="335" spans="179:192">
      <c r="FW335" s="439"/>
      <c r="FX335" s="463"/>
      <c r="FY335" s="463"/>
      <c r="FZ335" s="463"/>
      <c r="GA335" s="463"/>
      <c r="GB335" s="463"/>
      <c r="GC335" s="463"/>
      <c r="GD335" s="463"/>
      <c r="GE335" s="463"/>
      <c r="GF335" s="463"/>
      <c r="GG335" s="463"/>
      <c r="GH335" s="463"/>
      <c r="GI335" s="463"/>
    </row>
    <row r="336" spans="179:192">
      <c r="FW336" s="382"/>
      <c r="FX336" s="1622"/>
      <c r="FY336" s="1622"/>
      <c r="FZ336" s="1622"/>
      <c r="GA336" s="1622"/>
      <c r="GB336" s="1622"/>
      <c r="GC336" s="1622"/>
      <c r="GD336" s="1622"/>
      <c r="GE336" s="1622"/>
      <c r="GF336" s="1622"/>
      <c r="GG336" s="1622"/>
      <c r="GH336" s="1622"/>
      <c r="GI336" s="1622"/>
      <c r="GJ336" s="1794"/>
    </row>
    <row r="337" spans="109:192">
      <c r="DF337" s="549"/>
      <c r="DG337" s="562"/>
      <c r="DH337" s="549"/>
      <c r="DI337" s="562"/>
      <c r="DJ337" s="562"/>
      <c r="DK337" s="562"/>
      <c r="DL337" s="562"/>
      <c r="DM337" s="562"/>
      <c r="DN337" s="562"/>
      <c r="DO337" s="562"/>
      <c r="DP337" s="562"/>
      <c r="DQ337" s="562"/>
      <c r="DR337" s="562"/>
      <c r="DS337" s="562"/>
      <c r="DT337" s="562"/>
      <c r="DU337" s="562"/>
      <c r="FW337" s="451"/>
      <c r="FX337" s="382"/>
      <c r="FY337" s="382"/>
      <c r="FZ337" s="382"/>
      <c r="GA337" s="382"/>
      <c r="GB337" s="382"/>
      <c r="GC337" s="382"/>
      <c r="GD337" s="382"/>
      <c r="GE337" s="382"/>
      <c r="GF337" s="382"/>
      <c r="GG337" s="382"/>
      <c r="GH337" s="382"/>
      <c r="GI337" s="382"/>
      <c r="GJ337" s="382"/>
    </row>
    <row r="338" spans="109:192">
      <c r="DF338" s="549"/>
      <c r="DG338" s="562"/>
      <c r="DH338" s="549"/>
      <c r="DI338" s="562"/>
      <c r="DJ338" s="562"/>
      <c r="DK338" s="562"/>
      <c r="DL338" s="562"/>
      <c r="DM338" s="562"/>
      <c r="DN338" s="562"/>
      <c r="DO338" s="562"/>
      <c r="DP338" s="562"/>
      <c r="DQ338" s="562"/>
      <c r="DR338" s="562"/>
      <c r="DS338" s="562"/>
      <c r="DT338" s="562"/>
      <c r="DU338" s="562"/>
      <c r="FW338" s="451"/>
      <c r="FX338" s="382"/>
      <c r="FY338" s="382"/>
      <c r="FZ338" s="382"/>
      <c r="GA338" s="382"/>
      <c r="GB338" s="382"/>
      <c r="GC338" s="382"/>
      <c r="GD338" s="382"/>
      <c r="GE338" s="382"/>
      <c r="GF338" s="382"/>
      <c r="GG338" s="382"/>
      <c r="GH338" s="382"/>
      <c r="GI338" s="382"/>
      <c r="GJ338" s="382"/>
    </row>
    <row r="339" spans="109:192">
      <c r="DF339" s="549"/>
      <c r="DG339" s="562"/>
      <c r="DH339" s="549"/>
      <c r="DI339" s="562"/>
      <c r="DJ339" s="562"/>
      <c r="DK339" s="562"/>
      <c r="DL339" s="562"/>
      <c r="DM339" s="562"/>
      <c r="DN339" s="562"/>
      <c r="DO339" s="562"/>
      <c r="DP339" s="562"/>
      <c r="DQ339" s="562"/>
      <c r="DR339" s="562"/>
      <c r="DS339" s="562"/>
      <c r="DT339" s="562"/>
      <c r="DU339" s="562"/>
      <c r="FW339" s="451"/>
      <c r="FX339" s="382"/>
      <c r="FY339" s="382"/>
      <c r="FZ339" s="382"/>
      <c r="GA339" s="382"/>
      <c r="GB339" s="382"/>
      <c r="GC339" s="382"/>
      <c r="GD339" s="382"/>
      <c r="GE339" s="382"/>
      <c r="GF339" s="382"/>
      <c r="GG339" s="382"/>
      <c r="GH339" s="382"/>
      <c r="GI339" s="382"/>
      <c r="GJ339" s="382"/>
    </row>
    <row r="340" spans="109:192">
      <c r="DF340" s="549"/>
      <c r="DG340" s="562"/>
      <c r="DH340" s="549"/>
      <c r="DI340" s="562"/>
      <c r="DJ340" s="562"/>
      <c r="DK340" s="562"/>
      <c r="DL340" s="562"/>
      <c r="DM340" s="562"/>
      <c r="DN340" s="562"/>
      <c r="DO340" s="562"/>
      <c r="DP340" s="562"/>
      <c r="DQ340" s="562"/>
      <c r="DR340" s="562"/>
      <c r="DS340" s="562"/>
      <c r="DT340" s="562"/>
      <c r="DU340" s="562"/>
      <c r="FW340" s="637"/>
    </row>
    <row r="341" spans="109:192">
      <c r="DF341" s="549"/>
      <c r="DG341" s="562"/>
      <c r="DH341" s="549"/>
      <c r="DI341" s="562"/>
      <c r="DJ341" s="562"/>
      <c r="DK341" s="562"/>
      <c r="DL341" s="562"/>
      <c r="DM341" s="562"/>
      <c r="DN341" s="562"/>
      <c r="DO341" s="562"/>
      <c r="DP341" s="562"/>
      <c r="DQ341" s="562"/>
      <c r="DR341" s="562"/>
      <c r="DS341" s="562"/>
      <c r="DT341" s="562"/>
      <c r="DU341" s="562"/>
      <c r="FW341" s="382"/>
    </row>
    <row r="342" spans="109:192">
      <c r="DF342" s="549"/>
      <c r="DG342" s="562"/>
      <c r="DH342" s="549"/>
      <c r="DI342" s="562"/>
      <c r="DJ342" s="562"/>
      <c r="DK342" s="562"/>
      <c r="DL342" s="562"/>
      <c r="DM342" s="562"/>
      <c r="DN342" s="562"/>
      <c r="DO342" s="562"/>
      <c r="DP342" s="562"/>
      <c r="DQ342" s="562"/>
      <c r="DR342" s="562"/>
      <c r="DS342" s="562"/>
      <c r="DT342" s="562"/>
      <c r="DU342" s="562"/>
      <c r="FW342" s="637"/>
    </row>
    <row r="343" spans="109:192">
      <c r="DF343" s="549"/>
      <c r="DG343" s="549"/>
      <c r="DH343" s="549"/>
      <c r="DI343" s="549"/>
      <c r="DJ343" s="549"/>
      <c r="DK343" s="549"/>
      <c r="DL343" s="549"/>
      <c r="DM343" s="549"/>
      <c r="DN343" s="549"/>
      <c r="DO343" s="549"/>
      <c r="DP343" s="549"/>
      <c r="DQ343" s="549"/>
      <c r="DR343" s="549"/>
      <c r="DS343" s="549"/>
      <c r="DT343" s="549"/>
      <c r="DU343" s="549"/>
      <c r="FW343" s="2180"/>
      <c r="FX343" s="2180"/>
      <c r="FY343" s="2180"/>
      <c r="FZ343" s="2180"/>
      <c r="GA343" s="2180"/>
      <c r="GB343" s="2180"/>
      <c r="GC343" s="2180"/>
      <c r="GD343" s="2180"/>
      <c r="GE343" s="2180"/>
      <c r="GF343" s="2180"/>
      <c r="GG343" s="2180"/>
      <c r="GH343" s="2180"/>
      <c r="GI343" s="2180"/>
    </row>
    <row r="344" spans="109:192">
      <c r="DF344" s="549"/>
      <c r="DG344" s="549"/>
      <c r="DH344" s="549"/>
      <c r="DI344" s="549"/>
      <c r="DJ344" s="549"/>
      <c r="DK344" s="549"/>
      <c r="DL344" s="549"/>
      <c r="DM344" s="549"/>
      <c r="DN344" s="549"/>
      <c r="DO344" s="549"/>
      <c r="DP344" s="549"/>
      <c r="DQ344" s="549"/>
      <c r="DR344" s="549"/>
      <c r="DS344" s="549"/>
      <c r="DT344" s="549"/>
      <c r="DU344" s="549"/>
      <c r="FW344" s="439"/>
      <c r="FX344" s="439"/>
      <c r="FY344" s="439"/>
      <c r="FZ344" s="439"/>
      <c r="GA344" s="439"/>
      <c r="GB344" s="439"/>
      <c r="GC344" s="439"/>
      <c r="GD344" s="439"/>
      <c r="GE344" s="439"/>
      <c r="GF344" s="439"/>
      <c r="GG344" s="439"/>
      <c r="GH344" s="439"/>
      <c r="GI344" s="439"/>
    </row>
    <row r="345" spans="109:192">
      <c r="DF345" s="549"/>
      <c r="DG345" s="549"/>
      <c r="DH345" s="549"/>
      <c r="DI345" s="549"/>
      <c r="DJ345" s="549"/>
      <c r="DK345" s="549"/>
      <c r="DL345" s="549"/>
      <c r="DM345" s="549"/>
      <c r="DN345" s="549"/>
      <c r="DO345" s="549"/>
      <c r="DP345" s="549"/>
      <c r="DQ345" s="549"/>
      <c r="DR345" s="549"/>
      <c r="DS345" s="549"/>
      <c r="DT345" s="549"/>
      <c r="DU345" s="549"/>
      <c r="FW345" s="439"/>
      <c r="FX345" s="463"/>
      <c r="FY345" s="463"/>
      <c r="FZ345" s="463"/>
      <c r="GA345" s="463"/>
      <c r="GB345" s="463"/>
      <c r="GC345" s="463"/>
      <c r="GD345" s="463"/>
      <c r="GE345" s="463"/>
      <c r="GF345" s="463"/>
      <c r="GG345" s="463"/>
      <c r="GH345" s="463"/>
      <c r="GI345" s="463"/>
    </row>
    <row r="346" spans="109:192">
      <c r="DF346" s="549"/>
      <c r="DG346" s="549"/>
      <c r="DH346" s="549"/>
      <c r="DI346" s="549"/>
      <c r="DJ346" s="549"/>
      <c r="DK346" s="549"/>
      <c r="DL346" s="549"/>
      <c r="DM346" s="549"/>
      <c r="DN346" s="549"/>
      <c r="DO346" s="549"/>
      <c r="DP346" s="549"/>
      <c r="DQ346" s="549"/>
      <c r="DR346" s="549"/>
      <c r="DS346" s="549"/>
      <c r="DT346" s="549"/>
      <c r="DU346" s="549"/>
      <c r="FW346" s="439"/>
      <c r="FX346" s="463"/>
      <c r="FY346" s="463"/>
      <c r="FZ346" s="463"/>
      <c r="GA346" s="463"/>
      <c r="GB346" s="463"/>
      <c r="GC346" s="463"/>
      <c r="GD346" s="463"/>
      <c r="GE346" s="463"/>
      <c r="GF346" s="463"/>
      <c r="GG346" s="463"/>
      <c r="GH346" s="463"/>
      <c r="GI346" s="463"/>
    </row>
    <row r="347" spans="109:192">
      <c r="DE347" s="862"/>
      <c r="DF347" s="549"/>
      <c r="DG347" s="549"/>
      <c r="DH347" s="549"/>
      <c r="DI347" s="549"/>
      <c r="DJ347" s="549"/>
      <c r="DK347" s="549"/>
      <c r="DL347" s="549"/>
      <c r="DM347" s="549"/>
      <c r="DN347" s="549"/>
      <c r="DO347" s="549"/>
      <c r="DP347" s="549"/>
      <c r="DQ347" s="549"/>
      <c r="DR347" s="549"/>
      <c r="DS347" s="549"/>
      <c r="DT347" s="549"/>
      <c r="DU347" s="549"/>
      <c r="FW347" s="439"/>
      <c r="FX347" s="463"/>
      <c r="FY347" s="463"/>
      <c r="FZ347" s="463"/>
      <c r="GA347" s="463"/>
      <c r="GB347" s="463"/>
      <c r="GC347" s="463"/>
      <c r="GD347" s="463"/>
      <c r="GE347" s="463"/>
      <c r="GF347" s="463"/>
      <c r="GG347" s="463"/>
      <c r="GH347" s="463"/>
      <c r="GI347" s="463"/>
    </row>
    <row r="348" spans="109:192">
      <c r="DE348" s="862"/>
      <c r="DF348" s="549"/>
      <c r="DG348" s="382"/>
      <c r="DH348" s="382"/>
      <c r="DI348" s="382"/>
      <c r="DJ348" s="382"/>
      <c r="DK348" s="382"/>
      <c r="DL348" s="382"/>
      <c r="DM348" s="382"/>
      <c r="DN348" s="382"/>
      <c r="DO348" s="382"/>
      <c r="DP348" s="382"/>
      <c r="DQ348" s="382"/>
      <c r="DR348" s="382"/>
      <c r="DS348" s="382"/>
      <c r="DT348" s="382"/>
      <c r="DU348" s="382"/>
      <c r="FW348" s="439"/>
      <c r="FX348" s="463"/>
      <c r="FY348" s="463"/>
      <c r="FZ348" s="463"/>
      <c r="GA348" s="463"/>
      <c r="GB348" s="463"/>
      <c r="GC348" s="463"/>
      <c r="GD348" s="463"/>
      <c r="GE348" s="463"/>
      <c r="GF348" s="463"/>
      <c r="GG348" s="463"/>
      <c r="GH348" s="463"/>
      <c r="GI348" s="463"/>
    </row>
    <row r="349" spans="109:192">
      <c r="DE349" s="862"/>
      <c r="FW349" s="439"/>
      <c r="FX349" s="463"/>
      <c r="FY349" s="463"/>
      <c r="FZ349" s="463"/>
      <c r="GA349" s="463"/>
      <c r="GB349" s="463"/>
      <c r="GC349" s="463"/>
      <c r="GD349" s="463"/>
      <c r="GE349" s="463"/>
      <c r="GF349" s="463"/>
      <c r="GG349" s="463"/>
      <c r="GH349" s="463"/>
      <c r="GI349" s="463"/>
    </row>
    <row r="350" spans="109:192">
      <c r="DE350" s="862"/>
      <c r="DZ350" s="862"/>
      <c r="EA350" s="862"/>
      <c r="EB350" s="862"/>
      <c r="EC350" s="862"/>
      <c r="ED350" s="862"/>
      <c r="EE350" s="862"/>
      <c r="FW350" s="439"/>
      <c r="FX350" s="463"/>
      <c r="FY350" s="463"/>
      <c r="FZ350" s="463"/>
      <c r="GA350" s="463"/>
      <c r="GB350" s="463"/>
      <c r="GC350" s="463"/>
      <c r="GD350" s="463"/>
      <c r="GE350" s="463"/>
      <c r="GF350" s="463"/>
      <c r="GG350" s="463"/>
      <c r="GH350" s="463"/>
      <c r="GI350" s="463"/>
    </row>
    <row r="351" spans="109:192">
      <c r="DE351" s="862"/>
      <c r="DZ351" s="862"/>
      <c r="EA351" s="862"/>
      <c r="EB351" s="862"/>
      <c r="EC351" s="862"/>
      <c r="ED351" s="862"/>
      <c r="EE351" s="862"/>
      <c r="ES351" s="525"/>
      <c r="ET351" s="525"/>
      <c r="EU351" s="525"/>
      <c r="EV351" s="525"/>
      <c r="EW351" s="525"/>
      <c r="EX351" s="525"/>
      <c r="EY351" s="525"/>
      <c r="EZ351" s="525"/>
      <c r="FA351" s="525"/>
      <c r="FB351" s="525"/>
      <c r="FC351" s="525"/>
      <c r="FD351" s="525"/>
      <c r="FW351" s="439"/>
      <c r="FX351" s="463"/>
      <c r="FY351" s="463"/>
      <c r="FZ351" s="463"/>
      <c r="GA351" s="463"/>
      <c r="GB351" s="463"/>
      <c r="GC351" s="463"/>
      <c r="GD351" s="463"/>
      <c r="GE351" s="463"/>
      <c r="GF351" s="463"/>
      <c r="GG351" s="463"/>
      <c r="GH351" s="463"/>
      <c r="GI351" s="463"/>
    </row>
    <row r="352" spans="109:192">
      <c r="DE352" s="862"/>
      <c r="DZ352" s="862"/>
      <c r="EA352" s="862"/>
      <c r="EB352" s="862"/>
      <c r="EC352" s="862"/>
      <c r="ED352" s="862"/>
      <c r="EE352" s="862"/>
      <c r="EJ352" s="862"/>
      <c r="EK352" s="862"/>
      <c r="EL352" s="862"/>
      <c r="EM352" s="862"/>
      <c r="EN352" s="862"/>
      <c r="EO352" s="862"/>
      <c r="FW352" s="382"/>
      <c r="FX352" s="382"/>
      <c r="FY352" s="382"/>
      <c r="FZ352" s="382"/>
      <c r="GA352" s="382"/>
      <c r="GB352" s="382"/>
      <c r="GC352" s="382"/>
      <c r="GD352" s="382"/>
      <c r="GE352" s="382"/>
      <c r="GF352" s="382"/>
      <c r="GG352" s="382"/>
      <c r="GH352" s="382"/>
      <c r="GI352" s="382"/>
    </row>
    <row r="353" spans="109:191">
      <c r="DE353" s="862"/>
      <c r="DZ353" s="862"/>
      <c r="EA353" s="862"/>
      <c r="EB353" s="862"/>
      <c r="EC353" s="862"/>
      <c r="ED353" s="862"/>
      <c r="EE353" s="862"/>
      <c r="EJ353" s="862"/>
      <c r="EK353" s="862"/>
      <c r="EL353" s="862"/>
      <c r="EM353" s="862"/>
      <c r="EN353" s="862"/>
      <c r="EO353" s="862"/>
      <c r="FW353" s="439"/>
      <c r="FX353" s="382"/>
      <c r="FY353" s="382"/>
      <c r="FZ353" s="382"/>
      <c r="GA353" s="382"/>
      <c r="GB353" s="382"/>
      <c r="GC353" s="382"/>
      <c r="GD353" s="382"/>
      <c r="GE353" s="382"/>
      <c r="GF353" s="382"/>
      <c r="GG353" s="382"/>
      <c r="GH353" s="382"/>
      <c r="GI353" s="382"/>
    </row>
    <row r="354" spans="109:191">
      <c r="DE354" s="862"/>
      <c r="DZ354" s="862"/>
      <c r="EA354" s="862"/>
      <c r="EB354" s="862"/>
      <c r="EC354" s="862"/>
      <c r="ED354" s="862"/>
      <c r="EE354" s="862"/>
      <c r="EJ354" s="862"/>
      <c r="EK354" s="862"/>
      <c r="EL354" s="862"/>
      <c r="EM354" s="862"/>
      <c r="EN354" s="862"/>
      <c r="EO354" s="862"/>
      <c r="FW354" s="861"/>
      <c r="FX354" s="562"/>
      <c r="FY354" s="562"/>
      <c r="FZ354" s="562"/>
      <c r="GA354" s="562"/>
      <c r="GB354" s="562"/>
      <c r="GC354" s="562"/>
      <c r="GD354" s="562"/>
      <c r="GE354" s="562"/>
      <c r="GF354" s="562"/>
      <c r="GG354" s="562"/>
      <c r="GH354" s="562"/>
      <c r="GI354" s="562"/>
    </row>
    <row r="355" spans="109:191">
      <c r="DE355" s="862"/>
      <c r="DZ355" s="862"/>
      <c r="EA355" s="862"/>
      <c r="EB355" s="862"/>
      <c r="EC355" s="862"/>
      <c r="ED355" s="862"/>
      <c r="EE355" s="862"/>
      <c r="EJ355" s="862"/>
      <c r="EK355" s="862"/>
      <c r="EL355" s="862"/>
      <c r="EM355" s="862"/>
      <c r="EN355" s="862"/>
      <c r="EO355" s="862"/>
      <c r="FW355" s="861"/>
      <c r="FX355" s="562"/>
      <c r="FY355" s="562"/>
      <c r="FZ355" s="562"/>
      <c r="GA355" s="562"/>
      <c r="GB355" s="562"/>
      <c r="GC355" s="562"/>
      <c r="GD355" s="562"/>
      <c r="GE355" s="562"/>
      <c r="GF355" s="562"/>
      <c r="GG355" s="562"/>
      <c r="GH355" s="562"/>
      <c r="GI355" s="562"/>
    </row>
    <row r="356" spans="109:191">
      <c r="DE356" s="862"/>
      <c r="DZ356" s="862"/>
      <c r="EA356" s="862"/>
      <c r="EB356" s="862"/>
      <c r="EC356" s="862"/>
      <c r="ED356" s="862"/>
      <c r="EE356" s="862"/>
      <c r="EJ356" s="862"/>
      <c r="EK356" s="862"/>
      <c r="EL356" s="862"/>
      <c r="EM356" s="862"/>
      <c r="EN356" s="862"/>
      <c r="EO356" s="862"/>
      <c r="FW356" s="861"/>
      <c r="FX356" s="562"/>
      <c r="FY356" s="562"/>
      <c r="FZ356" s="562"/>
      <c r="GA356" s="562"/>
      <c r="GB356" s="562"/>
      <c r="GC356" s="562"/>
      <c r="GD356" s="562"/>
      <c r="GE356" s="562"/>
      <c r="GF356" s="562"/>
      <c r="GG356" s="562"/>
      <c r="GH356" s="562"/>
      <c r="GI356" s="562"/>
    </row>
    <row r="357" spans="109:191">
      <c r="DE357" s="862"/>
      <c r="DZ357" s="862"/>
      <c r="EA357" s="862"/>
      <c r="EB357" s="862"/>
      <c r="EC357" s="862"/>
      <c r="ED357" s="862"/>
      <c r="EE357" s="862"/>
      <c r="EJ357" s="862"/>
      <c r="EK357" s="862"/>
      <c r="EL357" s="862"/>
      <c r="EM357" s="862"/>
      <c r="EN357" s="862"/>
      <c r="EO357" s="862"/>
      <c r="FW357" s="549"/>
      <c r="FX357" s="549"/>
      <c r="FY357" s="549"/>
      <c r="FZ357" s="549"/>
      <c r="GA357" s="549"/>
      <c r="GB357" s="549"/>
      <c r="GC357" s="549"/>
      <c r="GD357" s="549"/>
      <c r="GE357" s="549"/>
      <c r="GF357" s="549"/>
      <c r="GG357" s="549"/>
      <c r="GH357" s="549"/>
      <c r="GI357" s="549"/>
    </row>
    <row r="358" spans="109:191">
      <c r="DE358" s="862"/>
      <c r="DZ358" s="862"/>
      <c r="EA358" s="862"/>
      <c r="EB358" s="862"/>
      <c r="EC358" s="862"/>
      <c r="ED358" s="862"/>
      <c r="EE358" s="862"/>
      <c r="EJ358" s="862"/>
      <c r="EK358" s="862"/>
      <c r="EL358" s="862"/>
      <c r="EM358" s="862"/>
      <c r="EN358" s="862"/>
      <c r="EO358" s="862"/>
      <c r="FW358" s="861"/>
      <c r="FX358" s="549"/>
      <c r="FY358" s="549"/>
      <c r="FZ358" s="549"/>
      <c r="GA358" s="549"/>
      <c r="GB358" s="549"/>
      <c r="GC358" s="549"/>
      <c r="GD358" s="549"/>
      <c r="GE358" s="549"/>
      <c r="GF358" s="549"/>
      <c r="GG358" s="549"/>
      <c r="GH358" s="549"/>
      <c r="GI358" s="549"/>
    </row>
    <row r="359" spans="109:191">
      <c r="DE359" s="862"/>
      <c r="DZ359" s="862"/>
      <c r="EA359" s="862"/>
      <c r="EB359" s="862"/>
      <c r="EC359" s="862"/>
      <c r="ED359" s="862"/>
      <c r="EE359" s="862"/>
      <c r="EJ359" s="862"/>
      <c r="EK359" s="862"/>
      <c r="EL359" s="862"/>
      <c r="EM359" s="862"/>
      <c r="EN359" s="862"/>
      <c r="EO359" s="862"/>
      <c r="FW359" s="637"/>
    </row>
    <row r="360" spans="109:191">
      <c r="DE360" s="862"/>
      <c r="DZ360" s="862"/>
      <c r="EA360" s="862"/>
      <c r="EB360" s="862"/>
      <c r="EC360" s="862"/>
      <c r="ED360" s="862"/>
      <c r="EE360" s="862"/>
      <c r="EJ360" s="862"/>
      <c r="EK360" s="862"/>
      <c r="EL360" s="862"/>
      <c r="EM360" s="862"/>
      <c r="EN360" s="862"/>
      <c r="EO360" s="862"/>
      <c r="FW360" s="637"/>
    </row>
    <row r="361" spans="109:191">
      <c r="DE361" s="862"/>
      <c r="DI361" s="599"/>
      <c r="DJ361" s="599"/>
      <c r="DK361" s="599"/>
      <c r="DL361" s="599"/>
      <c r="DM361" s="599"/>
      <c r="DN361" s="599"/>
      <c r="DO361" s="1795"/>
      <c r="DP361" s="1795"/>
      <c r="DQ361" s="599"/>
      <c r="DR361" s="1795"/>
      <c r="DS361" s="599"/>
      <c r="DT361" s="1795"/>
      <c r="DU361" s="599"/>
      <c r="DZ361" s="862"/>
      <c r="EA361" s="862"/>
      <c r="EB361" s="862"/>
      <c r="EC361" s="862"/>
      <c r="ED361" s="862"/>
      <c r="EE361" s="862"/>
      <c r="EJ361" s="862"/>
      <c r="EK361" s="862"/>
      <c r="EL361" s="862"/>
      <c r="EM361" s="862"/>
      <c r="EN361" s="862"/>
      <c r="EO361" s="862"/>
      <c r="FW361" s="2348"/>
      <c r="FX361" s="2348"/>
      <c r="FY361" s="2348"/>
      <c r="FZ361" s="2348"/>
      <c r="GA361" s="2348"/>
      <c r="GB361" s="2348"/>
      <c r="GC361" s="2348"/>
      <c r="GD361" s="2348"/>
      <c r="GE361" s="2348"/>
      <c r="GF361" s="2348"/>
      <c r="GG361" s="2348"/>
      <c r="GH361" s="2348"/>
      <c r="GI361" s="2348"/>
    </row>
    <row r="362" spans="109:191">
      <c r="DE362" s="862"/>
      <c r="DI362" s="599"/>
      <c r="DJ362" s="599"/>
      <c r="DK362" s="599"/>
      <c r="DL362" s="599"/>
      <c r="DM362" s="599"/>
      <c r="DN362" s="599"/>
      <c r="DO362" s="599"/>
      <c r="DP362" s="599"/>
      <c r="DQ362" s="599"/>
      <c r="DR362" s="599"/>
      <c r="DS362" s="599"/>
      <c r="DT362" s="599"/>
      <c r="DU362" s="599"/>
      <c r="DZ362" s="862"/>
      <c r="EA362" s="862"/>
      <c r="EB362" s="862"/>
      <c r="EC362" s="862"/>
      <c r="ED362" s="862"/>
      <c r="EE362" s="862"/>
      <c r="EJ362" s="862"/>
      <c r="EK362" s="862"/>
      <c r="EL362" s="862"/>
      <c r="EM362" s="862"/>
      <c r="EN362" s="862"/>
      <c r="EO362" s="862"/>
      <c r="FW362" s="861"/>
      <c r="FX362" s="861"/>
      <c r="FY362" s="861"/>
      <c r="FZ362" s="861"/>
      <c r="GA362" s="861"/>
      <c r="GB362" s="861"/>
      <c r="GC362" s="861"/>
      <c r="GD362" s="861"/>
      <c r="GE362" s="861"/>
      <c r="GF362" s="861"/>
      <c r="GG362" s="861"/>
      <c r="GH362" s="861"/>
      <c r="GI362" s="861"/>
    </row>
    <row r="363" spans="109:191">
      <c r="DE363" s="862"/>
      <c r="DZ363" s="862"/>
      <c r="EA363" s="862"/>
      <c r="EB363" s="862"/>
      <c r="EC363" s="862"/>
      <c r="ED363" s="862"/>
      <c r="EE363" s="862"/>
      <c r="EJ363" s="862"/>
      <c r="EK363" s="862"/>
      <c r="EL363" s="862"/>
      <c r="EM363" s="862"/>
      <c r="EN363" s="862"/>
      <c r="EO363" s="862"/>
      <c r="FW363" s="861"/>
      <c r="FX363" s="1631"/>
      <c r="FY363" s="1631"/>
      <c r="FZ363" s="1631"/>
      <c r="GA363" s="1631"/>
      <c r="GB363" s="1631"/>
      <c r="GC363" s="1631"/>
      <c r="GD363" s="1631"/>
      <c r="GE363" s="1631"/>
      <c r="GF363" s="1631"/>
      <c r="GG363" s="1631"/>
      <c r="GH363" s="1631"/>
      <c r="GI363" s="1631"/>
    </row>
    <row r="364" spans="109:191">
      <c r="DE364" s="862"/>
      <c r="DH364" s="862"/>
      <c r="DI364" s="862"/>
      <c r="DJ364" s="862"/>
      <c r="DK364" s="862"/>
      <c r="DL364" s="862"/>
      <c r="DM364" s="862"/>
      <c r="DN364" s="862"/>
      <c r="DO364" s="862"/>
      <c r="DP364" s="862"/>
      <c r="DQ364" s="862"/>
      <c r="DR364" s="862"/>
      <c r="DS364" s="862"/>
      <c r="DT364" s="862"/>
      <c r="DU364" s="862"/>
      <c r="DZ364" s="862"/>
      <c r="EA364" s="862"/>
      <c r="EB364" s="862"/>
      <c r="EC364" s="862"/>
      <c r="ED364" s="862"/>
      <c r="EE364" s="862"/>
      <c r="EJ364" s="862"/>
      <c r="EK364" s="862"/>
      <c r="EL364" s="862"/>
      <c r="EM364" s="862"/>
      <c r="EN364" s="862"/>
      <c r="EO364" s="862"/>
      <c r="FW364" s="861"/>
      <c r="FX364" s="1631"/>
      <c r="FY364" s="1631"/>
      <c r="FZ364" s="1631"/>
      <c r="GA364" s="1631"/>
      <c r="GB364" s="1631"/>
      <c r="GC364" s="1631"/>
      <c r="GD364" s="1631"/>
      <c r="GE364" s="1631"/>
      <c r="GF364" s="1631"/>
      <c r="GG364" s="1631"/>
      <c r="GH364" s="1631"/>
      <c r="GI364" s="1631"/>
    </row>
    <row r="365" spans="109:191">
      <c r="DE365" s="862"/>
      <c r="DH365" s="862"/>
      <c r="DI365" s="862"/>
      <c r="DJ365" s="862"/>
      <c r="DK365" s="862"/>
      <c r="DL365" s="862"/>
      <c r="DM365" s="862"/>
      <c r="DN365" s="862"/>
      <c r="DO365" s="862"/>
      <c r="DP365" s="862"/>
      <c r="DQ365" s="862"/>
      <c r="DR365" s="862"/>
      <c r="DS365" s="862"/>
      <c r="DT365" s="862"/>
      <c r="DU365" s="862"/>
      <c r="EJ365" s="862"/>
      <c r="EK365" s="862"/>
      <c r="EL365" s="862"/>
      <c r="EM365" s="862"/>
      <c r="EN365" s="862"/>
      <c r="EO365" s="862"/>
      <c r="FW365" s="861"/>
      <c r="FX365" s="1631"/>
      <c r="FY365" s="1631"/>
      <c r="FZ365" s="1631"/>
      <c r="GA365" s="1631"/>
      <c r="GB365" s="1631"/>
      <c r="GC365" s="1631"/>
      <c r="GD365" s="1631"/>
      <c r="GE365" s="1631"/>
      <c r="GF365" s="1631"/>
      <c r="GG365" s="1631"/>
      <c r="GH365" s="1631"/>
      <c r="GI365" s="1631"/>
    </row>
    <row r="366" spans="109:191">
      <c r="DE366" s="862"/>
      <c r="DH366" s="862"/>
      <c r="DI366" s="862"/>
      <c r="DJ366" s="862"/>
      <c r="DK366" s="862"/>
      <c r="DL366" s="862"/>
      <c r="DM366" s="862"/>
      <c r="DN366" s="862"/>
      <c r="DO366" s="862"/>
      <c r="DP366" s="862"/>
      <c r="DQ366" s="862"/>
      <c r="DR366" s="862"/>
      <c r="DS366" s="862"/>
      <c r="DT366" s="862"/>
      <c r="DU366" s="862"/>
      <c r="EJ366" s="862"/>
      <c r="EK366" s="862"/>
      <c r="EL366" s="862"/>
      <c r="EM366" s="862"/>
      <c r="EN366" s="862"/>
      <c r="EO366" s="862"/>
      <c r="FW366" s="861"/>
      <c r="FX366" s="1631"/>
      <c r="FY366" s="1631"/>
      <c r="FZ366" s="1631"/>
      <c r="GA366" s="1631"/>
      <c r="GB366" s="1631"/>
      <c r="GC366" s="1631"/>
      <c r="GD366" s="1631"/>
      <c r="GE366" s="1631"/>
      <c r="GF366" s="1631"/>
      <c r="GG366" s="1631"/>
      <c r="GH366" s="1631"/>
      <c r="GI366" s="1631"/>
    </row>
    <row r="367" spans="109:191">
      <c r="DE367" s="862"/>
      <c r="DH367" s="862"/>
      <c r="DI367" s="862"/>
      <c r="DJ367" s="862"/>
      <c r="DK367" s="862"/>
      <c r="DL367" s="862"/>
      <c r="DM367" s="862"/>
      <c r="DN367" s="862"/>
      <c r="DO367" s="862"/>
      <c r="DP367" s="862"/>
      <c r="DQ367" s="862"/>
      <c r="DR367" s="862"/>
      <c r="DS367" s="862"/>
      <c r="DT367" s="862"/>
      <c r="DU367" s="862"/>
      <c r="EJ367" s="862"/>
      <c r="EK367" s="862"/>
      <c r="EL367" s="862"/>
      <c r="EM367" s="862"/>
      <c r="EN367" s="862"/>
      <c r="EO367" s="862"/>
      <c r="FW367" s="861"/>
      <c r="FX367" s="1631"/>
      <c r="FY367" s="1631"/>
      <c r="FZ367" s="1631"/>
      <c r="GA367" s="1631"/>
      <c r="GB367" s="1631"/>
      <c r="GC367" s="1631"/>
      <c r="GD367" s="1631"/>
      <c r="GE367" s="1631"/>
      <c r="GF367" s="1631"/>
      <c r="GG367" s="1631"/>
      <c r="GH367" s="1631"/>
      <c r="GI367" s="1631"/>
    </row>
    <row r="368" spans="109:191">
      <c r="DE368" s="862"/>
      <c r="DH368" s="862"/>
      <c r="DI368" s="862"/>
      <c r="DJ368" s="862"/>
      <c r="DK368" s="862"/>
      <c r="DL368" s="862"/>
      <c r="DM368" s="862"/>
      <c r="DN368" s="862"/>
      <c r="DO368" s="862"/>
      <c r="DP368" s="862"/>
      <c r="DQ368" s="862"/>
      <c r="DR368" s="862"/>
      <c r="DS368" s="862"/>
      <c r="DT368" s="862"/>
      <c r="DU368" s="862"/>
      <c r="FW368" s="861"/>
      <c r="FX368" s="562"/>
      <c r="FY368" s="562"/>
      <c r="FZ368" s="562"/>
      <c r="GA368" s="562"/>
      <c r="GB368" s="562"/>
      <c r="GC368" s="562"/>
      <c r="GD368" s="562"/>
      <c r="GE368" s="562"/>
      <c r="GF368" s="562"/>
      <c r="GG368" s="562"/>
      <c r="GH368" s="562"/>
      <c r="GI368" s="562"/>
    </row>
    <row r="369" spans="112:192">
      <c r="DH369" s="862"/>
      <c r="DI369" s="862"/>
      <c r="DJ369" s="862"/>
      <c r="DK369" s="862"/>
      <c r="DL369" s="862"/>
      <c r="DM369" s="862"/>
      <c r="DN369" s="862"/>
      <c r="DO369" s="862"/>
      <c r="DP369" s="862"/>
      <c r="DQ369" s="862"/>
      <c r="DR369" s="862"/>
      <c r="DS369" s="862"/>
      <c r="DT369" s="862"/>
      <c r="DU369" s="862"/>
      <c r="FW369" s="637"/>
    </row>
    <row r="370" spans="112:192">
      <c r="DH370" s="862"/>
      <c r="DI370" s="862"/>
      <c r="DJ370" s="862"/>
      <c r="DK370" s="862"/>
      <c r="DL370" s="862"/>
      <c r="DM370" s="862"/>
      <c r="DN370" s="862"/>
      <c r="DO370" s="862"/>
      <c r="DP370" s="862"/>
      <c r="DQ370" s="862"/>
      <c r="DR370" s="862"/>
      <c r="DS370" s="862"/>
      <c r="DT370" s="862"/>
      <c r="DU370" s="862"/>
      <c r="FW370" s="637"/>
    </row>
    <row r="371" spans="112:192">
      <c r="DH371" s="862"/>
      <c r="DI371" s="862"/>
      <c r="DJ371" s="862"/>
      <c r="DK371" s="862"/>
      <c r="DL371" s="862"/>
      <c r="DM371" s="862"/>
      <c r="DN371" s="862"/>
      <c r="DO371" s="862"/>
      <c r="DP371" s="862"/>
      <c r="DQ371" s="862"/>
      <c r="DR371" s="862"/>
      <c r="DS371" s="862"/>
      <c r="DT371" s="862"/>
      <c r="DU371" s="862"/>
      <c r="FW371" s="1793"/>
    </row>
    <row r="372" spans="112:192">
      <c r="DH372" s="862"/>
      <c r="DI372" s="862"/>
      <c r="DJ372" s="862"/>
      <c r="DK372" s="862"/>
      <c r="DL372" s="862"/>
      <c r="DM372" s="862"/>
      <c r="DN372" s="862"/>
      <c r="DO372" s="862"/>
      <c r="DP372" s="862"/>
      <c r="DQ372" s="862"/>
      <c r="DR372" s="862"/>
      <c r="DS372" s="862"/>
      <c r="DT372" s="862"/>
      <c r="DU372" s="862"/>
      <c r="FW372" s="2180"/>
      <c r="FX372" s="2180"/>
      <c r="FY372" s="2180"/>
      <c r="FZ372" s="2180"/>
      <c r="GA372" s="2180"/>
      <c r="GB372" s="2180"/>
      <c r="GC372" s="2180"/>
      <c r="GD372" s="2180"/>
      <c r="GE372" s="2180"/>
      <c r="GF372" s="2180"/>
      <c r="GG372" s="2180"/>
      <c r="GH372" s="2180"/>
      <c r="GI372" s="2180"/>
      <c r="GJ372" s="2180"/>
    </row>
    <row r="373" spans="112:192">
      <c r="DH373" s="862"/>
      <c r="DI373" s="862"/>
      <c r="DJ373" s="862"/>
      <c r="DK373" s="862"/>
      <c r="DL373" s="862"/>
      <c r="DM373" s="862"/>
      <c r="DN373" s="862"/>
      <c r="DO373" s="862"/>
      <c r="DP373" s="862"/>
      <c r="DQ373" s="862"/>
      <c r="DR373" s="862"/>
      <c r="DS373" s="862"/>
      <c r="DT373" s="862"/>
      <c r="DU373" s="862"/>
      <c r="FW373" s="382"/>
      <c r="FX373" s="439"/>
      <c r="FY373" s="439"/>
      <c r="FZ373" s="439"/>
      <c r="GA373" s="439"/>
      <c r="GB373" s="439"/>
      <c r="GC373" s="439"/>
      <c r="GD373" s="439"/>
      <c r="GE373" s="439"/>
      <c r="GF373" s="439"/>
      <c r="GG373" s="439"/>
      <c r="GH373" s="439"/>
      <c r="GI373" s="439"/>
      <c r="GJ373" s="439"/>
    </row>
    <row r="374" spans="112:192">
      <c r="DH374" s="862"/>
      <c r="DI374" s="862"/>
      <c r="DJ374" s="862"/>
      <c r="DK374" s="862"/>
      <c r="DL374" s="862"/>
      <c r="DM374" s="862"/>
      <c r="DN374" s="862"/>
      <c r="DO374" s="862"/>
      <c r="DP374" s="862"/>
      <c r="DQ374" s="862"/>
      <c r="DR374" s="862"/>
      <c r="DS374" s="862"/>
      <c r="DT374" s="862"/>
      <c r="DU374" s="862"/>
      <c r="FW374" s="382"/>
      <c r="FX374" s="1757"/>
      <c r="FY374" s="1757"/>
      <c r="FZ374" s="1757"/>
      <c r="GA374" s="1757"/>
      <c r="GB374" s="1757"/>
      <c r="GC374" s="1757"/>
      <c r="GD374" s="1757"/>
      <c r="GE374" s="1757"/>
      <c r="GF374" s="1757"/>
      <c r="GG374" s="1757"/>
      <c r="GH374" s="1757"/>
      <c r="GI374" s="1757"/>
      <c r="GJ374" s="473"/>
    </row>
    <row r="375" spans="112:192">
      <c r="DH375" s="862"/>
      <c r="DI375" s="862"/>
      <c r="DJ375" s="862"/>
      <c r="DK375" s="862"/>
      <c r="DL375" s="862"/>
      <c r="DM375" s="862"/>
      <c r="DN375" s="862"/>
      <c r="DO375" s="862"/>
      <c r="DP375" s="862"/>
      <c r="DQ375" s="862"/>
      <c r="DR375" s="862"/>
      <c r="DS375" s="862"/>
      <c r="DT375" s="862"/>
      <c r="DU375" s="862"/>
      <c r="FW375" s="382"/>
      <c r="FX375" s="1757"/>
      <c r="FY375" s="1757"/>
      <c r="FZ375" s="1757"/>
      <c r="GA375" s="1757"/>
      <c r="GB375" s="1757"/>
      <c r="GC375" s="1757"/>
      <c r="GD375" s="1757"/>
      <c r="GE375" s="1757"/>
      <c r="GF375" s="1757"/>
      <c r="GG375" s="1757"/>
      <c r="GH375" s="1757"/>
      <c r="GI375" s="1757"/>
      <c r="GJ375" s="473"/>
    </row>
    <row r="376" spans="112:192">
      <c r="DH376" s="862"/>
      <c r="DI376" s="862"/>
      <c r="DJ376" s="862"/>
      <c r="DK376" s="862"/>
      <c r="DL376" s="862"/>
      <c r="DM376" s="862"/>
      <c r="DN376" s="862"/>
      <c r="DO376" s="862"/>
      <c r="DP376" s="862"/>
      <c r="DQ376" s="862"/>
      <c r="DR376" s="862"/>
      <c r="DS376" s="862"/>
      <c r="DT376" s="862"/>
      <c r="DU376" s="862"/>
      <c r="FW376" s="382"/>
      <c r="FX376" s="1757"/>
      <c r="FY376" s="1757"/>
      <c r="FZ376" s="1757"/>
      <c r="GA376" s="1757"/>
      <c r="GB376" s="1757"/>
      <c r="GC376" s="1757"/>
      <c r="GD376" s="1757"/>
      <c r="GE376" s="1757"/>
      <c r="GF376" s="1757"/>
      <c r="GG376" s="1757"/>
      <c r="GH376" s="1757"/>
      <c r="GI376" s="1757"/>
      <c r="GJ376" s="473"/>
    </row>
    <row r="377" spans="112:192">
      <c r="DH377" s="862"/>
      <c r="DI377" s="862"/>
      <c r="DJ377" s="862"/>
      <c r="DK377" s="862"/>
      <c r="DL377" s="862"/>
      <c r="DM377" s="862"/>
      <c r="DN377" s="862"/>
      <c r="DO377" s="862"/>
      <c r="DP377" s="862"/>
      <c r="DQ377" s="862"/>
      <c r="DR377" s="862"/>
      <c r="DS377" s="862"/>
      <c r="DT377" s="862"/>
      <c r="DU377" s="862"/>
      <c r="FW377" s="382"/>
      <c r="FX377" s="1757"/>
      <c r="FY377" s="1757"/>
      <c r="FZ377" s="1757"/>
      <c r="GA377" s="1757"/>
      <c r="GB377" s="1757"/>
      <c r="GC377" s="1757"/>
      <c r="GD377" s="1757"/>
      <c r="GE377" s="1757"/>
      <c r="GF377" s="1757"/>
      <c r="GG377" s="1757"/>
      <c r="GH377" s="1757"/>
      <c r="GI377" s="1757"/>
      <c r="GJ377" s="473"/>
    </row>
    <row r="378" spans="112:192">
      <c r="DH378" s="862"/>
      <c r="DI378" s="862"/>
      <c r="DJ378" s="862"/>
      <c r="DK378" s="862"/>
      <c r="DL378" s="862"/>
      <c r="DM378" s="862"/>
      <c r="DN378" s="862"/>
      <c r="DO378" s="862"/>
      <c r="DP378" s="862"/>
      <c r="DQ378" s="862"/>
      <c r="DR378" s="862"/>
      <c r="DS378" s="862"/>
      <c r="DT378" s="862"/>
      <c r="DU378" s="862"/>
      <c r="FW378" s="382"/>
      <c r="FX378" s="1757"/>
      <c r="FY378" s="1757"/>
      <c r="FZ378" s="1757"/>
      <c r="GA378" s="1757"/>
      <c r="GB378" s="1757"/>
      <c r="GC378" s="1757"/>
      <c r="GD378" s="1757"/>
      <c r="GE378" s="1757"/>
      <c r="GF378" s="1757"/>
      <c r="GG378" s="1757"/>
      <c r="GH378" s="1757"/>
      <c r="GI378" s="1757"/>
      <c r="GJ378" s="473"/>
    </row>
    <row r="379" spans="112:192">
      <c r="DH379" s="862"/>
      <c r="DI379" s="862"/>
      <c r="DJ379" s="862"/>
      <c r="DK379" s="862"/>
      <c r="DL379" s="862"/>
      <c r="DM379" s="862"/>
      <c r="DN379" s="862"/>
      <c r="DO379" s="862"/>
      <c r="DP379" s="862"/>
      <c r="DQ379" s="862"/>
      <c r="DR379" s="862"/>
      <c r="DS379" s="862"/>
      <c r="DT379" s="862"/>
      <c r="DU379" s="862"/>
      <c r="FW379" s="382"/>
      <c r="FX379" s="1622"/>
      <c r="FY379" s="1622"/>
      <c r="FZ379" s="1622"/>
      <c r="GA379" s="1622"/>
      <c r="GB379" s="1622"/>
      <c r="GC379" s="1622"/>
      <c r="GD379" s="1622"/>
      <c r="GE379" s="1622"/>
      <c r="GF379" s="1622"/>
      <c r="GG379" s="1622"/>
      <c r="GH379" s="1622"/>
      <c r="GI379" s="1622"/>
      <c r="GJ379" s="918"/>
    </row>
    <row r="380" spans="112:192">
      <c r="DH380" s="862"/>
      <c r="DI380" s="862"/>
      <c r="DJ380" s="862"/>
      <c r="DK380" s="862"/>
      <c r="DL380" s="862"/>
      <c r="DM380" s="862"/>
      <c r="DN380" s="862"/>
      <c r="DO380" s="862"/>
      <c r="DP380" s="862"/>
      <c r="DQ380" s="862"/>
      <c r="DR380" s="862"/>
      <c r="DS380" s="862"/>
      <c r="DT380" s="862"/>
      <c r="DU380" s="862"/>
      <c r="FW380" s="451"/>
      <c r="FX380" s="382"/>
      <c r="FY380" s="382"/>
      <c r="FZ380" s="382"/>
      <c r="GA380" s="382"/>
      <c r="GB380" s="382"/>
      <c r="GC380" s="382"/>
      <c r="GD380" s="382"/>
      <c r="GE380" s="382"/>
      <c r="GF380" s="382"/>
      <c r="GG380" s="382"/>
      <c r="GH380" s="382"/>
      <c r="GI380" s="382"/>
      <c r="GJ380" s="382"/>
    </row>
    <row r="381" spans="112:192">
      <c r="DH381" s="862"/>
      <c r="DI381" s="862"/>
      <c r="DJ381" s="862"/>
      <c r="DK381" s="862"/>
      <c r="DL381" s="862"/>
      <c r="DM381" s="862"/>
      <c r="DN381" s="862"/>
      <c r="DO381" s="862"/>
      <c r="DP381" s="862"/>
      <c r="DQ381" s="862"/>
      <c r="DR381" s="862"/>
      <c r="DS381" s="862"/>
      <c r="DT381" s="862"/>
      <c r="DU381" s="862"/>
      <c r="FW381" s="451"/>
      <c r="FX381" s="382"/>
      <c r="FY381" s="382"/>
      <c r="FZ381" s="382"/>
      <c r="GA381" s="382"/>
      <c r="GB381" s="382"/>
      <c r="GC381" s="382"/>
      <c r="GD381" s="382"/>
      <c r="GE381" s="382"/>
      <c r="GF381" s="382"/>
      <c r="GG381" s="382"/>
      <c r="GH381" s="382"/>
      <c r="GI381" s="382"/>
      <c r="GJ381" s="382"/>
    </row>
    <row r="382" spans="112:192">
      <c r="DH382" s="862"/>
      <c r="DI382" s="862"/>
      <c r="DJ382" s="862"/>
      <c r="DK382" s="862"/>
      <c r="DL382" s="862"/>
      <c r="DM382" s="862"/>
      <c r="DN382" s="862"/>
      <c r="DO382" s="862"/>
      <c r="DP382" s="862"/>
      <c r="DQ382" s="862"/>
      <c r="DR382" s="862"/>
      <c r="DS382" s="862"/>
      <c r="DT382" s="862"/>
      <c r="DU382" s="862"/>
      <c r="FW382" s="451"/>
      <c r="FX382" s="382"/>
      <c r="FY382" s="382"/>
      <c r="FZ382" s="382"/>
      <c r="GA382" s="382"/>
      <c r="GB382" s="382"/>
      <c r="GC382" s="382"/>
      <c r="GD382" s="382"/>
      <c r="GE382" s="382"/>
      <c r="GF382" s="382"/>
      <c r="GG382" s="382"/>
      <c r="GH382" s="382"/>
      <c r="GI382" s="382"/>
      <c r="GJ382" s="382"/>
    </row>
    <row r="383" spans="112:192">
      <c r="DH383" s="862"/>
      <c r="DI383" s="862"/>
      <c r="DJ383" s="862"/>
      <c r="DK383" s="862"/>
      <c r="DL383" s="862"/>
      <c r="DM383" s="862"/>
      <c r="DN383" s="862"/>
      <c r="DO383" s="862"/>
      <c r="DP383" s="862"/>
      <c r="DQ383" s="862"/>
      <c r="DR383" s="862"/>
      <c r="DS383" s="862"/>
      <c r="DT383" s="862"/>
      <c r="DU383" s="862"/>
    </row>
    <row r="384" spans="112:192">
      <c r="DH384" s="862"/>
      <c r="DI384" s="862"/>
      <c r="DJ384" s="862"/>
      <c r="DK384" s="862"/>
      <c r="DL384" s="862"/>
      <c r="DM384" s="862"/>
      <c r="DN384" s="862"/>
      <c r="DO384" s="862"/>
      <c r="DP384" s="862"/>
      <c r="DQ384" s="862"/>
      <c r="DR384" s="862"/>
      <c r="DS384" s="862"/>
      <c r="DT384" s="862"/>
      <c r="DU384" s="862"/>
      <c r="FG384" s="862"/>
      <c r="FW384" s="995"/>
      <c r="FZ384" s="886"/>
      <c r="GJ384" s="886"/>
    </row>
    <row r="385" spans="112:192">
      <c r="DH385" s="862"/>
      <c r="DI385" s="862"/>
      <c r="DJ385" s="862"/>
      <c r="DK385" s="862"/>
      <c r="DL385" s="862"/>
      <c r="DM385" s="862"/>
      <c r="DN385" s="862"/>
      <c r="DO385" s="862"/>
      <c r="DP385" s="862"/>
      <c r="DQ385" s="862"/>
      <c r="DR385" s="862"/>
      <c r="DS385" s="862"/>
      <c r="DT385" s="862"/>
      <c r="DU385" s="862"/>
    </row>
    <row r="386" spans="112:192">
      <c r="DH386" s="862"/>
      <c r="DI386" s="862"/>
      <c r="DJ386" s="862"/>
      <c r="DK386" s="862"/>
      <c r="DL386" s="862"/>
      <c r="DM386" s="862"/>
      <c r="DN386" s="862"/>
      <c r="DO386" s="862"/>
      <c r="DP386" s="862"/>
      <c r="DQ386" s="862"/>
      <c r="DR386" s="862"/>
      <c r="DS386" s="862"/>
      <c r="DT386" s="862"/>
      <c r="DU386" s="862"/>
    </row>
    <row r="387" spans="112:192">
      <c r="DH387" s="862"/>
      <c r="DI387" s="862"/>
      <c r="DJ387" s="862"/>
      <c r="DK387" s="862"/>
      <c r="DL387" s="862"/>
      <c r="DM387" s="862"/>
      <c r="DN387" s="862"/>
      <c r="DO387" s="862"/>
      <c r="DP387" s="862"/>
      <c r="DQ387" s="862"/>
      <c r="DR387" s="862"/>
      <c r="DS387" s="862"/>
      <c r="DT387" s="862"/>
      <c r="DU387" s="862"/>
      <c r="FW387" s="2348"/>
      <c r="FX387" s="2348"/>
      <c r="FY387" s="2348"/>
      <c r="FZ387" s="2348"/>
      <c r="GA387" s="2348"/>
      <c r="GB387" s="2348"/>
      <c r="GC387" s="2348"/>
      <c r="GD387" s="2348"/>
      <c r="GE387" s="2348"/>
      <c r="GF387" s="2348"/>
      <c r="GG387" s="2348"/>
      <c r="GH387" s="2348"/>
      <c r="GI387" s="2348"/>
    </row>
    <row r="388" spans="112:192">
      <c r="DH388" s="862"/>
      <c r="DI388" s="862"/>
      <c r="DJ388" s="862"/>
      <c r="DK388" s="862"/>
      <c r="DL388" s="862"/>
      <c r="DM388" s="862"/>
      <c r="DN388" s="862"/>
      <c r="DO388" s="862"/>
      <c r="DP388" s="862"/>
      <c r="DQ388" s="862"/>
      <c r="DR388" s="862"/>
      <c r="DS388" s="862"/>
      <c r="DT388" s="862"/>
      <c r="DU388" s="862"/>
      <c r="FW388" s="861"/>
      <c r="FX388" s="861"/>
      <c r="FY388" s="861"/>
      <c r="FZ388" s="861"/>
      <c r="GA388" s="861"/>
      <c r="GB388" s="861"/>
      <c r="GC388" s="861"/>
      <c r="GD388" s="861"/>
      <c r="GE388" s="861"/>
      <c r="GF388" s="861"/>
      <c r="GG388" s="861"/>
      <c r="GH388" s="861"/>
      <c r="GI388" s="861"/>
    </row>
    <row r="389" spans="112:192">
      <c r="DH389" s="862"/>
      <c r="DI389" s="862"/>
      <c r="DJ389" s="862"/>
      <c r="DK389" s="862"/>
      <c r="DL389" s="862"/>
      <c r="DM389" s="862"/>
      <c r="DN389" s="862"/>
      <c r="DO389" s="862"/>
      <c r="DP389" s="862"/>
      <c r="DQ389" s="862"/>
      <c r="DR389" s="862"/>
      <c r="DS389" s="862"/>
      <c r="DT389" s="862"/>
      <c r="DU389" s="862"/>
      <c r="FW389" s="861"/>
      <c r="FX389" s="562"/>
      <c r="FY389" s="562"/>
      <c r="FZ389" s="562"/>
      <c r="GA389" s="562"/>
      <c r="GB389" s="562"/>
      <c r="GC389" s="562"/>
      <c r="GD389" s="562"/>
      <c r="GE389" s="562"/>
      <c r="GF389" s="562"/>
      <c r="GG389" s="562"/>
      <c r="GH389" s="562"/>
      <c r="GI389" s="562"/>
    </row>
    <row r="390" spans="112:192">
      <c r="DH390" s="862"/>
      <c r="DI390" s="862"/>
      <c r="DJ390" s="862"/>
      <c r="DK390" s="862"/>
      <c r="DL390" s="862"/>
      <c r="DM390" s="862"/>
      <c r="DN390" s="862"/>
      <c r="DO390" s="862"/>
      <c r="DP390" s="862"/>
      <c r="DQ390" s="862"/>
      <c r="DR390" s="862"/>
      <c r="DS390" s="862"/>
      <c r="DT390" s="862"/>
      <c r="DU390" s="862"/>
      <c r="FW390" s="861"/>
      <c r="FX390" s="562"/>
      <c r="FY390" s="562"/>
      <c r="FZ390" s="562"/>
      <c r="GA390" s="562"/>
      <c r="GB390" s="562"/>
      <c r="GC390" s="562"/>
      <c r="GD390" s="562"/>
      <c r="GE390" s="562"/>
      <c r="GF390" s="562"/>
      <c r="GG390" s="562"/>
      <c r="GH390" s="562"/>
      <c r="GI390" s="562"/>
    </row>
    <row r="391" spans="112:192">
      <c r="DH391" s="862"/>
      <c r="DI391" s="862"/>
      <c r="DJ391" s="862"/>
      <c r="DK391" s="862"/>
      <c r="DL391" s="862"/>
      <c r="DM391" s="862"/>
      <c r="DN391" s="862"/>
      <c r="DO391" s="862"/>
      <c r="DP391" s="862"/>
      <c r="DQ391" s="862"/>
      <c r="DR391" s="862"/>
      <c r="DS391" s="862"/>
      <c r="DT391" s="862"/>
      <c r="DU391" s="862"/>
      <c r="FW391" s="861"/>
      <c r="FX391" s="562"/>
      <c r="FY391" s="562"/>
      <c r="FZ391" s="562"/>
      <c r="GA391" s="562"/>
      <c r="GB391" s="562"/>
      <c r="GC391" s="562"/>
      <c r="GD391" s="562"/>
      <c r="GE391" s="562"/>
      <c r="GF391" s="562"/>
      <c r="GG391" s="562"/>
      <c r="GH391" s="562"/>
      <c r="GI391" s="562"/>
      <c r="GJ391" s="382"/>
    </row>
    <row r="392" spans="112:192">
      <c r="DH392" s="862"/>
      <c r="DI392" s="862"/>
      <c r="DJ392" s="862"/>
      <c r="DK392" s="862"/>
      <c r="DL392" s="862"/>
      <c r="DM392" s="862"/>
      <c r="DN392" s="862"/>
      <c r="DO392" s="862"/>
      <c r="DP392" s="862"/>
      <c r="DQ392" s="862"/>
      <c r="DR392" s="862"/>
      <c r="DS392" s="862"/>
      <c r="DT392" s="862"/>
      <c r="DU392" s="862"/>
      <c r="FG392" s="525"/>
      <c r="FW392" s="861"/>
      <c r="FX392" s="562"/>
      <c r="FY392" s="562"/>
      <c r="FZ392" s="562"/>
      <c r="GA392" s="562"/>
      <c r="GB392" s="562"/>
      <c r="GC392" s="562"/>
      <c r="GD392" s="562"/>
      <c r="GE392" s="562"/>
      <c r="GF392" s="562"/>
      <c r="GG392" s="562"/>
      <c r="GH392" s="562"/>
      <c r="GI392" s="562"/>
      <c r="GJ392" s="382"/>
    </row>
    <row r="393" spans="112:192">
      <c r="FW393" s="861"/>
      <c r="FX393" s="562"/>
      <c r="FY393" s="562"/>
      <c r="FZ393" s="562"/>
      <c r="GA393" s="562"/>
      <c r="GB393" s="562"/>
      <c r="GC393" s="562"/>
      <c r="GD393" s="562"/>
      <c r="GE393" s="562"/>
      <c r="GF393" s="562"/>
      <c r="GG393" s="562"/>
      <c r="GH393" s="562"/>
      <c r="GI393" s="562"/>
      <c r="GJ393" s="414"/>
    </row>
    <row r="394" spans="112:192">
      <c r="DH394" s="862"/>
      <c r="DI394" s="862"/>
      <c r="DJ394" s="862"/>
      <c r="DK394" s="862"/>
      <c r="DL394" s="862"/>
      <c r="DM394" s="862"/>
      <c r="DN394" s="862"/>
      <c r="DO394" s="862"/>
      <c r="DP394" s="862"/>
      <c r="DQ394" s="862"/>
      <c r="DR394" s="862"/>
      <c r="DS394" s="862"/>
      <c r="DT394" s="862"/>
      <c r="DU394" s="862"/>
      <c r="FW394" s="861"/>
      <c r="FX394" s="562"/>
      <c r="FY394" s="562"/>
      <c r="FZ394" s="562"/>
      <c r="GA394" s="562"/>
      <c r="GB394" s="562"/>
      <c r="GC394" s="562"/>
      <c r="GD394" s="562"/>
      <c r="GE394" s="562"/>
      <c r="GF394" s="562"/>
      <c r="GG394" s="562"/>
      <c r="GH394" s="562"/>
      <c r="GI394" s="562"/>
      <c r="GJ394" s="414"/>
    </row>
    <row r="395" spans="112:192">
      <c r="DH395" s="862"/>
      <c r="DI395" s="862"/>
      <c r="DJ395" s="862"/>
      <c r="DK395" s="862"/>
      <c r="DL395" s="862"/>
      <c r="DM395" s="862"/>
      <c r="DN395" s="862"/>
      <c r="DO395" s="862"/>
      <c r="DP395" s="862"/>
      <c r="DQ395" s="862"/>
      <c r="DR395" s="862"/>
      <c r="DS395" s="862"/>
      <c r="DT395" s="862"/>
      <c r="DU395" s="862"/>
      <c r="FW395" s="861"/>
      <c r="FX395" s="562"/>
      <c r="FY395" s="562"/>
      <c r="FZ395" s="562"/>
      <c r="GA395" s="562"/>
      <c r="GB395" s="562"/>
      <c r="GC395" s="562"/>
      <c r="GD395" s="562"/>
      <c r="GE395" s="562"/>
      <c r="GF395" s="562"/>
      <c r="GG395" s="562"/>
      <c r="GH395" s="562"/>
      <c r="GI395" s="562"/>
    </row>
    <row r="396" spans="112:192">
      <c r="DH396" s="862"/>
      <c r="DI396" s="862"/>
      <c r="DJ396" s="862"/>
      <c r="DK396" s="862"/>
      <c r="DL396" s="862"/>
      <c r="DM396" s="862"/>
      <c r="DN396" s="862"/>
      <c r="DO396" s="862"/>
      <c r="DP396" s="862"/>
      <c r="DQ396" s="862"/>
      <c r="DR396" s="862"/>
      <c r="DS396" s="862"/>
      <c r="DT396" s="862"/>
      <c r="DU396" s="862"/>
      <c r="FW396" s="549"/>
      <c r="FX396" s="549"/>
      <c r="FY396" s="549"/>
      <c r="FZ396" s="549"/>
      <c r="GA396" s="549"/>
      <c r="GB396" s="549"/>
      <c r="GC396" s="549"/>
      <c r="GD396" s="549"/>
      <c r="GE396" s="549"/>
      <c r="GF396" s="549"/>
      <c r="GG396" s="549"/>
      <c r="GH396" s="549"/>
      <c r="GI396" s="549"/>
      <c r="GJ396" s="1748"/>
    </row>
    <row r="397" spans="112:192">
      <c r="DH397" s="862"/>
      <c r="DI397" s="862"/>
      <c r="DJ397" s="862"/>
      <c r="DK397" s="862"/>
      <c r="DL397" s="862"/>
      <c r="DM397" s="862"/>
      <c r="DN397" s="862"/>
      <c r="DO397" s="862"/>
      <c r="DP397" s="862"/>
      <c r="DQ397" s="862"/>
      <c r="DR397" s="862"/>
      <c r="DS397" s="862"/>
      <c r="DT397" s="862"/>
      <c r="DU397" s="862"/>
      <c r="FW397" s="861"/>
      <c r="FX397" s="549"/>
      <c r="FY397" s="549"/>
      <c r="FZ397" s="549"/>
      <c r="GA397" s="549"/>
      <c r="GB397" s="549"/>
      <c r="GC397" s="549"/>
      <c r="GD397" s="549"/>
      <c r="GE397" s="549"/>
      <c r="GF397" s="549"/>
      <c r="GG397" s="549"/>
      <c r="GH397" s="549"/>
      <c r="GI397" s="549"/>
      <c r="GJ397" s="1748"/>
    </row>
    <row r="398" spans="112:192">
      <c r="DH398" s="862"/>
      <c r="DI398" s="862"/>
      <c r="DJ398" s="862"/>
      <c r="DK398" s="862"/>
      <c r="DL398" s="862"/>
      <c r="DM398" s="862"/>
      <c r="DN398" s="862"/>
      <c r="DO398" s="862"/>
      <c r="DP398" s="862"/>
      <c r="DQ398" s="862"/>
      <c r="DR398" s="862"/>
      <c r="DS398" s="862"/>
      <c r="DT398" s="862"/>
      <c r="DU398" s="862"/>
      <c r="FW398" s="1748"/>
      <c r="FX398" s="1748"/>
      <c r="FY398" s="1748"/>
      <c r="FZ398" s="1748"/>
      <c r="GA398" s="1748"/>
      <c r="GB398" s="1748"/>
      <c r="GC398" s="1748"/>
      <c r="GD398" s="1748"/>
      <c r="GE398" s="1748"/>
      <c r="GF398" s="1748"/>
      <c r="GG398" s="1748"/>
      <c r="GH398" s="1748"/>
      <c r="GI398" s="1748"/>
      <c r="GJ398" s="1748"/>
    </row>
    <row r="400" spans="112:192">
      <c r="DH400" s="862"/>
      <c r="DI400" s="862"/>
      <c r="DJ400" s="862"/>
      <c r="DK400" s="862"/>
      <c r="DL400" s="862"/>
      <c r="DM400" s="862"/>
      <c r="DN400" s="862"/>
      <c r="DO400" s="862"/>
      <c r="DP400" s="862"/>
      <c r="DQ400" s="862"/>
      <c r="DR400" s="862"/>
      <c r="DS400" s="862"/>
      <c r="DT400" s="862"/>
      <c r="DU400" s="862"/>
      <c r="FW400" s="1748"/>
      <c r="FX400" s="1748"/>
      <c r="FY400" s="1748"/>
      <c r="FZ400" s="1748"/>
      <c r="GA400" s="1748"/>
      <c r="GB400" s="1748"/>
      <c r="GC400" s="1748"/>
      <c r="GD400" s="1748"/>
      <c r="GE400" s="1748"/>
      <c r="GF400" s="1748"/>
      <c r="GG400" s="1748"/>
      <c r="GH400" s="1748"/>
      <c r="GI400" s="1748"/>
      <c r="GJ400" s="1748"/>
    </row>
    <row r="401" spans="112:192">
      <c r="DH401" s="862"/>
      <c r="DI401" s="862"/>
      <c r="DJ401" s="862"/>
      <c r="DK401" s="862"/>
      <c r="DL401" s="862"/>
      <c r="DM401" s="862"/>
      <c r="DN401" s="862"/>
      <c r="DO401" s="862"/>
      <c r="DP401" s="862"/>
      <c r="DQ401" s="862"/>
      <c r="DR401" s="862"/>
      <c r="DS401" s="862"/>
      <c r="DT401" s="862"/>
      <c r="DU401" s="862"/>
      <c r="FW401" s="2348"/>
      <c r="FX401" s="2348"/>
      <c r="FY401" s="2348"/>
      <c r="FZ401" s="2348"/>
      <c r="GA401" s="2348"/>
      <c r="GB401" s="2348"/>
      <c r="GC401" s="2348"/>
      <c r="GD401" s="2348"/>
      <c r="GE401" s="2348"/>
      <c r="GF401" s="2348"/>
      <c r="GG401" s="2348"/>
      <c r="GH401" s="2348"/>
      <c r="GI401" s="2348"/>
      <c r="GJ401" s="1748"/>
    </row>
    <row r="402" spans="112:192">
      <c r="DH402" s="862"/>
      <c r="DI402" s="862"/>
      <c r="DJ402" s="862"/>
      <c r="DK402" s="862"/>
      <c r="DL402" s="862"/>
      <c r="DM402" s="862"/>
      <c r="DN402" s="862"/>
      <c r="DO402" s="862"/>
      <c r="DP402" s="862"/>
      <c r="DQ402" s="862"/>
      <c r="DR402" s="862"/>
      <c r="DS402" s="862"/>
      <c r="DT402" s="862"/>
      <c r="DU402" s="862"/>
      <c r="FW402" s="861"/>
      <c r="FX402" s="861"/>
      <c r="FY402" s="861"/>
      <c r="FZ402" s="861"/>
      <c r="GA402" s="861"/>
      <c r="GB402" s="861"/>
      <c r="GC402" s="861"/>
      <c r="GD402" s="861"/>
      <c r="GE402" s="861"/>
      <c r="GF402" s="861"/>
      <c r="GG402" s="861"/>
      <c r="GH402" s="861"/>
      <c r="GI402" s="861"/>
      <c r="GJ402" s="1748"/>
    </row>
    <row r="403" spans="112:192">
      <c r="DH403" s="862"/>
      <c r="DI403" s="862"/>
      <c r="DJ403" s="862"/>
      <c r="DK403" s="862"/>
      <c r="DL403" s="862"/>
      <c r="DM403" s="862"/>
      <c r="DN403" s="862"/>
      <c r="DO403" s="862"/>
      <c r="DP403" s="862"/>
      <c r="DQ403" s="862"/>
      <c r="DR403" s="862"/>
      <c r="DS403" s="862"/>
      <c r="DT403" s="862"/>
      <c r="DU403" s="862"/>
      <c r="FW403" s="861"/>
      <c r="FX403" s="1631"/>
      <c r="FY403" s="1631"/>
      <c r="FZ403" s="1631"/>
      <c r="GA403" s="1631"/>
      <c r="GB403" s="1631"/>
      <c r="GC403" s="1631"/>
      <c r="GD403" s="1631"/>
      <c r="GE403" s="1631"/>
      <c r="GF403" s="1631"/>
      <c r="GG403" s="1631"/>
      <c r="GH403" s="1631"/>
      <c r="GI403" s="1631"/>
    </row>
    <row r="404" spans="112:192">
      <c r="DH404" s="862"/>
      <c r="DI404" s="862"/>
      <c r="DJ404" s="862"/>
      <c r="DK404" s="862"/>
      <c r="DL404" s="862"/>
      <c r="DM404" s="862"/>
      <c r="DN404" s="862"/>
      <c r="DO404" s="862"/>
      <c r="DP404" s="862"/>
      <c r="DQ404" s="862"/>
      <c r="DR404" s="862"/>
      <c r="DS404" s="862"/>
      <c r="DT404" s="862"/>
      <c r="DU404" s="862"/>
      <c r="FW404" s="861"/>
      <c r="FX404" s="1631"/>
      <c r="FY404" s="1631"/>
      <c r="FZ404" s="1631"/>
      <c r="GA404" s="1631"/>
      <c r="GB404" s="1631"/>
      <c r="GC404" s="1631"/>
      <c r="GD404" s="1631"/>
      <c r="GE404" s="1631"/>
      <c r="GF404" s="1631"/>
      <c r="GG404" s="1631"/>
      <c r="GH404" s="1631"/>
      <c r="GI404" s="1631"/>
    </row>
    <row r="405" spans="112:192">
      <c r="FW405" s="861"/>
      <c r="FX405" s="1631"/>
      <c r="FY405" s="1631"/>
      <c r="FZ405" s="1631"/>
      <c r="GA405" s="1631"/>
      <c r="GB405" s="1631"/>
      <c r="GC405" s="1631"/>
      <c r="GD405" s="1631"/>
      <c r="GE405" s="1631"/>
      <c r="GF405" s="1631"/>
      <c r="GG405" s="1631"/>
      <c r="GH405" s="1631"/>
      <c r="GI405" s="1631"/>
    </row>
    <row r="406" spans="112:192">
      <c r="FW406" s="861"/>
      <c r="FX406" s="1631"/>
      <c r="FY406" s="1631"/>
      <c r="FZ406" s="1631"/>
      <c r="GA406" s="1631"/>
      <c r="GB406" s="1631"/>
      <c r="GC406" s="1631"/>
      <c r="GD406" s="1631"/>
      <c r="GE406" s="1631"/>
      <c r="GF406" s="1631"/>
      <c r="GG406" s="1631"/>
      <c r="GH406" s="1631"/>
      <c r="GI406" s="1631"/>
    </row>
    <row r="407" spans="112:192">
      <c r="FW407" s="861"/>
      <c r="FX407" s="1631"/>
      <c r="FY407" s="1631"/>
      <c r="FZ407" s="1631"/>
      <c r="GA407" s="1631"/>
      <c r="GB407" s="1631"/>
      <c r="GC407" s="1631"/>
      <c r="GD407" s="1631"/>
      <c r="GE407" s="1631"/>
      <c r="GF407" s="1631"/>
      <c r="GG407" s="1631"/>
      <c r="GH407" s="1631"/>
      <c r="GI407" s="1631"/>
    </row>
    <row r="408" spans="112:192">
      <c r="FW408" s="861"/>
      <c r="FX408" s="562"/>
      <c r="FY408" s="562"/>
      <c r="FZ408" s="562"/>
      <c r="GA408" s="562"/>
      <c r="GB408" s="562"/>
      <c r="GC408" s="562"/>
      <c r="GD408" s="562"/>
      <c r="GE408" s="562"/>
      <c r="GF408" s="562"/>
      <c r="GG408" s="562"/>
      <c r="GH408" s="562"/>
      <c r="GI408" s="562"/>
    </row>
    <row r="409" spans="112:192">
      <c r="FW409" s="637"/>
    </row>
    <row r="410" spans="112:192">
      <c r="FW410" s="637"/>
    </row>
    <row r="411" spans="112:192">
      <c r="FW411" s="1793"/>
    </row>
    <row r="412" spans="112:192">
      <c r="FW412" s="2180"/>
      <c r="FX412" s="2180"/>
      <c r="FY412" s="2180"/>
      <c r="FZ412" s="2180"/>
      <c r="GA412" s="2180"/>
      <c r="GB412" s="2180"/>
      <c r="GC412" s="2180"/>
      <c r="GD412" s="2180"/>
      <c r="GE412" s="2180"/>
      <c r="GF412" s="2180"/>
      <c r="GG412" s="2180"/>
      <c r="GH412" s="2180"/>
      <c r="GI412" s="2180"/>
      <c r="GJ412" s="2180"/>
    </row>
    <row r="413" spans="112:192">
      <c r="FW413" s="382"/>
      <c r="FX413" s="439"/>
      <c r="FY413" s="439"/>
      <c r="FZ413" s="439"/>
      <c r="GA413" s="439"/>
      <c r="GB413" s="439"/>
      <c r="GC413" s="439"/>
      <c r="GD413" s="439"/>
      <c r="GE413" s="439"/>
      <c r="GF413" s="439"/>
      <c r="GG413" s="439"/>
      <c r="GH413" s="439"/>
      <c r="GI413" s="439"/>
      <c r="GJ413" s="439"/>
    </row>
    <row r="414" spans="112:192">
      <c r="FW414" s="382"/>
      <c r="FX414" s="1757"/>
      <c r="FY414" s="1757"/>
      <c r="FZ414" s="1757"/>
      <c r="GA414" s="1757"/>
      <c r="GB414" s="1757"/>
      <c r="GC414" s="1757"/>
      <c r="GD414" s="1757"/>
      <c r="GE414" s="1757"/>
      <c r="GF414" s="1757"/>
      <c r="GG414" s="1757"/>
      <c r="GH414" s="1757"/>
      <c r="GI414" s="1757"/>
      <c r="GJ414" s="473"/>
    </row>
    <row r="415" spans="112:192">
      <c r="FW415" s="382"/>
      <c r="FX415" s="1757"/>
      <c r="FY415" s="1757"/>
      <c r="FZ415" s="1757"/>
      <c r="GA415" s="1757"/>
      <c r="GB415" s="1757"/>
      <c r="GC415" s="1757"/>
      <c r="GD415" s="1757"/>
      <c r="GE415" s="1757"/>
      <c r="GF415" s="1757"/>
      <c r="GG415" s="1757"/>
      <c r="GH415" s="1757"/>
      <c r="GI415" s="1757"/>
      <c r="GJ415" s="473"/>
    </row>
    <row r="416" spans="112:192">
      <c r="FW416" s="382"/>
      <c r="FX416" s="1757"/>
      <c r="FY416" s="1757"/>
      <c r="FZ416" s="1757"/>
      <c r="GA416" s="1757"/>
      <c r="GB416" s="1757"/>
      <c r="GC416" s="1757"/>
      <c r="GD416" s="1757"/>
      <c r="GE416" s="1757"/>
      <c r="GF416" s="1757"/>
      <c r="GG416" s="1757"/>
      <c r="GH416" s="1757"/>
      <c r="GI416" s="1757"/>
      <c r="GJ416" s="473"/>
    </row>
    <row r="417" spans="110:192">
      <c r="DG417" s="525"/>
      <c r="FW417" s="382"/>
      <c r="FX417" s="1757"/>
      <c r="FY417" s="1757"/>
      <c r="FZ417" s="1757"/>
      <c r="GA417" s="1757"/>
      <c r="GB417" s="1757"/>
      <c r="GC417" s="1757"/>
      <c r="GD417" s="1757"/>
      <c r="GE417" s="1757"/>
      <c r="GF417" s="1757"/>
      <c r="GG417" s="1757"/>
      <c r="GH417" s="1757"/>
      <c r="GI417" s="1757"/>
      <c r="GJ417" s="473"/>
    </row>
    <row r="418" spans="110:192">
      <c r="FW418" s="382"/>
      <c r="FX418" s="1757"/>
      <c r="FY418" s="1757"/>
      <c r="FZ418" s="1757"/>
      <c r="GA418" s="1757"/>
      <c r="GB418" s="1757"/>
      <c r="GC418" s="1757"/>
      <c r="GD418" s="1757"/>
      <c r="GE418" s="1757"/>
      <c r="GF418" s="1757"/>
      <c r="GG418" s="1757"/>
      <c r="GH418" s="1757"/>
      <c r="GI418" s="1757"/>
      <c r="GJ418" s="473"/>
    </row>
    <row r="419" spans="110:192">
      <c r="ES419" s="525"/>
      <c r="FW419" s="382"/>
      <c r="FX419" s="1622"/>
      <c r="FY419" s="1622"/>
      <c r="FZ419" s="1622"/>
      <c r="GA419" s="1622"/>
      <c r="GB419" s="1622"/>
      <c r="GC419" s="1622"/>
      <c r="GD419" s="1622"/>
      <c r="GE419" s="1622"/>
      <c r="GF419" s="1622"/>
      <c r="GG419" s="1622"/>
      <c r="GH419" s="1622"/>
      <c r="GI419" s="1622"/>
      <c r="GJ419" s="1622"/>
    </row>
    <row r="420" spans="110:192">
      <c r="FW420" s="451"/>
      <c r="FX420" s="382"/>
      <c r="FY420" s="382"/>
      <c r="FZ420" s="382"/>
      <c r="GA420" s="382"/>
      <c r="GB420" s="382"/>
      <c r="GC420" s="382"/>
      <c r="GD420" s="382"/>
      <c r="GE420" s="382"/>
      <c r="GF420" s="382"/>
      <c r="GG420" s="382"/>
      <c r="GH420" s="382"/>
      <c r="GI420" s="382"/>
      <c r="GJ420" s="382"/>
    </row>
    <row r="421" spans="110:192">
      <c r="DO421" s="1796"/>
      <c r="DP421" s="1796"/>
      <c r="DR421" s="1796"/>
      <c r="DT421" s="1796"/>
      <c r="FW421" s="451"/>
      <c r="FX421" s="382"/>
      <c r="FY421" s="382"/>
      <c r="FZ421" s="382"/>
      <c r="GA421" s="382"/>
      <c r="GB421" s="382"/>
      <c r="GC421" s="382"/>
      <c r="GD421" s="382"/>
      <c r="GE421" s="382"/>
      <c r="GF421" s="382"/>
      <c r="GG421" s="382"/>
      <c r="GH421" s="382"/>
      <c r="GI421" s="382"/>
      <c r="GJ421" s="382"/>
    </row>
    <row r="422" spans="110:192">
      <c r="FW422" s="451"/>
      <c r="FX422" s="382"/>
      <c r="FY422" s="382"/>
      <c r="FZ422" s="382"/>
      <c r="GA422" s="382"/>
      <c r="GB422" s="382"/>
      <c r="GC422" s="382"/>
      <c r="GD422" s="382"/>
      <c r="GE422" s="382"/>
      <c r="GF422" s="382"/>
      <c r="GG422" s="382"/>
      <c r="GH422" s="382"/>
      <c r="GI422" s="382"/>
      <c r="GJ422" s="382"/>
    </row>
    <row r="424" spans="110:192">
      <c r="FW424" s="995"/>
      <c r="FZ424" s="886"/>
      <c r="GJ424" s="886"/>
    </row>
    <row r="425" spans="110:192">
      <c r="DF425" s="585" t="s">
        <v>8496</v>
      </c>
      <c r="DG425" s="585" t="s">
        <v>8497</v>
      </c>
    </row>
    <row r="426" spans="110:192">
      <c r="DF426" s="585" t="s">
        <v>8498</v>
      </c>
    </row>
    <row r="427" spans="110:192">
      <c r="FW427" s="2348"/>
      <c r="FX427" s="2348"/>
      <c r="FY427" s="2348"/>
      <c r="FZ427" s="2348"/>
      <c r="GA427" s="2348"/>
      <c r="GB427" s="2348"/>
      <c r="GC427" s="2348"/>
      <c r="GD427" s="2348"/>
      <c r="GE427" s="2348"/>
      <c r="GF427" s="2348"/>
      <c r="GG427" s="2348"/>
      <c r="GH427" s="2348"/>
      <c r="GI427" s="2348"/>
    </row>
    <row r="428" spans="110:192">
      <c r="DF428" s="585" t="s">
        <v>8499</v>
      </c>
      <c r="DG428" s="585" t="s">
        <v>8500</v>
      </c>
      <c r="FW428" s="861"/>
      <c r="FX428" s="861"/>
      <c r="FY428" s="861"/>
      <c r="FZ428" s="861"/>
      <c r="GA428" s="861"/>
      <c r="GB428" s="861"/>
      <c r="GC428" s="861"/>
      <c r="GD428" s="861"/>
      <c r="GE428" s="861"/>
      <c r="GF428" s="861"/>
      <c r="GG428" s="861"/>
      <c r="GH428" s="861"/>
      <c r="GI428" s="861"/>
    </row>
    <row r="429" spans="110:192">
      <c r="DF429" s="585" t="s">
        <v>8501</v>
      </c>
      <c r="DG429" s="585" t="s">
        <v>4963</v>
      </c>
      <c r="FW429" s="861"/>
      <c r="FX429" s="562"/>
      <c r="FY429" s="562"/>
      <c r="FZ429" s="562"/>
      <c r="GA429" s="562"/>
      <c r="GB429" s="562"/>
      <c r="GC429" s="562"/>
      <c r="GD429" s="562"/>
      <c r="GE429" s="562"/>
      <c r="GF429" s="562"/>
      <c r="GG429" s="562"/>
      <c r="GH429" s="562"/>
      <c r="GI429" s="562"/>
    </row>
    <row r="430" spans="110:192">
      <c r="FW430" s="861"/>
      <c r="FX430" s="562"/>
      <c r="FY430" s="562"/>
      <c r="FZ430" s="562"/>
      <c r="GA430" s="562"/>
      <c r="GB430" s="562"/>
      <c r="GC430" s="562"/>
      <c r="GD430" s="562"/>
      <c r="GE430" s="562"/>
      <c r="GF430" s="562"/>
      <c r="GG430" s="562"/>
      <c r="GH430" s="562"/>
      <c r="GI430" s="562"/>
    </row>
    <row r="431" spans="110:192">
      <c r="FW431" s="861"/>
      <c r="FX431" s="562"/>
      <c r="FY431" s="562"/>
      <c r="FZ431" s="562"/>
      <c r="GA431" s="562"/>
      <c r="GB431" s="562"/>
      <c r="GC431" s="562"/>
      <c r="GD431" s="562"/>
      <c r="GE431" s="562"/>
      <c r="GF431" s="562"/>
      <c r="GG431" s="562"/>
      <c r="GH431" s="562"/>
      <c r="GI431" s="562"/>
      <c r="GJ431" s="382"/>
    </row>
    <row r="432" spans="110:192">
      <c r="FW432" s="861"/>
      <c r="FX432" s="562"/>
      <c r="FY432" s="562"/>
      <c r="FZ432" s="562"/>
      <c r="GA432" s="562"/>
      <c r="GB432" s="562"/>
      <c r="GC432" s="562"/>
      <c r="GD432" s="562"/>
      <c r="GE432" s="562"/>
      <c r="GF432" s="562"/>
      <c r="GG432" s="562"/>
      <c r="GH432" s="562"/>
      <c r="GI432" s="562"/>
      <c r="GJ432" s="382"/>
    </row>
    <row r="433" spans="179:192">
      <c r="FW433" s="861"/>
      <c r="FX433" s="562"/>
      <c r="FY433" s="562"/>
      <c r="FZ433" s="562"/>
      <c r="GA433" s="562"/>
      <c r="GB433" s="562"/>
      <c r="GC433" s="562"/>
      <c r="GD433" s="562"/>
      <c r="GE433" s="562"/>
      <c r="GF433" s="562"/>
      <c r="GG433" s="562"/>
      <c r="GH433" s="562"/>
      <c r="GI433" s="562"/>
      <c r="GJ433" s="414"/>
    </row>
    <row r="434" spans="179:192">
      <c r="FW434" s="861"/>
      <c r="FX434" s="562"/>
      <c r="FY434" s="562"/>
      <c r="FZ434" s="562"/>
      <c r="GA434" s="562"/>
      <c r="GB434" s="562"/>
      <c r="GC434" s="562"/>
      <c r="GD434" s="562"/>
      <c r="GE434" s="562"/>
      <c r="GF434" s="562"/>
      <c r="GG434" s="562"/>
      <c r="GH434" s="562"/>
      <c r="GI434" s="562"/>
      <c r="GJ434" s="414"/>
    </row>
    <row r="435" spans="179:192">
      <c r="FW435" s="861"/>
      <c r="FX435" s="562"/>
      <c r="FY435" s="562"/>
      <c r="FZ435" s="562"/>
      <c r="GA435" s="562"/>
      <c r="GB435" s="562"/>
      <c r="GC435" s="562"/>
      <c r="GD435" s="562"/>
      <c r="GE435" s="562"/>
      <c r="GF435" s="562"/>
      <c r="GG435" s="562"/>
      <c r="GH435" s="562"/>
      <c r="GI435" s="562"/>
    </row>
    <row r="436" spans="179:192">
      <c r="FW436" s="549"/>
      <c r="FX436" s="549"/>
      <c r="FY436" s="549"/>
      <c r="FZ436" s="549"/>
      <c r="GA436" s="549"/>
      <c r="GB436" s="549"/>
      <c r="GC436" s="549"/>
      <c r="GD436" s="549"/>
      <c r="GE436" s="549"/>
      <c r="GF436" s="549"/>
      <c r="GG436" s="549"/>
      <c r="GH436" s="549"/>
      <c r="GI436" s="549"/>
      <c r="GJ436" s="1748"/>
    </row>
    <row r="437" spans="179:192">
      <c r="FW437" s="861"/>
      <c r="FX437" s="549"/>
      <c r="FY437" s="549"/>
      <c r="FZ437" s="549"/>
      <c r="GA437" s="549"/>
      <c r="GB437" s="549"/>
      <c r="GC437" s="549"/>
      <c r="GD437" s="549"/>
      <c r="GE437" s="549"/>
      <c r="GF437" s="549"/>
      <c r="GG437" s="549"/>
      <c r="GH437" s="549"/>
      <c r="GI437" s="549"/>
      <c r="GJ437" s="1748"/>
    </row>
    <row r="438" spans="179:192">
      <c r="FW438" s="1748"/>
      <c r="FX438" s="1748"/>
      <c r="FY438" s="1748"/>
      <c r="FZ438" s="1748"/>
      <c r="GA438" s="1748"/>
      <c r="GB438" s="1748"/>
      <c r="GC438" s="1748"/>
      <c r="GD438" s="1748"/>
      <c r="GE438" s="1748"/>
      <c r="GF438" s="1748"/>
      <c r="GG438" s="1748"/>
      <c r="GH438" s="1748"/>
      <c r="GI438" s="1748"/>
      <c r="GJ438" s="1748"/>
    </row>
    <row r="440" spans="179:192">
      <c r="FW440" s="1748"/>
      <c r="FX440" s="1748"/>
      <c r="FY440" s="1748"/>
      <c r="FZ440" s="1748"/>
      <c r="GA440" s="1748"/>
      <c r="GB440" s="1748"/>
      <c r="GC440" s="1748"/>
      <c r="GD440" s="1748"/>
      <c r="GE440" s="1748"/>
      <c r="GF440" s="1748"/>
      <c r="GG440" s="1748"/>
      <c r="GH440" s="1748"/>
      <c r="GI440" s="1748"/>
      <c r="GJ440" s="1748"/>
    </row>
    <row r="441" spans="179:192">
      <c r="FW441" s="2348"/>
      <c r="FX441" s="2348"/>
      <c r="FY441" s="2348"/>
      <c r="FZ441" s="2348"/>
      <c r="GA441" s="2348"/>
      <c r="GB441" s="2348"/>
      <c r="GC441" s="2348"/>
      <c r="GD441" s="2348"/>
      <c r="GE441" s="2348"/>
      <c r="GF441" s="2348"/>
      <c r="GG441" s="2348"/>
      <c r="GH441" s="2348"/>
      <c r="GI441" s="2348"/>
      <c r="GJ441" s="1748"/>
    </row>
    <row r="442" spans="179:192">
      <c r="FW442" s="861"/>
      <c r="FX442" s="861"/>
      <c r="FY442" s="861"/>
      <c r="FZ442" s="861"/>
      <c r="GA442" s="861"/>
      <c r="GB442" s="861"/>
      <c r="GC442" s="861"/>
      <c r="GD442" s="861"/>
      <c r="GE442" s="861"/>
      <c r="GF442" s="861"/>
      <c r="GG442" s="861"/>
      <c r="GH442" s="861"/>
      <c r="GI442" s="861"/>
      <c r="GJ442" s="1748"/>
    </row>
    <row r="443" spans="179:192">
      <c r="FW443" s="861"/>
      <c r="FX443" s="1631"/>
      <c r="FY443" s="1631"/>
      <c r="FZ443" s="1631"/>
      <c r="GA443" s="1631"/>
      <c r="GB443" s="1631"/>
      <c r="GC443" s="1631"/>
      <c r="GD443" s="1631"/>
      <c r="GE443" s="1631"/>
      <c r="GF443" s="1631"/>
      <c r="GG443" s="1631"/>
      <c r="GH443" s="1631"/>
      <c r="GI443" s="1631"/>
    </row>
    <row r="444" spans="179:192">
      <c r="FW444" s="861"/>
      <c r="FX444" s="1631"/>
      <c r="FY444" s="1631"/>
      <c r="FZ444" s="1631"/>
      <c r="GA444" s="1631"/>
      <c r="GB444" s="1631"/>
      <c r="GC444" s="1631"/>
      <c r="GD444" s="1631"/>
      <c r="GE444" s="1631"/>
      <c r="GF444" s="1631"/>
      <c r="GG444" s="1631"/>
      <c r="GH444" s="1631"/>
      <c r="GI444" s="1631"/>
    </row>
    <row r="445" spans="179:192">
      <c r="FW445" s="861"/>
      <c r="FX445" s="1631"/>
      <c r="FY445" s="1631"/>
      <c r="FZ445" s="1631"/>
      <c r="GA445" s="1631"/>
      <c r="GB445" s="1631"/>
      <c r="GC445" s="1631"/>
      <c r="GD445" s="1631"/>
      <c r="GE445" s="1631"/>
      <c r="GF445" s="1631"/>
      <c r="GG445" s="1631"/>
      <c r="GH445" s="1631"/>
      <c r="GI445" s="1631"/>
    </row>
    <row r="446" spans="179:192">
      <c r="FW446" s="861"/>
      <c r="FX446" s="1631"/>
      <c r="FY446" s="1631"/>
      <c r="FZ446" s="1631"/>
      <c r="GA446" s="1631"/>
      <c r="GB446" s="1631"/>
      <c r="GC446" s="1631"/>
      <c r="GD446" s="1631"/>
      <c r="GE446" s="1631"/>
      <c r="GF446" s="1631"/>
      <c r="GG446" s="1631"/>
      <c r="GH446" s="1631"/>
      <c r="GI446" s="1631"/>
    </row>
    <row r="447" spans="179:192">
      <c r="FW447" s="861"/>
      <c r="FX447" s="1631"/>
      <c r="FY447" s="1631"/>
      <c r="FZ447" s="1631"/>
      <c r="GA447" s="1631"/>
      <c r="GB447" s="1631"/>
      <c r="GC447" s="1631"/>
      <c r="GD447" s="1631"/>
      <c r="GE447" s="1631"/>
      <c r="GF447" s="1631"/>
      <c r="GG447" s="1631"/>
      <c r="GH447" s="1631"/>
      <c r="GI447" s="1631"/>
    </row>
    <row r="448" spans="179:192">
      <c r="FW448" s="861"/>
      <c r="FX448" s="562"/>
      <c r="FY448" s="562"/>
      <c r="FZ448" s="562"/>
      <c r="GA448" s="562"/>
      <c r="GB448" s="562"/>
      <c r="GC448" s="562"/>
      <c r="GD448" s="562"/>
      <c r="GE448" s="562"/>
      <c r="GF448" s="562"/>
      <c r="GG448" s="562"/>
      <c r="GH448" s="562"/>
      <c r="GI448" s="562"/>
    </row>
    <row r="452" spans="179:192">
      <c r="FW452" s="1793"/>
    </row>
    <row r="453" spans="179:192">
      <c r="FW453" s="2180"/>
      <c r="FX453" s="2180"/>
      <c r="FY453" s="2180"/>
      <c r="FZ453" s="2180"/>
      <c r="GA453" s="2180"/>
      <c r="GB453" s="2180"/>
      <c r="GC453" s="2180"/>
      <c r="GD453" s="2180"/>
      <c r="GE453" s="2180"/>
      <c r="GF453" s="2180"/>
      <c r="GG453" s="2180"/>
      <c r="GH453" s="2180"/>
      <c r="GI453" s="2180"/>
      <c r="GJ453" s="2180"/>
    </row>
    <row r="454" spans="179:192">
      <c r="FW454" s="382"/>
      <c r="FX454" s="439"/>
      <c r="FY454" s="439"/>
      <c r="FZ454" s="439"/>
      <c r="GA454" s="439"/>
      <c r="GB454" s="439"/>
      <c r="GC454" s="439"/>
      <c r="GD454" s="439"/>
      <c r="GE454" s="439"/>
      <c r="GF454" s="439"/>
      <c r="GG454" s="439"/>
      <c r="GH454" s="439"/>
      <c r="GI454" s="439"/>
      <c r="GJ454" s="439"/>
    </row>
    <row r="455" spans="179:192">
      <c r="FW455" s="382"/>
      <c r="FX455" s="1757"/>
      <c r="FY455" s="1757"/>
      <c r="FZ455" s="1757"/>
      <c r="GA455" s="1757"/>
      <c r="GB455" s="1757"/>
      <c r="GC455" s="1757"/>
      <c r="GD455" s="1757"/>
      <c r="GE455" s="1757"/>
      <c r="GF455" s="1757"/>
      <c r="GG455" s="1757"/>
      <c r="GH455" s="1757"/>
      <c r="GI455" s="1757"/>
      <c r="GJ455" s="473"/>
    </row>
    <row r="456" spans="179:192">
      <c r="FW456" s="382"/>
      <c r="FX456" s="1757"/>
      <c r="FY456" s="1757"/>
      <c r="FZ456" s="1757"/>
      <c r="GA456" s="1757"/>
      <c r="GB456" s="1757"/>
      <c r="GC456" s="1757"/>
      <c r="GD456" s="1757"/>
      <c r="GE456" s="1757"/>
      <c r="GF456" s="1757"/>
      <c r="GG456" s="1757"/>
      <c r="GH456" s="1757"/>
      <c r="GI456" s="1757"/>
      <c r="GJ456" s="473"/>
    </row>
    <row r="457" spans="179:192">
      <c r="FW457" s="382"/>
      <c r="FX457" s="1757"/>
      <c r="FY457" s="1757"/>
      <c r="FZ457" s="1757"/>
      <c r="GA457" s="1757"/>
      <c r="GB457" s="1757"/>
      <c r="GC457" s="1757"/>
      <c r="GD457" s="1757"/>
      <c r="GE457" s="1757"/>
      <c r="GF457" s="1757"/>
      <c r="GG457" s="1757"/>
      <c r="GH457" s="1757"/>
      <c r="GI457" s="1757"/>
      <c r="GJ457" s="473"/>
    </row>
    <row r="458" spans="179:192">
      <c r="FW458" s="382"/>
      <c r="FX458" s="1757"/>
      <c r="FY458" s="1757"/>
      <c r="FZ458" s="1757"/>
      <c r="GA458" s="1757"/>
      <c r="GB458" s="1757"/>
      <c r="GC458" s="1757"/>
      <c r="GD458" s="1757"/>
      <c r="GE458" s="1757"/>
      <c r="GF458" s="1757"/>
      <c r="GG458" s="1757"/>
      <c r="GH458" s="1757"/>
      <c r="GI458" s="1757"/>
      <c r="GJ458" s="473"/>
    </row>
    <row r="459" spans="179:192">
      <c r="FW459" s="382"/>
      <c r="FX459" s="1757"/>
      <c r="FY459" s="1757"/>
      <c r="FZ459" s="1757"/>
      <c r="GA459" s="1757"/>
      <c r="GB459" s="1757"/>
      <c r="GC459" s="1757"/>
      <c r="GD459" s="1757"/>
      <c r="GE459" s="1757"/>
      <c r="GF459" s="1757"/>
      <c r="GG459" s="1757"/>
      <c r="GH459" s="1757"/>
      <c r="GI459" s="1757"/>
      <c r="GJ459" s="473"/>
    </row>
    <row r="460" spans="179:192">
      <c r="FW460" s="382"/>
      <c r="FX460" s="1622"/>
      <c r="FY460" s="1622"/>
      <c r="FZ460" s="1622"/>
      <c r="GA460" s="1622"/>
      <c r="GB460" s="1622"/>
      <c r="GC460" s="1622"/>
      <c r="GD460" s="1622"/>
      <c r="GE460" s="1622"/>
      <c r="GF460" s="1622"/>
      <c r="GG460" s="1622"/>
      <c r="GH460" s="1622"/>
      <c r="GI460" s="1622"/>
      <c r="GJ460" s="1622"/>
    </row>
    <row r="461" spans="179:192">
      <c r="FW461" s="451"/>
      <c r="FX461" s="382"/>
      <c r="FY461" s="382"/>
      <c r="FZ461" s="382"/>
      <c r="GA461" s="382"/>
      <c r="GB461" s="382"/>
      <c r="GC461" s="382"/>
      <c r="GD461" s="382"/>
      <c r="GE461" s="382"/>
      <c r="GF461" s="382"/>
      <c r="GG461" s="382"/>
      <c r="GH461" s="382"/>
      <c r="GI461" s="382"/>
      <c r="GJ461" s="382"/>
    </row>
    <row r="462" spans="179:192">
      <c r="FW462" s="451"/>
      <c r="FX462" s="382"/>
      <c r="FY462" s="382"/>
      <c r="FZ462" s="382"/>
      <c r="GA462" s="382"/>
      <c r="GB462" s="382"/>
      <c r="GC462" s="382"/>
      <c r="GD462" s="382"/>
      <c r="GE462" s="382"/>
      <c r="GF462" s="382"/>
      <c r="GG462" s="382"/>
      <c r="GH462" s="382"/>
      <c r="GI462" s="382"/>
      <c r="GJ462" s="382"/>
    </row>
    <row r="463" spans="179:192">
      <c r="FW463" s="451"/>
      <c r="FX463" s="382"/>
      <c r="FY463" s="382"/>
      <c r="FZ463" s="382"/>
      <c r="GA463" s="382"/>
      <c r="GB463" s="382"/>
      <c r="GC463" s="382"/>
      <c r="GD463" s="382"/>
      <c r="GE463" s="382"/>
      <c r="GF463" s="382"/>
      <c r="GG463" s="382"/>
      <c r="GH463" s="382"/>
      <c r="GI463" s="382"/>
      <c r="GJ463" s="382"/>
    </row>
    <row r="465" spans="179:192">
      <c r="FW465" s="995"/>
      <c r="FZ465" s="886"/>
      <c r="GJ465" s="886"/>
    </row>
    <row r="468" spans="179:192">
      <c r="FW468" s="2348"/>
      <c r="FX468" s="2348"/>
      <c r="FY468" s="2348"/>
      <c r="FZ468" s="2348"/>
      <c r="GA468" s="2348"/>
      <c r="GB468" s="2348"/>
      <c r="GC468" s="2348"/>
      <c r="GD468" s="2348"/>
      <c r="GE468" s="2348"/>
      <c r="GF468" s="2348"/>
      <c r="GG468" s="2348"/>
      <c r="GH468" s="2348"/>
      <c r="GI468" s="2348"/>
    </row>
    <row r="469" spans="179:192">
      <c r="FW469" s="861"/>
      <c r="FX469" s="861"/>
      <c r="FY469" s="861"/>
      <c r="FZ469" s="861"/>
      <c r="GA469" s="861"/>
      <c r="GB469" s="861"/>
      <c r="GC469" s="861"/>
      <c r="GD469" s="861"/>
      <c r="GE469" s="861"/>
      <c r="GF469" s="861"/>
      <c r="GG469" s="861"/>
      <c r="GH469" s="861"/>
      <c r="GI469" s="861"/>
    </row>
    <row r="470" spans="179:192">
      <c r="FW470" s="861"/>
      <c r="FX470" s="562"/>
      <c r="FY470" s="562"/>
      <c r="FZ470" s="562"/>
      <c r="GA470" s="562"/>
      <c r="GB470" s="562"/>
      <c r="GC470" s="562"/>
      <c r="GD470" s="562"/>
      <c r="GE470" s="562"/>
      <c r="GF470" s="562"/>
      <c r="GG470" s="562"/>
      <c r="GH470" s="562"/>
      <c r="GI470" s="562"/>
    </row>
    <row r="471" spans="179:192">
      <c r="FW471" s="861"/>
      <c r="FX471" s="562"/>
      <c r="FY471" s="562"/>
      <c r="FZ471" s="562"/>
      <c r="GA471" s="562"/>
      <c r="GB471" s="562"/>
      <c r="GC471" s="562"/>
      <c r="GD471" s="562"/>
      <c r="GE471" s="562"/>
      <c r="GF471" s="562"/>
      <c r="GG471" s="562"/>
      <c r="GH471" s="562"/>
      <c r="GI471" s="562"/>
    </row>
    <row r="472" spans="179:192">
      <c r="FW472" s="861"/>
      <c r="FX472" s="562"/>
      <c r="FY472" s="562"/>
      <c r="FZ472" s="562"/>
      <c r="GA472" s="562"/>
      <c r="GB472" s="562"/>
      <c r="GC472" s="562"/>
      <c r="GD472" s="562"/>
      <c r="GE472" s="562"/>
      <c r="GF472" s="562"/>
      <c r="GG472" s="562"/>
      <c r="GH472" s="562"/>
      <c r="GI472" s="562"/>
      <c r="GJ472" s="382"/>
    </row>
    <row r="473" spans="179:192">
      <c r="FW473" s="861"/>
      <c r="FX473" s="562"/>
      <c r="FY473" s="562"/>
      <c r="FZ473" s="562"/>
      <c r="GA473" s="562"/>
      <c r="GB473" s="562"/>
      <c r="GC473" s="562"/>
      <c r="GD473" s="562"/>
      <c r="GE473" s="562"/>
      <c r="GF473" s="562"/>
      <c r="GG473" s="562"/>
      <c r="GH473" s="562"/>
      <c r="GI473" s="562"/>
      <c r="GJ473" s="382"/>
    </row>
    <row r="474" spans="179:192">
      <c r="FW474" s="861"/>
      <c r="FX474" s="562"/>
      <c r="FY474" s="562"/>
      <c r="FZ474" s="562"/>
      <c r="GA474" s="562"/>
      <c r="GB474" s="562"/>
      <c r="GC474" s="562"/>
      <c r="GD474" s="562"/>
      <c r="GE474" s="562"/>
      <c r="GF474" s="562"/>
      <c r="GG474" s="562"/>
      <c r="GH474" s="562"/>
      <c r="GI474" s="562"/>
      <c r="GJ474" s="414"/>
    </row>
    <row r="475" spans="179:192">
      <c r="FW475" s="861"/>
      <c r="FX475" s="562"/>
      <c r="FY475" s="562"/>
      <c r="FZ475" s="562"/>
      <c r="GA475" s="562"/>
      <c r="GB475" s="562"/>
      <c r="GC475" s="562"/>
      <c r="GD475" s="562"/>
      <c r="GE475" s="562"/>
      <c r="GF475" s="562"/>
      <c r="GG475" s="562"/>
      <c r="GH475" s="562"/>
      <c r="GI475" s="562"/>
      <c r="GJ475" s="414"/>
    </row>
    <row r="476" spans="179:192">
      <c r="FW476" s="861"/>
      <c r="FX476" s="562"/>
      <c r="FY476" s="562"/>
      <c r="FZ476" s="562"/>
      <c r="GA476" s="562"/>
      <c r="GB476" s="562"/>
      <c r="GC476" s="562"/>
      <c r="GD476" s="562"/>
      <c r="GE476" s="562"/>
      <c r="GF476" s="562"/>
      <c r="GG476" s="562"/>
      <c r="GH476" s="562"/>
      <c r="GI476" s="562"/>
    </row>
    <row r="477" spans="179:192">
      <c r="FW477" s="549"/>
      <c r="FX477" s="549"/>
      <c r="FY477" s="549"/>
      <c r="FZ477" s="549"/>
      <c r="GA477" s="549"/>
      <c r="GB477" s="549"/>
      <c r="GC477" s="549"/>
      <c r="GD477" s="549"/>
      <c r="GE477" s="549"/>
      <c r="GF477" s="549"/>
      <c r="GG477" s="549"/>
      <c r="GH477" s="549"/>
      <c r="GI477" s="549"/>
      <c r="GJ477" s="1748"/>
    </row>
    <row r="478" spans="179:192">
      <c r="FW478" s="861"/>
      <c r="FX478" s="549"/>
      <c r="FY478" s="549"/>
      <c r="FZ478" s="549"/>
      <c r="GA478" s="549"/>
      <c r="GB478" s="549"/>
      <c r="GC478" s="549"/>
      <c r="GD478" s="549"/>
      <c r="GE478" s="549"/>
      <c r="GF478" s="549"/>
      <c r="GG478" s="549"/>
      <c r="GH478" s="549"/>
      <c r="GI478" s="549"/>
      <c r="GJ478" s="1748"/>
    </row>
    <row r="479" spans="179:192">
      <c r="FW479" s="1748"/>
      <c r="FX479" s="1748"/>
      <c r="FY479" s="1748"/>
      <c r="FZ479" s="1748"/>
      <c r="GA479" s="1748"/>
      <c r="GB479" s="1748"/>
      <c r="GC479" s="1748"/>
      <c r="GD479" s="1748"/>
      <c r="GE479" s="1748"/>
      <c r="GF479" s="1748"/>
      <c r="GG479" s="1748"/>
      <c r="GH479" s="1748"/>
      <c r="GI479" s="1748"/>
      <c r="GJ479" s="1748"/>
    </row>
    <row r="481" spans="179:192">
      <c r="FW481" s="1748"/>
      <c r="FX481" s="1748"/>
      <c r="FY481" s="1748"/>
      <c r="FZ481" s="1748"/>
      <c r="GA481" s="1748"/>
      <c r="GB481" s="1748"/>
      <c r="GC481" s="1748"/>
      <c r="GD481" s="1748"/>
      <c r="GE481" s="1748"/>
      <c r="GF481" s="1748"/>
      <c r="GG481" s="1748"/>
      <c r="GH481" s="1748"/>
      <c r="GI481" s="1748"/>
      <c r="GJ481" s="1748"/>
    </row>
    <row r="482" spans="179:192">
      <c r="FW482" s="2348"/>
      <c r="FX482" s="2348"/>
      <c r="FY482" s="2348"/>
      <c r="FZ482" s="2348"/>
      <c r="GA482" s="2348"/>
      <c r="GB482" s="2348"/>
      <c r="GC482" s="2348"/>
      <c r="GD482" s="2348"/>
      <c r="GE482" s="2348"/>
      <c r="GF482" s="2348"/>
      <c r="GG482" s="2348"/>
      <c r="GH482" s="2348"/>
      <c r="GI482" s="2348"/>
      <c r="GJ482" s="1748"/>
    </row>
    <row r="483" spans="179:192">
      <c r="FW483" s="861"/>
      <c r="FX483" s="861"/>
      <c r="FY483" s="861"/>
      <c r="FZ483" s="861"/>
      <c r="GA483" s="861"/>
      <c r="GB483" s="861"/>
      <c r="GC483" s="861"/>
      <c r="GD483" s="861"/>
      <c r="GE483" s="861"/>
      <c r="GF483" s="861"/>
      <c r="GG483" s="861"/>
      <c r="GH483" s="861"/>
      <c r="GI483" s="861"/>
      <c r="GJ483" s="1748"/>
    </row>
    <row r="484" spans="179:192">
      <c r="FW484" s="861"/>
      <c r="FX484" s="1631"/>
      <c r="FY484" s="1631"/>
      <c r="FZ484" s="1631"/>
      <c r="GA484" s="1631"/>
      <c r="GB484" s="1631"/>
      <c r="GC484" s="1631"/>
      <c r="GD484" s="1631"/>
      <c r="GE484" s="1631"/>
      <c r="GF484" s="1631"/>
      <c r="GG484" s="1631"/>
      <c r="GH484" s="1631"/>
      <c r="GI484" s="1631"/>
    </row>
    <row r="485" spans="179:192">
      <c r="FW485" s="861"/>
      <c r="FX485" s="1631"/>
      <c r="FY485" s="1631"/>
      <c r="FZ485" s="1631"/>
      <c r="GA485" s="1631"/>
      <c r="GB485" s="1631"/>
      <c r="GC485" s="1631"/>
      <c r="GD485" s="1631"/>
      <c r="GE485" s="1631"/>
      <c r="GF485" s="1631"/>
      <c r="GG485" s="1631"/>
      <c r="GH485" s="1631"/>
      <c r="GI485" s="1631"/>
    </row>
    <row r="486" spans="179:192">
      <c r="FW486" s="861"/>
      <c r="FX486" s="1631"/>
      <c r="FY486" s="1631"/>
      <c r="FZ486" s="1631"/>
      <c r="GA486" s="1631"/>
      <c r="GB486" s="1631"/>
      <c r="GC486" s="1631"/>
      <c r="GD486" s="1631"/>
      <c r="GE486" s="1631"/>
      <c r="GF486" s="1631"/>
      <c r="GG486" s="1631"/>
      <c r="GH486" s="1631"/>
      <c r="GI486" s="1631"/>
    </row>
    <row r="487" spans="179:192">
      <c r="FW487" s="861"/>
      <c r="FX487" s="1631"/>
      <c r="FY487" s="1631"/>
      <c r="FZ487" s="1631"/>
      <c r="GA487" s="1631"/>
      <c r="GB487" s="1631"/>
      <c r="GC487" s="1631"/>
      <c r="GD487" s="1631"/>
      <c r="GE487" s="1631"/>
      <c r="GF487" s="1631"/>
      <c r="GG487" s="1631"/>
      <c r="GH487" s="1631"/>
      <c r="GI487" s="1631"/>
    </row>
    <row r="488" spans="179:192">
      <c r="FW488" s="861"/>
      <c r="FX488" s="1631"/>
      <c r="FY488" s="1631"/>
      <c r="FZ488" s="1631"/>
      <c r="GA488" s="1631"/>
      <c r="GB488" s="1631"/>
      <c r="GC488" s="1631"/>
      <c r="GD488" s="1631"/>
      <c r="GE488" s="1631"/>
      <c r="GF488" s="1631"/>
      <c r="GG488" s="1631"/>
      <c r="GH488" s="1631"/>
      <c r="GI488" s="1631"/>
    </row>
    <row r="489" spans="179:192">
      <c r="FW489" s="861"/>
      <c r="FX489" s="562"/>
      <c r="FY489" s="562"/>
      <c r="FZ489" s="562"/>
      <c r="GA489" s="562"/>
      <c r="GB489" s="562"/>
      <c r="GC489" s="562"/>
      <c r="GD489" s="562"/>
      <c r="GE489" s="562"/>
      <c r="GF489" s="562"/>
      <c r="GG489" s="562"/>
      <c r="GH489" s="562"/>
      <c r="GI489" s="562"/>
    </row>
    <row r="503" spans="110:112">
      <c r="DF503" s="599"/>
    </row>
    <row r="504" spans="110:112">
      <c r="DF504" s="599"/>
    </row>
    <row r="506" spans="110:112">
      <c r="DF506" s="862"/>
      <c r="DH506" s="525" t="e">
        <f>#REF!+DE347</f>
        <v>#REF!</v>
      </c>
    </row>
    <row r="507" spans="110:112">
      <c r="DF507" s="862"/>
      <c r="DH507" s="525" t="e">
        <f>#REF!+DE348</f>
        <v>#REF!</v>
      </c>
    </row>
    <row r="508" spans="110:112">
      <c r="DF508" s="862"/>
      <c r="DH508" s="525" t="e">
        <f>#REF!+DE349</f>
        <v>#REF!</v>
      </c>
    </row>
    <row r="509" spans="110:112">
      <c r="DF509" s="862"/>
      <c r="DH509" s="525" t="e">
        <f>#REF!+DE350</f>
        <v>#REF!</v>
      </c>
    </row>
    <row r="510" spans="110:112">
      <c r="DF510" s="862"/>
      <c r="DH510" s="525" t="e">
        <f>#REF!+DE351</f>
        <v>#REF!</v>
      </c>
    </row>
    <row r="511" spans="110:112">
      <c r="DF511" s="862"/>
      <c r="DH511" s="525" t="e">
        <f>#REF!+DE352</f>
        <v>#REF!</v>
      </c>
    </row>
    <row r="512" spans="110:112">
      <c r="DF512" s="862"/>
      <c r="DH512" s="525" t="e">
        <f>#REF!+DE353</f>
        <v>#REF!</v>
      </c>
    </row>
    <row r="513" spans="110:112">
      <c r="DF513" s="862"/>
      <c r="DH513" s="525" t="e">
        <f>#REF!+DE354</f>
        <v>#REF!</v>
      </c>
    </row>
    <row r="514" spans="110:112">
      <c r="DF514" s="862"/>
      <c r="DH514" s="525" t="e">
        <f>#REF!+DE355</f>
        <v>#REF!</v>
      </c>
    </row>
    <row r="515" spans="110:112">
      <c r="DF515" s="862"/>
      <c r="DH515" s="525" t="e">
        <f>#REF!+DE356</f>
        <v>#REF!</v>
      </c>
    </row>
    <row r="516" spans="110:112">
      <c r="DF516" s="862"/>
      <c r="DH516" s="525" t="e">
        <f>#REF!+DE357</f>
        <v>#REF!</v>
      </c>
    </row>
    <row r="517" spans="110:112">
      <c r="DF517" s="862"/>
      <c r="DH517" s="525" t="e">
        <f>#REF!+DE358</f>
        <v>#REF!</v>
      </c>
    </row>
    <row r="518" spans="110:112">
      <c r="DF518" s="862"/>
      <c r="DH518" s="525" t="e">
        <f>#REF!+DE359</f>
        <v>#REF!</v>
      </c>
    </row>
    <row r="519" spans="110:112">
      <c r="DF519" s="862"/>
      <c r="DH519" s="525" t="e">
        <f>#REF!+DE360</f>
        <v>#REF!</v>
      </c>
    </row>
    <row r="520" spans="110:112">
      <c r="DF520" s="862"/>
      <c r="DH520" s="525" t="e">
        <f>#REF!+DE361</f>
        <v>#REF!</v>
      </c>
    </row>
    <row r="521" spans="110:112">
      <c r="DF521" s="862"/>
      <c r="DH521" s="525" t="e">
        <f>#REF!+DE362</f>
        <v>#REF!</v>
      </c>
    </row>
    <row r="522" spans="110:112">
      <c r="DF522" s="862"/>
      <c r="DH522" s="525" t="e">
        <f>#REF!+DE363</f>
        <v>#REF!</v>
      </c>
    </row>
    <row r="523" spans="110:112">
      <c r="DF523" s="862"/>
      <c r="DH523" s="525" t="e">
        <f>#REF!+DE364</f>
        <v>#REF!</v>
      </c>
    </row>
    <row r="524" spans="110:112">
      <c r="DF524" s="862"/>
      <c r="DH524" s="525" t="e">
        <f>#REF!+DE365</f>
        <v>#REF!</v>
      </c>
    </row>
    <row r="525" spans="110:112">
      <c r="DF525" s="862"/>
      <c r="DH525" s="525" t="e">
        <f>#REF!+DE366</f>
        <v>#REF!</v>
      </c>
    </row>
    <row r="526" spans="110:112">
      <c r="DF526" s="862"/>
      <c r="DH526" s="525" t="e">
        <f>#REF!+DE367</f>
        <v>#REF!</v>
      </c>
    </row>
    <row r="527" spans="110:112">
      <c r="DF527" s="862"/>
      <c r="DH527" s="862" t="s">
        <v>546</v>
      </c>
    </row>
    <row r="602" spans="179:192">
      <c r="FW602" s="862"/>
      <c r="FX602" s="862"/>
      <c r="FY602" s="862"/>
      <c r="FZ602" s="862"/>
      <c r="GA602" s="862"/>
      <c r="GB602" s="862"/>
      <c r="GC602" s="862"/>
      <c r="GD602" s="862"/>
      <c r="GE602" s="862"/>
      <c r="GF602" s="862"/>
      <c r="GG602" s="862"/>
      <c r="GH602" s="862"/>
      <c r="GI602" s="862"/>
      <c r="GJ602" s="862"/>
    </row>
    <row r="603" spans="179:192">
      <c r="FW603" s="862"/>
      <c r="FX603" s="862"/>
      <c r="FY603" s="862"/>
      <c r="FZ603" s="862"/>
      <c r="GA603" s="862"/>
      <c r="GB603" s="862"/>
      <c r="GC603" s="862"/>
      <c r="GD603" s="862"/>
      <c r="GE603" s="862"/>
      <c r="GF603" s="862"/>
      <c r="GG603" s="862"/>
      <c r="GH603" s="862"/>
      <c r="GI603" s="862"/>
      <c r="GJ603" s="862"/>
    </row>
    <row r="604" spans="179:192">
      <c r="FW604" s="862"/>
      <c r="FX604" s="862"/>
      <c r="FY604" s="862"/>
      <c r="FZ604" s="862"/>
      <c r="GA604" s="862"/>
      <c r="GB604" s="862"/>
      <c r="GC604" s="862"/>
      <c r="GD604" s="862"/>
      <c r="GE604" s="862"/>
      <c r="GF604" s="862"/>
      <c r="GG604" s="862"/>
      <c r="GH604" s="862"/>
      <c r="GI604" s="862"/>
      <c r="GJ604" s="862"/>
    </row>
    <row r="605" spans="179:192">
      <c r="FW605" s="1791"/>
      <c r="FX605" s="1791"/>
      <c r="FY605" s="1791"/>
      <c r="FZ605" s="1791"/>
      <c r="GA605" s="1791"/>
      <c r="GB605" s="1791"/>
      <c r="GC605" s="1791"/>
      <c r="GD605" s="1791"/>
      <c r="GE605" s="1791"/>
      <c r="GF605" s="1791"/>
      <c r="GG605" s="1791"/>
      <c r="GH605" s="1791"/>
      <c r="GI605" s="1791"/>
      <c r="GJ605" s="1791"/>
    </row>
    <row r="606" spans="179:192">
      <c r="FW606" s="1791"/>
      <c r="FX606" s="1791"/>
      <c r="FY606" s="1791"/>
      <c r="FZ606" s="1791"/>
      <c r="GA606" s="1791"/>
      <c r="GB606" s="1791"/>
      <c r="GC606" s="1791"/>
      <c r="GD606" s="1791"/>
      <c r="GE606" s="1791"/>
      <c r="GF606" s="1791"/>
      <c r="GG606" s="1791"/>
      <c r="GH606" s="1791"/>
      <c r="GI606" s="1791"/>
      <c r="GJ606" s="1791"/>
    </row>
    <row r="607" spans="179:192">
      <c r="FW607" s="1791"/>
      <c r="FX607" s="1791"/>
      <c r="FY607" s="1791"/>
      <c r="FZ607" s="1791"/>
      <c r="GA607" s="1791"/>
      <c r="GB607" s="1791"/>
      <c r="GC607" s="1791"/>
      <c r="GD607" s="1791"/>
      <c r="GE607" s="1791"/>
      <c r="GF607" s="1791"/>
      <c r="GG607" s="1791"/>
      <c r="GH607" s="1791"/>
      <c r="GI607" s="1791"/>
      <c r="GJ607" s="1791"/>
    </row>
    <row r="608" spans="179:192">
      <c r="FW608" s="1791"/>
      <c r="FX608" s="1791"/>
      <c r="FY608" s="1791"/>
      <c r="FZ608" s="1791"/>
      <c r="GA608" s="1791"/>
      <c r="GB608" s="1791"/>
      <c r="GC608" s="1791"/>
      <c r="GD608" s="1791"/>
      <c r="GE608" s="1791"/>
      <c r="GF608" s="1791"/>
      <c r="GG608" s="1791"/>
      <c r="GH608" s="1791"/>
      <c r="GI608" s="1791"/>
      <c r="GJ608" s="1791"/>
    </row>
    <row r="609" spans="179:192">
      <c r="FW609" s="1791"/>
      <c r="FX609" s="1791"/>
      <c r="FY609" s="1791"/>
      <c r="FZ609" s="1791"/>
      <c r="GA609" s="1791"/>
      <c r="GB609" s="1791"/>
      <c r="GC609" s="1791"/>
      <c r="GD609" s="1791"/>
      <c r="GE609" s="1791"/>
      <c r="GF609" s="1791"/>
      <c r="GG609" s="1791"/>
      <c r="GH609" s="1791"/>
      <c r="GI609" s="1791"/>
      <c r="GJ609" s="1791"/>
    </row>
    <row r="610" spans="179:192">
      <c r="FW610" s="1791"/>
      <c r="FX610" s="1791"/>
      <c r="FY610" s="1791"/>
      <c r="FZ610" s="1791"/>
      <c r="GA610" s="1791"/>
      <c r="GB610" s="1791"/>
      <c r="GC610" s="1791"/>
      <c r="GD610" s="1791"/>
      <c r="GE610" s="1791"/>
      <c r="GF610" s="1791"/>
      <c r="GG610" s="1791"/>
      <c r="GH610" s="1791"/>
      <c r="GI610" s="1791"/>
      <c r="GJ610" s="1791"/>
    </row>
    <row r="611" spans="179:192">
      <c r="FW611" s="1791"/>
      <c r="FX611" s="1791"/>
      <c r="FY611" s="1791"/>
      <c r="FZ611" s="1791"/>
      <c r="GA611" s="1791"/>
      <c r="GB611" s="1791"/>
      <c r="GC611" s="1791"/>
      <c r="GD611" s="1791"/>
      <c r="GE611" s="1791"/>
      <c r="GF611" s="1791"/>
      <c r="GG611" s="1791"/>
      <c r="GH611" s="1791"/>
      <c r="GI611" s="1791"/>
      <c r="GJ611" s="1791"/>
    </row>
    <row r="612" spans="179:192">
      <c r="FW612" s="1791"/>
      <c r="FX612" s="1791"/>
      <c r="FY612" s="1791"/>
      <c r="FZ612" s="1791"/>
      <c r="GA612" s="1791"/>
      <c r="GB612" s="1791"/>
      <c r="GC612" s="1791"/>
      <c r="GD612" s="1791"/>
      <c r="GE612" s="1791"/>
      <c r="GF612" s="1791"/>
      <c r="GG612" s="1791"/>
      <c r="GH612" s="1791"/>
      <c r="GI612" s="1791"/>
      <c r="GJ612" s="1791"/>
    </row>
    <row r="613" spans="179:192">
      <c r="FW613" s="1791"/>
      <c r="FX613" s="1791"/>
      <c r="FY613" s="1791"/>
      <c r="FZ613" s="1791"/>
      <c r="GA613" s="1791"/>
      <c r="GB613" s="1791"/>
      <c r="GC613" s="1791"/>
      <c r="GD613" s="1791"/>
      <c r="GE613" s="1791"/>
      <c r="GF613" s="1791"/>
      <c r="GG613" s="1791"/>
      <c r="GH613" s="1791"/>
      <c r="GI613" s="1791"/>
      <c r="GJ613" s="1791"/>
    </row>
    <row r="614" spans="179:192">
      <c r="FW614" s="1791"/>
      <c r="FX614" s="1791"/>
      <c r="FY614" s="1791"/>
      <c r="FZ614" s="1791"/>
      <c r="GA614" s="1791"/>
      <c r="GB614" s="1791"/>
      <c r="GC614" s="1791"/>
      <c r="GD614" s="1791"/>
      <c r="GE614" s="1791"/>
      <c r="GF614" s="1791"/>
      <c r="GG614" s="1791"/>
      <c r="GH614" s="1791"/>
      <c r="GI614" s="1791"/>
      <c r="GJ614" s="1791"/>
    </row>
    <row r="615" spans="179:192">
      <c r="FW615" s="1791"/>
      <c r="FX615" s="1791"/>
      <c r="FY615" s="1791"/>
      <c r="FZ615" s="1791"/>
      <c r="GA615" s="1791"/>
      <c r="GB615" s="1791"/>
      <c r="GC615" s="1791"/>
      <c r="GD615" s="1791"/>
      <c r="GE615" s="1791"/>
      <c r="GF615" s="1791"/>
      <c r="GG615" s="1791"/>
      <c r="GH615" s="1791"/>
      <c r="GI615" s="1791"/>
      <c r="GJ615" s="1791"/>
    </row>
    <row r="616" spans="179:192">
      <c r="FW616" s="1791"/>
      <c r="FX616" s="1791"/>
      <c r="FY616" s="1791"/>
      <c r="FZ616" s="1791"/>
      <c r="GA616" s="1791"/>
      <c r="GB616" s="1791"/>
      <c r="GC616" s="1791"/>
      <c r="GD616" s="1791"/>
      <c r="GE616" s="1791"/>
      <c r="GF616" s="1791"/>
      <c r="GG616" s="1791"/>
      <c r="GH616" s="1791"/>
      <c r="GI616" s="1791"/>
      <c r="GJ616" s="1791"/>
    </row>
    <row r="617" spans="179:192">
      <c r="FW617" s="1791"/>
      <c r="FX617" s="1791"/>
      <c r="FY617" s="1791"/>
      <c r="FZ617" s="1791"/>
      <c r="GA617" s="1791"/>
      <c r="GB617" s="1791"/>
      <c r="GC617" s="1791"/>
      <c r="GD617" s="1791"/>
      <c r="GE617" s="1791"/>
      <c r="GF617" s="1791"/>
      <c r="GG617" s="1791"/>
      <c r="GH617" s="1791"/>
      <c r="GI617" s="1791"/>
      <c r="GJ617" s="1791"/>
    </row>
    <row r="618" spans="179:192">
      <c r="FW618" s="1791"/>
      <c r="FX618" s="1791"/>
      <c r="FY618" s="1791"/>
      <c r="FZ618" s="1791"/>
      <c r="GA618" s="1791"/>
      <c r="GB618" s="1791"/>
      <c r="GC618" s="1791"/>
      <c r="GD618" s="1791"/>
      <c r="GE618" s="1791"/>
      <c r="GF618" s="1791"/>
      <c r="GG618" s="1791"/>
      <c r="GH618" s="1791"/>
      <c r="GI618" s="1791"/>
      <c r="GJ618" s="1791"/>
    </row>
    <row r="619" spans="179:192">
      <c r="FW619" s="1791"/>
      <c r="FX619" s="1791"/>
      <c r="FY619" s="1791"/>
      <c r="FZ619" s="1791"/>
      <c r="GA619" s="1791"/>
      <c r="GB619" s="1791"/>
      <c r="GC619" s="1791"/>
      <c r="GD619" s="1791"/>
      <c r="GE619" s="1791"/>
      <c r="GF619" s="1791"/>
      <c r="GG619" s="1791"/>
      <c r="GH619" s="1791"/>
      <c r="GI619" s="1791"/>
      <c r="GJ619" s="1791"/>
    </row>
    <row r="620" spans="179:192">
      <c r="FW620" s="1791"/>
      <c r="FX620" s="1791"/>
      <c r="FY620" s="1791"/>
      <c r="FZ620" s="1791"/>
      <c r="GA620" s="1791"/>
      <c r="GB620" s="1791"/>
      <c r="GC620" s="1791"/>
      <c r="GD620" s="1791"/>
      <c r="GE620" s="1791"/>
      <c r="GF620" s="1791"/>
      <c r="GG620" s="1791"/>
      <c r="GH620" s="1791"/>
      <c r="GI620" s="1791"/>
      <c r="GJ620" s="1791"/>
    </row>
    <row r="621" spans="179:192">
      <c r="FW621" s="1791"/>
      <c r="FX621" s="1791"/>
      <c r="FY621" s="1791"/>
      <c r="FZ621" s="1791"/>
      <c r="GA621" s="1791"/>
      <c r="GB621" s="1791"/>
      <c r="GC621" s="1791"/>
      <c r="GD621" s="1791"/>
      <c r="GE621" s="1791"/>
      <c r="GF621" s="1791"/>
      <c r="GG621" s="1791"/>
      <c r="GH621" s="1791"/>
      <c r="GI621" s="1791"/>
      <c r="GJ621" s="1791"/>
    </row>
    <row r="622" spans="179:192">
      <c r="FW622" s="1791"/>
      <c r="FX622" s="1791"/>
      <c r="FY622" s="1791"/>
      <c r="FZ622" s="1791"/>
      <c r="GA622" s="1791"/>
      <c r="GB622" s="1791"/>
      <c r="GC622" s="1791"/>
      <c r="GD622" s="1791"/>
      <c r="GE622" s="1791"/>
      <c r="GF622" s="1791"/>
      <c r="GG622" s="1791"/>
      <c r="GH622" s="1791"/>
      <c r="GI622" s="1791"/>
      <c r="GJ622" s="1791"/>
    </row>
    <row r="623" spans="179:192">
      <c r="FW623" s="1791"/>
      <c r="FX623" s="1791"/>
      <c r="FY623" s="1791"/>
      <c r="FZ623" s="1791"/>
      <c r="GA623" s="1791"/>
      <c r="GB623" s="1791"/>
      <c r="GC623" s="1791"/>
      <c r="GD623" s="1791"/>
      <c r="GE623" s="1791"/>
      <c r="GF623" s="1791"/>
      <c r="GG623" s="1791"/>
      <c r="GH623" s="1791"/>
      <c r="GI623" s="1791"/>
      <c r="GJ623" s="1791"/>
    </row>
    <row r="624" spans="179:192">
      <c r="FW624" s="1791"/>
      <c r="FX624" s="1791"/>
      <c r="FY624" s="1791"/>
      <c r="FZ624" s="1791"/>
      <c r="GA624" s="1791"/>
      <c r="GB624" s="1791"/>
      <c r="GC624" s="1791"/>
      <c r="GD624" s="1791"/>
      <c r="GE624" s="1791"/>
      <c r="GF624" s="1791"/>
      <c r="GG624" s="1791"/>
      <c r="GH624" s="1791"/>
      <c r="GI624" s="1791"/>
      <c r="GJ624" s="1791"/>
    </row>
  </sheetData>
  <mergeCells count="133">
    <mergeCell ref="FW1:GJ1"/>
    <mergeCell ref="N2:Q2"/>
    <mergeCell ref="CW2:CY2"/>
    <mergeCell ref="DZ2:EE2"/>
    <mergeCell ref="EJ2:EO2"/>
    <mergeCell ref="ET2:FG2"/>
    <mergeCell ref="FK2:FL2"/>
    <mergeCell ref="FM2:FN2"/>
    <mergeCell ref="FO2:FP2"/>
    <mergeCell ref="FQ2:FR2"/>
    <mergeCell ref="IN2:IO2"/>
    <mergeCell ref="FK3:FK4"/>
    <mergeCell ref="FM3:FM4"/>
    <mergeCell ref="FO3:FO4"/>
    <mergeCell ref="GN3:GO3"/>
    <mergeCell ref="GP3:GQ3"/>
    <mergeCell ref="GR3:GS3"/>
    <mergeCell ref="GT3:GU3"/>
    <mergeCell ref="GV3:GW3"/>
    <mergeCell ref="GX3:GY3"/>
    <mergeCell ref="HR2:HS2"/>
    <mergeCell ref="HT2:HU2"/>
    <mergeCell ref="HV2:HW2"/>
    <mergeCell ref="HX2:IA2"/>
    <mergeCell ref="IH2:II2"/>
    <mergeCell ref="IL2:IM2"/>
    <mergeCell ref="FS2:FT2"/>
    <mergeCell ref="GN2:GO2"/>
    <mergeCell ref="GP2:GQ2"/>
    <mergeCell ref="GR2:GS2"/>
    <mergeCell ref="HN2:HO2"/>
    <mergeCell ref="HP2:HQ2"/>
    <mergeCell ref="HZ3:IA3"/>
    <mergeCell ref="IB3:IC3"/>
    <mergeCell ref="HX3:HY3"/>
    <mergeCell ref="GZ3:HA3"/>
    <mergeCell ref="HB3:HC3"/>
    <mergeCell ref="HD3:HE3"/>
    <mergeCell ref="HF3:HG3"/>
    <mergeCell ref="HH3:HI3"/>
    <mergeCell ref="HJ3:HK3"/>
    <mergeCell ref="CW32:CY32"/>
    <mergeCell ref="FW33:GI33"/>
    <mergeCell ref="FW19:GJ19"/>
    <mergeCell ref="DZ30:EE30"/>
    <mergeCell ref="ET30:FG30"/>
    <mergeCell ref="EJ31:EO31"/>
    <mergeCell ref="HN3:HO3"/>
    <mergeCell ref="HP3:HQ3"/>
    <mergeCell ref="HR3:HS3"/>
    <mergeCell ref="HT3:HU3"/>
    <mergeCell ref="HV3:HW3"/>
    <mergeCell ref="HR38:HS38"/>
    <mergeCell ref="HT38:HW38"/>
    <mergeCell ref="HX38:IA38"/>
    <mergeCell ref="HR39:HS39"/>
    <mergeCell ref="HT39:HU39"/>
    <mergeCell ref="HV39:HW39"/>
    <mergeCell ref="HX39:HY39"/>
    <mergeCell ref="HZ39:IA39"/>
    <mergeCell ref="CW62:CY62"/>
    <mergeCell ref="GM63:HJ63"/>
    <mergeCell ref="FW73:GI73"/>
    <mergeCell ref="GM77:HJ77"/>
    <mergeCell ref="DZ86:EE86"/>
    <mergeCell ref="ET86:FG86"/>
    <mergeCell ref="FW86:GI86"/>
    <mergeCell ref="IB45:IC45"/>
    <mergeCell ref="FW46:GI46"/>
    <mergeCell ref="DZ58:EE58"/>
    <mergeCell ref="ET58:FG58"/>
    <mergeCell ref="FW59:GJ59"/>
    <mergeCell ref="EJ60:EO60"/>
    <mergeCell ref="CW152:CY152"/>
    <mergeCell ref="DZ114:EE114"/>
    <mergeCell ref="ET114:FG114"/>
    <mergeCell ref="EJ118:EO118"/>
    <mergeCell ref="CW122:CY122"/>
    <mergeCell ref="FW125:GI125"/>
    <mergeCell ref="GM126:HI126"/>
    <mergeCell ref="EJ89:EO89"/>
    <mergeCell ref="GM90:HI90"/>
    <mergeCell ref="CW92:CY92"/>
    <mergeCell ref="FW98:GJ98"/>
    <mergeCell ref="FW112:GI112"/>
    <mergeCell ref="GM112:HI112"/>
    <mergeCell ref="FW164:GI164"/>
    <mergeCell ref="ET169:FG169"/>
    <mergeCell ref="DZ170:EE170"/>
    <mergeCell ref="ET171:FG171"/>
    <mergeCell ref="FW172:GI172"/>
    <mergeCell ref="EJ176:EO176"/>
    <mergeCell ref="FW176:GJ176"/>
    <mergeCell ref="FW137:GJ137"/>
    <mergeCell ref="DZ142:EE142"/>
    <mergeCell ref="ET142:FG142"/>
    <mergeCell ref="EJ147:EO147"/>
    <mergeCell ref="FW151:GI151"/>
    <mergeCell ref="FW203:GI203"/>
    <mergeCell ref="FW211:GI211"/>
    <mergeCell ref="DZ221:EE221"/>
    <mergeCell ref="FW223:GJ223"/>
    <mergeCell ref="EJ230:EO230"/>
    <mergeCell ref="FW237:GI237"/>
    <mergeCell ref="CW180:CY180"/>
    <mergeCell ref="CW182:CY182"/>
    <mergeCell ref="FW190:GI190"/>
    <mergeCell ref="DZ194:EE194"/>
    <mergeCell ref="ET196:FG196"/>
    <mergeCell ref="EJ202:EO202"/>
    <mergeCell ref="FW289:GI289"/>
    <mergeCell ref="EJ294:EO294"/>
    <mergeCell ref="EJ296:EO296"/>
    <mergeCell ref="FW301:GJ301"/>
    <mergeCell ref="FW315:GI315"/>
    <mergeCell ref="FW328:GI328"/>
    <mergeCell ref="ET242:FG242"/>
    <mergeCell ref="FW250:GI250"/>
    <mergeCell ref="DZ251:EE251"/>
    <mergeCell ref="FW262:GJ262"/>
    <mergeCell ref="FW276:GI276"/>
    <mergeCell ref="DZ279:EE279"/>
    <mergeCell ref="FW427:GI427"/>
    <mergeCell ref="FW441:GI441"/>
    <mergeCell ref="FW453:GJ453"/>
    <mergeCell ref="FW468:GI468"/>
    <mergeCell ref="FW482:GI482"/>
    <mergeCell ref="FW343:GI343"/>
    <mergeCell ref="FW361:GI361"/>
    <mergeCell ref="FW372:GJ372"/>
    <mergeCell ref="FW387:GI387"/>
    <mergeCell ref="FW401:GI401"/>
    <mergeCell ref="FW412:GJ412"/>
  </mergeCells>
  <pageMargins left="0.75" right="0.75" top="1" bottom="1" header="0.5" footer="0.5"/>
  <pageSetup scale="74"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7FAB-CD5F-4A6E-BB06-0F8B2E3AED0B}">
  <sheetPr>
    <tabColor rgb="FFFFFF00"/>
  </sheetPr>
  <dimension ref="A1:CD104"/>
  <sheetViews>
    <sheetView showGridLines="0" tabSelected="1" zoomScale="90" zoomScaleNormal="90" workbookViewId="0">
      <selection activeCell="R106" sqref="R106"/>
    </sheetView>
  </sheetViews>
  <sheetFormatPr defaultColWidth="8.7109375" defaultRowHeight="11.1" customHeight="1"/>
  <cols>
    <col min="1" max="1" width="37.7109375" style="116" customWidth="1"/>
    <col min="2" max="5" width="15.7109375" style="116" customWidth="1"/>
    <col min="6" max="6" width="14.28515625" style="116" customWidth="1"/>
    <col min="7" max="7" width="15.140625" style="116" customWidth="1"/>
    <col min="8" max="8" width="24" style="116" customWidth="1"/>
    <col min="9" max="13" width="15.5703125" style="116" customWidth="1"/>
    <col min="14" max="14" width="13" style="116" customWidth="1"/>
    <col min="15" max="15" width="16.7109375" style="116" customWidth="1"/>
    <col min="16" max="16" width="51.28515625" style="116" customWidth="1"/>
    <col min="17" max="19" width="13.7109375" style="116" customWidth="1"/>
    <col min="20" max="20" width="12.7109375" style="116" customWidth="1"/>
    <col min="21" max="21" width="10.7109375" style="116" customWidth="1"/>
    <col min="22" max="22" width="40.7109375" style="116" customWidth="1"/>
    <col min="23" max="27" width="11.7109375" style="116" customWidth="1"/>
    <col min="28" max="28" width="15.140625" style="116" customWidth="1"/>
    <col min="29" max="29" width="22.42578125" style="116" customWidth="1"/>
    <col min="30" max="30" width="42" style="116" customWidth="1"/>
    <col min="31" max="33" width="12.7109375" style="116" customWidth="1"/>
    <col min="34" max="35" width="10.7109375" style="116" customWidth="1"/>
    <col min="36" max="36" width="26.28515625" style="116" customWidth="1"/>
    <col min="37" max="41" width="13.7109375" style="116" customWidth="1"/>
    <col min="42" max="42" width="17.28515625" style="116" customWidth="1"/>
    <col min="43" max="43" width="14.140625" style="116" customWidth="1"/>
    <col min="44" max="44" width="54" style="116" customWidth="1"/>
    <col min="45" max="49" width="13.7109375" style="116" customWidth="1"/>
    <col min="50" max="50" width="15.140625" style="116" customWidth="1"/>
    <col min="51" max="51" width="16.42578125" style="116" customWidth="1"/>
    <col min="52" max="52" width="40.7109375" style="116" customWidth="1"/>
    <col min="53" max="57" width="13.7109375" style="116" customWidth="1"/>
    <col min="58" max="58" width="17.28515625" style="116" customWidth="1"/>
    <col min="59" max="59" width="15.5703125" style="116" customWidth="1"/>
    <col min="60" max="60" width="38.85546875" style="116" customWidth="1"/>
    <col min="61" max="63" width="18.5703125" style="116" customWidth="1"/>
    <col min="64" max="64" width="12.140625" style="116" customWidth="1"/>
    <col min="65" max="65" width="12" style="116" customWidth="1"/>
    <col min="66" max="66" width="47.7109375" style="116" customWidth="1"/>
    <col min="67" max="69" width="13.7109375" style="116" customWidth="1"/>
    <col min="70" max="70" width="12.140625" style="116" customWidth="1"/>
    <col min="71" max="71" width="13.7109375" style="116" customWidth="1"/>
    <col min="72" max="72" width="36.7109375" style="116" customWidth="1"/>
    <col min="73" max="77" width="13.7109375" style="116" customWidth="1"/>
    <col min="78" max="78" width="8.7109375" style="116"/>
    <col min="83" max="16384" width="8.7109375" style="116"/>
  </cols>
  <sheetData>
    <row r="1" spans="1:77" ht="12.6" customHeight="1">
      <c r="A1" s="373" t="s">
        <v>8502</v>
      </c>
      <c r="B1" s="115"/>
      <c r="C1" s="115"/>
      <c r="D1" s="115"/>
      <c r="E1" s="115"/>
      <c r="F1" s="115"/>
      <c r="G1" s="115"/>
      <c r="H1" s="373" t="s">
        <v>8503</v>
      </c>
      <c r="I1" s="1"/>
      <c r="J1" s="1"/>
      <c r="K1" s="1"/>
      <c r="L1" s="1"/>
      <c r="M1" s="1"/>
      <c r="N1" s="1"/>
      <c r="O1" s="1"/>
      <c r="P1" s="373" t="s">
        <v>8504</v>
      </c>
      <c r="Q1" s="115"/>
      <c r="R1" s="115"/>
      <c r="S1" s="115"/>
      <c r="T1" s="1"/>
      <c r="U1" s="13"/>
      <c r="V1" s="1978" t="s">
        <v>8505</v>
      </c>
      <c r="W1" s="1978"/>
      <c r="X1" s="1979"/>
      <c r="Y1" s="1979"/>
      <c r="Z1" s="1979"/>
      <c r="AA1" s="1979"/>
      <c r="AB1" s="1979"/>
      <c r="AC1" s="1979"/>
      <c r="AD1" s="373" t="s">
        <v>8506</v>
      </c>
      <c r="AE1" s="115"/>
      <c r="AF1" s="115"/>
      <c r="AG1" s="1979"/>
      <c r="AJ1" s="1" t="s">
        <v>8507</v>
      </c>
      <c r="AK1" s="1"/>
      <c r="AL1" s="1"/>
      <c r="AM1" s="1"/>
      <c r="AN1" s="1"/>
      <c r="AO1" s="115"/>
      <c r="AP1" s="115"/>
      <c r="AR1" s="1978" t="s">
        <v>8508</v>
      </c>
      <c r="AS1" s="1978"/>
      <c r="AT1" s="1979"/>
      <c r="AU1" s="1979"/>
      <c r="AV1" s="1979"/>
      <c r="AW1" s="115"/>
      <c r="AX1" s="115"/>
      <c r="AZ1" s="1978" t="s">
        <v>8509</v>
      </c>
      <c r="BA1" s="1978"/>
      <c r="BB1" s="1979"/>
      <c r="BC1" s="1979"/>
      <c r="BD1" s="1979"/>
      <c r="BE1" s="1979"/>
      <c r="BF1" s="1979"/>
      <c r="BG1" s="1799"/>
      <c r="BH1" s="1797" t="s">
        <v>8510</v>
      </c>
      <c r="BK1" s="1799"/>
      <c r="BL1" s="1799"/>
      <c r="BM1" s="1799"/>
      <c r="BN1" s="373" t="s">
        <v>8511</v>
      </c>
      <c r="BO1" s="115"/>
      <c r="BP1" s="115"/>
      <c r="BQ1" s="1979"/>
      <c r="BR1" s="115"/>
      <c r="BS1" s="115"/>
      <c r="BT1" s="1978" t="s">
        <v>8512</v>
      </c>
      <c r="BU1" s="1978"/>
      <c r="BV1" s="1979"/>
      <c r="BW1" s="1979"/>
      <c r="BX1" s="1979"/>
      <c r="BY1" s="115"/>
    </row>
    <row r="2" spans="1:77" ht="12.6" customHeight="1">
      <c r="A2" s="2350" t="s">
        <v>8513</v>
      </c>
      <c r="B2" s="2314">
        <v>2020</v>
      </c>
      <c r="C2" s="2315"/>
      <c r="D2" s="2314">
        <v>2010</v>
      </c>
      <c r="E2" s="2315"/>
      <c r="F2" s="115"/>
      <c r="G2" s="115"/>
      <c r="H2" s="373" t="s">
        <v>1648</v>
      </c>
      <c r="I2" s="1935">
        <v>2020</v>
      </c>
      <c r="J2" s="1935">
        <v>2010</v>
      </c>
      <c r="K2" s="1935">
        <v>2000</v>
      </c>
      <c r="L2" s="1935">
        <v>1990</v>
      </c>
      <c r="M2" s="1936">
        <v>1980</v>
      </c>
      <c r="N2" s="1966"/>
      <c r="O2" s="1966"/>
      <c r="P2" s="373" t="s">
        <v>1648</v>
      </c>
      <c r="Q2" s="1935">
        <v>2020</v>
      </c>
      <c r="R2" s="1936">
        <v>2010</v>
      </c>
      <c r="S2" s="1981" t="s">
        <v>8514</v>
      </c>
      <c r="T2" s="1966"/>
      <c r="U2" s="1801"/>
      <c r="V2" s="1980" t="s">
        <v>1648</v>
      </c>
      <c r="W2" s="1935">
        <v>2020</v>
      </c>
      <c r="X2" s="1935">
        <v>2010</v>
      </c>
      <c r="Y2" s="1935">
        <v>2000</v>
      </c>
      <c r="Z2" s="1935">
        <v>1990</v>
      </c>
      <c r="AA2" s="1936">
        <v>1980</v>
      </c>
      <c r="AB2" s="1966"/>
      <c r="AC2" s="1966"/>
      <c r="AD2" s="373" t="s">
        <v>1648</v>
      </c>
      <c r="AE2" s="1935">
        <v>2020</v>
      </c>
      <c r="AF2" s="1935">
        <v>2010</v>
      </c>
      <c r="AG2" s="1981" t="s">
        <v>8514</v>
      </c>
      <c r="AJ2" s="1980" t="s">
        <v>1648</v>
      </c>
      <c r="AK2" s="1935">
        <v>2020</v>
      </c>
      <c r="AL2" s="1935">
        <v>2010</v>
      </c>
      <c r="AM2" s="1935">
        <v>2000</v>
      </c>
      <c r="AN2" s="1935">
        <v>1990</v>
      </c>
      <c r="AO2" s="1936">
        <v>1980</v>
      </c>
      <c r="AP2" s="1966"/>
      <c r="AR2" s="1980" t="s">
        <v>1648</v>
      </c>
      <c r="AS2" s="1935">
        <v>2020</v>
      </c>
      <c r="AT2" s="1935">
        <v>2010</v>
      </c>
      <c r="AU2" s="1935">
        <v>2000</v>
      </c>
      <c r="AV2" s="1935">
        <v>1990</v>
      </c>
      <c r="AW2" s="1936">
        <v>1980</v>
      </c>
      <c r="AX2" s="1966"/>
      <c r="AZ2" s="1980" t="s">
        <v>1648</v>
      </c>
      <c r="BA2" s="1935">
        <v>2020</v>
      </c>
      <c r="BB2" s="1935">
        <v>2010</v>
      </c>
      <c r="BC2" s="1935">
        <v>2000</v>
      </c>
      <c r="BD2" s="1935">
        <v>1990</v>
      </c>
      <c r="BE2" s="1936">
        <v>1980</v>
      </c>
      <c r="BF2" s="1966"/>
      <c r="BG2" s="1801"/>
      <c r="BH2" s="1803" t="s">
        <v>1648</v>
      </c>
      <c r="BI2" s="1800">
        <v>2020</v>
      </c>
      <c r="BJ2" s="1800">
        <v>2010</v>
      </c>
      <c r="BK2" s="1802" t="s">
        <v>8514</v>
      </c>
      <c r="BL2" s="1804"/>
      <c r="BM2" s="1804"/>
      <c r="BN2" s="2010" t="s">
        <v>1648</v>
      </c>
      <c r="BO2" s="1935">
        <v>2020</v>
      </c>
      <c r="BP2" s="1935">
        <v>2010</v>
      </c>
      <c r="BQ2" s="1981" t="s">
        <v>8514</v>
      </c>
      <c r="BR2" s="115"/>
      <c r="BS2" s="115"/>
      <c r="BT2" s="1980" t="s">
        <v>1648</v>
      </c>
      <c r="BU2" s="1935">
        <v>2020</v>
      </c>
      <c r="BV2" s="1935">
        <v>2010</v>
      </c>
      <c r="BW2" s="1935">
        <v>2000</v>
      </c>
      <c r="BX2" s="1935">
        <v>1990</v>
      </c>
      <c r="BY2" s="1936">
        <v>1980</v>
      </c>
    </row>
    <row r="3" spans="1:77" ht="12.6" customHeight="1">
      <c r="A3" s="2351"/>
      <c r="B3" s="1935" t="s">
        <v>3026</v>
      </c>
      <c r="C3" s="1935" t="s">
        <v>8515</v>
      </c>
      <c r="D3" s="1935" t="s">
        <v>3026</v>
      </c>
      <c r="E3" s="1936" t="s">
        <v>8515</v>
      </c>
      <c r="F3" s="115"/>
      <c r="G3" s="115"/>
      <c r="H3" s="1" t="s">
        <v>8516</v>
      </c>
      <c r="I3" s="1967">
        <v>153836</v>
      </c>
      <c r="J3" s="1967">
        <v>159358</v>
      </c>
      <c r="K3" s="1967">
        <v>154805</v>
      </c>
      <c r="L3" s="1967">
        <v>133152</v>
      </c>
      <c r="M3" s="1967">
        <v>105979</v>
      </c>
      <c r="N3" s="1967"/>
      <c r="O3" s="1967"/>
      <c r="P3" s="1964" t="s">
        <v>8517</v>
      </c>
      <c r="Q3" s="1967"/>
      <c r="R3" s="1967"/>
      <c r="S3" s="1990"/>
      <c r="T3" s="1967"/>
      <c r="U3" s="1805"/>
      <c r="V3" s="1968" t="s">
        <v>8518</v>
      </c>
      <c r="W3" s="1967"/>
      <c r="X3" s="1967"/>
      <c r="Y3" s="1967"/>
      <c r="Z3" s="1967"/>
      <c r="AA3" s="1967"/>
      <c r="AB3" s="1967"/>
      <c r="AC3" s="1967"/>
      <c r="AD3" s="1964" t="s">
        <v>8519</v>
      </c>
      <c r="AE3" s="1967"/>
      <c r="AF3" s="1967"/>
      <c r="AG3" s="1967"/>
      <c r="AJ3" s="781" t="s">
        <v>3017</v>
      </c>
      <c r="AK3" s="1967">
        <v>153836</v>
      </c>
      <c r="AL3" s="1967">
        <v>159358</v>
      </c>
      <c r="AM3" s="1967">
        <v>154805</v>
      </c>
      <c r="AN3" s="1967">
        <v>133152</v>
      </c>
      <c r="AO3" s="1967">
        <v>105979</v>
      </c>
      <c r="AP3" s="1967"/>
      <c r="AR3" s="1" t="s">
        <v>8520</v>
      </c>
      <c r="AS3" s="1"/>
      <c r="AT3" s="1"/>
      <c r="AU3" s="1"/>
      <c r="AV3" s="1"/>
      <c r="AW3" s="1"/>
      <c r="AX3" s="1"/>
      <c r="AZ3" s="1" t="s">
        <v>8521</v>
      </c>
      <c r="BA3" s="1"/>
      <c r="BB3" s="1"/>
      <c r="BC3" s="1"/>
      <c r="BD3" s="1"/>
      <c r="BE3" s="1"/>
      <c r="BF3" s="1"/>
      <c r="BG3" s="13"/>
      <c r="BH3" s="1808" t="s">
        <v>8522</v>
      </c>
      <c r="BI3" s="1809"/>
      <c r="BJ3" s="1809"/>
      <c r="BK3" s="1810"/>
      <c r="BL3" s="1810"/>
      <c r="BM3" s="1810"/>
      <c r="BN3" s="2011" t="s">
        <v>8523</v>
      </c>
      <c r="BO3" s="1969"/>
      <c r="BP3" s="1969"/>
      <c r="BQ3" s="1969"/>
      <c r="BR3" s="115"/>
      <c r="BS3" s="115"/>
      <c r="BT3" s="1" t="s">
        <v>8524</v>
      </c>
      <c r="BU3" s="2012">
        <v>51555</v>
      </c>
      <c r="BV3" s="2012">
        <v>50567</v>
      </c>
      <c r="BW3" s="2012">
        <v>47677</v>
      </c>
      <c r="BX3" s="2012">
        <v>35223</v>
      </c>
      <c r="BY3" s="2012">
        <v>28091</v>
      </c>
    </row>
    <row r="4" spans="1:77" ht="12.6" customHeight="1">
      <c r="A4" s="1937" t="s">
        <v>8525</v>
      </c>
      <c r="B4" s="1938">
        <v>153836</v>
      </c>
      <c r="C4" s="1939">
        <v>51555</v>
      </c>
      <c r="D4" s="1940">
        <v>159358</v>
      </c>
      <c r="E4" s="1940">
        <v>50567</v>
      </c>
      <c r="F4" s="115"/>
      <c r="G4" s="115"/>
      <c r="H4" s="1" t="s">
        <v>3039</v>
      </c>
      <c r="I4" s="1967">
        <f>SUM(I28:I45)</f>
        <v>78271</v>
      </c>
      <c r="J4" s="1967">
        <f>J27</f>
        <v>81552</v>
      </c>
      <c r="K4" s="1967">
        <f>K27</f>
        <v>79181</v>
      </c>
      <c r="L4" s="1967">
        <f>L27</f>
        <v>70945</v>
      </c>
      <c r="M4" s="1967">
        <f>M27</f>
        <v>55321</v>
      </c>
      <c r="N4" s="1967"/>
      <c r="O4" s="1967"/>
      <c r="P4" s="1968" t="s">
        <v>8526</v>
      </c>
      <c r="Q4" s="1945">
        <v>153836</v>
      </c>
      <c r="R4" s="1945">
        <v>159358</v>
      </c>
      <c r="S4" s="1969">
        <f>(Q4-R4)/R4</f>
        <v>-3.4651539301447057E-2</v>
      </c>
      <c r="T4" s="1967"/>
      <c r="U4" s="1805"/>
      <c r="V4" s="1968" t="s">
        <v>8527</v>
      </c>
      <c r="W4" s="1967">
        <f>SUM(W5:W9)</f>
        <v>112962</v>
      </c>
      <c r="X4" s="1967">
        <f>X11+X18</f>
        <v>116039</v>
      </c>
      <c r="Y4" s="1967">
        <v>107649</v>
      </c>
      <c r="Z4" s="1967">
        <v>93200</v>
      </c>
      <c r="AA4" s="1967">
        <v>69007</v>
      </c>
      <c r="AB4" s="1967"/>
      <c r="AC4" s="1967"/>
      <c r="AD4" s="1982" t="s">
        <v>4314</v>
      </c>
      <c r="AE4" s="1983">
        <v>43381</v>
      </c>
      <c r="AF4" s="1983">
        <v>42026</v>
      </c>
      <c r="AG4" s="1969">
        <f>(AE4-AF4)/AF4</f>
        <v>3.224194546233284E-2</v>
      </c>
      <c r="AJ4" s="781" t="s">
        <v>6616</v>
      </c>
      <c r="AK4" s="1967">
        <v>149444</v>
      </c>
      <c r="AL4" s="1967">
        <v>154060</v>
      </c>
      <c r="AM4" s="1967">
        <v>150928</v>
      </c>
      <c r="AN4" s="1967">
        <v>124596</v>
      </c>
      <c r="AO4" s="1967">
        <v>101000</v>
      </c>
      <c r="AP4" s="1967"/>
      <c r="AR4" s="1992" t="s">
        <v>8528</v>
      </c>
      <c r="AS4" s="1967">
        <v>38830</v>
      </c>
      <c r="AT4" s="1967">
        <v>48137</v>
      </c>
      <c r="AU4" s="1967">
        <v>46828</v>
      </c>
      <c r="AV4" s="1967">
        <v>37131</v>
      </c>
      <c r="AW4" s="1967">
        <v>36002</v>
      </c>
      <c r="AX4" s="1967"/>
      <c r="AZ4" s="1" t="s">
        <v>8529</v>
      </c>
      <c r="BA4" s="1995">
        <v>110609</v>
      </c>
      <c r="BB4" s="1995">
        <v>113067</v>
      </c>
      <c r="BC4" s="1995">
        <v>105014</v>
      </c>
      <c r="BD4" s="1995">
        <v>90990</v>
      </c>
      <c r="BE4" s="1995">
        <v>66773</v>
      </c>
      <c r="BF4" s="1995"/>
      <c r="BG4" s="1813"/>
      <c r="BH4" s="1814" t="s">
        <v>8530</v>
      </c>
      <c r="BI4" s="1812">
        <v>103244</v>
      </c>
      <c r="BJ4" s="1812">
        <v>102041</v>
      </c>
      <c r="BK4" s="1810">
        <f>(BI4-BJ4)/BJ4</f>
        <v>1.1789378779118198E-2</v>
      </c>
      <c r="BL4" s="1815"/>
      <c r="BM4" s="1815"/>
      <c r="BN4" s="1974" t="s">
        <v>8531</v>
      </c>
      <c r="BO4" s="1945">
        <v>143241</v>
      </c>
      <c r="BP4" s="1945">
        <v>153625</v>
      </c>
      <c r="BQ4" s="2013">
        <f>(BO4-BP4)/BP4</f>
        <v>-6.7593165174938977E-2</v>
      </c>
      <c r="BR4" s="115"/>
      <c r="BS4" s="115"/>
      <c r="BT4" s="1" t="s">
        <v>8532</v>
      </c>
      <c r="BU4" s="1995"/>
      <c r="BV4" s="1995"/>
      <c r="BW4" s="1995"/>
      <c r="BX4" s="1995"/>
      <c r="BY4" s="1995"/>
    </row>
    <row r="5" spans="1:77" ht="12.6" customHeight="1">
      <c r="A5" s="1941" t="s">
        <v>2251</v>
      </c>
      <c r="B5" s="1942">
        <v>3673</v>
      </c>
      <c r="C5" s="1943">
        <v>1210</v>
      </c>
      <c r="D5" s="1942">
        <v>3808</v>
      </c>
      <c r="E5" s="1942">
        <v>1261</v>
      </c>
      <c r="F5" s="115"/>
      <c r="G5" s="115"/>
      <c r="H5" s="1" t="s">
        <v>3046</v>
      </c>
      <c r="I5" s="1967">
        <f>SUM(I48:I65)</f>
        <v>75565</v>
      </c>
      <c r="J5" s="1967">
        <f>J47</f>
        <v>77806</v>
      </c>
      <c r="K5" s="1967">
        <f>K47</f>
        <v>75624</v>
      </c>
      <c r="L5" s="1967">
        <f>L47</f>
        <v>62207</v>
      </c>
      <c r="M5" s="1967">
        <f>M47</f>
        <v>50658</v>
      </c>
      <c r="N5" s="1967"/>
      <c r="O5" s="1967"/>
      <c r="P5" s="1944" t="s">
        <v>8533</v>
      </c>
      <c r="Q5" s="1945">
        <v>138395</v>
      </c>
      <c r="R5" s="1945">
        <v>144429</v>
      </c>
      <c r="S5" s="1969">
        <f>(Q5-R5)/R5</f>
        <v>-4.1778313219644252E-2</v>
      </c>
      <c r="T5" s="1967"/>
      <c r="U5" s="1805"/>
      <c r="V5" s="1276" t="s">
        <v>3171</v>
      </c>
      <c r="W5" s="1967">
        <f>SUM(W12+W19)</f>
        <v>44085</v>
      </c>
      <c r="X5" s="1967">
        <f t="shared" ref="X5:AA9" si="0">X12+X19</f>
        <v>43795</v>
      </c>
      <c r="Y5" s="1967">
        <f t="shared" si="0"/>
        <v>37711</v>
      </c>
      <c r="Z5" s="1967">
        <f t="shared" si="0"/>
        <v>30759</v>
      </c>
      <c r="AA5" s="1967">
        <f t="shared" si="0"/>
        <v>20675</v>
      </c>
      <c r="AB5" s="1967"/>
      <c r="AC5" s="1967"/>
      <c r="AD5" s="1984" t="s">
        <v>8534</v>
      </c>
      <c r="AE5" s="1983">
        <v>34804</v>
      </c>
      <c r="AF5" s="1983">
        <v>34199</v>
      </c>
      <c r="AG5" s="1969">
        <f t="shared" ref="AG5:AG18" si="1">(AE5-AF5)/AF5</f>
        <v>1.7690575747828882E-2</v>
      </c>
      <c r="AJ5" s="781" t="s">
        <v>8535</v>
      </c>
      <c r="AK5" s="1967">
        <v>43381</v>
      </c>
      <c r="AL5" s="1967">
        <v>42026</v>
      </c>
      <c r="AM5" s="1967">
        <v>38769</v>
      </c>
      <c r="AN5" s="1967">
        <v>24952</v>
      </c>
      <c r="AO5" s="1967">
        <v>21780</v>
      </c>
      <c r="AP5" s="1967"/>
      <c r="AR5" s="1978" t="s">
        <v>8536</v>
      </c>
      <c r="AS5" s="1967">
        <v>1455</v>
      </c>
      <c r="AT5" s="1967">
        <v>1651</v>
      </c>
      <c r="AU5" s="1967">
        <v>1782</v>
      </c>
      <c r="AV5" s="1967" t="s">
        <v>8537</v>
      </c>
      <c r="AW5" s="1967">
        <v>1012</v>
      </c>
      <c r="AX5" s="1967"/>
      <c r="AZ5" s="1" t="s">
        <v>8538</v>
      </c>
      <c r="BA5" s="1995">
        <v>67339</v>
      </c>
      <c r="BB5" s="1995">
        <v>74400</v>
      </c>
      <c r="BC5" s="1995">
        <v>68894</v>
      </c>
      <c r="BD5" s="1995">
        <v>66138</v>
      </c>
      <c r="BE5" s="1995">
        <v>44484</v>
      </c>
      <c r="BF5" s="1995"/>
      <c r="BG5" s="1813"/>
      <c r="BH5" s="1816" t="s">
        <v>8539</v>
      </c>
      <c r="BI5" s="1812">
        <v>7464</v>
      </c>
      <c r="BJ5" s="1812">
        <v>8041</v>
      </c>
      <c r="BK5" s="1810">
        <f t="shared" ref="BK5:BK7" si="2">(BI5-BJ5)/BJ5</f>
        <v>-7.1757244123865194E-2</v>
      </c>
      <c r="BL5" s="1810"/>
      <c r="BM5" s="1810"/>
      <c r="BN5" s="1944" t="s">
        <v>8540</v>
      </c>
      <c r="BO5" s="1945">
        <v>116078</v>
      </c>
      <c r="BP5" s="1945">
        <v>121160</v>
      </c>
      <c r="BQ5" s="2013">
        <f t="shared" ref="BQ5:BQ7" si="3">(BO5-BP5)/BP5</f>
        <v>-4.1944536150544734E-2</v>
      </c>
      <c r="BR5" s="115"/>
      <c r="BS5" s="115"/>
      <c r="BT5" s="1" t="s">
        <v>8541</v>
      </c>
      <c r="BU5" s="1995">
        <v>43381</v>
      </c>
      <c r="BV5" s="1995">
        <v>42026</v>
      </c>
      <c r="BW5" s="1995">
        <v>38769</v>
      </c>
      <c r="BX5" s="1995">
        <v>31373</v>
      </c>
      <c r="BY5" s="1995">
        <v>24834</v>
      </c>
    </row>
    <row r="6" spans="1:77" ht="12.6" customHeight="1">
      <c r="A6" s="1944" t="s">
        <v>8542</v>
      </c>
      <c r="B6" s="1945">
        <v>3616</v>
      </c>
      <c r="C6" s="1946">
        <v>1210</v>
      </c>
      <c r="D6" s="1945">
        <v>3718</v>
      </c>
      <c r="E6" s="1945">
        <v>1236</v>
      </c>
      <c r="F6" s="115"/>
      <c r="G6" s="115"/>
      <c r="H6" s="1"/>
      <c r="I6" s="1967"/>
      <c r="J6" s="1967"/>
      <c r="K6" s="1967"/>
      <c r="L6" s="1967"/>
      <c r="M6" s="1967"/>
      <c r="N6" s="1967"/>
      <c r="O6" s="1967"/>
      <c r="P6" s="1959" t="s">
        <v>8543</v>
      </c>
      <c r="Q6" s="1945">
        <v>70809</v>
      </c>
      <c r="R6" s="1945">
        <v>78582</v>
      </c>
      <c r="S6" s="1969">
        <f>(Q6-R6)/R6</f>
        <v>-9.8915782240207681E-2</v>
      </c>
      <c r="T6" s="1967"/>
      <c r="U6" s="1805"/>
      <c r="V6" s="1276" t="s">
        <v>6645</v>
      </c>
      <c r="W6" s="1967">
        <f t="shared" ref="W6:W9" si="4">SUM(W13+W20)</f>
        <v>55116</v>
      </c>
      <c r="X6" s="1967">
        <f t="shared" si="0"/>
        <v>57856</v>
      </c>
      <c r="Y6" s="1967">
        <f t="shared" si="0"/>
        <v>57505</v>
      </c>
      <c r="Z6" s="1967">
        <f t="shared" si="0"/>
        <v>53811</v>
      </c>
      <c r="AA6" s="1967">
        <f t="shared" si="0"/>
        <v>43307</v>
      </c>
      <c r="AB6" s="1967"/>
      <c r="AC6" s="1967"/>
      <c r="AD6" s="1985" t="s">
        <v>8544</v>
      </c>
      <c r="AE6" s="1983">
        <v>14899</v>
      </c>
      <c r="AF6" s="1983">
        <v>18239</v>
      </c>
      <c r="AG6" s="1969">
        <f t="shared" si="1"/>
        <v>-0.1831240747848018</v>
      </c>
      <c r="AJ6" s="781" t="s">
        <v>8545</v>
      </c>
      <c r="AK6" s="1967">
        <v>23402</v>
      </c>
      <c r="AL6" s="1967">
        <v>22810</v>
      </c>
      <c r="AM6" s="1967">
        <v>22693</v>
      </c>
      <c r="AN6" s="1967">
        <v>21342</v>
      </c>
      <c r="AO6" s="1967">
        <v>18473</v>
      </c>
      <c r="AP6" s="1967"/>
      <c r="AR6" s="1978" t="s">
        <v>6630</v>
      </c>
      <c r="AS6" s="1967">
        <v>2062</v>
      </c>
      <c r="AT6" s="1967">
        <v>2737</v>
      </c>
      <c r="AU6" s="1967">
        <v>3134</v>
      </c>
      <c r="AV6" s="1967" t="s">
        <v>8537</v>
      </c>
      <c r="AW6" s="1967">
        <v>2563</v>
      </c>
      <c r="AX6" s="1967"/>
      <c r="AZ6" s="1" t="s">
        <v>8546</v>
      </c>
      <c r="BA6" s="1995">
        <v>64648</v>
      </c>
      <c r="BB6" s="1995">
        <v>69394</v>
      </c>
      <c r="BC6" s="1995">
        <v>64452</v>
      </c>
      <c r="BD6" s="1995">
        <v>54186</v>
      </c>
      <c r="BE6" s="1995">
        <v>34359</v>
      </c>
      <c r="BF6" s="1995"/>
      <c r="BG6" s="1813"/>
      <c r="BH6" s="1817" t="s">
        <v>8547</v>
      </c>
      <c r="BI6" s="1812">
        <v>5481</v>
      </c>
      <c r="BJ6" s="1812">
        <v>6386</v>
      </c>
      <c r="BK6" s="1810">
        <f t="shared" si="2"/>
        <v>-0.14171625430629503</v>
      </c>
      <c r="BL6" s="1810"/>
      <c r="BM6" s="1810"/>
      <c r="BN6" s="1959" t="s">
        <v>8548</v>
      </c>
      <c r="BO6" s="1945">
        <v>85675</v>
      </c>
      <c r="BP6" s="1945">
        <v>75435</v>
      </c>
      <c r="BQ6" s="2013">
        <f t="shared" si="3"/>
        <v>0.13574600649565852</v>
      </c>
      <c r="BR6" s="115"/>
      <c r="BS6" s="115"/>
      <c r="BT6" s="1200" t="s">
        <v>8549</v>
      </c>
      <c r="BU6" s="1995">
        <v>22545</v>
      </c>
      <c r="BV6" s="1995">
        <v>21140</v>
      </c>
      <c r="BW6" s="1995">
        <v>18747</v>
      </c>
      <c r="BX6" s="1995">
        <v>14308</v>
      </c>
      <c r="BY6" s="1995">
        <v>11469</v>
      </c>
    </row>
    <row r="7" spans="1:77" ht="12.6" customHeight="1">
      <c r="A7" s="1944" t="s">
        <v>8550</v>
      </c>
      <c r="B7" s="1945">
        <v>57</v>
      </c>
      <c r="C7" s="1946">
        <v>0</v>
      </c>
      <c r="D7" s="1945">
        <v>90</v>
      </c>
      <c r="E7" s="1945">
        <v>25</v>
      </c>
      <c r="F7" s="115"/>
      <c r="G7" s="115"/>
      <c r="H7" s="1" t="s">
        <v>8551</v>
      </c>
      <c r="I7" s="1967"/>
      <c r="J7" s="1967"/>
      <c r="K7" s="1967"/>
      <c r="L7" s="1967"/>
      <c r="M7" s="1967"/>
      <c r="N7" s="1967"/>
      <c r="O7" s="1967"/>
      <c r="P7" s="1970" t="s">
        <v>1704</v>
      </c>
      <c r="Q7" s="1945">
        <v>92</v>
      </c>
      <c r="R7" s="1945">
        <v>242</v>
      </c>
      <c r="S7" s="1969">
        <f t="shared" ref="S7:S33" si="5">(Q7-R7)/R7</f>
        <v>-0.6198347107438017</v>
      </c>
      <c r="T7" s="1967"/>
      <c r="U7" s="1805"/>
      <c r="V7" s="1276" t="s">
        <v>3167</v>
      </c>
      <c r="W7" s="1967">
        <f t="shared" si="4"/>
        <v>1196</v>
      </c>
      <c r="X7" s="1967">
        <f t="shared" si="0"/>
        <v>1776</v>
      </c>
      <c r="Y7" s="1967">
        <f t="shared" si="0"/>
        <v>1453</v>
      </c>
      <c r="Z7" s="1967">
        <f t="shared" si="0"/>
        <v>906</v>
      </c>
      <c r="AA7" s="1967">
        <f t="shared" si="0"/>
        <v>734</v>
      </c>
      <c r="AB7" s="1967"/>
      <c r="AC7" s="1967"/>
      <c r="AD7" s="1985" t="s">
        <v>8552</v>
      </c>
      <c r="AE7" s="1983">
        <v>23402</v>
      </c>
      <c r="AF7" s="1983">
        <v>22810</v>
      </c>
      <c r="AG7" s="1969">
        <f t="shared" si="1"/>
        <v>2.5953529153879877E-2</v>
      </c>
      <c r="AJ7" s="781" t="s">
        <v>8553</v>
      </c>
      <c r="AK7" s="1967">
        <v>51414</v>
      </c>
      <c r="AL7" s="1967">
        <v>57729</v>
      </c>
      <c r="AM7" s="1967">
        <v>58982</v>
      </c>
      <c r="AN7" s="1967">
        <v>52497</v>
      </c>
      <c r="AO7" s="1967">
        <v>47134</v>
      </c>
      <c r="AP7" s="1967"/>
      <c r="AR7" s="1978" t="s">
        <v>8554</v>
      </c>
      <c r="AS7" s="1967">
        <v>18069</v>
      </c>
      <c r="AT7" s="1967">
        <v>22994</v>
      </c>
      <c r="AU7" s="1967">
        <v>23969</v>
      </c>
      <c r="AV7" s="1967">
        <v>19573</v>
      </c>
      <c r="AW7" s="1967">
        <v>19728</v>
      </c>
      <c r="AX7" s="1967"/>
      <c r="AZ7" s="1" t="s">
        <v>8555</v>
      </c>
      <c r="BA7" s="1995">
        <v>58078</v>
      </c>
      <c r="BB7" s="1995">
        <v>63678</v>
      </c>
      <c r="BC7" s="1995">
        <v>57053</v>
      </c>
      <c r="BD7" s="1995">
        <v>52144</v>
      </c>
      <c r="BE7" s="1995">
        <v>32692</v>
      </c>
      <c r="BF7" s="1995"/>
      <c r="BG7" s="1813"/>
      <c r="BH7" s="1818" t="s">
        <v>8556</v>
      </c>
      <c r="BI7" s="1819">
        <v>1983</v>
      </c>
      <c r="BJ7" s="1819">
        <v>1655</v>
      </c>
      <c r="BK7" s="1820">
        <f t="shared" si="2"/>
        <v>0.19818731117824773</v>
      </c>
      <c r="BL7" s="1821"/>
      <c r="BM7" s="1821"/>
      <c r="BN7" s="1959" t="s">
        <v>8557</v>
      </c>
      <c r="BO7" s="1945">
        <v>43422</v>
      </c>
      <c r="BP7" s="1945">
        <v>34405</v>
      </c>
      <c r="BQ7" s="2013">
        <f t="shared" si="3"/>
        <v>0.26208399941868915</v>
      </c>
      <c r="BR7" s="115"/>
      <c r="BS7" s="115"/>
      <c r="BT7" s="1200" t="s">
        <v>8558</v>
      </c>
      <c r="BU7" s="1995">
        <v>20836</v>
      </c>
      <c r="BV7" s="1995">
        <v>20886</v>
      </c>
      <c r="BW7" s="1995">
        <v>20022</v>
      </c>
      <c r="BX7" s="1995">
        <v>17065</v>
      </c>
      <c r="BY7" s="1995">
        <v>13365</v>
      </c>
    </row>
    <row r="8" spans="1:77" ht="12.6" customHeight="1">
      <c r="A8" s="1941" t="s">
        <v>2381</v>
      </c>
      <c r="B8" s="1942">
        <v>4515</v>
      </c>
      <c r="C8" s="1943">
        <v>1472</v>
      </c>
      <c r="D8" s="1942">
        <v>4917</v>
      </c>
      <c r="E8" s="1942">
        <v>1508</v>
      </c>
      <c r="F8" s="115"/>
      <c r="G8" s="115"/>
      <c r="H8" s="781" t="s">
        <v>2832</v>
      </c>
      <c r="I8" s="1967">
        <v>10626</v>
      </c>
      <c r="J8" s="1967">
        <v>14289</v>
      </c>
      <c r="K8" s="1967">
        <v>16785</v>
      </c>
      <c r="L8" s="1967">
        <v>15097</v>
      </c>
      <c r="M8" s="1967">
        <v>13002</v>
      </c>
      <c r="N8" s="1967"/>
      <c r="O8" s="1967"/>
      <c r="P8" s="1970" t="s">
        <v>1705</v>
      </c>
      <c r="Q8" s="1945">
        <v>50420</v>
      </c>
      <c r="R8" s="1945">
        <v>59381</v>
      </c>
      <c r="S8" s="1969">
        <f t="shared" si="5"/>
        <v>-0.15090685572826326</v>
      </c>
      <c r="T8" s="1967"/>
      <c r="U8" s="1805"/>
      <c r="V8" s="1276" t="s">
        <v>3162</v>
      </c>
      <c r="W8" s="1967">
        <f t="shared" si="4"/>
        <v>6011</v>
      </c>
      <c r="X8" s="1967">
        <f t="shared" si="0"/>
        <v>5303</v>
      </c>
      <c r="Y8" s="1967">
        <f t="shared" si="0"/>
        <v>4253</v>
      </c>
      <c r="Z8" s="1967">
        <f t="shared" si="0"/>
        <v>3193</v>
      </c>
      <c r="AA8" s="1967">
        <f t="shared" si="0"/>
        <v>2311</v>
      </c>
      <c r="AB8" s="1967"/>
      <c r="AC8" s="1967"/>
      <c r="AD8" s="1986" t="s">
        <v>8544</v>
      </c>
      <c r="AE8" s="1983">
        <v>9958</v>
      </c>
      <c r="AF8" s="1983">
        <v>12011</v>
      </c>
      <c r="AG8" s="1969">
        <f t="shared" si="1"/>
        <v>-0.17092665057031056</v>
      </c>
      <c r="AJ8" s="781" t="s">
        <v>8559</v>
      </c>
      <c r="AK8" s="1967">
        <v>31514</v>
      </c>
      <c r="AL8" s="1967">
        <v>40043</v>
      </c>
      <c r="AM8" s="1967">
        <v>42353</v>
      </c>
      <c r="AN8" s="1967">
        <v>39352</v>
      </c>
      <c r="AO8" s="1967">
        <v>39521</v>
      </c>
      <c r="AP8" s="1967"/>
      <c r="AR8" s="1978" t="s">
        <v>8560</v>
      </c>
      <c r="AS8" s="1967">
        <v>9235</v>
      </c>
      <c r="AT8" s="1967">
        <v>12154</v>
      </c>
      <c r="AU8" s="1967">
        <v>10664</v>
      </c>
      <c r="AV8" s="1967">
        <v>9429</v>
      </c>
      <c r="AW8" s="1967">
        <v>8562</v>
      </c>
      <c r="AX8" s="1967"/>
      <c r="AZ8" s="1" t="s">
        <v>8561</v>
      </c>
      <c r="BA8" s="1996" t="s">
        <v>8562</v>
      </c>
      <c r="BB8" s="1995">
        <v>2606</v>
      </c>
      <c r="BC8" s="1995">
        <v>4480</v>
      </c>
      <c r="BD8" s="1995">
        <v>1517</v>
      </c>
      <c r="BE8" s="1995">
        <v>1458</v>
      </c>
      <c r="BF8" s="1995"/>
      <c r="BG8" s="1813"/>
      <c r="BH8" s="1822" t="s">
        <v>8563</v>
      </c>
      <c r="BI8" s="1813"/>
      <c r="BJ8" s="1813"/>
      <c r="BK8" s="1813"/>
      <c r="BL8" s="1821"/>
      <c r="BM8" s="1821"/>
      <c r="BN8" s="1959" t="s">
        <v>8564</v>
      </c>
      <c r="BO8" s="2014" t="s">
        <v>8562</v>
      </c>
      <c r="BP8" s="1945">
        <v>11320</v>
      </c>
      <c r="BQ8" s="2015" t="s">
        <v>8562</v>
      </c>
      <c r="BR8" s="115"/>
      <c r="BS8" s="115"/>
      <c r="BT8" s="1"/>
      <c r="BU8" s="1995"/>
      <c r="BV8" s="1995"/>
      <c r="BW8" s="1995"/>
      <c r="BX8" s="1995"/>
      <c r="BY8" s="1995"/>
    </row>
    <row r="9" spans="1:77" ht="12.6" customHeight="1">
      <c r="A9" s="1944" t="s">
        <v>8565</v>
      </c>
      <c r="B9" s="1945">
        <v>3292</v>
      </c>
      <c r="C9" s="1946">
        <v>1149</v>
      </c>
      <c r="D9" s="1945">
        <v>3677</v>
      </c>
      <c r="E9" s="1945">
        <v>1197</v>
      </c>
      <c r="F9" s="115"/>
      <c r="G9" s="115"/>
      <c r="H9" s="781" t="s">
        <v>1674</v>
      </c>
      <c r="I9" s="1967">
        <v>11439</v>
      </c>
      <c r="J9" s="1967">
        <v>13984</v>
      </c>
      <c r="K9" s="1967">
        <v>16090</v>
      </c>
      <c r="L9" s="1967">
        <v>13078</v>
      </c>
      <c r="M9" s="1967">
        <v>12632</v>
      </c>
      <c r="N9" s="1967"/>
      <c r="O9" s="1967"/>
      <c r="P9" s="1970" t="s">
        <v>2653</v>
      </c>
      <c r="Q9" s="1945">
        <v>10274</v>
      </c>
      <c r="R9" s="1945">
        <v>11230</v>
      </c>
      <c r="S9" s="1969">
        <f t="shared" si="5"/>
        <v>-8.5129118432769366E-2</v>
      </c>
      <c r="T9" s="1967"/>
      <c r="U9" s="1805"/>
      <c r="V9" s="1276" t="s">
        <v>6253</v>
      </c>
      <c r="W9" s="1967">
        <f t="shared" si="4"/>
        <v>6554</v>
      </c>
      <c r="X9" s="1967">
        <f t="shared" si="0"/>
        <v>7309</v>
      </c>
      <c r="Y9" s="1967">
        <f t="shared" si="0"/>
        <v>6727</v>
      </c>
      <c r="Z9" s="1967">
        <f t="shared" si="0"/>
        <v>4531</v>
      </c>
      <c r="AA9" s="1967">
        <f t="shared" si="0"/>
        <v>1980</v>
      </c>
      <c r="AB9" s="1967"/>
      <c r="AC9" s="1967"/>
      <c r="AD9" s="1985" t="s">
        <v>8566</v>
      </c>
      <c r="AE9" s="1983">
        <v>3631</v>
      </c>
      <c r="AF9" s="1983">
        <v>3741</v>
      </c>
      <c r="AG9" s="1969">
        <f t="shared" si="1"/>
        <v>-2.9403902699812884E-2</v>
      </c>
      <c r="AJ9" s="781" t="s">
        <v>8567</v>
      </c>
      <c r="AK9" s="1967">
        <v>11303</v>
      </c>
      <c r="AL9" s="1967">
        <v>10484</v>
      </c>
      <c r="AM9" s="1967" t="s">
        <v>8537</v>
      </c>
      <c r="AN9" s="1967" t="s">
        <v>8537</v>
      </c>
      <c r="AO9" s="1967" t="s">
        <v>8537</v>
      </c>
      <c r="AP9" s="1967"/>
      <c r="AR9" s="1978" t="s">
        <v>8568</v>
      </c>
      <c r="AS9" s="1967">
        <v>8009</v>
      </c>
      <c r="AT9" s="1967">
        <v>8601</v>
      </c>
      <c r="AU9" s="1967">
        <v>7279</v>
      </c>
      <c r="AV9" s="1967">
        <v>5949</v>
      </c>
      <c r="AW9" s="1967">
        <v>4137</v>
      </c>
      <c r="AX9" s="1967"/>
      <c r="AZ9" s="1" t="s">
        <v>8569</v>
      </c>
      <c r="BA9" s="1995">
        <v>6570</v>
      </c>
      <c r="BB9" s="1995">
        <v>5716</v>
      </c>
      <c r="BC9" s="1995">
        <v>7399</v>
      </c>
      <c r="BD9" s="1995">
        <v>2042</v>
      </c>
      <c r="BE9" s="1995">
        <v>1667</v>
      </c>
      <c r="BF9" s="1995"/>
      <c r="BG9" s="1813"/>
      <c r="BH9" s="1822"/>
      <c r="BI9" s="1813"/>
      <c r="BJ9" s="1813"/>
      <c r="BK9" s="1813"/>
      <c r="BL9" s="1813"/>
      <c r="BM9" s="1813"/>
      <c r="BN9" s="1944" t="s">
        <v>8570</v>
      </c>
      <c r="BO9" s="1945">
        <v>27163</v>
      </c>
      <c r="BP9" s="1945">
        <v>32465</v>
      </c>
      <c r="BQ9" s="2013">
        <f>(BO9-BP9)/BP9</f>
        <v>-0.16331433851840443</v>
      </c>
      <c r="BR9" s="115"/>
      <c r="BS9" s="115"/>
      <c r="BT9" s="1" t="s">
        <v>8571</v>
      </c>
      <c r="BU9" s="1995"/>
      <c r="BV9" s="1995"/>
      <c r="BW9" s="1995"/>
      <c r="BX9" s="1995"/>
      <c r="BY9" s="1995"/>
    </row>
    <row r="10" spans="1:77" ht="12.6" customHeight="1">
      <c r="A10" s="1941" t="s">
        <v>2252</v>
      </c>
      <c r="B10" s="1942">
        <v>2011</v>
      </c>
      <c r="C10" s="1943">
        <v>714</v>
      </c>
      <c r="D10" s="1942">
        <v>2137</v>
      </c>
      <c r="E10" s="1942">
        <v>751</v>
      </c>
      <c r="F10" s="115"/>
      <c r="G10" s="115"/>
      <c r="H10" s="781" t="s">
        <v>3370</v>
      </c>
      <c r="I10" s="1967">
        <v>12232</v>
      </c>
      <c r="J10" s="1967">
        <v>15046</v>
      </c>
      <c r="K10" s="1967">
        <v>14281</v>
      </c>
      <c r="L10" s="1967">
        <v>11777</v>
      </c>
      <c r="M10" s="1967">
        <v>11338</v>
      </c>
      <c r="N10" s="1967"/>
      <c r="O10" s="1967"/>
      <c r="P10" s="1970" t="s">
        <v>2643</v>
      </c>
      <c r="Q10" s="1945">
        <v>63</v>
      </c>
      <c r="R10" s="1947" t="s">
        <v>4391</v>
      </c>
      <c r="S10" s="1947" t="s">
        <v>4391</v>
      </c>
      <c r="T10" s="1967"/>
      <c r="U10" s="1805"/>
      <c r="V10" s="1967"/>
      <c r="W10" s="1967"/>
      <c r="X10" s="1967"/>
      <c r="Y10" s="1967"/>
      <c r="Z10" s="1967"/>
      <c r="AA10" s="1967"/>
      <c r="AB10" s="1967"/>
      <c r="AC10" s="1967"/>
      <c r="AD10" s="1986" t="s">
        <v>8544</v>
      </c>
      <c r="AE10" s="1983">
        <v>1468</v>
      </c>
      <c r="AF10" s="1983">
        <v>2030</v>
      </c>
      <c r="AG10" s="1969">
        <f t="shared" si="1"/>
        <v>-0.27684729064039409</v>
      </c>
      <c r="AJ10" s="781" t="s">
        <v>6687</v>
      </c>
      <c r="AK10" s="1967">
        <v>24424</v>
      </c>
      <c r="AL10" s="1967">
        <v>24560</v>
      </c>
      <c r="AM10" s="1967">
        <v>24258</v>
      </c>
      <c r="AN10" s="1967">
        <v>8552</v>
      </c>
      <c r="AO10" s="1967">
        <v>4781</v>
      </c>
      <c r="AP10" s="1967"/>
      <c r="AR10" s="1"/>
      <c r="AS10" s="1"/>
      <c r="AT10" s="1"/>
      <c r="AU10" s="1"/>
      <c r="AV10" s="1"/>
      <c r="AW10" s="1"/>
      <c r="AX10" s="1"/>
      <c r="AZ10" s="1" t="s">
        <v>8572</v>
      </c>
      <c r="BA10" s="1995">
        <v>2691</v>
      </c>
      <c r="BB10" s="1995">
        <v>5006</v>
      </c>
      <c r="BC10" s="1995">
        <v>4442</v>
      </c>
      <c r="BD10" s="1995">
        <v>11952</v>
      </c>
      <c r="BE10" s="1995">
        <v>10006</v>
      </c>
      <c r="BF10" s="1995"/>
      <c r="BG10" s="1813"/>
      <c r="BH10" s="1823"/>
      <c r="BI10" s="1824"/>
      <c r="BJ10" s="1824"/>
      <c r="BK10" s="1824"/>
      <c r="BL10" s="1813"/>
      <c r="BM10" s="1813"/>
      <c r="BN10" s="1944"/>
      <c r="BO10" s="1945"/>
      <c r="BP10" s="1945"/>
      <c r="BQ10" s="1947"/>
      <c r="BR10" s="115"/>
      <c r="BS10" s="115"/>
      <c r="BT10" s="1200" t="s">
        <v>6633</v>
      </c>
      <c r="BU10" s="1995">
        <v>8174</v>
      </c>
      <c r="BV10" s="1995">
        <v>8541</v>
      </c>
      <c r="BW10" s="1995">
        <v>8908</v>
      </c>
      <c r="BX10" s="1995">
        <v>3850</v>
      </c>
      <c r="BY10" s="1995">
        <v>3257</v>
      </c>
    </row>
    <row r="11" spans="1:77" ht="12.6" customHeight="1">
      <c r="A11" s="1944" t="s">
        <v>8573</v>
      </c>
      <c r="B11" s="1945">
        <v>860</v>
      </c>
      <c r="C11" s="1946">
        <v>270</v>
      </c>
      <c r="D11" s="1945">
        <v>853</v>
      </c>
      <c r="E11" s="1945">
        <v>285</v>
      </c>
      <c r="F11" s="115"/>
      <c r="G11" s="115"/>
      <c r="H11" s="781" t="s">
        <v>6657</v>
      </c>
      <c r="I11" s="1967">
        <v>11782</v>
      </c>
      <c r="J11" s="1967">
        <v>14408</v>
      </c>
      <c r="K11" s="1967">
        <v>12379</v>
      </c>
      <c r="L11" s="1967">
        <v>12121</v>
      </c>
      <c r="M11" s="1967">
        <v>10993</v>
      </c>
      <c r="N11" s="1967"/>
      <c r="O11" s="1967"/>
      <c r="P11" s="1970" t="s">
        <v>2654</v>
      </c>
      <c r="Q11" s="1945">
        <v>456</v>
      </c>
      <c r="R11" s="1945">
        <v>425</v>
      </c>
      <c r="S11" s="1969">
        <f t="shared" si="5"/>
        <v>7.2941176470588232E-2</v>
      </c>
      <c r="T11" s="1967"/>
      <c r="U11" s="1805"/>
      <c r="V11" s="1968" t="s">
        <v>8574</v>
      </c>
      <c r="W11" s="1967">
        <f>SUM(W12:W16)</f>
        <v>55860</v>
      </c>
      <c r="X11" s="1967">
        <f>SUM(X12:X16)</f>
        <v>59246</v>
      </c>
      <c r="Y11" s="1967">
        <f>SUM(Y12:Y16)</f>
        <v>54872</v>
      </c>
      <c r="Z11" s="1967">
        <f>SUM(Z12:Z16)</f>
        <v>50564</v>
      </c>
      <c r="AA11" s="1967">
        <f>SUM(AA12:AA16)</f>
        <v>36408</v>
      </c>
      <c r="AB11" s="1967"/>
      <c r="AC11" s="1967"/>
      <c r="AD11" s="1985" t="s">
        <v>8575</v>
      </c>
      <c r="AE11" s="1983">
        <v>7771</v>
      </c>
      <c r="AF11" s="1983">
        <v>7648</v>
      </c>
      <c r="AG11" s="1969">
        <f t="shared" si="1"/>
        <v>1.6082635983263597E-2</v>
      </c>
      <c r="AJ11" s="781" t="s">
        <v>8559</v>
      </c>
      <c r="AK11" s="1967">
        <v>9384</v>
      </c>
      <c r="AL11" s="1967">
        <v>11429</v>
      </c>
      <c r="AM11" s="1967">
        <v>11767</v>
      </c>
      <c r="AN11" s="1967">
        <v>1931</v>
      </c>
      <c r="AO11" s="1967">
        <v>3499</v>
      </c>
      <c r="AP11" s="1967"/>
      <c r="AR11" s="1" t="s">
        <v>8576</v>
      </c>
      <c r="AS11" s="1979"/>
      <c r="AT11" s="1979"/>
      <c r="AU11" s="1979"/>
      <c r="AV11" s="1979"/>
      <c r="AW11" s="1979"/>
      <c r="AX11" s="1979"/>
      <c r="AZ11" s="1" t="s">
        <v>8577</v>
      </c>
      <c r="BA11" s="1995">
        <v>43270</v>
      </c>
      <c r="BB11" s="1995">
        <v>38667</v>
      </c>
      <c r="BC11" s="1995">
        <v>36120</v>
      </c>
      <c r="BD11" s="1995">
        <v>24852</v>
      </c>
      <c r="BE11" s="1995">
        <v>22289</v>
      </c>
      <c r="BF11" s="1995"/>
      <c r="BG11" s="1813"/>
      <c r="BL11" s="1813"/>
      <c r="BM11" s="1813"/>
      <c r="BN11" s="2011" t="s">
        <v>8578</v>
      </c>
      <c r="BO11" s="1945"/>
      <c r="BP11" s="1945"/>
      <c r="BQ11" s="1947"/>
      <c r="BR11" s="115"/>
      <c r="BS11" s="115"/>
      <c r="BT11" s="1999" t="s">
        <v>8579</v>
      </c>
      <c r="BU11" s="1998">
        <v>202</v>
      </c>
      <c r="BV11" s="1998">
        <v>411</v>
      </c>
      <c r="BW11" s="1998">
        <v>196</v>
      </c>
      <c r="BX11" s="1998">
        <v>130</v>
      </c>
      <c r="BY11" s="1998">
        <v>198</v>
      </c>
    </row>
    <row r="12" spans="1:77" ht="12.6" customHeight="1">
      <c r="A12" s="1944" t="s">
        <v>8580</v>
      </c>
      <c r="B12" s="1945">
        <v>676</v>
      </c>
      <c r="C12" s="1946">
        <v>257</v>
      </c>
      <c r="D12" s="1945">
        <v>809</v>
      </c>
      <c r="E12" s="1945">
        <v>273</v>
      </c>
      <c r="F12" s="115"/>
      <c r="G12" s="115"/>
      <c r="H12" s="781" t="s">
        <v>6669</v>
      </c>
      <c r="I12" s="1967">
        <v>11889</v>
      </c>
      <c r="J12" s="1967">
        <v>12375</v>
      </c>
      <c r="K12" s="1967">
        <v>11989</v>
      </c>
      <c r="L12" s="1967">
        <v>14379</v>
      </c>
      <c r="M12" s="1967">
        <v>11108</v>
      </c>
      <c r="N12" s="1967"/>
      <c r="O12" s="1967"/>
      <c r="P12" s="1970" t="s">
        <v>2652</v>
      </c>
      <c r="Q12" s="1945">
        <v>180</v>
      </c>
      <c r="R12" s="1945">
        <v>315</v>
      </c>
      <c r="S12" s="1969">
        <f t="shared" si="5"/>
        <v>-0.42857142857142855</v>
      </c>
      <c r="T12" s="1967"/>
      <c r="U12" s="1805"/>
      <c r="V12" s="1276" t="s">
        <v>3171</v>
      </c>
      <c r="W12" s="1967">
        <v>23578</v>
      </c>
      <c r="X12" s="1967">
        <v>23958</v>
      </c>
      <c r="Y12" s="1967">
        <v>20570</v>
      </c>
      <c r="Z12" s="1967">
        <v>18341</v>
      </c>
      <c r="AA12" s="1967">
        <v>12122</v>
      </c>
      <c r="AB12" s="1967"/>
      <c r="AC12" s="1967"/>
      <c r="AD12" s="1985" t="s">
        <v>8544</v>
      </c>
      <c r="AE12" s="1983">
        <v>3473</v>
      </c>
      <c r="AF12" s="1983">
        <v>4198</v>
      </c>
      <c r="AG12" s="1969">
        <f t="shared" si="1"/>
        <v>-0.1727012863268223</v>
      </c>
      <c r="AJ12" s="781" t="s">
        <v>8581</v>
      </c>
      <c r="AK12" s="1967">
        <v>3476</v>
      </c>
      <c r="AL12" s="1967">
        <v>2143</v>
      </c>
      <c r="AM12" s="1967" t="s">
        <v>8537</v>
      </c>
      <c r="AN12" s="1967" t="s">
        <v>8537</v>
      </c>
      <c r="AO12" s="1967" t="s">
        <v>8537</v>
      </c>
      <c r="AP12" s="1967"/>
      <c r="AR12" s="1992" t="s">
        <v>8582</v>
      </c>
      <c r="AS12" s="1967">
        <v>91188</v>
      </c>
      <c r="AT12" s="1967">
        <v>48137</v>
      </c>
      <c r="AU12" s="1967">
        <v>46828</v>
      </c>
      <c r="AV12" s="1967">
        <v>37131</v>
      </c>
      <c r="AW12" s="1967">
        <v>36002</v>
      </c>
      <c r="AX12" s="1967"/>
      <c r="AZ12" s="373" t="s">
        <v>8583</v>
      </c>
      <c r="BA12" s="1997" t="s">
        <v>8562</v>
      </c>
      <c r="BB12" s="1998">
        <v>710</v>
      </c>
      <c r="BC12" s="1998">
        <v>2382</v>
      </c>
      <c r="BD12" s="1998">
        <v>396</v>
      </c>
      <c r="BE12" s="1998">
        <v>382</v>
      </c>
      <c r="BF12" s="1995"/>
      <c r="BG12" s="1813"/>
      <c r="BH12" s="1813"/>
      <c r="BI12" s="1813"/>
      <c r="BJ12" s="1813"/>
      <c r="BK12" s="1813"/>
      <c r="BL12" s="1813"/>
      <c r="BM12" s="1813"/>
      <c r="BN12" s="1974" t="s">
        <v>8584</v>
      </c>
      <c r="BO12" s="2014" t="s">
        <v>8562</v>
      </c>
      <c r="BP12" s="1945">
        <v>52250</v>
      </c>
      <c r="BQ12" s="2014" t="s">
        <v>8562</v>
      </c>
      <c r="BR12" s="115"/>
      <c r="BS12" s="115"/>
      <c r="BT12" s="1808" t="s">
        <v>8585</v>
      </c>
      <c r="BU12" s="13"/>
      <c r="BV12" s="1"/>
      <c r="BW12" s="1"/>
      <c r="BX12" s="1"/>
      <c r="BY12" s="115"/>
    </row>
    <row r="13" spans="1:77" ht="12.6" customHeight="1">
      <c r="A13" s="1944" t="s">
        <v>8586</v>
      </c>
      <c r="B13" s="1945">
        <v>123</v>
      </c>
      <c r="C13" s="1946">
        <v>59</v>
      </c>
      <c r="D13" s="1945">
        <v>180</v>
      </c>
      <c r="E13" s="1945">
        <v>80</v>
      </c>
      <c r="F13" s="115"/>
      <c r="G13" s="115"/>
      <c r="H13" s="781" t="s">
        <v>3374</v>
      </c>
      <c r="I13" s="1967">
        <v>11463</v>
      </c>
      <c r="J13" s="1967">
        <v>10743</v>
      </c>
      <c r="K13" s="1967">
        <v>12944</v>
      </c>
      <c r="L13" s="1967">
        <v>13490</v>
      </c>
      <c r="M13" s="1967">
        <v>10324</v>
      </c>
      <c r="N13" s="1967"/>
      <c r="O13" s="1967"/>
      <c r="P13" s="1970" t="s">
        <v>1703</v>
      </c>
      <c r="Q13" s="1945">
        <v>126</v>
      </c>
      <c r="R13" s="1947" t="s">
        <v>4391</v>
      </c>
      <c r="S13" s="1947" t="s">
        <v>4391</v>
      </c>
      <c r="T13" s="1967"/>
      <c r="U13" s="1805"/>
      <c r="V13" s="1276" t="s">
        <v>6645</v>
      </c>
      <c r="W13" s="1967">
        <v>27598</v>
      </c>
      <c r="X13" s="1967">
        <v>30025</v>
      </c>
      <c r="Y13" s="1967">
        <v>29829</v>
      </c>
      <c r="Z13" s="1967">
        <v>29048</v>
      </c>
      <c r="AA13" s="1967">
        <v>22637</v>
      </c>
      <c r="AB13" s="1967"/>
      <c r="AC13" s="1967"/>
      <c r="AD13" s="1984" t="s">
        <v>8587</v>
      </c>
      <c r="AE13" s="1983">
        <v>8577</v>
      </c>
      <c r="AF13" s="1983">
        <v>7827</v>
      </c>
      <c r="AG13" s="1969">
        <f t="shared" si="1"/>
        <v>9.5822154082023769E-2</v>
      </c>
      <c r="AJ13" s="781" t="s">
        <v>6706</v>
      </c>
      <c r="AK13" s="1967">
        <v>3115</v>
      </c>
      <c r="AL13" s="1967">
        <v>6935</v>
      </c>
      <c r="AM13" s="1967">
        <v>6226</v>
      </c>
      <c r="AN13" s="1967">
        <v>4068</v>
      </c>
      <c r="AO13" s="1967">
        <v>2116</v>
      </c>
      <c r="AP13" s="1967"/>
      <c r="AR13" s="781" t="s">
        <v>8588</v>
      </c>
      <c r="AS13" s="1993">
        <v>4100</v>
      </c>
      <c r="AT13" s="1993">
        <v>6917</v>
      </c>
      <c r="AU13" s="1967">
        <v>7843</v>
      </c>
      <c r="AV13" s="1967">
        <v>9238</v>
      </c>
      <c r="AW13" s="1967">
        <v>9973</v>
      </c>
      <c r="AX13" s="1967"/>
      <c r="AZ13" s="1808" t="s">
        <v>8585</v>
      </c>
      <c r="BA13" s="13"/>
      <c r="BB13" s="1"/>
      <c r="BC13" s="1"/>
      <c r="BD13" s="1"/>
      <c r="BE13" s="1"/>
      <c r="BF13" s="1"/>
      <c r="BG13" s="13"/>
      <c r="BH13" s="13"/>
      <c r="BI13" s="13"/>
      <c r="BJ13" s="13"/>
      <c r="BK13" s="13"/>
      <c r="BL13" s="13"/>
      <c r="BM13" s="13"/>
      <c r="BN13" s="1944" t="s">
        <v>8589</v>
      </c>
      <c r="BO13" s="2014" t="s">
        <v>8562</v>
      </c>
      <c r="BP13" s="1945">
        <v>44631</v>
      </c>
      <c r="BQ13" s="2014" t="s">
        <v>8562</v>
      </c>
      <c r="BR13" s="115"/>
      <c r="BS13" s="115"/>
      <c r="BT13" s="1"/>
      <c r="BU13" s="1"/>
      <c r="BV13" s="1"/>
      <c r="BW13" s="1"/>
      <c r="BX13" s="1"/>
      <c r="BY13" s="115"/>
    </row>
    <row r="14" spans="1:77" ht="12.6" customHeight="1">
      <c r="A14" s="1941" t="s">
        <v>2253</v>
      </c>
      <c r="B14" s="1942">
        <v>7956</v>
      </c>
      <c r="C14" s="1943">
        <v>2533</v>
      </c>
      <c r="D14" s="1942">
        <v>8875</v>
      </c>
      <c r="E14" s="1942">
        <v>2650</v>
      </c>
      <c r="F14" s="115"/>
      <c r="G14" s="115"/>
      <c r="H14" s="781" t="s">
        <v>6681</v>
      </c>
      <c r="I14" s="1967">
        <v>10028</v>
      </c>
      <c r="J14" s="1967">
        <v>10346</v>
      </c>
      <c r="K14" s="1967">
        <v>12906</v>
      </c>
      <c r="L14" s="1967">
        <v>11786</v>
      </c>
      <c r="M14" s="1967">
        <v>9289</v>
      </c>
      <c r="N14" s="1967"/>
      <c r="O14" s="1967"/>
      <c r="P14" s="1970" t="s">
        <v>2649</v>
      </c>
      <c r="Q14" s="1945">
        <v>2149</v>
      </c>
      <c r="R14" s="1945">
        <v>2563</v>
      </c>
      <c r="S14" s="1969">
        <f t="shared" si="5"/>
        <v>-0.16152945766679672</v>
      </c>
      <c r="T14" s="1967"/>
      <c r="U14" s="1805"/>
      <c r="V14" s="1276" t="s">
        <v>3167</v>
      </c>
      <c r="W14" s="1967">
        <v>534</v>
      </c>
      <c r="X14" s="1967">
        <v>831</v>
      </c>
      <c r="Y14" s="1967">
        <v>608</v>
      </c>
      <c r="Z14" s="1967">
        <v>436</v>
      </c>
      <c r="AA14" s="1967">
        <v>320</v>
      </c>
      <c r="AB14" s="1967"/>
      <c r="AC14" s="1967"/>
      <c r="AD14" s="1985" t="s">
        <v>8590</v>
      </c>
      <c r="AE14" s="1983">
        <v>6874</v>
      </c>
      <c r="AF14" s="1983">
        <v>6158</v>
      </c>
      <c r="AG14" s="1969">
        <f t="shared" si="1"/>
        <v>0.11627151672620981</v>
      </c>
      <c r="AJ14" s="781" t="s">
        <v>8559</v>
      </c>
      <c r="AK14" s="1967">
        <v>460</v>
      </c>
      <c r="AL14" s="1967">
        <v>430</v>
      </c>
      <c r="AM14" s="1967" t="s">
        <v>8537</v>
      </c>
      <c r="AN14" s="1967" t="s">
        <v>8537</v>
      </c>
      <c r="AO14" s="1967" t="s">
        <v>8537</v>
      </c>
      <c r="AP14" s="1967"/>
      <c r="AR14" s="781" t="s">
        <v>8591</v>
      </c>
      <c r="AS14" s="1993">
        <v>8673</v>
      </c>
      <c r="AT14" s="1993">
        <v>11428</v>
      </c>
      <c r="AU14" s="1967">
        <v>11862</v>
      </c>
      <c r="AV14" s="1967">
        <v>8602</v>
      </c>
      <c r="AW14" s="1967">
        <v>6157</v>
      </c>
      <c r="AX14" s="1967"/>
      <c r="AZ14" s="1"/>
      <c r="BA14" s="1"/>
      <c r="BB14" s="1"/>
      <c r="BC14" s="1"/>
      <c r="BD14" s="1"/>
      <c r="BE14" s="1"/>
      <c r="BF14" s="1"/>
      <c r="BG14" s="13"/>
      <c r="BH14" s="13"/>
      <c r="BI14" s="13"/>
      <c r="BJ14" s="13"/>
      <c r="BK14" s="13"/>
      <c r="BL14" s="13"/>
      <c r="BM14" s="13"/>
      <c r="BN14" s="1944" t="s">
        <v>8570</v>
      </c>
      <c r="BO14" s="2014" t="s">
        <v>8562</v>
      </c>
      <c r="BP14" s="1945">
        <v>7619</v>
      </c>
      <c r="BQ14" s="2014" t="s">
        <v>8562</v>
      </c>
      <c r="BR14" s="115"/>
      <c r="BS14" s="115"/>
      <c r="BT14" s="71"/>
      <c r="BU14" s="1"/>
      <c r="BV14" s="1"/>
      <c r="BW14" s="1"/>
      <c r="BX14" s="1"/>
      <c r="BY14" s="115"/>
    </row>
    <row r="15" spans="1:77" ht="12.6" customHeight="1">
      <c r="A15" s="1944" t="s">
        <v>8592</v>
      </c>
      <c r="B15" s="1945">
        <v>3559</v>
      </c>
      <c r="C15" s="1946">
        <v>1144</v>
      </c>
      <c r="D15" s="1945">
        <v>4058</v>
      </c>
      <c r="E15" s="1945">
        <v>1173</v>
      </c>
      <c r="F15" s="115"/>
      <c r="G15" s="115"/>
      <c r="H15" s="781" t="s">
        <v>6686</v>
      </c>
      <c r="I15" s="1967">
        <v>9456</v>
      </c>
      <c r="J15" s="1967">
        <v>11403</v>
      </c>
      <c r="K15" s="1967">
        <v>12751</v>
      </c>
      <c r="L15" s="1967">
        <v>10186</v>
      </c>
      <c r="M15" s="1967">
        <v>6246</v>
      </c>
      <c r="N15" s="1967"/>
      <c r="O15" s="1967"/>
      <c r="P15" s="1970" t="s">
        <v>2651</v>
      </c>
      <c r="Q15" s="1945">
        <v>2096</v>
      </c>
      <c r="R15" s="1945">
        <v>2248</v>
      </c>
      <c r="S15" s="1969">
        <f t="shared" si="5"/>
        <v>-6.7615658362989328E-2</v>
      </c>
      <c r="T15" s="1967"/>
      <c r="U15" s="1805"/>
      <c r="V15" s="1276" t="s">
        <v>3162</v>
      </c>
      <c r="W15" s="1967">
        <v>1220</v>
      </c>
      <c r="X15" s="1967">
        <v>1030</v>
      </c>
      <c r="Y15" s="1967">
        <v>804</v>
      </c>
      <c r="Z15" s="1967">
        <v>674</v>
      </c>
      <c r="AA15" s="1967">
        <v>504</v>
      </c>
      <c r="AB15" s="1967"/>
      <c r="AC15" s="1967"/>
      <c r="AD15" s="1986" t="s">
        <v>1711</v>
      </c>
      <c r="AE15" s="1983">
        <v>3965</v>
      </c>
      <c r="AF15" s="1983">
        <v>3754</v>
      </c>
      <c r="AG15" s="1969">
        <f t="shared" si="1"/>
        <v>5.6206712839637719E-2</v>
      </c>
      <c r="AJ15" s="781" t="s">
        <v>8581</v>
      </c>
      <c r="AK15" s="1967">
        <v>211</v>
      </c>
      <c r="AL15" s="1967">
        <v>205</v>
      </c>
      <c r="AM15" s="1967" t="s">
        <v>8537</v>
      </c>
      <c r="AN15" s="1967" t="s">
        <v>8537</v>
      </c>
      <c r="AO15" s="1967" t="s">
        <v>8537</v>
      </c>
      <c r="AP15" s="1967"/>
      <c r="AR15" s="781" t="s">
        <v>6644</v>
      </c>
      <c r="AS15" s="1993">
        <v>34372</v>
      </c>
      <c r="AT15" s="1993">
        <v>30175</v>
      </c>
      <c r="AU15" s="1967">
        <v>26544</v>
      </c>
      <c r="AV15" s="1967">
        <v>22220</v>
      </c>
      <c r="AW15" s="1967">
        <v>14653</v>
      </c>
      <c r="AX15" s="1967"/>
      <c r="AZ15" s="71"/>
      <c r="BA15" s="1"/>
      <c r="BB15" s="1"/>
      <c r="BC15" s="1"/>
      <c r="BD15" s="1"/>
      <c r="BE15" s="1"/>
      <c r="BF15" s="1"/>
      <c r="BG15" s="13"/>
      <c r="BH15" s="13"/>
      <c r="BI15" s="13"/>
      <c r="BJ15" s="13"/>
      <c r="BK15" s="13"/>
      <c r="BL15" s="13"/>
      <c r="BM15" s="13"/>
      <c r="BN15" s="1974" t="s">
        <v>8593</v>
      </c>
      <c r="BO15" s="1945">
        <v>42253</v>
      </c>
      <c r="BP15" s="2014" t="s">
        <v>8562</v>
      </c>
      <c r="BQ15" s="115"/>
      <c r="BR15" s="115"/>
      <c r="BS15" s="115"/>
      <c r="BT15" s="115"/>
      <c r="BU15" s="115"/>
      <c r="BV15" s="115"/>
      <c r="BW15" s="115"/>
      <c r="BX15" s="115"/>
      <c r="BY15" s="115"/>
    </row>
    <row r="16" spans="1:77" ht="12.6" customHeight="1">
      <c r="A16" s="1944" t="s">
        <v>8594</v>
      </c>
      <c r="B16" s="1945">
        <v>2239</v>
      </c>
      <c r="C16" s="1946">
        <v>727</v>
      </c>
      <c r="D16" s="1945">
        <v>2435</v>
      </c>
      <c r="E16" s="1945">
        <v>700</v>
      </c>
      <c r="F16" s="115"/>
      <c r="G16" s="115"/>
      <c r="H16" s="781" t="s">
        <v>6695</v>
      </c>
      <c r="I16" s="1967">
        <v>9200</v>
      </c>
      <c r="J16" s="1967">
        <v>11660</v>
      </c>
      <c r="K16" s="1967">
        <v>10390</v>
      </c>
      <c r="L16" s="1967">
        <v>8143</v>
      </c>
      <c r="M16" s="1967">
        <v>5049</v>
      </c>
      <c r="N16" s="1967"/>
      <c r="O16" s="1967"/>
      <c r="P16" s="1970" t="s">
        <v>2647</v>
      </c>
      <c r="Q16" s="1945">
        <v>1533</v>
      </c>
      <c r="R16" s="1945">
        <v>1263</v>
      </c>
      <c r="S16" s="1969">
        <f t="shared" si="5"/>
        <v>0.21377672209026127</v>
      </c>
      <c r="T16" s="1967"/>
      <c r="U16" s="1805"/>
      <c r="V16" s="1276" t="s">
        <v>6253</v>
      </c>
      <c r="W16" s="1967">
        <v>2930</v>
      </c>
      <c r="X16" s="1967">
        <v>3402</v>
      </c>
      <c r="Y16" s="1967">
        <v>3061</v>
      </c>
      <c r="Z16" s="1967">
        <v>2065</v>
      </c>
      <c r="AA16" s="1967">
        <v>825</v>
      </c>
      <c r="AB16" s="1967"/>
      <c r="AC16" s="1967"/>
      <c r="AD16" s="1987" t="s">
        <v>1681</v>
      </c>
      <c r="AE16" s="1983">
        <v>831</v>
      </c>
      <c r="AF16" s="1983">
        <v>442</v>
      </c>
      <c r="AG16" s="1969">
        <f t="shared" si="1"/>
        <v>0.88009049773755654</v>
      </c>
      <c r="AJ16" s="781" t="s">
        <v>8595</v>
      </c>
      <c r="AK16" s="1967" t="s">
        <v>4391</v>
      </c>
      <c r="AL16" s="1967">
        <v>3972</v>
      </c>
      <c r="AM16" s="1967">
        <v>2702</v>
      </c>
      <c r="AN16" s="1967">
        <v>1078</v>
      </c>
      <c r="AO16" s="1967" t="s">
        <v>8537</v>
      </c>
      <c r="AP16" s="1967"/>
      <c r="AR16" s="781" t="s">
        <v>6660</v>
      </c>
      <c r="AS16" s="1993">
        <v>15134</v>
      </c>
      <c r="AT16" s="1993">
        <v>17594</v>
      </c>
      <c r="AU16" s="1967">
        <v>16611</v>
      </c>
      <c r="AV16" s="1967">
        <v>11318</v>
      </c>
      <c r="AW16" s="1967" t="s">
        <v>8537</v>
      </c>
      <c r="AX16" s="1967"/>
      <c r="AZ16" s="115"/>
      <c r="BA16" s="115"/>
      <c r="BB16" s="115"/>
      <c r="BC16" s="115"/>
      <c r="BD16" s="115"/>
      <c r="BE16" s="115"/>
      <c r="BF16" s="115"/>
      <c r="BN16" s="1944" t="s">
        <v>8589</v>
      </c>
      <c r="BO16" s="1945">
        <v>35502</v>
      </c>
      <c r="BP16" s="2014" t="s">
        <v>8562</v>
      </c>
      <c r="BQ16" s="2014" t="s">
        <v>8562</v>
      </c>
      <c r="BR16" s="115"/>
      <c r="BS16" s="115"/>
      <c r="BT16" s="115"/>
      <c r="BU16" s="115"/>
      <c r="BV16" s="115"/>
      <c r="BW16" s="115"/>
      <c r="BX16" s="115"/>
      <c r="BY16" s="115"/>
    </row>
    <row r="17" spans="1:77" ht="12.6" customHeight="1">
      <c r="A17" s="1941" t="s">
        <v>8596</v>
      </c>
      <c r="B17" s="1942">
        <v>7064</v>
      </c>
      <c r="C17" s="1943">
        <v>2129</v>
      </c>
      <c r="D17" s="1942">
        <v>6822</v>
      </c>
      <c r="E17" s="1942">
        <v>2111</v>
      </c>
      <c r="F17" s="115"/>
      <c r="G17" s="115"/>
      <c r="H17" s="781" t="s">
        <v>6702</v>
      </c>
      <c r="I17" s="1967">
        <v>10145</v>
      </c>
      <c r="J17" s="1967">
        <v>11074</v>
      </c>
      <c r="K17" s="1967">
        <v>9042</v>
      </c>
      <c r="L17" s="1967">
        <v>5471</v>
      </c>
      <c r="M17" s="1967">
        <v>4189</v>
      </c>
      <c r="N17" s="1967"/>
      <c r="O17" s="1967"/>
      <c r="P17" s="1970" t="s">
        <v>1707</v>
      </c>
      <c r="Q17" s="1945">
        <v>3420</v>
      </c>
      <c r="R17" s="1945">
        <v>915</v>
      </c>
      <c r="S17" s="1969">
        <f t="shared" si="5"/>
        <v>2.737704918032787</v>
      </c>
      <c r="T17" s="1967"/>
      <c r="U17" s="1805"/>
      <c r="V17" s="115"/>
      <c r="W17" s="1967"/>
      <c r="X17" s="1967"/>
      <c r="Y17" s="1967"/>
      <c r="Z17" s="1967"/>
      <c r="AA17" s="1967"/>
      <c r="AB17" s="1967"/>
      <c r="AC17" s="1967"/>
      <c r="AD17" s="1986" t="s">
        <v>1712</v>
      </c>
      <c r="AE17" s="1983">
        <v>2909</v>
      </c>
      <c r="AF17" s="1983">
        <v>2404</v>
      </c>
      <c r="AG17" s="1969">
        <f t="shared" si="1"/>
        <v>0.21006655574043262</v>
      </c>
      <c r="AJ17" s="781" t="s">
        <v>6711</v>
      </c>
      <c r="AK17" s="1967">
        <v>4392</v>
      </c>
      <c r="AL17" s="1967">
        <v>5298</v>
      </c>
      <c r="AM17" s="1967">
        <v>3877</v>
      </c>
      <c r="AN17" s="1967">
        <v>8556</v>
      </c>
      <c r="AO17" s="1967">
        <v>4979</v>
      </c>
      <c r="AP17" s="1967"/>
      <c r="AR17" s="781" t="s">
        <v>6672</v>
      </c>
      <c r="AS17" s="1993">
        <v>5820</v>
      </c>
      <c r="AT17" s="1993">
        <v>4964</v>
      </c>
      <c r="AU17" s="1967">
        <v>3787</v>
      </c>
      <c r="AV17" s="1967">
        <v>3666</v>
      </c>
      <c r="AW17" s="1967" t="s">
        <v>8537</v>
      </c>
      <c r="AX17" s="1967"/>
      <c r="AZ17" s="115"/>
      <c r="BA17" s="115"/>
      <c r="BB17" s="115"/>
      <c r="BC17" s="115"/>
      <c r="BD17" s="115"/>
      <c r="BE17" s="115"/>
      <c r="BF17" s="115"/>
      <c r="BN17" s="1944" t="s">
        <v>8570</v>
      </c>
      <c r="BO17" s="1945">
        <v>6751</v>
      </c>
      <c r="BP17" s="2014" t="s">
        <v>8562</v>
      </c>
      <c r="BQ17" s="2014" t="s">
        <v>8562</v>
      </c>
      <c r="BR17" s="115"/>
      <c r="BS17" s="115"/>
      <c r="BT17" s="1978" t="s">
        <v>8605</v>
      </c>
      <c r="BU17" s="1978"/>
      <c r="BV17" s="1979"/>
      <c r="BW17" s="1979"/>
      <c r="BX17" s="1979"/>
      <c r="BY17" s="115"/>
    </row>
    <row r="18" spans="1:77" ht="12.6" customHeight="1">
      <c r="A18" s="1944" t="s">
        <v>8597</v>
      </c>
      <c r="B18" s="1945">
        <v>3826</v>
      </c>
      <c r="C18" s="1946">
        <v>1138</v>
      </c>
      <c r="D18" s="1945">
        <v>3578</v>
      </c>
      <c r="E18" s="1945">
        <v>1088</v>
      </c>
      <c r="F18" s="115"/>
      <c r="G18" s="115"/>
      <c r="H18" s="781" t="s">
        <v>6705</v>
      </c>
      <c r="I18" s="1967">
        <v>10237</v>
      </c>
      <c r="J18" s="1967">
        <v>9203</v>
      </c>
      <c r="K18" s="1967">
        <v>7506</v>
      </c>
      <c r="L18" s="1967">
        <v>4808</v>
      </c>
      <c r="M18" s="1967">
        <v>3983</v>
      </c>
      <c r="N18" s="1967"/>
      <c r="O18" s="1967"/>
      <c r="P18" s="1959" t="s">
        <v>1693</v>
      </c>
      <c r="Q18" s="1945">
        <v>54586</v>
      </c>
      <c r="R18" s="1945">
        <v>51381</v>
      </c>
      <c r="S18" s="1969">
        <f t="shared" si="5"/>
        <v>6.237714330199879E-2</v>
      </c>
      <c r="T18" s="1967"/>
      <c r="U18" s="1805"/>
      <c r="V18" s="115" t="s">
        <v>8598</v>
      </c>
      <c r="W18" s="1967">
        <f>SUM(W19:W23)</f>
        <v>57102</v>
      </c>
      <c r="X18" s="1967">
        <f>SUM(X19:X23)</f>
        <v>56793</v>
      </c>
      <c r="Y18" s="1967">
        <v>52777</v>
      </c>
      <c r="Z18" s="1967">
        <v>42636</v>
      </c>
      <c r="AA18" s="1967">
        <v>32599</v>
      </c>
      <c r="AB18" s="1967"/>
      <c r="AC18" s="1967"/>
      <c r="AD18" s="1987" t="s">
        <v>1681</v>
      </c>
      <c r="AE18" s="1983">
        <v>1243</v>
      </c>
      <c r="AF18" s="1983">
        <v>629</v>
      </c>
      <c r="AG18" s="1969">
        <f t="shared" si="1"/>
        <v>0.97615262321144669</v>
      </c>
      <c r="AJ18" s="781" t="s">
        <v>8599</v>
      </c>
      <c r="AK18" s="1967">
        <v>823</v>
      </c>
      <c r="AL18" s="1967">
        <v>727</v>
      </c>
      <c r="AM18" s="1967">
        <v>976</v>
      </c>
      <c r="AN18" s="1967">
        <v>187</v>
      </c>
      <c r="AO18" s="1967">
        <v>144</v>
      </c>
      <c r="AP18" s="1967"/>
      <c r="AR18" s="781" t="s">
        <v>6677</v>
      </c>
      <c r="AS18" s="1993">
        <v>17551</v>
      </c>
      <c r="AT18" s="1993">
        <v>13512</v>
      </c>
      <c r="AU18" s="1967">
        <v>12774</v>
      </c>
      <c r="AV18" s="1967">
        <v>8792</v>
      </c>
      <c r="AW18" s="1967" t="s">
        <v>8537</v>
      </c>
      <c r="AX18" s="1967"/>
      <c r="AZ18" s="1978" t="s">
        <v>8604</v>
      </c>
      <c r="BA18" s="1978"/>
      <c r="BB18" s="1979"/>
      <c r="BC18" s="1979"/>
      <c r="BD18" s="1979"/>
      <c r="BE18" s="1979"/>
      <c r="BF18" s="1979"/>
      <c r="BN18" s="1828" t="s">
        <v>8563</v>
      </c>
      <c r="BO18" s="2016"/>
      <c r="BP18" s="2016"/>
      <c r="BQ18" s="41"/>
      <c r="BR18" s="115"/>
      <c r="BS18" s="115"/>
      <c r="BT18" s="1980" t="s">
        <v>1648</v>
      </c>
      <c r="BU18" s="1935">
        <v>2020</v>
      </c>
      <c r="BV18" s="1935">
        <v>2010</v>
      </c>
      <c r="BW18" s="1935">
        <v>2000</v>
      </c>
      <c r="BX18" s="1935">
        <v>1990</v>
      </c>
      <c r="BY18" s="1936">
        <v>1980</v>
      </c>
    </row>
    <row r="19" spans="1:77" ht="12.6" customHeight="1">
      <c r="A19" s="1944" t="s">
        <v>8600</v>
      </c>
      <c r="B19" s="1945">
        <v>3238</v>
      </c>
      <c r="C19" s="1946">
        <v>991</v>
      </c>
      <c r="D19" s="1945">
        <v>3244</v>
      </c>
      <c r="E19" s="1945">
        <v>1023</v>
      </c>
      <c r="F19" s="115"/>
      <c r="G19" s="115"/>
      <c r="H19" s="781" t="s">
        <v>6707</v>
      </c>
      <c r="I19" s="1967">
        <v>9865</v>
      </c>
      <c r="J19" s="1967">
        <v>7719</v>
      </c>
      <c r="K19" s="1967">
        <v>4993</v>
      </c>
      <c r="L19" s="1967">
        <v>4059</v>
      </c>
      <c r="M19" s="1967">
        <v>2914</v>
      </c>
      <c r="N19" s="1967"/>
      <c r="O19" s="1967"/>
      <c r="P19" s="1971" t="s">
        <v>8601</v>
      </c>
      <c r="Q19" s="1945">
        <v>1999</v>
      </c>
      <c r="R19" s="1945">
        <v>2368</v>
      </c>
      <c r="S19" s="1969">
        <f t="shared" si="5"/>
        <v>-0.15582770270270271</v>
      </c>
      <c r="T19" s="1967"/>
      <c r="U19" s="1805"/>
      <c r="V19" s="1276" t="s">
        <v>3171</v>
      </c>
      <c r="W19" s="1967">
        <v>20507</v>
      </c>
      <c r="X19" s="1967">
        <v>19837</v>
      </c>
      <c r="Y19" s="1967">
        <v>17141</v>
      </c>
      <c r="Z19" s="1967">
        <v>12418</v>
      </c>
      <c r="AA19" s="1967">
        <v>8553</v>
      </c>
      <c r="AB19" s="1967"/>
      <c r="AC19" s="1967"/>
      <c r="AD19" s="1985" t="s">
        <v>8602</v>
      </c>
      <c r="AE19" s="1983">
        <v>1703</v>
      </c>
      <c r="AF19" s="1983" t="s">
        <v>4391</v>
      </c>
      <c r="AG19" s="1983" t="s">
        <v>4391</v>
      </c>
      <c r="AJ19" s="781" t="s">
        <v>8603</v>
      </c>
      <c r="AK19" s="1967">
        <v>724</v>
      </c>
      <c r="AL19" s="1967">
        <v>631</v>
      </c>
      <c r="AM19" s="1967">
        <v>815</v>
      </c>
      <c r="AN19" s="1967" t="s">
        <v>8537</v>
      </c>
      <c r="AO19" s="1967" t="s">
        <v>8537</v>
      </c>
      <c r="AP19" s="1967"/>
      <c r="AR19" s="682" t="s">
        <v>6683</v>
      </c>
      <c r="AS19" s="1994">
        <v>5538</v>
      </c>
      <c r="AT19" s="1994">
        <v>4666</v>
      </c>
      <c r="AU19" s="1977">
        <v>3860</v>
      </c>
      <c r="AV19" s="1977">
        <v>2864</v>
      </c>
      <c r="AW19" s="1977" t="s">
        <v>8537</v>
      </c>
      <c r="AX19" s="1967"/>
      <c r="AZ19" s="1980" t="s">
        <v>1648</v>
      </c>
      <c r="BA19" s="1935">
        <v>2020</v>
      </c>
      <c r="BB19" s="1935">
        <v>2010</v>
      </c>
      <c r="BC19" s="1935">
        <v>2000</v>
      </c>
      <c r="BD19" s="1935">
        <v>1990</v>
      </c>
      <c r="BE19" s="1936">
        <v>1980</v>
      </c>
      <c r="BF19" s="1966"/>
      <c r="BG19" s="1799"/>
      <c r="BH19" s="1799"/>
      <c r="BI19" s="1799"/>
      <c r="BJ19" s="1799"/>
      <c r="BK19" s="1799"/>
      <c r="BL19" s="1799"/>
      <c r="BM19" s="1799"/>
      <c r="BN19" s="1976"/>
      <c r="BO19" s="1979"/>
      <c r="BP19" s="1979"/>
      <c r="BQ19" s="1979"/>
      <c r="BR19" s="115"/>
      <c r="BS19" s="115"/>
      <c r="BT19" s="1" t="s">
        <v>8524</v>
      </c>
      <c r="BU19" s="2012">
        <v>50069</v>
      </c>
      <c r="BV19" s="2012">
        <v>50567</v>
      </c>
      <c r="BW19" s="2012">
        <v>47677</v>
      </c>
      <c r="BX19" s="2012">
        <v>35223</v>
      </c>
      <c r="BY19" s="2012">
        <v>28091</v>
      </c>
    </row>
    <row r="20" spans="1:77" ht="12.6" customHeight="1">
      <c r="A20" s="1941" t="s">
        <v>7996</v>
      </c>
      <c r="B20" s="1942">
        <v>44908</v>
      </c>
      <c r="C20" s="1943">
        <v>13651</v>
      </c>
      <c r="D20" s="1942">
        <v>44943</v>
      </c>
      <c r="E20" s="1942">
        <v>12829</v>
      </c>
      <c r="F20" s="115"/>
      <c r="G20" s="115"/>
      <c r="H20" s="781" t="s">
        <v>6708</v>
      </c>
      <c r="I20" s="1967">
        <v>8284</v>
      </c>
      <c r="J20" s="1967">
        <v>6363</v>
      </c>
      <c r="K20" s="1967">
        <v>4534</v>
      </c>
      <c r="L20" s="1967">
        <v>3527</v>
      </c>
      <c r="M20" s="1967">
        <v>1927</v>
      </c>
      <c r="N20" s="1967"/>
      <c r="O20" s="1967"/>
      <c r="P20" s="1971" t="s">
        <v>1696</v>
      </c>
      <c r="Q20" s="1945">
        <v>44793</v>
      </c>
      <c r="R20" s="1945">
        <v>41944</v>
      </c>
      <c r="S20" s="1969">
        <f t="shared" si="5"/>
        <v>6.7923898531375163E-2</v>
      </c>
      <c r="T20" s="1967"/>
      <c r="U20" s="1805"/>
      <c r="V20" s="1276" t="s">
        <v>6645</v>
      </c>
      <c r="W20" s="1967">
        <v>27518</v>
      </c>
      <c r="X20" s="1967">
        <v>27831</v>
      </c>
      <c r="Y20" s="1967">
        <v>27676</v>
      </c>
      <c r="Z20" s="1967">
        <v>24763</v>
      </c>
      <c r="AA20" s="1967">
        <v>20670</v>
      </c>
      <c r="AB20" s="1967"/>
      <c r="AC20" s="1967"/>
      <c r="AD20" s="1986" t="s">
        <v>1711</v>
      </c>
      <c r="AE20" s="1983">
        <v>939</v>
      </c>
      <c r="AF20" s="1983" t="s">
        <v>4391</v>
      </c>
      <c r="AG20" s="1983" t="s">
        <v>4391</v>
      </c>
      <c r="AJ20" s="781" t="s">
        <v>8606</v>
      </c>
      <c r="AK20" s="1967">
        <v>99</v>
      </c>
      <c r="AL20" s="1967">
        <v>96</v>
      </c>
      <c r="AM20" s="1967">
        <v>161</v>
      </c>
      <c r="AN20" s="1967" t="s">
        <v>8537</v>
      </c>
      <c r="AO20" s="1967" t="s">
        <v>8537</v>
      </c>
      <c r="AP20" s="1967"/>
      <c r="AR20" s="1808" t="s">
        <v>8585</v>
      </c>
      <c r="AS20" s="13"/>
      <c r="AT20" s="13"/>
      <c r="AU20" s="1801"/>
      <c r="AV20" s="1801"/>
      <c r="AZ20" s="1" t="s">
        <v>8610</v>
      </c>
      <c r="BA20" s="1966">
        <v>2019</v>
      </c>
      <c r="BB20" s="1966">
        <v>2009</v>
      </c>
      <c r="BC20" s="1">
        <v>1999</v>
      </c>
      <c r="BD20" s="1">
        <v>1989</v>
      </c>
      <c r="BE20" s="1">
        <v>1979</v>
      </c>
      <c r="BF20" s="1"/>
      <c r="BG20" s="1801"/>
      <c r="BH20" s="1801"/>
      <c r="BI20" s="1801"/>
      <c r="BJ20" s="1801"/>
      <c r="BK20" s="1801"/>
      <c r="BL20" s="1801"/>
      <c r="BM20" s="1801"/>
      <c r="BN20" s="1968"/>
      <c r="BO20" s="1966"/>
      <c r="BP20" s="1966"/>
      <c r="BQ20" s="1966"/>
      <c r="BR20" s="115"/>
      <c r="BS20" s="115"/>
      <c r="BT20" s="1" t="s">
        <v>6622</v>
      </c>
      <c r="BU20" s="1995">
        <v>556</v>
      </c>
      <c r="BV20" s="2014" t="s">
        <v>8562</v>
      </c>
      <c r="BW20" s="2014" t="s">
        <v>8562</v>
      </c>
      <c r="BX20" s="2014" t="s">
        <v>8562</v>
      </c>
      <c r="BY20" s="2014" t="s">
        <v>8562</v>
      </c>
    </row>
    <row r="21" spans="1:77" ht="12.6" customHeight="1">
      <c r="A21" s="1944" t="s">
        <v>8607</v>
      </c>
      <c r="B21" s="1945">
        <v>3921</v>
      </c>
      <c r="C21" s="1946">
        <v>1056</v>
      </c>
      <c r="D21" s="1945">
        <v>3764</v>
      </c>
      <c r="E21" s="1945">
        <v>959</v>
      </c>
      <c r="F21" s="115"/>
      <c r="G21" s="115"/>
      <c r="H21" s="781" t="s">
        <v>6710</v>
      </c>
      <c r="I21" s="1967">
        <v>6686</v>
      </c>
      <c r="J21" s="1967">
        <v>3888</v>
      </c>
      <c r="K21" s="1967">
        <v>3399</v>
      </c>
      <c r="L21" s="1967">
        <v>2433</v>
      </c>
      <c r="M21" s="1967">
        <v>1418</v>
      </c>
      <c r="N21" s="1967"/>
      <c r="O21" s="1967"/>
      <c r="P21" s="1971" t="s">
        <v>1697</v>
      </c>
      <c r="Q21" s="1945">
        <v>2108</v>
      </c>
      <c r="R21" s="1945">
        <v>2368</v>
      </c>
      <c r="S21" s="1969">
        <f t="shared" si="5"/>
        <v>-0.1097972972972973</v>
      </c>
      <c r="T21" s="1967"/>
      <c r="U21" s="1805"/>
      <c r="V21" s="1276" t="s">
        <v>3167</v>
      </c>
      <c r="W21" s="1967">
        <v>662</v>
      </c>
      <c r="X21" s="1967">
        <v>945</v>
      </c>
      <c r="Y21" s="1967">
        <v>845</v>
      </c>
      <c r="Z21" s="1967">
        <v>470</v>
      </c>
      <c r="AA21" s="1967">
        <v>414</v>
      </c>
      <c r="AB21" s="1967"/>
      <c r="AC21" s="1967"/>
      <c r="AD21" s="1987" t="s">
        <v>1681</v>
      </c>
      <c r="AE21" s="1983">
        <v>129</v>
      </c>
      <c r="AF21" s="1983" t="s">
        <v>4391</v>
      </c>
      <c r="AG21" s="1983" t="s">
        <v>4391</v>
      </c>
      <c r="AJ21" s="781" t="s">
        <v>8608</v>
      </c>
      <c r="AK21" s="1967">
        <v>3569</v>
      </c>
      <c r="AL21" s="1967">
        <v>4571</v>
      </c>
      <c r="AM21" s="1967">
        <v>2901</v>
      </c>
      <c r="AN21" s="1967">
        <v>8369</v>
      </c>
      <c r="AO21" s="1967">
        <v>4835</v>
      </c>
      <c r="AP21" s="1967"/>
      <c r="AR21" s="84" t="s">
        <v>8609</v>
      </c>
      <c r="AS21" s="13"/>
      <c r="AT21" s="13"/>
      <c r="AU21" s="13"/>
      <c r="AV21" s="13"/>
      <c r="AZ21" s="1"/>
      <c r="BA21" s="1966"/>
      <c r="BB21" s="1966"/>
      <c r="BC21" s="1"/>
      <c r="BD21" s="1"/>
      <c r="BE21" s="1"/>
      <c r="BF21" s="1"/>
      <c r="BG21" s="13"/>
      <c r="BH21" s="13"/>
      <c r="BI21" s="13"/>
      <c r="BJ21" s="13"/>
      <c r="BK21" s="13"/>
      <c r="BL21" s="13"/>
      <c r="BM21" s="13"/>
      <c r="BN21" s="1"/>
      <c r="BO21" s="1"/>
      <c r="BP21" s="1"/>
      <c r="BQ21" s="1"/>
      <c r="BR21" s="115"/>
      <c r="BS21" s="115"/>
      <c r="BT21" s="2017" t="s">
        <v>6635</v>
      </c>
      <c r="BU21" s="1995">
        <v>4748</v>
      </c>
      <c r="BV21" s="2014" t="s">
        <v>8562</v>
      </c>
      <c r="BW21" s="2014" t="s">
        <v>8562</v>
      </c>
      <c r="BX21" s="2014" t="s">
        <v>8562</v>
      </c>
      <c r="BY21" s="2014" t="s">
        <v>8562</v>
      </c>
    </row>
    <row r="22" spans="1:77" ht="12.6" customHeight="1">
      <c r="A22" s="1944" t="s">
        <v>8611</v>
      </c>
      <c r="B22" s="1945">
        <v>6855</v>
      </c>
      <c r="C22" s="1946">
        <v>2157</v>
      </c>
      <c r="D22" s="1947">
        <v>6386</v>
      </c>
      <c r="E22" s="1947">
        <v>1772</v>
      </c>
      <c r="F22" s="115"/>
      <c r="G22" s="115"/>
      <c r="H22" s="781" t="s">
        <v>6715</v>
      </c>
      <c r="I22" s="1967">
        <v>4885</v>
      </c>
      <c r="J22" s="1967">
        <v>3031</v>
      </c>
      <c r="K22" s="1967">
        <v>2461</v>
      </c>
      <c r="L22" s="1967">
        <v>1368</v>
      </c>
      <c r="M22" s="1967">
        <v>809</v>
      </c>
      <c r="N22" s="1967"/>
      <c r="O22" s="1967"/>
      <c r="P22" s="1971" t="s">
        <v>1698</v>
      </c>
      <c r="Q22" s="1945">
        <v>3438</v>
      </c>
      <c r="R22" s="1945">
        <v>3437</v>
      </c>
      <c r="S22" s="1969">
        <f t="shared" si="5"/>
        <v>2.9095141111434392E-4</v>
      </c>
      <c r="T22" s="1967"/>
      <c r="U22" s="1805"/>
      <c r="V22" s="1276" t="s">
        <v>3162</v>
      </c>
      <c r="W22" s="1967">
        <v>4791</v>
      </c>
      <c r="X22" s="1967">
        <v>4273</v>
      </c>
      <c r="Y22" s="1967">
        <v>3449</v>
      </c>
      <c r="Z22" s="1967">
        <v>2519</v>
      </c>
      <c r="AA22" s="1967">
        <v>1807</v>
      </c>
      <c r="AB22" s="1967"/>
      <c r="AC22" s="1967"/>
      <c r="AD22" s="1986" t="s">
        <v>1712</v>
      </c>
      <c r="AE22" s="1983">
        <v>764</v>
      </c>
      <c r="AF22" s="1983" t="s">
        <v>4391</v>
      </c>
      <c r="AG22" s="1983" t="s">
        <v>4391</v>
      </c>
      <c r="AJ22" s="781" t="s">
        <v>8603</v>
      </c>
      <c r="AK22" s="1967">
        <v>2813</v>
      </c>
      <c r="AL22" s="1967">
        <v>3589</v>
      </c>
      <c r="AM22" s="1967">
        <v>2176</v>
      </c>
      <c r="AN22" s="1967" t="s">
        <v>8537</v>
      </c>
      <c r="AO22" s="1967" t="s">
        <v>8537</v>
      </c>
      <c r="AP22" s="1967"/>
      <c r="AS22" s="1825"/>
      <c r="AT22" s="1825"/>
      <c r="AU22" s="1825"/>
      <c r="AV22" s="1825"/>
      <c r="AZ22" s="1" t="s">
        <v>8613</v>
      </c>
      <c r="BA22" s="1995">
        <v>42312</v>
      </c>
      <c r="BB22" s="1995">
        <v>42026</v>
      </c>
      <c r="BC22" s="1995">
        <v>38769</v>
      </c>
      <c r="BD22" s="1995">
        <v>31373</v>
      </c>
      <c r="BE22" s="1995">
        <v>24834</v>
      </c>
      <c r="BF22" s="1995"/>
      <c r="BG22" s="13"/>
      <c r="BH22" s="13"/>
      <c r="BI22" s="13"/>
      <c r="BJ22" s="13"/>
      <c r="BK22" s="13"/>
      <c r="BL22" s="13"/>
      <c r="BM22" s="13"/>
      <c r="BN22" s="1"/>
      <c r="BO22" s="1"/>
      <c r="BP22" s="1"/>
      <c r="BQ22" s="1"/>
      <c r="BR22" s="115"/>
      <c r="BS22" s="115"/>
      <c r="BT22" s="2017" t="s">
        <v>8616</v>
      </c>
      <c r="BU22" s="2014" t="s">
        <v>8562</v>
      </c>
      <c r="BV22" s="2018">
        <v>1935</v>
      </c>
      <c r="BW22" s="2014" t="s">
        <v>8562</v>
      </c>
      <c r="BX22" s="2014" t="s">
        <v>8562</v>
      </c>
      <c r="BY22" s="2014" t="s">
        <v>8562</v>
      </c>
    </row>
    <row r="23" spans="1:77" ht="12.6" customHeight="1">
      <c r="A23" s="1944" t="s">
        <v>8612</v>
      </c>
      <c r="B23" s="1945">
        <v>0</v>
      </c>
      <c r="C23" s="1946">
        <v>0</v>
      </c>
      <c r="D23" s="1947">
        <v>211</v>
      </c>
      <c r="E23" s="1947">
        <v>180</v>
      </c>
      <c r="F23" s="115"/>
      <c r="G23" s="115"/>
      <c r="H23" s="781" t="s">
        <v>6720</v>
      </c>
      <c r="I23" s="1967">
        <v>2637</v>
      </c>
      <c r="J23" s="1967">
        <v>1980</v>
      </c>
      <c r="K23" s="1967">
        <v>1384</v>
      </c>
      <c r="L23" s="1967">
        <v>794</v>
      </c>
      <c r="M23" s="1967">
        <v>456</v>
      </c>
      <c r="N23" s="1967"/>
      <c r="O23" s="1967"/>
      <c r="P23" s="1971" t="s">
        <v>6304</v>
      </c>
      <c r="Q23" s="1945">
        <v>227</v>
      </c>
      <c r="R23" s="1945">
        <v>249</v>
      </c>
      <c r="S23" s="1969">
        <f t="shared" si="5"/>
        <v>-8.8353413654618476E-2</v>
      </c>
      <c r="T23" s="1967"/>
      <c r="U23" s="1805"/>
      <c r="V23" s="1480" t="s">
        <v>6253</v>
      </c>
      <c r="W23" s="1977">
        <v>3624</v>
      </c>
      <c r="X23" s="1977">
        <v>3907</v>
      </c>
      <c r="Y23" s="1977">
        <v>3666</v>
      </c>
      <c r="Z23" s="1977">
        <v>2466</v>
      </c>
      <c r="AA23" s="1977">
        <v>1155</v>
      </c>
      <c r="AB23" s="1967"/>
      <c r="AC23" s="1967"/>
      <c r="AD23" s="1988" t="s">
        <v>1681</v>
      </c>
      <c r="AE23" s="1989">
        <v>110</v>
      </c>
      <c r="AF23" s="1989" t="s">
        <v>4391</v>
      </c>
      <c r="AG23" s="1989" t="s">
        <v>4391</v>
      </c>
      <c r="AJ23" s="682" t="s">
        <v>8606</v>
      </c>
      <c r="AK23" s="1977">
        <v>756</v>
      </c>
      <c r="AL23" s="1977">
        <v>982</v>
      </c>
      <c r="AM23" s="1977">
        <v>725</v>
      </c>
      <c r="AN23" s="1977" t="s">
        <v>8537</v>
      </c>
      <c r="AO23" s="1977" t="s">
        <v>8537</v>
      </c>
      <c r="AP23" s="1967"/>
      <c r="AR23" s="1825"/>
      <c r="AS23" s="1827"/>
      <c r="AT23" s="1827"/>
      <c r="AU23" s="1827"/>
      <c r="AV23" s="1827"/>
      <c r="AZ23" s="1200" t="s">
        <v>8615</v>
      </c>
      <c r="BA23" s="1995">
        <v>1670</v>
      </c>
      <c r="BB23" s="1995">
        <v>1726</v>
      </c>
      <c r="BC23" s="1995">
        <v>3110</v>
      </c>
      <c r="BD23" s="1995">
        <v>1015</v>
      </c>
      <c r="BE23" s="1995">
        <v>1291</v>
      </c>
      <c r="BF23" s="1995"/>
      <c r="BG23" s="1813"/>
      <c r="BH23" s="1813"/>
      <c r="BI23" s="1813"/>
      <c r="BJ23" s="1813"/>
      <c r="BK23" s="1813"/>
      <c r="BL23" s="1813"/>
      <c r="BM23" s="1813"/>
      <c r="BN23" s="1995"/>
      <c r="BO23" s="1995"/>
      <c r="BP23" s="1995"/>
      <c r="BQ23" s="1995"/>
      <c r="BR23" s="115"/>
      <c r="BS23" s="115"/>
      <c r="BT23" s="2017" t="s">
        <v>6649</v>
      </c>
      <c r="BU23" s="2018">
        <v>6220</v>
      </c>
      <c r="BV23" s="2014" t="s">
        <v>8562</v>
      </c>
      <c r="BW23" s="2014" t="s">
        <v>8562</v>
      </c>
      <c r="BX23" s="2014" t="s">
        <v>8562</v>
      </c>
      <c r="BY23" s="2014" t="s">
        <v>8562</v>
      </c>
    </row>
    <row r="24" spans="1:77" ht="12.6" customHeight="1">
      <c r="A24" s="1944" t="s">
        <v>8614</v>
      </c>
      <c r="B24" s="1945">
        <v>4653</v>
      </c>
      <c r="C24" s="1946">
        <v>1694</v>
      </c>
      <c r="D24" s="1945">
        <v>5735</v>
      </c>
      <c r="E24" s="1945">
        <v>1748</v>
      </c>
      <c r="F24" s="115"/>
      <c r="G24" s="115"/>
      <c r="H24" s="781" t="s">
        <v>6726</v>
      </c>
      <c r="I24" s="1967">
        <v>1765</v>
      </c>
      <c r="J24" s="1967">
        <v>1155</v>
      </c>
      <c r="K24" s="1967">
        <v>616</v>
      </c>
      <c r="L24" s="1967">
        <v>376</v>
      </c>
      <c r="M24" s="1967">
        <v>180</v>
      </c>
      <c r="N24" s="1967"/>
      <c r="O24" s="1967"/>
      <c r="P24" s="1971" t="s">
        <v>3836</v>
      </c>
      <c r="Q24" s="1945">
        <v>138</v>
      </c>
      <c r="R24" s="1947" t="s">
        <v>4391</v>
      </c>
      <c r="S24" s="1947" t="s">
        <v>4391</v>
      </c>
      <c r="T24" s="1967"/>
      <c r="U24" s="1805"/>
      <c r="V24" s="1809" t="s">
        <v>8585</v>
      </c>
      <c r="W24" s="1805"/>
      <c r="X24" s="1967"/>
      <c r="Y24" s="1967"/>
      <c r="Z24" s="1967"/>
      <c r="AA24" s="1967"/>
      <c r="AB24" s="1967"/>
      <c r="AC24" s="1967"/>
      <c r="AD24" s="1822" t="s">
        <v>8563</v>
      </c>
      <c r="AE24" s="1805"/>
      <c r="AF24" s="1967"/>
      <c r="AG24" s="1967"/>
      <c r="AJ24" s="1808" t="s">
        <v>8585</v>
      </c>
      <c r="AK24" s="13"/>
      <c r="AL24" s="13"/>
      <c r="AM24" s="13"/>
      <c r="AN24" s="13"/>
      <c r="AZ24" s="1200" t="s">
        <v>8618</v>
      </c>
      <c r="BA24" s="1995">
        <v>430</v>
      </c>
      <c r="BB24" s="1995">
        <v>552</v>
      </c>
      <c r="BC24" s="1995">
        <v>698</v>
      </c>
      <c r="BD24" s="1995">
        <v>611</v>
      </c>
      <c r="BE24" s="1995">
        <v>1031</v>
      </c>
      <c r="BF24" s="1995"/>
      <c r="BG24" s="1813"/>
      <c r="BH24" s="1813"/>
      <c r="BI24" s="1813"/>
      <c r="BJ24" s="1813"/>
      <c r="BK24" s="1813"/>
      <c r="BL24" s="1813"/>
      <c r="BM24" s="1813"/>
      <c r="BN24" s="1995"/>
      <c r="BO24" s="1995"/>
      <c r="BP24" s="1995"/>
      <c r="BQ24" s="1995"/>
      <c r="BR24" s="115"/>
      <c r="BS24" s="115"/>
      <c r="BT24" s="2017" t="s">
        <v>8620</v>
      </c>
      <c r="BU24" s="2014" t="s">
        <v>8562</v>
      </c>
      <c r="BV24" s="2018">
        <v>6781</v>
      </c>
      <c r="BW24" s="2014" t="s">
        <v>8562</v>
      </c>
      <c r="BX24" s="2014" t="s">
        <v>8562</v>
      </c>
      <c r="BY24" s="2014" t="s">
        <v>8562</v>
      </c>
    </row>
    <row r="25" spans="1:77" ht="12.6" customHeight="1">
      <c r="A25" s="1944" t="s">
        <v>8617</v>
      </c>
      <c r="B25" s="1945">
        <v>3643</v>
      </c>
      <c r="C25" s="1946">
        <v>947</v>
      </c>
      <c r="D25" s="1945">
        <v>3810</v>
      </c>
      <c r="E25" s="1945">
        <v>912</v>
      </c>
      <c r="F25" s="115"/>
      <c r="G25" s="115"/>
      <c r="H25" s="781" t="s">
        <v>6731</v>
      </c>
      <c r="I25" s="1967">
        <v>1217</v>
      </c>
      <c r="J25" s="1967">
        <v>691</v>
      </c>
      <c r="K25" s="1967">
        <v>355</v>
      </c>
      <c r="L25" s="1967">
        <v>259</v>
      </c>
      <c r="M25" s="1967">
        <v>122</v>
      </c>
      <c r="N25" s="1967"/>
      <c r="O25" s="1967"/>
      <c r="P25" s="1971" t="s">
        <v>1699</v>
      </c>
      <c r="Q25" s="1945">
        <v>283</v>
      </c>
      <c r="R25" s="1945">
        <v>337</v>
      </c>
      <c r="S25" s="1969">
        <f t="shared" si="5"/>
        <v>-0.16023738872403562</v>
      </c>
      <c r="T25" s="1967"/>
      <c r="U25" s="1805"/>
      <c r="V25" s="1825"/>
      <c r="W25" s="1827"/>
      <c r="X25" s="1827"/>
      <c r="Y25" s="1827"/>
      <c r="Z25" s="1827"/>
      <c r="AA25" s="1827"/>
      <c r="AB25" s="1827"/>
      <c r="AD25" s="1806"/>
      <c r="AE25" s="1805"/>
      <c r="AF25" s="1829"/>
      <c r="AG25" s="1829"/>
      <c r="AJ25" s="84" t="s">
        <v>8609</v>
      </c>
      <c r="AK25" s="13"/>
      <c r="AL25" s="13"/>
      <c r="AM25" s="13"/>
      <c r="AN25" s="13"/>
      <c r="AZ25" s="1200" t="s">
        <v>6947</v>
      </c>
      <c r="BA25" s="1995">
        <v>1173</v>
      </c>
      <c r="BB25" s="1995">
        <v>1278</v>
      </c>
      <c r="BC25" s="1995">
        <v>1768</v>
      </c>
      <c r="BD25" s="1995">
        <v>1548</v>
      </c>
      <c r="BE25" s="1995">
        <v>4143</v>
      </c>
      <c r="BF25" s="1995"/>
      <c r="BG25" s="1813"/>
      <c r="BH25" s="1813"/>
      <c r="BI25" s="1813"/>
      <c r="BJ25" s="1813"/>
      <c r="BK25" s="1813"/>
      <c r="BL25" s="1813"/>
      <c r="BM25" s="1813"/>
      <c r="BN25" s="1995"/>
      <c r="BO25" s="1995"/>
      <c r="BP25" s="1995"/>
      <c r="BQ25" s="1995"/>
      <c r="BR25" s="115"/>
      <c r="BS25" s="115"/>
      <c r="BT25" s="2017" t="s">
        <v>6663</v>
      </c>
      <c r="BU25" s="2018">
        <v>12793</v>
      </c>
      <c r="BV25" s="2018">
        <v>12471</v>
      </c>
      <c r="BW25" s="1947">
        <v>16646</v>
      </c>
      <c r="BX25" s="2014" t="s">
        <v>8562</v>
      </c>
      <c r="BY25" s="2014" t="s">
        <v>8562</v>
      </c>
    </row>
    <row r="26" spans="1:77" ht="12.6" customHeight="1">
      <c r="A26" s="1944" t="s">
        <v>8619</v>
      </c>
      <c r="B26" s="1945">
        <v>3246</v>
      </c>
      <c r="C26" s="1946">
        <v>825</v>
      </c>
      <c r="D26" s="1947">
        <v>2675</v>
      </c>
      <c r="E26" s="1947">
        <v>733</v>
      </c>
      <c r="F26" s="115"/>
      <c r="G26" s="115"/>
      <c r="H26" s="781"/>
      <c r="I26" s="1967"/>
      <c r="J26" s="1967"/>
      <c r="K26" s="1967"/>
      <c r="L26" s="1967"/>
      <c r="M26" s="1967"/>
      <c r="N26" s="1967"/>
      <c r="O26" s="1967"/>
      <c r="P26" s="1971" t="s">
        <v>1700</v>
      </c>
      <c r="Q26" s="1945">
        <v>1600</v>
      </c>
      <c r="R26" s="1945">
        <v>678</v>
      </c>
      <c r="S26" s="1969">
        <f t="shared" si="5"/>
        <v>1.359882005899705</v>
      </c>
      <c r="T26" s="1967"/>
      <c r="U26" s="1805"/>
      <c r="V26" s="1830"/>
      <c r="W26" s="1827"/>
      <c r="X26" s="1827"/>
      <c r="Y26" s="1827"/>
      <c r="Z26" s="1827"/>
      <c r="AA26" s="1827"/>
      <c r="AB26" s="1827"/>
      <c r="AD26" s="1830"/>
      <c r="AE26" s="1827"/>
      <c r="AF26" s="1827"/>
      <c r="AG26" s="1827"/>
      <c r="AK26" s="1827"/>
      <c r="AL26" s="1827"/>
      <c r="AM26" s="1827"/>
      <c r="AN26" s="1827"/>
      <c r="AZ26" s="1200" t="s">
        <v>8623</v>
      </c>
      <c r="BA26" s="1995">
        <v>1529</v>
      </c>
      <c r="BB26" s="1995">
        <v>2007</v>
      </c>
      <c r="BC26" s="1995">
        <v>2128</v>
      </c>
      <c r="BD26" s="1995">
        <v>2634</v>
      </c>
      <c r="BE26" s="1995">
        <v>5153</v>
      </c>
      <c r="BF26" s="1995"/>
      <c r="BG26" s="1813"/>
      <c r="BH26" s="1813"/>
      <c r="BI26" s="1813"/>
      <c r="BJ26" s="1813"/>
      <c r="BK26" s="1813"/>
      <c r="BL26" s="1813"/>
      <c r="BM26" s="1813"/>
      <c r="BN26" s="1995"/>
      <c r="BO26" s="1995"/>
      <c r="BP26" s="1995"/>
      <c r="BQ26" s="1995"/>
      <c r="BR26" s="115"/>
      <c r="BS26" s="115"/>
      <c r="BT26" s="2017" t="s">
        <v>6674</v>
      </c>
      <c r="BU26" s="2018">
        <v>8856</v>
      </c>
      <c r="BV26" s="2018">
        <v>11805</v>
      </c>
      <c r="BW26" s="1945">
        <v>10486</v>
      </c>
      <c r="BX26" s="1947">
        <v>10545</v>
      </c>
      <c r="BY26" s="2014" t="s">
        <v>8562</v>
      </c>
    </row>
    <row r="27" spans="1:77" ht="12.6" customHeight="1">
      <c r="A27" s="1944" t="s">
        <v>8621</v>
      </c>
      <c r="B27" s="1945">
        <v>5809</v>
      </c>
      <c r="C27" s="1946">
        <v>1729</v>
      </c>
      <c r="D27" s="1945">
        <v>5930</v>
      </c>
      <c r="E27" s="1945">
        <v>1617</v>
      </c>
      <c r="F27" s="115"/>
      <c r="G27" s="115"/>
      <c r="H27" s="1" t="s">
        <v>8622</v>
      </c>
      <c r="I27" s="1967"/>
      <c r="J27" s="1967">
        <v>81552</v>
      </c>
      <c r="K27" s="1967">
        <v>79181</v>
      </c>
      <c r="L27" s="1967">
        <v>70945</v>
      </c>
      <c r="M27" s="1967">
        <v>55321</v>
      </c>
      <c r="N27" s="1967"/>
      <c r="O27" s="1967"/>
      <c r="P27" s="1959" t="s">
        <v>1701</v>
      </c>
      <c r="Q27" s="1945">
        <v>1340</v>
      </c>
      <c r="R27" s="1945">
        <v>1540</v>
      </c>
      <c r="S27" s="1969">
        <f t="shared" si="5"/>
        <v>-0.12987012987012986</v>
      </c>
      <c r="T27" s="1967"/>
      <c r="U27" s="1805"/>
      <c r="V27" s="1827"/>
      <c r="W27" s="1827"/>
      <c r="X27" s="1827"/>
      <c r="Y27" s="1827"/>
      <c r="Z27" s="1827"/>
      <c r="AA27" s="1827"/>
      <c r="AB27" s="1827"/>
      <c r="AD27" s="1805"/>
      <c r="AE27" s="1805"/>
      <c r="AF27" s="1805"/>
      <c r="AG27" s="1805"/>
      <c r="AJ27" s="1825"/>
      <c r="AK27" s="1827"/>
      <c r="AL27" s="1827"/>
      <c r="AM27" s="1827"/>
      <c r="AN27" s="1827"/>
      <c r="AZ27" s="1200" t="s">
        <v>8626</v>
      </c>
      <c r="BA27" s="1995">
        <v>1714</v>
      </c>
      <c r="BB27" s="1995">
        <v>2217</v>
      </c>
      <c r="BC27" s="1995">
        <v>2237</v>
      </c>
      <c r="BD27" s="1995">
        <v>1723</v>
      </c>
      <c r="BE27" s="1995">
        <v>4059</v>
      </c>
      <c r="BF27" s="1995"/>
      <c r="BG27" s="1813"/>
      <c r="BH27" s="1813"/>
      <c r="BI27" s="1813"/>
      <c r="BJ27" s="1813"/>
      <c r="BK27" s="1813"/>
      <c r="BL27" s="1813"/>
      <c r="BM27" s="1813"/>
      <c r="BN27" s="1995"/>
      <c r="BO27" s="1995"/>
      <c r="BP27" s="1995"/>
      <c r="BQ27" s="1995"/>
      <c r="BR27" s="115"/>
      <c r="BS27" s="115"/>
      <c r="BT27" s="2017" t="s">
        <v>6679</v>
      </c>
      <c r="BU27" s="2018">
        <v>12980</v>
      </c>
      <c r="BV27" s="2018">
        <v>12954</v>
      </c>
      <c r="BW27" s="1945">
        <v>14557</v>
      </c>
      <c r="BX27" s="1945">
        <v>14606</v>
      </c>
      <c r="BY27" s="1947">
        <v>16501</v>
      </c>
    </row>
    <row r="28" spans="1:77" ht="12.6" customHeight="1">
      <c r="A28" s="1944" t="s">
        <v>8624</v>
      </c>
      <c r="B28" s="1945">
        <v>3500</v>
      </c>
      <c r="C28" s="1946">
        <v>1223</v>
      </c>
      <c r="D28" s="1945">
        <v>3356</v>
      </c>
      <c r="E28" s="1945">
        <v>968</v>
      </c>
      <c r="F28" s="115"/>
      <c r="G28" s="115"/>
      <c r="H28" s="781" t="s">
        <v>2832</v>
      </c>
      <c r="I28" s="1967">
        <v>5575</v>
      </c>
      <c r="J28" s="1967">
        <v>7345</v>
      </c>
      <c r="K28" s="1967">
        <v>8807</v>
      </c>
      <c r="L28" s="1967">
        <v>7691</v>
      </c>
      <c r="M28" s="1967">
        <v>6620</v>
      </c>
      <c r="N28" s="1967"/>
      <c r="O28" s="1967"/>
      <c r="P28" s="1959" t="s">
        <v>8625</v>
      </c>
      <c r="Q28" s="1945">
        <v>214</v>
      </c>
      <c r="R28" s="1947" t="s">
        <v>4391</v>
      </c>
      <c r="S28" s="1947" t="s">
        <v>4391</v>
      </c>
      <c r="T28" s="1967"/>
      <c r="U28" s="1805"/>
      <c r="AD28" s="1805"/>
      <c r="AE28" s="1805"/>
      <c r="AF28" s="1805"/>
      <c r="AG28" s="1805"/>
      <c r="AZ28" s="1200" t="s">
        <v>8628</v>
      </c>
      <c r="BA28" s="1995">
        <v>1976</v>
      </c>
      <c r="BB28" s="1995">
        <v>2418</v>
      </c>
      <c r="BC28" s="1995">
        <v>2521</v>
      </c>
      <c r="BD28" s="1995">
        <v>3230</v>
      </c>
      <c r="BE28" s="1995">
        <v>2853</v>
      </c>
      <c r="BF28" s="1995"/>
      <c r="BG28" s="1813"/>
      <c r="BH28" s="1813"/>
      <c r="BI28" s="1813"/>
      <c r="BJ28" s="1813"/>
      <c r="BK28" s="1813"/>
      <c r="BL28" s="1813"/>
      <c r="BM28" s="1813"/>
      <c r="BN28" s="1995"/>
      <c r="BO28" s="1995"/>
      <c r="BP28" s="1995"/>
      <c r="BQ28" s="1995"/>
      <c r="BR28" s="115"/>
      <c r="BS28" s="115"/>
      <c r="BT28" s="2017" t="s">
        <v>6684</v>
      </c>
      <c r="BU28" s="2018">
        <v>3039</v>
      </c>
      <c r="BV28" s="2018">
        <v>3525</v>
      </c>
      <c r="BW28" s="1945">
        <v>4771</v>
      </c>
      <c r="BX28" s="1945">
        <v>6767</v>
      </c>
      <c r="BY28" s="1945">
        <v>7566</v>
      </c>
    </row>
    <row r="29" spans="1:77" ht="12.6" customHeight="1">
      <c r="A29" s="1944" t="s">
        <v>8627</v>
      </c>
      <c r="B29" s="1945">
        <v>2998</v>
      </c>
      <c r="C29" s="1946">
        <v>1047</v>
      </c>
      <c r="D29" s="1945">
        <v>2987</v>
      </c>
      <c r="E29" s="1945">
        <v>1004</v>
      </c>
      <c r="F29" s="115"/>
      <c r="G29" s="115"/>
      <c r="H29" s="781" t="s">
        <v>1674</v>
      </c>
      <c r="I29" s="1967">
        <v>5897</v>
      </c>
      <c r="J29" s="1967">
        <v>7200</v>
      </c>
      <c r="K29" s="1967">
        <v>8270</v>
      </c>
      <c r="L29" s="1967">
        <v>6656</v>
      </c>
      <c r="M29" s="1967">
        <v>6458</v>
      </c>
      <c r="N29" s="1967"/>
      <c r="O29" s="1967"/>
      <c r="P29" s="1959" t="s">
        <v>3800</v>
      </c>
      <c r="Q29" s="1947" t="s">
        <v>4391</v>
      </c>
      <c r="R29" s="1945">
        <v>1201</v>
      </c>
      <c r="S29" s="1947" t="s">
        <v>4391</v>
      </c>
      <c r="T29" s="1967"/>
      <c r="U29" s="1805"/>
      <c r="AD29" s="1805"/>
      <c r="AE29" s="1805"/>
      <c r="AF29" s="1805"/>
      <c r="AG29" s="1805"/>
      <c r="AZ29" s="1200" t="s">
        <v>8630</v>
      </c>
      <c r="BA29" s="1995">
        <v>1894</v>
      </c>
      <c r="BB29" s="1995">
        <v>2387</v>
      </c>
      <c r="BC29" s="1995">
        <v>2444</v>
      </c>
      <c r="BD29" s="1995">
        <v>2915</v>
      </c>
      <c r="BE29" s="1967" t="s">
        <v>8537</v>
      </c>
      <c r="BF29" s="1967"/>
      <c r="BG29" s="1813"/>
      <c r="BH29" s="1813"/>
      <c r="BI29" s="1813"/>
      <c r="BJ29" s="1813"/>
      <c r="BK29" s="1813"/>
      <c r="BL29" s="1813"/>
      <c r="BM29" s="1813"/>
      <c r="BN29" s="1995"/>
      <c r="BO29" s="1995"/>
      <c r="BP29" s="1995"/>
      <c r="BQ29" s="1995"/>
      <c r="BR29" s="115"/>
      <c r="BS29" s="115"/>
      <c r="BT29" s="2017" t="s">
        <v>6688</v>
      </c>
      <c r="BU29" s="2018">
        <v>580</v>
      </c>
      <c r="BV29" s="2018">
        <v>826</v>
      </c>
      <c r="BW29" s="1945">
        <v>979</v>
      </c>
      <c r="BX29" s="1945">
        <v>2507</v>
      </c>
      <c r="BY29" s="1945">
        <v>3268</v>
      </c>
    </row>
    <row r="30" spans="1:77" ht="12.6" customHeight="1">
      <c r="A30" s="1944" t="s">
        <v>8629</v>
      </c>
      <c r="B30" s="1945">
        <v>704</v>
      </c>
      <c r="C30" s="1946">
        <v>222</v>
      </c>
      <c r="D30" s="1945">
        <v>806</v>
      </c>
      <c r="E30" s="1945">
        <v>235</v>
      </c>
      <c r="F30" s="115"/>
      <c r="G30" s="115"/>
      <c r="H30" s="781" t="s">
        <v>3370</v>
      </c>
      <c r="I30" s="1967">
        <v>6249</v>
      </c>
      <c r="J30" s="1967">
        <v>7777</v>
      </c>
      <c r="K30" s="1967">
        <v>7232</v>
      </c>
      <c r="L30" s="1967">
        <v>6034</v>
      </c>
      <c r="M30" s="1967">
        <v>5835</v>
      </c>
      <c r="N30" s="1967"/>
      <c r="O30" s="1967"/>
      <c r="P30" s="1959" t="s">
        <v>1708</v>
      </c>
      <c r="Q30" s="1945">
        <v>10491</v>
      </c>
      <c r="R30" s="1945">
        <v>11321</v>
      </c>
      <c r="S30" s="1969">
        <f t="shared" si="5"/>
        <v>-7.331507817330625E-2</v>
      </c>
      <c r="T30" s="1967"/>
      <c r="U30" s="1805"/>
      <c r="W30" s="1805"/>
      <c r="X30" s="1805"/>
      <c r="Y30" s="1805"/>
      <c r="Z30" s="1805"/>
      <c r="AA30" s="1805"/>
      <c r="AB30" s="1805"/>
      <c r="AC30" s="1805"/>
      <c r="AZ30" s="1200" t="s">
        <v>8633</v>
      </c>
      <c r="BA30" s="1995">
        <v>3964</v>
      </c>
      <c r="BB30" s="1995">
        <v>4811</v>
      </c>
      <c r="BC30" s="1995">
        <v>4757</v>
      </c>
      <c r="BD30" s="1995">
        <v>4807</v>
      </c>
      <c r="BE30" s="1967" t="s">
        <v>8537</v>
      </c>
      <c r="BF30" s="1967"/>
      <c r="BG30" s="1805"/>
      <c r="BH30" s="1805"/>
      <c r="BI30" s="1805"/>
      <c r="BJ30" s="1805"/>
      <c r="BK30" s="1805"/>
      <c r="BL30" s="1805"/>
      <c r="BM30" s="1805"/>
      <c r="BN30" s="1967"/>
      <c r="BO30" s="1967"/>
      <c r="BP30" s="1967"/>
      <c r="BQ30" s="1967"/>
      <c r="BR30" s="115"/>
      <c r="BS30" s="115"/>
      <c r="BT30" s="2017" t="s">
        <v>6696</v>
      </c>
      <c r="BU30" s="2018">
        <v>150</v>
      </c>
      <c r="BV30" s="2018">
        <v>169</v>
      </c>
      <c r="BW30" s="1945">
        <v>154</v>
      </c>
      <c r="BX30" s="1945">
        <v>646</v>
      </c>
      <c r="BY30" s="1945">
        <v>672</v>
      </c>
    </row>
    <row r="31" spans="1:77" ht="12.6" customHeight="1">
      <c r="A31" s="1944" t="s">
        <v>8631</v>
      </c>
      <c r="B31" s="1945">
        <v>2687</v>
      </c>
      <c r="C31" s="1946">
        <v>790</v>
      </c>
      <c r="D31" s="1947">
        <v>2818</v>
      </c>
      <c r="E31" s="1947">
        <v>742</v>
      </c>
      <c r="F31" s="115"/>
      <c r="G31" s="115"/>
      <c r="H31" s="781" t="s">
        <v>6657</v>
      </c>
      <c r="I31" s="1967">
        <v>6092</v>
      </c>
      <c r="J31" s="1967">
        <v>7473</v>
      </c>
      <c r="K31" s="1967">
        <v>6273</v>
      </c>
      <c r="L31" s="1967">
        <v>6448</v>
      </c>
      <c r="M31" s="1967">
        <v>5849</v>
      </c>
      <c r="N31" s="1967"/>
      <c r="O31" s="1967"/>
      <c r="P31" s="1959" t="s">
        <v>8632</v>
      </c>
      <c r="Q31" s="1945">
        <v>955</v>
      </c>
      <c r="R31" s="1945">
        <v>404</v>
      </c>
      <c r="S31" s="1969">
        <f t="shared" si="5"/>
        <v>1.363861386138614</v>
      </c>
      <c r="T31" s="1967"/>
      <c r="U31" s="1805"/>
      <c r="V31" s="1805"/>
      <c r="W31" s="1805"/>
      <c r="X31" s="1805"/>
      <c r="Y31" s="1805"/>
      <c r="Z31" s="1805"/>
      <c r="AA31" s="1805"/>
      <c r="AB31" s="1805"/>
      <c r="AC31" s="1805"/>
      <c r="AZ31" s="1200" t="s">
        <v>8635</v>
      </c>
      <c r="BA31" s="1995">
        <v>3773</v>
      </c>
      <c r="BB31" s="1995">
        <v>4237</v>
      </c>
      <c r="BC31" s="1995">
        <v>3998</v>
      </c>
      <c r="BD31" s="1995">
        <v>3484</v>
      </c>
      <c r="BE31" s="1967" t="s">
        <v>8537</v>
      </c>
      <c r="BF31" s="1967"/>
      <c r="BG31" s="1805"/>
      <c r="BH31" s="1805"/>
      <c r="BI31" s="1805"/>
      <c r="BJ31" s="1805"/>
      <c r="BK31" s="1805"/>
      <c r="BL31" s="1805"/>
      <c r="BM31" s="1805"/>
      <c r="BN31" s="1967"/>
      <c r="BO31" s="1967"/>
      <c r="BP31" s="1967"/>
      <c r="BQ31" s="1967"/>
      <c r="BR31" s="115"/>
      <c r="BS31" s="115"/>
      <c r="BT31" s="2019" t="s">
        <v>8639</v>
      </c>
      <c r="BU31" s="2020">
        <v>147</v>
      </c>
      <c r="BV31" s="2020">
        <v>101</v>
      </c>
      <c r="BW31" s="1956">
        <v>84</v>
      </c>
      <c r="BX31" s="1956">
        <v>152</v>
      </c>
      <c r="BY31" s="1956">
        <v>84</v>
      </c>
    </row>
    <row r="32" spans="1:77" ht="12.6" customHeight="1">
      <c r="A32" s="1944" t="s">
        <v>8634</v>
      </c>
      <c r="B32" s="1945">
        <v>5213</v>
      </c>
      <c r="C32" s="1946">
        <v>1673</v>
      </c>
      <c r="D32" s="1945">
        <v>5370</v>
      </c>
      <c r="E32" s="1945">
        <v>1654</v>
      </c>
      <c r="F32" s="115"/>
      <c r="G32" s="115"/>
      <c r="H32" s="781" t="s">
        <v>6669</v>
      </c>
      <c r="I32" s="1967">
        <v>6324</v>
      </c>
      <c r="J32" s="1967">
        <v>6672</v>
      </c>
      <c r="K32" s="1967">
        <v>6140</v>
      </c>
      <c r="L32" s="1967">
        <v>8372</v>
      </c>
      <c r="M32" s="1967">
        <v>6019</v>
      </c>
      <c r="N32" s="1967"/>
      <c r="O32" s="1967"/>
      <c r="P32" s="1959"/>
      <c r="Q32" s="1945"/>
      <c r="R32" s="1945"/>
      <c r="S32" s="1969"/>
      <c r="T32" s="1967"/>
      <c r="U32" s="1805"/>
      <c r="V32" s="1805"/>
      <c r="W32" s="1805"/>
      <c r="X32" s="1805"/>
      <c r="Y32" s="1805"/>
      <c r="Z32" s="1805"/>
      <c r="AA32" s="1805"/>
      <c r="AB32" s="1805"/>
      <c r="AC32" s="1805"/>
      <c r="AZ32" s="1200" t="s">
        <v>8638</v>
      </c>
      <c r="BA32" s="1995">
        <v>3454</v>
      </c>
      <c r="BB32" s="1995">
        <v>3782</v>
      </c>
      <c r="BC32" s="1995">
        <v>3370</v>
      </c>
      <c r="BD32" s="1967" t="s">
        <v>8537</v>
      </c>
      <c r="BE32" s="1967" t="s">
        <v>8537</v>
      </c>
      <c r="BF32" s="1967"/>
      <c r="BG32" s="1805"/>
      <c r="BH32" s="1805"/>
      <c r="BI32" s="1805"/>
      <c r="BJ32" s="1805"/>
      <c r="BK32" s="1805"/>
      <c r="BL32" s="1805"/>
      <c r="BM32" s="1805"/>
      <c r="BN32" s="1967"/>
      <c r="BO32" s="1967"/>
      <c r="BP32" s="1967"/>
      <c r="BQ32" s="1967"/>
      <c r="BR32" s="115"/>
      <c r="BS32" s="115"/>
      <c r="BT32" s="1808" t="s">
        <v>8585</v>
      </c>
      <c r="BU32" s="13"/>
      <c r="BV32" s="13"/>
      <c r="BW32" s="13"/>
      <c r="BX32" s="13"/>
    </row>
    <row r="33" spans="1:76" ht="12.6" customHeight="1">
      <c r="A33" s="1944" t="s">
        <v>8636</v>
      </c>
      <c r="B33" s="1945">
        <v>1050</v>
      </c>
      <c r="C33" s="1946">
        <v>287</v>
      </c>
      <c r="D33" s="1945">
        <v>1084</v>
      </c>
      <c r="E33" s="1945">
        <v>280</v>
      </c>
      <c r="F33" s="115"/>
      <c r="G33" s="115"/>
      <c r="H33" s="781" t="s">
        <v>3374</v>
      </c>
      <c r="I33" s="1967">
        <v>6052</v>
      </c>
      <c r="J33" s="1967">
        <v>5429</v>
      </c>
      <c r="K33" s="1967">
        <v>6584</v>
      </c>
      <c r="L33" s="1967">
        <v>7322</v>
      </c>
      <c r="M33" s="1967">
        <v>5194</v>
      </c>
      <c r="N33" s="1967"/>
      <c r="O33" s="1967"/>
      <c r="P33" s="1972" t="s">
        <v>8637</v>
      </c>
      <c r="Q33" s="1945">
        <v>15441</v>
      </c>
      <c r="R33" s="1945">
        <v>14929</v>
      </c>
      <c r="S33" s="1969">
        <f t="shared" si="5"/>
        <v>3.4295666153124793E-2</v>
      </c>
      <c r="T33" s="1967"/>
      <c r="U33" s="1805"/>
      <c r="V33" s="1805"/>
      <c r="W33" s="1805"/>
      <c r="X33" s="1805"/>
      <c r="Y33" s="1805"/>
      <c r="Z33" s="1805"/>
      <c r="AA33" s="1805"/>
      <c r="AB33" s="1805"/>
      <c r="AC33" s="1805"/>
      <c r="AZ33" s="1200" t="s">
        <v>8642</v>
      </c>
      <c r="BA33" s="1996" t="s">
        <v>8562</v>
      </c>
      <c r="BB33" s="1995">
        <v>3249</v>
      </c>
      <c r="BC33" s="1967" t="s">
        <v>8537</v>
      </c>
      <c r="BD33" s="1967" t="s">
        <v>8537</v>
      </c>
      <c r="BE33" s="1967" t="s">
        <v>8537</v>
      </c>
      <c r="BF33" s="1967"/>
      <c r="BG33" s="1805"/>
      <c r="BH33" s="1805"/>
      <c r="BI33" s="1805"/>
      <c r="BJ33" s="1805"/>
      <c r="BK33" s="1805"/>
      <c r="BL33" s="1805"/>
      <c r="BM33" s="1805"/>
      <c r="BN33" s="1967"/>
      <c r="BO33" s="1967"/>
      <c r="BP33" s="1967"/>
      <c r="BQ33" s="1967"/>
      <c r="BR33" s="115"/>
      <c r="BS33" s="115"/>
      <c r="BT33" s="1825"/>
      <c r="BU33" s="1825"/>
      <c r="BV33" s="1825"/>
      <c r="BW33" s="1825"/>
      <c r="BX33" s="1825"/>
    </row>
    <row r="34" spans="1:76" ht="12.6" customHeight="1">
      <c r="A34" s="1941" t="s">
        <v>8640</v>
      </c>
      <c r="B34" s="1948">
        <v>943</v>
      </c>
      <c r="C34" s="1949">
        <v>407</v>
      </c>
      <c r="D34" s="1948">
        <v>1051</v>
      </c>
      <c r="E34" s="1948">
        <v>396</v>
      </c>
      <c r="F34" s="115"/>
      <c r="G34" s="115"/>
      <c r="H34" s="781" t="s">
        <v>6681</v>
      </c>
      <c r="I34" s="1967">
        <v>5247</v>
      </c>
      <c r="J34" s="1967">
        <v>5149</v>
      </c>
      <c r="K34" s="1967">
        <v>6727</v>
      </c>
      <c r="L34" s="1967">
        <v>6344</v>
      </c>
      <c r="M34" s="1967">
        <v>4854</v>
      </c>
      <c r="N34" s="1967"/>
      <c r="O34" s="1967"/>
      <c r="P34" s="1973" t="s">
        <v>8641</v>
      </c>
      <c r="Q34" s="1947" t="s">
        <v>4391</v>
      </c>
      <c r="R34" s="1945">
        <v>11656</v>
      </c>
      <c r="S34" s="1947" t="s">
        <v>4391</v>
      </c>
      <c r="T34" s="1967"/>
      <c r="U34" s="1805"/>
      <c r="V34" s="1805"/>
      <c r="W34" s="1805"/>
      <c r="X34" s="1805"/>
      <c r="Y34" s="1805"/>
      <c r="Z34" s="1805"/>
      <c r="AA34" s="1805"/>
      <c r="AB34" s="1805"/>
      <c r="AC34" s="1805"/>
      <c r="AZ34" s="1200" t="s">
        <v>8645</v>
      </c>
      <c r="BA34" s="1995">
        <v>4544</v>
      </c>
      <c r="BB34" s="1995" t="s">
        <v>8562</v>
      </c>
      <c r="BC34" s="1995" t="s">
        <v>8562</v>
      </c>
      <c r="BD34" s="1995" t="s">
        <v>8562</v>
      </c>
      <c r="BE34" s="1995" t="s">
        <v>8562</v>
      </c>
      <c r="BF34" s="1995"/>
      <c r="BG34" s="1805"/>
      <c r="BH34" s="1805"/>
      <c r="BI34" s="1805"/>
      <c r="BJ34" s="1805"/>
      <c r="BK34" s="1805"/>
      <c r="BL34" s="1805"/>
      <c r="BM34" s="1805"/>
      <c r="BN34" s="1805"/>
      <c r="BO34" s="1805"/>
      <c r="BP34" s="1805"/>
      <c r="BQ34" s="1805"/>
      <c r="BT34" s="1826"/>
      <c r="BU34" s="1825"/>
      <c r="BV34" s="1825"/>
      <c r="BW34" s="1825"/>
      <c r="BX34" s="1825"/>
    </row>
    <row r="35" spans="1:76" ht="12.6" customHeight="1">
      <c r="A35" s="1944" t="s">
        <v>8643</v>
      </c>
      <c r="B35" s="1950">
        <v>943</v>
      </c>
      <c r="C35" s="1951">
        <v>407</v>
      </c>
      <c r="D35" s="1950">
        <v>1051</v>
      </c>
      <c r="E35" s="1950">
        <v>396</v>
      </c>
      <c r="F35" s="115"/>
      <c r="G35" s="115"/>
      <c r="H35" s="781" t="s">
        <v>6686</v>
      </c>
      <c r="I35" s="1967">
        <v>4793</v>
      </c>
      <c r="J35" s="1967">
        <v>5752</v>
      </c>
      <c r="K35" s="1967">
        <v>6692</v>
      </c>
      <c r="L35" s="1967">
        <v>5521</v>
      </c>
      <c r="M35" s="1967">
        <v>3386</v>
      </c>
      <c r="N35" s="1967"/>
      <c r="O35" s="1967"/>
      <c r="P35" s="1970" t="s">
        <v>8644</v>
      </c>
      <c r="Q35" s="1947" t="s">
        <v>4391</v>
      </c>
      <c r="R35" s="1945">
        <v>9717</v>
      </c>
      <c r="S35" s="1947" t="s">
        <v>4391</v>
      </c>
      <c r="T35" s="1967"/>
      <c r="U35" s="1805"/>
      <c r="V35" s="1805"/>
      <c r="W35" s="1805"/>
      <c r="X35" s="1805"/>
      <c r="Y35" s="1805"/>
      <c r="Z35" s="1805"/>
      <c r="AA35" s="1805"/>
      <c r="AB35" s="1805"/>
      <c r="AC35" s="1805"/>
      <c r="AD35" s="1805"/>
      <c r="AE35" s="1805"/>
      <c r="AF35" s="1805"/>
      <c r="AG35" s="1805"/>
      <c r="AZ35" s="1200" t="s">
        <v>8648</v>
      </c>
      <c r="BA35" s="1996" t="s">
        <v>8562</v>
      </c>
      <c r="BB35" s="1995">
        <v>2598</v>
      </c>
      <c r="BC35" s="1967" t="s">
        <v>8537</v>
      </c>
      <c r="BD35" s="1967" t="s">
        <v>8537</v>
      </c>
      <c r="BE35" s="1967" t="s">
        <v>8537</v>
      </c>
      <c r="BF35" s="1967"/>
      <c r="BG35" s="1805"/>
      <c r="BH35" s="1805"/>
      <c r="BI35" s="1805"/>
      <c r="BJ35" s="1805"/>
      <c r="BK35" s="1805"/>
      <c r="BL35" s="1805"/>
      <c r="BM35" s="1805"/>
      <c r="BN35" s="1805"/>
      <c r="BO35" s="1805"/>
      <c r="BP35" s="1805"/>
      <c r="BQ35" s="1805"/>
      <c r="BT35" s="1825"/>
      <c r="BU35" s="1827"/>
      <c r="BV35" s="1827"/>
      <c r="BW35" s="1827"/>
      <c r="BX35" s="1827"/>
    </row>
    <row r="36" spans="1:76" ht="12.6" customHeight="1">
      <c r="A36" s="1941" t="s">
        <v>8646</v>
      </c>
      <c r="B36" s="1952">
        <v>2317</v>
      </c>
      <c r="C36" s="1953">
        <v>605</v>
      </c>
      <c r="D36" s="1952">
        <v>2273</v>
      </c>
      <c r="E36" s="1952">
        <v>607</v>
      </c>
      <c r="F36" s="115"/>
      <c r="G36" s="115"/>
      <c r="H36" s="781" t="s">
        <v>6695</v>
      </c>
      <c r="I36" s="1967">
        <v>4664</v>
      </c>
      <c r="J36" s="1967">
        <v>6164</v>
      </c>
      <c r="K36" s="1967">
        <v>5344</v>
      </c>
      <c r="L36" s="1967">
        <v>4449</v>
      </c>
      <c r="M36" s="1967">
        <v>2650</v>
      </c>
      <c r="N36" s="1967"/>
      <c r="O36" s="1967"/>
      <c r="P36" s="1973" t="s">
        <v>8647</v>
      </c>
      <c r="Q36" s="1947" t="s">
        <v>4391</v>
      </c>
      <c r="R36" s="1945">
        <v>8574</v>
      </c>
      <c r="S36" s="1947" t="s">
        <v>4391</v>
      </c>
      <c r="T36" s="1967"/>
      <c r="U36" s="1805"/>
      <c r="V36" s="1805"/>
      <c r="W36" s="1805"/>
      <c r="X36" s="1805"/>
      <c r="Y36" s="1805"/>
      <c r="Z36" s="1805"/>
      <c r="AA36" s="1805"/>
      <c r="AB36" s="1805"/>
      <c r="AC36" s="1805"/>
      <c r="AD36" s="1805"/>
      <c r="AE36" s="1805"/>
      <c r="AF36" s="1805"/>
      <c r="AG36" s="1805"/>
      <c r="AZ36" s="1200" t="s">
        <v>8650</v>
      </c>
      <c r="BA36" s="1995">
        <v>5641</v>
      </c>
      <c r="BB36" s="1996" t="s">
        <v>8562</v>
      </c>
      <c r="BC36" s="1996" t="s">
        <v>8562</v>
      </c>
      <c r="BD36" s="1996" t="s">
        <v>8562</v>
      </c>
      <c r="BE36" s="1996" t="s">
        <v>8562</v>
      </c>
      <c r="BF36" s="1996"/>
      <c r="BG36" s="1805"/>
      <c r="BH36" s="1805"/>
      <c r="BI36" s="1805"/>
      <c r="BJ36" s="1805"/>
      <c r="BK36" s="1805"/>
      <c r="BL36" s="1805"/>
      <c r="BM36" s="1805"/>
      <c r="BN36" s="1805"/>
      <c r="BO36" s="1805"/>
      <c r="BP36" s="1805"/>
      <c r="BQ36" s="1805"/>
    </row>
    <row r="37" spans="1:76" ht="12.6" customHeight="1">
      <c r="A37" s="1944" t="s">
        <v>8649</v>
      </c>
      <c r="B37" s="1945">
        <v>896</v>
      </c>
      <c r="C37" s="1946">
        <v>235</v>
      </c>
      <c r="D37" s="1947">
        <v>795</v>
      </c>
      <c r="E37" s="1947">
        <v>213</v>
      </c>
      <c r="F37" s="115"/>
      <c r="G37" s="115"/>
      <c r="H37" s="781" t="s">
        <v>6702</v>
      </c>
      <c r="I37" s="1967">
        <v>5031</v>
      </c>
      <c r="J37" s="1967">
        <v>5820</v>
      </c>
      <c r="K37" s="1967">
        <v>4608</v>
      </c>
      <c r="L37" s="1967">
        <v>3027</v>
      </c>
      <c r="M37" s="1967">
        <v>2171</v>
      </c>
      <c r="N37" s="1967"/>
      <c r="O37" s="1967"/>
      <c r="P37" s="321"/>
      <c r="Q37" s="1991"/>
      <c r="R37" s="1991"/>
      <c r="S37" s="1969"/>
      <c r="T37" s="1967"/>
      <c r="U37" s="1805"/>
      <c r="V37" s="1805"/>
      <c r="W37" s="1805"/>
      <c r="X37" s="1805"/>
      <c r="Y37" s="1805"/>
      <c r="Z37" s="1805"/>
      <c r="AA37" s="1805"/>
      <c r="AB37" s="1805"/>
      <c r="AC37" s="1805"/>
      <c r="AD37" s="1805"/>
      <c r="AE37" s="1805"/>
      <c r="AF37" s="1805"/>
      <c r="AG37" s="1805"/>
      <c r="AZ37" s="1200" t="s">
        <v>8653</v>
      </c>
      <c r="BA37" s="1996" t="s">
        <v>8562</v>
      </c>
      <c r="BB37" s="1995">
        <v>3939</v>
      </c>
      <c r="BC37" s="1967" t="s">
        <v>8537</v>
      </c>
      <c r="BD37" s="1967" t="s">
        <v>8537</v>
      </c>
      <c r="BE37" s="1967" t="s">
        <v>8537</v>
      </c>
      <c r="BF37" s="1967"/>
      <c r="BG37" s="1805"/>
      <c r="BH37" s="1805"/>
      <c r="BI37" s="1805"/>
      <c r="BJ37" s="1805"/>
      <c r="BK37" s="1805"/>
      <c r="BL37" s="1805"/>
      <c r="BM37" s="1805"/>
      <c r="BN37" s="1805"/>
      <c r="BO37" s="1805"/>
      <c r="BP37" s="1805"/>
      <c r="BQ37" s="1805"/>
    </row>
    <row r="38" spans="1:76" ht="12.6" customHeight="1">
      <c r="A38" s="1944" t="s">
        <v>8651</v>
      </c>
      <c r="B38" s="1945">
        <v>1154</v>
      </c>
      <c r="C38" s="1946">
        <v>289</v>
      </c>
      <c r="D38" s="1947">
        <v>1224</v>
      </c>
      <c r="E38" s="1947">
        <v>320</v>
      </c>
      <c r="F38" s="115"/>
      <c r="G38" s="115"/>
      <c r="H38" s="781" t="s">
        <v>6705</v>
      </c>
      <c r="I38" s="1967">
        <v>5198</v>
      </c>
      <c r="J38" s="1967">
        <v>4755</v>
      </c>
      <c r="K38" s="1967">
        <v>3813</v>
      </c>
      <c r="L38" s="1967">
        <v>2518</v>
      </c>
      <c r="M38" s="1967">
        <v>2238</v>
      </c>
      <c r="N38" s="1967"/>
      <c r="O38" s="1967"/>
      <c r="P38" s="1964" t="s">
        <v>8652</v>
      </c>
      <c r="Q38" s="1950"/>
      <c r="R38" s="1950"/>
      <c r="S38" s="1969"/>
      <c r="T38" s="1967"/>
      <c r="U38" s="1805"/>
      <c r="V38" s="1805"/>
      <c r="W38" s="1805"/>
      <c r="X38" s="1805"/>
      <c r="Y38" s="1805"/>
      <c r="Z38" s="1805"/>
      <c r="AA38" s="1805"/>
      <c r="AB38" s="1805"/>
      <c r="AC38" s="1805"/>
      <c r="AD38" s="1805"/>
      <c r="AE38" s="1805"/>
      <c r="AF38" s="1805"/>
      <c r="AG38" s="1805"/>
      <c r="AZ38" s="1200" t="s">
        <v>8655</v>
      </c>
      <c r="BA38" s="1996" t="s">
        <v>8562</v>
      </c>
      <c r="BB38" s="1995">
        <v>6825</v>
      </c>
      <c r="BC38" s="1995">
        <v>3951</v>
      </c>
      <c r="BD38" s="1995">
        <v>1272</v>
      </c>
      <c r="BE38" s="1967" t="s">
        <v>8537</v>
      </c>
      <c r="BF38" s="1967"/>
      <c r="BG38" s="1813"/>
      <c r="BH38" s="1813"/>
      <c r="BI38" s="1813"/>
      <c r="BJ38" s="1813"/>
      <c r="BK38" s="1813"/>
      <c r="BL38" s="1813"/>
      <c r="BM38" s="1813"/>
      <c r="BN38" s="1813"/>
      <c r="BO38" s="1813"/>
      <c r="BP38" s="1813"/>
      <c r="BQ38" s="1813"/>
    </row>
    <row r="39" spans="1:76" ht="12.6" customHeight="1">
      <c r="A39" s="1941" t="s">
        <v>8654</v>
      </c>
      <c r="B39" s="1942">
        <v>13476</v>
      </c>
      <c r="C39" s="1943">
        <v>4656</v>
      </c>
      <c r="D39" s="1954">
        <v>1511</v>
      </c>
      <c r="E39" s="1954">
        <v>4466</v>
      </c>
      <c r="F39" s="115"/>
      <c r="G39" s="115"/>
      <c r="H39" s="781" t="s">
        <v>6707</v>
      </c>
      <c r="I39" s="1967">
        <v>5040</v>
      </c>
      <c r="J39" s="1967">
        <v>3828</v>
      </c>
      <c r="K39" s="1967">
        <v>2548</v>
      </c>
      <c r="L39" s="1967">
        <v>2112</v>
      </c>
      <c r="M39" s="1967">
        <v>1634</v>
      </c>
      <c r="N39" s="1967"/>
      <c r="O39" s="1967"/>
      <c r="P39" s="1964"/>
      <c r="Q39" s="1950"/>
      <c r="R39" s="1950"/>
      <c r="S39" s="1969"/>
      <c r="T39" s="1967"/>
      <c r="U39" s="1805"/>
      <c r="V39" s="1805"/>
      <c r="W39" s="1805"/>
      <c r="X39" s="1805"/>
      <c r="Y39" s="1805"/>
      <c r="Z39" s="1805"/>
      <c r="AA39" s="1805"/>
      <c r="AB39" s="1805"/>
      <c r="AC39" s="1805"/>
      <c r="AD39" s="1805"/>
      <c r="AE39" s="1805"/>
      <c r="AF39" s="1805"/>
      <c r="AG39" s="1805"/>
      <c r="AZ39" s="1200" t="s">
        <v>8658</v>
      </c>
      <c r="BA39" s="1995">
        <v>3869</v>
      </c>
      <c r="BB39" s="1996" t="s">
        <v>8562</v>
      </c>
      <c r="BC39" s="1996" t="s">
        <v>8562</v>
      </c>
      <c r="BD39" s="1996" t="s">
        <v>8562</v>
      </c>
      <c r="BE39" s="1996" t="s">
        <v>8562</v>
      </c>
      <c r="BF39" s="1996"/>
      <c r="BG39" s="13"/>
      <c r="BH39" s="13"/>
      <c r="BI39" s="13"/>
      <c r="BJ39" s="13"/>
      <c r="BK39" s="13"/>
      <c r="BL39" s="13"/>
      <c r="BM39" s="13"/>
      <c r="BN39" s="13"/>
      <c r="BO39" s="13"/>
      <c r="BP39" s="13"/>
      <c r="BQ39" s="13"/>
    </row>
    <row r="40" spans="1:76" ht="12.6" customHeight="1">
      <c r="A40" s="1944" t="s">
        <v>8656</v>
      </c>
      <c r="B40" s="1945">
        <v>3638</v>
      </c>
      <c r="C40" s="1946">
        <v>1214</v>
      </c>
      <c r="D40" s="1947">
        <v>4184</v>
      </c>
      <c r="E40" s="1947">
        <v>1203</v>
      </c>
      <c r="F40" s="115"/>
      <c r="G40" s="115"/>
      <c r="H40" s="781" t="s">
        <v>6708</v>
      </c>
      <c r="I40" s="1967">
        <v>4140</v>
      </c>
      <c r="J40" s="1967">
        <v>3183</v>
      </c>
      <c r="K40" s="1967">
        <v>2190</v>
      </c>
      <c r="L40" s="1967">
        <v>1921</v>
      </c>
      <c r="M40" s="1967">
        <v>1008</v>
      </c>
      <c r="N40" s="1967"/>
      <c r="O40" s="1967"/>
      <c r="P40" s="1974" t="s">
        <v>8657</v>
      </c>
      <c r="Q40" s="1945">
        <v>50374</v>
      </c>
      <c r="R40" s="1945">
        <v>50062</v>
      </c>
      <c r="S40" s="1969">
        <f t="shared" ref="S40:S53" si="6">(Q40-R40)/R40</f>
        <v>6.2322719827414006E-3</v>
      </c>
      <c r="T40" s="1967"/>
      <c r="U40" s="1805"/>
      <c r="V40" s="1805"/>
      <c r="W40" s="1805"/>
      <c r="X40" s="1805"/>
      <c r="Y40" s="1805"/>
      <c r="Z40" s="1805"/>
      <c r="AA40" s="1805"/>
      <c r="AB40" s="1805"/>
      <c r="AC40" s="1805"/>
      <c r="AD40" s="1805"/>
      <c r="AE40" s="1805"/>
      <c r="AF40" s="1805"/>
      <c r="AG40" s="1805"/>
      <c r="AZ40" s="1999" t="s">
        <v>8660</v>
      </c>
      <c r="BA40" s="1998">
        <v>6681</v>
      </c>
      <c r="BB40" s="1997" t="s">
        <v>8562</v>
      </c>
      <c r="BC40" s="1997" t="s">
        <v>8562</v>
      </c>
      <c r="BD40" s="1997" t="s">
        <v>8562</v>
      </c>
      <c r="BE40" s="1997" t="s">
        <v>8562</v>
      </c>
      <c r="BF40" s="1996"/>
      <c r="BG40" s="13"/>
      <c r="BH40" s="13"/>
      <c r="BI40" s="13"/>
      <c r="BJ40" s="13"/>
      <c r="BK40" s="13"/>
      <c r="BL40" s="13"/>
      <c r="BM40" s="13"/>
      <c r="BN40" s="13"/>
      <c r="BO40" s="13"/>
      <c r="BP40" s="13"/>
      <c r="BQ40" s="13"/>
    </row>
    <row r="41" spans="1:76" ht="12.6" customHeight="1">
      <c r="A41" s="1944" t="s">
        <v>8659</v>
      </c>
      <c r="B41" s="1945">
        <v>5145</v>
      </c>
      <c r="C41" s="1946">
        <v>1785</v>
      </c>
      <c r="D41" s="1947">
        <v>5805</v>
      </c>
      <c r="E41" s="1947">
        <v>1634</v>
      </c>
      <c r="F41" s="115"/>
      <c r="G41" s="115"/>
      <c r="H41" s="781" t="s">
        <v>6710</v>
      </c>
      <c r="I41" s="1967">
        <v>3190</v>
      </c>
      <c r="J41" s="1967">
        <v>1935</v>
      </c>
      <c r="K41" s="1967">
        <v>1628</v>
      </c>
      <c r="L41" s="1967">
        <v>1312</v>
      </c>
      <c r="M41" s="1967">
        <v>729</v>
      </c>
      <c r="N41" s="1967"/>
      <c r="O41" s="1967"/>
      <c r="P41" s="1944" t="s">
        <v>8401</v>
      </c>
      <c r="Q41" s="1947" t="s">
        <v>4391</v>
      </c>
      <c r="R41" s="1945">
        <v>485</v>
      </c>
      <c r="S41" s="1947" t="s">
        <v>4391</v>
      </c>
      <c r="T41" s="1967"/>
      <c r="U41" s="1805"/>
      <c r="V41" s="1805"/>
      <c r="W41" s="1805"/>
      <c r="X41" s="1805"/>
      <c r="Y41" s="1805"/>
      <c r="Z41" s="1805"/>
      <c r="AA41" s="1805"/>
      <c r="AB41" s="1805"/>
      <c r="AC41" s="1805"/>
      <c r="AD41" s="1805"/>
      <c r="AE41" s="1805"/>
      <c r="AF41" s="1805"/>
      <c r="AG41" s="1805"/>
      <c r="AZ41" s="1808" t="s">
        <v>8585</v>
      </c>
      <c r="BA41" s="1813"/>
      <c r="BB41" s="1813"/>
      <c r="BC41" s="1995"/>
      <c r="BD41" s="1995"/>
      <c r="BE41" s="1995"/>
      <c r="BF41" s="1995"/>
    </row>
    <row r="42" spans="1:76" ht="12.6" customHeight="1">
      <c r="A42" s="1944" t="s">
        <v>8661</v>
      </c>
      <c r="B42" s="1945">
        <v>1302</v>
      </c>
      <c r="C42" s="1946">
        <v>423</v>
      </c>
      <c r="D42" s="1947">
        <v>1645</v>
      </c>
      <c r="E42" s="1947">
        <v>408</v>
      </c>
      <c r="F42" s="115"/>
      <c r="G42" s="115"/>
      <c r="H42" s="781" t="s">
        <v>6715</v>
      </c>
      <c r="I42" s="1967">
        <v>2371</v>
      </c>
      <c r="J42" s="1967">
        <v>1409</v>
      </c>
      <c r="K42" s="1967">
        <v>1287</v>
      </c>
      <c r="L42" s="1967">
        <v>627</v>
      </c>
      <c r="M42" s="1967">
        <v>392</v>
      </c>
      <c r="N42" s="1967"/>
      <c r="O42" s="1967"/>
      <c r="P42" s="1944" t="s">
        <v>3122</v>
      </c>
      <c r="Q42" s="1945">
        <v>38945</v>
      </c>
      <c r="R42" s="1945">
        <v>36772</v>
      </c>
      <c r="S42" s="1969">
        <f t="shared" si="6"/>
        <v>5.9093875775046233E-2</v>
      </c>
      <c r="T42" s="1967"/>
      <c r="U42" s="1805"/>
      <c r="V42" s="1805"/>
      <c r="W42" s="1805"/>
      <c r="X42" s="1805"/>
      <c r="Y42" s="1805"/>
      <c r="Z42" s="1805"/>
      <c r="AA42" s="1805"/>
      <c r="AB42" s="1805"/>
      <c r="AC42" s="1805"/>
      <c r="AD42" s="1805"/>
      <c r="AE42" s="1805"/>
      <c r="AF42" s="1805"/>
      <c r="AG42" s="1805"/>
      <c r="AZ42" s="84" t="s">
        <v>8609</v>
      </c>
      <c r="BA42" s="13"/>
      <c r="BB42" s="13"/>
      <c r="BC42" s="1"/>
      <c r="BD42" s="1"/>
      <c r="BE42" s="1"/>
      <c r="BF42" s="1"/>
    </row>
    <row r="43" spans="1:76" ht="12.6" customHeight="1">
      <c r="A43" s="1955" t="s">
        <v>8662</v>
      </c>
      <c r="B43" s="1956">
        <v>3388</v>
      </c>
      <c r="C43" s="1957">
        <v>1232</v>
      </c>
      <c r="D43" s="1958">
        <v>3498</v>
      </c>
      <c r="E43" s="1958">
        <v>1130</v>
      </c>
      <c r="F43" s="115"/>
      <c r="G43" s="115"/>
      <c r="H43" s="781" t="s">
        <v>6720</v>
      </c>
      <c r="I43" s="1967">
        <v>1139</v>
      </c>
      <c r="J43" s="1967">
        <v>834</v>
      </c>
      <c r="K43" s="1967">
        <v>681</v>
      </c>
      <c r="L43" s="1967">
        <v>350</v>
      </c>
      <c r="M43" s="1967">
        <v>185</v>
      </c>
      <c r="N43" s="1967"/>
      <c r="O43" s="1967"/>
      <c r="P43" s="1959" t="s">
        <v>398</v>
      </c>
      <c r="Q43" s="1945">
        <v>1792</v>
      </c>
      <c r="R43" s="1945">
        <v>2133</v>
      </c>
      <c r="S43" s="1969">
        <f t="shared" si="6"/>
        <v>-0.15986872948898265</v>
      </c>
      <c r="T43" s="1967"/>
      <c r="U43" s="1805"/>
      <c r="V43" s="1805"/>
      <c r="W43" s="1805"/>
      <c r="X43" s="1805"/>
      <c r="Y43" s="1805"/>
      <c r="Z43" s="1805"/>
      <c r="AA43" s="1805"/>
      <c r="AB43" s="1805"/>
      <c r="AC43" s="1805"/>
      <c r="AD43" s="1805"/>
      <c r="AE43" s="1805"/>
      <c r="AF43" s="1805"/>
      <c r="AG43" s="1805"/>
      <c r="AZ43" s="116" t="s">
        <v>8664</v>
      </c>
      <c r="BA43" s="13"/>
      <c r="BB43" s="13"/>
      <c r="BC43" s="1"/>
      <c r="BD43" s="1"/>
      <c r="BE43" s="1"/>
      <c r="BF43" s="1"/>
    </row>
    <row r="44" spans="1:76" ht="12.6" customHeight="1">
      <c r="A44" s="1964" t="s">
        <v>8663</v>
      </c>
      <c r="B44" s="1965"/>
      <c r="C44" s="1965"/>
      <c r="D44" s="1965"/>
      <c r="E44" s="1947"/>
      <c r="F44" s="115"/>
      <c r="G44" s="115"/>
      <c r="H44" s="781" t="s">
        <v>6726</v>
      </c>
      <c r="I44" s="1967">
        <v>802</v>
      </c>
      <c r="J44" s="1967">
        <v>525</v>
      </c>
      <c r="K44" s="1967">
        <v>234</v>
      </c>
      <c r="L44" s="1967">
        <v>157</v>
      </c>
      <c r="M44" s="1967">
        <v>68</v>
      </c>
      <c r="N44" s="1967"/>
      <c r="O44" s="1967"/>
      <c r="P44" s="1959" t="s">
        <v>392</v>
      </c>
      <c r="Q44" s="1945">
        <v>2309</v>
      </c>
      <c r="R44" s="1945">
        <v>2082</v>
      </c>
      <c r="S44" s="1969">
        <f t="shared" si="6"/>
        <v>0.10902977905859751</v>
      </c>
      <c r="T44" s="1967"/>
      <c r="U44" s="1805"/>
      <c r="V44" s="1805"/>
      <c r="W44" s="1805"/>
      <c r="X44" s="1805"/>
      <c r="Y44" s="1805"/>
      <c r="Z44" s="1805"/>
      <c r="AA44" s="1805"/>
      <c r="AB44" s="1805"/>
      <c r="AC44" s="1805"/>
      <c r="AD44" s="1805"/>
      <c r="AE44" s="1805"/>
      <c r="AF44" s="1805"/>
      <c r="AG44" s="1805"/>
      <c r="AZ44" s="13" t="s">
        <v>8665</v>
      </c>
      <c r="BC44" s="115"/>
      <c r="BD44" s="115"/>
      <c r="BE44" s="115"/>
      <c r="BF44" s="115"/>
    </row>
    <row r="45" spans="1:76" ht="12.6" customHeight="1">
      <c r="A45" s="1964" t="s">
        <v>8760</v>
      </c>
      <c r="B45" s="1965"/>
      <c r="C45" s="1965"/>
      <c r="D45" s="1965"/>
      <c r="E45" s="1947"/>
      <c r="F45" s="115"/>
      <c r="G45" s="115"/>
      <c r="H45" s="781" t="s">
        <v>6731</v>
      </c>
      <c r="I45" s="1967">
        <v>467</v>
      </c>
      <c r="J45" s="1967">
        <v>302</v>
      </c>
      <c r="K45" s="1967">
        <v>123</v>
      </c>
      <c r="L45" s="1967">
        <v>84</v>
      </c>
      <c r="M45" s="1967">
        <v>31</v>
      </c>
      <c r="N45" s="1967"/>
      <c r="O45" s="1967"/>
      <c r="P45" s="1959" t="s">
        <v>390</v>
      </c>
      <c r="Q45" s="1945">
        <v>2858</v>
      </c>
      <c r="R45" s="1945">
        <v>2687</v>
      </c>
      <c r="S45" s="1969">
        <f t="shared" si="6"/>
        <v>6.3639746929661331E-2</v>
      </c>
      <c r="T45" s="1967"/>
      <c r="U45" s="1805"/>
      <c r="V45" s="1805"/>
      <c r="W45" s="1805"/>
      <c r="X45" s="1805"/>
      <c r="Y45" s="1805"/>
      <c r="Z45" s="1805"/>
      <c r="AA45" s="1805"/>
      <c r="AB45" s="1805"/>
      <c r="AC45" s="1805"/>
      <c r="AD45" s="1805"/>
      <c r="AE45" s="1805"/>
      <c r="AF45" s="1805"/>
      <c r="AG45" s="1805"/>
      <c r="AZ45" s="13"/>
      <c r="BC45" s="115"/>
      <c r="BD45" s="115"/>
      <c r="BE45" s="115"/>
      <c r="BF45" s="115"/>
    </row>
    <row r="46" spans="1:76" ht="12.6" customHeight="1">
      <c r="A46" s="1944"/>
      <c r="B46" s="1945"/>
      <c r="C46" s="1945"/>
      <c r="D46" s="1947"/>
      <c r="E46" s="1947"/>
      <c r="F46" s="115"/>
      <c r="G46" s="115"/>
      <c r="H46" s="781"/>
      <c r="I46" s="1967"/>
      <c r="J46" s="1967"/>
      <c r="K46" s="1967"/>
      <c r="L46" s="1967"/>
      <c r="M46" s="1967"/>
      <c r="N46" s="1967"/>
      <c r="O46" s="1967"/>
      <c r="P46" s="1959" t="s">
        <v>397</v>
      </c>
      <c r="Q46" s="1945">
        <v>31058</v>
      </c>
      <c r="R46" s="1945">
        <v>29028</v>
      </c>
      <c r="S46" s="1969">
        <f t="shared" si="6"/>
        <v>6.9932478985806804E-2</v>
      </c>
      <c r="T46" s="1967"/>
      <c r="U46" s="1805"/>
      <c r="V46" s="1805"/>
      <c r="W46" s="1805"/>
      <c r="X46" s="1805"/>
      <c r="Y46" s="1805"/>
      <c r="Z46" s="1805"/>
      <c r="AA46" s="1805"/>
      <c r="AB46" s="1805"/>
      <c r="AC46" s="1805"/>
      <c r="AD46" s="1805"/>
      <c r="AE46" s="1805"/>
      <c r="AF46" s="1805"/>
      <c r="AG46" s="1805"/>
      <c r="AZ46" s="13"/>
      <c r="BC46" s="115"/>
      <c r="BD46" s="115"/>
      <c r="BE46" s="115"/>
      <c r="BF46" s="115"/>
    </row>
    <row r="47" spans="1:76" ht="12.6" customHeight="1">
      <c r="A47" s="1944"/>
      <c r="B47" s="1945"/>
      <c r="C47" s="1945"/>
      <c r="D47" s="1947"/>
      <c r="E47" s="1947"/>
      <c r="F47" s="115"/>
      <c r="G47" s="115"/>
      <c r="H47" s="1" t="s">
        <v>8667</v>
      </c>
      <c r="I47" s="1967"/>
      <c r="J47" s="1967">
        <v>77806</v>
      </c>
      <c r="K47" s="1967">
        <v>75624</v>
      </c>
      <c r="L47" s="1967">
        <v>62207</v>
      </c>
      <c r="M47" s="1967">
        <v>50658</v>
      </c>
      <c r="N47" s="1967"/>
      <c r="O47" s="1967"/>
      <c r="P47" s="1959" t="s">
        <v>8668</v>
      </c>
      <c r="Q47" s="1945">
        <v>928</v>
      </c>
      <c r="R47" s="1945">
        <v>842</v>
      </c>
      <c r="S47" s="1969">
        <f t="shared" si="6"/>
        <v>0.10213776722090261</v>
      </c>
      <c r="T47" s="1967"/>
      <c r="U47" s="1805"/>
      <c r="V47" s="1805"/>
      <c r="W47" s="1805"/>
      <c r="X47" s="1805"/>
      <c r="Y47" s="1805"/>
      <c r="Z47" s="1805"/>
      <c r="AA47" s="1805"/>
      <c r="AB47" s="1805"/>
      <c r="AC47" s="1805"/>
      <c r="AD47" s="1805"/>
      <c r="AE47" s="1805"/>
      <c r="AF47" s="1805"/>
      <c r="AG47" s="1805"/>
      <c r="AZ47" s="115"/>
      <c r="BA47" s="115"/>
      <c r="BB47" s="115"/>
      <c r="BC47" s="115"/>
      <c r="BD47" s="115"/>
      <c r="BE47" s="115"/>
      <c r="BF47" s="115"/>
    </row>
    <row r="48" spans="1:76" ht="12.6" customHeight="1">
      <c r="A48" s="1959"/>
      <c r="B48" s="1945"/>
      <c r="C48" s="1945"/>
      <c r="D48" s="1947"/>
      <c r="E48" s="1947"/>
      <c r="F48" s="115"/>
      <c r="G48" s="115"/>
      <c r="H48" s="781" t="s">
        <v>2832</v>
      </c>
      <c r="I48" s="1967">
        <v>5051</v>
      </c>
      <c r="J48" s="1967">
        <v>6944</v>
      </c>
      <c r="K48" s="1967">
        <v>7978</v>
      </c>
      <c r="L48" s="1967">
        <v>7406</v>
      </c>
      <c r="M48" s="1967">
        <v>6382</v>
      </c>
      <c r="N48" s="1967"/>
      <c r="O48" s="1967"/>
      <c r="P48" s="1944" t="s">
        <v>8670</v>
      </c>
      <c r="Q48" s="1945">
        <v>10116</v>
      </c>
      <c r="R48" s="1945">
        <v>12371</v>
      </c>
      <c r="S48" s="1969">
        <f t="shared" si="6"/>
        <v>-0.18228114137903162</v>
      </c>
      <c r="T48" s="1967"/>
      <c r="U48" s="1805"/>
      <c r="V48" s="1805"/>
      <c r="W48" s="1805"/>
      <c r="X48" s="1805"/>
      <c r="Y48" s="1805"/>
      <c r="Z48" s="1805"/>
      <c r="AA48" s="1805"/>
      <c r="AB48" s="1805"/>
      <c r="AC48" s="1805"/>
      <c r="AD48" s="1805"/>
      <c r="AE48" s="1805"/>
      <c r="AF48" s="1805"/>
      <c r="AG48" s="1805"/>
      <c r="AZ48" s="2000" t="s">
        <v>8669</v>
      </c>
      <c r="BA48" s="42"/>
      <c r="BB48" s="42"/>
      <c r="BC48" s="115"/>
      <c r="BD48" s="115"/>
      <c r="BE48" s="115"/>
      <c r="BF48" s="115"/>
    </row>
    <row r="49" spans="1:58" ht="12.6" customHeight="1">
      <c r="A49" s="373" t="s">
        <v>8666</v>
      </c>
      <c r="B49" s="115"/>
      <c r="C49" s="115"/>
      <c r="D49" s="115"/>
      <c r="E49" s="115"/>
      <c r="F49" s="115"/>
      <c r="G49" s="115"/>
      <c r="H49" s="781" t="s">
        <v>1674</v>
      </c>
      <c r="I49" s="1967">
        <v>5542</v>
      </c>
      <c r="J49" s="1967">
        <v>6784</v>
      </c>
      <c r="K49" s="1967">
        <v>7820</v>
      </c>
      <c r="L49" s="1967">
        <v>6422</v>
      </c>
      <c r="M49" s="1967">
        <v>6174</v>
      </c>
      <c r="N49" s="1967"/>
      <c r="O49" s="1967"/>
      <c r="P49" s="1959" t="s">
        <v>484</v>
      </c>
      <c r="Q49" s="1945">
        <v>8609</v>
      </c>
      <c r="R49" s="1945">
        <v>10545</v>
      </c>
      <c r="S49" s="1969">
        <f t="shared" si="6"/>
        <v>-0.18359412043622569</v>
      </c>
      <c r="T49" s="1967"/>
      <c r="U49" s="1805"/>
      <c r="V49" s="1805"/>
      <c r="W49" s="1805"/>
      <c r="X49" s="1805"/>
      <c r="Y49" s="1805"/>
      <c r="Z49" s="1805"/>
      <c r="AA49" s="1805"/>
      <c r="AB49" s="1805"/>
      <c r="AC49" s="1805"/>
      <c r="AD49" s="1805"/>
      <c r="AE49" s="1805"/>
      <c r="AF49" s="1805"/>
      <c r="AG49" s="1805"/>
      <c r="AZ49" s="2001" t="s">
        <v>1648</v>
      </c>
      <c r="BA49" s="2002">
        <v>2020</v>
      </c>
      <c r="BB49" s="2002">
        <v>2010</v>
      </c>
      <c r="BC49" s="2002">
        <v>2000</v>
      </c>
      <c r="BD49" s="115"/>
      <c r="BE49" s="115"/>
      <c r="BF49" s="115"/>
    </row>
    <row r="50" spans="1:58" ht="12.6" customHeight="1">
      <c r="A50" s="2352" t="s">
        <v>8513</v>
      </c>
      <c r="B50" s="2314">
        <v>2020</v>
      </c>
      <c r="C50" s="2315"/>
      <c r="D50" s="2314">
        <v>2010</v>
      </c>
      <c r="E50" s="2315"/>
      <c r="F50" s="115"/>
      <c r="G50" s="115"/>
      <c r="H50" s="781" t="s">
        <v>3370</v>
      </c>
      <c r="I50" s="1967">
        <v>5983</v>
      </c>
      <c r="J50" s="1967">
        <v>7269</v>
      </c>
      <c r="K50" s="1967">
        <v>7049</v>
      </c>
      <c r="L50" s="1967">
        <v>5743</v>
      </c>
      <c r="M50" s="1967">
        <v>5503</v>
      </c>
      <c r="N50" s="1967"/>
      <c r="O50" s="1967"/>
      <c r="P50" s="1959" t="s">
        <v>491</v>
      </c>
      <c r="Q50" s="1945">
        <v>164</v>
      </c>
      <c r="R50" s="1945">
        <v>232</v>
      </c>
      <c r="S50" s="1969">
        <f t="shared" si="6"/>
        <v>-0.29310344827586204</v>
      </c>
      <c r="T50" s="1967"/>
      <c r="U50" s="1805"/>
      <c r="V50" s="1805"/>
      <c r="W50" s="1805"/>
      <c r="X50" s="1805"/>
      <c r="Y50" s="1805"/>
      <c r="Z50" s="1805"/>
      <c r="AA50" s="1805"/>
      <c r="AB50" s="1805"/>
      <c r="AC50" s="1805"/>
      <c r="AD50" s="1805"/>
      <c r="AE50" s="1805"/>
      <c r="AF50" s="1805"/>
      <c r="AG50" s="1805"/>
      <c r="AZ50" s="1" t="s">
        <v>8610</v>
      </c>
      <c r="BA50" s="115">
        <v>2019</v>
      </c>
      <c r="BB50" s="115">
        <v>2009</v>
      </c>
      <c r="BC50" s="115">
        <v>1999</v>
      </c>
      <c r="BD50" s="115"/>
      <c r="BE50" s="115"/>
      <c r="BF50" s="115"/>
    </row>
    <row r="51" spans="1:58" ht="12.6" customHeight="1">
      <c r="A51" s="2353"/>
      <c r="B51" s="1935" t="s">
        <v>3026</v>
      </c>
      <c r="C51" s="1935" t="s">
        <v>8515</v>
      </c>
      <c r="D51" s="1935" t="s">
        <v>3026</v>
      </c>
      <c r="E51" s="1936" t="s">
        <v>8515</v>
      </c>
      <c r="F51" s="115"/>
      <c r="G51" s="115"/>
      <c r="H51" s="781" t="s">
        <v>6657</v>
      </c>
      <c r="I51" s="1967">
        <v>5690</v>
      </c>
      <c r="J51" s="1967">
        <v>6935</v>
      </c>
      <c r="K51" s="1967">
        <v>6106</v>
      </c>
      <c r="L51" s="1967">
        <v>5673</v>
      </c>
      <c r="M51" s="1967">
        <v>5144</v>
      </c>
      <c r="N51" s="1967"/>
      <c r="O51" s="1967"/>
      <c r="P51" s="1959" t="s">
        <v>528</v>
      </c>
      <c r="Q51" s="1945">
        <v>1161</v>
      </c>
      <c r="R51" s="1945">
        <v>1437</v>
      </c>
      <c r="S51" s="1969">
        <f t="shared" si="6"/>
        <v>-0.19206680584551147</v>
      </c>
      <c r="T51" s="1967"/>
      <c r="U51" s="1805"/>
      <c r="V51" s="1805"/>
      <c r="W51" s="1805"/>
      <c r="X51" s="1805"/>
      <c r="Y51" s="1805"/>
      <c r="Z51" s="1805"/>
      <c r="AA51" s="1805"/>
      <c r="AB51" s="1805"/>
      <c r="AC51" s="1805"/>
      <c r="AD51" s="1805"/>
      <c r="AE51" s="1805"/>
      <c r="AF51" s="1805"/>
      <c r="AG51" s="1805"/>
      <c r="AZ51" s="1"/>
      <c r="BA51" s="115"/>
      <c r="BB51" s="115"/>
      <c r="BC51" s="115"/>
      <c r="BD51" s="115"/>
      <c r="BE51" s="115"/>
      <c r="BF51" s="115"/>
    </row>
    <row r="52" spans="1:58" ht="12.6" customHeight="1">
      <c r="A52" s="1941" t="s">
        <v>2353</v>
      </c>
      <c r="B52" s="1960">
        <v>1604</v>
      </c>
      <c r="C52" s="1961">
        <v>471</v>
      </c>
      <c r="D52" s="1942">
        <v>1850</v>
      </c>
      <c r="E52" s="1942">
        <v>463</v>
      </c>
      <c r="F52" s="115"/>
      <c r="G52" s="115"/>
      <c r="H52" s="781" t="s">
        <v>6669</v>
      </c>
      <c r="I52" s="1967">
        <v>5565</v>
      </c>
      <c r="J52" s="1967">
        <v>5703</v>
      </c>
      <c r="K52" s="1967">
        <v>5849</v>
      </c>
      <c r="L52" s="1967">
        <v>6007</v>
      </c>
      <c r="M52" s="1967">
        <v>5089</v>
      </c>
      <c r="N52" s="1967"/>
      <c r="O52" s="1967"/>
      <c r="P52" s="1959" t="s">
        <v>8673</v>
      </c>
      <c r="Q52" s="1945">
        <v>182</v>
      </c>
      <c r="R52" s="1945">
        <v>157</v>
      </c>
      <c r="S52" s="1969">
        <f t="shared" si="6"/>
        <v>0.15923566878980891</v>
      </c>
      <c r="T52" s="1967"/>
      <c r="U52" s="1805"/>
      <c r="V52" s="1805"/>
      <c r="W52" s="1805"/>
      <c r="X52" s="1805"/>
      <c r="Y52" s="1805"/>
      <c r="Z52" s="1805"/>
      <c r="AA52" s="1805"/>
      <c r="AB52" s="1805"/>
      <c r="AC52" s="1805"/>
      <c r="AD52" s="1805"/>
      <c r="AE52" s="1805"/>
      <c r="AF52" s="1805"/>
      <c r="AG52" s="1805"/>
      <c r="AZ52" s="1" t="s">
        <v>8672</v>
      </c>
      <c r="BA52" s="2003">
        <v>34804</v>
      </c>
      <c r="BB52" s="2003">
        <v>34199</v>
      </c>
      <c r="BC52" s="2003">
        <v>32367</v>
      </c>
      <c r="BD52" s="115"/>
      <c r="BE52" s="115"/>
      <c r="BF52" s="115"/>
    </row>
    <row r="53" spans="1:58" ht="12.6" customHeight="1">
      <c r="A53" s="1944" t="s">
        <v>8671</v>
      </c>
      <c r="B53" s="1945">
        <v>1538</v>
      </c>
      <c r="C53" s="1946">
        <v>451</v>
      </c>
      <c r="D53" s="1945">
        <v>1774</v>
      </c>
      <c r="E53" s="1945">
        <v>442</v>
      </c>
      <c r="F53" s="115"/>
      <c r="G53" s="115"/>
      <c r="H53" s="781" t="s">
        <v>3374</v>
      </c>
      <c r="I53" s="1967">
        <v>5411</v>
      </c>
      <c r="J53" s="1967">
        <v>5314</v>
      </c>
      <c r="K53" s="1967">
        <v>6360</v>
      </c>
      <c r="L53" s="1967">
        <v>6168</v>
      </c>
      <c r="M53" s="1967">
        <v>5130</v>
      </c>
      <c r="N53" s="1967"/>
      <c r="O53" s="1967"/>
      <c r="P53" s="1955" t="s">
        <v>8676</v>
      </c>
      <c r="Q53" s="1956">
        <v>1313</v>
      </c>
      <c r="R53" s="1956">
        <v>434</v>
      </c>
      <c r="S53" s="1975">
        <f t="shared" si="6"/>
        <v>2.0253456221198158</v>
      </c>
      <c r="T53" s="1967"/>
      <c r="U53" s="1805"/>
      <c r="V53" s="1805"/>
      <c r="W53" s="1805"/>
      <c r="X53" s="1805"/>
      <c r="Y53" s="1805"/>
      <c r="Z53" s="1805"/>
      <c r="AA53" s="1805"/>
      <c r="AB53" s="1805"/>
      <c r="AC53" s="1805"/>
      <c r="AD53" s="1805"/>
      <c r="AE53" s="1805"/>
      <c r="AF53" s="1805"/>
      <c r="AG53" s="1805"/>
      <c r="AZ53" s="115" t="s">
        <v>8674</v>
      </c>
      <c r="BA53" s="2003">
        <v>5694</v>
      </c>
      <c r="BB53" s="2003">
        <v>6514</v>
      </c>
      <c r="BC53" s="2003">
        <v>6466</v>
      </c>
      <c r="BD53" s="115"/>
      <c r="BE53" s="115"/>
      <c r="BF53" s="115"/>
    </row>
    <row r="54" spans="1:58" ht="12.6" customHeight="1">
      <c r="A54" s="1941" t="s">
        <v>2260</v>
      </c>
      <c r="B54" s="1942">
        <v>6380</v>
      </c>
      <c r="C54" s="1943">
        <v>2277</v>
      </c>
      <c r="D54" s="1942">
        <v>6825</v>
      </c>
      <c r="E54" s="1942">
        <v>2297</v>
      </c>
      <c r="F54" s="115"/>
      <c r="G54" s="115"/>
      <c r="H54" s="781" t="s">
        <v>6681</v>
      </c>
      <c r="I54" s="1967">
        <v>4781</v>
      </c>
      <c r="J54" s="1967">
        <v>5197</v>
      </c>
      <c r="K54" s="1967">
        <v>6179</v>
      </c>
      <c r="L54" s="1967">
        <v>5442</v>
      </c>
      <c r="M54" s="1967">
        <v>4435</v>
      </c>
      <c r="N54" s="1967"/>
      <c r="O54" s="1967"/>
      <c r="P54" s="1822" t="s">
        <v>8563</v>
      </c>
      <c r="Q54" s="1805"/>
      <c r="R54" s="1967"/>
      <c r="S54" s="1947"/>
      <c r="T54" s="1967"/>
      <c r="U54" s="1805"/>
      <c r="V54" s="1805"/>
      <c r="W54" s="1805"/>
      <c r="X54" s="1805"/>
      <c r="Y54" s="1805"/>
      <c r="Z54" s="1805"/>
      <c r="AA54" s="1805"/>
      <c r="AB54" s="1805"/>
      <c r="AC54" s="1805"/>
      <c r="AD54" s="1805"/>
      <c r="AE54" s="1805"/>
      <c r="AF54" s="1805"/>
      <c r="AG54" s="1805"/>
      <c r="AZ54" s="2004" t="s">
        <v>8552</v>
      </c>
      <c r="BA54" s="2003">
        <v>2384</v>
      </c>
      <c r="BB54" s="2003">
        <v>2661</v>
      </c>
      <c r="BC54" s="2003">
        <v>3055</v>
      </c>
      <c r="BD54" s="115"/>
      <c r="BE54" s="115"/>
      <c r="BF54" s="115"/>
    </row>
    <row r="55" spans="1:58" ht="12.6" customHeight="1">
      <c r="A55" s="1944" t="s">
        <v>8675</v>
      </c>
      <c r="B55" s="1945">
        <v>685</v>
      </c>
      <c r="C55" s="1946">
        <v>303</v>
      </c>
      <c r="D55" s="1945">
        <v>707</v>
      </c>
      <c r="E55" s="1945">
        <v>322</v>
      </c>
      <c r="F55" s="115"/>
      <c r="G55" s="115"/>
      <c r="H55" s="781" t="s">
        <v>6686</v>
      </c>
      <c r="I55" s="1967">
        <v>4663</v>
      </c>
      <c r="J55" s="1967">
        <v>5651</v>
      </c>
      <c r="K55" s="1967">
        <v>6059</v>
      </c>
      <c r="L55" s="1967">
        <v>4665</v>
      </c>
      <c r="M55" s="1967">
        <v>2860</v>
      </c>
      <c r="N55" s="1967"/>
      <c r="O55" s="1967"/>
      <c r="P55" s="1806" t="s">
        <v>8680</v>
      </c>
      <c r="Q55" s="1805"/>
      <c r="R55" s="1967"/>
      <c r="S55" s="1967"/>
      <c r="T55" s="1967"/>
      <c r="U55" s="1805"/>
      <c r="V55" s="1805"/>
      <c r="W55" s="1805"/>
      <c r="X55" s="1805"/>
      <c r="Y55" s="1805"/>
      <c r="Z55" s="1805"/>
      <c r="AA55" s="1805"/>
      <c r="AB55" s="1805"/>
      <c r="AC55" s="1805"/>
      <c r="AD55" s="1805"/>
      <c r="AE55" s="1805"/>
      <c r="AF55" s="1805"/>
      <c r="AG55" s="1805"/>
      <c r="AZ55" s="2004" t="s">
        <v>8678</v>
      </c>
      <c r="BA55" s="2003">
        <v>3310</v>
      </c>
      <c r="BB55" s="2003">
        <v>3853</v>
      </c>
      <c r="BC55" s="2003">
        <v>3411</v>
      </c>
      <c r="BD55" s="115"/>
      <c r="BE55" s="115"/>
      <c r="BF55" s="115"/>
    </row>
    <row r="56" spans="1:58" ht="12.6" customHeight="1">
      <c r="A56" s="1944" t="s">
        <v>8677</v>
      </c>
      <c r="B56" s="1945">
        <v>3123</v>
      </c>
      <c r="C56" s="1946">
        <v>1173</v>
      </c>
      <c r="D56" s="1945">
        <v>3667</v>
      </c>
      <c r="E56" s="1945">
        <v>1209</v>
      </c>
      <c r="F56" s="115"/>
      <c r="G56" s="115"/>
      <c r="H56" s="781" t="s">
        <v>6695</v>
      </c>
      <c r="I56" s="1967">
        <v>4536</v>
      </c>
      <c r="J56" s="1967">
        <v>5496</v>
      </c>
      <c r="K56" s="1967">
        <v>5046</v>
      </c>
      <c r="L56" s="1967">
        <v>3694</v>
      </c>
      <c r="M56" s="1967">
        <v>2399</v>
      </c>
      <c r="N56" s="1967"/>
      <c r="O56" s="1967"/>
      <c r="P56" s="115"/>
      <c r="Q56" s="115"/>
      <c r="R56" s="1967"/>
      <c r="S56" s="1967"/>
      <c r="T56" s="1967"/>
      <c r="U56" s="1805"/>
      <c r="V56" s="1805"/>
      <c r="W56" s="1805"/>
      <c r="X56" s="1805"/>
      <c r="Y56" s="1805"/>
      <c r="Z56" s="1805"/>
      <c r="AA56" s="1805"/>
      <c r="AB56" s="1805"/>
      <c r="AC56" s="1805"/>
      <c r="AD56" s="1805"/>
      <c r="AE56" s="1805"/>
      <c r="AF56" s="1805"/>
      <c r="AG56" s="1805"/>
      <c r="AZ56" s="2005" t="s">
        <v>8681</v>
      </c>
      <c r="BA56" s="2003">
        <v>780</v>
      </c>
      <c r="BB56" s="2003">
        <v>979</v>
      </c>
      <c r="BC56" s="2003">
        <v>977</v>
      </c>
      <c r="BD56" s="115"/>
      <c r="BE56" s="115"/>
      <c r="BF56" s="115"/>
    </row>
    <row r="57" spans="1:58" ht="12.6" customHeight="1">
      <c r="A57" s="1944" t="s">
        <v>8679</v>
      </c>
      <c r="B57" s="1945">
        <v>2443</v>
      </c>
      <c r="C57" s="1946">
        <v>724</v>
      </c>
      <c r="D57" s="1945">
        <v>2235</v>
      </c>
      <c r="E57" s="1945">
        <v>665</v>
      </c>
      <c r="F57" s="115"/>
      <c r="G57" s="115"/>
      <c r="H57" s="781" t="s">
        <v>6702</v>
      </c>
      <c r="I57" s="1967">
        <v>5114</v>
      </c>
      <c r="J57" s="1967">
        <v>5254</v>
      </c>
      <c r="K57" s="1967">
        <v>4434</v>
      </c>
      <c r="L57" s="1967">
        <v>2444</v>
      </c>
      <c r="M57" s="1967">
        <v>2018</v>
      </c>
      <c r="N57" s="1967"/>
      <c r="O57" s="1967"/>
      <c r="P57" s="115"/>
      <c r="Q57" s="115"/>
      <c r="R57" s="115"/>
      <c r="S57" s="115"/>
      <c r="T57" s="1967"/>
      <c r="U57" s="1805"/>
      <c r="V57" s="1805"/>
      <c r="W57" s="1805"/>
      <c r="X57" s="1805"/>
      <c r="Y57" s="1805"/>
      <c r="Z57" s="1805"/>
      <c r="AA57" s="1805"/>
      <c r="AB57" s="1805"/>
      <c r="AC57" s="1805"/>
      <c r="AD57" s="1805"/>
      <c r="AE57" s="1805"/>
      <c r="AF57" s="1805"/>
      <c r="AG57" s="1805"/>
      <c r="AZ57" s="2005" t="s">
        <v>8682</v>
      </c>
      <c r="BA57" s="2003">
        <v>2530</v>
      </c>
      <c r="BB57" s="2003">
        <v>2874</v>
      </c>
      <c r="BC57" s="2003">
        <v>2434</v>
      </c>
      <c r="BD57" s="115"/>
      <c r="BE57" s="115"/>
      <c r="BF57" s="115"/>
    </row>
    <row r="58" spans="1:58" ht="12.6" customHeight="1">
      <c r="A58" s="1941" t="s">
        <v>2195</v>
      </c>
      <c r="B58" s="1942">
        <v>1585</v>
      </c>
      <c r="C58" s="1943">
        <v>578</v>
      </c>
      <c r="D58" s="1942">
        <v>1454</v>
      </c>
      <c r="E58" s="1942">
        <v>571</v>
      </c>
      <c r="F58" s="115"/>
      <c r="G58" s="115"/>
      <c r="H58" s="781" t="s">
        <v>6705</v>
      </c>
      <c r="I58" s="1967">
        <v>5039</v>
      </c>
      <c r="J58" s="1967">
        <v>4448</v>
      </c>
      <c r="K58" s="1967">
        <v>3693</v>
      </c>
      <c r="L58" s="1967">
        <v>2290</v>
      </c>
      <c r="M58" s="1967">
        <v>1745</v>
      </c>
      <c r="N58" s="1967"/>
      <c r="O58" s="1967"/>
      <c r="P58" s="1967"/>
      <c r="Q58" s="1967"/>
      <c r="R58" s="1967"/>
      <c r="S58" s="1967"/>
      <c r="T58" s="1967"/>
      <c r="U58" s="1805"/>
      <c r="V58" s="1805"/>
      <c r="W58" s="1805"/>
      <c r="X58" s="1805"/>
      <c r="Y58" s="1805"/>
      <c r="Z58" s="1805"/>
      <c r="AA58" s="1805"/>
      <c r="AB58" s="1805"/>
      <c r="AC58" s="1805"/>
      <c r="AD58" s="1805"/>
      <c r="AE58" s="1805"/>
      <c r="AF58" s="1805"/>
      <c r="AG58" s="1805"/>
      <c r="AZ58" s="115" t="s">
        <v>8684</v>
      </c>
      <c r="BA58" s="2006" t="s">
        <v>8562</v>
      </c>
      <c r="BB58" s="2003">
        <v>27685</v>
      </c>
      <c r="BC58" s="2003">
        <v>25901</v>
      </c>
      <c r="BD58" s="115"/>
      <c r="BE58" s="115"/>
      <c r="BF58" s="115"/>
    </row>
    <row r="59" spans="1:58" ht="12.6" customHeight="1">
      <c r="A59" s="1944" t="s">
        <v>8683</v>
      </c>
      <c r="B59" s="1945">
        <v>845</v>
      </c>
      <c r="C59" s="1946">
        <v>328</v>
      </c>
      <c r="D59" s="1945">
        <v>702</v>
      </c>
      <c r="E59" s="1945">
        <v>330</v>
      </c>
      <c r="F59" s="115"/>
      <c r="G59" s="115"/>
      <c r="H59" s="781" t="s">
        <v>6707</v>
      </c>
      <c r="I59" s="1967">
        <v>4825</v>
      </c>
      <c r="J59" s="1967">
        <v>3891</v>
      </c>
      <c r="K59" s="1967">
        <v>2445</v>
      </c>
      <c r="L59" s="1967">
        <v>1947</v>
      </c>
      <c r="M59" s="1967">
        <v>1280</v>
      </c>
      <c r="N59" s="1967"/>
      <c r="O59" s="1967"/>
      <c r="P59" s="1967"/>
      <c r="Q59" s="1967"/>
      <c r="R59" s="1967"/>
      <c r="S59" s="1967"/>
      <c r="T59" s="1967"/>
      <c r="U59" s="1805"/>
      <c r="V59" s="1805"/>
      <c r="W59" s="1805"/>
      <c r="X59" s="1805"/>
      <c r="Y59" s="1805"/>
      <c r="Z59" s="1805"/>
      <c r="AA59" s="1805"/>
      <c r="AB59" s="1805"/>
      <c r="AC59" s="1805"/>
      <c r="AD59" s="1805"/>
      <c r="AE59" s="1805"/>
      <c r="AF59" s="1805"/>
      <c r="AG59" s="1805"/>
      <c r="AZ59" s="2004" t="s">
        <v>8686</v>
      </c>
      <c r="BA59" s="2006" t="s">
        <v>8562</v>
      </c>
      <c r="BB59" s="2003">
        <v>20149</v>
      </c>
      <c r="BC59" s="2003">
        <v>19638</v>
      </c>
      <c r="BD59" s="115"/>
      <c r="BE59" s="115"/>
      <c r="BF59" s="115"/>
    </row>
    <row r="60" spans="1:58" ht="12.6" customHeight="1">
      <c r="A60" s="1944" t="s">
        <v>8685</v>
      </c>
      <c r="B60" s="1945">
        <v>596</v>
      </c>
      <c r="C60" s="1946">
        <v>206</v>
      </c>
      <c r="D60" s="1945">
        <v>584</v>
      </c>
      <c r="E60" s="1945">
        <v>200</v>
      </c>
      <c r="F60" s="115"/>
      <c r="G60" s="115"/>
      <c r="H60" s="781" t="s">
        <v>6708</v>
      </c>
      <c r="I60" s="1967">
        <v>4144</v>
      </c>
      <c r="J60" s="1967">
        <v>3180</v>
      </c>
      <c r="K60" s="1967">
        <v>2344</v>
      </c>
      <c r="L60" s="1967">
        <v>1606</v>
      </c>
      <c r="M60" s="1967">
        <v>919</v>
      </c>
      <c r="N60" s="1967"/>
      <c r="O60" s="1967"/>
      <c r="P60" s="1967"/>
      <c r="Q60" s="1967"/>
      <c r="R60" s="1967"/>
      <c r="S60" s="1967"/>
      <c r="T60" s="1967"/>
      <c r="U60" s="1805"/>
      <c r="V60" s="1805"/>
      <c r="W60" s="1805"/>
      <c r="X60" s="1805"/>
      <c r="Y60" s="1805"/>
      <c r="Z60" s="1805"/>
      <c r="AA60" s="1805"/>
      <c r="AB60" s="1805"/>
      <c r="AC60" s="1805"/>
      <c r="AD60" s="1805"/>
      <c r="AE60" s="1805"/>
      <c r="AF60" s="1805"/>
      <c r="AG60" s="1805"/>
      <c r="AZ60" s="2004" t="s">
        <v>8678</v>
      </c>
      <c r="BA60" s="2006" t="s">
        <v>8562</v>
      </c>
      <c r="BB60" s="2003">
        <v>7536</v>
      </c>
      <c r="BC60" s="2003">
        <v>6263</v>
      </c>
      <c r="BD60" s="115"/>
      <c r="BE60" s="115"/>
      <c r="BF60" s="115"/>
    </row>
    <row r="61" spans="1:58" ht="12.6" customHeight="1">
      <c r="A61" s="1941" t="s">
        <v>2198</v>
      </c>
      <c r="B61" s="1942">
        <v>6470</v>
      </c>
      <c r="C61" s="1943">
        <v>1956</v>
      </c>
      <c r="D61" s="1942">
        <v>6084</v>
      </c>
      <c r="E61" s="1942">
        <v>1808</v>
      </c>
      <c r="F61" s="115"/>
      <c r="G61" s="115"/>
      <c r="H61" s="781" t="s">
        <v>6710</v>
      </c>
      <c r="I61" s="1967">
        <v>3496</v>
      </c>
      <c r="J61" s="1967">
        <v>1953</v>
      </c>
      <c r="K61" s="1967">
        <v>1771</v>
      </c>
      <c r="L61" s="1967">
        <v>1121</v>
      </c>
      <c r="M61" s="1967">
        <v>689</v>
      </c>
      <c r="N61" s="1967"/>
      <c r="O61" s="1967"/>
      <c r="P61" s="1967"/>
      <c r="Q61" s="1967"/>
      <c r="R61" s="1967"/>
      <c r="S61" s="1967"/>
      <c r="T61" s="1967"/>
      <c r="U61" s="1805"/>
      <c r="V61" s="1805"/>
      <c r="W61" s="1805"/>
      <c r="X61" s="1805"/>
      <c r="Y61" s="1805"/>
      <c r="Z61" s="1805"/>
      <c r="AA61" s="1805"/>
      <c r="AB61" s="1805"/>
      <c r="AC61" s="1805"/>
      <c r="AD61" s="1805"/>
      <c r="AE61" s="1805"/>
      <c r="AF61" s="1805"/>
      <c r="AG61" s="1805"/>
      <c r="AZ61" s="2005" t="s">
        <v>8681</v>
      </c>
      <c r="BA61" s="2006" t="s">
        <v>8562</v>
      </c>
      <c r="BB61" s="2003">
        <v>2762</v>
      </c>
      <c r="BC61" s="2003">
        <v>2413</v>
      </c>
      <c r="BD61" s="115"/>
      <c r="BE61" s="115"/>
      <c r="BF61" s="115"/>
    </row>
    <row r="62" spans="1:58" ht="12.6" customHeight="1">
      <c r="A62" s="1944" t="s">
        <v>8687</v>
      </c>
      <c r="B62" s="1945">
        <v>2930</v>
      </c>
      <c r="C62" s="1946">
        <v>809</v>
      </c>
      <c r="D62" s="1945">
        <v>2471</v>
      </c>
      <c r="E62" s="1945">
        <v>646</v>
      </c>
      <c r="F62" s="115"/>
      <c r="G62" s="115"/>
      <c r="H62" s="781" t="s">
        <v>6715</v>
      </c>
      <c r="I62" s="1967">
        <v>2514</v>
      </c>
      <c r="J62" s="1967">
        <v>1622</v>
      </c>
      <c r="K62" s="1967">
        <v>1174</v>
      </c>
      <c r="L62" s="1967">
        <v>741</v>
      </c>
      <c r="M62" s="1967">
        <v>417</v>
      </c>
      <c r="N62" s="1967"/>
      <c r="O62" s="1967"/>
      <c r="P62" s="1967"/>
      <c r="Q62" s="1967"/>
      <c r="R62" s="1967"/>
      <c r="S62" s="1967"/>
      <c r="T62" s="1967"/>
      <c r="U62" s="1805"/>
      <c r="V62" s="1805"/>
      <c r="W62" s="1805"/>
      <c r="X62" s="1805"/>
      <c r="Y62" s="1805"/>
      <c r="Z62" s="1805"/>
      <c r="AA62" s="1805"/>
      <c r="AB62" s="1805"/>
      <c r="AC62" s="1805"/>
      <c r="AD62" s="1805"/>
      <c r="AE62" s="1805"/>
      <c r="AF62" s="1805"/>
      <c r="AG62" s="1805"/>
      <c r="AZ62" s="2007" t="s">
        <v>8682</v>
      </c>
      <c r="BA62" s="2008" t="s">
        <v>8562</v>
      </c>
      <c r="BB62" s="2009">
        <v>4774</v>
      </c>
      <c r="BC62" s="2009">
        <v>3850</v>
      </c>
      <c r="BD62" s="115"/>
      <c r="BE62" s="115"/>
      <c r="BF62" s="115"/>
    </row>
    <row r="63" spans="1:58" ht="12.6" customHeight="1">
      <c r="A63" s="1944" t="s">
        <v>8688</v>
      </c>
      <c r="B63" s="1945">
        <v>973</v>
      </c>
      <c r="C63" s="1946">
        <v>279</v>
      </c>
      <c r="D63" s="1945">
        <v>1118</v>
      </c>
      <c r="E63" s="1945">
        <v>326</v>
      </c>
      <c r="F63" s="115"/>
      <c r="G63" s="115"/>
      <c r="H63" s="781" t="s">
        <v>6720</v>
      </c>
      <c r="I63" s="1967">
        <v>1498</v>
      </c>
      <c r="J63" s="1967">
        <v>1146</v>
      </c>
      <c r="K63" s="1967">
        <v>703</v>
      </c>
      <c r="L63" s="1967">
        <v>444</v>
      </c>
      <c r="M63" s="1967">
        <v>271</v>
      </c>
      <c r="N63" s="1967"/>
      <c r="O63" s="1967"/>
      <c r="P63" s="1967"/>
      <c r="Q63" s="1967"/>
      <c r="R63" s="1967"/>
      <c r="S63" s="1967"/>
      <c r="T63" s="1967"/>
      <c r="U63" s="1805"/>
      <c r="V63" s="1805"/>
      <c r="W63" s="1805"/>
      <c r="X63" s="1805"/>
      <c r="Y63" s="1805"/>
      <c r="Z63" s="1805"/>
      <c r="AA63" s="1805"/>
      <c r="AB63" s="1805"/>
      <c r="AC63" s="1805"/>
      <c r="AD63" s="1805"/>
      <c r="AE63" s="1805"/>
      <c r="AF63" s="1805"/>
      <c r="AG63" s="1805"/>
      <c r="AZ63" s="1808" t="s">
        <v>8585</v>
      </c>
    </row>
    <row r="64" spans="1:58" ht="12.6" customHeight="1">
      <c r="A64" s="1941" t="s">
        <v>2261</v>
      </c>
      <c r="B64" s="1942">
        <v>2611</v>
      </c>
      <c r="C64" s="1943">
        <v>836</v>
      </c>
      <c r="D64" s="1948">
        <v>2592</v>
      </c>
      <c r="E64" s="1948">
        <v>917</v>
      </c>
      <c r="F64" s="115"/>
      <c r="G64" s="115"/>
      <c r="H64" s="781" t="s">
        <v>6726</v>
      </c>
      <c r="I64" s="1967">
        <v>963</v>
      </c>
      <c r="J64" s="1967">
        <v>630</v>
      </c>
      <c r="K64" s="1967">
        <v>382</v>
      </c>
      <c r="L64" s="1967">
        <v>219</v>
      </c>
      <c r="M64" s="1967">
        <v>112</v>
      </c>
      <c r="N64" s="1967"/>
      <c r="O64" s="1967"/>
      <c r="P64" s="1967"/>
      <c r="Q64" s="1967"/>
      <c r="R64" s="1967"/>
      <c r="S64" s="1967"/>
      <c r="T64" s="1967"/>
      <c r="U64" s="1805"/>
      <c r="V64" s="1805"/>
      <c r="W64" s="1805"/>
      <c r="X64" s="1805"/>
      <c r="Y64" s="1805"/>
      <c r="Z64" s="1805"/>
      <c r="AA64" s="1805"/>
      <c r="AB64" s="1805"/>
      <c r="AC64" s="1805"/>
      <c r="AD64" s="1805"/>
      <c r="AE64" s="1805"/>
      <c r="AF64" s="1805"/>
      <c r="AG64" s="1805"/>
    </row>
    <row r="65" spans="1:82" ht="12.6" customHeight="1">
      <c r="A65" s="1944" t="s">
        <v>8689</v>
      </c>
      <c r="B65" s="1945">
        <v>771</v>
      </c>
      <c r="C65" s="1946">
        <v>275</v>
      </c>
      <c r="D65" s="1945">
        <v>758</v>
      </c>
      <c r="E65" s="1945">
        <v>311</v>
      </c>
      <c r="F65" s="115"/>
      <c r="G65" s="115"/>
      <c r="H65" s="682" t="s">
        <v>6731</v>
      </c>
      <c r="I65" s="42">
        <v>750</v>
      </c>
      <c r="J65" s="1977">
        <v>389</v>
      </c>
      <c r="K65" s="1977">
        <v>232</v>
      </c>
      <c r="L65" s="1977">
        <v>175</v>
      </c>
      <c r="M65" s="1977">
        <v>91</v>
      </c>
      <c r="N65" s="1967"/>
      <c r="O65" s="1967"/>
      <c r="P65" s="1967"/>
      <c r="Q65" s="1967"/>
      <c r="R65" s="1967"/>
      <c r="S65" s="1967"/>
      <c r="T65" s="1967"/>
      <c r="U65" s="1805"/>
      <c r="V65" s="1805"/>
      <c r="W65" s="1805"/>
      <c r="X65" s="1805"/>
      <c r="Y65" s="1805"/>
      <c r="Z65" s="1805"/>
      <c r="AA65" s="1805"/>
      <c r="AB65" s="1805"/>
      <c r="AC65" s="1805"/>
      <c r="AD65" s="1805"/>
      <c r="AE65" s="1805"/>
      <c r="AF65" s="1805"/>
      <c r="AG65" s="1805"/>
    </row>
    <row r="66" spans="1:82" ht="12.6" customHeight="1">
      <c r="A66" s="1944" t="s">
        <v>8690</v>
      </c>
      <c r="B66" s="1945">
        <v>1813</v>
      </c>
      <c r="C66" s="1946">
        <v>554</v>
      </c>
      <c r="D66" s="1945">
        <v>1829</v>
      </c>
      <c r="E66" s="1945">
        <v>603</v>
      </c>
      <c r="F66" s="115"/>
      <c r="H66" s="1807" t="s">
        <v>8692</v>
      </c>
      <c r="I66" s="13"/>
      <c r="J66" s="13"/>
      <c r="K66" s="13"/>
      <c r="L66" s="13"/>
      <c r="M66" s="1"/>
      <c r="N66" s="1"/>
      <c r="O66" s="1"/>
      <c r="P66" s="1967"/>
      <c r="Q66" s="1967"/>
      <c r="R66" s="1967"/>
      <c r="S66" s="1967"/>
      <c r="T66" s="1"/>
      <c r="U66" s="1805"/>
      <c r="V66" s="1805"/>
      <c r="W66" s="1805"/>
      <c r="X66" s="1805"/>
      <c r="Y66" s="1805"/>
      <c r="Z66" s="1805"/>
      <c r="AA66" s="1805"/>
      <c r="AB66" s="1805"/>
      <c r="AC66" s="1805"/>
      <c r="AD66" s="1805"/>
      <c r="AE66" s="1805"/>
      <c r="AF66" s="1805"/>
      <c r="AG66" s="1805"/>
    </row>
    <row r="67" spans="1:82" ht="12.6" customHeight="1">
      <c r="A67" s="1941" t="s">
        <v>2201</v>
      </c>
      <c r="B67" s="1942">
        <v>3550</v>
      </c>
      <c r="C67" s="1943">
        <v>988</v>
      </c>
      <c r="D67" s="1942">
        <v>3050</v>
      </c>
      <c r="E67" s="1942">
        <v>900</v>
      </c>
      <c r="F67" s="115"/>
      <c r="H67" s="1807" t="s">
        <v>8694</v>
      </c>
      <c r="I67" s="13"/>
      <c r="J67" s="13"/>
      <c r="K67" s="13"/>
      <c r="L67" s="13"/>
      <c r="M67" s="1"/>
      <c r="N67" s="1"/>
      <c r="O67" s="1"/>
      <c r="P67" s="1967"/>
      <c r="Q67" s="1967"/>
      <c r="R67" s="1967"/>
      <c r="S67" s="1967"/>
      <c r="T67" s="1"/>
      <c r="U67" s="13"/>
      <c r="V67" s="13"/>
      <c r="W67" s="13"/>
      <c r="X67" s="13"/>
      <c r="Y67" s="13"/>
      <c r="Z67" s="13"/>
      <c r="AA67" s="13"/>
      <c r="AB67" s="13"/>
      <c r="AC67" s="13"/>
      <c r="AD67" s="1805"/>
      <c r="AE67" s="1805"/>
      <c r="AF67" s="1805"/>
      <c r="AG67" s="1805"/>
      <c r="AZ67" s="1798"/>
    </row>
    <row r="68" spans="1:82" ht="12.6" customHeight="1">
      <c r="A68" s="1944" t="s">
        <v>8691</v>
      </c>
      <c r="B68" s="1945">
        <v>1153</v>
      </c>
      <c r="C68" s="1946">
        <v>371</v>
      </c>
      <c r="D68" s="1945">
        <v>901</v>
      </c>
      <c r="E68" s="1945">
        <v>308</v>
      </c>
      <c r="F68" s="115"/>
      <c r="G68" s="115"/>
      <c r="I68" s="1827"/>
      <c r="J68" s="1827"/>
      <c r="K68" s="1827"/>
      <c r="L68" s="1827"/>
      <c r="P68" s="1805"/>
      <c r="Q68" s="1805"/>
      <c r="R68" s="1805"/>
      <c r="S68" s="1805"/>
      <c r="U68" s="13"/>
      <c r="V68" s="13"/>
      <c r="W68" s="13"/>
      <c r="X68" s="13"/>
      <c r="Y68" s="13"/>
      <c r="Z68" s="13"/>
      <c r="AA68" s="13"/>
      <c r="AB68" s="13"/>
      <c r="AC68" s="13"/>
      <c r="AD68" s="1805"/>
      <c r="AE68" s="1805"/>
      <c r="AF68" s="1805"/>
      <c r="AG68" s="1805"/>
    </row>
    <row r="69" spans="1:82" ht="12.6" customHeight="1">
      <c r="A69" s="1944" t="s">
        <v>8693</v>
      </c>
      <c r="B69" s="1945">
        <v>2279</v>
      </c>
      <c r="C69" s="1946">
        <v>574</v>
      </c>
      <c r="D69" s="1945">
        <v>2086</v>
      </c>
      <c r="E69" s="1945">
        <v>560</v>
      </c>
      <c r="F69" s="115"/>
      <c r="G69" s="115"/>
      <c r="P69" s="1805"/>
      <c r="Q69" s="1805"/>
      <c r="R69" s="1805"/>
      <c r="S69" s="1805"/>
      <c r="AD69" s="1805"/>
      <c r="AE69" s="1805"/>
      <c r="AF69" s="1805"/>
      <c r="AG69" s="1805"/>
      <c r="AZ69" s="13"/>
      <c r="CA69" s="116"/>
      <c r="CB69" s="116"/>
      <c r="CC69" s="116"/>
      <c r="CD69" s="116"/>
    </row>
    <row r="70" spans="1:82" ht="12.6" customHeight="1">
      <c r="A70" s="1941" t="s">
        <v>2202</v>
      </c>
      <c r="B70" s="1942">
        <v>18489</v>
      </c>
      <c r="C70" s="1943">
        <v>8692</v>
      </c>
      <c r="D70" s="1942">
        <v>19685</v>
      </c>
      <c r="E70" s="1942">
        <v>9022</v>
      </c>
      <c r="F70" s="115"/>
      <c r="G70" s="115"/>
      <c r="P70" s="13"/>
      <c r="Q70" s="13"/>
      <c r="R70" s="13"/>
      <c r="S70" s="13"/>
      <c r="AD70" s="1805"/>
      <c r="AE70" s="1805"/>
      <c r="AF70" s="1805"/>
      <c r="AG70" s="1805"/>
      <c r="AZ70" s="13"/>
      <c r="CA70" s="116"/>
      <c r="CB70" s="116"/>
      <c r="CC70" s="116"/>
      <c r="CD70" s="116"/>
    </row>
    <row r="71" spans="1:82" ht="12.6" customHeight="1">
      <c r="A71" s="1944" t="s">
        <v>8695</v>
      </c>
      <c r="B71" s="1945">
        <v>5224</v>
      </c>
      <c r="C71" s="1946">
        <v>2443</v>
      </c>
      <c r="D71" s="1945">
        <v>5928</v>
      </c>
      <c r="E71" s="1945">
        <v>2721</v>
      </c>
      <c r="F71" s="115"/>
      <c r="G71" s="115"/>
      <c r="P71" s="13"/>
      <c r="Q71" s="13"/>
      <c r="R71" s="13"/>
      <c r="S71" s="13"/>
      <c r="AD71" s="1805"/>
      <c r="AE71" s="1805"/>
      <c r="AF71" s="1805"/>
      <c r="AG71" s="1805"/>
      <c r="AZ71" s="13"/>
      <c r="BA71" s="1831"/>
      <c r="BB71" s="1831"/>
      <c r="BC71" s="1831"/>
      <c r="CA71" s="116"/>
      <c r="CB71" s="116"/>
      <c r="CC71" s="116"/>
      <c r="CD71" s="116"/>
    </row>
    <row r="72" spans="1:82" ht="12.6" customHeight="1">
      <c r="A72" s="1944" t="s">
        <v>8696</v>
      </c>
      <c r="B72" s="1945">
        <v>1389</v>
      </c>
      <c r="C72" s="1946">
        <v>363</v>
      </c>
      <c r="D72" s="1947">
        <v>2006</v>
      </c>
      <c r="E72" s="1947">
        <v>422</v>
      </c>
      <c r="F72" s="115"/>
      <c r="G72" s="115"/>
      <c r="AD72" s="13"/>
      <c r="AE72" s="13"/>
      <c r="AF72" s="13"/>
      <c r="AG72" s="13"/>
      <c r="BA72" s="1831"/>
      <c r="BB72" s="1831"/>
      <c r="BC72" s="1831"/>
      <c r="CA72" s="116"/>
      <c r="CB72" s="116"/>
      <c r="CC72" s="116"/>
      <c r="CD72" s="116"/>
    </row>
    <row r="73" spans="1:82" ht="12.6" customHeight="1">
      <c r="A73" s="1944" t="s">
        <v>8697</v>
      </c>
      <c r="B73" s="1945">
        <v>1808</v>
      </c>
      <c r="C73" s="1946">
        <v>893</v>
      </c>
      <c r="D73" s="1947">
        <v>2142</v>
      </c>
      <c r="E73" s="1947">
        <v>815</v>
      </c>
      <c r="F73" s="115"/>
      <c r="G73" s="115"/>
      <c r="V73" s="1799"/>
      <c r="W73" s="1799"/>
      <c r="X73" s="1799"/>
      <c r="Y73" s="1799"/>
      <c r="Z73" s="1799"/>
      <c r="AA73" s="1799"/>
      <c r="AB73" s="1799"/>
      <c r="AC73" s="1799"/>
      <c r="AD73" s="13"/>
      <c r="AE73" s="13"/>
      <c r="AF73" s="13"/>
      <c r="AG73" s="13"/>
      <c r="AZ73" s="1832"/>
      <c r="BA73" s="1831"/>
      <c r="BB73" s="1831"/>
      <c r="BC73" s="1831"/>
      <c r="CA73" s="116"/>
      <c r="CB73" s="116"/>
      <c r="CC73" s="116"/>
      <c r="CD73" s="116"/>
    </row>
    <row r="74" spans="1:82" ht="12.6" customHeight="1">
      <c r="A74" s="1944" t="s">
        <v>8698</v>
      </c>
      <c r="B74" s="1945">
        <v>3892</v>
      </c>
      <c r="C74" s="1946">
        <v>1855</v>
      </c>
      <c r="D74" s="1945">
        <v>3794</v>
      </c>
      <c r="E74" s="1945">
        <v>1616</v>
      </c>
      <c r="F74" s="115"/>
      <c r="G74" s="115"/>
      <c r="V74" s="1801"/>
      <c r="W74" s="1801"/>
      <c r="X74" s="1801"/>
      <c r="Y74" s="1801"/>
      <c r="Z74" s="1801"/>
      <c r="AA74" s="1801"/>
      <c r="AB74" s="1801"/>
      <c r="AC74" s="1801"/>
      <c r="AZ74" s="1833"/>
      <c r="BA74" s="1831"/>
      <c r="BB74" s="1831"/>
      <c r="BC74" s="1831"/>
      <c r="CA74" s="116"/>
      <c r="CB74" s="116"/>
      <c r="CC74" s="116"/>
      <c r="CD74" s="116"/>
    </row>
    <row r="75" spans="1:82" ht="12.6" customHeight="1">
      <c r="A75" s="1944" t="s">
        <v>8699</v>
      </c>
      <c r="B75" s="1945">
        <v>2072</v>
      </c>
      <c r="C75" s="1946">
        <v>1305</v>
      </c>
      <c r="D75" s="1945">
        <v>2230</v>
      </c>
      <c r="E75" s="1945">
        <v>1506</v>
      </c>
      <c r="F75" s="115"/>
      <c r="G75" s="115"/>
      <c r="AZ75" s="1833"/>
      <c r="BA75" s="1831"/>
      <c r="BB75" s="1831"/>
      <c r="BC75" s="1831"/>
      <c r="CA75" s="116"/>
      <c r="CB75" s="116"/>
      <c r="CC75" s="116"/>
      <c r="CD75" s="116"/>
    </row>
    <row r="76" spans="1:82" ht="12.6" customHeight="1">
      <c r="A76" s="1944" t="s">
        <v>8700</v>
      </c>
      <c r="B76" s="1945">
        <v>4081</v>
      </c>
      <c r="C76" s="1946">
        <v>1827</v>
      </c>
      <c r="D76" s="1945">
        <v>3566</v>
      </c>
      <c r="E76" s="1945">
        <v>1938</v>
      </c>
      <c r="F76" s="115"/>
      <c r="G76" s="115"/>
      <c r="AZ76" s="1835"/>
      <c r="BA76" s="1831"/>
      <c r="BB76" s="1831"/>
      <c r="BC76" s="1831"/>
      <c r="CA76" s="116"/>
      <c r="CB76" s="116"/>
      <c r="CC76" s="116"/>
      <c r="CD76" s="116"/>
    </row>
    <row r="77" spans="1:82" ht="12.6" customHeight="1">
      <c r="A77" s="1941" t="s">
        <v>2356</v>
      </c>
      <c r="B77" s="1942">
        <v>647</v>
      </c>
      <c r="C77" s="1943">
        <v>177</v>
      </c>
      <c r="D77" s="1942">
        <v>782</v>
      </c>
      <c r="E77" s="1942">
        <v>191</v>
      </c>
      <c r="F77" s="115"/>
      <c r="G77" s="115"/>
      <c r="BA77" s="1834"/>
      <c r="BB77" s="1831"/>
      <c r="BC77" s="1831"/>
      <c r="CA77" s="116"/>
      <c r="CB77" s="116"/>
      <c r="CC77" s="116"/>
      <c r="CD77" s="116"/>
    </row>
    <row r="78" spans="1:82" ht="12.6" customHeight="1">
      <c r="A78" s="1944" t="s">
        <v>8701</v>
      </c>
      <c r="B78" s="1945">
        <v>448</v>
      </c>
      <c r="C78" s="1946">
        <v>128</v>
      </c>
      <c r="D78" s="1945">
        <v>5448</v>
      </c>
      <c r="E78" s="1945">
        <v>136</v>
      </c>
      <c r="F78" s="115"/>
      <c r="G78" s="115"/>
      <c r="AD78" s="1799"/>
      <c r="AE78" s="1799"/>
      <c r="AF78" s="1799"/>
      <c r="AG78" s="1799"/>
      <c r="AZ78" s="1832"/>
      <c r="BA78" s="1834"/>
      <c r="BB78" s="1831"/>
      <c r="BC78" s="1831"/>
      <c r="CA78" s="116"/>
      <c r="CB78" s="116"/>
      <c r="CC78" s="116"/>
      <c r="CD78" s="116"/>
    </row>
    <row r="79" spans="1:82" ht="12.6" customHeight="1">
      <c r="A79" s="1941" t="s">
        <v>2208</v>
      </c>
      <c r="B79" s="1942">
        <v>19339</v>
      </c>
      <c r="C79" s="1943">
        <v>6360</v>
      </c>
      <c r="D79" s="1942">
        <v>20359</v>
      </c>
      <c r="E79" s="1942">
        <v>5887</v>
      </c>
      <c r="F79" s="115"/>
      <c r="G79" s="115"/>
      <c r="AD79" s="1801"/>
      <c r="AE79" s="1801"/>
      <c r="AF79" s="1801"/>
      <c r="AG79" s="1801"/>
      <c r="AZ79" s="1832"/>
      <c r="BA79" s="1834"/>
      <c r="BB79" s="1831"/>
      <c r="BC79" s="1831"/>
      <c r="CA79" s="116"/>
      <c r="CB79" s="116"/>
      <c r="CC79" s="116"/>
      <c r="CD79" s="116"/>
    </row>
    <row r="80" spans="1:82" ht="12.6" customHeight="1">
      <c r="A80" s="1944" t="s">
        <v>8702</v>
      </c>
      <c r="B80" s="321">
        <v>2385</v>
      </c>
      <c r="C80" s="1946">
        <v>678</v>
      </c>
      <c r="D80" s="1945">
        <v>1952</v>
      </c>
      <c r="E80" s="1945">
        <v>546</v>
      </c>
      <c r="F80" s="115"/>
      <c r="G80" s="115"/>
      <c r="AZ80" s="1833"/>
      <c r="BA80" s="1834"/>
      <c r="BB80" s="1831"/>
      <c r="BC80" s="1831"/>
      <c r="CA80" s="116"/>
      <c r="CB80" s="116"/>
      <c r="CC80" s="116"/>
      <c r="CD80" s="116"/>
    </row>
    <row r="81" spans="1:82" ht="12.6" customHeight="1">
      <c r="A81" s="1944" t="s">
        <v>8703</v>
      </c>
      <c r="B81" s="1950">
        <v>1973</v>
      </c>
      <c r="C81" s="1962">
        <v>670</v>
      </c>
      <c r="D81" s="1947">
        <v>3061</v>
      </c>
      <c r="E81" s="1947">
        <v>1079</v>
      </c>
      <c r="F81" s="115"/>
      <c r="G81" s="115"/>
      <c r="AZ81" s="1833"/>
      <c r="BA81" s="1834"/>
      <c r="BB81" s="1831"/>
      <c r="BC81" s="1831"/>
      <c r="CA81" s="116"/>
      <c r="CB81" s="116"/>
      <c r="CC81" s="116"/>
      <c r="CD81" s="116"/>
    </row>
    <row r="82" spans="1:82" ht="12.6" customHeight="1">
      <c r="A82" s="1944" t="s">
        <v>8704</v>
      </c>
      <c r="B82" s="1945">
        <v>2524</v>
      </c>
      <c r="C82" s="1951">
        <v>840</v>
      </c>
      <c r="D82" s="1945">
        <v>3062</v>
      </c>
      <c r="E82" s="1945">
        <v>729</v>
      </c>
      <c r="F82" s="115"/>
      <c r="G82" s="115"/>
      <c r="AZ82" s="1808"/>
      <c r="CA82" s="116"/>
      <c r="CB82" s="116"/>
      <c r="CC82" s="116"/>
      <c r="CD82" s="116"/>
    </row>
    <row r="83" spans="1:82" ht="12.6" customHeight="1">
      <c r="A83" s="1944" t="s">
        <v>8705</v>
      </c>
      <c r="B83" s="1945">
        <v>4653</v>
      </c>
      <c r="C83" s="1946">
        <v>1578</v>
      </c>
      <c r="D83" s="1945">
        <v>5520</v>
      </c>
      <c r="E83" s="1945">
        <v>1499</v>
      </c>
      <c r="F83" s="115"/>
      <c r="G83" s="115"/>
      <c r="CA83" s="116"/>
      <c r="CB83" s="116"/>
      <c r="CC83" s="116"/>
      <c r="CD83" s="116"/>
    </row>
    <row r="84" spans="1:82" ht="12.6" customHeight="1">
      <c r="A84" s="1944" t="s">
        <v>8706</v>
      </c>
      <c r="B84" s="1945">
        <v>3997</v>
      </c>
      <c r="C84" s="1946">
        <v>1372</v>
      </c>
      <c r="D84" s="321">
        <v>3349</v>
      </c>
      <c r="E84" s="321">
        <v>852</v>
      </c>
      <c r="F84" s="115"/>
      <c r="G84" s="115"/>
      <c r="CA84" s="116"/>
      <c r="CB84" s="116"/>
      <c r="CC84" s="116"/>
      <c r="CD84" s="116"/>
    </row>
    <row r="85" spans="1:82" ht="12.6" customHeight="1">
      <c r="A85" s="1944" t="s">
        <v>8707</v>
      </c>
      <c r="B85" s="1945">
        <v>3807</v>
      </c>
      <c r="C85" s="1946">
        <v>1222</v>
      </c>
      <c r="D85" s="1950">
        <v>3568</v>
      </c>
      <c r="E85" s="1950">
        <v>1114</v>
      </c>
      <c r="F85" s="115"/>
      <c r="G85" s="115"/>
      <c r="AZ85" s="1798"/>
      <c r="CA85" s="116"/>
      <c r="CB85" s="116"/>
      <c r="CC85" s="116"/>
      <c r="CD85" s="116"/>
    </row>
    <row r="86" spans="1:82" ht="12.6" customHeight="1">
      <c r="A86" s="1941" t="s">
        <v>2209</v>
      </c>
      <c r="B86" s="1942">
        <v>6298</v>
      </c>
      <c r="C86" s="1943">
        <v>1843</v>
      </c>
      <c r="D86" s="1954">
        <v>6480</v>
      </c>
      <c r="E86" s="1954">
        <v>1932</v>
      </c>
      <c r="F86" s="115"/>
      <c r="G86" s="115"/>
      <c r="CA86" s="116"/>
      <c r="CB86" s="116"/>
      <c r="CC86" s="116"/>
      <c r="CD86" s="116"/>
    </row>
    <row r="87" spans="1:82" ht="12.6" customHeight="1">
      <c r="A87" s="1944" t="s">
        <v>8708</v>
      </c>
      <c r="B87" s="1945">
        <v>2106</v>
      </c>
      <c r="C87" s="1946">
        <v>646</v>
      </c>
      <c r="D87" s="1947">
        <v>2257</v>
      </c>
      <c r="E87" s="1947">
        <v>726</v>
      </c>
      <c r="F87" s="115"/>
      <c r="G87" s="115"/>
      <c r="AZ87" s="13"/>
      <c r="CA87" s="116"/>
      <c r="CB87" s="116"/>
      <c r="CC87" s="116"/>
      <c r="CD87" s="116"/>
    </row>
    <row r="88" spans="1:82" ht="12.6" customHeight="1">
      <c r="A88" s="1944" t="s">
        <v>8709</v>
      </c>
      <c r="B88" s="1956">
        <v>3065</v>
      </c>
      <c r="C88" s="1957">
        <v>859</v>
      </c>
      <c r="D88" s="1947">
        <v>3235</v>
      </c>
      <c r="E88" s="1947">
        <v>912</v>
      </c>
      <c r="F88" s="115"/>
      <c r="G88" s="115"/>
      <c r="AZ88" s="13"/>
      <c r="CA88" s="116"/>
      <c r="CB88" s="116"/>
      <c r="CC88" s="116"/>
      <c r="CD88" s="116"/>
    </row>
    <row r="89" spans="1:82" ht="12.6" customHeight="1">
      <c r="A89" s="1836" t="s">
        <v>8663</v>
      </c>
      <c r="B89" s="194"/>
      <c r="C89" s="194"/>
      <c r="D89" s="1963"/>
      <c r="E89" s="1963"/>
      <c r="AZ89" s="13"/>
      <c r="BA89" s="1831"/>
      <c r="BB89" s="1831"/>
      <c r="CA89" s="116"/>
      <c r="CB89" s="116"/>
      <c r="CC89" s="116"/>
      <c r="CD89" s="116"/>
    </row>
    <row r="90" spans="1:82" ht="12.6" customHeight="1">
      <c r="A90" s="1837" t="s">
        <v>8760</v>
      </c>
      <c r="D90" s="1945"/>
      <c r="E90" s="1945"/>
      <c r="BA90" s="1831"/>
      <c r="BB90" s="1831"/>
      <c r="CA90" s="116"/>
      <c r="CB90" s="116"/>
      <c r="CC90" s="116"/>
      <c r="CD90" s="116"/>
    </row>
    <row r="91" spans="1:82" ht="12.6" customHeight="1">
      <c r="B91" s="1811"/>
      <c r="C91" s="1811"/>
      <c r="D91" s="1821"/>
      <c r="E91" s="1821"/>
      <c r="AZ91" s="1832"/>
      <c r="BA91" s="1831"/>
      <c r="BB91" s="1831"/>
      <c r="CA91" s="116"/>
      <c r="CB91" s="116"/>
      <c r="CC91" s="116"/>
      <c r="CD91" s="116"/>
    </row>
    <row r="92" spans="1:82" ht="12.6" customHeight="1">
      <c r="AZ92" s="1832"/>
      <c r="BA92" s="1831"/>
      <c r="BB92" s="1831"/>
      <c r="CA92" s="116"/>
      <c r="CB92" s="116"/>
      <c r="CC92" s="116"/>
      <c r="CD92" s="116"/>
    </row>
    <row r="93" spans="1:82" ht="12.6" customHeight="1">
      <c r="AZ93" s="1832"/>
      <c r="BA93" s="1831"/>
      <c r="BB93" s="1831"/>
      <c r="CA93" s="116"/>
      <c r="CB93" s="116"/>
      <c r="CC93" s="116"/>
      <c r="CD93" s="116"/>
    </row>
    <row r="94" spans="1:82" ht="12.6" customHeight="1">
      <c r="AZ94" s="1832"/>
      <c r="BA94" s="1831"/>
      <c r="BB94" s="1831"/>
      <c r="CA94" s="116"/>
      <c r="CB94" s="116"/>
      <c r="CC94" s="116"/>
      <c r="CD94" s="116"/>
    </row>
    <row r="95" spans="1:82" ht="12.6" customHeight="1">
      <c r="AZ95" s="1835"/>
      <c r="BA95" s="1831"/>
      <c r="BB95" s="1831"/>
      <c r="CA95" s="116"/>
      <c r="CB95" s="116"/>
      <c r="CC95" s="116"/>
      <c r="CD95" s="116"/>
    </row>
    <row r="96" spans="1:82" ht="12.6" customHeight="1">
      <c r="AZ96" s="1832"/>
      <c r="BA96" s="1831"/>
      <c r="BB96" s="1831"/>
      <c r="CA96" s="116"/>
      <c r="CB96" s="116"/>
      <c r="CC96" s="116"/>
      <c r="CD96" s="116"/>
    </row>
    <row r="97" spans="52:82" ht="12.6" customHeight="1">
      <c r="BA97" s="1831"/>
      <c r="BB97" s="1831"/>
      <c r="CA97" s="116"/>
      <c r="CB97" s="116"/>
      <c r="CC97" s="116"/>
      <c r="CD97" s="116"/>
    </row>
    <row r="98" spans="52:82" ht="11.1" customHeight="1">
      <c r="AZ98" s="1832"/>
      <c r="BA98" s="1831"/>
      <c r="BB98" s="1831"/>
      <c r="CA98" s="116"/>
      <c r="CB98" s="116"/>
      <c r="CC98" s="116"/>
      <c r="CD98" s="116"/>
    </row>
    <row r="99" spans="52:82" ht="11.1" customHeight="1">
      <c r="AZ99" s="1832"/>
      <c r="BA99" s="1831"/>
      <c r="BB99" s="1831"/>
      <c r="CA99" s="116"/>
      <c r="CB99" s="116"/>
      <c r="CC99" s="116"/>
      <c r="CD99" s="116"/>
    </row>
    <row r="100" spans="52:82" ht="11.1" customHeight="1">
      <c r="AZ100" s="1832"/>
      <c r="BA100" s="1831"/>
      <c r="BB100" s="1831"/>
      <c r="CA100" s="116"/>
      <c r="CB100" s="116"/>
      <c r="CC100" s="116"/>
      <c r="CD100" s="116"/>
    </row>
    <row r="101" spans="52:82" ht="11.1" customHeight="1">
      <c r="AZ101" s="1832"/>
      <c r="BA101" s="1831"/>
      <c r="BB101" s="1831"/>
      <c r="CA101" s="116"/>
      <c r="CB101" s="116"/>
      <c r="CC101" s="116"/>
      <c r="CD101" s="116"/>
    </row>
    <row r="102" spans="52:82" ht="11.1" customHeight="1">
      <c r="AZ102" s="1835"/>
      <c r="BA102" s="1831"/>
      <c r="BB102" s="1831"/>
      <c r="CA102" s="116"/>
      <c r="CB102" s="116"/>
      <c r="CC102" s="116"/>
      <c r="CD102" s="116"/>
    </row>
    <row r="103" spans="52:82" ht="11.1" customHeight="1">
      <c r="AZ103" s="1832"/>
      <c r="BA103" s="1831"/>
      <c r="BB103" s="1831"/>
    </row>
    <row r="104" spans="52:82" ht="11.1" customHeight="1">
      <c r="AZ104" s="1808"/>
    </row>
  </sheetData>
  <mergeCells count="6">
    <mergeCell ref="A2:A3"/>
    <mergeCell ref="B2:C2"/>
    <mergeCell ref="D2:E2"/>
    <mergeCell ref="A50:A51"/>
    <mergeCell ref="B50:C50"/>
    <mergeCell ref="D50:E50"/>
  </mergeCells>
  <hyperlinks>
    <hyperlink ref="P7" location="_ftn1" display="_ftn1" xr:uid="{1717DE3A-C40D-42B3-992E-D54BD19AC461}"/>
    <hyperlink ref="P8" location="_ftn1" display="_ftn1" xr:uid="{E84E7F91-1848-40DB-9056-53E324B48174}"/>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3989-22EB-4E03-934B-B0872B461BE8}">
  <sheetPr>
    <tabColor rgb="FFFFFF00"/>
  </sheetPr>
  <dimension ref="A1:DW214"/>
  <sheetViews>
    <sheetView showGridLines="0" zoomScale="90" zoomScaleNormal="90" workbookViewId="0">
      <selection activeCell="F95" sqref="F95"/>
    </sheetView>
  </sheetViews>
  <sheetFormatPr defaultRowHeight="12.75"/>
  <cols>
    <col min="1" max="1" width="12.85546875" style="598" customWidth="1"/>
    <col min="2" max="2" width="14.85546875" style="598" customWidth="1"/>
    <col min="3" max="3" width="45.7109375" style="585" customWidth="1"/>
    <col min="4" max="4" width="10.140625" style="585" customWidth="1"/>
    <col min="5" max="5" width="14.7109375" style="584" customWidth="1"/>
    <col min="6" max="6" width="18.5703125" style="584" customWidth="1"/>
    <col min="7" max="7" width="11.85546875" style="585" customWidth="1"/>
    <col min="8" max="8" width="9.140625" style="585"/>
    <col min="9" max="9" width="47.5703125" style="585" bestFit="1" customWidth="1"/>
    <col min="10" max="10" width="8.5703125" style="585" bestFit="1" customWidth="1"/>
    <col min="11" max="11" width="14.85546875" style="585" bestFit="1" customWidth="1"/>
    <col min="12" max="13" width="9.140625" style="585"/>
    <col min="14" max="14" width="33" style="585" customWidth="1"/>
    <col min="15" max="15" width="18.42578125" style="585" customWidth="1"/>
    <col min="16" max="16" width="18.7109375" style="585" customWidth="1"/>
    <col min="17" max="18" width="9.140625" style="585"/>
    <col min="19" max="19" width="17.5703125" style="585" customWidth="1"/>
    <col min="20" max="20" width="14.7109375" style="585" customWidth="1"/>
    <col min="21" max="21" width="10.7109375" style="585" customWidth="1"/>
    <col min="22" max="22" width="12.7109375" style="585" customWidth="1"/>
    <col min="23" max="23" width="14.7109375" style="585" customWidth="1"/>
    <col min="24" max="24" width="10.7109375" style="585" customWidth="1"/>
    <col min="25" max="25" width="12.7109375" style="585" customWidth="1"/>
    <col min="26" max="27" width="9.140625" style="585"/>
    <col min="28" max="28" width="18.5703125" style="585" customWidth="1"/>
    <col min="29" max="37" width="9.140625" style="585"/>
    <col min="38" max="38" width="16.5703125" style="585" customWidth="1"/>
    <col min="39" max="44" width="9.140625" style="585"/>
    <col min="45" max="45" width="9.7109375" style="585" customWidth="1"/>
    <col min="46" max="47" width="9.140625" style="585"/>
    <col min="48" max="48" width="25.5703125" style="585" customWidth="1"/>
    <col min="49" max="51" width="15.7109375" style="585" customWidth="1"/>
    <col min="52" max="53" width="9.140625" style="585"/>
    <col min="54" max="54" width="29.42578125" style="585" customWidth="1"/>
    <col min="55" max="67" width="9.140625" style="585"/>
    <col min="68" max="68" width="15.7109375" style="585" customWidth="1"/>
    <col min="69" max="85" width="9.140625" style="585"/>
    <col min="86" max="86" width="19.140625" style="585" customWidth="1"/>
    <col min="87" max="103" width="9.140625" style="585"/>
    <col min="104" max="104" width="30.7109375" style="585" customWidth="1"/>
    <col min="105" max="109" width="10.7109375" style="585" customWidth="1"/>
    <col min="110" max="111" width="9.140625" style="585"/>
    <col min="112" max="112" width="15.7109375" style="585" customWidth="1"/>
    <col min="113" max="127" width="7.7109375" style="585" customWidth="1"/>
    <col min="128" max="256" width="9.140625" style="585"/>
    <col min="257" max="257" width="12.85546875" style="585" customWidth="1"/>
    <col min="258" max="258" width="14.85546875" style="585" customWidth="1"/>
    <col min="259" max="259" width="45.7109375" style="585" customWidth="1"/>
    <col min="260" max="260" width="10.140625" style="585" customWidth="1"/>
    <col min="261" max="261" width="14.7109375" style="585" customWidth="1"/>
    <col min="262" max="262" width="18.5703125" style="585" customWidth="1"/>
    <col min="263" max="263" width="11.85546875" style="585" customWidth="1"/>
    <col min="264" max="264" width="9.140625" style="585"/>
    <col min="265" max="265" width="47.5703125" style="585" bestFit="1" customWidth="1"/>
    <col min="266" max="266" width="8.5703125" style="585" bestFit="1" customWidth="1"/>
    <col min="267" max="267" width="14.85546875" style="585" bestFit="1" customWidth="1"/>
    <col min="268" max="269" width="9.140625" style="585"/>
    <col min="270" max="270" width="33" style="585" customWidth="1"/>
    <col min="271" max="271" width="18.42578125" style="585" customWidth="1"/>
    <col min="272" max="272" width="18.7109375" style="585" customWidth="1"/>
    <col min="273" max="274" width="9.140625" style="585"/>
    <col min="275" max="275" width="17.5703125" style="585" customWidth="1"/>
    <col min="276" max="276" width="14.7109375" style="585" customWidth="1"/>
    <col min="277" max="277" width="10.7109375" style="585" customWidth="1"/>
    <col min="278" max="278" width="12.7109375" style="585" customWidth="1"/>
    <col min="279" max="279" width="14.7109375" style="585" customWidth="1"/>
    <col min="280" max="280" width="10.7109375" style="585" customWidth="1"/>
    <col min="281" max="281" width="12.7109375" style="585" customWidth="1"/>
    <col min="282" max="283" width="9.140625" style="585"/>
    <col min="284" max="284" width="18.5703125" style="585" customWidth="1"/>
    <col min="285" max="293" width="9.140625" style="585"/>
    <col min="294" max="294" width="16.5703125" style="585" customWidth="1"/>
    <col min="295" max="300" width="9.140625" style="585"/>
    <col min="301" max="301" width="9.7109375" style="585" customWidth="1"/>
    <col min="302" max="303" width="9.140625" style="585"/>
    <col min="304" max="304" width="25.5703125" style="585" customWidth="1"/>
    <col min="305" max="307" width="15.7109375" style="585" customWidth="1"/>
    <col min="308" max="309" width="9.140625" style="585"/>
    <col min="310" max="310" width="29.42578125" style="585" customWidth="1"/>
    <col min="311" max="323" width="9.140625" style="585"/>
    <col min="324" max="324" width="15.7109375" style="585" customWidth="1"/>
    <col min="325" max="341" width="9.140625" style="585"/>
    <col min="342" max="342" width="19.140625" style="585" customWidth="1"/>
    <col min="343" max="359" width="9.140625" style="585"/>
    <col min="360" max="360" width="30.7109375" style="585" customWidth="1"/>
    <col min="361" max="365" width="10.7109375" style="585" customWidth="1"/>
    <col min="366" max="367" width="9.140625" style="585"/>
    <col min="368" max="368" width="15.7109375" style="585" customWidth="1"/>
    <col min="369" max="383" width="7.7109375" style="585" customWidth="1"/>
    <col min="384" max="512" width="9.140625" style="585"/>
    <col min="513" max="513" width="12.85546875" style="585" customWidth="1"/>
    <col min="514" max="514" width="14.85546875" style="585" customWidth="1"/>
    <col min="515" max="515" width="45.7109375" style="585" customWidth="1"/>
    <col min="516" max="516" width="10.140625" style="585" customWidth="1"/>
    <col min="517" max="517" width="14.7109375" style="585" customWidth="1"/>
    <col min="518" max="518" width="18.5703125" style="585" customWidth="1"/>
    <col min="519" max="519" width="11.85546875" style="585" customWidth="1"/>
    <col min="520" max="520" width="9.140625" style="585"/>
    <col min="521" max="521" width="47.5703125" style="585" bestFit="1" customWidth="1"/>
    <col min="522" max="522" width="8.5703125" style="585" bestFit="1" customWidth="1"/>
    <col min="523" max="523" width="14.85546875" style="585" bestFit="1" customWidth="1"/>
    <col min="524" max="525" width="9.140625" style="585"/>
    <col min="526" max="526" width="33" style="585" customWidth="1"/>
    <col min="527" max="527" width="18.42578125" style="585" customWidth="1"/>
    <col min="528" max="528" width="18.7109375" style="585" customWidth="1"/>
    <col min="529" max="530" width="9.140625" style="585"/>
    <col min="531" max="531" width="17.5703125" style="585" customWidth="1"/>
    <col min="532" max="532" width="14.7109375" style="585" customWidth="1"/>
    <col min="533" max="533" width="10.7109375" style="585" customWidth="1"/>
    <col min="534" max="534" width="12.7109375" style="585" customWidth="1"/>
    <col min="535" max="535" width="14.7109375" style="585" customWidth="1"/>
    <col min="536" max="536" width="10.7109375" style="585" customWidth="1"/>
    <col min="537" max="537" width="12.7109375" style="585" customWidth="1"/>
    <col min="538" max="539" width="9.140625" style="585"/>
    <col min="540" max="540" width="18.5703125" style="585" customWidth="1"/>
    <col min="541" max="549" width="9.140625" style="585"/>
    <col min="550" max="550" width="16.5703125" style="585" customWidth="1"/>
    <col min="551" max="556" width="9.140625" style="585"/>
    <col min="557" max="557" width="9.7109375" style="585" customWidth="1"/>
    <col min="558" max="559" width="9.140625" style="585"/>
    <col min="560" max="560" width="25.5703125" style="585" customWidth="1"/>
    <col min="561" max="563" width="15.7109375" style="585" customWidth="1"/>
    <col min="564" max="565" width="9.140625" style="585"/>
    <col min="566" max="566" width="29.42578125" style="585" customWidth="1"/>
    <col min="567" max="579" width="9.140625" style="585"/>
    <col min="580" max="580" width="15.7109375" style="585" customWidth="1"/>
    <col min="581" max="597" width="9.140625" style="585"/>
    <col min="598" max="598" width="19.140625" style="585" customWidth="1"/>
    <col min="599" max="615" width="9.140625" style="585"/>
    <col min="616" max="616" width="30.7109375" style="585" customWidth="1"/>
    <col min="617" max="621" width="10.7109375" style="585" customWidth="1"/>
    <col min="622" max="623" width="9.140625" style="585"/>
    <col min="624" max="624" width="15.7109375" style="585" customWidth="1"/>
    <col min="625" max="639" width="7.7109375" style="585" customWidth="1"/>
    <col min="640" max="768" width="9.140625" style="585"/>
    <col min="769" max="769" width="12.85546875" style="585" customWidth="1"/>
    <col min="770" max="770" width="14.85546875" style="585" customWidth="1"/>
    <col min="771" max="771" width="45.7109375" style="585" customWidth="1"/>
    <col min="772" max="772" width="10.140625" style="585" customWidth="1"/>
    <col min="773" max="773" width="14.7109375" style="585" customWidth="1"/>
    <col min="774" max="774" width="18.5703125" style="585" customWidth="1"/>
    <col min="775" max="775" width="11.85546875" style="585" customWidth="1"/>
    <col min="776" max="776" width="9.140625" style="585"/>
    <col min="777" max="777" width="47.5703125" style="585" bestFit="1" customWidth="1"/>
    <col min="778" max="778" width="8.5703125" style="585" bestFit="1" customWidth="1"/>
    <col min="779" max="779" width="14.85546875" style="585" bestFit="1" customWidth="1"/>
    <col min="780" max="781" width="9.140625" style="585"/>
    <col min="782" max="782" width="33" style="585" customWidth="1"/>
    <col min="783" max="783" width="18.42578125" style="585" customWidth="1"/>
    <col min="784" max="784" width="18.7109375" style="585" customWidth="1"/>
    <col min="785" max="786" width="9.140625" style="585"/>
    <col min="787" max="787" width="17.5703125" style="585" customWidth="1"/>
    <col min="788" max="788" width="14.7109375" style="585" customWidth="1"/>
    <col min="789" max="789" width="10.7109375" style="585" customWidth="1"/>
    <col min="790" max="790" width="12.7109375" style="585" customWidth="1"/>
    <col min="791" max="791" width="14.7109375" style="585" customWidth="1"/>
    <col min="792" max="792" width="10.7109375" style="585" customWidth="1"/>
    <col min="793" max="793" width="12.7109375" style="585" customWidth="1"/>
    <col min="794" max="795" width="9.140625" style="585"/>
    <col min="796" max="796" width="18.5703125" style="585" customWidth="1"/>
    <col min="797" max="805" width="9.140625" style="585"/>
    <col min="806" max="806" width="16.5703125" style="585" customWidth="1"/>
    <col min="807" max="812" width="9.140625" style="585"/>
    <col min="813" max="813" width="9.7109375" style="585" customWidth="1"/>
    <col min="814" max="815" width="9.140625" style="585"/>
    <col min="816" max="816" width="25.5703125" style="585" customWidth="1"/>
    <col min="817" max="819" width="15.7109375" style="585" customWidth="1"/>
    <col min="820" max="821" width="9.140625" style="585"/>
    <col min="822" max="822" width="29.42578125" style="585" customWidth="1"/>
    <col min="823" max="835" width="9.140625" style="585"/>
    <col min="836" max="836" width="15.7109375" style="585" customWidth="1"/>
    <col min="837" max="853" width="9.140625" style="585"/>
    <col min="854" max="854" width="19.140625" style="585" customWidth="1"/>
    <col min="855" max="871" width="9.140625" style="585"/>
    <col min="872" max="872" width="30.7109375" style="585" customWidth="1"/>
    <col min="873" max="877" width="10.7109375" style="585" customWidth="1"/>
    <col min="878" max="879" width="9.140625" style="585"/>
    <col min="880" max="880" width="15.7109375" style="585" customWidth="1"/>
    <col min="881" max="895" width="7.7109375" style="585" customWidth="1"/>
    <col min="896" max="1024" width="9.140625" style="585"/>
    <col min="1025" max="1025" width="12.85546875" style="585" customWidth="1"/>
    <col min="1026" max="1026" width="14.85546875" style="585" customWidth="1"/>
    <col min="1027" max="1027" width="45.7109375" style="585" customWidth="1"/>
    <col min="1028" max="1028" width="10.140625" style="585" customWidth="1"/>
    <col min="1029" max="1029" width="14.7109375" style="585" customWidth="1"/>
    <col min="1030" max="1030" width="18.5703125" style="585" customWidth="1"/>
    <col min="1031" max="1031" width="11.85546875" style="585" customWidth="1"/>
    <col min="1032" max="1032" width="9.140625" style="585"/>
    <col min="1033" max="1033" width="47.5703125" style="585" bestFit="1" customWidth="1"/>
    <col min="1034" max="1034" width="8.5703125" style="585" bestFit="1" customWidth="1"/>
    <col min="1035" max="1035" width="14.85546875" style="585" bestFit="1" customWidth="1"/>
    <col min="1036" max="1037" width="9.140625" style="585"/>
    <col min="1038" max="1038" width="33" style="585" customWidth="1"/>
    <col min="1039" max="1039" width="18.42578125" style="585" customWidth="1"/>
    <col min="1040" max="1040" width="18.7109375" style="585" customWidth="1"/>
    <col min="1041" max="1042" width="9.140625" style="585"/>
    <col min="1043" max="1043" width="17.5703125" style="585" customWidth="1"/>
    <col min="1044" max="1044" width="14.7109375" style="585" customWidth="1"/>
    <col min="1045" max="1045" width="10.7109375" style="585" customWidth="1"/>
    <col min="1046" max="1046" width="12.7109375" style="585" customWidth="1"/>
    <col min="1047" max="1047" width="14.7109375" style="585" customWidth="1"/>
    <col min="1048" max="1048" width="10.7109375" style="585" customWidth="1"/>
    <col min="1049" max="1049" width="12.7109375" style="585" customWidth="1"/>
    <col min="1050" max="1051" width="9.140625" style="585"/>
    <col min="1052" max="1052" width="18.5703125" style="585" customWidth="1"/>
    <col min="1053" max="1061" width="9.140625" style="585"/>
    <col min="1062" max="1062" width="16.5703125" style="585" customWidth="1"/>
    <col min="1063" max="1068" width="9.140625" style="585"/>
    <col min="1069" max="1069" width="9.7109375" style="585" customWidth="1"/>
    <col min="1070" max="1071" width="9.140625" style="585"/>
    <col min="1072" max="1072" width="25.5703125" style="585" customWidth="1"/>
    <col min="1073" max="1075" width="15.7109375" style="585" customWidth="1"/>
    <col min="1076" max="1077" width="9.140625" style="585"/>
    <col min="1078" max="1078" width="29.42578125" style="585" customWidth="1"/>
    <col min="1079" max="1091" width="9.140625" style="585"/>
    <col min="1092" max="1092" width="15.7109375" style="585" customWidth="1"/>
    <col min="1093" max="1109" width="9.140625" style="585"/>
    <col min="1110" max="1110" width="19.140625" style="585" customWidth="1"/>
    <col min="1111" max="1127" width="9.140625" style="585"/>
    <col min="1128" max="1128" width="30.7109375" style="585" customWidth="1"/>
    <col min="1129" max="1133" width="10.7109375" style="585" customWidth="1"/>
    <col min="1134" max="1135" width="9.140625" style="585"/>
    <col min="1136" max="1136" width="15.7109375" style="585" customWidth="1"/>
    <col min="1137" max="1151" width="7.7109375" style="585" customWidth="1"/>
    <col min="1152" max="1280" width="9.140625" style="585"/>
    <col min="1281" max="1281" width="12.85546875" style="585" customWidth="1"/>
    <col min="1282" max="1282" width="14.85546875" style="585" customWidth="1"/>
    <col min="1283" max="1283" width="45.7109375" style="585" customWidth="1"/>
    <col min="1284" max="1284" width="10.140625" style="585" customWidth="1"/>
    <col min="1285" max="1285" width="14.7109375" style="585" customWidth="1"/>
    <col min="1286" max="1286" width="18.5703125" style="585" customWidth="1"/>
    <col min="1287" max="1287" width="11.85546875" style="585" customWidth="1"/>
    <col min="1288" max="1288" width="9.140625" style="585"/>
    <col min="1289" max="1289" width="47.5703125" style="585" bestFit="1" customWidth="1"/>
    <col min="1290" max="1290" width="8.5703125" style="585" bestFit="1" customWidth="1"/>
    <col min="1291" max="1291" width="14.85546875" style="585" bestFit="1" customWidth="1"/>
    <col min="1292" max="1293" width="9.140625" style="585"/>
    <col min="1294" max="1294" width="33" style="585" customWidth="1"/>
    <col min="1295" max="1295" width="18.42578125" style="585" customWidth="1"/>
    <col min="1296" max="1296" width="18.7109375" style="585" customWidth="1"/>
    <col min="1297" max="1298" width="9.140625" style="585"/>
    <col min="1299" max="1299" width="17.5703125" style="585" customWidth="1"/>
    <col min="1300" max="1300" width="14.7109375" style="585" customWidth="1"/>
    <col min="1301" max="1301" width="10.7109375" style="585" customWidth="1"/>
    <col min="1302" max="1302" width="12.7109375" style="585" customWidth="1"/>
    <col min="1303" max="1303" width="14.7109375" style="585" customWidth="1"/>
    <col min="1304" max="1304" width="10.7109375" style="585" customWidth="1"/>
    <col min="1305" max="1305" width="12.7109375" style="585" customWidth="1"/>
    <col min="1306" max="1307" width="9.140625" style="585"/>
    <col min="1308" max="1308" width="18.5703125" style="585" customWidth="1"/>
    <col min="1309" max="1317" width="9.140625" style="585"/>
    <col min="1318" max="1318" width="16.5703125" style="585" customWidth="1"/>
    <col min="1319" max="1324" width="9.140625" style="585"/>
    <col min="1325" max="1325" width="9.7109375" style="585" customWidth="1"/>
    <col min="1326" max="1327" width="9.140625" style="585"/>
    <col min="1328" max="1328" width="25.5703125" style="585" customWidth="1"/>
    <col min="1329" max="1331" width="15.7109375" style="585" customWidth="1"/>
    <col min="1332" max="1333" width="9.140625" style="585"/>
    <col min="1334" max="1334" width="29.42578125" style="585" customWidth="1"/>
    <col min="1335" max="1347" width="9.140625" style="585"/>
    <col min="1348" max="1348" width="15.7109375" style="585" customWidth="1"/>
    <col min="1349" max="1365" width="9.140625" style="585"/>
    <col min="1366" max="1366" width="19.140625" style="585" customWidth="1"/>
    <col min="1367" max="1383" width="9.140625" style="585"/>
    <col min="1384" max="1384" width="30.7109375" style="585" customWidth="1"/>
    <col min="1385" max="1389" width="10.7109375" style="585" customWidth="1"/>
    <col min="1390" max="1391" width="9.140625" style="585"/>
    <col min="1392" max="1392" width="15.7109375" style="585" customWidth="1"/>
    <col min="1393" max="1407" width="7.7109375" style="585" customWidth="1"/>
    <col min="1408" max="1536" width="9.140625" style="585"/>
    <col min="1537" max="1537" width="12.85546875" style="585" customWidth="1"/>
    <col min="1538" max="1538" width="14.85546875" style="585" customWidth="1"/>
    <col min="1539" max="1539" width="45.7109375" style="585" customWidth="1"/>
    <col min="1540" max="1540" width="10.140625" style="585" customWidth="1"/>
    <col min="1541" max="1541" width="14.7109375" style="585" customWidth="1"/>
    <col min="1542" max="1542" width="18.5703125" style="585" customWidth="1"/>
    <col min="1543" max="1543" width="11.85546875" style="585" customWidth="1"/>
    <col min="1544" max="1544" width="9.140625" style="585"/>
    <col min="1545" max="1545" width="47.5703125" style="585" bestFit="1" customWidth="1"/>
    <col min="1546" max="1546" width="8.5703125" style="585" bestFit="1" customWidth="1"/>
    <col min="1547" max="1547" width="14.85546875" style="585" bestFit="1" customWidth="1"/>
    <col min="1548" max="1549" width="9.140625" style="585"/>
    <col min="1550" max="1550" width="33" style="585" customWidth="1"/>
    <col min="1551" max="1551" width="18.42578125" style="585" customWidth="1"/>
    <col min="1552" max="1552" width="18.7109375" style="585" customWidth="1"/>
    <col min="1553" max="1554" width="9.140625" style="585"/>
    <col min="1555" max="1555" width="17.5703125" style="585" customWidth="1"/>
    <col min="1556" max="1556" width="14.7109375" style="585" customWidth="1"/>
    <col min="1557" max="1557" width="10.7109375" style="585" customWidth="1"/>
    <col min="1558" max="1558" width="12.7109375" style="585" customWidth="1"/>
    <col min="1559" max="1559" width="14.7109375" style="585" customWidth="1"/>
    <col min="1560" max="1560" width="10.7109375" style="585" customWidth="1"/>
    <col min="1561" max="1561" width="12.7109375" style="585" customWidth="1"/>
    <col min="1562" max="1563" width="9.140625" style="585"/>
    <col min="1564" max="1564" width="18.5703125" style="585" customWidth="1"/>
    <col min="1565" max="1573" width="9.140625" style="585"/>
    <col min="1574" max="1574" width="16.5703125" style="585" customWidth="1"/>
    <col min="1575" max="1580" width="9.140625" style="585"/>
    <col min="1581" max="1581" width="9.7109375" style="585" customWidth="1"/>
    <col min="1582" max="1583" width="9.140625" style="585"/>
    <col min="1584" max="1584" width="25.5703125" style="585" customWidth="1"/>
    <col min="1585" max="1587" width="15.7109375" style="585" customWidth="1"/>
    <col min="1588" max="1589" width="9.140625" style="585"/>
    <col min="1590" max="1590" width="29.42578125" style="585" customWidth="1"/>
    <col min="1591" max="1603" width="9.140625" style="585"/>
    <col min="1604" max="1604" width="15.7109375" style="585" customWidth="1"/>
    <col min="1605" max="1621" width="9.140625" style="585"/>
    <col min="1622" max="1622" width="19.140625" style="585" customWidth="1"/>
    <col min="1623" max="1639" width="9.140625" style="585"/>
    <col min="1640" max="1640" width="30.7109375" style="585" customWidth="1"/>
    <col min="1641" max="1645" width="10.7109375" style="585" customWidth="1"/>
    <col min="1646" max="1647" width="9.140625" style="585"/>
    <col min="1648" max="1648" width="15.7109375" style="585" customWidth="1"/>
    <col min="1649" max="1663" width="7.7109375" style="585" customWidth="1"/>
    <col min="1664" max="1792" width="9.140625" style="585"/>
    <col min="1793" max="1793" width="12.85546875" style="585" customWidth="1"/>
    <col min="1794" max="1794" width="14.85546875" style="585" customWidth="1"/>
    <col min="1795" max="1795" width="45.7109375" style="585" customWidth="1"/>
    <col min="1796" max="1796" width="10.140625" style="585" customWidth="1"/>
    <col min="1797" max="1797" width="14.7109375" style="585" customWidth="1"/>
    <col min="1798" max="1798" width="18.5703125" style="585" customWidth="1"/>
    <col min="1799" max="1799" width="11.85546875" style="585" customWidth="1"/>
    <col min="1800" max="1800" width="9.140625" style="585"/>
    <col min="1801" max="1801" width="47.5703125" style="585" bestFit="1" customWidth="1"/>
    <col min="1802" max="1802" width="8.5703125" style="585" bestFit="1" customWidth="1"/>
    <col min="1803" max="1803" width="14.85546875" style="585" bestFit="1" customWidth="1"/>
    <col min="1804" max="1805" width="9.140625" style="585"/>
    <col min="1806" max="1806" width="33" style="585" customWidth="1"/>
    <col min="1807" max="1807" width="18.42578125" style="585" customWidth="1"/>
    <col min="1808" max="1808" width="18.7109375" style="585" customWidth="1"/>
    <col min="1809" max="1810" width="9.140625" style="585"/>
    <col min="1811" max="1811" width="17.5703125" style="585" customWidth="1"/>
    <col min="1812" max="1812" width="14.7109375" style="585" customWidth="1"/>
    <col min="1813" max="1813" width="10.7109375" style="585" customWidth="1"/>
    <col min="1814" max="1814" width="12.7109375" style="585" customWidth="1"/>
    <col min="1815" max="1815" width="14.7109375" style="585" customWidth="1"/>
    <col min="1816" max="1816" width="10.7109375" style="585" customWidth="1"/>
    <col min="1817" max="1817" width="12.7109375" style="585" customWidth="1"/>
    <col min="1818" max="1819" width="9.140625" style="585"/>
    <col min="1820" max="1820" width="18.5703125" style="585" customWidth="1"/>
    <col min="1821" max="1829" width="9.140625" style="585"/>
    <col min="1830" max="1830" width="16.5703125" style="585" customWidth="1"/>
    <col min="1831" max="1836" width="9.140625" style="585"/>
    <col min="1837" max="1837" width="9.7109375" style="585" customWidth="1"/>
    <col min="1838" max="1839" width="9.140625" style="585"/>
    <col min="1840" max="1840" width="25.5703125" style="585" customWidth="1"/>
    <col min="1841" max="1843" width="15.7109375" style="585" customWidth="1"/>
    <col min="1844" max="1845" width="9.140625" style="585"/>
    <col min="1846" max="1846" width="29.42578125" style="585" customWidth="1"/>
    <col min="1847" max="1859" width="9.140625" style="585"/>
    <col min="1860" max="1860" width="15.7109375" style="585" customWidth="1"/>
    <col min="1861" max="1877" width="9.140625" style="585"/>
    <col min="1878" max="1878" width="19.140625" style="585" customWidth="1"/>
    <col min="1879" max="1895" width="9.140625" style="585"/>
    <col min="1896" max="1896" width="30.7109375" style="585" customWidth="1"/>
    <col min="1897" max="1901" width="10.7109375" style="585" customWidth="1"/>
    <col min="1902" max="1903" width="9.140625" style="585"/>
    <col min="1904" max="1904" width="15.7109375" style="585" customWidth="1"/>
    <col min="1905" max="1919" width="7.7109375" style="585" customWidth="1"/>
    <col min="1920" max="2048" width="9.140625" style="585"/>
    <col min="2049" max="2049" width="12.85546875" style="585" customWidth="1"/>
    <col min="2050" max="2050" width="14.85546875" style="585" customWidth="1"/>
    <col min="2051" max="2051" width="45.7109375" style="585" customWidth="1"/>
    <col min="2052" max="2052" width="10.140625" style="585" customWidth="1"/>
    <col min="2053" max="2053" width="14.7109375" style="585" customWidth="1"/>
    <col min="2054" max="2054" width="18.5703125" style="585" customWidth="1"/>
    <col min="2055" max="2055" width="11.85546875" style="585" customWidth="1"/>
    <col min="2056" max="2056" width="9.140625" style="585"/>
    <col min="2057" max="2057" width="47.5703125" style="585" bestFit="1" customWidth="1"/>
    <col min="2058" max="2058" width="8.5703125" style="585" bestFit="1" customWidth="1"/>
    <col min="2059" max="2059" width="14.85546875" style="585" bestFit="1" customWidth="1"/>
    <col min="2060" max="2061" width="9.140625" style="585"/>
    <col min="2062" max="2062" width="33" style="585" customWidth="1"/>
    <col min="2063" max="2063" width="18.42578125" style="585" customWidth="1"/>
    <col min="2064" max="2064" width="18.7109375" style="585" customWidth="1"/>
    <col min="2065" max="2066" width="9.140625" style="585"/>
    <col min="2067" max="2067" width="17.5703125" style="585" customWidth="1"/>
    <col min="2068" max="2068" width="14.7109375" style="585" customWidth="1"/>
    <col min="2069" max="2069" width="10.7109375" style="585" customWidth="1"/>
    <col min="2070" max="2070" width="12.7109375" style="585" customWidth="1"/>
    <col min="2071" max="2071" width="14.7109375" style="585" customWidth="1"/>
    <col min="2072" max="2072" width="10.7109375" style="585" customWidth="1"/>
    <col min="2073" max="2073" width="12.7109375" style="585" customWidth="1"/>
    <col min="2074" max="2075" width="9.140625" style="585"/>
    <col min="2076" max="2076" width="18.5703125" style="585" customWidth="1"/>
    <col min="2077" max="2085" width="9.140625" style="585"/>
    <col min="2086" max="2086" width="16.5703125" style="585" customWidth="1"/>
    <col min="2087" max="2092" width="9.140625" style="585"/>
    <col min="2093" max="2093" width="9.7109375" style="585" customWidth="1"/>
    <col min="2094" max="2095" width="9.140625" style="585"/>
    <col min="2096" max="2096" width="25.5703125" style="585" customWidth="1"/>
    <col min="2097" max="2099" width="15.7109375" style="585" customWidth="1"/>
    <col min="2100" max="2101" width="9.140625" style="585"/>
    <col min="2102" max="2102" width="29.42578125" style="585" customWidth="1"/>
    <col min="2103" max="2115" width="9.140625" style="585"/>
    <col min="2116" max="2116" width="15.7109375" style="585" customWidth="1"/>
    <col min="2117" max="2133" width="9.140625" style="585"/>
    <col min="2134" max="2134" width="19.140625" style="585" customWidth="1"/>
    <col min="2135" max="2151" width="9.140625" style="585"/>
    <col min="2152" max="2152" width="30.7109375" style="585" customWidth="1"/>
    <col min="2153" max="2157" width="10.7109375" style="585" customWidth="1"/>
    <col min="2158" max="2159" width="9.140625" style="585"/>
    <col min="2160" max="2160" width="15.7109375" style="585" customWidth="1"/>
    <col min="2161" max="2175" width="7.7109375" style="585" customWidth="1"/>
    <col min="2176" max="2304" width="9.140625" style="585"/>
    <col min="2305" max="2305" width="12.85546875" style="585" customWidth="1"/>
    <col min="2306" max="2306" width="14.85546875" style="585" customWidth="1"/>
    <col min="2307" max="2307" width="45.7109375" style="585" customWidth="1"/>
    <col min="2308" max="2308" width="10.140625" style="585" customWidth="1"/>
    <col min="2309" max="2309" width="14.7109375" style="585" customWidth="1"/>
    <col min="2310" max="2310" width="18.5703125" style="585" customWidth="1"/>
    <col min="2311" max="2311" width="11.85546875" style="585" customWidth="1"/>
    <col min="2312" max="2312" width="9.140625" style="585"/>
    <col min="2313" max="2313" width="47.5703125" style="585" bestFit="1" customWidth="1"/>
    <col min="2314" max="2314" width="8.5703125" style="585" bestFit="1" customWidth="1"/>
    <col min="2315" max="2315" width="14.85546875" style="585" bestFit="1" customWidth="1"/>
    <col min="2316" max="2317" width="9.140625" style="585"/>
    <col min="2318" max="2318" width="33" style="585" customWidth="1"/>
    <col min="2319" max="2319" width="18.42578125" style="585" customWidth="1"/>
    <col min="2320" max="2320" width="18.7109375" style="585" customWidth="1"/>
    <col min="2321" max="2322" width="9.140625" style="585"/>
    <col min="2323" max="2323" width="17.5703125" style="585" customWidth="1"/>
    <col min="2324" max="2324" width="14.7109375" style="585" customWidth="1"/>
    <col min="2325" max="2325" width="10.7109375" style="585" customWidth="1"/>
    <col min="2326" max="2326" width="12.7109375" style="585" customWidth="1"/>
    <col min="2327" max="2327" width="14.7109375" style="585" customWidth="1"/>
    <col min="2328" max="2328" width="10.7109375" style="585" customWidth="1"/>
    <col min="2329" max="2329" width="12.7109375" style="585" customWidth="1"/>
    <col min="2330" max="2331" width="9.140625" style="585"/>
    <col min="2332" max="2332" width="18.5703125" style="585" customWidth="1"/>
    <col min="2333" max="2341" width="9.140625" style="585"/>
    <col min="2342" max="2342" width="16.5703125" style="585" customWidth="1"/>
    <col min="2343" max="2348" width="9.140625" style="585"/>
    <col min="2349" max="2349" width="9.7109375" style="585" customWidth="1"/>
    <col min="2350" max="2351" width="9.140625" style="585"/>
    <col min="2352" max="2352" width="25.5703125" style="585" customWidth="1"/>
    <col min="2353" max="2355" width="15.7109375" style="585" customWidth="1"/>
    <col min="2356" max="2357" width="9.140625" style="585"/>
    <col min="2358" max="2358" width="29.42578125" style="585" customWidth="1"/>
    <col min="2359" max="2371" width="9.140625" style="585"/>
    <col min="2372" max="2372" width="15.7109375" style="585" customWidth="1"/>
    <col min="2373" max="2389" width="9.140625" style="585"/>
    <col min="2390" max="2390" width="19.140625" style="585" customWidth="1"/>
    <col min="2391" max="2407" width="9.140625" style="585"/>
    <col min="2408" max="2408" width="30.7109375" style="585" customWidth="1"/>
    <col min="2409" max="2413" width="10.7109375" style="585" customWidth="1"/>
    <col min="2414" max="2415" width="9.140625" style="585"/>
    <col min="2416" max="2416" width="15.7109375" style="585" customWidth="1"/>
    <col min="2417" max="2431" width="7.7109375" style="585" customWidth="1"/>
    <col min="2432" max="2560" width="9.140625" style="585"/>
    <col min="2561" max="2561" width="12.85546875" style="585" customWidth="1"/>
    <col min="2562" max="2562" width="14.85546875" style="585" customWidth="1"/>
    <col min="2563" max="2563" width="45.7109375" style="585" customWidth="1"/>
    <col min="2564" max="2564" width="10.140625" style="585" customWidth="1"/>
    <col min="2565" max="2565" width="14.7109375" style="585" customWidth="1"/>
    <col min="2566" max="2566" width="18.5703125" style="585" customWidth="1"/>
    <col min="2567" max="2567" width="11.85546875" style="585" customWidth="1"/>
    <col min="2568" max="2568" width="9.140625" style="585"/>
    <col min="2569" max="2569" width="47.5703125" style="585" bestFit="1" customWidth="1"/>
    <col min="2570" max="2570" width="8.5703125" style="585" bestFit="1" customWidth="1"/>
    <col min="2571" max="2571" width="14.85546875" style="585" bestFit="1" customWidth="1"/>
    <col min="2572" max="2573" width="9.140625" style="585"/>
    <col min="2574" max="2574" width="33" style="585" customWidth="1"/>
    <col min="2575" max="2575" width="18.42578125" style="585" customWidth="1"/>
    <col min="2576" max="2576" width="18.7109375" style="585" customWidth="1"/>
    <col min="2577" max="2578" width="9.140625" style="585"/>
    <col min="2579" max="2579" width="17.5703125" style="585" customWidth="1"/>
    <col min="2580" max="2580" width="14.7109375" style="585" customWidth="1"/>
    <col min="2581" max="2581" width="10.7109375" style="585" customWidth="1"/>
    <col min="2582" max="2582" width="12.7109375" style="585" customWidth="1"/>
    <col min="2583" max="2583" width="14.7109375" style="585" customWidth="1"/>
    <col min="2584" max="2584" width="10.7109375" style="585" customWidth="1"/>
    <col min="2585" max="2585" width="12.7109375" style="585" customWidth="1"/>
    <col min="2586" max="2587" width="9.140625" style="585"/>
    <col min="2588" max="2588" width="18.5703125" style="585" customWidth="1"/>
    <col min="2589" max="2597" width="9.140625" style="585"/>
    <col min="2598" max="2598" width="16.5703125" style="585" customWidth="1"/>
    <col min="2599" max="2604" width="9.140625" style="585"/>
    <col min="2605" max="2605" width="9.7109375" style="585" customWidth="1"/>
    <col min="2606" max="2607" width="9.140625" style="585"/>
    <col min="2608" max="2608" width="25.5703125" style="585" customWidth="1"/>
    <col min="2609" max="2611" width="15.7109375" style="585" customWidth="1"/>
    <col min="2612" max="2613" width="9.140625" style="585"/>
    <col min="2614" max="2614" width="29.42578125" style="585" customWidth="1"/>
    <col min="2615" max="2627" width="9.140625" style="585"/>
    <col min="2628" max="2628" width="15.7109375" style="585" customWidth="1"/>
    <col min="2629" max="2645" width="9.140625" style="585"/>
    <col min="2646" max="2646" width="19.140625" style="585" customWidth="1"/>
    <col min="2647" max="2663" width="9.140625" style="585"/>
    <col min="2664" max="2664" width="30.7109375" style="585" customWidth="1"/>
    <col min="2665" max="2669" width="10.7109375" style="585" customWidth="1"/>
    <col min="2670" max="2671" width="9.140625" style="585"/>
    <col min="2672" max="2672" width="15.7109375" style="585" customWidth="1"/>
    <col min="2673" max="2687" width="7.7109375" style="585" customWidth="1"/>
    <col min="2688" max="2816" width="9.140625" style="585"/>
    <col min="2817" max="2817" width="12.85546875" style="585" customWidth="1"/>
    <col min="2818" max="2818" width="14.85546875" style="585" customWidth="1"/>
    <col min="2819" max="2819" width="45.7109375" style="585" customWidth="1"/>
    <col min="2820" max="2820" width="10.140625" style="585" customWidth="1"/>
    <col min="2821" max="2821" width="14.7109375" style="585" customWidth="1"/>
    <col min="2822" max="2822" width="18.5703125" style="585" customWidth="1"/>
    <col min="2823" max="2823" width="11.85546875" style="585" customWidth="1"/>
    <col min="2824" max="2824" width="9.140625" style="585"/>
    <col min="2825" max="2825" width="47.5703125" style="585" bestFit="1" customWidth="1"/>
    <col min="2826" max="2826" width="8.5703125" style="585" bestFit="1" customWidth="1"/>
    <col min="2827" max="2827" width="14.85546875" style="585" bestFit="1" customWidth="1"/>
    <col min="2828" max="2829" width="9.140625" style="585"/>
    <col min="2830" max="2830" width="33" style="585" customWidth="1"/>
    <col min="2831" max="2831" width="18.42578125" style="585" customWidth="1"/>
    <col min="2832" max="2832" width="18.7109375" style="585" customWidth="1"/>
    <col min="2833" max="2834" width="9.140625" style="585"/>
    <col min="2835" max="2835" width="17.5703125" style="585" customWidth="1"/>
    <col min="2836" max="2836" width="14.7109375" style="585" customWidth="1"/>
    <col min="2837" max="2837" width="10.7109375" style="585" customWidth="1"/>
    <col min="2838" max="2838" width="12.7109375" style="585" customWidth="1"/>
    <col min="2839" max="2839" width="14.7109375" style="585" customWidth="1"/>
    <col min="2840" max="2840" width="10.7109375" style="585" customWidth="1"/>
    <col min="2841" max="2841" width="12.7109375" style="585" customWidth="1"/>
    <col min="2842" max="2843" width="9.140625" style="585"/>
    <col min="2844" max="2844" width="18.5703125" style="585" customWidth="1"/>
    <col min="2845" max="2853" width="9.140625" style="585"/>
    <col min="2854" max="2854" width="16.5703125" style="585" customWidth="1"/>
    <col min="2855" max="2860" width="9.140625" style="585"/>
    <col min="2861" max="2861" width="9.7109375" style="585" customWidth="1"/>
    <col min="2862" max="2863" width="9.140625" style="585"/>
    <col min="2864" max="2864" width="25.5703125" style="585" customWidth="1"/>
    <col min="2865" max="2867" width="15.7109375" style="585" customWidth="1"/>
    <col min="2868" max="2869" width="9.140625" style="585"/>
    <col min="2870" max="2870" width="29.42578125" style="585" customWidth="1"/>
    <col min="2871" max="2883" width="9.140625" style="585"/>
    <col min="2884" max="2884" width="15.7109375" style="585" customWidth="1"/>
    <col min="2885" max="2901" width="9.140625" style="585"/>
    <col min="2902" max="2902" width="19.140625" style="585" customWidth="1"/>
    <col min="2903" max="2919" width="9.140625" style="585"/>
    <col min="2920" max="2920" width="30.7109375" style="585" customWidth="1"/>
    <col min="2921" max="2925" width="10.7109375" style="585" customWidth="1"/>
    <col min="2926" max="2927" width="9.140625" style="585"/>
    <col min="2928" max="2928" width="15.7109375" style="585" customWidth="1"/>
    <col min="2929" max="2943" width="7.7109375" style="585" customWidth="1"/>
    <col min="2944" max="3072" width="9.140625" style="585"/>
    <col min="3073" max="3073" width="12.85546875" style="585" customWidth="1"/>
    <col min="3074" max="3074" width="14.85546875" style="585" customWidth="1"/>
    <col min="3075" max="3075" width="45.7109375" style="585" customWidth="1"/>
    <col min="3076" max="3076" width="10.140625" style="585" customWidth="1"/>
    <col min="3077" max="3077" width="14.7109375" style="585" customWidth="1"/>
    <col min="3078" max="3078" width="18.5703125" style="585" customWidth="1"/>
    <col min="3079" max="3079" width="11.85546875" style="585" customWidth="1"/>
    <col min="3080" max="3080" width="9.140625" style="585"/>
    <col min="3081" max="3081" width="47.5703125" style="585" bestFit="1" customWidth="1"/>
    <col min="3082" max="3082" width="8.5703125" style="585" bestFit="1" customWidth="1"/>
    <col min="3083" max="3083" width="14.85546875" style="585" bestFit="1" customWidth="1"/>
    <col min="3084" max="3085" width="9.140625" style="585"/>
    <col min="3086" max="3086" width="33" style="585" customWidth="1"/>
    <col min="3087" max="3087" width="18.42578125" style="585" customWidth="1"/>
    <col min="3088" max="3088" width="18.7109375" style="585" customWidth="1"/>
    <col min="3089" max="3090" width="9.140625" style="585"/>
    <col min="3091" max="3091" width="17.5703125" style="585" customWidth="1"/>
    <col min="3092" max="3092" width="14.7109375" style="585" customWidth="1"/>
    <col min="3093" max="3093" width="10.7109375" style="585" customWidth="1"/>
    <col min="3094" max="3094" width="12.7109375" style="585" customWidth="1"/>
    <col min="3095" max="3095" width="14.7109375" style="585" customWidth="1"/>
    <col min="3096" max="3096" width="10.7109375" style="585" customWidth="1"/>
    <col min="3097" max="3097" width="12.7109375" style="585" customWidth="1"/>
    <col min="3098" max="3099" width="9.140625" style="585"/>
    <col min="3100" max="3100" width="18.5703125" style="585" customWidth="1"/>
    <col min="3101" max="3109" width="9.140625" style="585"/>
    <col min="3110" max="3110" width="16.5703125" style="585" customWidth="1"/>
    <col min="3111" max="3116" width="9.140625" style="585"/>
    <col min="3117" max="3117" width="9.7109375" style="585" customWidth="1"/>
    <col min="3118" max="3119" width="9.140625" style="585"/>
    <col min="3120" max="3120" width="25.5703125" style="585" customWidth="1"/>
    <col min="3121" max="3123" width="15.7109375" style="585" customWidth="1"/>
    <col min="3124" max="3125" width="9.140625" style="585"/>
    <col min="3126" max="3126" width="29.42578125" style="585" customWidth="1"/>
    <col min="3127" max="3139" width="9.140625" style="585"/>
    <col min="3140" max="3140" width="15.7109375" style="585" customWidth="1"/>
    <col min="3141" max="3157" width="9.140625" style="585"/>
    <col min="3158" max="3158" width="19.140625" style="585" customWidth="1"/>
    <col min="3159" max="3175" width="9.140625" style="585"/>
    <col min="3176" max="3176" width="30.7109375" style="585" customWidth="1"/>
    <col min="3177" max="3181" width="10.7109375" style="585" customWidth="1"/>
    <col min="3182" max="3183" width="9.140625" style="585"/>
    <col min="3184" max="3184" width="15.7109375" style="585" customWidth="1"/>
    <col min="3185" max="3199" width="7.7109375" style="585" customWidth="1"/>
    <col min="3200" max="3328" width="9.140625" style="585"/>
    <col min="3329" max="3329" width="12.85546875" style="585" customWidth="1"/>
    <col min="3330" max="3330" width="14.85546875" style="585" customWidth="1"/>
    <col min="3331" max="3331" width="45.7109375" style="585" customWidth="1"/>
    <col min="3332" max="3332" width="10.140625" style="585" customWidth="1"/>
    <col min="3333" max="3333" width="14.7109375" style="585" customWidth="1"/>
    <col min="3334" max="3334" width="18.5703125" style="585" customWidth="1"/>
    <col min="3335" max="3335" width="11.85546875" style="585" customWidth="1"/>
    <col min="3336" max="3336" width="9.140625" style="585"/>
    <col min="3337" max="3337" width="47.5703125" style="585" bestFit="1" customWidth="1"/>
    <col min="3338" max="3338" width="8.5703125" style="585" bestFit="1" customWidth="1"/>
    <col min="3339" max="3339" width="14.85546875" style="585" bestFit="1" customWidth="1"/>
    <col min="3340" max="3341" width="9.140625" style="585"/>
    <col min="3342" max="3342" width="33" style="585" customWidth="1"/>
    <col min="3343" max="3343" width="18.42578125" style="585" customWidth="1"/>
    <col min="3344" max="3344" width="18.7109375" style="585" customWidth="1"/>
    <col min="3345" max="3346" width="9.140625" style="585"/>
    <col min="3347" max="3347" width="17.5703125" style="585" customWidth="1"/>
    <col min="3348" max="3348" width="14.7109375" style="585" customWidth="1"/>
    <col min="3349" max="3349" width="10.7109375" style="585" customWidth="1"/>
    <col min="3350" max="3350" width="12.7109375" style="585" customWidth="1"/>
    <col min="3351" max="3351" width="14.7109375" style="585" customWidth="1"/>
    <col min="3352" max="3352" width="10.7109375" style="585" customWidth="1"/>
    <col min="3353" max="3353" width="12.7109375" style="585" customWidth="1"/>
    <col min="3354" max="3355" width="9.140625" style="585"/>
    <col min="3356" max="3356" width="18.5703125" style="585" customWidth="1"/>
    <col min="3357" max="3365" width="9.140625" style="585"/>
    <col min="3366" max="3366" width="16.5703125" style="585" customWidth="1"/>
    <col min="3367" max="3372" width="9.140625" style="585"/>
    <col min="3373" max="3373" width="9.7109375" style="585" customWidth="1"/>
    <col min="3374" max="3375" width="9.140625" style="585"/>
    <col min="3376" max="3376" width="25.5703125" style="585" customWidth="1"/>
    <col min="3377" max="3379" width="15.7109375" style="585" customWidth="1"/>
    <col min="3380" max="3381" width="9.140625" style="585"/>
    <col min="3382" max="3382" width="29.42578125" style="585" customWidth="1"/>
    <col min="3383" max="3395" width="9.140625" style="585"/>
    <col min="3396" max="3396" width="15.7109375" style="585" customWidth="1"/>
    <col min="3397" max="3413" width="9.140625" style="585"/>
    <col min="3414" max="3414" width="19.140625" style="585" customWidth="1"/>
    <col min="3415" max="3431" width="9.140625" style="585"/>
    <col min="3432" max="3432" width="30.7109375" style="585" customWidth="1"/>
    <col min="3433" max="3437" width="10.7109375" style="585" customWidth="1"/>
    <col min="3438" max="3439" width="9.140625" style="585"/>
    <col min="3440" max="3440" width="15.7109375" style="585" customWidth="1"/>
    <col min="3441" max="3455" width="7.7109375" style="585" customWidth="1"/>
    <col min="3456" max="3584" width="9.140625" style="585"/>
    <col min="3585" max="3585" width="12.85546875" style="585" customWidth="1"/>
    <col min="3586" max="3586" width="14.85546875" style="585" customWidth="1"/>
    <col min="3587" max="3587" width="45.7109375" style="585" customWidth="1"/>
    <col min="3588" max="3588" width="10.140625" style="585" customWidth="1"/>
    <col min="3589" max="3589" width="14.7109375" style="585" customWidth="1"/>
    <col min="3590" max="3590" width="18.5703125" style="585" customWidth="1"/>
    <col min="3591" max="3591" width="11.85546875" style="585" customWidth="1"/>
    <col min="3592" max="3592" width="9.140625" style="585"/>
    <col min="3593" max="3593" width="47.5703125" style="585" bestFit="1" customWidth="1"/>
    <col min="3594" max="3594" width="8.5703125" style="585" bestFit="1" customWidth="1"/>
    <col min="3595" max="3595" width="14.85546875" style="585" bestFit="1" customWidth="1"/>
    <col min="3596" max="3597" width="9.140625" style="585"/>
    <col min="3598" max="3598" width="33" style="585" customWidth="1"/>
    <col min="3599" max="3599" width="18.42578125" style="585" customWidth="1"/>
    <col min="3600" max="3600" width="18.7109375" style="585" customWidth="1"/>
    <col min="3601" max="3602" width="9.140625" style="585"/>
    <col min="3603" max="3603" width="17.5703125" style="585" customWidth="1"/>
    <col min="3604" max="3604" width="14.7109375" style="585" customWidth="1"/>
    <col min="3605" max="3605" width="10.7109375" style="585" customWidth="1"/>
    <col min="3606" max="3606" width="12.7109375" style="585" customWidth="1"/>
    <col min="3607" max="3607" width="14.7109375" style="585" customWidth="1"/>
    <col min="3608" max="3608" width="10.7109375" style="585" customWidth="1"/>
    <col min="3609" max="3609" width="12.7109375" style="585" customWidth="1"/>
    <col min="3610" max="3611" width="9.140625" style="585"/>
    <col min="3612" max="3612" width="18.5703125" style="585" customWidth="1"/>
    <col min="3613" max="3621" width="9.140625" style="585"/>
    <col min="3622" max="3622" width="16.5703125" style="585" customWidth="1"/>
    <col min="3623" max="3628" width="9.140625" style="585"/>
    <col min="3629" max="3629" width="9.7109375" style="585" customWidth="1"/>
    <col min="3630" max="3631" width="9.140625" style="585"/>
    <col min="3632" max="3632" width="25.5703125" style="585" customWidth="1"/>
    <col min="3633" max="3635" width="15.7109375" style="585" customWidth="1"/>
    <col min="3636" max="3637" width="9.140625" style="585"/>
    <col min="3638" max="3638" width="29.42578125" style="585" customWidth="1"/>
    <col min="3639" max="3651" width="9.140625" style="585"/>
    <col min="3652" max="3652" width="15.7109375" style="585" customWidth="1"/>
    <col min="3653" max="3669" width="9.140625" style="585"/>
    <col min="3670" max="3670" width="19.140625" style="585" customWidth="1"/>
    <col min="3671" max="3687" width="9.140625" style="585"/>
    <col min="3688" max="3688" width="30.7109375" style="585" customWidth="1"/>
    <col min="3689" max="3693" width="10.7109375" style="585" customWidth="1"/>
    <col min="3694" max="3695" width="9.140625" style="585"/>
    <col min="3696" max="3696" width="15.7109375" style="585" customWidth="1"/>
    <col min="3697" max="3711" width="7.7109375" style="585" customWidth="1"/>
    <col min="3712" max="3840" width="9.140625" style="585"/>
    <col min="3841" max="3841" width="12.85546875" style="585" customWidth="1"/>
    <col min="3842" max="3842" width="14.85546875" style="585" customWidth="1"/>
    <col min="3843" max="3843" width="45.7109375" style="585" customWidth="1"/>
    <col min="3844" max="3844" width="10.140625" style="585" customWidth="1"/>
    <col min="3845" max="3845" width="14.7109375" style="585" customWidth="1"/>
    <col min="3846" max="3846" width="18.5703125" style="585" customWidth="1"/>
    <col min="3847" max="3847" width="11.85546875" style="585" customWidth="1"/>
    <col min="3848" max="3848" width="9.140625" style="585"/>
    <col min="3849" max="3849" width="47.5703125" style="585" bestFit="1" customWidth="1"/>
    <col min="3850" max="3850" width="8.5703125" style="585" bestFit="1" customWidth="1"/>
    <col min="3851" max="3851" width="14.85546875" style="585" bestFit="1" customWidth="1"/>
    <col min="3852" max="3853" width="9.140625" style="585"/>
    <col min="3854" max="3854" width="33" style="585" customWidth="1"/>
    <col min="3855" max="3855" width="18.42578125" style="585" customWidth="1"/>
    <col min="3856" max="3856" width="18.7109375" style="585" customWidth="1"/>
    <col min="3857" max="3858" width="9.140625" style="585"/>
    <col min="3859" max="3859" width="17.5703125" style="585" customWidth="1"/>
    <col min="3860" max="3860" width="14.7109375" style="585" customWidth="1"/>
    <col min="3861" max="3861" width="10.7109375" style="585" customWidth="1"/>
    <col min="3862" max="3862" width="12.7109375" style="585" customWidth="1"/>
    <col min="3863" max="3863" width="14.7109375" style="585" customWidth="1"/>
    <col min="3864" max="3864" width="10.7109375" style="585" customWidth="1"/>
    <col min="3865" max="3865" width="12.7109375" style="585" customWidth="1"/>
    <col min="3866" max="3867" width="9.140625" style="585"/>
    <col min="3868" max="3868" width="18.5703125" style="585" customWidth="1"/>
    <col min="3869" max="3877" width="9.140625" style="585"/>
    <col min="3878" max="3878" width="16.5703125" style="585" customWidth="1"/>
    <col min="3879" max="3884" width="9.140625" style="585"/>
    <col min="3885" max="3885" width="9.7109375" style="585" customWidth="1"/>
    <col min="3886" max="3887" width="9.140625" style="585"/>
    <col min="3888" max="3888" width="25.5703125" style="585" customWidth="1"/>
    <col min="3889" max="3891" width="15.7109375" style="585" customWidth="1"/>
    <col min="3892" max="3893" width="9.140625" style="585"/>
    <col min="3894" max="3894" width="29.42578125" style="585" customWidth="1"/>
    <col min="3895" max="3907" width="9.140625" style="585"/>
    <col min="3908" max="3908" width="15.7109375" style="585" customWidth="1"/>
    <col min="3909" max="3925" width="9.140625" style="585"/>
    <col min="3926" max="3926" width="19.140625" style="585" customWidth="1"/>
    <col min="3927" max="3943" width="9.140625" style="585"/>
    <col min="3944" max="3944" width="30.7109375" style="585" customWidth="1"/>
    <col min="3945" max="3949" width="10.7109375" style="585" customWidth="1"/>
    <col min="3950" max="3951" width="9.140625" style="585"/>
    <col min="3952" max="3952" width="15.7109375" style="585" customWidth="1"/>
    <col min="3953" max="3967" width="7.7109375" style="585" customWidth="1"/>
    <col min="3968" max="4096" width="9.140625" style="585"/>
    <col min="4097" max="4097" width="12.85546875" style="585" customWidth="1"/>
    <col min="4098" max="4098" width="14.85546875" style="585" customWidth="1"/>
    <col min="4099" max="4099" width="45.7109375" style="585" customWidth="1"/>
    <col min="4100" max="4100" width="10.140625" style="585" customWidth="1"/>
    <col min="4101" max="4101" width="14.7109375" style="585" customWidth="1"/>
    <col min="4102" max="4102" width="18.5703125" style="585" customWidth="1"/>
    <col min="4103" max="4103" width="11.85546875" style="585" customWidth="1"/>
    <col min="4104" max="4104" width="9.140625" style="585"/>
    <col min="4105" max="4105" width="47.5703125" style="585" bestFit="1" customWidth="1"/>
    <col min="4106" max="4106" width="8.5703125" style="585" bestFit="1" customWidth="1"/>
    <col min="4107" max="4107" width="14.85546875" style="585" bestFit="1" customWidth="1"/>
    <col min="4108" max="4109" width="9.140625" style="585"/>
    <col min="4110" max="4110" width="33" style="585" customWidth="1"/>
    <col min="4111" max="4111" width="18.42578125" style="585" customWidth="1"/>
    <col min="4112" max="4112" width="18.7109375" style="585" customWidth="1"/>
    <col min="4113" max="4114" width="9.140625" style="585"/>
    <col min="4115" max="4115" width="17.5703125" style="585" customWidth="1"/>
    <col min="4116" max="4116" width="14.7109375" style="585" customWidth="1"/>
    <col min="4117" max="4117" width="10.7109375" style="585" customWidth="1"/>
    <col min="4118" max="4118" width="12.7109375" style="585" customWidth="1"/>
    <col min="4119" max="4119" width="14.7109375" style="585" customWidth="1"/>
    <col min="4120" max="4120" width="10.7109375" style="585" customWidth="1"/>
    <col min="4121" max="4121" width="12.7109375" style="585" customWidth="1"/>
    <col min="4122" max="4123" width="9.140625" style="585"/>
    <col min="4124" max="4124" width="18.5703125" style="585" customWidth="1"/>
    <col min="4125" max="4133" width="9.140625" style="585"/>
    <col min="4134" max="4134" width="16.5703125" style="585" customWidth="1"/>
    <col min="4135" max="4140" width="9.140625" style="585"/>
    <col min="4141" max="4141" width="9.7109375" style="585" customWidth="1"/>
    <col min="4142" max="4143" width="9.140625" style="585"/>
    <col min="4144" max="4144" width="25.5703125" style="585" customWidth="1"/>
    <col min="4145" max="4147" width="15.7109375" style="585" customWidth="1"/>
    <col min="4148" max="4149" width="9.140625" style="585"/>
    <col min="4150" max="4150" width="29.42578125" style="585" customWidth="1"/>
    <col min="4151" max="4163" width="9.140625" style="585"/>
    <col min="4164" max="4164" width="15.7109375" style="585" customWidth="1"/>
    <col min="4165" max="4181" width="9.140625" style="585"/>
    <col min="4182" max="4182" width="19.140625" style="585" customWidth="1"/>
    <col min="4183" max="4199" width="9.140625" style="585"/>
    <col min="4200" max="4200" width="30.7109375" style="585" customWidth="1"/>
    <col min="4201" max="4205" width="10.7109375" style="585" customWidth="1"/>
    <col min="4206" max="4207" width="9.140625" style="585"/>
    <col min="4208" max="4208" width="15.7109375" style="585" customWidth="1"/>
    <col min="4209" max="4223" width="7.7109375" style="585" customWidth="1"/>
    <col min="4224" max="4352" width="9.140625" style="585"/>
    <col min="4353" max="4353" width="12.85546875" style="585" customWidth="1"/>
    <col min="4354" max="4354" width="14.85546875" style="585" customWidth="1"/>
    <col min="4355" max="4355" width="45.7109375" style="585" customWidth="1"/>
    <col min="4356" max="4356" width="10.140625" style="585" customWidth="1"/>
    <col min="4357" max="4357" width="14.7109375" style="585" customWidth="1"/>
    <col min="4358" max="4358" width="18.5703125" style="585" customWidth="1"/>
    <col min="4359" max="4359" width="11.85546875" style="585" customWidth="1"/>
    <col min="4360" max="4360" width="9.140625" style="585"/>
    <col min="4361" max="4361" width="47.5703125" style="585" bestFit="1" customWidth="1"/>
    <col min="4362" max="4362" width="8.5703125" style="585" bestFit="1" customWidth="1"/>
    <col min="4363" max="4363" width="14.85546875" style="585" bestFit="1" customWidth="1"/>
    <col min="4364" max="4365" width="9.140625" style="585"/>
    <col min="4366" max="4366" width="33" style="585" customWidth="1"/>
    <col min="4367" max="4367" width="18.42578125" style="585" customWidth="1"/>
    <col min="4368" max="4368" width="18.7109375" style="585" customWidth="1"/>
    <col min="4369" max="4370" width="9.140625" style="585"/>
    <col min="4371" max="4371" width="17.5703125" style="585" customWidth="1"/>
    <col min="4372" max="4372" width="14.7109375" style="585" customWidth="1"/>
    <col min="4373" max="4373" width="10.7109375" style="585" customWidth="1"/>
    <col min="4374" max="4374" width="12.7109375" style="585" customWidth="1"/>
    <col min="4375" max="4375" width="14.7109375" style="585" customWidth="1"/>
    <col min="4376" max="4376" width="10.7109375" style="585" customWidth="1"/>
    <col min="4377" max="4377" width="12.7109375" style="585" customWidth="1"/>
    <col min="4378" max="4379" width="9.140625" style="585"/>
    <col min="4380" max="4380" width="18.5703125" style="585" customWidth="1"/>
    <col min="4381" max="4389" width="9.140625" style="585"/>
    <col min="4390" max="4390" width="16.5703125" style="585" customWidth="1"/>
    <col min="4391" max="4396" width="9.140625" style="585"/>
    <col min="4397" max="4397" width="9.7109375" style="585" customWidth="1"/>
    <col min="4398" max="4399" width="9.140625" style="585"/>
    <col min="4400" max="4400" width="25.5703125" style="585" customWidth="1"/>
    <col min="4401" max="4403" width="15.7109375" style="585" customWidth="1"/>
    <col min="4404" max="4405" width="9.140625" style="585"/>
    <col min="4406" max="4406" width="29.42578125" style="585" customWidth="1"/>
    <col min="4407" max="4419" width="9.140625" style="585"/>
    <col min="4420" max="4420" width="15.7109375" style="585" customWidth="1"/>
    <col min="4421" max="4437" width="9.140625" style="585"/>
    <col min="4438" max="4438" width="19.140625" style="585" customWidth="1"/>
    <col min="4439" max="4455" width="9.140625" style="585"/>
    <col min="4456" max="4456" width="30.7109375" style="585" customWidth="1"/>
    <col min="4457" max="4461" width="10.7109375" style="585" customWidth="1"/>
    <col min="4462" max="4463" width="9.140625" style="585"/>
    <col min="4464" max="4464" width="15.7109375" style="585" customWidth="1"/>
    <col min="4465" max="4479" width="7.7109375" style="585" customWidth="1"/>
    <col min="4480" max="4608" width="9.140625" style="585"/>
    <col min="4609" max="4609" width="12.85546875" style="585" customWidth="1"/>
    <col min="4610" max="4610" width="14.85546875" style="585" customWidth="1"/>
    <col min="4611" max="4611" width="45.7109375" style="585" customWidth="1"/>
    <col min="4612" max="4612" width="10.140625" style="585" customWidth="1"/>
    <col min="4613" max="4613" width="14.7109375" style="585" customWidth="1"/>
    <col min="4614" max="4614" width="18.5703125" style="585" customWidth="1"/>
    <col min="4615" max="4615" width="11.85546875" style="585" customWidth="1"/>
    <col min="4616" max="4616" width="9.140625" style="585"/>
    <col min="4617" max="4617" width="47.5703125" style="585" bestFit="1" customWidth="1"/>
    <col min="4618" max="4618" width="8.5703125" style="585" bestFit="1" customWidth="1"/>
    <col min="4619" max="4619" width="14.85546875" style="585" bestFit="1" customWidth="1"/>
    <col min="4620" max="4621" width="9.140625" style="585"/>
    <col min="4622" max="4622" width="33" style="585" customWidth="1"/>
    <col min="4623" max="4623" width="18.42578125" style="585" customWidth="1"/>
    <col min="4624" max="4624" width="18.7109375" style="585" customWidth="1"/>
    <col min="4625" max="4626" width="9.140625" style="585"/>
    <col min="4627" max="4627" width="17.5703125" style="585" customWidth="1"/>
    <col min="4628" max="4628" width="14.7109375" style="585" customWidth="1"/>
    <col min="4629" max="4629" width="10.7109375" style="585" customWidth="1"/>
    <col min="4630" max="4630" width="12.7109375" style="585" customWidth="1"/>
    <col min="4631" max="4631" width="14.7109375" style="585" customWidth="1"/>
    <col min="4632" max="4632" width="10.7109375" style="585" customWidth="1"/>
    <col min="4633" max="4633" width="12.7109375" style="585" customWidth="1"/>
    <col min="4634" max="4635" width="9.140625" style="585"/>
    <col min="4636" max="4636" width="18.5703125" style="585" customWidth="1"/>
    <col min="4637" max="4645" width="9.140625" style="585"/>
    <col min="4646" max="4646" width="16.5703125" style="585" customWidth="1"/>
    <col min="4647" max="4652" width="9.140625" style="585"/>
    <col min="4653" max="4653" width="9.7109375" style="585" customWidth="1"/>
    <col min="4654" max="4655" width="9.140625" style="585"/>
    <col min="4656" max="4656" width="25.5703125" style="585" customWidth="1"/>
    <col min="4657" max="4659" width="15.7109375" style="585" customWidth="1"/>
    <col min="4660" max="4661" width="9.140625" style="585"/>
    <col min="4662" max="4662" width="29.42578125" style="585" customWidth="1"/>
    <col min="4663" max="4675" width="9.140625" style="585"/>
    <col min="4676" max="4676" width="15.7109375" style="585" customWidth="1"/>
    <col min="4677" max="4693" width="9.140625" style="585"/>
    <col min="4694" max="4694" width="19.140625" style="585" customWidth="1"/>
    <col min="4695" max="4711" width="9.140625" style="585"/>
    <col min="4712" max="4712" width="30.7109375" style="585" customWidth="1"/>
    <col min="4713" max="4717" width="10.7109375" style="585" customWidth="1"/>
    <col min="4718" max="4719" width="9.140625" style="585"/>
    <col min="4720" max="4720" width="15.7109375" style="585" customWidth="1"/>
    <col min="4721" max="4735" width="7.7109375" style="585" customWidth="1"/>
    <col min="4736" max="4864" width="9.140625" style="585"/>
    <col min="4865" max="4865" width="12.85546875" style="585" customWidth="1"/>
    <col min="4866" max="4866" width="14.85546875" style="585" customWidth="1"/>
    <col min="4867" max="4867" width="45.7109375" style="585" customWidth="1"/>
    <col min="4868" max="4868" width="10.140625" style="585" customWidth="1"/>
    <col min="4869" max="4869" width="14.7109375" style="585" customWidth="1"/>
    <col min="4870" max="4870" width="18.5703125" style="585" customWidth="1"/>
    <col min="4871" max="4871" width="11.85546875" style="585" customWidth="1"/>
    <col min="4872" max="4872" width="9.140625" style="585"/>
    <col min="4873" max="4873" width="47.5703125" style="585" bestFit="1" customWidth="1"/>
    <col min="4874" max="4874" width="8.5703125" style="585" bestFit="1" customWidth="1"/>
    <col min="4875" max="4875" width="14.85546875" style="585" bestFit="1" customWidth="1"/>
    <col min="4876" max="4877" width="9.140625" style="585"/>
    <col min="4878" max="4878" width="33" style="585" customWidth="1"/>
    <col min="4879" max="4879" width="18.42578125" style="585" customWidth="1"/>
    <col min="4880" max="4880" width="18.7109375" style="585" customWidth="1"/>
    <col min="4881" max="4882" width="9.140625" style="585"/>
    <col min="4883" max="4883" width="17.5703125" style="585" customWidth="1"/>
    <col min="4884" max="4884" width="14.7109375" style="585" customWidth="1"/>
    <col min="4885" max="4885" width="10.7109375" style="585" customWidth="1"/>
    <col min="4886" max="4886" width="12.7109375" style="585" customWidth="1"/>
    <col min="4887" max="4887" width="14.7109375" style="585" customWidth="1"/>
    <col min="4888" max="4888" width="10.7109375" style="585" customWidth="1"/>
    <col min="4889" max="4889" width="12.7109375" style="585" customWidth="1"/>
    <col min="4890" max="4891" width="9.140625" style="585"/>
    <col min="4892" max="4892" width="18.5703125" style="585" customWidth="1"/>
    <col min="4893" max="4901" width="9.140625" style="585"/>
    <col min="4902" max="4902" width="16.5703125" style="585" customWidth="1"/>
    <col min="4903" max="4908" width="9.140625" style="585"/>
    <col min="4909" max="4909" width="9.7109375" style="585" customWidth="1"/>
    <col min="4910" max="4911" width="9.140625" style="585"/>
    <col min="4912" max="4912" width="25.5703125" style="585" customWidth="1"/>
    <col min="4913" max="4915" width="15.7109375" style="585" customWidth="1"/>
    <col min="4916" max="4917" width="9.140625" style="585"/>
    <col min="4918" max="4918" width="29.42578125" style="585" customWidth="1"/>
    <col min="4919" max="4931" width="9.140625" style="585"/>
    <col min="4932" max="4932" width="15.7109375" style="585" customWidth="1"/>
    <col min="4933" max="4949" width="9.140625" style="585"/>
    <col min="4950" max="4950" width="19.140625" style="585" customWidth="1"/>
    <col min="4951" max="4967" width="9.140625" style="585"/>
    <col min="4968" max="4968" width="30.7109375" style="585" customWidth="1"/>
    <col min="4969" max="4973" width="10.7109375" style="585" customWidth="1"/>
    <col min="4974" max="4975" width="9.140625" style="585"/>
    <col min="4976" max="4976" width="15.7109375" style="585" customWidth="1"/>
    <col min="4977" max="4991" width="7.7109375" style="585" customWidth="1"/>
    <col min="4992" max="5120" width="9.140625" style="585"/>
    <col min="5121" max="5121" width="12.85546875" style="585" customWidth="1"/>
    <col min="5122" max="5122" width="14.85546875" style="585" customWidth="1"/>
    <col min="5123" max="5123" width="45.7109375" style="585" customWidth="1"/>
    <col min="5124" max="5124" width="10.140625" style="585" customWidth="1"/>
    <col min="5125" max="5125" width="14.7109375" style="585" customWidth="1"/>
    <col min="5126" max="5126" width="18.5703125" style="585" customWidth="1"/>
    <col min="5127" max="5127" width="11.85546875" style="585" customWidth="1"/>
    <col min="5128" max="5128" width="9.140625" style="585"/>
    <col min="5129" max="5129" width="47.5703125" style="585" bestFit="1" customWidth="1"/>
    <col min="5130" max="5130" width="8.5703125" style="585" bestFit="1" customWidth="1"/>
    <col min="5131" max="5131" width="14.85546875" style="585" bestFit="1" customWidth="1"/>
    <col min="5132" max="5133" width="9.140625" style="585"/>
    <col min="5134" max="5134" width="33" style="585" customWidth="1"/>
    <col min="5135" max="5135" width="18.42578125" style="585" customWidth="1"/>
    <col min="5136" max="5136" width="18.7109375" style="585" customWidth="1"/>
    <col min="5137" max="5138" width="9.140625" style="585"/>
    <col min="5139" max="5139" width="17.5703125" style="585" customWidth="1"/>
    <col min="5140" max="5140" width="14.7109375" style="585" customWidth="1"/>
    <col min="5141" max="5141" width="10.7109375" style="585" customWidth="1"/>
    <col min="5142" max="5142" width="12.7109375" style="585" customWidth="1"/>
    <col min="5143" max="5143" width="14.7109375" style="585" customWidth="1"/>
    <col min="5144" max="5144" width="10.7109375" style="585" customWidth="1"/>
    <col min="5145" max="5145" width="12.7109375" style="585" customWidth="1"/>
    <col min="5146" max="5147" width="9.140625" style="585"/>
    <col min="5148" max="5148" width="18.5703125" style="585" customWidth="1"/>
    <col min="5149" max="5157" width="9.140625" style="585"/>
    <col min="5158" max="5158" width="16.5703125" style="585" customWidth="1"/>
    <col min="5159" max="5164" width="9.140625" style="585"/>
    <col min="5165" max="5165" width="9.7109375" style="585" customWidth="1"/>
    <col min="5166" max="5167" width="9.140625" style="585"/>
    <col min="5168" max="5168" width="25.5703125" style="585" customWidth="1"/>
    <col min="5169" max="5171" width="15.7109375" style="585" customWidth="1"/>
    <col min="5172" max="5173" width="9.140625" style="585"/>
    <col min="5174" max="5174" width="29.42578125" style="585" customWidth="1"/>
    <col min="5175" max="5187" width="9.140625" style="585"/>
    <col min="5188" max="5188" width="15.7109375" style="585" customWidth="1"/>
    <col min="5189" max="5205" width="9.140625" style="585"/>
    <col min="5206" max="5206" width="19.140625" style="585" customWidth="1"/>
    <col min="5207" max="5223" width="9.140625" style="585"/>
    <col min="5224" max="5224" width="30.7109375" style="585" customWidth="1"/>
    <col min="5225" max="5229" width="10.7109375" style="585" customWidth="1"/>
    <col min="5230" max="5231" width="9.140625" style="585"/>
    <col min="5232" max="5232" width="15.7109375" style="585" customWidth="1"/>
    <col min="5233" max="5247" width="7.7109375" style="585" customWidth="1"/>
    <col min="5248" max="5376" width="9.140625" style="585"/>
    <col min="5377" max="5377" width="12.85546875" style="585" customWidth="1"/>
    <col min="5378" max="5378" width="14.85546875" style="585" customWidth="1"/>
    <col min="5379" max="5379" width="45.7109375" style="585" customWidth="1"/>
    <col min="5380" max="5380" width="10.140625" style="585" customWidth="1"/>
    <col min="5381" max="5381" width="14.7109375" style="585" customWidth="1"/>
    <col min="5382" max="5382" width="18.5703125" style="585" customWidth="1"/>
    <col min="5383" max="5383" width="11.85546875" style="585" customWidth="1"/>
    <col min="5384" max="5384" width="9.140625" style="585"/>
    <col min="5385" max="5385" width="47.5703125" style="585" bestFit="1" customWidth="1"/>
    <col min="5386" max="5386" width="8.5703125" style="585" bestFit="1" customWidth="1"/>
    <col min="5387" max="5387" width="14.85546875" style="585" bestFit="1" customWidth="1"/>
    <col min="5388" max="5389" width="9.140625" style="585"/>
    <col min="5390" max="5390" width="33" style="585" customWidth="1"/>
    <col min="5391" max="5391" width="18.42578125" style="585" customWidth="1"/>
    <col min="5392" max="5392" width="18.7109375" style="585" customWidth="1"/>
    <col min="5393" max="5394" width="9.140625" style="585"/>
    <col min="5395" max="5395" width="17.5703125" style="585" customWidth="1"/>
    <col min="5396" max="5396" width="14.7109375" style="585" customWidth="1"/>
    <col min="5397" max="5397" width="10.7109375" style="585" customWidth="1"/>
    <col min="5398" max="5398" width="12.7109375" style="585" customWidth="1"/>
    <col min="5399" max="5399" width="14.7109375" style="585" customWidth="1"/>
    <col min="5400" max="5400" width="10.7109375" style="585" customWidth="1"/>
    <col min="5401" max="5401" width="12.7109375" style="585" customWidth="1"/>
    <col min="5402" max="5403" width="9.140625" style="585"/>
    <col min="5404" max="5404" width="18.5703125" style="585" customWidth="1"/>
    <col min="5405" max="5413" width="9.140625" style="585"/>
    <col min="5414" max="5414" width="16.5703125" style="585" customWidth="1"/>
    <col min="5415" max="5420" width="9.140625" style="585"/>
    <col min="5421" max="5421" width="9.7109375" style="585" customWidth="1"/>
    <col min="5422" max="5423" width="9.140625" style="585"/>
    <col min="5424" max="5424" width="25.5703125" style="585" customWidth="1"/>
    <col min="5425" max="5427" width="15.7109375" style="585" customWidth="1"/>
    <col min="5428" max="5429" width="9.140625" style="585"/>
    <col min="5430" max="5430" width="29.42578125" style="585" customWidth="1"/>
    <col min="5431" max="5443" width="9.140625" style="585"/>
    <col min="5444" max="5444" width="15.7109375" style="585" customWidth="1"/>
    <col min="5445" max="5461" width="9.140625" style="585"/>
    <col min="5462" max="5462" width="19.140625" style="585" customWidth="1"/>
    <col min="5463" max="5479" width="9.140625" style="585"/>
    <col min="5480" max="5480" width="30.7109375" style="585" customWidth="1"/>
    <col min="5481" max="5485" width="10.7109375" style="585" customWidth="1"/>
    <col min="5486" max="5487" width="9.140625" style="585"/>
    <col min="5488" max="5488" width="15.7109375" style="585" customWidth="1"/>
    <col min="5489" max="5503" width="7.7109375" style="585" customWidth="1"/>
    <col min="5504" max="5632" width="9.140625" style="585"/>
    <col min="5633" max="5633" width="12.85546875" style="585" customWidth="1"/>
    <col min="5634" max="5634" width="14.85546875" style="585" customWidth="1"/>
    <col min="5635" max="5635" width="45.7109375" style="585" customWidth="1"/>
    <col min="5636" max="5636" width="10.140625" style="585" customWidth="1"/>
    <col min="5637" max="5637" width="14.7109375" style="585" customWidth="1"/>
    <col min="5638" max="5638" width="18.5703125" style="585" customWidth="1"/>
    <col min="5639" max="5639" width="11.85546875" style="585" customWidth="1"/>
    <col min="5640" max="5640" width="9.140625" style="585"/>
    <col min="5641" max="5641" width="47.5703125" style="585" bestFit="1" customWidth="1"/>
    <col min="5642" max="5642" width="8.5703125" style="585" bestFit="1" customWidth="1"/>
    <col min="5643" max="5643" width="14.85546875" style="585" bestFit="1" customWidth="1"/>
    <col min="5644" max="5645" width="9.140625" style="585"/>
    <col min="5646" max="5646" width="33" style="585" customWidth="1"/>
    <col min="5647" max="5647" width="18.42578125" style="585" customWidth="1"/>
    <col min="5648" max="5648" width="18.7109375" style="585" customWidth="1"/>
    <col min="5649" max="5650" width="9.140625" style="585"/>
    <col min="5651" max="5651" width="17.5703125" style="585" customWidth="1"/>
    <col min="5652" max="5652" width="14.7109375" style="585" customWidth="1"/>
    <col min="5653" max="5653" width="10.7109375" style="585" customWidth="1"/>
    <col min="5654" max="5654" width="12.7109375" style="585" customWidth="1"/>
    <col min="5655" max="5655" width="14.7109375" style="585" customWidth="1"/>
    <col min="5656" max="5656" width="10.7109375" style="585" customWidth="1"/>
    <col min="5657" max="5657" width="12.7109375" style="585" customWidth="1"/>
    <col min="5658" max="5659" width="9.140625" style="585"/>
    <col min="5660" max="5660" width="18.5703125" style="585" customWidth="1"/>
    <col min="5661" max="5669" width="9.140625" style="585"/>
    <col min="5670" max="5670" width="16.5703125" style="585" customWidth="1"/>
    <col min="5671" max="5676" width="9.140625" style="585"/>
    <col min="5677" max="5677" width="9.7109375" style="585" customWidth="1"/>
    <col min="5678" max="5679" width="9.140625" style="585"/>
    <col min="5680" max="5680" width="25.5703125" style="585" customWidth="1"/>
    <col min="5681" max="5683" width="15.7109375" style="585" customWidth="1"/>
    <col min="5684" max="5685" width="9.140625" style="585"/>
    <col min="5686" max="5686" width="29.42578125" style="585" customWidth="1"/>
    <col min="5687" max="5699" width="9.140625" style="585"/>
    <col min="5700" max="5700" width="15.7109375" style="585" customWidth="1"/>
    <col min="5701" max="5717" width="9.140625" style="585"/>
    <col min="5718" max="5718" width="19.140625" style="585" customWidth="1"/>
    <col min="5719" max="5735" width="9.140625" style="585"/>
    <col min="5736" max="5736" width="30.7109375" style="585" customWidth="1"/>
    <col min="5737" max="5741" width="10.7109375" style="585" customWidth="1"/>
    <col min="5742" max="5743" width="9.140625" style="585"/>
    <col min="5744" max="5744" width="15.7109375" style="585" customWidth="1"/>
    <col min="5745" max="5759" width="7.7109375" style="585" customWidth="1"/>
    <col min="5760" max="5888" width="9.140625" style="585"/>
    <col min="5889" max="5889" width="12.85546875" style="585" customWidth="1"/>
    <col min="5890" max="5890" width="14.85546875" style="585" customWidth="1"/>
    <col min="5891" max="5891" width="45.7109375" style="585" customWidth="1"/>
    <col min="5892" max="5892" width="10.140625" style="585" customWidth="1"/>
    <col min="5893" max="5893" width="14.7109375" style="585" customWidth="1"/>
    <col min="5894" max="5894" width="18.5703125" style="585" customWidth="1"/>
    <col min="5895" max="5895" width="11.85546875" style="585" customWidth="1"/>
    <col min="5896" max="5896" width="9.140625" style="585"/>
    <col min="5897" max="5897" width="47.5703125" style="585" bestFit="1" customWidth="1"/>
    <col min="5898" max="5898" width="8.5703125" style="585" bestFit="1" customWidth="1"/>
    <col min="5899" max="5899" width="14.85546875" style="585" bestFit="1" customWidth="1"/>
    <col min="5900" max="5901" width="9.140625" style="585"/>
    <col min="5902" max="5902" width="33" style="585" customWidth="1"/>
    <col min="5903" max="5903" width="18.42578125" style="585" customWidth="1"/>
    <col min="5904" max="5904" width="18.7109375" style="585" customWidth="1"/>
    <col min="5905" max="5906" width="9.140625" style="585"/>
    <col min="5907" max="5907" width="17.5703125" style="585" customWidth="1"/>
    <col min="5908" max="5908" width="14.7109375" style="585" customWidth="1"/>
    <col min="5909" max="5909" width="10.7109375" style="585" customWidth="1"/>
    <col min="5910" max="5910" width="12.7109375" style="585" customWidth="1"/>
    <col min="5911" max="5911" width="14.7109375" style="585" customWidth="1"/>
    <col min="5912" max="5912" width="10.7109375" style="585" customWidth="1"/>
    <col min="5913" max="5913" width="12.7109375" style="585" customWidth="1"/>
    <col min="5914" max="5915" width="9.140625" style="585"/>
    <col min="5916" max="5916" width="18.5703125" style="585" customWidth="1"/>
    <col min="5917" max="5925" width="9.140625" style="585"/>
    <col min="5926" max="5926" width="16.5703125" style="585" customWidth="1"/>
    <col min="5927" max="5932" width="9.140625" style="585"/>
    <col min="5933" max="5933" width="9.7109375" style="585" customWidth="1"/>
    <col min="5934" max="5935" width="9.140625" style="585"/>
    <col min="5936" max="5936" width="25.5703125" style="585" customWidth="1"/>
    <col min="5937" max="5939" width="15.7109375" style="585" customWidth="1"/>
    <col min="5940" max="5941" width="9.140625" style="585"/>
    <col min="5942" max="5942" width="29.42578125" style="585" customWidth="1"/>
    <col min="5943" max="5955" width="9.140625" style="585"/>
    <col min="5956" max="5956" width="15.7109375" style="585" customWidth="1"/>
    <col min="5957" max="5973" width="9.140625" style="585"/>
    <col min="5974" max="5974" width="19.140625" style="585" customWidth="1"/>
    <col min="5975" max="5991" width="9.140625" style="585"/>
    <col min="5992" max="5992" width="30.7109375" style="585" customWidth="1"/>
    <col min="5993" max="5997" width="10.7109375" style="585" customWidth="1"/>
    <col min="5998" max="5999" width="9.140625" style="585"/>
    <col min="6000" max="6000" width="15.7109375" style="585" customWidth="1"/>
    <col min="6001" max="6015" width="7.7109375" style="585" customWidth="1"/>
    <col min="6016" max="6144" width="9.140625" style="585"/>
    <col min="6145" max="6145" width="12.85546875" style="585" customWidth="1"/>
    <col min="6146" max="6146" width="14.85546875" style="585" customWidth="1"/>
    <col min="6147" max="6147" width="45.7109375" style="585" customWidth="1"/>
    <col min="6148" max="6148" width="10.140625" style="585" customWidth="1"/>
    <col min="6149" max="6149" width="14.7109375" style="585" customWidth="1"/>
    <col min="6150" max="6150" width="18.5703125" style="585" customWidth="1"/>
    <col min="6151" max="6151" width="11.85546875" style="585" customWidth="1"/>
    <col min="6152" max="6152" width="9.140625" style="585"/>
    <col min="6153" max="6153" width="47.5703125" style="585" bestFit="1" customWidth="1"/>
    <col min="6154" max="6154" width="8.5703125" style="585" bestFit="1" customWidth="1"/>
    <col min="6155" max="6155" width="14.85546875" style="585" bestFit="1" customWidth="1"/>
    <col min="6156" max="6157" width="9.140625" style="585"/>
    <col min="6158" max="6158" width="33" style="585" customWidth="1"/>
    <col min="6159" max="6159" width="18.42578125" style="585" customWidth="1"/>
    <col min="6160" max="6160" width="18.7109375" style="585" customWidth="1"/>
    <col min="6161" max="6162" width="9.140625" style="585"/>
    <col min="6163" max="6163" width="17.5703125" style="585" customWidth="1"/>
    <col min="6164" max="6164" width="14.7109375" style="585" customWidth="1"/>
    <col min="6165" max="6165" width="10.7109375" style="585" customWidth="1"/>
    <col min="6166" max="6166" width="12.7109375" style="585" customWidth="1"/>
    <col min="6167" max="6167" width="14.7109375" style="585" customWidth="1"/>
    <col min="6168" max="6168" width="10.7109375" style="585" customWidth="1"/>
    <col min="6169" max="6169" width="12.7109375" style="585" customWidth="1"/>
    <col min="6170" max="6171" width="9.140625" style="585"/>
    <col min="6172" max="6172" width="18.5703125" style="585" customWidth="1"/>
    <col min="6173" max="6181" width="9.140625" style="585"/>
    <col min="6182" max="6182" width="16.5703125" style="585" customWidth="1"/>
    <col min="6183" max="6188" width="9.140625" style="585"/>
    <col min="6189" max="6189" width="9.7109375" style="585" customWidth="1"/>
    <col min="6190" max="6191" width="9.140625" style="585"/>
    <col min="6192" max="6192" width="25.5703125" style="585" customWidth="1"/>
    <col min="6193" max="6195" width="15.7109375" style="585" customWidth="1"/>
    <col min="6196" max="6197" width="9.140625" style="585"/>
    <col min="6198" max="6198" width="29.42578125" style="585" customWidth="1"/>
    <col min="6199" max="6211" width="9.140625" style="585"/>
    <col min="6212" max="6212" width="15.7109375" style="585" customWidth="1"/>
    <col min="6213" max="6229" width="9.140625" style="585"/>
    <col min="6230" max="6230" width="19.140625" style="585" customWidth="1"/>
    <col min="6231" max="6247" width="9.140625" style="585"/>
    <col min="6248" max="6248" width="30.7109375" style="585" customWidth="1"/>
    <col min="6249" max="6253" width="10.7109375" style="585" customWidth="1"/>
    <col min="6254" max="6255" width="9.140625" style="585"/>
    <col min="6256" max="6256" width="15.7109375" style="585" customWidth="1"/>
    <col min="6257" max="6271" width="7.7109375" style="585" customWidth="1"/>
    <col min="6272" max="6400" width="9.140625" style="585"/>
    <col min="6401" max="6401" width="12.85546875" style="585" customWidth="1"/>
    <col min="6402" max="6402" width="14.85546875" style="585" customWidth="1"/>
    <col min="6403" max="6403" width="45.7109375" style="585" customWidth="1"/>
    <col min="6404" max="6404" width="10.140625" style="585" customWidth="1"/>
    <col min="6405" max="6405" width="14.7109375" style="585" customWidth="1"/>
    <col min="6406" max="6406" width="18.5703125" style="585" customWidth="1"/>
    <col min="6407" max="6407" width="11.85546875" style="585" customWidth="1"/>
    <col min="6408" max="6408" width="9.140625" style="585"/>
    <col min="6409" max="6409" width="47.5703125" style="585" bestFit="1" customWidth="1"/>
    <col min="6410" max="6410" width="8.5703125" style="585" bestFit="1" customWidth="1"/>
    <col min="6411" max="6411" width="14.85546875" style="585" bestFit="1" customWidth="1"/>
    <col min="6412" max="6413" width="9.140625" style="585"/>
    <col min="6414" max="6414" width="33" style="585" customWidth="1"/>
    <col min="6415" max="6415" width="18.42578125" style="585" customWidth="1"/>
    <col min="6416" max="6416" width="18.7109375" style="585" customWidth="1"/>
    <col min="6417" max="6418" width="9.140625" style="585"/>
    <col min="6419" max="6419" width="17.5703125" style="585" customWidth="1"/>
    <col min="6420" max="6420" width="14.7109375" style="585" customWidth="1"/>
    <col min="6421" max="6421" width="10.7109375" style="585" customWidth="1"/>
    <col min="6422" max="6422" width="12.7109375" style="585" customWidth="1"/>
    <col min="6423" max="6423" width="14.7109375" style="585" customWidth="1"/>
    <col min="6424" max="6424" width="10.7109375" style="585" customWidth="1"/>
    <col min="6425" max="6425" width="12.7109375" style="585" customWidth="1"/>
    <col min="6426" max="6427" width="9.140625" style="585"/>
    <col min="6428" max="6428" width="18.5703125" style="585" customWidth="1"/>
    <col min="6429" max="6437" width="9.140625" style="585"/>
    <col min="6438" max="6438" width="16.5703125" style="585" customWidth="1"/>
    <col min="6439" max="6444" width="9.140625" style="585"/>
    <col min="6445" max="6445" width="9.7109375" style="585" customWidth="1"/>
    <col min="6446" max="6447" width="9.140625" style="585"/>
    <col min="6448" max="6448" width="25.5703125" style="585" customWidth="1"/>
    <col min="6449" max="6451" width="15.7109375" style="585" customWidth="1"/>
    <col min="6452" max="6453" width="9.140625" style="585"/>
    <col min="6454" max="6454" width="29.42578125" style="585" customWidth="1"/>
    <col min="6455" max="6467" width="9.140625" style="585"/>
    <col min="6468" max="6468" width="15.7109375" style="585" customWidth="1"/>
    <col min="6469" max="6485" width="9.140625" style="585"/>
    <col min="6486" max="6486" width="19.140625" style="585" customWidth="1"/>
    <col min="6487" max="6503" width="9.140625" style="585"/>
    <col min="6504" max="6504" width="30.7109375" style="585" customWidth="1"/>
    <col min="6505" max="6509" width="10.7109375" style="585" customWidth="1"/>
    <col min="6510" max="6511" width="9.140625" style="585"/>
    <col min="6512" max="6512" width="15.7109375" style="585" customWidth="1"/>
    <col min="6513" max="6527" width="7.7109375" style="585" customWidth="1"/>
    <col min="6528" max="6656" width="9.140625" style="585"/>
    <col min="6657" max="6657" width="12.85546875" style="585" customWidth="1"/>
    <col min="6658" max="6658" width="14.85546875" style="585" customWidth="1"/>
    <col min="6659" max="6659" width="45.7109375" style="585" customWidth="1"/>
    <col min="6660" max="6660" width="10.140625" style="585" customWidth="1"/>
    <col min="6661" max="6661" width="14.7109375" style="585" customWidth="1"/>
    <col min="6662" max="6662" width="18.5703125" style="585" customWidth="1"/>
    <col min="6663" max="6663" width="11.85546875" style="585" customWidth="1"/>
    <col min="6664" max="6664" width="9.140625" style="585"/>
    <col min="6665" max="6665" width="47.5703125" style="585" bestFit="1" customWidth="1"/>
    <col min="6666" max="6666" width="8.5703125" style="585" bestFit="1" customWidth="1"/>
    <col min="6667" max="6667" width="14.85546875" style="585" bestFit="1" customWidth="1"/>
    <col min="6668" max="6669" width="9.140625" style="585"/>
    <col min="6670" max="6670" width="33" style="585" customWidth="1"/>
    <col min="6671" max="6671" width="18.42578125" style="585" customWidth="1"/>
    <col min="6672" max="6672" width="18.7109375" style="585" customWidth="1"/>
    <col min="6673" max="6674" width="9.140625" style="585"/>
    <col min="6675" max="6675" width="17.5703125" style="585" customWidth="1"/>
    <col min="6676" max="6676" width="14.7109375" style="585" customWidth="1"/>
    <col min="6677" max="6677" width="10.7109375" style="585" customWidth="1"/>
    <col min="6678" max="6678" width="12.7109375" style="585" customWidth="1"/>
    <col min="6679" max="6679" width="14.7109375" style="585" customWidth="1"/>
    <col min="6680" max="6680" width="10.7109375" style="585" customWidth="1"/>
    <col min="6681" max="6681" width="12.7109375" style="585" customWidth="1"/>
    <col min="6682" max="6683" width="9.140625" style="585"/>
    <col min="6684" max="6684" width="18.5703125" style="585" customWidth="1"/>
    <col min="6685" max="6693" width="9.140625" style="585"/>
    <col min="6694" max="6694" width="16.5703125" style="585" customWidth="1"/>
    <col min="6695" max="6700" width="9.140625" style="585"/>
    <col min="6701" max="6701" width="9.7109375" style="585" customWidth="1"/>
    <col min="6702" max="6703" width="9.140625" style="585"/>
    <col min="6704" max="6704" width="25.5703125" style="585" customWidth="1"/>
    <col min="6705" max="6707" width="15.7109375" style="585" customWidth="1"/>
    <col min="6708" max="6709" width="9.140625" style="585"/>
    <col min="6710" max="6710" width="29.42578125" style="585" customWidth="1"/>
    <col min="6711" max="6723" width="9.140625" style="585"/>
    <col min="6724" max="6724" width="15.7109375" style="585" customWidth="1"/>
    <col min="6725" max="6741" width="9.140625" style="585"/>
    <col min="6742" max="6742" width="19.140625" style="585" customWidth="1"/>
    <col min="6743" max="6759" width="9.140625" style="585"/>
    <col min="6760" max="6760" width="30.7109375" style="585" customWidth="1"/>
    <col min="6761" max="6765" width="10.7109375" style="585" customWidth="1"/>
    <col min="6766" max="6767" width="9.140625" style="585"/>
    <col min="6768" max="6768" width="15.7109375" style="585" customWidth="1"/>
    <col min="6769" max="6783" width="7.7109375" style="585" customWidth="1"/>
    <col min="6784" max="6912" width="9.140625" style="585"/>
    <col min="6913" max="6913" width="12.85546875" style="585" customWidth="1"/>
    <col min="6914" max="6914" width="14.85546875" style="585" customWidth="1"/>
    <col min="6915" max="6915" width="45.7109375" style="585" customWidth="1"/>
    <col min="6916" max="6916" width="10.140625" style="585" customWidth="1"/>
    <col min="6917" max="6917" width="14.7109375" style="585" customWidth="1"/>
    <col min="6918" max="6918" width="18.5703125" style="585" customWidth="1"/>
    <col min="6919" max="6919" width="11.85546875" style="585" customWidth="1"/>
    <col min="6920" max="6920" width="9.140625" style="585"/>
    <col min="6921" max="6921" width="47.5703125" style="585" bestFit="1" customWidth="1"/>
    <col min="6922" max="6922" width="8.5703125" style="585" bestFit="1" customWidth="1"/>
    <col min="6923" max="6923" width="14.85546875" style="585" bestFit="1" customWidth="1"/>
    <col min="6924" max="6925" width="9.140625" style="585"/>
    <col min="6926" max="6926" width="33" style="585" customWidth="1"/>
    <col min="6927" max="6927" width="18.42578125" style="585" customWidth="1"/>
    <col min="6928" max="6928" width="18.7109375" style="585" customWidth="1"/>
    <col min="6929" max="6930" width="9.140625" style="585"/>
    <col min="6931" max="6931" width="17.5703125" style="585" customWidth="1"/>
    <col min="6932" max="6932" width="14.7109375" style="585" customWidth="1"/>
    <col min="6933" max="6933" width="10.7109375" style="585" customWidth="1"/>
    <col min="6934" max="6934" width="12.7109375" style="585" customWidth="1"/>
    <col min="6935" max="6935" width="14.7109375" style="585" customWidth="1"/>
    <col min="6936" max="6936" width="10.7109375" style="585" customWidth="1"/>
    <col min="6937" max="6937" width="12.7109375" style="585" customWidth="1"/>
    <col min="6938" max="6939" width="9.140625" style="585"/>
    <col min="6940" max="6940" width="18.5703125" style="585" customWidth="1"/>
    <col min="6941" max="6949" width="9.140625" style="585"/>
    <col min="6950" max="6950" width="16.5703125" style="585" customWidth="1"/>
    <col min="6951" max="6956" width="9.140625" style="585"/>
    <col min="6957" max="6957" width="9.7109375" style="585" customWidth="1"/>
    <col min="6958" max="6959" width="9.140625" style="585"/>
    <col min="6960" max="6960" width="25.5703125" style="585" customWidth="1"/>
    <col min="6961" max="6963" width="15.7109375" style="585" customWidth="1"/>
    <col min="6964" max="6965" width="9.140625" style="585"/>
    <col min="6966" max="6966" width="29.42578125" style="585" customWidth="1"/>
    <col min="6967" max="6979" width="9.140625" style="585"/>
    <col min="6980" max="6980" width="15.7109375" style="585" customWidth="1"/>
    <col min="6981" max="6997" width="9.140625" style="585"/>
    <col min="6998" max="6998" width="19.140625" style="585" customWidth="1"/>
    <col min="6999" max="7015" width="9.140625" style="585"/>
    <col min="7016" max="7016" width="30.7109375" style="585" customWidth="1"/>
    <col min="7017" max="7021" width="10.7109375" style="585" customWidth="1"/>
    <col min="7022" max="7023" width="9.140625" style="585"/>
    <col min="7024" max="7024" width="15.7109375" style="585" customWidth="1"/>
    <col min="7025" max="7039" width="7.7109375" style="585" customWidth="1"/>
    <col min="7040" max="7168" width="9.140625" style="585"/>
    <col min="7169" max="7169" width="12.85546875" style="585" customWidth="1"/>
    <col min="7170" max="7170" width="14.85546875" style="585" customWidth="1"/>
    <col min="7171" max="7171" width="45.7109375" style="585" customWidth="1"/>
    <col min="7172" max="7172" width="10.140625" style="585" customWidth="1"/>
    <col min="7173" max="7173" width="14.7109375" style="585" customWidth="1"/>
    <col min="7174" max="7174" width="18.5703125" style="585" customWidth="1"/>
    <col min="7175" max="7175" width="11.85546875" style="585" customWidth="1"/>
    <col min="7176" max="7176" width="9.140625" style="585"/>
    <col min="7177" max="7177" width="47.5703125" style="585" bestFit="1" customWidth="1"/>
    <col min="7178" max="7178" width="8.5703125" style="585" bestFit="1" customWidth="1"/>
    <col min="7179" max="7179" width="14.85546875" style="585" bestFit="1" customWidth="1"/>
    <col min="7180" max="7181" width="9.140625" style="585"/>
    <col min="7182" max="7182" width="33" style="585" customWidth="1"/>
    <col min="7183" max="7183" width="18.42578125" style="585" customWidth="1"/>
    <col min="7184" max="7184" width="18.7109375" style="585" customWidth="1"/>
    <col min="7185" max="7186" width="9.140625" style="585"/>
    <col min="7187" max="7187" width="17.5703125" style="585" customWidth="1"/>
    <col min="7188" max="7188" width="14.7109375" style="585" customWidth="1"/>
    <col min="7189" max="7189" width="10.7109375" style="585" customWidth="1"/>
    <col min="7190" max="7190" width="12.7109375" style="585" customWidth="1"/>
    <col min="7191" max="7191" width="14.7109375" style="585" customWidth="1"/>
    <col min="7192" max="7192" width="10.7109375" style="585" customWidth="1"/>
    <col min="7193" max="7193" width="12.7109375" style="585" customWidth="1"/>
    <col min="7194" max="7195" width="9.140625" style="585"/>
    <col min="7196" max="7196" width="18.5703125" style="585" customWidth="1"/>
    <col min="7197" max="7205" width="9.140625" style="585"/>
    <col min="7206" max="7206" width="16.5703125" style="585" customWidth="1"/>
    <col min="7207" max="7212" width="9.140625" style="585"/>
    <col min="7213" max="7213" width="9.7109375" style="585" customWidth="1"/>
    <col min="7214" max="7215" width="9.140625" style="585"/>
    <col min="7216" max="7216" width="25.5703125" style="585" customWidth="1"/>
    <col min="7217" max="7219" width="15.7109375" style="585" customWidth="1"/>
    <col min="7220" max="7221" width="9.140625" style="585"/>
    <col min="7222" max="7222" width="29.42578125" style="585" customWidth="1"/>
    <col min="7223" max="7235" width="9.140625" style="585"/>
    <col min="7236" max="7236" width="15.7109375" style="585" customWidth="1"/>
    <col min="7237" max="7253" width="9.140625" style="585"/>
    <col min="7254" max="7254" width="19.140625" style="585" customWidth="1"/>
    <col min="7255" max="7271" width="9.140625" style="585"/>
    <col min="7272" max="7272" width="30.7109375" style="585" customWidth="1"/>
    <col min="7273" max="7277" width="10.7109375" style="585" customWidth="1"/>
    <col min="7278" max="7279" width="9.140625" style="585"/>
    <col min="7280" max="7280" width="15.7109375" style="585" customWidth="1"/>
    <col min="7281" max="7295" width="7.7109375" style="585" customWidth="1"/>
    <col min="7296" max="7424" width="9.140625" style="585"/>
    <col min="7425" max="7425" width="12.85546875" style="585" customWidth="1"/>
    <col min="7426" max="7426" width="14.85546875" style="585" customWidth="1"/>
    <col min="7427" max="7427" width="45.7109375" style="585" customWidth="1"/>
    <col min="7428" max="7428" width="10.140625" style="585" customWidth="1"/>
    <col min="7429" max="7429" width="14.7109375" style="585" customWidth="1"/>
    <col min="7430" max="7430" width="18.5703125" style="585" customWidth="1"/>
    <col min="7431" max="7431" width="11.85546875" style="585" customWidth="1"/>
    <col min="7432" max="7432" width="9.140625" style="585"/>
    <col min="7433" max="7433" width="47.5703125" style="585" bestFit="1" customWidth="1"/>
    <col min="7434" max="7434" width="8.5703125" style="585" bestFit="1" customWidth="1"/>
    <col min="7435" max="7435" width="14.85546875" style="585" bestFit="1" customWidth="1"/>
    <col min="7436" max="7437" width="9.140625" style="585"/>
    <col min="7438" max="7438" width="33" style="585" customWidth="1"/>
    <col min="7439" max="7439" width="18.42578125" style="585" customWidth="1"/>
    <col min="7440" max="7440" width="18.7109375" style="585" customWidth="1"/>
    <col min="7441" max="7442" width="9.140625" style="585"/>
    <col min="7443" max="7443" width="17.5703125" style="585" customWidth="1"/>
    <col min="7444" max="7444" width="14.7109375" style="585" customWidth="1"/>
    <col min="7445" max="7445" width="10.7109375" style="585" customWidth="1"/>
    <col min="7446" max="7446" width="12.7109375" style="585" customWidth="1"/>
    <col min="7447" max="7447" width="14.7109375" style="585" customWidth="1"/>
    <col min="7448" max="7448" width="10.7109375" style="585" customWidth="1"/>
    <col min="7449" max="7449" width="12.7109375" style="585" customWidth="1"/>
    <col min="7450" max="7451" width="9.140625" style="585"/>
    <col min="7452" max="7452" width="18.5703125" style="585" customWidth="1"/>
    <col min="7453" max="7461" width="9.140625" style="585"/>
    <col min="7462" max="7462" width="16.5703125" style="585" customWidth="1"/>
    <col min="7463" max="7468" width="9.140625" style="585"/>
    <col min="7469" max="7469" width="9.7109375" style="585" customWidth="1"/>
    <col min="7470" max="7471" width="9.140625" style="585"/>
    <col min="7472" max="7472" width="25.5703125" style="585" customWidth="1"/>
    <col min="7473" max="7475" width="15.7109375" style="585" customWidth="1"/>
    <col min="7476" max="7477" width="9.140625" style="585"/>
    <col min="7478" max="7478" width="29.42578125" style="585" customWidth="1"/>
    <col min="7479" max="7491" width="9.140625" style="585"/>
    <col min="7492" max="7492" width="15.7109375" style="585" customWidth="1"/>
    <col min="7493" max="7509" width="9.140625" style="585"/>
    <col min="7510" max="7510" width="19.140625" style="585" customWidth="1"/>
    <col min="7511" max="7527" width="9.140625" style="585"/>
    <col min="7528" max="7528" width="30.7109375" style="585" customWidth="1"/>
    <col min="7529" max="7533" width="10.7109375" style="585" customWidth="1"/>
    <col min="7534" max="7535" width="9.140625" style="585"/>
    <col min="7536" max="7536" width="15.7109375" style="585" customWidth="1"/>
    <col min="7537" max="7551" width="7.7109375" style="585" customWidth="1"/>
    <col min="7552" max="7680" width="9.140625" style="585"/>
    <col min="7681" max="7681" width="12.85546875" style="585" customWidth="1"/>
    <col min="7682" max="7682" width="14.85546875" style="585" customWidth="1"/>
    <col min="7683" max="7683" width="45.7109375" style="585" customWidth="1"/>
    <col min="7684" max="7684" width="10.140625" style="585" customWidth="1"/>
    <col min="7685" max="7685" width="14.7109375" style="585" customWidth="1"/>
    <col min="7686" max="7686" width="18.5703125" style="585" customWidth="1"/>
    <col min="7687" max="7687" width="11.85546875" style="585" customWidth="1"/>
    <col min="7688" max="7688" width="9.140625" style="585"/>
    <col min="7689" max="7689" width="47.5703125" style="585" bestFit="1" customWidth="1"/>
    <col min="7690" max="7690" width="8.5703125" style="585" bestFit="1" customWidth="1"/>
    <col min="7691" max="7691" width="14.85546875" style="585" bestFit="1" customWidth="1"/>
    <col min="7692" max="7693" width="9.140625" style="585"/>
    <col min="7694" max="7694" width="33" style="585" customWidth="1"/>
    <col min="7695" max="7695" width="18.42578125" style="585" customWidth="1"/>
    <col min="7696" max="7696" width="18.7109375" style="585" customWidth="1"/>
    <col min="7697" max="7698" width="9.140625" style="585"/>
    <col min="7699" max="7699" width="17.5703125" style="585" customWidth="1"/>
    <col min="7700" max="7700" width="14.7109375" style="585" customWidth="1"/>
    <col min="7701" max="7701" width="10.7109375" style="585" customWidth="1"/>
    <col min="7702" max="7702" width="12.7109375" style="585" customWidth="1"/>
    <col min="7703" max="7703" width="14.7109375" style="585" customWidth="1"/>
    <col min="7704" max="7704" width="10.7109375" style="585" customWidth="1"/>
    <col min="7705" max="7705" width="12.7109375" style="585" customWidth="1"/>
    <col min="7706" max="7707" width="9.140625" style="585"/>
    <col min="7708" max="7708" width="18.5703125" style="585" customWidth="1"/>
    <col min="7709" max="7717" width="9.140625" style="585"/>
    <col min="7718" max="7718" width="16.5703125" style="585" customWidth="1"/>
    <col min="7719" max="7724" width="9.140625" style="585"/>
    <col min="7725" max="7725" width="9.7109375" style="585" customWidth="1"/>
    <col min="7726" max="7727" width="9.140625" style="585"/>
    <col min="7728" max="7728" width="25.5703125" style="585" customWidth="1"/>
    <col min="7729" max="7731" width="15.7109375" style="585" customWidth="1"/>
    <col min="7732" max="7733" width="9.140625" style="585"/>
    <col min="7734" max="7734" width="29.42578125" style="585" customWidth="1"/>
    <col min="7735" max="7747" width="9.140625" style="585"/>
    <col min="7748" max="7748" width="15.7109375" style="585" customWidth="1"/>
    <col min="7749" max="7765" width="9.140625" style="585"/>
    <col min="7766" max="7766" width="19.140625" style="585" customWidth="1"/>
    <col min="7767" max="7783" width="9.140625" style="585"/>
    <col min="7784" max="7784" width="30.7109375" style="585" customWidth="1"/>
    <col min="7785" max="7789" width="10.7109375" style="585" customWidth="1"/>
    <col min="7790" max="7791" width="9.140625" style="585"/>
    <col min="7792" max="7792" width="15.7109375" style="585" customWidth="1"/>
    <col min="7793" max="7807" width="7.7109375" style="585" customWidth="1"/>
    <col min="7808" max="7936" width="9.140625" style="585"/>
    <col min="7937" max="7937" width="12.85546875" style="585" customWidth="1"/>
    <col min="7938" max="7938" width="14.85546875" style="585" customWidth="1"/>
    <col min="7939" max="7939" width="45.7109375" style="585" customWidth="1"/>
    <col min="7940" max="7940" width="10.140625" style="585" customWidth="1"/>
    <col min="7941" max="7941" width="14.7109375" style="585" customWidth="1"/>
    <col min="7942" max="7942" width="18.5703125" style="585" customWidth="1"/>
    <col min="7943" max="7943" width="11.85546875" style="585" customWidth="1"/>
    <col min="7944" max="7944" width="9.140625" style="585"/>
    <col min="7945" max="7945" width="47.5703125" style="585" bestFit="1" customWidth="1"/>
    <col min="7946" max="7946" width="8.5703125" style="585" bestFit="1" customWidth="1"/>
    <col min="7947" max="7947" width="14.85546875" style="585" bestFit="1" customWidth="1"/>
    <col min="7948" max="7949" width="9.140625" style="585"/>
    <col min="7950" max="7950" width="33" style="585" customWidth="1"/>
    <col min="7951" max="7951" width="18.42578125" style="585" customWidth="1"/>
    <col min="7952" max="7952" width="18.7109375" style="585" customWidth="1"/>
    <col min="7953" max="7954" width="9.140625" style="585"/>
    <col min="7955" max="7955" width="17.5703125" style="585" customWidth="1"/>
    <col min="7956" max="7956" width="14.7109375" style="585" customWidth="1"/>
    <col min="7957" max="7957" width="10.7109375" style="585" customWidth="1"/>
    <col min="7958" max="7958" width="12.7109375" style="585" customWidth="1"/>
    <col min="7959" max="7959" width="14.7109375" style="585" customWidth="1"/>
    <col min="7960" max="7960" width="10.7109375" style="585" customWidth="1"/>
    <col min="7961" max="7961" width="12.7109375" style="585" customWidth="1"/>
    <col min="7962" max="7963" width="9.140625" style="585"/>
    <col min="7964" max="7964" width="18.5703125" style="585" customWidth="1"/>
    <col min="7965" max="7973" width="9.140625" style="585"/>
    <col min="7974" max="7974" width="16.5703125" style="585" customWidth="1"/>
    <col min="7975" max="7980" width="9.140625" style="585"/>
    <col min="7981" max="7981" width="9.7109375" style="585" customWidth="1"/>
    <col min="7982" max="7983" width="9.140625" style="585"/>
    <col min="7984" max="7984" width="25.5703125" style="585" customWidth="1"/>
    <col min="7985" max="7987" width="15.7109375" style="585" customWidth="1"/>
    <col min="7988" max="7989" width="9.140625" style="585"/>
    <col min="7990" max="7990" width="29.42578125" style="585" customWidth="1"/>
    <col min="7991" max="8003" width="9.140625" style="585"/>
    <col min="8004" max="8004" width="15.7109375" style="585" customWidth="1"/>
    <col min="8005" max="8021" width="9.140625" style="585"/>
    <col min="8022" max="8022" width="19.140625" style="585" customWidth="1"/>
    <col min="8023" max="8039" width="9.140625" style="585"/>
    <col min="8040" max="8040" width="30.7109375" style="585" customWidth="1"/>
    <col min="8041" max="8045" width="10.7109375" style="585" customWidth="1"/>
    <col min="8046" max="8047" width="9.140625" style="585"/>
    <col min="8048" max="8048" width="15.7109375" style="585" customWidth="1"/>
    <col min="8049" max="8063" width="7.7109375" style="585" customWidth="1"/>
    <col min="8064" max="8192" width="9.140625" style="585"/>
    <col min="8193" max="8193" width="12.85546875" style="585" customWidth="1"/>
    <col min="8194" max="8194" width="14.85546875" style="585" customWidth="1"/>
    <col min="8195" max="8195" width="45.7109375" style="585" customWidth="1"/>
    <col min="8196" max="8196" width="10.140625" style="585" customWidth="1"/>
    <col min="8197" max="8197" width="14.7109375" style="585" customWidth="1"/>
    <col min="8198" max="8198" width="18.5703125" style="585" customWidth="1"/>
    <col min="8199" max="8199" width="11.85546875" style="585" customWidth="1"/>
    <col min="8200" max="8200" width="9.140625" style="585"/>
    <col min="8201" max="8201" width="47.5703125" style="585" bestFit="1" customWidth="1"/>
    <col min="8202" max="8202" width="8.5703125" style="585" bestFit="1" customWidth="1"/>
    <col min="8203" max="8203" width="14.85546875" style="585" bestFit="1" customWidth="1"/>
    <col min="8204" max="8205" width="9.140625" style="585"/>
    <col min="8206" max="8206" width="33" style="585" customWidth="1"/>
    <col min="8207" max="8207" width="18.42578125" style="585" customWidth="1"/>
    <col min="8208" max="8208" width="18.7109375" style="585" customWidth="1"/>
    <col min="8209" max="8210" width="9.140625" style="585"/>
    <col min="8211" max="8211" width="17.5703125" style="585" customWidth="1"/>
    <col min="8212" max="8212" width="14.7109375" style="585" customWidth="1"/>
    <col min="8213" max="8213" width="10.7109375" style="585" customWidth="1"/>
    <col min="8214" max="8214" width="12.7109375" style="585" customWidth="1"/>
    <col min="8215" max="8215" width="14.7109375" style="585" customWidth="1"/>
    <col min="8216" max="8216" width="10.7109375" style="585" customWidth="1"/>
    <col min="8217" max="8217" width="12.7109375" style="585" customWidth="1"/>
    <col min="8218" max="8219" width="9.140625" style="585"/>
    <col min="8220" max="8220" width="18.5703125" style="585" customWidth="1"/>
    <col min="8221" max="8229" width="9.140625" style="585"/>
    <col min="8230" max="8230" width="16.5703125" style="585" customWidth="1"/>
    <col min="8231" max="8236" width="9.140625" style="585"/>
    <col min="8237" max="8237" width="9.7109375" style="585" customWidth="1"/>
    <col min="8238" max="8239" width="9.140625" style="585"/>
    <col min="8240" max="8240" width="25.5703125" style="585" customWidth="1"/>
    <col min="8241" max="8243" width="15.7109375" style="585" customWidth="1"/>
    <col min="8244" max="8245" width="9.140625" style="585"/>
    <col min="8246" max="8246" width="29.42578125" style="585" customWidth="1"/>
    <col min="8247" max="8259" width="9.140625" style="585"/>
    <col min="8260" max="8260" width="15.7109375" style="585" customWidth="1"/>
    <col min="8261" max="8277" width="9.140625" style="585"/>
    <col min="8278" max="8278" width="19.140625" style="585" customWidth="1"/>
    <col min="8279" max="8295" width="9.140625" style="585"/>
    <col min="8296" max="8296" width="30.7109375" style="585" customWidth="1"/>
    <col min="8297" max="8301" width="10.7109375" style="585" customWidth="1"/>
    <col min="8302" max="8303" width="9.140625" style="585"/>
    <col min="8304" max="8304" width="15.7109375" style="585" customWidth="1"/>
    <col min="8305" max="8319" width="7.7109375" style="585" customWidth="1"/>
    <col min="8320" max="8448" width="9.140625" style="585"/>
    <col min="8449" max="8449" width="12.85546875" style="585" customWidth="1"/>
    <col min="8450" max="8450" width="14.85546875" style="585" customWidth="1"/>
    <col min="8451" max="8451" width="45.7109375" style="585" customWidth="1"/>
    <col min="8452" max="8452" width="10.140625" style="585" customWidth="1"/>
    <col min="8453" max="8453" width="14.7109375" style="585" customWidth="1"/>
    <col min="8454" max="8454" width="18.5703125" style="585" customWidth="1"/>
    <col min="8455" max="8455" width="11.85546875" style="585" customWidth="1"/>
    <col min="8456" max="8456" width="9.140625" style="585"/>
    <col min="8457" max="8457" width="47.5703125" style="585" bestFit="1" customWidth="1"/>
    <col min="8458" max="8458" width="8.5703125" style="585" bestFit="1" customWidth="1"/>
    <col min="8459" max="8459" width="14.85546875" style="585" bestFit="1" customWidth="1"/>
    <col min="8460" max="8461" width="9.140625" style="585"/>
    <col min="8462" max="8462" width="33" style="585" customWidth="1"/>
    <col min="8463" max="8463" width="18.42578125" style="585" customWidth="1"/>
    <col min="8464" max="8464" width="18.7109375" style="585" customWidth="1"/>
    <col min="8465" max="8466" width="9.140625" style="585"/>
    <col min="8467" max="8467" width="17.5703125" style="585" customWidth="1"/>
    <col min="8468" max="8468" width="14.7109375" style="585" customWidth="1"/>
    <col min="8469" max="8469" width="10.7109375" style="585" customWidth="1"/>
    <col min="8470" max="8470" width="12.7109375" style="585" customWidth="1"/>
    <col min="8471" max="8471" width="14.7109375" style="585" customWidth="1"/>
    <col min="8472" max="8472" width="10.7109375" style="585" customWidth="1"/>
    <col min="8473" max="8473" width="12.7109375" style="585" customWidth="1"/>
    <col min="8474" max="8475" width="9.140625" style="585"/>
    <col min="8476" max="8476" width="18.5703125" style="585" customWidth="1"/>
    <col min="8477" max="8485" width="9.140625" style="585"/>
    <col min="8486" max="8486" width="16.5703125" style="585" customWidth="1"/>
    <col min="8487" max="8492" width="9.140625" style="585"/>
    <col min="8493" max="8493" width="9.7109375" style="585" customWidth="1"/>
    <col min="8494" max="8495" width="9.140625" style="585"/>
    <col min="8496" max="8496" width="25.5703125" style="585" customWidth="1"/>
    <col min="8497" max="8499" width="15.7109375" style="585" customWidth="1"/>
    <col min="8500" max="8501" width="9.140625" style="585"/>
    <col min="8502" max="8502" width="29.42578125" style="585" customWidth="1"/>
    <col min="8503" max="8515" width="9.140625" style="585"/>
    <col min="8516" max="8516" width="15.7109375" style="585" customWidth="1"/>
    <col min="8517" max="8533" width="9.140625" style="585"/>
    <col min="8534" max="8534" width="19.140625" style="585" customWidth="1"/>
    <col min="8535" max="8551" width="9.140625" style="585"/>
    <col min="8552" max="8552" width="30.7109375" style="585" customWidth="1"/>
    <col min="8553" max="8557" width="10.7109375" style="585" customWidth="1"/>
    <col min="8558" max="8559" width="9.140625" style="585"/>
    <col min="8560" max="8560" width="15.7109375" style="585" customWidth="1"/>
    <col min="8561" max="8575" width="7.7109375" style="585" customWidth="1"/>
    <col min="8576" max="8704" width="9.140625" style="585"/>
    <col min="8705" max="8705" width="12.85546875" style="585" customWidth="1"/>
    <col min="8706" max="8706" width="14.85546875" style="585" customWidth="1"/>
    <col min="8707" max="8707" width="45.7109375" style="585" customWidth="1"/>
    <col min="8708" max="8708" width="10.140625" style="585" customWidth="1"/>
    <col min="8709" max="8709" width="14.7109375" style="585" customWidth="1"/>
    <col min="8710" max="8710" width="18.5703125" style="585" customWidth="1"/>
    <col min="8711" max="8711" width="11.85546875" style="585" customWidth="1"/>
    <col min="8712" max="8712" width="9.140625" style="585"/>
    <col min="8713" max="8713" width="47.5703125" style="585" bestFit="1" customWidth="1"/>
    <col min="8714" max="8714" width="8.5703125" style="585" bestFit="1" customWidth="1"/>
    <col min="8715" max="8715" width="14.85546875" style="585" bestFit="1" customWidth="1"/>
    <col min="8716" max="8717" width="9.140625" style="585"/>
    <col min="8718" max="8718" width="33" style="585" customWidth="1"/>
    <col min="8719" max="8719" width="18.42578125" style="585" customWidth="1"/>
    <col min="8720" max="8720" width="18.7109375" style="585" customWidth="1"/>
    <col min="8721" max="8722" width="9.140625" style="585"/>
    <col min="8723" max="8723" width="17.5703125" style="585" customWidth="1"/>
    <col min="8724" max="8724" width="14.7109375" style="585" customWidth="1"/>
    <col min="8725" max="8725" width="10.7109375" style="585" customWidth="1"/>
    <col min="8726" max="8726" width="12.7109375" style="585" customWidth="1"/>
    <col min="8727" max="8727" width="14.7109375" style="585" customWidth="1"/>
    <col min="8728" max="8728" width="10.7109375" style="585" customWidth="1"/>
    <col min="8729" max="8729" width="12.7109375" style="585" customWidth="1"/>
    <col min="8730" max="8731" width="9.140625" style="585"/>
    <col min="8732" max="8732" width="18.5703125" style="585" customWidth="1"/>
    <col min="8733" max="8741" width="9.140625" style="585"/>
    <col min="8742" max="8742" width="16.5703125" style="585" customWidth="1"/>
    <col min="8743" max="8748" width="9.140625" style="585"/>
    <col min="8749" max="8749" width="9.7109375" style="585" customWidth="1"/>
    <col min="8750" max="8751" width="9.140625" style="585"/>
    <col min="8752" max="8752" width="25.5703125" style="585" customWidth="1"/>
    <col min="8753" max="8755" width="15.7109375" style="585" customWidth="1"/>
    <col min="8756" max="8757" width="9.140625" style="585"/>
    <col min="8758" max="8758" width="29.42578125" style="585" customWidth="1"/>
    <col min="8759" max="8771" width="9.140625" style="585"/>
    <col min="8772" max="8772" width="15.7109375" style="585" customWidth="1"/>
    <col min="8773" max="8789" width="9.140625" style="585"/>
    <col min="8790" max="8790" width="19.140625" style="585" customWidth="1"/>
    <col min="8791" max="8807" width="9.140625" style="585"/>
    <col min="8808" max="8808" width="30.7109375" style="585" customWidth="1"/>
    <col min="8809" max="8813" width="10.7109375" style="585" customWidth="1"/>
    <col min="8814" max="8815" width="9.140625" style="585"/>
    <col min="8816" max="8816" width="15.7109375" style="585" customWidth="1"/>
    <col min="8817" max="8831" width="7.7109375" style="585" customWidth="1"/>
    <col min="8832" max="8960" width="9.140625" style="585"/>
    <col min="8961" max="8961" width="12.85546875" style="585" customWidth="1"/>
    <col min="8962" max="8962" width="14.85546875" style="585" customWidth="1"/>
    <col min="8963" max="8963" width="45.7109375" style="585" customWidth="1"/>
    <col min="8964" max="8964" width="10.140625" style="585" customWidth="1"/>
    <col min="8965" max="8965" width="14.7109375" style="585" customWidth="1"/>
    <col min="8966" max="8966" width="18.5703125" style="585" customWidth="1"/>
    <col min="8967" max="8967" width="11.85546875" style="585" customWidth="1"/>
    <col min="8968" max="8968" width="9.140625" style="585"/>
    <col min="8969" max="8969" width="47.5703125" style="585" bestFit="1" customWidth="1"/>
    <col min="8970" max="8970" width="8.5703125" style="585" bestFit="1" customWidth="1"/>
    <col min="8971" max="8971" width="14.85546875" style="585" bestFit="1" customWidth="1"/>
    <col min="8972" max="8973" width="9.140625" style="585"/>
    <col min="8974" max="8974" width="33" style="585" customWidth="1"/>
    <col min="8975" max="8975" width="18.42578125" style="585" customWidth="1"/>
    <col min="8976" max="8976" width="18.7109375" style="585" customWidth="1"/>
    <col min="8977" max="8978" width="9.140625" style="585"/>
    <col min="8979" max="8979" width="17.5703125" style="585" customWidth="1"/>
    <col min="8980" max="8980" width="14.7109375" style="585" customWidth="1"/>
    <col min="8981" max="8981" width="10.7109375" style="585" customWidth="1"/>
    <col min="8982" max="8982" width="12.7109375" style="585" customWidth="1"/>
    <col min="8983" max="8983" width="14.7109375" style="585" customWidth="1"/>
    <col min="8984" max="8984" width="10.7109375" style="585" customWidth="1"/>
    <col min="8985" max="8985" width="12.7109375" style="585" customWidth="1"/>
    <col min="8986" max="8987" width="9.140625" style="585"/>
    <col min="8988" max="8988" width="18.5703125" style="585" customWidth="1"/>
    <col min="8989" max="8997" width="9.140625" style="585"/>
    <col min="8998" max="8998" width="16.5703125" style="585" customWidth="1"/>
    <col min="8999" max="9004" width="9.140625" style="585"/>
    <col min="9005" max="9005" width="9.7109375" style="585" customWidth="1"/>
    <col min="9006" max="9007" width="9.140625" style="585"/>
    <col min="9008" max="9008" width="25.5703125" style="585" customWidth="1"/>
    <col min="9009" max="9011" width="15.7109375" style="585" customWidth="1"/>
    <col min="9012" max="9013" width="9.140625" style="585"/>
    <col min="9014" max="9014" width="29.42578125" style="585" customWidth="1"/>
    <col min="9015" max="9027" width="9.140625" style="585"/>
    <col min="9028" max="9028" width="15.7109375" style="585" customWidth="1"/>
    <col min="9029" max="9045" width="9.140625" style="585"/>
    <col min="9046" max="9046" width="19.140625" style="585" customWidth="1"/>
    <col min="9047" max="9063" width="9.140625" style="585"/>
    <col min="9064" max="9064" width="30.7109375" style="585" customWidth="1"/>
    <col min="9065" max="9069" width="10.7109375" style="585" customWidth="1"/>
    <col min="9070" max="9071" width="9.140625" style="585"/>
    <col min="9072" max="9072" width="15.7109375" style="585" customWidth="1"/>
    <col min="9073" max="9087" width="7.7109375" style="585" customWidth="1"/>
    <col min="9088" max="9216" width="9.140625" style="585"/>
    <col min="9217" max="9217" width="12.85546875" style="585" customWidth="1"/>
    <col min="9218" max="9218" width="14.85546875" style="585" customWidth="1"/>
    <col min="9219" max="9219" width="45.7109375" style="585" customWidth="1"/>
    <col min="9220" max="9220" width="10.140625" style="585" customWidth="1"/>
    <col min="9221" max="9221" width="14.7109375" style="585" customWidth="1"/>
    <col min="9222" max="9222" width="18.5703125" style="585" customWidth="1"/>
    <col min="9223" max="9223" width="11.85546875" style="585" customWidth="1"/>
    <col min="9224" max="9224" width="9.140625" style="585"/>
    <col min="9225" max="9225" width="47.5703125" style="585" bestFit="1" customWidth="1"/>
    <col min="9226" max="9226" width="8.5703125" style="585" bestFit="1" customWidth="1"/>
    <col min="9227" max="9227" width="14.85546875" style="585" bestFit="1" customWidth="1"/>
    <col min="9228" max="9229" width="9.140625" style="585"/>
    <col min="9230" max="9230" width="33" style="585" customWidth="1"/>
    <col min="9231" max="9231" width="18.42578125" style="585" customWidth="1"/>
    <col min="9232" max="9232" width="18.7109375" style="585" customWidth="1"/>
    <col min="9233" max="9234" width="9.140625" style="585"/>
    <col min="9235" max="9235" width="17.5703125" style="585" customWidth="1"/>
    <col min="9236" max="9236" width="14.7109375" style="585" customWidth="1"/>
    <col min="9237" max="9237" width="10.7109375" style="585" customWidth="1"/>
    <col min="9238" max="9238" width="12.7109375" style="585" customWidth="1"/>
    <col min="9239" max="9239" width="14.7109375" style="585" customWidth="1"/>
    <col min="9240" max="9240" width="10.7109375" style="585" customWidth="1"/>
    <col min="9241" max="9241" width="12.7109375" style="585" customWidth="1"/>
    <col min="9242" max="9243" width="9.140625" style="585"/>
    <col min="9244" max="9244" width="18.5703125" style="585" customWidth="1"/>
    <col min="9245" max="9253" width="9.140625" style="585"/>
    <col min="9254" max="9254" width="16.5703125" style="585" customWidth="1"/>
    <col min="9255" max="9260" width="9.140625" style="585"/>
    <col min="9261" max="9261" width="9.7109375" style="585" customWidth="1"/>
    <col min="9262" max="9263" width="9.140625" style="585"/>
    <col min="9264" max="9264" width="25.5703125" style="585" customWidth="1"/>
    <col min="9265" max="9267" width="15.7109375" style="585" customWidth="1"/>
    <col min="9268" max="9269" width="9.140625" style="585"/>
    <col min="9270" max="9270" width="29.42578125" style="585" customWidth="1"/>
    <col min="9271" max="9283" width="9.140625" style="585"/>
    <col min="9284" max="9284" width="15.7109375" style="585" customWidth="1"/>
    <col min="9285" max="9301" width="9.140625" style="585"/>
    <col min="9302" max="9302" width="19.140625" style="585" customWidth="1"/>
    <col min="9303" max="9319" width="9.140625" style="585"/>
    <col min="9320" max="9320" width="30.7109375" style="585" customWidth="1"/>
    <col min="9321" max="9325" width="10.7109375" style="585" customWidth="1"/>
    <col min="9326" max="9327" width="9.140625" style="585"/>
    <col min="9328" max="9328" width="15.7109375" style="585" customWidth="1"/>
    <col min="9329" max="9343" width="7.7109375" style="585" customWidth="1"/>
    <col min="9344" max="9472" width="9.140625" style="585"/>
    <col min="9473" max="9473" width="12.85546875" style="585" customWidth="1"/>
    <col min="9474" max="9474" width="14.85546875" style="585" customWidth="1"/>
    <col min="9475" max="9475" width="45.7109375" style="585" customWidth="1"/>
    <col min="9476" max="9476" width="10.140625" style="585" customWidth="1"/>
    <col min="9477" max="9477" width="14.7109375" style="585" customWidth="1"/>
    <col min="9478" max="9478" width="18.5703125" style="585" customWidth="1"/>
    <col min="9479" max="9479" width="11.85546875" style="585" customWidth="1"/>
    <col min="9480" max="9480" width="9.140625" style="585"/>
    <col min="9481" max="9481" width="47.5703125" style="585" bestFit="1" customWidth="1"/>
    <col min="9482" max="9482" width="8.5703125" style="585" bestFit="1" customWidth="1"/>
    <col min="9483" max="9483" width="14.85546875" style="585" bestFit="1" customWidth="1"/>
    <col min="9484" max="9485" width="9.140625" style="585"/>
    <col min="9486" max="9486" width="33" style="585" customWidth="1"/>
    <col min="9487" max="9487" width="18.42578125" style="585" customWidth="1"/>
    <col min="9488" max="9488" width="18.7109375" style="585" customWidth="1"/>
    <col min="9489" max="9490" width="9.140625" style="585"/>
    <col min="9491" max="9491" width="17.5703125" style="585" customWidth="1"/>
    <col min="9492" max="9492" width="14.7109375" style="585" customWidth="1"/>
    <col min="9493" max="9493" width="10.7109375" style="585" customWidth="1"/>
    <col min="9494" max="9494" width="12.7109375" style="585" customWidth="1"/>
    <col min="9495" max="9495" width="14.7109375" style="585" customWidth="1"/>
    <col min="9496" max="9496" width="10.7109375" style="585" customWidth="1"/>
    <col min="9497" max="9497" width="12.7109375" style="585" customWidth="1"/>
    <col min="9498" max="9499" width="9.140625" style="585"/>
    <col min="9500" max="9500" width="18.5703125" style="585" customWidth="1"/>
    <col min="9501" max="9509" width="9.140625" style="585"/>
    <col min="9510" max="9510" width="16.5703125" style="585" customWidth="1"/>
    <col min="9511" max="9516" width="9.140625" style="585"/>
    <col min="9517" max="9517" width="9.7109375" style="585" customWidth="1"/>
    <col min="9518" max="9519" width="9.140625" style="585"/>
    <col min="9520" max="9520" width="25.5703125" style="585" customWidth="1"/>
    <col min="9521" max="9523" width="15.7109375" style="585" customWidth="1"/>
    <col min="9524" max="9525" width="9.140625" style="585"/>
    <col min="9526" max="9526" width="29.42578125" style="585" customWidth="1"/>
    <col min="9527" max="9539" width="9.140625" style="585"/>
    <col min="9540" max="9540" width="15.7109375" style="585" customWidth="1"/>
    <col min="9541" max="9557" width="9.140625" style="585"/>
    <col min="9558" max="9558" width="19.140625" style="585" customWidth="1"/>
    <col min="9559" max="9575" width="9.140625" style="585"/>
    <col min="9576" max="9576" width="30.7109375" style="585" customWidth="1"/>
    <col min="9577" max="9581" width="10.7109375" style="585" customWidth="1"/>
    <col min="9582" max="9583" width="9.140625" style="585"/>
    <col min="9584" max="9584" width="15.7109375" style="585" customWidth="1"/>
    <col min="9585" max="9599" width="7.7109375" style="585" customWidth="1"/>
    <col min="9600" max="9728" width="9.140625" style="585"/>
    <col min="9729" max="9729" width="12.85546875" style="585" customWidth="1"/>
    <col min="9730" max="9730" width="14.85546875" style="585" customWidth="1"/>
    <col min="9731" max="9731" width="45.7109375" style="585" customWidth="1"/>
    <col min="9732" max="9732" width="10.140625" style="585" customWidth="1"/>
    <col min="9733" max="9733" width="14.7109375" style="585" customWidth="1"/>
    <col min="9734" max="9734" width="18.5703125" style="585" customWidth="1"/>
    <col min="9735" max="9735" width="11.85546875" style="585" customWidth="1"/>
    <col min="9736" max="9736" width="9.140625" style="585"/>
    <col min="9737" max="9737" width="47.5703125" style="585" bestFit="1" customWidth="1"/>
    <col min="9738" max="9738" width="8.5703125" style="585" bestFit="1" customWidth="1"/>
    <col min="9739" max="9739" width="14.85546875" style="585" bestFit="1" customWidth="1"/>
    <col min="9740" max="9741" width="9.140625" style="585"/>
    <col min="9742" max="9742" width="33" style="585" customWidth="1"/>
    <col min="9743" max="9743" width="18.42578125" style="585" customWidth="1"/>
    <col min="9744" max="9744" width="18.7109375" style="585" customWidth="1"/>
    <col min="9745" max="9746" width="9.140625" style="585"/>
    <col min="9747" max="9747" width="17.5703125" style="585" customWidth="1"/>
    <col min="9748" max="9748" width="14.7109375" style="585" customWidth="1"/>
    <col min="9749" max="9749" width="10.7109375" style="585" customWidth="1"/>
    <col min="9750" max="9750" width="12.7109375" style="585" customWidth="1"/>
    <col min="9751" max="9751" width="14.7109375" style="585" customWidth="1"/>
    <col min="9752" max="9752" width="10.7109375" style="585" customWidth="1"/>
    <col min="9753" max="9753" width="12.7109375" style="585" customWidth="1"/>
    <col min="9754" max="9755" width="9.140625" style="585"/>
    <col min="9756" max="9756" width="18.5703125" style="585" customWidth="1"/>
    <col min="9757" max="9765" width="9.140625" style="585"/>
    <col min="9766" max="9766" width="16.5703125" style="585" customWidth="1"/>
    <col min="9767" max="9772" width="9.140625" style="585"/>
    <col min="9773" max="9773" width="9.7109375" style="585" customWidth="1"/>
    <col min="9774" max="9775" width="9.140625" style="585"/>
    <col min="9776" max="9776" width="25.5703125" style="585" customWidth="1"/>
    <col min="9777" max="9779" width="15.7109375" style="585" customWidth="1"/>
    <col min="9780" max="9781" width="9.140625" style="585"/>
    <col min="9782" max="9782" width="29.42578125" style="585" customWidth="1"/>
    <col min="9783" max="9795" width="9.140625" style="585"/>
    <col min="9796" max="9796" width="15.7109375" style="585" customWidth="1"/>
    <col min="9797" max="9813" width="9.140625" style="585"/>
    <col min="9814" max="9814" width="19.140625" style="585" customWidth="1"/>
    <col min="9815" max="9831" width="9.140625" style="585"/>
    <col min="9832" max="9832" width="30.7109375" style="585" customWidth="1"/>
    <col min="9833" max="9837" width="10.7109375" style="585" customWidth="1"/>
    <col min="9838" max="9839" width="9.140625" style="585"/>
    <col min="9840" max="9840" width="15.7109375" style="585" customWidth="1"/>
    <col min="9841" max="9855" width="7.7109375" style="585" customWidth="1"/>
    <col min="9856" max="9984" width="9.140625" style="585"/>
    <col min="9985" max="9985" width="12.85546875" style="585" customWidth="1"/>
    <col min="9986" max="9986" width="14.85546875" style="585" customWidth="1"/>
    <col min="9987" max="9987" width="45.7109375" style="585" customWidth="1"/>
    <col min="9988" max="9988" width="10.140625" style="585" customWidth="1"/>
    <col min="9989" max="9989" width="14.7109375" style="585" customWidth="1"/>
    <col min="9990" max="9990" width="18.5703125" style="585" customWidth="1"/>
    <col min="9991" max="9991" width="11.85546875" style="585" customWidth="1"/>
    <col min="9992" max="9992" width="9.140625" style="585"/>
    <col min="9993" max="9993" width="47.5703125" style="585" bestFit="1" customWidth="1"/>
    <col min="9994" max="9994" width="8.5703125" style="585" bestFit="1" customWidth="1"/>
    <col min="9995" max="9995" width="14.85546875" style="585" bestFit="1" customWidth="1"/>
    <col min="9996" max="9997" width="9.140625" style="585"/>
    <col min="9998" max="9998" width="33" style="585" customWidth="1"/>
    <col min="9999" max="9999" width="18.42578125" style="585" customWidth="1"/>
    <col min="10000" max="10000" width="18.7109375" style="585" customWidth="1"/>
    <col min="10001" max="10002" width="9.140625" style="585"/>
    <col min="10003" max="10003" width="17.5703125" style="585" customWidth="1"/>
    <col min="10004" max="10004" width="14.7109375" style="585" customWidth="1"/>
    <col min="10005" max="10005" width="10.7109375" style="585" customWidth="1"/>
    <col min="10006" max="10006" width="12.7109375" style="585" customWidth="1"/>
    <col min="10007" max="10007" width="14.7109375" style="585" customWidth="1"/>
    <col min="10008" max="10008" width="10.7109375" style="585" customWidth="1"/>
    <col min="10009" max="10009" width="12.7109375" style="585" customWidth="1"/>
    <col min="10010" max="10011" width="9.140625" style="585"/>
    <col min="10012" max="10012" width="18.5703125" style="585" customWidth="1"/>
    <col min="10013" max="10021" width="9.140625" style="585"/>
    <col min="10022" max="10022" width="16.5703125" style="585" customWidth="1"/>
    <col min="10023" max="10028" width="9.140625" style="585"/>
    <col min="10029" max="10029" width="9.7109375" style="585" customWidth="1"/>
    <col min="10030" max="10031" width="9.140625" style="585"/>
    <col min="10032" max="10032" width="25.5703125" style="585" customWidth="1"/>
    <col min="10033" max="10035" width="15.7109375" style="585" customWidth="1"/>
    <col min="10036" max="10037" width="9.140625" style="585"/>
    <col min="10038" max="10038" width="29.42578125" style="585" customWidth="1"/>
    <col min="10039" max="10051" width="9.140625" style="585"/>
    <col min="10052" max="10052" width="15.7109375" style="585" customWidth="1"/>
    <col min="10053" max="10069" width="9.140625" style="585"/>
    <col min="10070" max="10070" width="19.140625" style="585" customWidth="1"/>
    <col min="10071" max="10087" width="9.140625" style="585"/>
    <col min="10088" max="10088" width="30.7109375" style="585" customWidth="1"/>
    <col min="10089" max="10093" width="10.7109375" style="585" customWidth="1"/>
    <col min="10094" max="10095" width="9.140625" style="585"/>
    <col min="10096" max="10096" width="15.7109375" style="585" customWidth="1"/>
    <col min="10097" max="10111" width="7.7109375" style="585" customWidth="1"/>
    <col min="10112" max="10240" width="9.140625" style="585"/>
    <col min="10241" max="10241" width="12.85546875" style="585" customWidth="1"/>
    <col min="10242" max="10242" width="14.85546875" style="585" customWidth="1"/>
    <col min="10243" max="10243" width="45.7109375" style="585" customWidth="1"/>
    <col min="10244" max="10244" width="10.140625" style="585" customWidth="1"/>
    <col min="10245" max="10245" width="14.7109375" style="585" customWidth="1"/>
    <col min="10246" max="10246" width="18.5703125" style="585" customWidth="1"/>
    <col min="10247" max="10247" width="11.85546875" style="585" customWidth="1"/>
    <col min="10248" max="10248" width="9.140625" style="585"/>
    <col min="10249" max="10249" width="47.5703125" style="585" bestFit="1" customWidth="1"/>
    <col min="10250" max="10250" width="8.5703125" style="585" bestFit="1" customWidth="1"/>
    <col min="10251" max="10251" width="14.85546875" style="585" bestFit="1" customWidth="1"/>
    <col min="10252" max="10253" width="9.140625" style="585"/>
    <col min="10254" max="10254" width="33" style="585" customWidth="1"/>
    <col min="10255" max="10255" width="18.42578125" style="585" customWidth="1"/>
    <col min="10256" max="10256" width="18.7109375" style="585" customWidth="1"/>
    <col min="10257" max="10258" width="9.140625" style="585"/>
    <col min="10259" max="10259" width="17.5703125" style="585" customWidth="1"/>
    <col min="10260" max="10260" width="14.7109375" style="585" customWidth="1"/>
    <col min="10261" max="10261" width="10.7109375" style="585" customWidth="1"/>
    <col min="10262" max="10262" width="12.7109375" style="585" customWidth="1"/>
    <col min="10263" max="10263" width="14.7109375" style="585" customWidth="1"/>
    <col min="10264" max="10264" width="10.7109375" style="585" customWidth="1"/>
    <col min="10265" max="10265" width="12.7109375" style="585" customWidth="1"/>
    <col min="10266" max="10267" width="9.140625" style="585"/>
    <col min="10268" max="10268" width="18.5703125" style="585" customWidth="1"/>
    <col min="10269" max="10277" width="9.140625" style="585"/>
    <col min="10278" max="10278" width="16.5703125" style="585" customWidth="1"/>
    <col min="10279" max="10284" width="9.140625" style="585"/>
    <col min="10285" max="10285" width="9.7109375" style="585" customWidth="1"/>
    <col min="10286" max="10287" width="9.140625" style="585"/>
    <col min="10288" max="10288" width="25.5703125" style="585" customWidth="1"/>
    <col min="10289" max="10291" width="15.7109375" style="585" customWidth="1"/>
    <col min="10292" max="10293" width="9.140625" style="585"/>
    <col min="10294" max="10294" width="29.42578125" style="585" customWidth="1"/>
    <col min="10295" max="10307" width="9.140625" style="585"/>
    <col min="10308" max="10308" width="15.7109375" style="585" customWidth="1"/>
    <col min="10309" max="10325" width="9.140625" style="585"/>
    <col min="10326" max="10326" width="19.140625" style="585" customWidth="1"/>
    <col min="10327" max="10343" width="9.140625" style="585"/>
    <col min="10344" max="10344" width="30.7109375" style="585" customWidth="1"/>
    <col min="10345" max="10349" width="10.7109375" style="585" customWidth="1"/>
    <col min="10350" max="10351" width="9.140625" style="585"/>
    <col min="10352" max="10352" width="15.7109375" style="585" customWidth="1"/>
    <col min="10353" max="10367" width="7.7109375" style="585" customWidth="1"/>
    <col min="10368" max="10496" width="9.140625" style="585"/>
    <col min="10497" max="10497" width="12.85546875" style="585" customWidth="1"/>
    <col min="10498" max="10498" width="14.85546875" style="585" customWidth="1"/>
    <col min="10499" max="10499" width="45.7109375" style="585" customWidth="1"/>
    <col min="10500" max="10500" width="10.140625" style="585" customWidth="1"/>
    <col min="10501" max="10501" width="14.7109375" style="585" customWidth="1"/>
    <col min="10502" max="10502" width="18.5703125" style="585" customWidth="1"/>
    <col min="10503" max="10503" width="11.85546875" style="585" customWidth="1"/>
    <col min="10504" max="10504" width="9.140625" style="585"/>
    <col min="10505" max="10505" width="47.5703125" style="585" bestFit="1" customWidth="1"/>
    <col min="10506" max="10506" width="8.5703125" style="585" bestFit="1" customWidth="1"/>
    <col min="10507" max="10507" width="14.85546875" style="585" bestFit="1" customWidth="1"/>
    <col min="10508" max="10509" width="9.140625" style="585"/>
    <col min="10510" max="10510" width="33" style="585" customWidth="1"/>
    <col min="10511" max="10511" width="18.42578125" style="585" customWidth="1"/>
    <col min="10512" max="10512" width="18.7109375" style="585" customWidth="1"/>
    <col min="10513" max="10514" width="9.140625" style="585"/>
    <col min="10515" max="10515" width="17.5703125" style="585" customWidth="1"/>
    <col min="10516" max="10516" width="14.7109375" style="585" customWidth="1"/>
    <col min="10517" max="10517" width="10.7109375" style="585" customWidth="1"/>
    <col min="10518" max="10518" width="12.7109375" style="585" customWidth="1"/>
    <col min="10519" max="10519" width="14.7109375" style="585" customWidth="1"/>
    <col min="10520" max="10520" width="10.7109375" style="585" customWidth="1"/>
    <col min="10521" max="10521" width="12.7109375" style="585" customWidth="1"/>
    <col min="10522" max="10523" width="9.140625" style="585"/>
    <col min="10524" max="10524" width="18.5703125" style="585" customWidth="1"/>
    <col min="10525" max="10533" width="9.140625" style="585"/>
    <col min="10534" max="10534" width="16.5703125" style="585" customWidth="1"/>
    <col min="10535" max="10540" width="9.140625" style="585"/>
    <col min="10541" max="10541" width="9.7109375" style="585" customWidth="1"/>
    <col min="10542" max="10543" width="9.140625" style="585"/>
    <col min="10544" max="10544" width="25.5703125" style="585" customWidth="1"/>
    <col min="10545" max="10547" width="15.7109375" style="585" customWidth="1"/>
    <col min="10548" max="10549" width="9.140625" style="585"/>
    <col min="10550" max="10550" width="29.42578125" style="585" customWidth="1"/>
    <col min="10551" max="10563" width="9.140625" style="585"/>
    <col min="10564" max="10564" width="15.7109375" style="585" customWidth="1"/>
    <col min="10565" max="10581" width="9.140625" style="585"/>
    <col min="10582" max="10582" width="19.140625" style="585" customWidth="1"/>
    <col min="10583" max="10599" width="9.140625" style="585"/>
    <col min="10600" max="10600" width="30.7109375" style="585" customWidth="1"/>
    <col min="10601" max="10605" width="10.7109375" style="585" customWidth="1"/>
    <col min="10606" max="10607" width="9.140625" style="585"/>
    <col min="10608" max="10608" width="15.7109375" style="585" customWidth="1"/>
    <col min="10609" max="10623" width="7.7109375" style="585" customWidth="1"/>
    <col min="10624" max="10752" width="9.140625" style="585"/>
    <col min="10753" max="10753" width="12.85546875" style="585" customWidth="1"/>
    <col min="10754" max="10754" width="14.85546875" style="585" customWidth="1"/>
    <col min="10755" max="10755" width="45.7109375" style="585" customWidth="1"/>
    <col min="10756" max="10756" width="10.140625" style="585" customWidth="1"/>
    <col min="10757" max="10757" width="14.7109375" style="585" customWidth="1"/>
    <col min="10758" max="10758" width="18.5703125" style="585" customWidth="1"/>
    <col min="10759" max="10759" width="11.85546875" style="585" customWidth="1"/>
    <col min="10760" max="10760" width="9.140625" style="585"/>
    <col min="10761" max="10761" width="47.5703125" style="585" bestFit="1" customWidth="1"/>
    <col min="10762" max="10762" width="8.5703125" style="585" bestFit="1" customWidth="1"/>
    <col min="10763" max="10763" width="14.85546875" style="585" bestFit="1" customWidth="1"/>
    <col min="10764" max="10765" width="9.140625" style="585"/>
    <col min="10766" max="10766" width="33" style="585" customWidth="1"/>
    <col min="10767" max="10767" width="18.42578125" style="585" customWidth="1"/>
    <col min="10768" max="10768" width="18.7109375" style="585" customWidth="1"/>
    <col min="10769" max="10770" width="9.140625" style="585"/>
    <col min="10771" max="10771" width="17.5703125" style="585" customWidth="1"/>
    <col min="10772" max="10772" width="14.7109375" style="585" customWidth="1"/>
    <col min="10773" max="10773" width="10.7109375" style="585" customWidth="1"/>
    <col min="10774" max="10774" width="12.7109375" style="585" customWidth="1"/>
    <col min="10775" max="10775" width="14.7109375" style="585" customWidth="1"/>
    <col min="10776" max="10776" width="10.7109375" style="585" customWidth="1"/>
    <col min="10777" max="10777" width="12.7109375" style="585" customWidth="1"/>
    <col min="10778" max="10779" width="9.140625" style="585"/>
    <col min="10780" max="10780" width="18.5703125" style="585" customWidth="1"/>
    <col min="10781" max="10789" width="9.140625" style="585"/>
    <col min="10790" max="10790" width="16.5703125" style="585" customWidth="1"/>
    <col min="10791" max="10796" width="9.140625" style="585"/>
    <col min="10797" max="10797" width="9.7109375" style="585" customWidth="1"/>
    <col min="10798" max="10799" width="9.140625" style="585"/>
    <col min="10800" max="10800" width="25.5703125" style="585" customWidth="1"/>
    <col min="10801" max="10803" width="15.7109375" style="585" customWidth="1"/>
    <col min="10804" max="10805" width="9.140625" style="585"/>
    <col min="10806" max="10806" width="29.42578125" style="585" customWidth="1"/>
    <col min="10807" max="10819" width="9.140625" style="585"/>
    <col min="10820" max="10820" width="15.7109375" style="585" customWidth="1"/>
    <col min="10821" max="10837" width="9.140625" style="585"/>
    <col min="10838" max="10838" width="19.140625" style="585" customWidth="1"/>
    <col min="10839" max="10855" width="9.140625" style="585"/>
    <col min="10856" max="10856" width="30.7109375" style="585" customWidth="1"/>
    <col min="10857" max="10861" width="10.7109375" style="585" customWidth="1"/>
    <col min="10862" max="10863" width="9.140625" style="585"/>
    <col min="10864" max="10864" width="15.7109375" style="585" customWidth="1"/>
    <col min="10865" max="10879" width="7.7109375" style="585" customWidth="1"/>
    <col min="10880" max="11008" width="9.140625" style="585"/>
    <col min="11009" max="11009" width="12.85546875" style="585" customWidth="1"/>
    <col min="11010" max="11010" width="14.85546875" style="585" customWidth="1"/>
    <col min="11011" max="11011" width="45.7109375" style="585" customWidth="1"/>
    <col min="11012" max="11012" width="10.140625" style="585" customWidth="1"/>
    <col min="11013" max="11013" width="14.7109375" style="585" customWidth="1"/>
    <col min="11014" max="11014" width="18.5703125" style="585" customWidth="1"/>
    <col min="11015" max="11015" width="11.85546875" style="585" customWidth="1"/>
    <col min="11016" max="11016" width="9.140625" style="585"/>
    <col min="11017" max="11017" width="47.5703125" style="585" bestFit="1" customWidth="1"/>
    <col min="11018" max="11018" width="8.5703125" style="585" bestFit="1" customWidth="1"/>
    <col min="11019" max="11019" width="14.85546875" style="585" bestFit="1" customWidth="1"/>
    <col min="11020" max="11021" width="9.140625" style="585"/>
    <col min="11022" max="11022" width="33" style="585" customWidth="1"/>
    <col min="11023" max="11023" width="18.42578125" style="585" customWidth="1"/>
    <col min="11024" max="11024" width="18.7109375" style="585" customWidth="1"/>
    <col min="11025" max="11026" width="9.140625" style="585"/>
    <col min="11027" max="11027" width="17.5703125" style="585" customWidth="1"/>
    <col min="11028" max="11028" width="14.7109375" style="585" customWidth="1"/>
    <col min="11029" max="11029" width="10.7109375" style="585" customWidth="1"/>
    <col min="11030" max="11030" width="12.7109375" style="585" customWidth="1"/>
    <col min="11031" max="11031" width="14.7109375" style="585" customWidth="1"/>
    <col min="11032" max="11032" width="10.7109375" style="585" customWidth="1"/>
    <col min="11033" max="11033" width="12.7109375" style="585" customWidth="1"/>
    <col min="11034" max="11035" width="9.140625" style="585"/>
    <col min="11036" max="11036" width="18.5703125" style="585" customWidth="1"/>
    <col min="11037" max="11045" width="9.140625" style="585"/>
    <col min="11046" max="11046" width="16.5703125" style="585" customWidth="1"/>
    <col min="11047" max="11052" width="9.140625" style="585"/>
    <col min="11053" max="11053" width="9.7109375" style="585" customWidth="1"/>
    <col min="11054" max="11055" width="9.140625" style="585"/>
    <col min="11056" max="11056" width="25.5703125" style="585" customWidth="1"/>
    <col min="11057" max="11059" width="15.7109375" style="585" customWidth="1"/>
    <col min="11060" max="11061" width="9.140625" style="585"/>
    <col min="11062" max="11062" width="29.42578125" style="585" customWidth="1"/>
    <col min="11063" max="11075" width="9.140625" style="585"/>
    <col min="11076" max="11076" width="15.7109375" style="585" customWidth="1"/>
    <col min="11077" max="11093" width="9.140625" style="585"/>
    <col min="11094" max="11094" width="19.140625" style="585" customWidth="1"/>
    <col min="11095" max="11111" width="9.140625" style="585"/>
    <col min="11112" max="11112" width="30.7109375" style="585" customWidth="1"/>
    <col min="11113" max="11117" width="10.7109375" style="585" customWidth="1"/>
    <col min="11118" max="11119" width="9.140625" style="585"/>
    <col min="11120" max="11120" width="15.7109375" style="585" customWidth="1"/>
    <col min="11121" max="11135" width="7.7109375" style="585" customWidth="1"/>
    <col min="11136" max="11264" width="9.140625" style="585"/>
    <col min="11265" max="11265" width="12.85546875" style="585" customWidth="1"/>
    <col min="11266" max="11266" width="14.85546875" style="585" customWidth="1"/>
    <col min="11267" max="11267" width="45.7109375" style="585" customWidth="1"/>
    <col min="11268" max="11268" width="10.140625" style="585" customWidth="1"/>
    <col min="11269" max="11269" width="14.7109375" style="585" customWidth="1"/>
    <col min="11270" max="11270" width="18.5703125" style="585" customWidth="1"/>
    <col min="11271" max="11271" width="11.85546875" style="585" customWidth="1"/>
    <col min="11272" max="11272" width="9.140625" style="585"/>
    <col min="11273" max="11273" width="47.5703125" style="585" bestFit="1" customWidth="1"/>
    <col min="11274" max="11274" width="8.5703125" style="585" bestFit="1" customWidth="1"/>
    <col min="11275" max="11275" width="14.85546875" style="585" bestFit="1" customWidth="1"/>
    <col min="11276" max="11277" width="9.140625" style="585"/>
    <col min="11278" max="11278" width="33" style="585" customWidth="1"/>
    <col min="11279" max="11279" width="18.42578125" style="585" customWidth="1"/>
    <col min="11280" max="11280" width="18.7109375" style="585" customWidth="1"/>
    <col min="11281" max="11282" width="9.140625" style="585"/>
    <col min="11283" max="11283" width="17.5703125" style="585" customWidth="1"/>
    <col min="11284" max="11284" width="14.7109375" style="585" customWidth="1"/>
    <col min="11285" max="11285" width="10.7109375" style="585" customWidth="1"/>
    <col min="11286" max="11286" width="12.7109375" style="585" customWidth="1"/>
    <col min="11287" max="11287" width="14.7109375" style="585" customWidth="1"/>
    <col min="11288" max="11288" width="10.7109375" style="585" customWidth="1"/>
    <col min="11289" max="11289" width="12.7109375" style="585" customWidth="1"/>
    <col min="11290" max="11291" width="9.140625" style="585"/>
    <col min="11292" max="11292" width="18.5703125" style="585" customWidth="1"/>
    <col min="11293" max="11301" width="9.140625" style="585"/>
    <col min="11302" max="11302" width="16.5703125" style="585" customWidth="1"/>
    <col min="11303" max="11308" width="9.140625" style="585"/>
    <col min="11309" max="11309" width="9.7109375" style="585" customWidth="1"/>
    <col min="11310" max="11311" width="9.140625" style="585"/>
    <col min="11312" max="11312" width="25.5703125" style="585" customWidth="1"/>
    <col min="11313" max="11315" width="15.7109375" style="585" customWidth="1"/>
    <col min="11316" max="11317" width="9.140625" style="585"/>
    <col min="11318" max="11318" width="29.42578125" style="585" customWidth="1"/>
    <col min="11319" max="11331" width="9.140625" style="585"/>
    <col min="11332" max="11332" width="15.7109375" style="585" customWidth="1"/>
    <col min="11333" max="11349" width="9.140625" style="585"/>
    <col min="11350" max="11350" width="19.140625" style="585" customWidth="1"/>
    <col min="11351" max="11367" width="9.140625" style="585"/>
    <col min="11368" max="11368" width="30.7109375" style="585" customWidth="1"/>
    <col min="11369" max="11373" width="10.7109375" style="585" customWidth="1"/>
    <col min="11374" max="11375" width="9.140625" style="585"/>
    <col min="11376" max="11376" width="15.7109375" style="585" customWidth="1"/>
    <col min="11377" max="11391" width="7.7109375" style="585" customWidth="1"/>
    <col min="11392" max="11520" width="9.140625" style="585"/>
    <col min="11521" max="11521" width="12.85546875" style="585" customWidth="1"/>
    <col min="11522" max="11522" width="14.85546875" style="585" customWidth="1"/>
    <col min="11523" max="11523" width="45.7109375" style="585" customWidth="1"/>
    <col min="11524" max="11524" width="10.140625" style="585" customWidth="1"/>
    <col min="11525" max="11525" width="14.7109375" style="585" customWidth="1"/>
    <col min="11526" max="11526" width="18.5703125" style="585" customWidth="1"/>
    <col min="11527" max="11527" width="11.85546875" style="585" customWidth="1"/>
    <col min="11528" max="11528" width="9.140625" style="585"/>
    <col min="11529" max="11529" width="47.5703125" style="585" bestFit="1" customWidth="1"/>
    <col min="11530" max="11530" width="8.5703125" style="585" bestFit="1" customWidth="1"/>
    <col min="11531" max="11531" width="14.85546875" style="585" bestFit="1" customWidth="1"/>
    <col min="11532" max="11533" width="9.140625" style="585"/>
    <col min="11534" max="11534" width="33" style="585" customWidth="1"/>
    <col min="11535" max="11535" width="18.42578125" style="585" customWidth="1"/>
    <col min="11536" max="11536" width="18.7109375" style="585" customWidth="1"/>
    <col min="11537" max="11538" width="9.140625" style="585"/>
    <col min="11539" max="11539" width="17.5703125" style="585" customWidth="1"/>
    <col min="11540" max="11540" width="14.7109375" style="585" customWidth="1"/>
    <col min="11541" max="11541" width="10.7109375" style="585" customWidth="1"/>
    <col min="11542" max="11542" width="12.7109375" style="585" customWidth="1"/>
    <col min="11543" max="11543" width="14.7109375" style="585" customWidth="1"/>
    <col min="11544" max="11544" width="10.7109375" style="585" customWidth="1"/>
    <col min="11545" max="11545" width="12.7109375" style="585" customWidth="1"/>
    <col min="11546" max="11547" width="9.140625" style="585"/>
    <col min="11548" max="11548" width="18.5703125" style="585" customWidth="1"/>
    <col min="11549" max="11557" width="9.140625" style="585"/>
    <col min="11558" max="11558" width="16.5703125" style="585" customWidth="1"/>
    <col min="11559" max="11564" width="9.140625" style="585"/>
    <col min="11565" max="11565" width="9.7109375" style="585" customWidth="1"/>
    <col min="11566" max="11567" width="9.140625" style="585"/>
    <col min="11568" max="11568" width="25.5703125" style="585" customWidth="1"/>
    <col min="11569" max="11571" width="15.7109375" style="585" customWidth="1"/>
    <col min="11572" max="11573" width="9.140625" style="585"/>
    <col min="11574" max="11574" width="29.42578125" style="585" customWidth="1"/>
    <col min="11575" max="11587" width="9.140625" style="585"/>
    <col min="11588" max="11588" width="15.7109375" style="585" customWidth="1"/>
    <col min="11589" max="11605" width="9.140625" style="585"/>
    <col min="11606" max="11606" width="19.140625" style="585" customWidth="1"/>
    <col min="11607" max="11623" width="9.140625" style="585"/>
    <col min="11624" max="11624" width="30.7109375" style="585" customWidth="1"/>
    <col min="11625" max="11629" width="10.7109375" style="585" customWidth="1"/>
    <col min="11630" max="11631" width="9.140625" style="585"/>
    <col min="11632" max="11632" width="15.7109375" style="585" customWidth="1"/>
    <col min="11633" max="11647" width="7.7109375" style="585" customWidth="1"/>
    <col min="11648" max="11776" width="9.140625" style="585"/>
    <col min="11777" max="11777" width="12.85546875" style="585" customWidth="1"/>
    <col min="11778" max="11778" width="14.85546875" style="585" customWidth="1"/>
    <col min="11779" max="11779" width="45.7109375" style="585" customWidth="1"/>
    <col min="11780" max="11780" width="10.140625" style="585" customWidth="1"/>
    <col min="11781" max="11781" width="14.7109375" style="585" customWidth="1"/>
    <col min="11782" max="11782" width="18.5703125" style="585" customWidth="1"/>
    <col min="11783" max="11783" width="11.85546875" style="585" customWidth="1"/>
    <col min="11784" max="11784" width="9.140625" style="585"/>
    <col min="11785" max="11785" width="47.5703125" style="585" bestFit="1" customWidth="1"/>
    <col min="11786" max="11786" width="8.5703125" style="585" bestFit="1" customWidth="1"/>
    <col min="11787" max="11787" width="14.85546875" style="585" bestFit="1" customWidth="1"/>
    <col min="11788" max="11789" width="9.140625" style="585"/>
    <col min="11790" max="11790" width="33" style="585" customWidth="1"/>
    <col min="11791" max="11791" width="18.42578125" style="585" customWidth="1"/>
    <col min="11792" max="11792" width="18.7109375" style="585" customWidth="1"/>
    <col min="11793" max="11794" width="9.140625" style="585"/>
    <col min="11795" max="11795" width="17.5703125" style="585" customWidth="1"/>
    <col min="11796" max="11796" width="14.7109375" style="585" customWidth="1"/>
    <col min="11797" max="11797" width="10.7109375" style="585" customWidth="1"/>
    <col min="11798" max="11798" width="12.7109375" style="585" customWidth="1"/>
    <col min="11799" max="11799" width="14.7109375" style="585" customWidth="1"/>
    <col min="11800" max="11800" width="10.7109375" style="585" customWidth="1"/>
    <col min="11801" max="11801" width="12.7109375" style="585" customWidth="1"/>
    <col min="11802" max="11803" width="9.140625" style="585"/>
    <col min="11804" max="11804" width="18.5703125" style="585" customWidth="1"/>
    <col min="11805" max="11813" width="9.140625" style="585"/>
    <col min="11814" max="11814" width="16.5703125" style="585" customWidth="1"/>
    <col min="11815" max="11820" width="9.140625" style="585"/>
    <col min="11821" max="11821" width="9.7109375" style="585" customWidth="1"/>
    <col min="11822" max="11823" width="9.140625" style="585"/>
    <col min="11824" max="11824" width="25.5703125" style="585" customWidth="1"/>
    <col min="11825" max="11827" width="15.7109375" style="585" customWidth="1"/>
    <col min="11828" max="11829" width="9.140625" style="585"/>
    <col min="11830" max="11830" width="29.42578125" style="585" customWidth="1"/>
    <col min="11831" max="11843" width="9.140625" style="585"/>
    <col min="11844" max="11844" width="15.7109375" style="585" customWidth="1"/>
    <col min="11845" max="11861" width="9.140625" style="585"/>
    <col min="11862" max="11862" width="19.140625" style="585" customWidth="1"/>
    <col min="11863" max="11879" width="9.140625" style="585"/>
    <col min="11880" max="11880" width="30.7109375" style="585" customWidth="1"/>
    <col min="11881" max="11885" width="10.7109375" style="585" customWidth="1"/>
    <col min="11886" max="11887" width="9.140625" style="585"/>
    <col min="11888" max="11888" width="15.7109375" style="585" customWidth="1"/>
    <col min="11889" max="11903" width="7.7109375" style="585" customWidth="1"/>
    <col min="11904" max="12032" width="9.140625" style="585"/>
    <col min="12033" max="12033" width="12.85546875" style="585" customWidth="1"/>
    <col min="12034" max="12034" width="14.85546875" style="585" customWidth="1"/>
    <col min="12035" max="12035" width="45.7109375" style="585" customWidth="1"/>
    <col min="12036" max="12036" width="10.140625" style="585" customWidth="1"/>
    <col min="12037" max="12037" width="14.7109375" style="585" customWidth="1"/>
    <col min="12038" max="12038" width="18.5703125" style="585" customWidth="1"/>
    <col min="12039" max="12039" width="11.85546875" style="585" customWidth="1"/>
    <col min="12040" max="12040" width="9.140625" style="585"/>
    <col min="12041" max="12041" width="47.5703125" style="585" bestFit="1" customWidth="1"/>
    <col min="12042" max="12042" width="8.5703125" style="585" bestFit="1" customWidth="1"/>
    <col min="12043" max="12043" width="14.85546875" style="585" bestFit="1" customWidth="1"/>
    <col min="12044" max="12045" width="9.140625" style="585"/>
    <col min="12046" max="12046" width="33" style="585" customWidth="1"/>
    <col min="12047" max="12047" width="18.42578125" style="585" customWidth="1"/>
    <col min="12048" max="12048" width="18.7109375" style="585" customWidth="1"/>
    <col min="12049" max="12050" width="9.140625" style="585"/>
    <col min="12051" max="12051" width="17.5703125" style="585" customWidth="1"/>
    <col min="12052" max="12052" width="14.7109375" style="585" customWidth="1"/>
    <col min="12053" max="12053" width="10.7109375" style="585" customWidth="1"/>
    <col min="12054" max="12054" width="12.7109375" style="585" customWidth="1"/>
    <col min="12055" max="12055" width="14.7109375" style="585" customWidth="1"/>
    <col min="12056" max="12056" width="10.7109375" style="585" customWidth="1"/>
    <col min="12057" max="12057" width="12.7109375" style="585" customWidth="1"/>
    <col min="12058" max="12059" width="9.140625" style="585"/>
    <col min="12060" max="12060" width="18.5703125" style="585" customWidth="1"/>
    <col min="12061" max="12069" width="9.140625" style="585"/>
    <col min="12070" max="12070" width="16.5703125" style="585" customWidth="1"/>
    <col min="12071" max="12076" width="9.140625" style="585"/>
    <col min="12077" max="12077" width="9.7109375" style="585" customWidth="1"/>
    <col min="12078" max="12079" width="9.140625" style="585"/>
    <col min="12080" max="12080" width="25.5703125" style="585" customWidth="1"/>
    <col min="12081" max="12083" width="15.7109375" style="585" customWidth="1"/>
    <col min="12084" max="12085" width="9.140625" style="585"/>
    <col min="12086" max="12086" width="29.42578125" style="585" customWidth="1"/>
    <col min="12087" max="12099" width="9.140625" style="585"/>
    <col min="12100" max="12100" width="15.7109375" style="585" customWidth="1"/>
    <col min="12101" max="12117" width="9.140625" style="585"/>
    <col min="12118" max="12118" width="19.140625" style="585" customWidth="1"/>
    <col min="12119" max="12135" width="9.140625" style="585"/>
    <col min="12136" max="12136" width="30.7109375" style="585" customWidth="1"/>
    <col min="12137" max="12141" width="10.7109375" style="585" customWidth="1"/>
    <col min="12142" max="12143" width="9.140625" style="585"/>
    <col min="12144" max="12144" width="15.7109375" style="585" customWidth="1"/>
    <col min="12145" max="12159" width="7.7109375" style="585" customWidth="1"/>
    <col min="12160" max="12288" width="9.140625" style="585"/>
    <col min="12289" max="12289" width="12.85546875" style="585" customWidth="1"/>
    <col min="12290" max="12290" width="14.85546875" style="585" customWidth="1"/>
    <col min="12291" max="12291" width="45.7109375" style="585" customWidth="1"/>
    <col min="12292" max="12292" width="10.140625" style="585" customWidth="1"/>
    <col min="12293" max="12293" width="14.7109375" style="585" customWidth="1"/>
    <col min="12294" max="12294" width="18.5703125" style="585" customWidth="1"/>
    <col min="12295" max="12295" width="11.85546875" style="585" customWidth="1"/>
    <col min="12296" max="12296" width="9.140625" style="585"/>
    <col min="12297" max="12297" width="47.5703125" style="585" bestFit="1" customWidth="1"/>
    <col min="12298" max="12298" width="8.5703125" style="585" bestFit="1" customWidth="1"/>
    <col min="12299" max="12299" width="14.85546875" style="585" bestFit="1" customWidth="1"/>
    <col min="12300" max="12301" width="9.140625" style="585"/>
    <col min="12302" max="12302" width="33" style="585" customWidth="1"/>
    <col min="12303" max="12303" width="18.42578125" style="585" customWidth="1"/>
    <col min="12304" max="12304" width="18.7109375" style="585" customWidth="1"/>
    <col min="12305" max="12306" width="9.140625" style="585"/>
    <col min="12307" max="12307" width="17.5703125" style="585" customWidth="1"/>
    <col min="12308" max="12308" width="14.7109375" style="585" customWidth="1"/>
    <col min="12309" max="12309" width="10.7109375" style="585" customWidth="1"/>
    <col min="12310" max="12310" width="12.7109375" style="585" customWidth="1"/>
    <col min="12311" max="12311" width="14.7109375" style="585" customWidth="1"/>
    <col min="12312" max="12312" width="10.7109375" style="585" customWidth="1"/>
    <col min="12313" max="12313" width="12.7109375" style="585" customWidth="1"/>
    <col min="12314" max="12315" width="9.140625" style="585"/>
    <col min="12316" max="12316" width="18.5703125" style="585" customWidth="1"/>
    <col min="12317" max="12325" width="9.140625" style="585"/>
    <col min="12326" max="12326" width="16.5703125" style="585" customWidth="1"/>
    <col min="12327" max="12332" width="9.140625" style="585"/>
    <col min="12333" max="12333" width="9.7109375" style="585" customWidth="1"/>
    <col min="12334" max="12335" width="9.140625" style="585"/>
    <col min="12336" max="12336" width="25.5703125" style="585" customWidth="1"/>
    <col min="12337" max="12339" width="15.7109375" style="585" customWidth="1"/>
    <col min="12340" max="12341" width="9.140625" style="585"/>
    <col min="12342" max="12342" width="29.42578125" style="585" customWidth="1"/>
    <col min="12343" max="12355" width="9.140625" style="585"/>
    <col min="12356" max="12356" width="15.7109375" style="585" customWidth="1"/>
    <col min="12357" max="12373" width="9.140625" style="585"/>
    <col min="12374" max="12374" width="19.140625" style="585" customWidth="1"/>
    <col min="12375" max="12391" width="9.140625" style="585"/>
    <col min="12392" max="12392" width="30.7109375" style="585" customWidth="1"/>
    <col min="12393" max="12397" width="10.7109375" style="585" customWidth="1"/>
    <col min="12398" max="12399" width="9.140625" style="585"/>
    <col min="12400" max="12400" width="15.7109375" style="585" customWidth="1"/>
    <col min="12401" max="12415" width="7.7109375" style="585" customWidth="1"/>
    <col min="12416" max="12544" width="9.140625" style="585"/>
    <col min="12545" max="12545" width="12.85546875" style="585" customWidth="1"/>
    <col min="12546" max="12546" width="14.85546875" style="585" customWidth="1"/>
    <col min="12547" max="12547" width="45.7109375" style="585" customWidth="1"/>
    <col min="12548" max="12548" width="10.140625" style="585" customWidth="1"/>
    <col min="12549" max="12549" width="14.7109375" style="585" customWidth="1"/>
    <col min="12550" max="12550" width="18.5703125" style="585" customWidth="1"/>
    <col min="12551" max="12551" width="11.85546875" style="585" customWidth="1"/>
    <col min="12552" max="12552" width="9.140625" style="585"/>
    <col min="12553" max="12553" width="47.5703125" style="585" bestFit="1" customWidth="1"/>
    <col min="12554" max="12554" width="8.5703125" style="585" bestFit="1" customWidth="1"/>
    <col min="12555" max="12555" width="14.85546875" style="585" bestFit="1" customWidth="1"/>
    <col min="12556" max="12557" width="9.140625" style="585"/>
    <col min="12558" max="12558" width="33" style="585" customWidth="1"/>
    <col min="12559" max="12559" width="18.42578125" style="585" customWidth="1"/>
    <col min="12560" max="12560" width="18.7109375" style="585" customWidth="1"/>
    <col min="12561" max="12562" width="9.140625" style="585"/>
    <col min="12563" max="12563" width="17.5703125" style="585" customWidth="1"/>
    <col min="12564" max="12564" width="14.7109375" style="585" customWidth="1"/>
    <col min="12565" max="12565" width="10.7109375" style="585" customWidth="1"/>
    <col min="12566" max="12566" width="12.7109375" style="585" customWidth="1"/>
    <col min="12567" max="12567" width="14.7109375" style="585" customWidth="1"/>
    <col min="12568" max="12568" width="10.7109375" style="585" customWidth="1"/>
    <col min="12569" max="12569" width="12.7109375" style="585" customWidth="1"/>
    <col min="12570" max="12571" width="9.140625" style="585"/>
    <col min="12572" max="12572" width="18.5703125" style="585" customWidth="1"/>
    <col min="12573" max="12581" width="9.140625" style="585"/>
    <col min="12582" max="12582" width="16.5703125" style="585" customWidth="1"/>
    <col min="12583" max="12588" width="9.140625" style="585"/>
    <col min="12589" max="12589" width="9.7109375" style="585" customWidth="1"/>
    <col min="12590" max="12591" width="9.140625" style="585"/>
    <col min="12592" max="12592" width="25.5703125" style="585" customWidth="1"/>
    <col min="12593" max="12595" width="15.7109375" style="585" customWidth="1"/>
    <col min="12596" max="12597" width="9.140625" style="585"/>
    <col min="12598" max="12598" width="29.42578125" style="585" customWidth="1"/>
    <col min="12599" max="12611" width="9.140625" style="585"/>
    <col min="12612" max="12612" width="15.7109375" style="585" customWidth="1"/>
    <col min="12613" max="12629" width="9.140625" style="585"/>
    <col min="12630" max="12630" width="19.140625" style="585" customWidth="1"/>
    <col min="12631" max="12647" width="9.140625" style="585"/>
    <col min="12648" max="12648" width="30.7109375" style="585" customWidth="1"/>
    <col min="12649" max="12653" width="10.7109375" style="585" customWidth="1"/>
    <col min="12654" max="12655" width="9.140625" style="585"/>
    <col min="12656" max="12656" width="15.7109375" style="585" customWidth="1"/>
    <col min="12657" max="12671" width="7.7109375" style="585" customWidth="1"/>
    <col min="12672" max="12800" width="9.140625" style="585"/>
    <col min="12801" max="12801" width="12.85546875" style="585" customWidth="1"/>
    <col min="12802" max="12802" width="14.85546875" style="585" customWidth="1"/>
    <col min="12803" max="12803" width="45.7109375" style="585" customWidth="1"/>
    <col min="12804" max="12804" width="10.140625" style="585" customWidth="1"/>
    <col min="12805" max="12805" width="14.7109375" style="585" customWidth="1"/>
    <col min="12806" max="12806" width="18.5703125" style="585" customWidth="1"/>
    <col min="12807" max="12807" width="11.85546875" style="585" customWidth="1"/>
    <col min="12808" max="12808" width="9.140625" style="585"/>
    <col min="12809" max="12809" width="47.5703125" style="585" bestFit="1" customWidth="1"/>
    <col min="12810" max="12810" width="8.5703125" style="585" bestFit="1" customWidth="1"/>
    <col min="12811" max="12811" width="14.85546875" style="585" bestFit="1" customWidth="1"/>
    <col min="12812" max="12813" width="9.140625" style="585"/>
    <col min="12814" max="12814" width="33" style="585" customWidth="1"/>
    <col min="12815" max="12815" width="18.42578125" style="585" customWidth="1"/>
    <col min="12816" max="12816" width="18.7109375" style="585" customWidth="1"/>
    <col min="12817" max="12818" width="9.140625" style="585"/>
    <col min="12819" max="12819" width="17.5703125" style="585" customWidth="1"/>
    <col min="12820" max="12820" width="14.7109375" style="585" customWidth="1"/>
    <col min="12821" max="12821" width="10.7109375" style="585" customWidth="1"/>
    <col min="12822" max="12822" width="12.7109375" style="585" customWidth="1"/>
    <col min="12823" max="12823" width="14.7109375" style="585" customWidth="1"/>
    <col min="12824" max="12824" width="10.7109375" style="585" customWidth="1"/>
    <col min="12825" max="12825" width="12.7109375" style="585" customWidth="1"/>
    <col min="12826" max="12827" width="9.140625" style="585"/>
    <col min="12828" max="12828" width="18.5703125" style="585" customWidth="1"/>
    <col min="12829" max="12837" width="9.140625" style="585"/>
    <col min="12838" max="12838" width="16.5703125" style="585" customWidth="1"/>
    <col min="12839" max="12844" width="9.140625" style="585"/>
    <col min="12845" max="12845" width="9.7109375" style="585" customWidth="1"/>
    <col min="12846" max="12847" width="9.140625" style="585"/>
    <col min="12848" max="12848" width="25.5703125" style="585" customWidth="1"/>
    <col min="12849" max="12851" width="15.7109375" style="585" customWidth="1"/>
    <col min="12852" max="12853" width="9.140625" style="585"/>
    <col min="12854" max="12854" width="29.42578125" style="585" customWidth="1"/>
    <col min="12855" max="12867" width="9.140625" style="585"/>
    <col min="12868" max="12868" width="15.7109375" style="585" customWidth="1"/>
    <col min="12869" max="12885" width="9.140625" style="585"/>
    <col min="12886" max="12886" width="19.140625" style="585" customWidth="1"/>
    <col min="12887" max="12903" width="9.140625" style="585"/>
    <col min="12904" max="12904" width="30.7109375" style="585" customWidth="1"/>
    <col min="12905" max="12909" width="10.7109375" style="585" customWidth="1"/>
    <col min="12910" max="12911" width="9.140625" style="585"/>
    <col min="12912" max="12912" width="15.7109375" style="585" customWidth="1"/>
    <col min="12913" max="12927" width="7.7109375" style="585" customWidth="1"/>
    <col min="12928" max="13056" width="9.140625" style="585"/>
    <col min="13057" max="13057" width="12.85546875" style="585" customWidth="1"/>
    <col min="13058" max="13058" width="14.85546875" style="585" customWidth="1"/>
    <col min="13059" max="13059" width="45.7109375" style="585" customWidth="1"/>
    <col min="13060" max="13060" width="10.140625" style="585" customWidth="1"/>
    <col min="13061" max="13061" width="14.7109375" style="585" customWidth="1"/>
    <col min="13062" max="13062" width="18.5703125" style="585" customWidth="1"/>
    <col min="13063" max="13063" width="11.85546875" style="585" customWidth="1"/>
    <col min="13064" max="13064" width="9.140625" style="585"/>
    <col min="13065" max="13065" width="47.5703125" style="585" bestFit="1" customWidth="1"/>
    <col min="13066" max="13066" width="8.5703125" style="585" bestFit="1" customWidth="1"/>
    <col min="13067" max="13067" width="14.85546875" style="585" bestFit="1" customWidth="1"/>
    <col min="13068" max="13069" width="9.140625" style="585"/>
    <col min="13070" max="13070" width="33" style="585" customWidth="1"/>
    <col min="13071" max="13071" width="18.42578125" style="585" customWidth="1"/>
    <col min="13072" max="13072" width="18.7109375" style="585" customWidth="1"/>
    <col min="13073" max="13074" width="9.140625" style="585"/>
    <col min="13075" max="13075" width="17.5703125" style="585" customWidth="1"/>
    <col min="13076" max="13076" width="14.7109375" style="585" customWidth="1"/>
    <col min="13077" max="13077" width="10.7109375" style="585" customWidth="1"/>
    <col min="13078" max="13078" width="12.7109375" style="585" customWidth="1"/>
    <col min="13079" max="13079" width="14.7109375" style="585" customWidth="1"/>
    <col min="13080" max="13080" width="10.7109375" style="585" customWidth="1"/>
    <col min="13081" max="13081" width="12.7109375" style="585" customWidth="1"/>
    <col min="13082" max="13083" width="9.140625" style="585"/>
    <col min="13084" max="13084" width="18.5703125" style="585" customWidth="1"/>
    <col min="13085" max="13093" width="9.140625" style="585"/>
    <col min="13094" max="13094" width="16.5703125" style="585" customWidth="1"/>
    <col min="13095" max="13100" width="9.140625" style="585"/>
    <col min="13101" max="13101" width="9.7109375" style="585" customWidth="1"/>
    <col min="13102" max="13103" width="9.140625" style="585"/>
    <col min="13104" max="13104" width="25.5703125" style="585" customWidth="1"/>
    <col min="13105" max="13107" width="15.7109375" style="585" customWidth="1"/>
    <col min="13108" max="13109" width="9.140625" style="585"/>
    <col min="13110" max="13110" width="29.42578125" style="585" customWidth="1"/>
    <col min="13111" max="13123" width="9.140625" style="585"/>
    <col min="13124" max="13124" width="15.7109375" style="585" customWidth="1"/>
    <col min="13125" max="13141" width="9.140625" style="585"/>
    <col min="13142" max="13142" width="19.140625" style="585" customWidth="1"/>
    <col min="13143" max="13159" width="9.140625" style="585"/>
    <col min="13160" max="13160" width="30.7109375" style="585" customWidth="1"/>
    <col min="13161" max="13165" width="10.7109375" style="585" customWidth="1"/>
    <col min="13166" max="13167" width="9.140625" style="585"/>
    <col min="13168" max="13168" width="15.7109375" style="585" customWidth="1"/>
    <col min="13169" max="13183" width="7.7109375" style="585" customWidth="1"/>
    <col min="13184" max="13312" width="9.140625" style="585"/>
    <col min="13313" max="13313" width="12.85546875" style="585" customWidth="1"/>
    <col min="13314" max="13314" width="14.85546875" style="585" customWidth="1"/>
    <col min="13315" max="13315" width="45.7109375" style="585" customWidth="1"/>
    <col min="13316" max="13316" width="10.140625" style="585" customWidth="1"/>
    <col min="13317" max="13317" width="14.7109375" style="585" customWidth="1"/>
    <col min="13318" max="13318" width="18.5703125" style="585" customWidth="1"/>
    <col min="13319" max="13319" width="11.85546875" style="585" customWidth="1"/>
    <col min="13320" max="13320" width="9.140625" style="585"/>
    <col min="13321" max="13321" width="47.5703125" style="585" bestFit="1" customWidth="1"/>
    <col min="13322" max="13322" width="8.5703125" style="585" bestFit="1" customWidth="1"/>
    <col min="13323" max="13323" width="14.85546875" style="585" bestFit="1" customWidth="1"/>
    <col min="13324" max="13325" width="9.140625" style="585"/>
    <col min="13326" max="13326" width="33" style="585" customWidth="1"/>
    <col min="13327" max="13327" width="18.42578125" style="585" customWidth="1"/>
    <col min="13328" max="13328" width="18.7109375" style="585" customWidth="1"/>
    <col min="13329" max="13330" width="9.140625" style="585"/>
    <col min="13331" max="13331" width="17.5703125" style="585" customWidth="1"/>
    <col min="13332" max="13332" width="14.7109375" style="585" customWidth="1"/>
    <col min="13333" max="13333" width="10.7109375" style="585" customWidth="1"/>
    <col min="13334" max="13334" width="12.7109375" style="585" customWidth="1"/>
    <col min="13335" max="13335" width="14.7109375" style="585" customWidth="1"/>
    <col min="13336" max="13336" width="10.7109375" style="585" customWidth="1"/>
    <col min="13337" max="13337" width="12.7109375" style="585" customWidth="1"/>
    <col min="13338" max="13339" width="9.140625" style="585"/>
    <col min="13340" max="13340" width="18.5703125" style="585" customWidth="1"/>
    <col min="13341" max="13349" width="9.140625" style="585"/>
    <col min="13350" max="13350" width="16.5703125" style="585" customWidth="1"/>
    <col min="13351" max="13356" width="9.140625" style="585"/>
    <col min="13357" max="13357" width="9.7109375" style="585" customWidth="1"/>
    <col min="13358" max="13359" width="9.140625" style="585"/>
    <col min="13360" max="13360" width="25.5703125" style="585" customWidth="1"/>
    <col min="13361" max="13363" width="15.7109375" style="585" customWidth="1"/>
    <col min="13364" max="13365" width="9.140625" style="585"/>
    <col min="13366" max="13366" width="29.42578125" style="585" customWidth="1"/>
    <col min="13367" max="13379" width="9.140625" style="585"/>
    <col min="13380" max="13380" width="15.7109375" style="585" customWidth="1"/>
    <col min="13381" max="13397" width="9.140625" style="585"/>
    <col min="13398" max="13398" width="19.140625" style="585" customWidth="1"/>
    <col min="13399" max="13415" width="9.140625" style="585"/>
    <col min="13416" max="13416" width="30.7109375" style="585" customWidth="1"/>
    <col min="13417" max="13421" width="10.7109375" style="585" customWidth="1"/>
    <col min="13422" max="13423" width="9.140625" style="585"/>
    <col min="13424" max="13424" width="15.7109375" style="585" customWidth="1"/>
    <col min="13425" max="13439" width="7.7109375" style="585" customWidth="1"/>
    <col min="13440" max="13568" width="9.140625" style="585"/>
    <col min="13569" max="13569" width="12.85546875" style="585" customWidth="1"/>
    <col min="13570" max="13570" width="14.85546875" style="585" customWidth="1"/>
    <col min="13571" max="13571" width="45.7109375" style="585" customWidth="1"/>
    <col min="13572" max="13572" width="10.140625" style="585" customWidth="1"/>
    <col min="13573" max="13573" width="14.7109375" style="585" customWidth="1"/>
    <col min="13574" max="13574" width="18.5703125" style="585" customWidth="1"/>
    <col min="13575" max="13575" width="11.85546875" style="585" customWidth="1"/>
    <col min="13576" max="13576" width="9.140625" style="585"/>
    <col min="13577" max="13577" width="47.5703125" style="585" bestFit="1" customWidth="1"/>
    <col min="13578" max="13578" width="8.5703125" style="585" bestFit="1" customWidth="1"/>
    <col min="13579" max="13579" width="14.85546875" style="585" bestFit="1" customWidth="1"/>
    <col min="13580" max="13581" width="9.140625" style="585"/>
    <col min="13582" max="13582" width="33" style="585" customWidth="1"/>
    <col min="13583" max="13583" width="18.42578125" style="585" customWidth="1"/>
    <col min="13584" max="13584" width="18.7109375" style="585" customWidth="1"/>
    <col min="13585" max="13586" width="9.140625" style="585"/>
    <col min="13587" max="13587" width="17.5703125" style="585" customWidth="1"/>
    <col min="13588" max="13588" width="14.7109375" style="585" customWidth="1"/>
    <col min="13589" max="13589" width="10.7109375" style="585" customWidth="1"/>
    <col min="13590" max="13590" width="12.7109375" style="585" customWidth="1"/>
    <col min="13591" max="13591" width="14.7109375" style="585" customWidth="1"/>
    <col min="13592" max="13592" width="10.7109375" style="585" customWidth="1"/>
    <col min="13593" max="13593" width="12.7109375" style="585" customWidth="1"/>
    <col min="13594" max="13595" width="9.140625" style="585"/>
    <col min="13596" max="13596" width="18.5703125" style="585" customWidth="1"/>
    <col min="13597" max="13605" width="9.140625" style="585"/>
    <col min="13606" max="13606" width="16.5703125" style="585" customWidth="1"/>
    <col min="13607" max="13612" width="9.140625" style="585"/>
    <col min="13613" max="13613" width="9.7109375" style="585" customWidth="1"/>
    <col min="13614" max="13615" width="9.140625" style="585"/>
    <col min="13616" max="13616" width="25.5703125" style="585" customWidth="1"/>
    <col min="13617" max="13619" width="15.7109375" style="585" customWidth="1"/>
    <col min="13620" max="13621" width="9.140625" style="585"/>
    <col min="13622" max="13622" width="29.42578125" style="585" customWidth="1"/>
    <col min="13623" max="13635" width="9.140625" style="585"/>
    <col min="13636" max="13636" width="15.7109375" style="585" customWidth="1"/>
    <col min="13637" max="13653" width="9.140625" style="585"/>
    <col min="13654" max="13654" width="19.140625" style="585" customWidth="1"/>
    <col min="13655" max="13671" width="9.140625" style="585"/>
    <col min="13672" max="13672" width="30.7109375" style="585" customWidth="1"/>
    <col min="13673" max="13677" width="10.7109375" style="585" customWidth="1"/>
    <col min="13678" max="13679" width="9.140625" style="585"/>
    <col min="13680" max="13680" width="15.7109375" style="585" customWidth="1"/>
    <col min="13681" max="13695" width="7.7109375" style="585" customWidth="1"/>
    <col min="13696" max="13824" width="9.140625" style="585"/>
    <col min="13825" max="13825" width="12.85546875" style="585" customWidth="1"/>
    <col min="13826" max="13826" width="14.85546875" style="585" customWidth="1"/>
    <col min="13827" max="13827" width="45.7109375" style="585" customWidth="1"/>
    <col min="13828" max="13828" width="10.140625" style="585" customWidth="1"/>
    <col min="13829" max="13829" width="14.7109375" style="585" customWidth="1"/>
    <col min="13830" max="13830" width="18.5703125" style="585" customWidth="1"/>
    <col min="13831" max="13831" width="11.85546875" style="585" customWidth="1"/>
    <col min="13832" max="13832" width="9.140625" style="585"/>
    <col min="13833" max="13833" width="47.5703125" style="585" bestFit="1" customWidth="1"/>
    <col min="13834" max="13834" width="8.5703125" style="585" bestFit="1" customWidth="1"/>
    <col min="13835" max="13835" width="14.85546875" style="585" bestFit="1" customWidth="1"/>
    <col min="13836" max="13837" width="9.140625" style="585"/>
    <col min="13838" max="13838" width="33" style="585" customWidth="1"/>
    <col min="13839" max="13839" width="18.42578125" style="585" customWidth="1"/>
    <col min="13840" max="13840" width="18.7109375" style="585" customWidth="1"/>
    <col min="13841" max="13842" width="9.140625" style="585"/>
    <col min="13843" max="13843" width="17.5703125" style="585" customWidth="1"/>
    <col min="13844" max="13844" width="14.7109375" style="585" customWidth="1"/>
    <col min="13845" max="13845" width="10.7109375" style="585" customWidth="1"/>
    <col min="13846" max="13846" width="12.7109375" style="585" customWidth="1"/>
    <col min="13847" max="13847" width="14.7109375" style="585" customWidth="1"/>
    <col min="13848" max="13848" width="10.7109375" style="585" customWidth="1"/>
    <col min="13849" max="13849" width="12.7109375" style="585" customWidth="1"/>
    <col min="13850" max="13851" width="9.140625" style="585"/>
    <col min="13852" max="13852" width="18.5703125" style="585" customWidth="1"/>
    <col min="13853" max="13861" width="9.140625" style="585"/>
    <col min="13862" max="13862" width="16.5703125" style="585" customWidth="1"/>
    <col min="13863" max="13868" width="9.140625" style="585"/>
    <col min="13869" max="13869" width="9.7109375" style="585" customWidth="1"/>
    <col min="13870" max="13871" width="9.140625" style="585"/>
    <col min="13872" max="13872" width="25.5703125" style="585" customWidth="1"/>
    <col min="13873" max="13875" width="15.7109375" style="585" customWidth="1"/>
    <col min="13876" max="13877" width="9.140625" style="585"/>
    <col min="13878" max="13878" width="29.42578125" style="585" customWidth="1"/>
    <col min="13879" max="13891" width="9.140625" style="585"/>
    <col min="13892" max="13892" width="15.7109375" style="585" customWidth="1"/>
    <col min="13893" max="13909" width="9.140625" style="585"/>
    <col min="13910" max="13910" width="19.140625" style="585" customWidth="1"/>
    <col min="13911" max="13927" width="9.140625" style="585"/>
    <col min="13928" max="13928" width="30.7109375" style="585" customWidth="1"/>
    <col min="13929" max="13933" width="10.7109375" style="585" customWidth="1"/>
    <col min="13934" max="13935" width="9.140625" style="585"/>
    <col min="13936" max="13936" width="15.7109375" style="585" customWidth="1"/>
    <col min="13937" max="13951" width="7.7109375" style="585" customWidth="1"/>
    <col min="13952" max="14080" width="9.140625" style="585"/>
    <col min="14081" max="14081" width="12.85546875" style="585" customWidth="1"/>
    <col min="14082" max="14082" width="14.85546875" style="585" customWidth="1"/>
    <col min="14083" max="14083" width="45.7109375" style="585" customWidth="1"/>
    <col min="14084" max="14084" width="10.140625" style="585" customWidth="1"/>
    <col min="14085" max="14085" width="14.7109375" style="585" customWidth="1"/>
    <col min="14086" max="14086" width="18.5703125" style="585" customWidth="1"/>
    <col min="14087" max="14087" width="11.85546875" style="585" customWidth="1"/>
    <col min="14088" max="14088" width="9.140625" style="585"/>
    <col min="14089" max="14089" width="47.5703125" style="585" bestFit="1" customWidth="1"/>
    <col min="14090" max="14090" width="8.5703125" style="585" bestFit="1" customWidth="1"/>
    <col min="14091" max="14091" width="14.85546875" style="585" bestFit="1" customWidth="1"/>
    <col min="14092" max="14093" width="9.140625" style="585"/>
    <col min="14094" max="14094" width="33" style="585" customWidth="1"/>
    <col min="14095" max="14095" width="18.42578125" style="585" customWidth="1"/>
    <col min="14096" max="14096" width="18.7109375" style="585" customWidth="1"/>
    <col min="14097" max="14098" width="9.140625" style="585"/>
    <col min="14099" max="14099" width="17.5703125" style="585" customWidth="1"/>
    <col min="14100" max="14100" width="14.7109375" style="585" customWidth="1"/>
    <col min="14101" max="14101" width="10.7109375" style="585" customWidth="1"/>
    <col min="14102" max="14102" width="12.7109375" style="585" customWidth="1"/>
    <col min="14103" max="14103" width="14.7109375" style="585" customWidth="1"/>
    <col min="14104" max="14104" width="10.7109375" style="585" customWidth="1"/>
    <col min="14105" max="14105" width="12.7109375" style="585" customWidth="1"/>
    <col min="14106" max="14107" width="9.140625" style="585"/>
    <col min="14108" max="14108" width="18.5703125" style="585" customWidth="1"/>
    <col min="14109" max="14117" width="9.140625" style="585"/>
    <col min="14118" max="14118" width="16.5703125" style="585" customWidth="1"/>
    <col min="14119" max="14124" width="9.140625" style="585"/>
    <col min="14125" max="14125" width="9.7109375" style="585" customWidth="1"/>
    <col min="14126" max="14127" width="9.140625" style="585"/>
    <col min="14128" max="14128" width="25.5703125" style="585" customWidth="1"/>
    <col min="14129" max="14131" width="15.7109375" style="585" customWidth="1"/>
    <col min="14132" max="14133" width="9.140625" style="585"/>
    <col min="14134" max="14134" width="29.42578125" style="585" customWidth="1"/>
    <col min="14135" max="14147" width="9.140625" style="585"/>
    <col min="14148" max="14148" width="15.7109375" style="585" customWidth="1"/>
    <col min="14149" max="14165" width="9.140625" style="585"/>
    <col min="14166" max="14166" width="19.140625" style="585" customWidth="1"/>
    <col min="14167" max="14183" width="9.140625" style="585"/>
    <col min="14184" max="14184" width="30.7109375" style="585" customWidth="1"/>
    <col min="14185" max="14189" width="10.7109375" style="585" customWidth="1"/>
    <col min="14190" max="14191" width="9.140625" style="585"/>
    <col min="14192" max="14192" width="15.7109375" style="585" customWidth="1"/>
    <col min="14193" max="14207" width="7.7109375" style="585" customWidth="1"/>
    <col min="14208" max="14336" width="9.140625" style="585"/>
    <col min="14337" max="14337" width="12.85546875" style="585" customWidth="1"/>
    <col min="14338" max="14338" width="14.85546875" style="585" customWidth="1"/>
    <col min="14339" max="14339" width="45.7109375" style="585" customWidth="1"/>
    <col min="14340" max="14340" width="10.140625" style="585" customWidth="1"/>
    <col min="14341" max="14341" width="14.7109375" style="585" customWidth="1"/>
    <col min="14342" max="14342" width="18.5703125" style="585" customWidth="1"/>
    <col min="14343" max="14343" width="11.85546875" style="585" customWidth="1"/>
    <col min="14344" max="14344" width="9.140625" style="585"/>
    <col min="14345" max="14345" width="47.5703125" style="585" bestFit="1" customWidth="1"/>
    <col min="14346" max="14346" width="8.5703125" style="585" bestFit="1" customWidth="1"/>
    <col min="14347" max="14347" width="14.85546875" style="585" bestFit="1" customWidth="1"/>
    <col min="14348" max="14349" width="9.140625" style="585"/>
    <col min="14350" max="14350" width="33" style="585" customWidth="1"/>
    <col min="14351" max="14351" width="18.42578125" style="585" customWidth="1"/>
    <col min="14352" max="14352" width="18.7109375" style="585" customWidth="1"/>
    <col min="14353" max="14354" width="9.140625" style="585"/>
    <col min="14355" max="14355" width="17.5703125" style="585" customWidth="1"/>
    <col min="14356" max="14356" width="14.7109375" style="585" customWidth="1"/>
    <col min="14357" max="14357" width="10.7109375" style="585" customWidth="1"/>
    <col min="14358" max="14358" width="12.7109375" style="585" customWidth="1"/>
    <col min="14359" max="14359" width="14.7109375" style="585" customWidth="1"/>
    <col min="14360" max="14360" width="10.7109375" style="585" customWidth="1"/>
    <col min="14361" max="14361" width="12.7109375" style="585" customWidth="1"/>
    <col min="14362" max="14363" width="9.140625" style="585"/>
    <col min="14364" max="14364" width="18.5703125" style="585" customWidth="1"/>
    <col min="14365" max="14373" width="9.140625" style="585"/>
    <col min="14374" max="14374" width="16.5703125" style="585" customWidth="1"/>
    <col min="14375" max="14380" width="9.140625" style="585"/>
    <col min="14381" max="14381" width="9.7109375" style="585" customWidth="1"/>
    <col min="14382" max="14383" width="9.140625" style="585"/>
    <col min="14384" max="14384" width="25.5703125" style="585" customWidth="1"/>
    <col min="14385" max="14387" width="15.7109375" style="585" customWidth="1"/>
    <col min="14388" max="14389" width="9.140625" style="585"/>
    <col min="14390" max="14390" width="29.42578125" style="585" customWidth="1"/>
    <col min="14391" max="14403" width="9.140625" style="585"/>
    <col min="14404" max="14404" width="15.7109375" style="585" customWidth="1"/>
    <col min="14405" max="14421" width="9.140625" style="585"/>
    <col min="14422" max="14422" width="19.140625" style="585" customWidth="1"/>
    <col min="14423" max="14439" width="9.140625" style="585"/>
    <col min="14440" max="14440" width="30.7109375" style="585" customWidth="1"/>
    <col min="14441" max="14445" width="10.7109375" style="585" customWidth="1"/>
    <col min="14446" max="14447" width="9.140625" style="585"/>
    <col min="14448" max="14448" width="15.7109375" style="585" customWidth="1"/>
    <col min="14449" max="14463" width="7.7109375" style="585" customWidth="1"/>
    <col min="14464" max="14592" width="9.140625" style="585"/>
    <col min="14593" max="14593" width="12.85546875" style="585" customWidth="1"/>
    <col min="14594" max="14594" width="14.85546875" style="585" customWidth="1"/>
    <col min="14595" max="14595" width="45.7109375" style="585" customWidth="1"/>
    <col min="14596" max="14596" width="10.140625" style="585" customWidth="1"/>
    <col min="14597" max="14597" width="14.7109375" style="585" customWidth="1"/>
    <col min="14598" max="14598" width="18.5703125" style="585" customWidth="1"/>
    <col min="14599" max="14599" width="11.85546875" style="585" customWidth="1"/>
    <col min="14600" max="14600" width="9.140625" style="585"/>
    <col min="14601" max="14601" width="47.5703125" style="585" bestFit="1" customWidth="1"/>
    <col min="14602" max="14602" width="8.5703125" style="585" bestFit="1" customWidth="1"/>
    <col min="14603" max="14603" width="14.85546875" style="585" bestFit="1" customWidth="1"/>
    <col min="14604" max="14605" width="9.140625" style="585"/>
    <col min="14606" max="14606" width="33" style="585" customWidth="1"/>
    <col min="14607" max="14607" width="18.42578125" style="585" customWidth="1"/>
    <col min="14608" max="14608" width="18.7109375" style="585" customWidth="1"/>
    <col min="14609" max="14610" width="9.140625" style="585"/>
    <col min="14611" max="14611" width="17.5703125" style="585" customWidth="1"/>
    <col min="14612" max="14612" width="14.7109375" style="585" customWidth="1"/>
    <col min="14613" max="14613" width="10.7109375" style="585" customWidth="1"/>
    <col min="14614" max="14614" width="12.7109375" style="585" customWidth="1"/>
    <col min="14615" max="14615" width="14.7109375" style="585" customWidth="1"/>
    <col min="14616" max="14616" width="10.7109375" style="585" customWidth="1"/>
    <col min="14617" max="14617" width="12.7109375" style="585" customWidth="1"/>
    <col min="14618" max="14619" width="9.140625" style="585"/>
    <col min="14620" max="14620" width="18.5703125" style="585" customWidth="1"/>
    <col min="14621" max="14629" width="9.140625" style="585"/>
    <col min="14630" max="14630" width="16.5703125" style="585" customWidth="1"/>
    <col min="14631" max="14636" width="9.140625" style="585"/>
    <col min="14637" max="14637" width="9.7109375" style="585" customWidth="1"/>
    <col min="14638" max="14639" width="9.140625" style="585"/>
    <col min="14640" max="14640" width="25.5703125" style="585" customWidth="1"/>
    <col min="14641" max="14643" width="15.7109375" style="585" customWidth="1"/>
    <col min="14644" max="14645" width="9.140625" style="585"/>
    <col min="14646" max="14646" width="29.42578125" style="585" customWidth="1"/>
    <col min="14647" max="14659" width="9.140625" style="585"/>
    <col min="14660" max="14660" width="15.7109375" style="585" customWidth="1"/>
    <col min="14661" max="14677" width="9.140625" style="585"/>
    <col min="14678" max="14678" width="19.140625" style="585" customWidth="1"/>
    <col min="14679" max="14695" width="9.140625" style="585"/>
    <col min="14696" max="14696" width="30.7109375" style="585" customWidth="1"/>
    <col min="14697" max="14701" width="10.7109375" style="585" customWidth="1"/>
    <col min="14702" max="14703" width="9.140625" style="585"/>
    <col min="14704" max="14704" width="15.7109375" style="585" customWidth="1"/>
    <col min="14705" max="14719" width="7.7109375" style="585" customWidth="1"/>
    <col min="14720" max="14848" width="9.140625" style="585"/>
    <col min="14849" max="14849" width="12.85546875" style="585" customWidth="1"/>
    <col min="14850" max="14850" width="14.85546875" style="585" customWidth="1"/>
    <col min="14851" max="14851" width="45.7109375" style="585" customWidth="1"/>
    <col min="14852" max="14852" width="10.140625" style="585" customWidth="1"/>
    <col min="14853" max="14853" width="14.7109375" style="585" customWidth="1"/>
    <col min="14854" max="14854" width="18.5703125" style="585" customWidth="1"/>
    <col min="14855" max="14855" width="11.85546875" style="585" customWidth="1"/>
    <col min="14856" max="14856" width="9.140625" style="585"/>
    <col min="14857" max="14857" width="47.5703125" style="585" bestFit="1" customWidth="1"/>
    <col min="14858" max="14858" width="8.5703125" style="585" bestFit="1" customWidth="1"/>
    <col min="14859" max="14859" width="14.85546875" style="585" bestFit="1" customWidth="1"/>
    <col min="14860" max="14861" width="9.140625" style="585"/>
    <col min="14862" max="14862" width="33" style="585" customWidth="1"/>
    <col min="14863" max="14863" width="18.42578125" style="585" customWidth="1"/>
    <col min="14864" max="14864" width="18.7109375" style="585" customWidth="1"/>
    <col min="14865" max="14866" width="9.140625" style="585"/>
    <col min="14867" max="14867" width="17.5703125" style="585" customWidth="1"/>
    <col min="14868" max="14868" width="14.7109375" style="585" customWidth="1"/>
    <col min="14869" max="14869" width="10.7109375" style="585" customWidth="1"/>
    <col min="14870" max="14870" width="12.7109375" style="585" customWidth="1"/>
    <col min="14871" max="14871" width="14.7109375" style="585" customWidth="1"/>
    <col min="14872" max="14872" width="10.7109375" style="585" customWidth="1"/>
    <col min="14873" max="14873" width="12.7109375" style="585" customWidth="1"/>
    <col min="14874" max="14875" width="9.140625" style="585"/>
    <col min="14876" max="14876" width="18.5703125" style="585" customWidth="1"/>
    <col min="14877" max="14885" width="9.140625" style="585"/>
    <col min="14886" max="14886" width="16.5703125" style="585" customWidth="1"/>
    <col min="14887" max="14892" width="9.140625" style="585"/>
    <col min="14893" max="14893" width="9.7109375" style="585" customWidth="1"/>
    <col min="14894" max="14895" width="9.140625" style="585"/>
    <col min="14896" max="14896" width="25.5703125" style="585" customWidth="1"/>
    <col min="14897" max="14899" width="15.7109375" style="585" customWidth="1"/>
    <col min="14900" max="14901" width="9.140625" style="585"/>
    <col min="14902" max="14902" width="29.42578125" style="585" customWidth="1"/>
    <col min="14903" max="14915" width="9.140625" style="585"/>
    <col min="14916" max="14916" width="15.7109375" style="585" customWidth="1"/>
    <col min="14917" max="14933" width="9.140625" style="585"/>
    <col min="14934" max="14934" width="19.140625" style="585" customWidth="1"/>
    <col min="14935" max="14951" width="9.140625" style="585"/>
    <col min="14952" max="14952" width="30.7109375" style="585" customWidth="1"/>
    <col min="14953" max="14957" width="10.7109375" style="585" customWidth="1"/>
    <col min="14958" max="14959" width="9.140625" style="585"/>
    <col min="14960" max="14960" width="15.7109375" style="585" customWidth="1"/>
    <col min="14961" max="14975" width="7.7109375" style="585" customWidth="1"/>
    <col min="14976" max="15104" width="9.140625" style="585"/>
    <col min="15105" max="15105" width="12.85546875" style="585" customWidth="1"/>
    <col min="15106" max="15106" width="14.85546875" style="585" customWidth="1"/>
    <col min="15107" max="15107" width="45.7109375" style="585" customWidth="1"/>
    <col min="15108" max="15108" width="10.140625" style="585" customWidth="1"/>
    <col min="15109" max="15109" width="14.7109375" style="585" customWidth="1"/>
    <col min="15110" max="15110" width="18.5703125" style="585" customWidth="1"/>
    <col min="15111" max="15111" width="11.85546875" style="585" customWidth="1"/>
    <col min="15112" max="15112" width="9.140625" style="585"/>
    <col min="15113" max="15113" width="47.5703125" style="585" bestFit="1" customWidth="1"/>
    <col min="15114" max="15114" width="8.5703125" style="585" bestFit="1" customWidth="1"/>
    <col min="15115" max="15115" width="14.85546875" style="585" bestFit="1" customWidth="1"/>
    <col min="15116" max="15117" width="9.140625" style="585"/>
    <col min="15118" max="15118" width="33" style="585" customWidth="1"/>
    <col min="15119" max="15119" width="18.42578125" style="585" customWidth="1"/>
    <col min="15120" max="15120" width="18.7109375" style="585" customWidth="1"/>
    <col min="15121" max="15122" width="9.140625" style="585"/>
    <col min="15123" max="15123" width="17.5703125" style="585" customWidth="1"/>
    <col min="15124" max="15124" width="14.7109375" style="585" customWidth="1"/>
    <col min="15125" max="15125" width="10.7109375" style="585" customWidth="1"/>
    <col min="15126" max="15126" width="12.7109375" style="585" customWidth="1"/>
    <col min="15127" max="15127" width="14.7109375" style="585" customWidth="1"/>
    <col min="15128" max="15128" width="10.7109375" style="585" customWidth="1"/>
    <col min="15129" max="15129" width="12.7109375" style="585" customWidth="1"/>
    <col min="15130" max="15131" width="9.140625" style="585"/>
    <col min="15132" max="15132" width="18.5703125" style="585" customWidth="1"/>
    <col min="15133" max="15141" width="9.140625" style="585"/>
    <col min="15142" max="15142" width="16.5703125" style="585" customWidth="1"/>
    <col min="15143" max="15148" width="9.140625" style="585"/>
    <col min="15149" max="15149" width="9.7109375" style="585" customWidth="1"/>
    <col min="15150" max="15151" width="9.140625" style="585"/>
    <col min="15152" max="15152" width="25.5703125" style="585" customWidth="1"/>
    <col min="15153" max="15155" width="15.7109375" style="585" customWidth="1"/>
    <col min="15156" max="15157" width="9.140625" style="585"/>
    <col min="15158" max="15158" width="29.42578125" style="585" customWidth="1"/>
    <col min="15159" max="15171" width="9.140625" style="585"/>
    <col min="15172" max="15172" width="15.7109375" style="585" customWidth="1"/>
    <col min="15173" max="15189" width="9.140625" style="585"/>
    <col min="15190" max="15190" width="19.140625" style="585" customWidth="1"/>
    <col min="15191" max="15207" width="9.140625" style="585"/>
    <col min="15208" max="15208" width="30.7109375" style="585" customWidth="1"/>
    <col min="15209" max="15213" width="10.7109375" style="585" customWidth="1"/>
    <col min="15214" max="15215" width="9.140625" style="585"/>
    <col min="15216" max="15216" width="15.7109375" style="585" customWidth="1"/>
    <col min="15217" max="15231" width="7.7109375" style="585" customWidth="1"/>
    <col min="15232" max="15360" width="9.140625" style="585"/>
    <col min="15361" max="15361" width="12.85546875" style="585" customWidth="1"/>
    <col min="15362" max="15362" width="14.85546875" style="585" customWidth="1"/>
    <col min="15363" max="15363" width="45.7109375" style="585" customWidth="1"/>
    <col min="15364" max="15364" width="10.140625" style="585" customWidth="1"/>
    <col min="15365" max="15365" width="14.7109375" style="585" customWidth="1"/>
    <col min="15366" max="15366" width="18.5703125" style="585" customWidth="1"/>
    <col min="15367" max="15367" width="11.85546875" style="585" customWidth="1"/>
    <col min="15368" max="15368" width="9.140625" style="585"/>
    <col min="15369" max="15369" width="47.5703125" style="585" bestFit="1" customWidth="1"/>
    <col min="15370" max="15370" width="8.5703125" style="585" bestFit="1" customWidth="1"/>
    <col min="15371" max="15371" width="14.85546875" style="585" bestFit="1" customWidth="1"/>
    <col min="15372" max="15373" width="9.140625" style="585"/>
    <col min="15374" max="15374" width="33" style="585" customWidth="1"/>
    <col min="15375" max="15375" width="18.42578125" style="585" customWidth="1"/>
    <col min="15376" max="15376" width="18.7109375" style="585" customWidth="1"/>
    <col min="15377" max="15378" width="9.140625" style="585"/>
    <col min="15379" max="15379" width="17.5703125" style="585" customWidth="1"/>
    <col min="15380" max="15380" width="14.7109375" style="585" customWidth="1"/>
    <col min="15381" max="15381" width="10.7109375" style="585" customWidth="1"/>
    <col min="15382" max="15382" width="12.7109375" style="585" customWidth="1"/>
    <col min="15383" max="15383" width="14.7109375" style="585" customWidth="1"/>
    <col min="15384" max="15384" width="10.7109375" style="585" customWidth="1"/>
    <col min="15385" max="15385" width="12.7109375" style="585" customWidth="1"/>
    <col min="15386" max="15387" width="9.140625" style="585"/>
    <col min="15388" max="15388" width="18.5703125" style="585" customWidth="1"/>
    <col min="15389" max="15397" width="9.140625" style="585"/>
    <col min="15398" max="15398" width="16.5703125" style="585" customWidth="1"/>
    <col min="15399" max="15404" width="9.140625" style="585"/>
    <col min="15405" max="15405" width="9.7109375" style="585" customWidth="1"/>
    <col min="15406" max="15407" width="9.140625" style="585"/>
    <col min="15408" max="15408" width="25.5703125" style="585" customWidth="1"/>
    <col min="15409" max="15411" width="15.7109375" style="585" customWidth="1"/>
    <col min="15412" max="15413" width="9.140625" style="585"/>
    <col min="15414" max="15414" width="29.42578125" style="585" customWidth="1"/>
    <col min="15415" max="15427" width="9.140625" style="585"/>
    <col min="15428" max="15428" width="15.7109375" style="585" customWidth="1"/>
    <col min="15429" max="15445" width="9.140625" style="585"/>
    <col min="15446" max="15446" width="19.140625" style="585" customWidth="1"/>
    <col min="15447" max="15463" width="9.140625" style="585"/>
    <col min="15464" max="15464" width="30.7109375" style="585" customWidth="1"/>
    <col min="15465" max="15469" width="10.7109375" style="585" customWidth="1"/>
    <col min="15470" max="15471" width="9.140625" style="585"/>
    <col min="15472" max="15472" width="15.7109375" style="585" customWidth="1"/>
    <col min="15473" max="15487" width="7.7109375" style="585" customWidth="1"/>
    <col min="15488" max="15616" width="9.140625" style="585"/>
    <col min="15617" max="15617" width="12.85546875" style="585" customWidth="1"/>
    <col min="15618" max="15618" width="14.85546875" style="585" customWidth="1"/>
    <col min="15619" max="15619" width="45.7109375" style="585" customWidth="1"/>
    <col min="15620" max="15620" width="10.140625" style="585" customWidth="1"/>
    <col min="15621" max="15621" width="14.7109375" style="585" customWidth="1"/>
    <col min="15622" max="15622" width="18.5703125" style="585" customWidth="1"/>
    <col min="15623" max="15623" width="11.85546875" style="585" customWidth="1"/>
    <col min="15624" max="15624" width="9.140625" style="585"/>
    <col min="15625" max="15625" width="47.5703125" style="585" bestFit="1" customWidth="1"/>
    <col min="15626" max="15626" width="8.5703125" style="585" bestFit="1" customWidth="1"/>
    <col min="15627" max="15627" width="14.85546875" style="585" bestFit="1" customWidth="1"/>
    <col min="15628" max="15629" width="9.140625" style="585"/>
    <col min="15630" max="15630" width="33" style="585" customWidth="1"/>
    <col min="15631" max="15631" width="18.42578125" style="585" customWidth="1"/>
    <col min="15632" max="15632" width="18.7109375" style="585" customWidth="1"/>
    <col min="15633" max="15634" width="9.140625" style="585"/>
    <col min="15635" max="15635" width="17.5703125" style="585" customWidth="1"/>
    <col min="15636" max="15636" width="14.7109375" style="585" customWidth="1"/>
    <col min="15637" max="15637" width="10.7109375" style="585" customWidth="1"/>
    <col min="15638" max="15638" width="12.7109375" style="585" customWidth="1"/>
    <col min="15639" max="15639" width="14.7109375" style="585" customWidth="1"/>
    <col min="15640" max="15640" width="10.7109375" style="585" customWidth="1"/>
    <col min="15641" max="15641" width="12.7109375" style="585" customWidth="1"/>
    <col min="15642" max="15643" width="9.140625" style="585"/>
    <col min="15644" max="15644" width="18.5703125" style="585" customWidth="1"/>
    <col min="15645" max="15653" width="9.140625" style="585"/>
    <col min="15654" max="15654" width="16.5703125" style="585" customWidth="1"/>
    <col min="15655" max="15660" width="9.140625" style="585"/>
    <col min="15661" max="15661" width="9.7109375" style="585" customWidth="1"/>
    <col min="15662" max="15663" width="9.140625" style="585"/>
    <col min="15664" max="15664" width="25.5703125" style="585" customWidth="1"/>
    <col min="15665" max="15667" width="15.7109375" style="585" customWidth="1"/>
    <col min="15668" max="15669" width="9.140625" style="585"/>
    <col min="15670" max="15670" width="29.42578125" style="585" customWidth="1"/>
    <col min="15671" max="15683" width="9.140625" style="585"/>
    <col min="15684" max="15684" width="15.7109375" style="585" customWidth="1"/>
    <col min="15685" max="15701" width="9.140625" style="585"/>
    <col min="15702" max="15702" width="19.140625" style="585" customWidth="1"/>
    <col min="15703" max="15719" width="9.140625" style="585"/>
    <col min="15720" max="15720" width="30.7109375" style="585" customWidth="1"/>
    <col min="15721" max="15725" width="10.7109375" style="585" customWidth="1"/>
    <col min="15726" max="15727" width="9.140625" style="585"/>
    <col min="15728" max="15728" width="15.7109375" style="585" customWidth="1"/>
    <col min="15729" max="15743" width="7.7109375" style="585" customWidth="1"/>
    <col min="15744" max="15872" width="9.140625" style="585"/>
    <col min="15873" max="15873" width="12.85546875" style="585" customWidth="1"/>
    <col min="15874" max="15874" width="14.85546875" style="585" customWidth="1"/>
    <col min="15875" max="15875" width="45.7109375" style="585" customWidth="1"/>
    <col min="15876" max="15876" width="10.140625" style="585" customWidth="1"/>
    <col min="15877" max="15877" width="14.7109375" style="585" customWidth="1"/>
    <col min="15878" max="15878" width="18.5703125" style="585" customWidth="1"/>
    <col min="15879" max="15879" width="11.85546875" style="585" customWidth="1"/>
    <col min="15880" max="15880" width="9.140625" style="585"/>
    <col min="15881" max="15881" width="47.5703125" style="585" bestFit="1" customWidth="1"/>
    <col min="15882" max="15882" width="8.5703125" style="585" bestFit="1" customWidth="1"/>
    <col min="15883" max="15883" width="14.85546875" style="585" bestFit="1" customWidth="1"/>
    <col min="15884" max="15885" width="9.140625" style="585"/>
    <col min="15886" max="15886" width="33" style="585" customWidth="1"/>
    <col min="15887" max="15887" width="18.42578125" style="585" customWidth="1"/>
    <col min="15888" max="15888" width="18.7109375" style="585" customWidth="1"/>
    <col min="15889" max="15890" width="9.140625" style="585"/>
    <col min="15891" max="15891" width="17.5703125" style="585" customWidth="1"/>
    <col min="15892" max="15892" width="14.7109375" style="585" customWidth="1"/>
    <col min="15893" max="15893" width="10.7109375" style="585" customWidth="1"/>
    <col min="15894" max="15894" width="12.7109375" style="585" customWidth="1"/>
    <col min="15895" max="15895" width="14.7109375" style="585" customWidth="1"/>
    <col min="15896" max="15896" width="10.7109375" style="585" customWidth="1"/>
    <col min="15897" max="15897" width="12.7109375" style="585" customWidth="1"/>
    <col min="15898" max="15899" width="9.140625" style="585"/>
    <col min="15900" max="15900" width="18.5703125" style="585" customWidth="1"/>
    <col min="15901" max="15909" width="9.140625" style="585"/>
    <col min="15910" max="15910" width="16.5703125" style="585" customWidth="1"/>
    <col min="15911" max="15916" width="9.140625" style="585"/>
    <col min="15917" max="15917" width="9.7109375" style="585" customWidth="1"/>
    <col min="15918" max="15919" width="9.140625" style="585"/>
    <col min="15920" max="15920" width="25.5703125" style="585" customWidth="1"/>
    <col min="15921" max="15923" width="15.7109375" style="585" customWidth="1"/>
    <col min="15924" max="15925" width="9.140625" style="585"/>
    <col min="15926" max="15926" width="29.42578125" style="585" customWidth="1"/>
    <col min="15927" max="15939" width="9.140625" style="585"/>
    <col min="15940" max="15940" width="15.7109375" style="585" customWidth="1"/>
    <col min="15941" max="15957" width="9.140625" style="585"/>
    <col min="15958" max="15958" width="19.140625" style="585" customWidth="1"/>
    <col min="15959" max="15975" width="9.140625" style="585"/>
    <col min="15976" max="15976" width="30.7109375" style="585" customWidth="1"/>
    <col min="15977" max="15981" width="10.7109375" style="585" customWidth="1"/>
    <col min="15982" max="15983" width="9.140625" style="585"/>
    <col min="15984" max="15984" width="15.7109375" style="585" customWidth="1"/>
    <col min="15985" max="15999" width="7.7109375" style="585" customWidth="1"/>
    <col min="16000" max="16128" width="9.140625" style="585"/>
    <col min="16129" max="16129" width="12.85546875" style="585" customWidth="1"/>
    <col min="16130" max="16130" width="14.85546875" style="585" customWidth="1"/>
    <col min="16131" max="16131" width="45.7109375" style="585" customWidth="1"/>
    <col min="16132" max="16132" width="10.140625" style="585" customWidth="1"/>
    <col min="16133" max="16133" width="14.7109375" style="585" customWidth="1"/>
    <col min="16134" max="16134" width="18.5703125" style="585" customWidth="1"/>
    <col min="16135" max="16135" width="11.85546875" style="585" customWidth="1"/>
    <col min="16136" max="16136" width="9.140625" style="585"/>
    <col min="16137" max="16137" width="47.5703125" style="585" bestFit="1" customWidth="1"/>
    <col min="16138" max="16138" width="8.5703125" style="585" bestFit="1" customWidth="1"/>
    <col min="16139" max="16139" width="14.85546875" style="585" bestFit="1" customWidth="1"/>
    <col min="16140" max="16141" width="9.140625" style="585"/>
    <col min="16142" max="16142" width="33" style="585" customWidth="1"/>
    <col min="16143" max="16143" width="18.42578125" style="585" customWidth="1"/>
    <col min="16144" max="16144" width="18.7109375" style="585" customWidth="1"/>
    <col min="16145" max="16146" width="9.140625" style="585"/>
    <col min="16147" max="16147" width="17.5703125" style="585" customWidth="1"/>
    <col min="16148" max="16148" width="14.7109375" style="585" customWidth="1"/>
    <col min="16149" max="16149" width="10.7109375" style="585" customWidth="1"/>
    <col min="16150" max="16150" width="12.7109375" style="585" customWidth="1"/>
    <col min="16151" max="16151" width="14.7109375" style="585" customWidth="1"/>
    <col min="16152" max="16152" width="10.7109375" style="585" customWidth="1"/>
    <col min="16153" max="16153" width="12.7109375" style="585" customWidth="1"/>
    <col min="16154" max="16155" width="9.140625" style="585"/>
    <col min="16156" max="16156" width="18.5703125" style="585" customWidth="1"/>
    <col min="16157" max="16165" width="9.140625" style="585"/>
    <col min="16166" max="16166" width="16.5703125" style="585" customWidth="1"/>
    <col min="16167" max="16172" width="9.140625" style="585"/>
    <col min="16173" max="16173" width="9.7109375" style="585" customWidth="1"/>
    <col min="16174" max="16175" width="9.140625" style="585"/>
    <col min="16176" max="16176" width="25.5703125" style="585" customWidth="1"/>
    <col min="16177" max="16179" width="15.7109375" style="585" customWidth="1"/>
    <col min="16180" max="16181" width="9.140625" style="585"/>
    <col min="16182" max="16182" width="29.42578125" style="585" customWidth="1"/>
    <col min="16183" max="16195" width="9.140625" style="585"/>
    <col min="16196" max="16196" width="15.7109375" style="585" customWidth="1"/>
    <col min="16197" max="16213" width="9.140625" style="585"/>
    <col min="16214" max="16214" width="19.140625" style="585" customWidth="1"/>
    <col min="16215" max="16231" width="9.140625" style="585"/>
    <col min="16232" max="16232" width="30.7109375" style="585" customWidth="1"/>
    <col min="16233" max="16237" width="10.7109375" style="585" customWidth="1"/>
    <col min="16238" max="16239" width="9.140625" style="585"/>
    <col min="16240" max="16240" width="15.7109375" style="585" customWidth="1"/>
    <col min="16241" max="16255" width="7.7109375" style="585" customWidth="1"/>
    <col min="16256" max="16384" width="9.140625" style="585"/>
  </cols>
  <sheetData>
    <row r="1" spans="1:127" ht="14.1" customHeight="1">
      <c r="A1" s="2106" t="s">
        <v>2981</v>
      </c>
      <c r="B1" s="2106"/>
      <c r="C1" s="2106"/>
      <c r="D1" s="2106"/>
      <c r="E1" s="2106"/>
      <c r="G1" s="2097" t="s">
        <v>2982</v>
      </c>
      <c r="H1" s="2097"/>
      <c r="I1" s="2097"/>
      <c r="J1" s="2097"/>
      <c r="K1" s="2097"/>
      <c r="N1" s="382" t="s">
        <v>2983</v>
      </c>
      <c r="S1" s="381" t="s">
        <v>2984</v>
      </c>
      <c r="T1" s="586"/>
      <c r="U1" s="586"/>
      <c r="V1" s="586"/>
      <c r="W1" s="586"/>
      <c r="X1" s="586"/>
      <c r="Y1" s="586"/>
      <c r="AB1" s="381" t="s">
        <v>2985</v>
      </c>
      <c r="AL1" s="381" t="s">
        <v>2986</v>
      </c>
      <c r="AM1" s="382"/>
      <c r="AN1" s="382"/>
      <c r="AO1" s="382"/>
      <c r="AP1" s="382"/>
      <c r="AQ1" s="382"/>
      <c r="AR1" s="382"/>
      <c r="AS1" s="382"/>
      <c r="AV1" s="381" t="s">
        <v>2987</v>
      </c>
      <c r="AW1" s="586"/>
      <c r="AX1" s="586"/>
      <c r="AY1" s="586"/>
      <c r="BB1" s="382" t="s">
        <v>2988</v>
      </c>
      <c r="BC1" s="381"/>
      <c r="BD1" s="381"/>
      <c r="BE1" s="381"/>
      <c r="BF1" s="381"/>
      <c r="BG1" s="381"/>
      <c r="BH1" s="381"/>
      <c r="BI1" s="381"/>
      <c r="BJ1" s="381"/>
      <c r="BK1" s="381"/>
      <c r="BL1" s="381"/>
      <c r="BM1" s="381"/>
      <c r="BP1" s="381" t="s">
        <v>2989</v>
      </c>
      <c r="BQ1" s="586"/>
      <c r="BR1" s="586"/>
      <c r="BS1" s="586"/>
      <c r="BT1" s="586"/>
      <c r="BU1" s="586"/>
      <c r="BV1" s="586"/>
      <c r="BW1" s="586"/>
      <c r="BX1" s="586"/>
      <c r="BY1" s="586"/>
      <c r="BZ1" s="586"/>
      <c r="CA1" s="586"/>
      <c r="CB1" s="586"/>
      <c r="CC1" s="586"/>
      <c r="CD1" s="586"/>
      <c r="CE1" s="586"/>
      <c r="CH1" s="381" t="s">
        <v>2990</v>
      </c>
      <c r="CI1" s="586"/>
      <c r="CJ1" s="586"/>
      <c r="CK1" s="586"/>
      <c r="CL1" s="586"/>
      <c r="CM1" s="586"/>
      <c r="CN1" s="586"/>
      <c r="CO1" s="586"/>
      <c r="CP1" s="586"/>
      <c r="CQ1" s="586"/>
      <c r="CR1" s="586"/>
      <c r="CS1" s="586"/>
      <c r="CT1" s="586"/>
      <c r="CU1" s="586"/>
      <c r="CV1" s="586"/>
      <c r="CW1" s="586"/>
      <c r="CZ1" s="381" t="s">
        <v>2991</v>
      </c>
      <c r="DA1" s="586"/>
      <c r="DB1" s="586"/>
      <c r="DC1" s="586"/>
      <c r="DD1" s="586"/>
      <c r="DE1" s="586"/>
      <c r="DH1" s="381" t="s">
        <v>2992</v>
      </c>
      <c r="DI1" s="586"/>
      <c r="DJ1" s="586"/>
      <c r="DK1" s="586"/>
      <c r="DL1" s="586"/>
      <c r="DM1" s="586"/>
      <c r="DN1" s="586"/>
      <c r="DO1" s="586"/>
      <c r="DP1" s="586"/>
      <c r="DQ1" s="586"/>
      <c r="DR1" s="586"/>
      <c r="DS1" s="586"/>
      <c r="DT1" s="586"/>
      <c r="DU1" s="586"/>
      <c r="DV1" s="586"/>
      <c r="DW1" s="586"/>
    </row>
    <row r="2" spans="1:127">
      <c r="A2" s="397" t="s">
        <v>2993</v>
      </c>
      <c r="B2" s="396" t="s">
        <v>1931</v>
      </c>
      <c r="C2" s="587" t="s">
        <v>2994</v>
      </c>
      <c r="D2" s="2070" t="s">
        <v>2995</v>
      </c>
      <c r="E2" s="2071"/>
      <c r="G2" s="399" t="s">
        <v>2993</v>
      </c>
      <c r="H2" s="587" t="s">
        <v>1931</v>
      </c>
      <c r="I2" s="587" t="s">
        <v>2994</v>
      </c>
      <c r="J2" s="2070" t="s">
        <v>2995</v>
      </c>
      <c r="K2" s="2071"/>
      <c r="N2" s="588" t="s">
        <v>2996</v>
      </c>
      <c r="O2" s="589" t="s">
        <v>2807</v>
      </c>
      <c r="P2" s="590" t="s">
        <v>2997</v>
      </c>
      <c r="T2" s="2101" t="s">
        <v>2998</v>
      </c>
      <c r="U2" s="2102"/>
      <c r="V2" s="2103"/>
      <c r="W2" s="2101" t="s">
        <v>2999</v>
      </c>
      <c r="X2" s="2102"/>
      <c r="Y2" s="2102"/>
      <c r="AB2" s="2076" t="s">
        <v>3000</v>
      </c>
      <c r="AC2" s="2107" t="s">
        <v>129</v>
      </c>
      <c r="AD2" s="2101" t="s">
        <v>3001</v>
      </c>
      <c r="AE2" s="2102"/>
      <c r="AF2" s="2102"/>
      <c r="AG2" s="2103"/>
      <c r="AH2" s="2107" t="s">
        <v>1967</v>
      </c>
      <c r="AI2" s="2109" t="s">
        <v>3002</v>
      </c>
      <c r="AJ2" s="594"/>
      <c r="AK2" s="594"/>
      <c r="AL2" s="2104" t="s">
        <v>3003</v>
      </c>
      <c r="AM2" s="2070" t="s">
        <v>3000</v>
      </c>
      <c r="AN2" s="2071"/>
      <c r="AO2" s="2071"/>
      <c r="AP2" s="2071"/>
      <c r="AQ2" s="2071"/>
      <c r="AR2" s="2071"/>
      <c r="AS2" s="2071"/>
      <c r="AV2" s="588" t="s">
        <v>3004</v>
      </c>
      <c r="AW2" s="595" t="s">
        <v>129</v>
      </c>
      <c r="AX2" s="596" t="s">
        <v>1711</v>
      </c>
      <c r="AY2" s="595" t="s">
        <v>1712</v>
      </c>
      <c r="BB2" s="597" t="s">
        <v>3005</v>
      </c>
      <c r="BC2" s="2098" t="s">
        <v>129</v>
      </c>
      <c r="BD2" s="2098"/>
      <c r="BE2" s="2098"/>
      <c r="BF2" s="2098" t="s">
        <v>845</v>
      </c>
      <c r="BG2" s="2098"/>
      <c r="BH2" s="2098"/>
      <c r="BI2" s="2098" t="s">
        <v>3006</v>
      </c>
      <c r="BJ2" s="2098"/>
      <c r="BK2" s="2098"/>
      <c r="BL2" s="2078" t="s">
        <v>528</v>
      </c>
      <c r="BM2" s="2079"/>
      <c r="BQ2" s="2101" t="s">
        <v>129</v>
      </c>
      <c r="BR2" s="2102"/>
      <c r="BS2" s="2102"/>
      <c r="BT2" s="2102"/>
      <c r="BU2" s="2103"/>
      <c r="BV2" s="2101" t="s">
        <v>1711</v>
      </c>
      <c r="BW2" s="2102"/>
      <c r="BX2" s="2102"/>
      <c r="BY2" s="2102"/>
      <c r="BZ2" s="2103"/>
      <c r="CA2" s="2101" t="s">
        <v>1712</v>
      </c>
      <c r="CB2" s="2102"/>
      <c r="CC2" s="2102"/>
      <c r="CD2" s="2102"/>
      <c r="CE2" s="2102"/>
      <c r="CI2" s="2101" t="s">
        <v>129</v>
      </c>
      <c r="CJ2" s="2102"/>
      <c r="CK2" s="2102"/>
      <c r="CL2" s="2102"/>
      <c r="CM2" s="2102"/>
      <c r="CN2" s="2101" t="s">
        <v>1711</v>
      </c>
      <c r="CO2" s="2102"/>
      <c r="CP2" s="2102"/>
      <c r="CQ2" s="2102"/>
      <c r="CR2" s="2103"/>
      <c r="CS2" s="2101" t="s">
        <v>1712</v>
      </c>
      <c r="CT2" s="2102"/>
      <c r="CU2" s="2102"/>
      <c r="CV2" s="2102"/>
      <c r="CW2" s="2102"/>
      <c r="DA2" s="2101" t="s">
        <v>129</v>
      </c>
      <c r="DB2" s="2102"/>
      <c r="DC2" s="2102"/>
      <c r="DD2" s="2102"/>
      <c r="DE2" s="2102"/>
      <c r="DI2" s="2101" t="s">
        <v>129</v>
      </c>
      <c r="DJ2" s="2102"/>
      <c r="DK2" s="2102"/>
      <c r="DL2" s="2102"/>
      <c r="DM2" s="2103"/>
      <c r="DN2" s="2101" t="s">
        <v>1711</v>
      </c>
      <c r="DO2" s="2102"/>
      <c r="DP2" s="2102"/>
      <c r="DQ2" s="2102"/>
      <c r="DR2" s="2102"/>
      <c r="DS2" s="2101" t="s">
        <v>1712</v>
      </c>
      <c r="DT2" s="2102"/>
      <c r="DU2" s="2102"/>
      <c r="DV2" s="2102"/>
      <c r="DW2" s="2102"/>
    </row>
    <row r="3" spans="1:127" ht="12.75" customHeight="1">
      <c r="A3" s="414" t="s">
        <v>3007</v>
      </c>
      <c r="B3" s="414" t="s">
        <v>3008</v>
      </c>
      <c r="C3" s="414" t="s">
        <v>3009</v>
      </c>
      <c r="D3" s="579"/>
      <c r="E3" s="579"/>
      <c r="G3" s="598" t="s">
        <v>3010</v>
      </c>
      <c r="H3" s="598" t="s">
        <v>3011</v>
      </c>
      <c r="I3" s="585" t="s">
        <v>3012</v>
      </c>
      <c r="K3" s="584">
        <v>700000</v>
      </c>
      <c r="N3" s="599" t="s">
        <v>129</v>
      </c>
      <c r="O3" s="600">
        <f>SUM(O4:O7)</f>
        <v>40280</v>
      </c>
      <c r="P3" s="601" t="s">
        <v>2824</v>
      </c>
      <c r="T3" s="422" t="s">
        <v>3013</v>
      </c>
      <c r="U3" s="602"/>
      <c r="V3" s="603" t="s">
        <v>3014</v>
      </c>
      <c r="W3" s="422" t="s">
        <v>3013</v>
      </c>
      <c r="X3" s="604"/>
      <c r="Y3" s="605" t="s">
        <v>3014</v>
      </c>
      <c r="AB3" s="2077"/>
      <c r="AC3" s="2108"/>
      <c r="AD3" s="593" t="s">
        <v>129</v>
      </c>
      <c r="AE3" s="606" t="s">
        <v>845</v>
      </c>
      <c r="AF3" s="606" t="s">
        <v>3006</v>
      </c>
      <c r="AG3" s="591" t="s">
        <v>528</v>
      </c>
      <c r="AH3" s="2108"/>
      <c r="AI3" s="2110"/>
      <c r="AJ3" s="594"/>
      <c r="AK3" s="594"/>
      <c r="AL3" s="2105"/>
      <c r="AM3" s="607" t="s">
        <v>129</v>
      </c>
      <c r="AN3" s="607" t="s">
        <v>491</v>
      </c>
      <c r="AO3" s="607" t="s">
        <v>3015</v>
      </c>
      <c r="AP3" s="607" t="s">
        <v>528</v>
      </c>
      <c r="AQ3" s="607" t="s">
        <v>1967</v>
      </c>
      <c r="AR3" s="607" t="s">
        <v>3016</v>
      </c>
      <c r="AS3" s="608" t="s">
        <v>1709</v>
      </c>
      <c r="AV3" s="609" t="s">
        <v>3017</v>
      </c>
      <c r="AW3" s="584">
        <v>18305</v>
      </c>
      <c r="AX3" s="584">
        <v>9153</v>
      </c>
      <c r="AY3" s="584">
        <v>9151</v>
      </c>
      <c r="BB3" s="610" t="s">
        <v>3018</v>
      </c>
      <c r="BC3" s="441">
        <v>2003</v>
      </c>
      <c r="BD3" s="441">
        <v>1997</v>
      </c>
      <c r="BE3" s="441">
        <v>1990</v>
      </c>
      <c r="BF3" s="441">
        <v>2003</v>
      </c>
      <c r="BG3" s="441">
        <v>1997</v>
      </c>
      <c r="BH3" s="441">
        <v>1990</v>
      </c>
      <c r="BI3" s="441">
        <v>2003</v>
      </c>
      <c r="BJ3" s="441">
        <v>1997</v>
      </c>
      <c r="BK3" s="441">
        <v>1990</v>
      </c>
      <c r="BL3" s="441">
        <v>2003</v>
      </c>
      <c r="BM3" s="442">
        <v>1997</v>
      </c>
      <c r="BP3" s="586" t="s">
        <v>3018</v>
      </c>
      <c r="BQ3" s="611" t="s">
        <v>129</v>
      </c>
      <c r="BR3" s="590" t="s">
        <v>3019</v>
      </c>
      <c r="BS3" s="590" t="s">
        <v>3020</v>
      </c>
      <c r="BT3" s="590" t="s">
        <v>3021</v>
      </c>
      <c r="BU3" s="589" t="s">
        <v>3022</v>
      </c>
      <c r="BV3" s="611" t="s">
        <v>129</v>
      </c>
      <c r="BW3" s="590" t="s">
        <v>3019</v>
      </c>
      <c r="BX3" s="589" t="s">
        <v>3020</v>
      </c>
      <c r="BY3" s="589" t="s">
        <v>3021</v>
      </c>
      <c r="BZ3" s="589" t="s">
        <v>3022</v>
      </c>
      <c r="CA3" s="611" t="s">
        <v>129</v>
      </c>
      <c r="CB3" s="590" t="s">
        <v>3019</v>
      </c>
      <c r="CC3" s="589" t="s">
        <v>3020</v>
      </c>
      <c r="CD3" s="590" t="s">
        <v>3021</v>
      </c>
      <c r="CE3" s="590" t="s">
        <v>3022</v>
      </c>
      <c r="CH3" s="586" t="s">
        <v>3018</v>
      </c>
      <c r="CI3" s="611" t="s">
        <v>129</v>
      </c>
      <c r="CJ3" s="590" t="s">
        <v>3019</v>
      </c>
      <c r="CK3" s="589" t="s">
        <v>3020</v>
      </c>
      <c r="CL3" s="589" t="s">
        <v>3021</v>
      </c>
      <c r="CM3" s="589" t="s">
        <v>3022</v>
      </c>
      <c r="CN3" s="611" t="s">
        <v>129</v>
      </c>
      <c r="CO3" s="590" t="s">
        <v>3019</v>
      </c>
      <c r="CP3" s="589" t="s">
        <v>3020</v>
      </c>
      <c r="CQ3" s="589" t="s">
        <v>3021</v>
      </c>
      <c r="CR3" s="589" t="s">
        <v>3022</v>
      </c>
      <c r="CS3" s="611" t="s">
        <v>129</v>
      </c>
      <c r="CT3" s="590" t="s">
        <v>3019</v>
      </c>
      <c r="CU3" s="590" t="s">
        <v>3020</v>
      </c>
      <c r="CV3" s="590" t="s">
        <v>3021</v>
      </c>
      <c r="CW3" s="590" t="s">
        <v>3022</v>
      </c>
      <c r="CZ3" s="586"/>
      <c r="DA3" s="611" t="s">
        <v>129</v>
      </c>
      <c r="DB3" s="590" t="s">
        <v>3019</v>
      </c>
      <c r="DC3" s="590" t="s">
        <v>3020</v>
      </c>
      <c r="DD3" s="590" t="s">
        <v>3021</v>
      </c>
      <c r="DE3" s="590" t="s">
        <v>3022</v>
      </c>
      <c r="DH3" s="586" t="s">
        <v>3018</v>
      </c>
      <c r="DI3" s="611" t="s">
        <v>129</v>
      </c>
      <c r="DJ3" s="590" t="s">
        <v>3019</v>
      </c>
      <c r="DK3" s="590" t="s">
        <v>3020</v>
      </c>
      <c r="DL3" s="590" t="s">
        <v>3021</v>
      </c>
      <c r="DM3" s="589" t="s">
        <v>3022</v>
      </c>
      <c r="DN3" s="611" t="s">
        <v>129</v>
      </c>
      <c r="DO3" s="590" t="s">
        <v>3019</v>
      </c>
      <c r="DP3" s="589" t="s">
        <v>3020</v>
      </c>
      <c r="DQ3" s="589" t="s">
        <v>3021</v>
      </c>
      <c r="DR3" s="589" t="s">
        <v>3022</v>
      </c>
      <c r="DS3" s="611" t="s">
        <v>129</v>
      </c>
      <c r="DT3" s="590" t="s">
        <v>3019</v>
      </c>
      <c r="DU3" s="589" t="s">
        <v>3020</v>
      </c>
      <c r="DV3" s="589" t="s">
        <v>3021</v>
      </c>
      <c r="DW3" s="590" t="s">
        <v>3022</v>
      </c>
    </row>
    <row r="4" spans="1:127" ht="12.75" customHeight="1">
      <c r="A4" s="414"/>
      <c r="B4" s="414"/>
      <c r="C4" s="612" t="s">
        <v>3023</v>
      </c>
      <c r="D4" s="579"/>
      <c r="E4" s="456">
        <v>5740250</v>
      </c>
      <c r="G4" s="598"/>
      <c r="H4" s="598" t="s">
        <v>3011</v>
      </c>
      <c r="I4" s="585" t="s">
        <v>3024</v>
      </c>
      <c r="K4" s="584">
        <v>300000</v>
      </c>
      <c r="N4" s="585" t="s">
        <v>2818</v>
      </c>
      <c r="O4" s="613">
        <v>23705</v>
      </c>
      <c r="P4" s="601" t="s">
        <v>3025</v>
      </c>
      <c r="S4" s="586" t="s">
        <v>2996</v>
      </c>
      <c r="T4" s="611" t="s">
        <v>3026</v>
      </c>
      <c r="U4" s="611" t="s">
        <v>1666</v>
      </c>
      <c r="V4" s="614" t="s">
        <v>3027</v>
      </c>
      <c r="W4" s="611" t="s">
        <v>3026</v>
      </c>
      <c r="X4" s="614" t="s">
        <v>1666</v>
      </c>
      <c r="Y4" s="611" t="s">
        <v>3027</v>
      </c>
      <c r="AB4" s="615" t="s">
        <v>129</v>
      </c>
      <c r="AC4" s="584">
        <v>20013</v>
      </c>
      <c r="AD4" s="616">
        <v>15281</v>
      </c>
      <c r="AE4" s="584">
        <v>13019</v>
      </c>
      <c r="AF4" s="584">
        <v>463</v>
      </c>
      <c r="AG4" s="617">
        <v>1799</v>
      </c>
      <c r="AH4" s="618">
        <v>4434</v>
      </c>
      <c r="AI4" s="584">
        <v>299</v>
      </c>
      <c r="AJ4" s="584"/>
      <c r="AK4" s="584"/>
      <c r="AL4" s="439" t="s">
        <v>3017</v>
      </c>
      <c r="AM4" s="393">
        <v>18305</v>
      </c>
      <c r="AN4" s="393">
        <v>463</v>
      </c>
      <c r="AO4" s="393">
        <v>12435</v>
      </c>
      <c r="AP4" s="393">
        <v>675</v>
      </c>
      <c r="AQ4" s="393">
        <v>4434</v>
      </c>
      <c r="AR4" s="393">
        <v>299</v>
      </c>
      <c r="AS4" s="619">
        <v>-1</v>
      </c>
      <c r="AV4" s="620" t="s">
        <v>3028</v>
      </c>
      <c r="AW4" s="584">
        <v>2289</v>
      </c>
      <c r="AX4" s="584">
        <v>1215</v>
      </c>
      <c r="AY4" s="584">
        <v>1075</v>
      </c>
      <c r="BB4" s="619" t="s">
        <v>3017</v>
      </c>
      <c r="BC4" s="619">
        <v>9831</v>
      </c>
      <c r="BD4" s="619">
        <v>6550</v>
      </c>
      <c r="BE4" s="619">
        <v>2739</v>
      </c>
      <c r="BF4" s="619">
        <v>8709</v>
      </c>
      <c r="BG4" s="619">
        <v>6325</v>
      </c>
      <c r="BH4" s="619">
        <v>2658</v>
      </c>
      <c r="BI4" s="619">
        <v>208</v>
      </c>
      <c r="BJ4" s="619">
        <v>123</v>
      </c>
      <c r="BK4" s="619">
        <v>76</v>
      </c>
      <c r="BL4" s="619">
        <v>914</v>
      </c>
      <c r="BM4" s="619">
        <v>102</v>
      </c>
      <c r="BP4" s="621" t="s">
        <v>2449</v>
      </c>
      <c r="CH4" s="585" t="s">
        <v>3029</v>
      </c>
      <c r="CZ4" s="585" t="s">
        <v>3030</v>
      </c>
      <c r="DH4" s="585" t="s">
        <v>3031</v>
      </c>
    </row>
    <row r="5" spans="1:127" ht="12.75" customHeight="1">
      <c r="A5" s="414"/>
      <c r="B5" s="414" t="s">
        <v>3032</v>
      </c>
      <c r="C5" s="391" t="s">
        <v>3033</v>
      </c>
      <c r="D5" s="579"/>
      <c r="E5" s="622">
        <v>6791989</v>
      </c>
      <c r="G5" s="598"/>
      <c r="H5" s="598" t="s">
        <v>3034</v>
      </c>
      <c r="I5" s="585" t="s">
        <v>3035</v>
      </c>
      <c r="K5" s="584">
        <v>1500000</v>
      </c>
      <c r="N5" s="585" t="s">
        <v>1967</v>
      </c>
      <c r="O5" s="613">
        <v>14425</v>
      </c>
      <c r="P5" s="601" t="s">
        <v>2824</v>
      </c>
      <c r="S5" s="599" t="s">
        <v>129</v>
      </c>
      <c r="T5" s="525">
        <f>SUM(T6:T9)</f>
        <v>32635</v>
      </c>
      <c r="U5" s="623">
        <v>100</v>
      </c>
      <c r="V5" s="525">
        <v>30000000</v>
      </c>
      <c r="W5" s="525">
        <f>SUM(W6:W9)</f>
        <v>20708</v>
      </c>
      <c r="X5" s="623">
        <v>100</v>
      </c>
      <c r="Y5" s="525">
        <v>30000000</v>
      </c>
      <c r="AB5" s="624" t="s">
        <v>3036</v>
      </c>
      <c r="AC5" s="584">
        <v>18305</v>
      </c>
      <c r="AD5" s="616">
        <v>13573</v>
      </c>
      <c r="AE5" s="584">
        <v>12435</v>
      </c>
      <c r="AF5" s="584">
        <v>463</v>
      </c>
      <c r="AG5" s="617">
        <v>675</v>
      </c>
      <c r="AH5" s="618">
        <v>4434</v>
      </c>
      <c r="AI5" s="584">
        <v>299</v>
      </c>
      <c r="AJ5" s="584"/>
      <c r="AK5" s="584"/>
      <c r="AL5" s="382" t="s">
        <v>3037</v>
      </c>
      <c r="AM5" s="393">
        <v>0</v>
      </c>
      <c r="AN5" s="393">
        <v>0</v>
      </c>
      <c r="AO5" s="393">
        <v>0</v>
      </c>
      <c r="AP5" s="393">
        <v>0</v>
      </c>
      <c r="AQ5" s="393">
        <v>0</v>
      </c>
      <c r="AR5" s="393">
        <v>0</v>
      </c>
      <c r="AS5" s="393">
        <v>0</v>
      </c>
      <c r="AV5" s="620" t="s">
        <v>3038</v>
      </c>
      <c r="AW5" s="584">
        <v>4081</v>
      </c>
      <c r="AX5" s="584">
        <v>1889</v>
      </c>
      <c r="AY5" s="584">
        <v>2191</v>
      </c>
      <c r="BB5" s="382" t="s">
        <v>3039</v>
      </c>
      <c r="BC5" s="619">
        <v>5017</v>
      </c>
      <c r="BD5" s="619">
        <v>3331.1349999999998</v>
      </c>
      <c r="BE5" s="619">
        <v>1478</v>
      </c>
      <c r="BF5" s="619">
        <v>4438</v>
      </c>
      <c r="BG5" s="619">
        <v>3213.1</v>
      </c>
      <c r="BH5" s="619">
        <v>1424</v>
      </c>
      <c r="BI5" s="619">
        <v>107</v>
      </c>
      <c r="BJ5" s="619">
        <v>67.034999999999997</v>
      </c>
      <c r="BK5" s="619">
        <v>49</v>
      </c>
      <c r="BL5" s="619">
        <v>472</v>
      </c>
      <c r="BM5" s="619">
        <v>51</v>
      </c>
      <c r="BP5" s="585" t="s">
        <v>129</v>
      </c>
      <c r="BQ5" s="525">
        <v>13588</v>
      </c>
      <c r="BR5" s="525">
        <v>10943</v>
      </c>
      <c r="BS5" s="525">
        <v>1912</v>
      </c>
      <c r="BT5" s="585">
        <v>499</v>
      </c>
      <c r="BU5" s="585">
        <v>234</v>
      </c>
      <c r="BV5" s="525">
        <v>6540</v>
      </c>
      <c r="BW5" s="525">
        <v>5247</v>
      </c>
      <c r="BX5" s="585">
        <v>943</v>
      </c>
      <c r="BY5" s="585">
        <v>241</v>
      </c>
      <c r="BZ5" s="585">
        <v>109</v>
      </c>
      <c r="CA5" s="525">
        <v>7048</v>
      </c>
      <c r="CB5" s="525">
        <v>5696</v>
      </c>
      <c r="CC5" s="585">
        <v>968</v>
      </c>
      <c r="CD5" s="585">
        <v>258</v>
      </c>
      <c r="CE5" s="585">
        <v>126</v>
      </c>
      <c r="CH5" s="585" t="s">
        <v>129</v>
      </c>
      <c r="CI5" s="525">
        <v>13588</v>
      </c>
      <c r="CJ5" s="525">
        <v>10943</v>
      </c>
      <c r="CK5" s="525">
        <v>1912</v>
      </c>
      <c r="CL5" s="585">
        <v>499</v>
      </c>
      <c r="CM5" s="585">
        <v>234</v>
      </c>
      <c r="CN5" s="525">
        <v>6540</v>
      </c>
      <c r="CO5" s="525">
        <v>5247</v>
      </c>
      <c r="CP5" s="585">
        <v>943</v>
      </c>
      <c r="CQ5" s="585">
        <v>241</v>
      </c>
      <c r="CR5" s="585">
        <v>109</v>
      </c>
      <c r="CS5" s="525">
        <v>7048</v>
      </c>
      <c r="CT5" s="525">
        <v>5696</v>
      </c>
      <c r="CU5" s="585">
        <v>968</v>
      </c>
      <c r="CV5" s="585">
        <v>258</v>
      </c>
      <c r="CW5" s="585">
        <v>126</v>
      </c>
      <c r="CZ5" s="585" t="s">
        <v>129</v>
      </c>
      <c r="DA5" s="525">
        <v>5787</v>
      </c>
      <c r="DB5" s="525">
        <v>4558</v>
      </c>
      <c r="DC5" s="585">
        <v>897</v>
      </c>
      <c r="DD5" s="585">
        <v>224</v>
      </c>
      <c r="DE5" s="585">
        <v>109</v>
      </c>
      <c r="DH5" s="585" t="s">
        <v>129</v>
      </c>
      <c r="DI5" s="525">
        <v>13588</v>
      </c>
      <c r="DJ5" s="525">
        <v>10943</v>
      </c>
      <c r="DK5" s="525">
        <v>1912</v>
      </c>
      <c r="DL5" s="585">
        <v>499</v>
      </c>
      <c r="DM5" s="585">
        <v>234</v>
      </c>
      <c r="DN5" s="525">
        <v>6540</v>
      </c>
      <c r="DO5" s="525">
        <v>5247</v>
      </c>
      <c r="DP5" s="585">
        <v>943</v>
      </c>
      <c r="DQ5" s="585">
        <v>241</v>
      </c>
      <c r="DR5" s="585">
        <v>109</v>
      </c>
      <c r="DS5" s="525">
        <v>7048</v>
      </c>
      <c r="DT5" s="525">
        <v>5696</v>
      </c>
      <c r="DU5" s="585">
        <v>968</v>
      </c>
      <c r="DV5" s="585">
        <v>258</v>
      </c>
      <c r="DW5" s="585">
        <v>126</v>
      </c>
    </row>
    <row r="6" spans="1:127" ht="12.75" customHeight="1">
      <c r="A6" s="414"/>
      <c r="B6" s="414"/>
      <c r="C6" s="391"/>
      <c r="D6" s="579" t="s">
        <v>3040</v>
      </c>
      <c r="E6" s="456">
        <f>E4+E5</f>
        <v>12532239</v>
      </c>
      <c r="G6" s="598"/>
      <c r="H6" s="598" t="s">
        <v>3041</v>
      </c>
      <c r="I6" s="585" t="s">
        <v>3042</v>
      </c>
      <c r="K6" s="584">
        <v>638000</v>
      </c>
      <c r="N6" s="585" t="s">
        <v>473</v>
      </c>
      <c r="O6" s="613">
        <v>2125</v>
      </c>
      <c r="P6" s="601" t="s">
        <v>2824</v>
      </c>
      <c r="S6" s="585" t="s">
        <v>2818</v>
      </c>
      <c r="T6" s="525">
        <v>12215</v>
      </c>
      <c r="U6" s="623">
        <f>(T6/T5)*100</f>
        <v>37.429140493335375</v>
      </c>
      <c r="V6" s="525">
        <v>11228742</v>
      </c>
      <c r="W6" s="525">
        <v>7297</v>
      </c>
      <c r="X6" s="623">
        <f>W6/W5*100</f>
        <v>35.237589337454125</v>
      </c>
      <c r="Y6" s="525">
        <v>10571277</v>
      </c>
      <c r="AB6" s="615" t="s">
        <v>3043</v>
      </c>
      <c r="AC6" s="584">
        <v>10904</v>
      </c>
      <c r="AD6" s="616">
        <v>10904</v>
      </c>
      <c r="AE6" s="584">
        <v>10143</v>
      </c>
      <c r="AF6" s="584">
        <v>307</v>
      </c>
      <c r="AG6" s="617">
        <v>454</v>
      </c>
      <c r="AH6" s="618">
        <v>0</v>
      </c>
      <c r="AI6" s="584">
        <v>0</v>
      </c>
      <c r="AJ6" s="584"/>
      <c r="AK6" s="584"/>
      <c r="AL6" s="382" t="s">
        <v>3044</v>
      </c>
      <c r="AM6" s="393">
        <v>2479</v>
      </c>
      <c r="AN6" s="393">
        <v>0</v>
      </c>
      <c r="AO6" s="393">
        <v>2473</v>
      </c>
      <c r="AP6" s="393">
        <v>0</v>
      </c>
      <c r="AQ6" s="393">
        <v>0</v>
      </c>
      <c r="AR6" s="393">
        <v>6</v>
      </c>
      <c r="AS6" s="393">
        <v>0</v>
      </c>
      <c r="AV6" s="620" t="s">
        <v>3045</v>
      </c>
      <c r="AW6" s="584">
        <v>3532</v>
      </c>
      <c r="AX6" s="584">
        <v>1943</v>
      </c>
      <c r="AY6" s="584">
        <v>1588</v>
      </c>
      <c r="BB6" s="619" t="s">
        <v>3046</v>
      </c>
      <c r="BC6" s="619">
        <v>4814</v>
      </c>
      <c r="BD6" s="619">
        <v>3218.8650000000002</v>
      </c>
      <c r="BE6" s="619">
        <v>1261</v>
      </c>
      <c r="BF6" s="619">
        <v>4271</v>
      </c>
      <c r="BG6" s="619">
        <v>3111.9</v>
      </c>
      <c r="BH6" s="619">
        <v>1234</v>
      </c>
      <c r="BI6" s="619">
        <v>101</v>
      </c>
      <c r="BJ6" s="619">
        <v>55.965000000000003</v>
      </c>
      <c r="BK6" s="619">
        <v>27</v>
      </c>
      <c r="BL6" s="619">
        <v>442</v>
      </c>
      <c r="BM6" s="619">
        <v>51</v>
      </c>
      <c r="BP6" s="585" t="s">
        <v>3047</v>
      </c>
      <c r="BQ6" s="525">
        <v>1776</v>
      </c>
      <c r="BR6" s="525">
        <v>1495</v>
      </c>
      <c r="BS6" s="585">
        <v>211</v>
      </c>
      <c r="BT6" s="585">
        <v>45</v>
      </c>
      <c r="BU6" s="585">
        <v>26</v>
      </c>
      <c r="BV6" s="585">
        <v>976</v>
      </c>
      <c r="BW6" s="585">
        <v>819</v>
      </c>
      <c r="BX6" s="585">
        <v>114</v>
      </c>
      <c r="BY6" s="585">
        <v>34</v>
      </c>
      <c r="BZ6" s="585">
        <v>9</v>
      </c>
      <c r="CA6" s="585">
        <v>801</v>
      </c>
      <c r="CB6" s="585">
        <v>676</v>
      </c>
      <c r="CC6" s="585">
        <v>97</v>
      </c>
      <c r="CD6" s="585">
        <v>10</v>
      </c>
      <c r="CE6" s="585">
        <v>17</v>
      </c>
      <c r="CH6" s="585" t="s">
        <v>3048</v>
      </c>
      <c r="CI6" s="525">
        <v>8258</v>
      </c>
      <c r="CJ6" s="525">
        <v>6541</v>
      </c>
      <c r="CK6" s="525">
        <v>1255</v>
      </c>
      <c r="CL6" s="585">
        <v>300</v>
      </c>
      <c r="CM6" s="585">
        <v>163</v>
      </c>
      <c r="CN6" s="525">
        <v>3805</v>
      </c>
      <c r="CO6" s="525">
        <v>2984</v>
      </c>
      <c r="CP6" s="585">
        <v>632</v>
      </c>
      <c r="CQ6" s="585">
        <v>117</v>
      </c>
      <c r="CR6" s="585">
        <v>71</v>
      </c>
      <c r="CS6" s="525">
        <v>4454</v>
      </c>
      <c r="CT6" s="525">
        <v>3556</v>
      </c>
      <c r="CU6" s="585">
        <v>623</v>
      </c>
      <c r="CV6" s="585">
        <v>183</v>
      </c>
      <c r="CW6" s="585">
        <v>91</v>
      </c>
      <c r="CZ6" s="585" t="s">
        <v>1684</v>
      </c>
      <c r="DA6" s="585">
        <v>168</v>
      </c>
      <c r="DB6" s="585">
        <v>39</v>
      </c>
      <c r="DC6" s="585">
        <v>93</v>
      </c>
      <c r="DD6" s="585">
        <v>10</v>
      </c>
      <c r="DE6" s="585">
        <v>26</v>
      </c>
      <c r="DH6" s="585" t="s">
        <v>3019</v>
      </c>
      <c r="DI6" s="525">
        <v>10364</v>
      </c>
      <c r="DJ6" s="525">
        <v>10234</v>
      </c>
      <c r="DK6" s="585">
        <v>114</v>
      </c>
      <c r="DL6" s="585">
        <v>14</v>
      </c>
      <c r="DM6" s="585">
        <v>3</v>
      </c>
      <c r="DN6" s="525">
        <v>4858</v>
      </c>
      <c r="DO6" s="525">
        <v>4811</v>
      </c>
      <c r="DP6" s="585">
        <v>46</v>
      </c>
      <c r="DQ6" s="585">
        <v>0</v>
      </c>
      <c r="DR6" s="585">
        <v>0</v>
      </c>
      <c r="DS6" s="525">
        <v>5507</v>
      </c>
      <c r="DT6" s="525">
        <v>5423</v>
      </c>
      <c r="DU6" s="585">
        <v>67</v>
      </c>
      <c r="DV6" s="585">
        <v>14</v>
      </c>
      <c r="DW6" s="585">
        <v>3</v>
      </c>
    </row>
    <row r="7" spans="1:127" ht="12.75" customHeight="1">
      <c r="A7" s="414"/>
      <c r="B7" s="414"/>
      <c r="C7" s="414"/>
      <c r="D7" s="579"/>
      <c r="E7" s="579"/>
      <c r="G7" s="598"/>
      <c r="H7" s="598" t="s">
        <v>3049</v>
      </c>
      <c r="I7" s="585" t="s">
        <v>3050</v>
      </c>
      <c r="K7" s="584">
        <v>1355000</v>
      </c>
      <c r="N7" s="586" t="s">
        <v>3051</v>
      </c>
      <c r="O7" s="625">
        <v>25</v>
      </c>
      <c r="P7" s="611" t="s">
        <v>2824</v>
      </c>
      <c r="S7" s="585" t="s">
        <v>1967</v>
      </c>
      <c r="T7" s="525">
        <v>18305</v>
      </c>
      <c r="U7" s="623">
        <f>T7/T5*100</f>
        <v>56.090087329554159</v>
      </c>
      <c r="V7" s="525">
        <v>16827026</v>
      </c>
      <c r="W7" s="525">
        <v>9831</v>
      </c>
      <c r="X7" s="623">
        <f>W7/W5*100</f>
        <v>47.474406026656361</v>
      </c>
      <c r="Y7" s="525">
        <v>14242322</v>
      </c>
      <c r="AB7" s="615" t="s">
        <v>3052</v>
      </c>
      <c r="AC7" s="584">
        <v>7401</v>
      </c>
      <c r="AD7" s="616">
        <v>2669</v>
      </c>
      <c r="AE7" s="584">
        <v>2292</v>
      </c>
      <c r="AF7" s="584">
        <v>156</v>
      </c>
      <c r="AG7" s="617">
        <v>221</v>
      </c>
      <c r="AH7" s="618">
        <v>4434</v>
      </c>
      <c r="AI7" s="584">
        <v>299</v>
      </c>
      <c r="AJ7" s="584"/>
      <c r="AK7" s="584"/>
      <c r="AL7" s="382" t="s">
        <v>3053</v>
      </c>
      <c r="AM7" s="393">
        <v>11512</v>
      </c>
      <c r="AN7" s="393">
        <v>463</v>
      </c>
      <c r="AO7" s="393">
        <v>9962</v>
      </c>
      <c r="AP7" s="393">
        <v>675</v>
      </c>
      <c r="AQ7" s="393">
        <v>120</v>
      </c>
      <c r="AR7" s="393">
        <v>293</v>
      </c>
      <c r="AS7" s="619">
        <v>-1</v>
      </c>
      <c r="AV7" s="620" t="s">
        <v>2849</v>
      </c>
      <c r="AW7" s="584">
        <v>3643</v>
      </c>
      <c r="AX7" s="584">
        <v>1777</v>
      </c>
      <c r="AY7" s="584">
        <v>1867</v>
      </c>
      <c r="BB7" s="382" t="s">
        <v>3054</v>
      </c>
      <c r="BC7" s="626">
        <v>104.21686746987952</v>
      </c>
      <c r="BD7" s="626">
        <v>103.48787538464644</v>
      </c>
      <c r="BE7" s="626">
        <v>117.20856463124504</v>
      </c>
      <c r="BF7" s="626">
        <v>103.91009131350971</v>
      </c>
      <c r="BG7" s="626">
        <v>103.2520325203252</v>
      </c>
      <c r="BH7" s="626">
        <v>115.3970826580227</v>
      </c>
      <c r="BI7" s="626">
        <v>105.94059405940594</v>
      </c>
      <c r="BJ7" s="626">
        <v>119.78021978021982</v>
      </c>
      <c r="BK7" s="626">
        <v>181.4814814814815</v>
      </c>
      <c r="BL7" s="626">
        <v>106.78733031674209</v>
      </c>
      <c r="BM7" s="626">
        <v>100</v>
      </c>
      <c r="BP7" s="585" t="s">
        <v>3055</v>
      </c>
      <c r="BQ7" s="525">
        <v>1851</v>
      </c>
      <c r="BR7" s="525">
        <v>1502</v>
      </c>
      <c r="BS7" s="585">
        <v>240</v>
      </c>
      <c r="BT7" s="585">
        <v>72</v>
      </c>
      <c r="BU7" s="585">
        <v>37</v>
      </c>
      <c r="BV7" s="585">
        <v>959</v>
      </c>
      <c r="BW7" s="585">
        <v>787</v>
      </c>
      <c r="BX7" s="585">
        <v>114</v>
      </c>
      <c r="BY7" s="585">
        <v>41</v>
      </c>
      <c r="BZ7" s="585">
        <v>17</v>
      </c>
      <c r="CA7" s="585">
        <v>893</v>
      </c>
      <c r="CB7" s="585">
        <v>715</v>
      </c>
      <c r="CC7" s="585">
        <v>126</v>
      </c>
      <c r="CD7" s="585">
        <v>31</v>
      </c>
      <c r="CE7" s="585">
        <v>20</v>
      </c>
      <c r="CH7" s="585" t="s">
        <v>3056</v>
      </c>
      <c r="CI7" s="525">
        <v>5330</v>
      </c>
      <c r="CJ7" s="525">
        <v>4402</v>
      </c>
      <c r="CK7" s="585">
        <v>657</v>
      </c>
      <c r="CL7" s="585">
        <v>200</v>
      </c>
      <c r="CM7" s="585">
        <v>71</v>
      </c>
      <c r="CN7" s="525">
        <v>2735</v>
      </c>
      <c r="CO7" s="525">
        <v>2263</v>
      </c>
      <c r="CP7" s="585">
        <v>312</v>
      </c>
      <c r="CQ7" s="585">
        <v>124</v>
      </c>
      <c r="CR7" s="585">
        <v>37</v>
      </c>
      <c r="CS7" s="525">
        <v>2594</v>
      </c>
      <c r="CT7" s="525">
        <v>2139</v>
      </c>
      <c r="CU7" s="585">
        <v>345</v>
      </c>
      <c r="CV7" s="585">
        <v>76</v>
      </c>
      <c r="CW7" s="585">
        <v>34</v>
      </c>
      <c r="CZ7" s="585" t="s">
        <v>3057</v>
      </c>
      <c r="DA7" s="585">
        <v>33</v>
      </c>
      <c r="DB7" s="585">
        <v>33</v>
      </c>
      <c r="DC7" s="585">
        <v>0</v>
      </c>
      <c r="DD7" s="585">
        <v>0</v>
      </c>
      <c r="DE7" s="585">
        <v>0</v>
      </c>
      <c r="DH7" s="585" t="s">
        <v>3020</v>
      </c>
      <c r="DI7" s="525">
        <v>1975</v>
      </c>
      <c r="DJ7" s="585">
        <v>247</v>
      </c>
      <c r="DK7" s="525">
        <v>1676</v>
      </c>
      <c r="DL7" s="585">
        <v>38</v>
      </c>
      <c r="DM7" s="585">
        <v>14</v>
      </c>
      <c r="DN7" s="585">
        <v>983</v>
      </c>
      <c r="DO7" s="585">
        <v>130</v>
      </c>
      <c r="DP7" s="585">
        <v>834</v>
      </c>
      <c r="DQ7" s="585">
        <v>14</v>
      </c>
      <c r="DR7" s="585">
        <v>6</v>
      </c>
      <c r="DS7" s="585">
        <v>992</v>
      </c>
      <c r="DT7" s="585">
        <v>117</v>
      </c>
      <c r="DU7" s="585">
        <v>842</v>
      </c>
      <c r="DV7" s="585">
        <v>24</v>
      </c>
      <c r="DW7" s="585">
        <v>9</v>
      </c>
    </row>
    <row r="8" spans="1:127" ht="12.75" customHeight="1">
      <c r="A8" s="414" t="s">
        <v>3058</v>
      </c>
      <c r="B8" s="414" t="s">
        <v>3008</v>
      </c>
      <c r="C8" s="414" t="s">
        <v>3009</v>
      </c>
      <c r="D8" s="579"/>
      <c r="E8" s="579"/>
      <c r="G8" s="598"/>
      <c r="H8" s="598" t="s">
        <v>3059</v>
      </c>
      <c r="I8" s="585" t="s">
        <v>3060</v>
      </c>
      <c r="J8" s="586"/>
      <c r="K8" s="627">
        <v>1080000</v>
      </c>
      <c r="N8" s="585" t="s">
        <v>3061</v>
      </c>
      <c r="S8" s="585" t="s">
        <v>473</v>
      </c>
      <c r="T8" s="525">
        <v>2100</v>
      </c>
      <c r="U8" s="623">
        <f>T8/T5*100</f>
        <v>6.4348092538685471</v>
      </c>
      <c r="V8" s="525">
        <v>1930443</v>
      </c>
      <c r="W8" s="525">
        <v>3570</v>
      </c>
      <c r="X8" s="623">
        <f>W8/W5*100</f>
        <v>17.239714120146804</v>
      </c>
      <c r="Y8" s="525">
        <v>5171914</v>
      </c>
      <c r="AB8" s="628" t="s">
        <v>3062</v>
      </c>
      <c r="AC8" s="627">
        <v>1708</v>
      </c>
      <c r="AD8" s="629">
        <v>1708</v>
      </c>
      <c r="AE8" s="627">
        <v>584</v>
      </c>
      <c r="AF8" s="627">
        <v>0</v>
      </c>
      <c r="AG8" s="630">
        <v>1124</v>
      </c>
      <c r="AH8" s="631">
        <v>0</v>
      </c>
      <c r="AI8" s="627">
        <v>0</v>
      </c>
      <c r="AJ8" s="584"/>
      <c r="AK8" s="584"/>
      <c r="AL8" s="381" t="s">
        <v>3063</v>
      </c>
      <c r="AM8" s="569">
        <v>4313</v>
      </c>
      <c r="AN8" s="569">
        <v>0</v>
      </c>
      <c r="AO8" s="569">
        <v>0</v>
      </c>
      <c r="AP8" s="569">
        <v>0</v>
      </c>
      <c r="AQ8" s="569">
        <v>4313</v>
      </c>
      <c r="AR8" s="569">
        <v>0</v>
      </c>
      <c r="AS8" s="569">
        <v>0</v>
      </c>
      <c r="AV8" s="620" t="s">
        <v>1678</v>
      </c>
      <c r="AW8" s="584">
        <v>2468</v>
      </c>
      <c r="AX8" s="584">
        <v>1280</v>
      </c>
      <c r="AY8" s="584">
        <v>1186</v>
      </c>
      <c r="BB8" s="626" t="s">
        <v>3064</v>
      </c>
      <c r="BC8" s="626">
        <v>19.600000000000001</v>
      </c>
      <c r="BD8" s="626">
        <v>21.7</v>
      </c>
      <c r="BE8" s="626">
        <v>20.7</v>
      </c>
      <c r="BF8" s="626">
        <v>20.100000000000001</v>
      </c>
      <c r="BG8" s="626">
        <v>21.7</v>
      </c>
      <c r="BH8" s="626">
        <v>20.9</v>
      </c>
      <c r="BI8" s="626">
        <v>18.899999999999999</v>
      </c>
      <c r="BJ8" s="626">
        <v>17.5</v>
      </c>
      <c r="BK8" s="626">
        <v>15.4</v>
      </c>
      <c r="BL8" s="626">
        <v>15.4</v>
      </c>
      <c r="BM8" s="626">
        <v>24.3</v>
      </c>
      <c r="BP8" s="585" t="s">
        <v>3065</v>
      </c>
      <c r="BQ8" s="525">
        <v>1745</v>
      </c>
      <c r="BR8" s="525">
        <v>1437</v>
      </c>
      <c r="BS8" s="585">
        <v>219</v>
      </c>
      <c r="BT8" s="585">
        <v>55</v>
      </c>
      <c r="BU8" s="585">
        <v>34</v>
      </c>
      <c r="BV8" s="585">
        <v>860</v>
      </c>
      <c r="BW8" s="585">
        <v>696</v>
      </c>
      <c r="BX8" s="585">
        <v>122</v>
      </c>
      <c r="BY8" s="585">
        <v>28</v>
      </c>
      <c r="BZ8" s="585">
        <v>14</v>
      </c>
      <c r="CA8" s="585">
        <v>886</v>
      </c>
      <c r="CB8" s="585">
        <v>741</v>
      </c>
      <c r="CC8" s="585">
        <v>97</v>
      </c>
      <c r="CD8" s="585">
        <v>28</v>
      </c>
      <c r="CE8" s="585">
        <v>20</v>
      </c>
      <c r="CZ8" s="585" t="s">
        <v>3066</v>
      </c>
      <c r="DA8" s="585">
        <v>129</v>
      </c>
      <c r="DB8" s="585">
        <v>111</v>
      </c>
      <c r="DC8" s="585">
        <v>13</v>
      </c>
      <c r="DD8" s="585">
        <v>3</v>
      </c>
      <c r="DE8" s="585">
        <v>3</v>
      </c>
      <c r="DH8" s="585" t="s">
        <v>3021</v>
      </c>
      <c r="DI8" s="585">
        <v>432</v>
      </c>
      <c r="DJ8" s="585">
        <v>33</v>
      </c>
      <c r="DK8" s="585">
        <v>17</v>
      </c>
      <c r="DL8" s="585">
        <v>382</v>
      </c>
      <c r="DM8" s="585">
        <v>0</v>
      </c>
      <c r="DN8" s="585">
        <v>220</v>
      </c>
      <c r="DO8" s="585">
        <v>26</v>
      </c>
      <c r="DP8" s="585">
        <v>8</v>
      </c>
      <c r="DQ8" s="585">
        <v>186</v>
      </c>
      <c r="DR8" s="585">
        <v>0</v>
      </c>
      <c r="DS8" s="585">
        <v>211</v>
      </c>
      <c r="DT8" s="585">
        <v>7</v>
      </c>
      <c r="DU8" s="585">
        <v>8</v>
      </c>
      <c r="DV8" s="585">
        <v>196</v>
      </c>
      <c r="DW8" s="585">
        <v>0</v>
      </c>
    </row>
    <row r="9" spans="1:127" ht="12.75" customHeight="1">
      <c r="A9" s="414"/>
      <c r="B9" s="414"/>
      <c r="C9" s="612" t="s">
        <v>3023</v>
      </c>
      <c r="D9" s="579"/>
      <c r="E9" s="456">
        <v>5735750</v>
      </c>
      <c r="G9" s="598"/>
      <c r="H9" s="598"/>
      <c r="J9" s="439" t="s">
        <v>3040</v>
      </c>
      <c r="K9" s="632">
        <f>SUM(K3:K8)</f>
        <v>5573000</v>
      </c>
      <c r="N9" s="585" t="s">
        <v>3067</v>
      </c>
      <c r="S9" s="586" t="s">
        <v>3051</v>
      </c>
      <c r="T9" s="633">
        <v>15</v>
      </c>
      <c r="U9" s="634">
        <f>T9/T5*100</f>
        <v>4.5962923241918183E-2</v>
      </c>
      <c r="V9" s="633">
        <v>13789</v>
      </c>
      <c r="W9" s="633">
        <v>10</v>
      </c>
      <c r="X9" s="634">
        <f>W9/W5*100</f>
        <v>4.829051574270813E-2</v>
      </c>
      <c r="Y9" s="633">
        <v>14487</v>
      </c>
      <c r="AB9" s="585" t="s">
        <v>3068</v>
      </c>
      <c r="AL9" s="382" t="s">
        <v>3069</v>
      </c>
      <c r="AM9" s="393"/>
      <c r="AN9" s="393"/>
      <c r="AO9" s="393"/>
      <c r="AP9" s="393"/>
      <c r="AQ9" s="393"/>
      <c r="AR9" s="393"/>
      <c r="AS9" s="393"/>
      <c r="AV9" s="620" t="s">
        <v>1679</v>
      </c>
      <c r="AW9" s="584">
        <v>1583</v>
      </c>
      <c r="AX9" s="584">
        <v>739</v>
      </c>
      <c r="AY9" s="584">
        <v>843</v>
      </c>
      <c r="BB9" s="382"/>
      <c r="BC9" s="382"/>
      <c r="BD9" s="382"/>
      <c r="BE9" s="382"/>
      <c r="BF9" s="382"/>
      <c r="BG9" s="382"/>
      <c r="BH9" s="382"/>
      <c r="BI9" s="382"/>
      <c r="BJ9" s="382"/>
      <c r="BK9" s="382"/>
      <c r="BL9" s="382"/>
      <c r="BM9" s="382"/>
      <c r="BP9" s="585" t="s">
        <v>3070</v>
      </c>
      <c r="BQ9" s="525">
        <v>1307</v>
      </c>
      <c r="BR9" s="525">
        <v>1053</v>
      </c>
      <c r="BS9" s="585">
        <v>168</v>
      </c>
      <c r="BT9" s="585">
        <v>62</v>
      </c>
      <c r="BU9" s="585">
        <v>23</v>
      </c>
      <c r="BV9" s="585">
        <v>565</v>
      </c>
      <c r="BW9" s="585">
        <v>455</v>
      </c>
      <c r="BX9" s="585">
        <v>72</v>
      </c>
      <c r="BY9" s="585">
        <v>24</v>
      </c>
      <c r="BZ9" s="585">
        <v>14</v>
      </c>
      <c r="CA9" s="585">
        <v>741</v>
      </c>
      <c r="CB9" s="585">
        <v>598</v>
      </c>
      <c r="CC9" s="585">
        <v>97</v>
      </c>
      <c r="CD9" s="585">
        <v>38</v>
      </c>
      <c r="CE9" s="585">
        <v>9</v>
      </c>
      <c r="CH9" s="585" t="s">
        <v>3071</v>
      </c>
      <c r="CZ9" s="585" t="s">
        <v>3072</v>
      </c>
      <c r="DA9" s="585">
        <v>140</v>
      </c>
      <c r="DB9" s="585">
        <v>137</v>
      </c>
      <c r="DC9" s="585">
        <v>0</v>
      </c>
      <c r="DD9" s="585">
        <v>3</v>
      </c>
      <c r="DE9" s="585">
        <v>0</v>
      </c>
      <c r="DH9" s="585" t="s">
        <v>3022</v>
      </c>
      <c r="DI9" s="585">
        <v>333</v>
      </c>
      <c r="DJ9" s="585">
        <v>85</v>
      </c>
      <c r="DK9" s="585">
        <v>34</v>
      </c>
      <c r="DL9" s="585">
        <v>0</v>
      </c>
      <c r="DM9" s="585">
        <v>214</v>
      </c>
      <c r="DN9" s="585">
        <v>182</v>
      </c>
      <c r="DO9" s="585">
        <v>59</v>
      </c>
      <c r="DP9" s="585">
        <v>21</v>
      </c>
      <c r="DQ9" s="585">
        <v>0</v>
      </c>
      <c r="DR9" s="585">
        <v>103</v>
      </c>
      <c r="DS9" s="585">
        <v>150</v>
      </c>
      <c r="DT9" s="585">
        <v>26</v>
      </c>
      <c r="DU9" s="585">
        <v>13</v>
      </c>
      <c r="DV9" s="585">
        <v>0</v>
      </c>
      <c r="DW9" s="585">
        <v>111</v>
      </c>
    </row>
    <row r="10" spans="1:127" ht="12.75" customHeight="1">
      <c r="A10" s="414"/>
      <c r="B10" s="414" t="s">
        <v>3032</v>
      </c>
      <c r="C10" s="391" t="s">
        <v>3033</v>
      </c>
      <c r="D10" s="579"/>
      <c r="E10" s="456">
        <v>2959067</v>
      </c>
      <c r="G10" s="598"/>
      <c r="H10" s="598"/>
      <c r="K10" s="584"/>
      <c r="N10" s="585" t="s">
        <v>3073</v>
      </c>
      <c r="S10" s="585" t="s">
        <v>3074</v>
      </c>
      <c r="AB10" s="585" t="s">
        <v>3075</v>
      </c>
      <c r="AL10" s="382" t="s">
        <v>3076</v>
      </c>
      <c r="AM10" s="393"/>
      <c r="AN10" s="393"/>
      <c r="AO10" s="393"/>
      <c r="AP10" s="393"/>
      <c r="AQ10" s="393"/>
      <c r="AR10" s="393"/>
      <c r="AS10" s="393"/>
      <c r="AV10" s="620" t="s">
        <v>1680</v>
      </c>
      <c r="AW10" s="584">
        <v>448</v>
      </c>
      <c r="AX10" s="584">
        <v>223</v>
      </c>
      <c r="AY10" s="584">
        <v>222</v>
      </c>
      <c r="BB10" s="382" t="s">
        <v>3077</v>
      </c>
      <c r="BC10" s="626">
        <v>40.880886990133249</v>
      </c>
      <c r="BD10" s="626">
        <v>35.05343511450382</v>
      </c>
      <c r="BE10" s="626">
        <v>34.209565534866741</v>
      </c>
      <c r="BF10" s="626">
        <v>39.98162820071191</v>
      </c>
      <c r="BG10" s="626">
        <v>35.114624505928852</v>
      </c>
      <c r="BH10" s="626">
        <v>33.671933784800601</v>
      </c>
      <c r="BI10" s="626">
        <v>42.78846153846154</v>
      </c>
      <c r="BJ10" s="626">
        <v>43.08943089430894</v>
      </c>
      <c r="BK10" s="626">
        <v>48.684210526315788</v>
      </c>
      <c r="BL10" s="626">
        <v>49.015317286652078</v>
      </c>
      <c r="BM10" s="626">
        <v>21.568627450980394</v>
      </c>
      <c r="BP10" s="585" t="s">
        <v>3078</v>
      </c>
      <c r="BQ10" s="525">
        <v>1121</v>
      </c>
      <c r="BR10" s="585">
        <v>897</v>
      </c>
      <c r="BS10" s="585">
        <v>177</v>
      </c>
      <c r="BT10" s="585">
        <v>41</v>
      </c>
      <c r="BU10" s="585">
        <v>6</v>
      </c>
      <c r="BV10" s="585">
        <v>422</v>
      </c>
      <c r="BW10" s="585">
        <v>325</v>
      </c>
      <c r="BX10" s="585">
        <v>80</v>
      </c>
      <c r="BY10" s="585">
        <v>14</v>
      </c>
      <c r="BZ10" s="585">
        <v>3</v>
      </c>
      <c r="CA10" s="585">
        <v>699</v>
      </c>
      <c r="CB10" s="585">
        <v>572</v>
      </c>
      <c r="CC10" s="585">
        <v>97</v>
      </c>
      <c r="CD10" s="585">
        <v>28</v>
      </c>
      <c r="CE10" s="585">
        <v>3</v>
      </c>
      <c r="CH10" s="585" t="s">
        <v>129</v>
      </c>
      <c r="CI10" s="525">
        <v>13588</v>
      </c>
      <c r="CJ10" s="525">
        <v>10943</v>
      </c>
      <c r="CK10" s="525">
        <v>1912</v>
      </c>
      <c r="CL10" s="585">
        <v>499</v>
      </c>
      <c r="CM10" s="585">
        <v>234</v>
      </c>
      <c r="CN10" s="525">
        <v>6540</v>
      </c>
      <c r="CO10" s="525">
        <v>5247</v>
      </c>
      <c r="CP10" s="585">
        <v>943</v>
      </c>
      <c r="CQ10" s="585">
        <v>241</v>
      </c>
      <c r="CR10" s="585">
        <v>109</v>
      </c>
      <c r="CS10" s="525">
        <v>7048</v>
      </c>
      <c r="CT10" s="525">
        <v>5696</v>
      </c>
      <c r="CU10" s="585">
        <v>968</v>
      </c>
      <c r="CV10" s="585">
        <v>258</v>
      </c>
      <c r="CW10" s="585">
        <v>126</v>
      </c>
      <c r="CZ10" s="585" t="s">
        <v>3079</v>
      </c>
      <c r="DA10" s="585">
        <v>723</v>
      </c>
      <c r="DB10" s="585">
        <v>637</v>
      </c>
      <c r="DC10" s="585">
        <v>80</v>
      </c>
      <c r="DD10" s="585">
        <v>3</v>
      </c>
      <c r="DE10" s="585">
        <v>3</v>
      </c>
      <c r="DH10" s="585" t="s">
        <v>528</v>
      </c>
      <c r="DI10" s="585">
        <v>68</v>
      </c>
      <c r="DJ10" s="585">
        <v>20</v>
      </c>
      <c r="DK10" s="585">
        <v>21</v>
      </c>
      <c r="DL10" s="585">
        <v>28</v>
      </c>
      <c r="DM10" s="585">
        <v>0</v>
      </c>
      <c r="DN10" s="585">
        <v>36</v>
      </c>
      <c r="DO10" s="585">
        <v>7</v>
      </c>
      <c r="DP10" s="585">
        <v>8</v>
      </c>
      <c r="DQ10" s="585">
        <v>21</v>
      </c>
      <c r="DR10" s="585">
        <v>0</v>
      </c>
      <c r="DS10" s="585">
        <v>33</v>
      </c>
      <c r="DT10" s="585">
        <v>13</v>
      </c>
      <c r="DU10" s="585">
        <v>13</v>
      </c>
      <c r="DV10" s="585">
        <v>7</v>
      </c>
      <c r="DW10" s="585">
        <v>0</v>
      </c>
    </row>
    <row r="11" spans="1:127" ht="12.75" customHeight="1">
      <c r="A11" s="414"/>
      <c r="B11" s="414" t="s">
        <v>3080</v>
      </c>
      <c r="C11" s="391" t="s">
        <v>3081</v>
      </c>
      <c r="D11" s="579"/>
      <c r="E11" s="579"/>
      <c r="G11" s="598" t="s">
        <v>3082</v>
      </c>
      <c r="H11" s="598" t="s">
        <v>3034</v>
      </c>
      <c r="I11" s="585" t="s">
        <v>3083</v>
      </c>
      <c r="K11" s="584">
        <v>200000</v>
      </c>
      <c r="N11" s="585" t="s">
        <v>2022</v>
      </c>
      <c r="S11" s="585" t="s">
        <v>3084</v>
      </c>
      <c r="AL11" s="635" t="s">
        <v>3085</v>
      </c>
      <c r="AM11" s="584"/>
      <c r="AN11" s="584"/>
      <c r="AO11" s="584"/>
      <c r="AP11" s="584"/>
      <c r="AQ11" s="584"/>
      <c r="AR11" s="584"/>
      <c r="AS11" s="584"/>
      <c r="AV11" s="636" t="s">
        <v>1681</v>
      </c>
      <c r="AW11" s="627">
        <v>263</v>
      </c>
      <c r="AX11" s="627">
        <v>87</v>
      </c>
      <c r="AY11" s="627">
        <v>175</v>
      </c>
      <c r="BB11" s="382" t="s">
        <v>3086</v>
      </c>
      <c r="BC11" s="626">
        <v>29.640931746516124</v>
      </c>
      <c r="BD11" s="626">
        <v>38.931297709923662</v>
      </c>
      <c r="BE11" s="626">
        <v>44.797371303395401</v>
      </c>
      <c r="BF11" s="626">
        <v>30.416810196348607</v>
      </c>
      <c r="BG11" s="626">
        <v>38.861660079051383</v>
      </c>
      <c r="BH11" s="626">
        <v>44.958615500376226</v>
      </c>
      <c r="BI11" s="626">
        <v>29.807692307692307</v>
      </c>
      <c r="BJ11" s="626">
        <v>34.959349593495936</v>
      </c>
      <c r="BK11" s="626">
        <v>42.10526315789474</v>
      </c>
      <c r="BL11" s="626">
        <v>22.210065645514224</v>
      </c>
      <c r="BM11" s="626">
        <v>48.03921568627451</v>
      </c>
      <c r="BP11" s="585" t="s">
        <v>3087</v>
      </c>
      <c r="BQ11" s="525">
        <v>1197</v>
      </c>
      <c r="BR11" s="585">
        <v>936</v>
      </c>
      <c r="BS11" s="585">
        <v>198</v>
      </c>
      <c r="BT11" s="585">
        <v>52</v>
      </c>
      <c r="BU11" s="585">
        <v>11</v>
      </c>
      <c r="BV11" s="585">
        <v>598</v>
      </c>
      <c r="BW11" s="585">
        <v>468</v>
      </c>
      <c r="BX11" s="585">
        <v>97</v>
      </c>
      <c r="BY11" s="585">
        <v>28</v>
      </c>
      <c r="BZ11" s="585">
        <v>6</v>
      </c>
      <c r="CA11" s="585">
        <v>599</v>
      </c>
      <c r="CB11" s="585">
        <v>468</v>
      </c>
      <c r="CC11" s="585">
        <v>101</v>
      </c>
      <c r="CD11" s="585">
        <v>24</v>
      </c>
      <c r="CE11" s="585">
        <v>6</v>
      </c>
      <c r="CH11" s="585" t="s">
        <v>3088</v>
      </c>
      <c r="CI11" s="525">
        <v>5223</v>
      </c>
      <c r="CJ11" s="525">
        <v>4324</v>
      </c>
      <c r="CK11" s="585">
        <v>644</v>
      </c>
      <c r="CL11" s="585">
        <v>189</v>
      </c>
      <c r="CM11" s="585">
        <v>66</v>
      </c>
      <c r="CN11" s="525">
        <v>2688</v>
      </c>
      <c r="CO11" s="525">
        <v>2237</v>
      </c>
      <c r="CP11" s="585">
        <v>303</v>
      </c>
      <c r="CQ11" s="585">
        <v>117</v>
      </c>
      <c r="CR11" s="585">
        <v>31</v>
      </c>
      <c r="CS11" s="525">
        <v>2535</v>
      </c>
      <c r="CT11" s="525">
        <v>2087</v>
      </c>
      <c r="CU11" s="585">
        <v>341</v>
      </c>
      <c r="CV11" s="585">
        <v>72</v>
      </c>
      <c r="CW11" s="585">
        <v>34</v>
      </c>
      <c r="CZ11" s="585" t="s">
        <v>3089</v>
      </c>
      <c r="DA11" s="585">
        <v>601</v>
      </c>
      <c r="DB11" s="585">
        <v>533</v>
      </c>
      <c r="DC11" s="585">
        <v>55</v>
      </c>
      <c r="DD11" s="585">
        <v>10</v>
      </c>
      <c r="DE11" s="585">
        <v>3</v>
      </c>
      <c r="DH11" s="585" t="s">
        <v>491</v>
      </c>
      <c r="DI11" s="585">
        <v>46</v>
      </c>
      <c r="DJ11" s="585">
        <v>46</v>
      </c>
      <c r="DK11" s="585">
        <v>0</v>
      </c>
      <c r="DL11" s="585">
        <v>0</v>
      </c>
      <c r="DM11" s="585">
        <v>0</v>
      </c>
      <c r="DN11" s="585">
        <v>26</v>
      </c>
      <c r="DO11" s="585">
        <v>26</v>
      </c>
      <c r="DP11" s="585">
        <v>0</v>
      </c>
      <c r="DQ11" s="585">
        <v>0</v>
      </c>
      <c r="DR11" s="585">
        <v>0</v>
      </c>
      <c r="DS11" s="585">
        <v>20</v>
      </c>
      <c r="DT11" s="585">
        <v>20</v>
      </c>
      <c r="DU11" s="585">
        <v>0</v>
      </c>
      <c r="DV11" s="585">
        <v>0</v>
      </c>
      <c r="DW11" s="585">
        <v>0</v>
      </c>
    </row>
    <row r="12" spans="1:127" ht="12.75" customHeight="1">
      <c r="A12" s="414"/>
      <c r="B12" s="414"/>
      <c r="C12" s="612" t="s">
        <v>3090</v>
      </c>
      <c r="D12" s="579"/>
      <c r="E12" s="622">
        <v>3837422</v>
      </c>
      <c r="G12" s="598"/>
      <c r="H12" s="598" t="s">
        <v>3034</v>
      </c>
      <c r="I12" s="585" t="s">
        <v>3035</v>
      </c>
      <c r="K12" s="584">
        <v>1300000</v>
      </c>
      <c r="S12" s="585" t="s">
        <v>3091</v>
      </c>
      <c r="AM12" s="584"/>
      <c r="AN12" s="584"/>
      <c r="AO12" s="584"/>
      <c r="AP12" s="584"/>
      <c r="AQ12" s="584"/>
      <c r="AR12" s="584"/>
      <c r="AS12" s="584"/>
      <c r="AV12" s="382" t="s">
        <v>3069</v>
      </c>
      <c r="AW12" s="584"/>
      <c r="AX12" s="584"/>
      <c r="AY12" s="584"/>
      <c r="BB12" s="382" t="s">
        <v>3092</v>
      </c>
      <c r="BC12" s="626">
        <v>20.821889939985759</v>
      </c>
      <c r="BD12" s="626">
        <v>19.114503816793892</v>
      </c>
      <c r="BE12" s="626">
        <v>16.575392479006936</v>
      </c>
      <c r="BF12" s="626">
        <v>20.840509817430245</v>
      </c>
      <c r="BG12" s="626">
        <v>19.162055335968379</v>
      </c>
      <c r="BH12" s="626">
        <v>16.854778028592929</v>
      </c>
      <c r="BI12" s="626">
        <v>19.71153846153846</v>
      </c>
      <c r="BJ12" s="626">
        <v>17.073170731707318</v>
      </c>
      <c r="BK12" s="626">
        <v>7.8947368421052628</v>
      </c>
      <c r="BL12" s="626">
        <v>20.897155361050327</v>
      </c>
      <c r="BM12" s="626">
        <v>18.627450980392158</v>
      </c>
      <c r="BP12" s="585" t="s">
        <v>3093</v>
      </c>
      <c r="BQ12" s="525">
        <v>1093</v>
      </c>
      <c r="BR12" s="585">
        <v>858</v>
      </c>
      <c r="BS12" s="585">
        <v>173</v>
      </c>
      <c r="BT12" s="585">
        <v>48</v>
      </c>
      <c r="BU12" s="585">
        <v>14</v>
      </c>
      <c r="BV12" s="585">
        <v>472</v>
      </c>
      <c r="BW12" s="585">
        <v>358</v>
      </c>
      <c r="BX12" s="585">
        <v>84</v>
      </c>
      <c r="BY12" s="585">
        <v>28</v>
      </c>
      <c r="BZ12" s="585">
        <v>3</v>
      </c>
      <c r="CA12" s="585">
        <v>621</v>
      </c>
      <c r="CB12" s="585">
        <v>501</v>
      </c>
      <c r="CC12" s="585">
        <v>88</v>
      </c>
      <c r="CD12" s="585">
        <v>21</v>
      </c>
      <c r="CE12" s="585">
        <v>11</v>
      </c>
      <c r="CH12" s="585" t="s">
        <v>3094</v>
      </c>
      <c r="CI12" s="525">
        <v>8365</v>
      </c>
      <c r="CJ12" s="525">
        <v>6619</v>
      </c>
      <c r="CK12" s="525">
        <v>1267</v>
      </c>
      <c r="CL12" s="585">
        <v>310</v>
      </c>
      <c r="CM12" s="585">
        <v>169</v>
      </c>
      <c r="CN12" s="525">
        <v>3852</v>
      </c>
      <c r="CO12" s="525">
        <v>3010</v>
      </c>
      <c r="CP12" s="585">
        <v>640</v>
      </c>
      <c r="CQ12" s="585">
        <v>124</v>
      </c>
      <c r="CR12" s="585">
        <v>77</v>
      </c>
      <c r="CS12" s="525">
        <v>4513</v>
      </c>
      <c r="CT12" s="525">
        <v>3608</v>
      </c>
      <c r="CU12" s="585">
        <v>627</v>
      </c>
      <c r="CV12" s="585">
        <v>186</v>
      </c>
      <c r="CW12" s="585">
        <v>91</v>
      </c>
      <c r="CZ12" s="585" t="s">
        <v>3095</v>
      </c>
      <c r="DA12" s="585">
        <v>566</v>
      </c>
      <c r="DB12" s="585">
        <v>514</v>
      </c>
      <c r="DC12" s="585">
        <v>34</v>
      </c>
      <c r="DD12" s="585">
        <v>10</v>
      </c>
      <c r="DE12" s="585">
        <v>9</v>
      </c>
      <c r="DH12" s="585" t="s">
        <v>473</v>
      </c>
      <c r="DI12" s="585">
        <v>128</v>
      </c>
      <c r="DJ12" s="585">
        <v>98</v>
      </c>
      <c r="DK12" s="585">
        <v>17</v>
      </c>
      <c r="DL12" s="585">
        <v>14</v>
      </c>
      <c r="DM12" s="585">
        <v>0</v>
      </c>
      <c r="DN12" s="585">
        <v>77</v>
      </c>
      <c r="DO12" s="585">
        <v>59</v>
      </c>
      <c r="DP12" s="585">
        <v>8</v>
      </c>
      <c r="DQ12" s="585">
        <v>10</v>
      </c>
      <c r="DR12" s="585">
        <v>0</v>
      </c>
      <c r="DS12" s="585">
        <v>51</v>
      </c>
      <c r="DT12" s="585">
        <v>39</v>
      </c>
      <c r="DU12" s="585">
        <v>8</v>
      </c>
      <c r="DV12" s="585">
        <v>3</v>
      </c>
      <c r="DW12" s="585">
        <v>0</v>
      </c>
    </row>
    <row r="13" spans="1:127" ht="12.75" customHeight="1">
      <c r="A13" s="414"/>
      <c r="B13" s="414"/>
      <c r="C13" s="612"/>
      <c r="D13" s="579" t="s">
        <v>3040</v>
      </c>
      <c r="E13" s="456">
        <f>SUM(E9:E12)</f>
        <v>12532239</v>
      </c>
      <c r="G13" s="598"/>
      <c r="H13" s="598" t="s">
        <v>3034</v>
      </c>
      <c r="I13" s="585" t="s">
        <v>3096</v>
      </c>
      <c r="K13" s="584">
        <v>28750</v>
      </c>
      <c r="S13" s="585" t="s">
        <v>3097</v>
      </c>
      <c r="AM13" s="584"/>
      <c r="AN13" s="584"/>
      <c r="AO13" s="584"/>
      <c r="AP13" s="584"/>
      <c r="AQ13" s="584"/>
      <c r="AR13" s="584"/>
      <c r="AS13" s="584"/>
      <c r="AV13" s="584" t="s">
        <v>3098</v>
      </c>
      <c r="BB13" s="382" t="s">
        <v>3099</v>
      </c>
      <c r="BC13" s="626">
        <v>6.967755060522836</v>
      </c>
      <c r="BD13" s="626">
        <v>5.3740458015267176</v>
      </c>
      <c r="BE13" s="626">
        <v>3.249361080686382</v>
      </c>
      <c r="BF13" s="626">
        <v>7.0846251004707774</v>
      </c>
      <c r="BG13" s="626">
        <v>5.3596837944664033</v>
      </c>
      <c r="BH13" s="626">
        <v>3.3107599699021821</v>
      </c>
      <c r="BI13" s="626">
        <v>6.25</v>
      </c>
      <c r="BJ13" s="626">
        <v>4.8780487804878048</v>
      </c>
      <c r="BK13" s="626">
        <v>1.3157894736842106</v>
      </c>
      <c r="BL13" s="626">
        <v>6.0175054704595183</v>
      </c>
      <c r="BM13" s="626">
        <v>6.8627450980392153</v>
      </c>
      <c r="BP13" s="585" t="s">
        <v>3100</v>
      </c>
      <c r="BQ13" s="585">
        <v>945</v>
      </c>
      <c r="BR13" s="585">
        <v>709</v>
      </c>
      <c r="BS13" s="585">
        <v>168</v>
      </c>
      <c r="BT13" s="585">
        <v>45</v>
      </c>
      <c r="BU13" s="585">
        <v>23</v>
      </c>
      <c r="BV13" s="585">
        <v>420</v>
      </c>
      <c r="BW13" s="585">
        <v>325</v>
      </c>
      <c r="BX13" s="585">
        <v>63</v>
      </c>
      <c r="BY13" s="585">
        <v>17</v>
      </c>
      <c r="BZ13" s="585">
        <v>14</v>
      </c>
      <c r="CA13" s="585">
        <v>525</v>
      </c>
      <c r="CB13" s="585">
        <v>384</v>
      </c>
      <c r="CC13" s="585">
        <v>105</v>
      </c>
      <c r="CD13" s="585">
        <v>28</v>
      </c>
      <c r="CE13" s="585">
        <v>9</v>
      </c>
      <c r="CZ13" s="585" t="s">
        <v>3101</v>
      </c>
      <c r="DA13" s="585">
        <v>824</v>
      </c>
      <c r="DB13" s="585">
        <v>741</v>
      </c>
      <c r="DC13" s="585">
        <v>59</v>
      </c>
      <c r="DD13" s="585">
        <v>24</v>
      </c>
      <c r="DE13" s="585">
        <v>0</v>
      </c>
      <c r="DH13" s="585" t="s">
        <v>1967</v>
      </c>
      <c r="DI13" s="585">
        <v>168</v>
      </c>
      <c r="DJ13" s="585">
        <v>124</v>
      </c>
      <c r="DK13" s="585">
        <v>21</v>
      </c>
      <c r="DL13" s="585">
        <v>21</v>
      </c>
      <c r="DM13" s="585">
        <v>3</v>
      </c>
      <c r="DN13" s="585">
        <v>117</v>
      </c>
      <c r="DO13" s="585">
        <v>98</v>
      </c>
      <c r="DP13" s="585">
        <v>13</v>
      </c>
      <c r="DQ13" s="585">
        <v>7</v>
      </c>
      <c r="DR13" s="585">
        <v>0</v>
      </c>
      <c r="DS13" s="585">
        <v>51</v>
      </c>
      <c r="DT13" s="585">
        <v>26</v>
      </c>
      <c r="DU13" s="585">
        <v>8</v>
      </c>
      <c r="DV13" s="585">
        <v>14</v>
      </c>
      <c r="DW13" s="585">
        <v>3</v>
      </c>
    </row>
    <row r="14" spans="1:127" ht="12.75" customHeight="1">
      <c r="A14" s="414"/>
      <c r="B14" s="414"/>
      <c r="C14" s="414"/>
      <c r="D14" s="579"/>
      <c r="E14" s="579"/>
      <c r="G14" s="598"/>
      <c r="H14" s="598" t="s">
        <v>3034</v>
      </c>
      <c r="I14" s="585" t="s">
        <v>3102</v>
      </c>
      <c r="K14" s="584">
        <v>2749000</v>
      </c>
      <c r="S14" s="585" t="s">
        <v>3103</v>
      </c>
      <c r="AM14" s="584"/>
      <c r="AN14" s="584"/>
      <c r="AO14" s="584"/>
      <c r="AP14" s="584"/>
      <c r="AQ14" s="584"/>
      <c r="AR14" s="584"/>
      <c r="AS14" s="584"/>
      <c r="BB14" s="382" t="s">
        <v>3104</v>
      </c>
      <c r="BC14" s="626">
        <v>1.6885362628420304</v>
      </c>
      <c r="BD14" s="626">
        <v>1.5267175572519085</v>
      </c>
      <c r="BE14" s="626">
        <v>1.1683096020445418</v>
      </c>
      <c r="BF14" s="626">
        <v>1.6764266850384659</v>
      </c>
      <c r="BG14" s="626">
        <v>1.5019762845849802</v>
      </c>
      <c r="BH14" s="626">
        <v>1.2039127163280663</v>
      </c>
      <c r="BI14" s="626">
        <v>1.4423076923076923</v>
      </c>
      <c r="BJ14" s="626">
        <v>0</v>
      </c>
      <c r="BK14" s="626">
        <v>0</v>
      </c>
      <c r="BL14" s="626">
        <v>1.8599562363238511</v>
      </c>
      <c r="BM14" s="626">
        <v>4.9019607843137258</v>
      </c>
      <c r="BP14" s="585" t="s">
        <v>3105</v>
      </c>
      <c r="BQ14" s="585">
        <v>842</v>
      </c>
      <c r="BR14" s="585">
        <v>715</v>
      </c>
      <c r="BS14" s="585">
        <v>76</v>
      </c>
      <c r="BT14" s="585">
        <v>31</v>
      </c>
      <c r="BU14" s="585">
        <v>20</v>
      </c>
      <c r="BV14" s="585">
        <v>450</v>
      </c>
      <c r="BW14" s="585">
        <v>397</v>
      </c>
      <c r="BX14" s="585">
        <v>38</v>
      </c>
      <c r="BY14" s="585">
        <v>7</v>
      </c>
      <c r="BZ14" s="585">
        <v>9</v>
      </c>
      <c r="CA14" s="585">
        <v>392</v>
      </c>
      <c r="CB14" s="585">
        <v>319</v>
      </c>
      <c r="CC14" s="585">
        <v>38</v>
      </c>
      <c r="CD14" s="585">
        <v>24</v>
      </c>
      <c r="CE14" s="585">
        <v>11</v>
      </c>
      <c r="CH14" s="585" t="s">
        <v>3106</v>
      </c>
      <c r="CZ14" s="585" t="s">
        <v>3107</v>
      </c>
      <c r="DA14" s="525">
        <v>1231</v>
      </c>
      <c r="DB14" s="585">
        <v>891</v>
      </c>
      <c r="DC14" s="585">
        <v>278</v>
      </c>
      <c r="DD14" s="585">
        <v>45</v>
      </c>
      <c r="DE14" s="585">
        <v>17</v>
      </c>
      <c r="DH14" s="585" t="s">
        <v>2818</v>
      </c>
      <c r="DI14" s="585">
        <v>7</v>
      </c>
      <c r="DJ14" s="585">
        <v>7</v>
      </c>
      <c r="DK14" s="585">
        <v>0</v>
      </c>
      <c r="DL14" s="585">
        <v>0</v>
      </c>
      <c r="DM14" s="585">
        <v>0</v>
      </c>
      <c r="DN14" s="585">
        <v>7</v>
      </c>
      <c r="DO14" s="585">
        <v>7</v>
      </c>
      <c r="DP14" s="585">
        <v>0</v>
      </c>
      <c r="DQ14" s="585">
        <v>0</v>
      </c>
      <c r="DR14" s="585">
        <v>0</v>
      </c>
      <c r="DS14" s="585">
        <v>0</v>
      </c>
      <c r="DT14" s="585">
        <v>0</v>
      </c>
      <c r="DU14" s="585">
        <v>0</v>
      </c>
      <c r="DV14" s="585">
        <v>0</v>
      </c>
      <c r="DW14" s="585">
        <v>0</v>
      </c>
    </row>
    <row r="15" spans="1:127" ht="12.75" customHeight="1">
      <c r="A15" s="414" t="s">
        <v>3108</v>
      </c>
      <c r="B15" s="414" t="s">
        <v>3008</v>
      </c>
      <c r="C15" s="414" t="s">
        <v>3009</v>
      </c>
      <c r="D15" s="579"/>
      <c r="E15" s="579"/>
      <c r="G15" s="598"/>
      <c r="H15" s="598" t="s">
        <v>3034</v>
      </c>
      <c r="I15" s="585" t="s">
        <v>3109</v>
      </c>
      <c r="K15" s="584">
        <v>1000000</v>
      </c>
      <c r="S15" s="585" t="s">
        <v>2022</v>
      </c>
      <c r="AM15" s="584"/>
      <c r="AN15" s="584"/>
      <c r="AO15" s="584"/>
      <c r="AP15" s="584"/>
      <c r="AQ15" s="584"/>
      <c r="AR15" s="584"/>
      <c r="AS15" s="584"/>
      <c r="BB15" s="382"/>
      <c r="BC15" s="382"/>
      <c r="BD15" s="382"/>
      <c r="BE15" s="382"/>
      <c r="BF15" s="382"/>
      <c r="BG15" s="382"/>
      <c r="BH15" s="382"/>
      <c r="BI15" s="382"/>
      <c r="BJ15" s="382"/>
      <c r="BK15" s="382"/>
      <c r="BL15" s="382"/>
      <c r="BM15" s="382"/>
      <c r="BP15" s="585" t="s">
        <v>3110</v>
      </c>
      <c r="BQ15" s="585">
        <v>602</v>
      </c>
      <c r="BR15" s="585">
        <v>449</v>
      </c>
      <c r="BS15" s="585">
        <v>126</v>
      </c>
      <c r="BT15" s="585">
        <v>10</v>
      </c>
      <c r="BU15" s="585">
        <v>17</v>
      </c>
      <c r="BV15" s="585">
        <v>293</v>
      </c>
      <c r="BW15" s="585">
        <v>202</v>
      </c>
      <c r="BX15" s="585">
        <v>76</v>
      </c>
      <c r="BY15" s="585">
        <v>7</v>
      </c>
      <c r="BZ15" s="585">
        <v>9</v>
      </c>
      <c r="CA15" s="585">
        <v>310</v>
      </c>
      <c r="CB15" s="585">
        <v>247</v>
      </c>
      <c r="CC15" s="585">
        <v>51</v>
      </c>
      <c r="CD15" s="585">
        <v>3</v>
      </c>
      <c r="CE15" s="585">
        <v>9</v>
      </c>
      <c r="CH15" s="585" t="s">
        <v>129</v>
      </c>
      <c r="CI15" s="525">
        <v>13588</v>
      </c>
      <c r="CJ15" s="525">
        <v>10943</v>
      </c>
      <c r="CK15" s="525">
        <v>1912</v>
      </c>
      <c r="CL15" s="585">
        <v>499</v>
      </c>
      <c r="CM15" s="585">
        <v>234</v>
      </c>
      <c r="CN15" s="525">
        <v>6540</v>
      </c>
      <c r="CO15" s="525">
        <v>5247</v>
      </c>
      <c r="CP15" s="585">
        <v>943</v>
      </c>
      <c r="CQ15" s="585">
        <v>241</v>
      </c>
      <c r="CR15" s="585">
        <v>109</v>
      </c>
      <c r="CS15" s="525">
        <v>7048</v>
      </c>
      <c r="CT15" s="525">
        <v>5696</v>
      </c>
      <c r="CU15" s="585">
        <v>968</v>
      </c>
      <c r="CV15" s="585">
        <v>258</v>
      </c>
      <c r="CW15" s="585">
        <v>126</v>
      </c>
      <c r="CZ15" s="585" t="s">
        <v>3111</v>
      </c>
      <c r="DA15" s="525">
        <v>1083</v>
      </c>
      <c r="DB15" s="585">
        <v>754</v>
      </c>
      <c r="DC15" s="585">
        <v>236</v>
      </c>
      <c r="DD15" s="585">
        <v>59</v>
      </c>
      <c r="DE15" s="585">
        <v>34</v>
      </c>
      <c r="DH15" s="585" t="s">
        <v>3112</v>
      </c>
      <c r="DI15" s="585">
        <v>8</v>
      </c>
      <c r="DJ15" s="585">
        <v>0</v>
      </c>
      <c r="DK15" s="585">
        <v>8</v>
      </c>
      <c r="DL15" s="585">
        <v>0</v>
      </c>
      <c r="DM15" s="585">
        <v>0</v>
      </c>
      <c r="DN15" s="585">
        <v>0</v>
      </c>
      <c r="DO15" s="585">
        <v>0</v>
      </c>
      <c r="DP15" s="585">
        <v>0</v>
      </c>
      <c r="DQ15" s="585">
        <v>0</v>
      </c>
      <c r="DR15" s="585">
        <v>0</v>
      </c>
      <c r="DS15" s="585">
        <v>8</v>
      </c>
      <c r="DT15" s="585">
        <v>0</v>
      </c>
      <c r="DU15" s="585">
        <v>8</v>
      </c>
      <c r="DV15" s="585">
        <v>0</v>
      </c>
      <c r="DW15" s="585">
        <v>0</v>
      </c>
    </row>
    <row r="16" spans="1:127" ht="12.75" customHeight="1">
      <c r="A16" s="414"/>
      <c r="B16" s="414"/>
      <c r="C16" s="612" t="s">
        <v>3023</v>
      </c>
      <c r="D16" s="579"/>
      <c r="E16" s="456">
        <v>5737500</v>
      </c>
      <c r="G16" s="598"/>
      <c r="H16" s="598" t="s">
        <v>3034</v>
      </c>
      <c r="I16" s="585" t="s">
        <v>3113</v>
      </c>
      <c r="K16" s="584">
        <v>90000</v>
      </c>
      <c r="N16" s="382" t="s">
        <v>3118</v>
      </c>
      <c r="AL16" s="637"/>
      <c r="AM16" s="584"/>
      <c r="AN16" s="584"/>
      <c r="AO16" s="584"/>
      <c r="AP16" s="584"/>
      <c r="AQ16" s="584"/>
      <c r="AR16" s="584"/>
      <c r="AS16" s="584"/>
      <c r="BB16" s="619" t="s">
        <v>3114</v>
      </c>
      <c r="BC16" s="626">
        <v>42.910702113156098</v>
      </c>
      <c r="BD16" s="626">
        <v>51.708217913204059</v>
      </c>
      <c r="BE16" s="626">
        <v>58.870168483647177</v>
      </c>
      <c r="BF16" s="626">
        <v>42.369020501138955</v>
      </c>
      <c r="BG16" s="626">
        <v>51.625239005736141</v>
      </c>
      <c r="BH16" s="626">
        <v>58.426966292134829</v>
      </c>
      <c r="BI16" s="626">
        <v>39.682539682539684</v>
      </c>
      <c r="BJ16" s="626">
        <v>45.454545454545453</v>
      </c>
      <c r="BK16" s="626">
        <v>73.333333333333329</v>
      </c>
      <c r="BL16" s="626">
        <v>49.789029535864977</v>
      </c>
      <c r="BM16" s="626">
        <v>60.975609756097562</v>
      </c>
      <c r="BP16" s="585" t="s">
        <v>3115</v>
      </c>
      <c r="BQ16" s="585">
        <v>454</v>
      </c>
      <c r="BR16" s="585">
        <v>325</v>
      </c>
      <c r="BS16" s="585">
        <v>88</v>
      </c>
      <c r="BT16" s="585">
        <v>21</v>
      </c>
      <c r="BU16" s="585">
        <v>20</v>
      </c>
      <c r="BV16" s="585">
        <v>212</v>
      </c>
      <c r="BW16" s="585">
        <v>143</v>
      </c>
      <c r="BX16" s="585">
        <v>51</v>
      </c>
      <c r="BY16" s="585">
        <v>7</v>
      </c>
      <c r="BZ16" s="585">
        <v>11</v>
      </c>
      <c r="CA16" s="585">
        <v>242</v>
      </c>
      <c r="CB16" s="585">
        <v>182</v>
      </c>
      <c r="CC16" s="585">
        <v>38</v>
      </c>
      <c r="CD16" s="585">
        <v>14</v>
      </c>
      <c r="CE16" s="585">
        <v>9</v>
      </c>
      <c r="CH16" s="585" t="s">
        <v>3019</v>
      </c>
      <c r="CI16" s="525">
        <v>6127</v>
      </c>
      <c r="CJ16" s="525">
        <v>6086</v>
      </c>
      <c r="CK16" s="585">
        <v>38</v>
      </c>
      <c r="CL16" s="585">
        <v>3</v>
      </c>
      <c r="CM16" s="585">
        <v>0</v>
      </c>
      <c r="CN16" s="525">
        <v>2726</v>
      </c>
      <c r="CO16" s="525">
        <v>2718</v>
      </c>
      <c r="CP16" s="585">
        <v>8</v>
      </c>
      <c r="CQ16" s="585">
        <v>0</v>
      </c>
      <c r="CR16" s="585">
        <v>0</v>
      </c>
      <c r="CS16" s="525">
        <v>3401</v>
      </c>
      <c r="CT16" s="525">
        <v>3368</v>
      </c>
      <c r="CU16" s="585">
        <v>29</v>
      </c>
      <c r="CV16" s="585">
        <v>3</v>
      </c>
      <c r="CW16" s="585">
        <v>0</v>
      </c>
      <c r="CZ16" s="585" t="s">
        <v>3116</v>
      </c>
      <c r="DA16" s="585">
        <v>96</v>
      </c>
      <c r="DB16" s="585">
        <v>52</v>
      </c>
      <c r="DC16" s="585">
        <v>21</v>
      </c>
      <c r="DD16" s="585">
        <v>17</v>
      </c>
      <c r="DE16" s="585">
        <v>6</v>
      </c>
      <c r="DH16" s="585" t="s">
        <v>388</v>
      </c>
      <c r="DI16" s="585">
        <v>47</v>
      </c>
      <c r="DJ16" s="585">
        <v>39</v>
      </c>
      <c r="DK16" s="585">
        <v>4</v>
      </c>
      <c r="DL16" s="585">
        <v>3</v>
      </c>
      <c r="DM16" s="585">
        <v>0</v>
      </c>
      <c r="DN16" s="585">
        <v>21</v>
      </c>
      <c r="DO16" s="585">
        <v>13</v>
      </c>
      <c r="DP16" s="585">
        <v>4</v>
      </c>
      <c r="DQ16" s="585">
        <v>3</v>
      </c>
      <c r="DR16" s="585">
        <v>0</v>
      </c>
      <c r="DS16" s="585">
        <v>26</v>
      </c>
      <c r="DT16" s="585">
        <v>26</v>
      </c>
      <c r="DU16" s="585">
        <v>0</v>
      </c>
      <c r="DV16" s="585">
        <v>0</v>
      </c>
      <c r="DW16" s="585">
        <v>0</v>
      </c>
    </row>
    <row r="17" spans="1:127" ht="12.75" customHeight="1">
      <c r="A17" s="414"/>
      <c r="B17" s="414" t="s">
        <v>3032</v>
      </c>
      <c r="C17" s="391" t="s">
        <v>3033</v>
      </c>
      <c r="D17" s="579"/>
      <c r="E17" s="622">
        <v>6794739</v>
      </c>
      <c r="G17" s="598"/>
      <c r="H17" s="598" t="s">
        <v>3041</v>
      </c>
      <c r="I17" s="585" t="s">
        <v>3117</v>
      </c>
      <c r="K17" s="584">
        <v>781000</v>
      </c>
      <c r="N17" s="588" t="s">
        <v>2996</v>
      </c>
      <c r="O17" s="589" t="s">
        <v>2807</v>
      </c>
      <c r="P17" s="590" t="s">
        <v>2997</v>
      </c>
      <c r="AL17" s="635"/>
      <c r="AM17" s="584"/>
      <c r="AN17" s="584"/>
      <c r="AO17" s="584"/>
      <c r="AP17" s="584"/>
      <c r="AQ17" s="584"/>
      <c r="AR17" s="584"/>
      <c r="AS17" s="584"/>
      <c r="BB17" s="619" t="s">
        <v>3119</v>
      </c>
      <c r="BC17" s="626">
        <v>35.753995830437802</v>
      </c>
      <c r="BD17" s="626">
        <v>44.061302681992338</v>
      </c>
      <c r="BE17" s="626">
        <v>51.576292559899116</v>
      </c>
      <c r="BF17" s="626">
        <v>35.557269571924415</v>
      </c>
      <c r="BG17" s="626">
        <v>43.787276341948314</v>
      </c>
      <c r="BH17" s="626">
        <v>51.658163265306122</v>
      </c>
      <c r="BI17" s="626">
        <v>30.357142857142858</v>
      </c>
      <c r="BJ17" s="626">
        <v>45.945945945945944</v>
      </c>
      <c r="BK17" s="626">
        <v>44.444444444444443</v>
      </c>
      <c r="BL17" s="626">
        <v>39.301310043668124</v>
      </c>
      <c r="BM17" s="626">
        <v>56.410256410256409</v>
      </c>
      <c r="BP17" s="585" t="s">
        <v>3120</v>
      </c>
      <c r="BQ17" s="585">
        <v>308</v>
      </c>
      <c r="BR17" s="585">
        <v>280</v>
      </c>
      <c r="BS17" s="585">
        <v>25</v>
      </c>
      <c r="BT17" s="585">
        <v>3</v>
      </c>
      <c r="BU17" s="585">
        <v>0</v>
      </c>
      <c r="BV17" s="585">
        <v>148</v>
      </c>
      <c r="BW17" s="585">
        <v>137</v>
      </c>
      <c r="BX17" s="585">
        <v>8</v>
      </c>
      <c r="BY17" s="585">
        <v>3</v>
      </c>
      <c r="BZ17" s="585">
        <v>0</v>
      </c>
      <c r="CA17" s="585">
        <v>160</v>
      </c>
      <c r="CB17" s="585">
        <v>143</v>
      </c>
      <c r="CC17" s="585">
        <v>17</v>
      </c>
      <c r="CD17" s="585">
        <v>0</v>
      </c>
      <c r="CE17" s="585">
        <v>0</v>
      </c>
      <c r="CH17" s="585" t="s">
        <v>3020</v>
      </c>
      <c r="CI17" s="525">
        <v>1302</v>
      </c>
      <c r="CJ17" s="585">
        <v>143</v>
      </c>
      <c r="CK17" s="525">
        <v>1145</v>
      </c>
      <c r="CL17" s="585">
        <v>10</v>
      </c>
      <c r="CM17" s="585">
        <v>3</v>
      </c>
      <c r="CN17" s="585">
        <v>623</v>
      </c>
      <c r="CO17" s="585">
        <v>59</v>
      </c>
      <c r="CP17" s="585">
        <v>564</v>
      </c>
      <c r="CQ17" s="585">
        <v>0</v>
      </c>
      <c r="CR17" s="585">
        <v>0</v>
      </c>
      <c r="CS17" s="585">
        <v>679</v>
      </c>
      <c r="CT17" s="585">
        <v>85</v>
      </c>
      <c r="CU17" s="585">
        <v>581</v>
      </c>
      <c r="CV17" s="585">
        <v>10</v>
      </c>
      <c r="CW17" s="585">
        <v>3</v>
      </c>
      <c r="CZ17" s="585" t="s">
        <v>3121</v>
      </c>
      <c r="DA17" s="585">
        <v>56</v>
      </c>
      <c r="DB17" s="585">
        <v>20</v>
      </c>
      <c r="DC17" s="585">
        <v>17</v>
      </c>
      <c r="DD17" s="585">
        <v>17</v>
      </c>
      <c r="DE17" s="585">
        <v>3</v>
      </c>
      <c r="DH17" s="585" t="s">
        <v>3122</v>
      </c>
      <c r="DI17" s="585">
        <v>13</v>
      </c>
      <c r="DJ17" s="585">
        <v>13</v>
      </c>
      <c r="DK17" s="585">
        <v>0</v>
      </c>
      <c r="DL17" s="585">
        <v>0</v>
      </c>
      <c r="DM17" s="585">
        <v>0</v>
      </c>
      <c r="DN17" s="585">
        <v>13</v>
      </c>
      <c r="DO17" s="585">
        <v>13</v>
      </c>
      <c r="DP17" s="585">
        <v>0</v>
      </c>
      <c r="DQ17" s="585">
        <v>0</v>
      </c>
      <c r="DR17" s="585">
        <v>0</v>
      </c>
      <c r="DS17" s="585">
        <v>0</v>
      </c>
      <c r="DT17" s="585">
        <v>0</v>
      </c>
      <c r="DU17" s="585">
        <v>0</v>
      </c>
      <c r="DV17" s="585">
        <v>0</v>
      </c>
      <c r="DW17" s="585">
        <v>0</v>
      </c>
    </row>
    <row r="18" spans="1:127" ht="12.75" customHeight="1">
      <c r="A18" s="414"/>
      <c r="B18" s="414"/>
      <c r="C18" s="391"/>
      <c r="D18" s="579" t="s">
        <v>3040</v>
      </c>
      <c r="E18" s="456">
        <f>SUM(E16:E17)</f>
        <v>12532239</v>
      </c>
      <c r="G18" s="598"/>
      <c r="H18" s="598" t="s">
        <v>3041</v>
      </c>
      <c r="I18" s="585" t="s">
        <v>3123</v>
      </c>
      <c r="K18" s="584">
        <v>112000</v>
      </c>
      <c r="N18" s="599" t="s">
        <v>129</v>
      </c>
      <c r="O18" s="600">
        <f>SUM(O19:O22)</f>
        <v>44123</v>
      </c>
      <c r="P18" s="601" t="s">
        <v>2824</v>
      </c>
      <c r="AM18" s="584"/>
      <c r="AN18" s="584"/>
      <c r="AO18" s="584"/>
      <c r="AP18" s="584"/>
      <c r="AQ18" s="584"/>
      <c r="AR18" s="584"/>
      <c r="AS18" s="584"/>
      <c r="BB18" s="382"/>
      <c r="BC18" s="382"/>
      <c r="BD18" s="382"/>
      <c r="BE18" s="382"/>
      <c r="BF18" s="382"/>
      <c r="BG18" s="382"/>
      <c r="BH18" s="382"/>
      <c r="BI18" s="382"/>
      <c r="BJ18" s="382"/>
      <c r="BK18" s="382"/>
      <c r="BL18" s="382"/>
      <c r="BM18" s="382"/>
      <c r="BP18" s="585" t="s">
        <v>3124</v>
      </c>
      <c r="BQ18" s="585">
        <v>190</v>
      </c>
      <c r="BR18" s="585">
        <v>169</v>
      </c>
      <c r="BS18" s="585">
        <v>21</v>
      </c>
      <c r="BT18" s="585">
        <v>0</v>
      </c>
      <c r="BU18" s="585">
        <v>0</v>
      </c>
      <c r="BV18" s="585">
        <v>108</v>
      </c>
      <c r="BW18" s="585">
        <v>91</v>
      </c>
      <c r="BX18" s="585">
        <v>17</v>
      </c>
      <c r="BY18" s="585">
        <v>0</v>
      </c>
      <c r="BZ18" s="585">
        <v>0</v>
      </c>
      <c r="CA18" s="585">
        <v>82</v>
      </c>
      <c r="CB18" s="585">
        <v>78</v>
      </c>
      <c r="CC18" s="585">
        <v>4</v>
      </c>
      <c r="CD18" s="585">
        <v>0</v>
      </c>
      <c r="CE18" s="585">
        <v>0</v>
      </c>
      <c r="CH18" s="585" t="s">
        <v>3021</v>
      </c>
      <c r="CI18" s="585">
        <v>330</v>
      </c>
      <c r="CJ18" s="585">
        <v>39</v>
      </c>
      <c r="CK18" s="585">
        <v>29</v>
      </c>
      <c r="CL18" s="585">
        <v>262</v>
      </c>
      <c r="CM18" s="585">
        <v>0</v>
      </c>
      <c r="CN18" s="585">
        <v>164</v>
      </c>
      <c r="CO18" s="585">
        <v>33</v>
      </c>
      <c r="CP18" s="585">
        <v>21</v>
      </c>
      <c r="CQ18" s="585">
        <v>110</v>
      </c>
      <c r="CR18" s="585">
        <v>0</v>
      </c>
      <c r="CS18" s="585">
        <v>166</v>
      </c>
      <c r="CT18" s="585">
        <v>7</v>
      </c>
      <c r="CU18" s="585">
        <v>8</v>
      </c>
      <c r="CV18" s="585">
        <v>152</v>
      </c>
      <c r="CW18" s="585">
        <v>0</v>
      </c>
      <c r="CZ18" s="585" t="s">
        <v>3125</v>
      </c>
      <c r="DA18" s="585">
        <v>114</v>
      </c>
      <c r="DB18" s="585">
        <v>78</v>
      </c>
      <c r="DC18" s="585">
        <v>13</v>
      </c>
      <c r="DD18" s="585">
        <v>17</v>
      </c>
      <c r="DE18" s="585">
        <v>6</v>
      </c>
      <c r="DH18" s="585" t="s">
        <v>3126</v>
      </c>
      <c r="DI18" s="585">
        <v>0</v>
      </c>
      <c r="DJ18" s="585">
        <v>0</v>
      </c>
      <c r="DK18" s="585">
        <v>0</v>
      </c>
      <c r="DL18" s="585">
        <v>0</v>
      </c>
      <c r="DM18" s="585">
        <v>0</v>
      </c>
      <c r="DN18" s="585">
        <v>0</v>
      </c>
      <c r="DO18" s="585">
        <v>0</v>
      </c>
      <c r="DP18" s="585">
        <v>0</v>
      </c>
      <c r="DQ18" s="585">
        <v>0</v>
      </c>
      <c r="DR18" s="585">
        <v>0</v>
      </c>
      <c r="DS18" s="585">
        <v>0</v>
      </c>
      <c r="DT18" s="585">
        <v>0</v>
      </c>
      <c r="DU18" s="585">
        <v>0</v>
      </c>
      <c r="DV18" s="585">
        <v>0</v>
      </c>
      <c r="DW18" s="585">
        <v>0</v>
      </c>
    </row>
    <row r="19" spans="1:127" ht="12.75" customHeight="1">
      <c r="A19" s="414"/>
      <c r="B19" s="414"/>
      <c r="C19" s="414"/>
      <c r="D19" s="579"/>
      <c r="E19" s="579"/>
      <c r="G19" s="598"/>
      <c r="H19" s="598" t="s">
        <v>3127</v>
      </c>
      <c r="I19" s="585" t="s">
        <v>3128</v>
      </c>
      <c r="J19" s="586"/>
      <c r="K19" s="627">
        <v>119250</v>
      </c>
      <c r="N19" s="585" t="s">
        <v>2818</v>
      </c>
      <c r="O19" s="613">
        <v>23236</v>
      </c>
      <c r="P19" s="601" t="s">
        <v>3133</v>
      </c>
      <c r="AM19" s="584"/>
      <c r="AN19" s="584"/>
      <c r="AO19" s="584"/>
      <c r="AP19" s="584"/>
      <c r="AQ19" s="584"/>
      <c r="AR19" s="584"/>
      <c r="AS19" s="584"/>
      <c r="BB19" s="619" t="s">
        <v>3129</v>
      </c>
      <c r="BC19" s="619">
        <v>1713</v>
      </c>
      <c r="BD19" s="619">
        <v>979</v>
      </c>
      <c r="BE19" s="619">
        <v>331</v>
      </c>
      <c r="BF19" s="619">
        <v>1506</v>
      </c>
      <c r="BG19" s="619">
        <v>931</v>
      </c>
      <c r="BH19" s="619">
        <v>325</v>
      </c>
      <c r="BI19" s="619">
        <v>39</v>
      </c>
      <c r="BJ19" s="619">
        <v>22</v>
      </c>
      <c r="BK19" s="619">
        <v>6</v>
      </c>
      <c r="BL19" s="619">
        <v>168</v>
      </c>
      <c r="BM19" s="619">
        <v>26</v>
      </c>
      <c r="BP19" s="585" t="s">
        <v>3130</v>
      </c>
      <c r="BQ19" s="585">
        <v>101</v>
      </c>
      <c r="BR19" s="585">
        <v>78</v>
      </c>
      <c r="BS19" s="585">
        <v>13</v>
      </c>
      <c r="BT19" s="585">
        <v>10</v>
      </c>
      <c r="BU19" s="585">
        <v>0</v>
      </c>
      <c r="BV19" s="585">
        <v>40</v>
      </c>
      <c r="BW19" s="585">
        <v>33</v>
      </c>
      <c r="BX19" s="585">
        <v>4</v>
      </c>
      <c r="BY19" s="585">
        <v>3</v>
      </c>
      <c r="BZ19" s="585">
        <v>0</v>
      </c>
      <c r="CA19" s="585">
        <v>61</v>
      </c>
      <c r="CB19" s="585">
        <v>46</v>
      </c>
      <c r="CC19" s="585">
        <v>8</v>
      </c>
      <c r="CD19" s="585">
        <v>7</v>
      </c>
      <c r="CE19" s="585">
        <v>0</v>
      </c>
      <c r="CH19" s="585" t="s">
        <v>3022</v>
      </c>
      <c r="CI19" s="585">
        <v>201</v>
      </c>
      <c r="CJ19" s="585">
        <v>20</v>
      </c>
      <c r="CK19" s="585">
        <v>21</v>
      </c>
      <c r="CL19" s="585">
        <v>0</v>
      </c>
      <c r="CM19" s="585">
        <v>160</v>
      </c>
      <c r="CN19" s="585">
        <v>107</v>
      </c>
      <c r="CO19" s="585">
        <v>13</v>
      </c>
      <c r="CP19" s="585">
        <v>17</v>
      </c>
      <c r="CQ19" s="585">
        <v>0</v>
      </c>
      <c r="CR19" s="585">
        <v>77</v>
      </c>
      <c r="CS19" s="585">
        <v>94</v>
      </c>
      <c r="CT19" s="585">
        <v>7</v>
      </c>
      <c r="CU19" s="585">
        <v>4</v>
      </c>
      <c r="CV19" s="585">
        <v>0</v>
      </c>
      <c r="CW19" s="585">
        <v>83</v>
      </c>
      <c r="CZ19" s="585" t="s">
        <v>3131</v>
      </c>
      <c r="DA19" s="585">
        <v>23</v>
      </c>
      <c r="DB19" s="585">
        <v>20</v>
      </c>
      <c r="DC19" s="585">
        <v>0</v>
      </c>
      <c r="DD19" s="585">
        <v>3</v>
      </c>
      <c r="DE19" s="585">
        <v>0</v>
      </c>
    </row>
    <row r="20" spans="1:127" ht="12.75" customHeight="1">
      <c r="A20" s="414" t="s">
        <v>3132</v>
      </c>
      <c r="B20" s="414" t="s">
        <v>3008</v>
      </c>
      <c r="C20" s="414" t="s">
        <v>3009</v>
      </c>
      <c r="D20" s="579"/>
      <c r="E20" s="435"/>
      <c r="G20" s="598"/>
      <c r="H20" s="598"/>
      <c r="J20" s="439" t="s">
        <v>3040</v>
      </c>
      <c r="K20" s="632">
        <f>SUM(K11:K19)</f>
        <v>6380000</v>
      </c>
      <c r="N20" s="585" t="s">
        <v>1967</v>
      </c>
      <c r="O20" s="613">
        <v>18432</v>
      </c>
      <c r="P20" s="601" t="s">
        <v>3137</v>
      </c>
      <c r="AM20" s="584"/>
      <c r="AN20" s="584"/>
      <c r="AO20" s="584"/>
      <c r="AP20" s="584"/>
      <c r="AQ20" s="584"/>
      <c r="AR20" s="584"/>
      <c r="AS20" s="584"/>
      <c r="BB20" s="638" t="s">
        <v>3134</v>
      </c>
      <c r="BC20" s="638">
        <v>5.76</v>
      </c>
      <c r="BD20" s="638">
        <v>6.66</v>
      </c>
      <c r="BE20" s="638">
        <v>8.27</v>
      </c>
      <c r="BF20" s="638">
        <v>5.79</v>
      </c>
      <c r="BG20" s="638">
        <v>6.77</v>
      </c>
      <c r="BH20" s="638">
        <v>8.18</v>
      </c>
      <c r="BI20" s="638">
        <v>5.33</v>
      </c>
      <c r="BJ20" s="638">
        <v>5.59</v>
      </c>
      <c r="BK20" s="638">
        <v>12.67</v>
      </c>
      <c r="BL20" s="638">
        <v>5.57</v>
      </c>
      <c r="BM20" s="638">
        <v>3.78</v>
      </c>
      <c r="BP20" s="585" t="s">
        <v>3135</v>
      </c>
      <c r="BQ20" s="585">
        <v>20</v>
      </c>
      <c r="BR20" s="585">
        <v>13</v>
      </c>
      <c r="BS20" s="585">
        <v>4</v>
      </c>
      <c r="BT20" s="585">
        <v>0</v>
      </c>
      <c r="BU20" s="585">
        <v>3</v>
      </c>
      <c r="BV20" s="585">
        <v>0</v>
      </c>
      <c r="BW20" s="585">
        <v>0</v>
      </c>
      <c r="BX20" s="585">
        <v>0</v>
      </c>
      <c r="BY20" s="585">
        <v>0</v>
      </c>
      <c r="BZ20" s="585">
        <v>0</v>
      </c>
      <c r="CA20" s="585">
        <v>20</v>
      </c>
      <c r="CB20" s="585">
        <v>13</v>
      </c>
      <c r="CC20" s="585">
        <v>4</v>
      </c>
      <c r="CD20" s="585">
        <v>0</v>
      </c>
      <c r="CE20" s="585">
        <v>3</v>
      </c>
      <c r="CH20" s="585" t="s">
        <v>528</v>
      </c>
      <c r="CI20" s="585">
        <v>54</v>
      </c>
      <c r="CJ20" s="585">
        <v>7</v>
      </c>
      <c r="CK20" s="585">
        <v>17</v>
      </c>
      <c r="CL20" s="585">
        <v>31</v>
      </c>
      <c r="CM20" s="585">
        <v>0</v>
      </c>
      <c r="CN20" s="585">
        <v>42</v>
      </c>
      <c r="CO20" s="585">
        <v>7</v>
      </c>
      <c r="CP20" s="585">
        <v>8</v>
      </c>
      <c r="CQ20" s="585">
        <v>28</v>
      </c>
      <c r="CR20" s="585">
        <v>0</v>
      </c>
      <c r="CT20" s="585">
        <v>0</v>
      </c>
      <c r="CU20" s="585">
        <v>8</v>
      </c>
      <c r="CV20" s="585">
        <v>3</v>
      </c>
      <c r="CW20" s="585">
        <v>0</v>
      </c>
      <c r="DH20" s="585" t="s">
        <v>3136</v>
      </c>
    </row>
    <row r="21" spans="1:127" ht="12.75" customHeight="1">
      <c r="A21" s="414"/>
      <c r="B21" s="414"/>
      <c r="C21" s="612" t="s">
        <v>3023</v>
      </c>
      <c r="D21" s="579"/>
      <c r="E21" s="435">
        <v>5741000</v>
      </c>
      <c r="G21" s="598"/>
      <c r="H21" s="598"/>
      <c r="J21" s="639"/>
      <c r="K21" s="584"/>
      <c r="N21" s="585" t="s">
        <v>473</v>
      </c>
      <c r="O21" s="613">
        <v>2431</v>
      </c>
      <c r="P21" s="601" t="s">
        <v>3142</v>
      </c>
      <c r="AM21" s="584"/>
      <c r="AN21" s="584"/>
      <c r="AO21" s="584"/>
      <c r="AP21" s="584"/>
      <c r="AQ21" s="584"/>
      <c r="AR21" s="584"/>
      <c r="AS21" s="584"/>
      <c r="BB21" s="638" t="s">
        <v>3138</v>
      </c>
      <c r="BC21" s="638">
        <v>6.33</v>
      </c>
      <c r="BD21" s="638">
        <v>6.97</v>
      </c>
      <c r="BE21" s="638">
        <v>8.27</v>
      </c>
      <c r="BF21" s="638">
        <v>6.24</v>
      </c>
      <c r="BG21" s="638">
        <v>7.03</v>
      </c>
      <c r="BH21" s="638">
        <v>8.18</v>
      </c>
      <c r="BI21" s="638">
        <v>5.94</v>
      </c>
      <c r="BJ21" s="638">
        <v>5.86</v>
      </c>
      <c r="BK21" s="638">
        <v>12.67</v>
      </c>
      <c r="BL21" s="638">
        <v>7.43</v>
      </c>
      <c r="BM21" s="638">
        <v>5.37</v>
      </c>
      <c r="BP21" s="585" t="s">
        <v>2867</v>
      </c>
      <c r="BQ21" s="585">
        <v>34</v>
      </c>
      <c r="BR21" s="585">
        <v>26</v>
      </c>
      <c r="BS21" s="585">
        <v>4</v>
      </c>
      <c r="BT21" s="585">
        <v>3</v>
      </c>
      <c r="BU21" s="585">
        <v>0</v>
      </c>
      <c r="BV21" s="585">
        <v>17</v>
      </c>
      <c r="BW21" s="585">
        <v>13</v>
      </c>
      <c r="BX21" s="585">
        <v>4</v>
      </c>
      <c r="BY21" s="585">
        <v>0</v>
      </c>
      <c r="BZ21" s="585">
        <v>0</v>
      </c>
      <c r="CA21" s="585">
        <v>16</v>
      </c>
      <c r="CB21" s="585">
        <v>13</v>
      </c>
      <c r="CC21" s="585">
        <v>0</v>
      </c>
      <c r="CD21" s="585">
        <v>3</v>
      </c>
      <c r="CE21" s="585">
        <v>0</v>
      </c>
      <c r="CH21" s="585" t="s">
        <v>491</v>
      </c>
      <c r="CI21" s="585">
        <v>12</v>
      </c>
      <c r="CJ21" s="585">
        <v>7</v>
      </c>
      <c r="CK21" s="585">
        <v>0</v>
      </c>
      <c r="CL21" s="585">
        <v>0</v>
      </c>
      <c r="CM21" s="585">
        <v>6</v>
      </c>
      <c r="CN21" s="585">
        <v>3</v>
      </c>
      <c r="CO21" s="585">
        <v>0</v>
      </c>
      <c r="CP21" s="585">
        <v>0</v>
      </c>
      <c r="CQ21" s="585">
        <v>0</v>
      </c>
      <c r="CR21" s="585">
        <v>3</v>
      </c>
      <c r="CS21" s="585">
        <v>9</v>
      </c>
      <c r="CT21" s="585">
        <v>7</v>
      </c>
      <c r="CU21" s="585">
        <v>0</v>
      </c>
      <c r="CV21" s="585">
        <v>0</v>
      </c>
      <c r="CW21" s="585">
        <v>3</v>
      </c>
      <c r="CZ21" s="585" t="s">
        <v>3139</v>
      </c>
      <c r="DH21" s="585" t="s">
        <v>129</v>
      </c>
      <c r="DI21" s="525">
        <v>13588</v>
      </c>
      <c r="DJ21" s="525">
        <v>10943</v>
      </c>
      <c r="DK21" s="525">
        <v>1912</v>
      </c>
      <c r="DL21" s="585">
        <v>499</v>
      </c>
      <c r="DM21" s="585">
        <v>234</v>
      </c>
      <c r="DN21" s="525">
        <v>6540</v>
      </c>
      <c r="DO21" s="525">
        <v>5247</v>
      </c>
      <c r="DP21" s="585">
        <v>943</v>
      </c>
      <c r="DQ21" s="585">
        <v>241</v>
      </c>
      <c r="DR21" s="585">
        <v>109</v>
      </c>
      <c r="DS21" s="525">
        <v>7048</v>
      </c>
      <c r="DT21" s="525">
        <v>5696</v>
      </c>
      <c r="DU21" s="585">
        <v>968</v>
      </c>
      <c r="DV21" s="585">
        <v>258</v>
      </c>
      <c r="DW21" s="585">
        <v>126</v>
      </c>
    </row>
    <row r="22" spans="1:127" ht="12.75" customHeight="1">
      <c r="A22" s="414"/>
      <c r="B22" s="414" t="s">
        <v>3032</v>
      </c>
      <c r="C22" s="391" t="s">
        <v>3033</v>
      </c>
      <c r="D22" s="579"/>
      <c r="E22" s="556">
        <v>9114958</v>
      </c>
      <c r="G22" s="598" t="s">
        <v>3140</v>
      </c>
      <c r="H22" s="598" t="s">
        <v>3034</v>
      </c>
      <c r="I22" s="585" t="s">
        <v>3141</v>
      </c>
      <c r="K22" s="584">
        <v>6800000</v>
      </c>
      <c r="N22" s="586" t="s">
        <v>3051</v>
      </c>
      <c r="O22" s="625">
        <v>24</v>
      </c>
      <c r="P22" s="611" t="s">
        <v>2824</v>
      </c>
      <c r="AM22" s="584"/>
      <c r="AN22" s="584"/>
      <c r="AO22" s="584"/>
      <c r="AP22" s="584"/>
      <c r="AQ22" s="584"/>
      <c r="AR22" s="584"/>
      <c r="AS22" s="584"/>
      <c r="BB22" s="415" t="s">
        <v>3143</v>
      </c>
      <c r="BC22" s="415"/>
      <c r="BD22" s="415"/>
      <c r="BE22" s="415"/>
      <c r="BF22" s="415"/>
      <c r="BG22" s="415"/>
      <c r="BH22" s="415"/>
      <c r="BI22" s="415"/>
      <c r="BJ22" s="415"/>
      <c r="BK22" s="415"/>
      <c r="BL22" s="415"/>
      <c r="BM22" s="415"/>
      <c r="BP22" s="585" t="s">
        <v>3144</v>
      </c>
      <c r="BQ22" s="585">
        <v>20.5</v>
      </c>
      <c r="BR22" s="585">
        <v>19.899999999999999</v>
      </c>
      <c r="BS22" s="585">
        <v>23.3</v>
      </c>
      <c r="BT22" s="585">
        <v>21.9</v>
      </c>
      <c r="BU22" s="585">
        <v>19.399999999999999</v>
      </c>
      <c r="BV22" s="585">
        <v>19.2</v>
      </c>
      <c r="BW22" s="585">
        <v>18.5</v>
      </c>
      <c r="BX22" s="585">
        <v>23.2</v>
      </c>
      <c r="BY22" s="585">
        <v>18.600000000000001</v>
      </c>
      <c r="BZ22" s="585">
        <v>20</v>
      </c>
      <c r="CA22" s="585">
        <v>21.5</v>
      </c>
      <c r="CB22" s="585">
        <v>21</v>
      </c>
      <c r="CC22" s="585">
        <v>23.5</v>
      </c>
      <c r="CD22" s="585">
        <v>24.1</v>
      </c>
      <c r="CE22" s="585">
        <v>18.3</v>
      </c>
      <c r="CH22" s="585" t="s">
        <v>473</v>
      </c>
      <c r="CI22" s="585">
        <v>374</v>
      </c>
      <c r="CJ22" s="585">
        <v>299</v>
      </c>
      <c r="CK22" s="585">
        <v>55</v>
      </c>
      <c r="CL22" s="585">
        <v>21</v>
      </c>
      <c r="CM22" s="585">
        <v>0</v>
      </c>
      <c r="CN22" s="585">
        <v>217</v>
      </c>
      <c r="CO22" s="585">
        <v>182</v>
      </c>
      <c r="CP22" s="585">
        <v>21</v>
      </c>
      <c r="CQ22" s="585">
        <v>14</v>
      </c>
      <c r="CR22" s="585">
        <v>0</v>
      </c>
      <c r="CS22" s="585">
        <v>158</v>
      </c>
      <c r="CT22" s="585">
        <v>117</v>
      </c>
      <c r="CU22" s="585">
        <v>34</v>
      </c>
      <c r="CV22" s="585">
        <v>7</v>
      </c>
      <c r="CW22" s="585">
        <v>0</v>
      </c>
      <c r="CZ22" s="585" t="s">
        <v>129</v>
      </c>
      <c r="DA22" s="525">
        <v>7385</v>
      </c>
      <c r="DB22" s="525">
        <v>5826</v>
      </c>
      <c r="DC22" s="525">
        <v>1137</v>
      </c>
      <c r="DD22" s="585">
        <v>296</v>
      </c>
      <c r="DE22" s="585">
        <v>126</v>
      </c>
      <c r="DH22" s="585" t="s">
        <v>3019</v>
      </c>
      <c r="DI22" s="525">
        <v>9865</v>
      </c>
      <c r="DJ22" s="525">
        <v>9733</v>
      </c>
      <c r="DK22" s="585">
        <v>101</v>
      </c>
      <c r="DL22" s="585">
        <v>10</v>
      </c>
      <c r="DM22" s="585">
        <v>20</v>
      </c>
      <c r="DN22" s="525">
        <v>4656</v>
      </c>
      <c r="DO22" s="525">
        <v>4590</v>
      </c>
      <c r="DP22" s="585">
        <v>55</v>
      </c>
      <c r="DQ22" s="585">
        <v>0</v>
      </c>
      <c r="DR22" s="585">
        <v>11</v>
      </c>
      <c r="DS22" s="525">
        <v>5208</v>
      </c>
      <c r="DT22" s="525">
        <v>5143</v>
      </c>
      <c r="DU22" s="585">
        <v>46</v>
      </c>
      <c r="DV22" s="585">
        <v>10</v>
      </c>
      <c r="DW22" s="585">
        <v>9</v>
      </c>
    </row>
    <row r="23" spans="1:127" ht="12.75" customHeight="1">
      <c r="A23" s="414"/>
      <c r="B23" s="414"/>
      <c r="C23" s="414"/>
      <c r="D23" s="579" t="s">
        <v>3040</v>
      </c>
      <c r="E23" s="435">
        <f>SUM(E21:E22)</f>
        <v>14855958</v>
      </c>
      <c r="G23" s="598"/>
      <c r="H23" s="598" t="s">
        <v>3034</v>
      </c>
      <c r="I23" s="585" t="s">
        <v>3145</v>
      </c>
      <c r="K23" s="584">
        <v>100000</v>
      </c>
      <c r="N23" s="585" t="s">
        <v>3148</v>
      </c>
      <c r="AM23" s="584"/>
      <c r="AN23" s="584"/>
      <c r="AO23" s="584"/>
      <c r="AP23" s="584"/>
      <c r="AQ23" s="584"/>
      <c r="AR23" s="584"/>
      <c r="BB23" s="382" t="s">
        <v>3146</v>
      </c>
      <c r="BC23" s="382"/>
      <c r="BD23" s="382"/>
      <c r="BE23" s="382"/>
      <c r="BF23" s="382"/>
      <c r="BG23" s="382"/>
      <c r="BH23" s="382"/>
      <c r="BI23" s="382"/>
      <c r="BJ23" s="382"/>
      <c r="BK23" s="382"/>
      <c r="BL23" s="382"/>
      <c r="BM23" s="382"/>
      <c r="CH23" s="585" t="s">
        <v>1967</v>
      </c>
      <c r="CI23" s="525">
        <v>4997</v>
      </c>
      <c r="CJ23" s="525">
        <v>4194</v>
      </c>
      <c r="CK23" s="585">
        <v>590</v>
      </c>
      <c r="CL23" s="585">
        <v>148</v>
      </c>
      <c r="CM23" s="585">
        <v>66</v>
      </c>
      <c r="CN23" s="525">
        <v>2544</v>
      </c>
      <c r="CO23" s="525">
        <v>2152</v>
      </c>
      <c r="CP23" s="585">
        <v>295</v>
      </c>
      <c r="CQ23" s="585">
        <v>69</v>
      </c>
      <c r="CR23" s="585">
        <v>29</v>
      </c>
      <c r="CS23" s="525">
        <v>2453</v>
      </c>
      <c r="CT23" s="525">
        <v>2042</v>
      </c>
      <c r="CU23" s="585">
        <v>295</v>
      </c>
      <c r="CV23" s="585">
        <v>79</v>
      </c>
      <c r="CW23" s="585">
        <v>37</v>
      </c>
      <c r="CZ23" s="585" t="s">
        <v>1684</v>
      </c>
      <c r="DA23" s="585">
        <v>230</v>
      </c>
      <c r="DB23" s="585">
        <v>65</v>
      </c>
      <c r="DC23" s="585">
        <v>122</v>
      </c>
      <c r="DD23" s="585">
        <v>17</v>
      </c>
      <c r="DE23" s="585">
        <v>26</v>
      </c>
      <c r="DH23" s="585" t="s">
        <v>3020</v>
      </c>
      <c r="DI23" s="525">
        <v>1921</v>
      </c>
      <c r="DJ23" s="585">
        <v>273</v>
      </c>
      <c r="DK23" s="525">
        <v>1638</v>
      </c>
      <c r="DL23" s="585">
        <v>7</v>
      </c>
      <c r="DM23" s="585">
        <v>3</v>
      </c>
      <c r="DN23" s="585">
        <v>933</v>
      </c>
      <c r="DO23" s="585">
        <v>150</v>
      </c>
      <c r="DP23" s="585">
        <v>783</v>
      </c>
      <c r="DQ23" s="585">
        <v>0</v>
      </c>
      <c r="DR23" s="585">
        <v>0</v>
      </c>
      <c r="DS23" s="585">
        <v>988</v>
      </c>
      <c r="DT23" s="585">
        <v>124</v>
      </c>
      <c r="DU23" s="585">
        <v>855</v>
      </c>
      <c r="DV23" s="585">
        <v>7</v>
      </c>
      <c r="DW23" s="585">
        <v>3</v>
      </c>
    </row>
    <row r="24" spans="1:127" ht="12.75" customHeight="1">
      <c r="A24" s="414"/>
      <c r="B24" s="414"/>
      <c r="C24" s="414"/>
      <c r="D24" s="579"/>
      <c r="E24" s="579"/>
      <c r="G24" s="598"/>
      <c r="H24" s="598" t="s">
        <v>3041</v>
      </c>
      <c r="I24" s="585" t="s">
        <v>3147</v>
      </c>
      <c r="K24" s="584">
        <v>75000</v>
      </c>
      <c r="N24" s="585" t="s">
        <v>3152</v>
      </c>
      <c r="BB24" s="382" t="s">
        <v>3149</v>
      </c>
      <c r="BC24" s="382"/>
      <c r="BD24" s="382"/>
      <c r="BE24" s="382"/>
      <c r="BF24" s="382"/>
      <c r="BG24" s="382"/>
      <c r="BH24" s="382"/>
      <c r="BI24" s="382"/>
      <c r="BJ24" s="382"/>
      <c r="BK24" s="382"/>
      <c r="BL24" s="382"/>
      <c r="BM24" s="382"/>
      <c r="BP24" s="621" t="s">
        <v>3150</v>
      </c>
      <c r="CH24" s="585" t="s">
        <v>2818</v>
      </c>
      <c r="CI24" s="585">
        <v>22</v>
      </c>
      <c r="CJ24" s="585">
        <v>7</v>
      </c>
      <c r="CK24" s="585">
        <v>8</v>
      </c>
      <c r="CL24" s="585">
        <v>7</v>
      </c>
      <c r="CM24" s="585">
        <v>0</v>
      </c>
      <c r="CN24" s="585">
        <v>11</v>
      </c>
      <c r="CO24" s="585">
        <v>0</v>
      </c>
      <c r="CP24" s="585">
        <v>4</v>
      </c>
      <c r="CQ24" s="585">
        <v>7</v>
      </c>
      <c r="CR24" s="585">
        <v>0</v>
      </c>
      <c r="CS24" s="585">
        <v>11</v>
      </c>
      <c r="CT24" s="585">
        <v>7</v>
      </c>
      <c r="CU24" s="585">
        <v>4</v>
      </c>
      <c r="CV24" s="585">
        <v>0</v>
      </c>
      <c r="CW24" s="585">
        <v>0</v>
      </c>
      <c r="CZ24" s="585" t="s">
        <v>3057</v>
      </c>
      <c r="DA24" s="585">
        <v>50</v>
      </c>
      <c r="DB24" s="585">
        <v>46</v>
      </c>
      <c r="DC24" s="585">
        <v>4</v>
      </c>
      <c r="DD24" s="585">
        <v>0</v>
      </c>
      <c r="DE24" s="585">
        <v>0</v>
      </c>
      <c r="DH24" s="585" t="s">
        <v>3021</v>
      </c>
      <c r="DI24" s="585">
        <v>643</v>
      </c>
      <c r="DJ24" s="585">
        <v>163</v>
      </c>
      <c r="DK24" s="585">
        <v>67</v>
      </c>
      <c r="DL24" s="585">
        <v>413</v>
      </c>
      <c r="DM24" s="585">
        <v>0</v>
      </c>
      <c r="DN24" s="585">
        <v>325</v>
      </c>
      <c r="DO24" s="585">
        <v>98</v>
      </c>
      <c r="DP24" s="585">
        <v>38</v>
      </c>
      <c r="DQ24" s="585">
        <v>189</v>
      </c>
      <c r="DR24" s="585">
        <v>0</v>
      </c>
      <c r="DS24" s="585">
        <v>318</v>
      </c>
      <c r="DT24" s="585">
        <v>65</v>
      </c>
      <c r="DU24" s="585">
        <v>29</v>
      </c>
      <c r="DV24" s="585">
        <v>224</v>
      </c>
      <c r="DW24" s="585">
        <v>0</v>
      </c>
    </row>
    <row r="25" spans="1:127" ht="12.75" customHeight="1">
      <c r="A25" s="414" t="s">
        <v>3151</v>
      </c>
      <c r="B25" s="414" t="s">
        <v>3008</v>
      </c>
      <c r="C25" s="414" t="s">
        <v>3009</v>
      </c>
      <c r="D25" s="579"/>
      <c r="G25" s="598"/>
      <c r="H25" s="598" t="s">
        <v>3041</v>
      </c>
      <c r="I25" s="585" t="s">
        <v>3117</v>
      </c>
      <c r="K25" s="584">
        <v>219000</v>
      </c>
      <c r="N25" s="585" t="s">
        <v>3156</v>
      </c>
      <c r="BB25" s="382" t="s">
        <v>3153</v>
      </c>
      <c r="BC25" s="382"/>
      <c r="BD25" s="382"/>
      <c r="BE25" s="382"/>
      <c r="BF25" s="382"/>
      <c r="BG25" s="382"/>
      <c r="BH25" s="382"/>
      <c r="BI25" s="382"/>
      <c r="BJ25" s="382"/>
      <c r="BK25" s="382"/>
      <c r="BL25" s="382"/>
      <c r="BM25" s="382"/>
      <c r="BP25" s="585" t="s">
        <v>129</v>
      </c>
      <c r="BQ25" s="525">
        <v>13588</v>
      </c>
      <c r="BR25" s="525">
        <v>10943</v>
      </c>
      <c r="BS25" s="525">
        <v>1912</v>
      </c>
      <c r="BT25" s="585">
        <v>499</v>
      </c>
      <c r="BU25" s="585">
        <v>234</v>
      </c>
      <c r="BV25" s="525">
        <v>6540</v>
      </c>
      <c r="BW25" s="525">
        <v>5247</v>
      </c>
      <c r="BX25" s="585">
        <v>943</v>
      </c>
      <c r="BY25" s="585">
        <v>241</v>
      </c>
      <c r="BZ25" s="585">
        <v>109</v>
      </c>
      <c r="CA25" s="525">
        <v>7048</v>
      </c>
      <c r="CB25" s="525">
        <v>5696</v>
      </c>
      <c r="CC25" s="585">
        <v>968</v>
      </c>
      <c r="CD25" s="585">
        <v>258</v>
      </c>
      <c r="CE25" s="585">
        <v>126</v>
      </c>
      <c r="CH25" s="585" t="s">
        <v>3112</v>
      </c>
      <c r="CI25" s="585">
        <v>14</v>
      </c>
      <c r="CJ25" s="585">
        <v>7</v>
      </c>
      <c r="CK25" s="585">
        <v>4</v>
      </c>
      <c r="CL25" s="585">
        <v>3</v>
      </c>
      <c r="CM25" s="585">
        <v>0</v>
      </c>
      <c r="CN25" s="585">
        <v>3</v>
      </c>
      <c r="CO25" s="585">
        <v>0</v>
      </c>
      <c r="CP25" s="585">
        <v>0</v>
      </c>
      <c r="CQ25" s="585">
        <v>3</v>
      </c>
      <c r="CR25" s="585">
        <v>0</v>
      </c>
      <c r="CS25" s="585">
        <v>11</v>
      </c>
      <c r="CT25" s="585">
        <v>7</v>
      </c>
      <c r="CU25" s="585">
        <v>4</v>
      </c>
      <c r="CV25" s="585">
        <v>0</v>
      </c>
      <c r="CW25" s="585">
        <v>0</v>
      </c>
      <c r="CZ25" s="585" t="s">
        <v>3066</v>
      </c>
      <c r="DA25" s="585">
        <v>149</v>
      </c>
      <c r="DB25" s="585">
        <v>130</v>
      </c>
      <c r="DC25" s="585">
        <v>13</v>
      </c>
      <c r="DD25" s="585">
        <v>3</v>
      </c>
      <c r="DE25" s="585">
        <v>3</v>
      </c>
      <c r="DH25" s="585" t="s">
        <v>3022</v>
      </c>
      <c r="DI25" s="585">
        <v>368</v>
      </c>
      <c r="DJ25" s="585">
        <v>130</v>
      </c>
      <c r="DK25" s="585">
        <v>29</v>
      </c>
      <c r="DL25" s="585">
        <v>0</v>
      </c>
      <c r="DM25" s="585">
        <v>209</v>
      </c>
      <c r="DN25" s="585">
        <v>198</v>
      </c>
      <c r="DO25" s="585">
        <v>72</v>
      </c>
      <c r="DP25" s="585">
        <v>29</v>
      </c>
      <c r="DQ25" s="585">
        <v>0</v>
      </c>
      <c r="DR25" s="585">
        <v>97</v>
      </c>
      <c r="DS25" s="585">
        <v>170</v>
      </c>
      <c r="DT25" s="585">
        <v>59</v>
      </c>
      <c r="DU25" s="585">
        <v>0</v>
      </c>
      <c r="DV25" s="585">
        <v>0</v>
      </c>
      <c r="DW25" s="585">
        <v>111</v>
      </c>
    </row>
    <row r="26" spans="1:127" ht="12.75" customHeight="1">
      <c r="A26" s="414"/>
      <c r="B26" s="414"/>
      <c r="C26" s="612" t="s">
        <v>3023</v>
      </c>
      <c r="D26" s="579"/>
      <c r="E26" s="456">
        <v>5736250</v>
      </c>
      <c r="G26" s="598"/>
      <c r="H26" s="598" t="s">
        <v>3154</v>
      </c>
      <c r="I26" s="585" t="s">
        <v>3155</v>
      </c>
      <c r="K26" s="584">
        <v>1125000</v>
      </c>
      <c r="N26" s="585" t="s">
        <v>3073</v>
      </c>
      <c r="BB26" s="640"/>
      <c r="BC26" s="641"/>
      <c r="BD26" s="641"/>
      <c r="BE26" s="641"/>
      <c r="BF26" s="641"/>
      <c r="BG26" s="641"/>
      <c r="BH26" s="641"/>
      <c r="BI26" s="641"/>
      <c r="BJ26" s="641"/>
      <c r="BK26" s="641"/>
      <c r="BL26" s="641"/>
      <c r="BM26" s="641"/>
      <c r="BP26" s="585" t="s">
        <v>3157</v>
      </c>
      <c r="BQ26" s="525">
        <v>2830</v>
      </c>
      <c r="BR26" s="525">
        <v>2263</v>
      </c>
      <c r="BS26" s="585">
        <v>400</v>
      </c>
      <c r="BT26" s="585">
        <v>93</v>
      </c>
      <c r="BU26" s="585">
        <v>74</v>
      </c>
      <c r="BV26" s="525">
        <v>1414</v>
      </c>
      <c r="BW26" s="525">
        <v>1125</v>
      </c>
      <c r="BX26" s="585">
        <v>211</v>
      </c>
      <c r="BY26" s="585">
        <v>41</v>
      </c>
      <c r="BZ26" s="585">
        <v>37</v>
      </c>
      <c r="CA26" s="525">
        <v>1416</v>
      </c>
      <c r="CB26" s="525">
        <v>1138</v>
      </c>
      <c r="CC26" s="585">
        <v>189</v>
      </c>
      <c r="CD26" s="585">
        <v>52</v>
      </c>
      <c r="CE26" s="585">
        <v>37</v>
      </c>
      <c r="CH26" s="585" t="s">
        <v>388</v>
      </c>
      <c r="CI26" s="585">
        <v>151</v>
      </c>
      <c r="CJ26" s="585">
        <v>130</v>
      </c>
      <c r="CK26" s="585">
        <v>4</v>
      </c>
      <c r="CL26" s="585">
        <v>17</v>
      </c>
      <c r="CM26" s="585">
        <v>0</v>
      </c>
      <c r="CN26" s="585">
        <v>96</v>
      </c>
      <c r="CO26" s="585">
        <v>78</v>
      </c>
      <c r="CP26" s="585">
        <v>4</v>
      </c>
      <c r="CQ26" s="585">
        <v>14</v>
      </c>
      <c r="CR26" s="585">
        <v>0</v>
      </c>
      <c r="CS26" s="585">
        <v>55</v>
      </c>
      <c r="CT26" s="585">
        <v>52</v>
      </c>
      <c r="CU26" s="585">
        <v>0</v>
      </c>
      <c r="CV26" s="585">
        <v>3</v>
      </c>
      <c r="CW26" s="585">
        <v>0</v>
      </c>
      <c r="CZ26" s="585" t="s">
        <v>3072</v>
      </c>
      <c r="DA26" s="585">
        <v>157</v>
      </c>
      <c r="DB26" s="585">
        <v>150</v>
      </c>
      <c r="DC26" s="585">
        <v>4</v>
      </c>
      <c r="DD26" s="585">
        <v>3</v>
      </c>
      <c r="DE26" s="585">
        <v>0</v>
      </c>
      <c r="DH26" s="585" t="s">
        <v>528</v>
      </c>
      <c r="DI26" s="585">
        <v>107</v>
      </c>
      <c r="DJ26" s="585">
        <v>46</v>
      </c>
      <c r="DK26" s="585">
        <v>17</v>
      </c>
      <c r="DL26" s="585">
        <v>45</v>
      </c>
      <c r="DM26" s="585">
        <v>0</v>
      </c>
      <c r="DN26" s="585">
        <v>77</v>
      </c>
      <c r="DO26" s="585">
        <v>26</v>
      </c>
      <c r="DP26" s="585">
        <v>13</v>
      </c>
      <c r="DQ26" s="585">
        <v>38</v>
      </c>
      <c r="DR26" s="585">
        <v>0</v>
      </c>
      <c r="DS26" s="585">
        <v>31</v>
      </c>
      <c r="DT26" s="585">
        <v>20</v>
      </c>
      <c r="DU26" s="585">
        <v>4</v>
      </c>
      <c r="DV26" s="585">
        <v>7</v>
      </c>
      <c r="DW26" s="585">
        <v>0</v>
      </c>
    </row>
    <row r="27" spans="1:127" ht="12.75" customHeight="1">
      <c r="A27" s="414"/>
      <c r="B27" s="414" t="s">
        <v>3032</v>
      </c>
      <c r="C27" s="391" t="s">
        <v>3033</v>
      </c>
      <c r="D27" s="579"/>
      <c r="E27" s="622">
        <v>9119708</v>
      </c>
      <c r="G27" s="598"/>
      <c r="H27" s="598" t="s">
        <v>3158</v>
      </c>
      <c r="I27" s="585" t="s">
        <v>3159</v>
      </c>
      <c r="K27" s="584">
        <v>750000</v>
      </c>
      <c r="N27" s="585" t="s">
        <v>2022</v>
      </c>
      <c r="BB27" s="640"/>
      <c r="BC27" s="641"/>
      <c r="BD27" s="641"/>
      <c r="BE27" s="641"/>
      <c r="BF27" s="641"/>
      <c r="BG27" s="641"/>
      <c r="BH27" s="641"/>
      <c r="BI27" s="641"/>
      <c r="BJ27" s="641"/>
      <c r="BK27" s="641"/>
      <c r="BL27" s="641"/>
      <c r="BM27" s="641"/>
      <c r="BP27" s="585" t="s">
        <v>3160</v>
      </c>
      <c r="BQ27" s="525">
        <v>1667</v>
      </c>
      <c r="BR27" s="525">
        <v>1151</v>
      </c>
      <c r="BS27" s="585">
        <v>421</v>
      </c>
      <c r="BT27" s="585">
        <v>90</v>
      </c>
      <c r="BU27" s="585">
        <v>6</v>
      </c>
      <c r="BV27" s="585">
        <v>820</v>
      </c>
      <c r="BW27" s="585">
        <v>566</v>
      </c>
      <c r="BX27" s="585">
        <v>206</v>
      </c>
      <c r="BY27" s="585">
        <v>45</v>
      </c>
      <c r="BZ27" s="585">
        <v>3</v>
      </c>
      <c r="CA27" s="585">
        <v>848</v>
      </c>
      <c r="CB27" s="585">
        <v>585</v>
      </c>
      <c r="CC27" s="585">
        <v>215</v>
      </c>
      <c r="CD27" s="585">
        <v>45</v>
      </c>
      <c r="CE27" s="585">
        <v>3</v>
      </c>
      <c r="CH27" s="585" t="s">
        <v>3122</v>
      </c>
      <c r="CI27" s="585">
        <v>13</v>
      </c>
      <c r="CJ27" s="585">
        <v>13</v>
      </c>
      <c r="CK27" s="585">
        <v>0</v>
      </c>
      <c r="CL27" s="585">
        <v>0</v>
      </c>
      <c r="CM27" s="585">
        <v>0</v>
      </c>
      <c r="CN27" s="585">
        <v>7</v>
      </c>
      <c r="CO27" s="585">
        <v>7</v>
      </c>
      <c r="CP27" s="585">
        <v>0</v>
      </c>
      <c r="CQ27" s="585">
        <v>0</v>
      </c>
      <c r="CR27" s="585">
        <v>0</v>
      </c>
      <c r="CS27" s="585">
        <v>7</v>
      </c>
      <c r="CT27" s="585">
        <v>7</v>
      </c>
      <c r="CU27" s="585">
        <v>0</v>
      </c>
      <c r="CV27" s="585">
        <v>0</v>
      </c>
      <c r="CW27" s="585">
        <v>0</v>
      </c>
      <c r="CZ27" s="585" t="s">
        <v>3079</v>
      </c>
      <c r="DA27" s="585">
        <v>773</v>
      </c>
      <c r="DB27" s="585">
        <v>683</v>
      </c>
      <c r="DC27" s="585">
        <v>84</v>
      </c>
      <c r="DD27" s="585">
        <v>3</v>
      </c>
      <c r="DE27" s="585">
        <v>3</v>
      </c>
      <c r="DH27" s="585" t="s">
        <v>491</v>
      </c>
      <c r="DI27" s="585">
        <v>17</v>
      </c>
      <c r="DJ27" s="585">
        <v>13</v>
      </c>
      <c r="DK27" s="585">
        <v>4</v>
      </c>
      <c r="DL27" s="585">
        <v>0</v>
      </c>
      <c r="DM27" s="585">
        <v>0</v>
      </c>
      <c r="DN27" s="585">
        <v>7</v>
      </c>
      <c r="DO27" s="585">
        <v>7</v>
      </c>
      <c r="DP27" s="585">
        <v>0</v>
      </c>
      <c r="DQ27" s="585">
        <v>0</v>
      </c>
      <c r="DR27" s="585">
        <v>0</v>
      </c>
      <c r="DS27" s="585">
        <v>11</v>
      </c>
      <c r="DT27" s="585">
        <v>7</v>
      </c>
      <c r="DU27" s="585">
        <v>4</v>
      </c>
      <c r="DV27" s="585">
        <v>0</v>
      </c>
      <c r="DW27" s="585">
        <v>0</v>
      </c>
    </row>
    <row r="28" spans="1:127" ht="12.75" customHeight="1">
      <c r="A28" s="414"/>
      <c r="B28" s="414"/>
      <c r="C28" s="414"/>
      <c r="D28" s="579" t="s">
        <v>3040</v>
      </c>
      <c r="E28" s="456">
        <f>SUM(E26:E27)</f>
        <v>14855958</v>
      </c>
      <c r="G28" s="598"/>
      <c r="H28" s="598" t="s">
        <v>3158</v>
      </c>
      <c r="I28" s="585" t="s">
        <v>3161</v>
      </c>
      <c r="J28" s="586"/>
      <c r="K28" s="627">
        <v>500000</v>
      </c>
      <c r="BB28" s="640"/>
      <c r="BC28" s="641"/>
      <c r="BD28" s="641"/>
      <c r="BE28" s="641"/>
      <c r="BF28" s="641"/>
      <c r="BG28" s="641"/>
      <c r="BH28" s="641"/>
      <c r="BI28" s="641"/>
      <c r="BJ28" s="641"/>
      <c r="BK28" s="641"/>
      <c r="BL28" s="641"/>
      <c r="BM28" s="641"/>
      <c r="BP28" s="585" t="s">
        <v>3162</v>
      </c>
      <c r="BQ28" s="585">
        <v>159</v>
      </c>
      <c r="BR28" s="585">
        <v>124</v>
      </c>
      <c r="BS28" s="585">
        <v>29</v>
      </c>
      <c r="BT28" s="585">
        <v>3</v>
      </c>
      <c r="BU28" s="585">
        <v>3</v>
      </c>
      <c r="BV28" s="585">
        <v>30</v>
      </c>
      <c r="BW28" s="585">
        <v>13</v>
      </c>
      <c r="BX28" s="585">
        <v>17</v>
      </c>
      <c r="BY28" s="585">
        <v>0</v>
      </c>
      <c r="BZ28" s="585">
        <v>0</v>
      </c>
      <c r="CA28" s="585">
        <v>129</v>
      </c>
      <c r="CB28" s="585">
        <v>111</v>
      </c>
      <c r="CC28" s="585">
        <v>13</v>
      </c>
      <c r="CD28" s="585">
        <v>3</v>
      </c>
      <c r="CE28" s="585">
        <v>3</v>
      </c>
      <c r="CH28" s="585" t="s">
        <v>3126</v>
      </c>
      <c r="CI28" s="585">
        <v>0</v>
      </c>
      <c r="CJ28" s="585">
        <v>0</v>
      </c>
      <c r="CK28" s="585">
        <v>0</v>
      </c>
      <c r="CL28" s="585">
        <v>0</v>
      </c>
      <c r="CM28" s="585">
        <v>0</v>
      </c>
      <c r="CN28" s="585">
        <v>0</v>
      </c>
      <c r="CO28" s="585">
        <v>0</v>
      </c>
      <c r="CP28" s="585">
        <v>0</v>
      </c>
      <c r="CQ28" s="585">
        <v>0</v>
      </c>
      <c r="CR28" s="585">
        <v>0</v>
      </c>
      <c r="CS28" s="585">
        <v>0</v>
      </c>
      <c r="CT28" s="585">
        <v>0</v>
      </c>
      <c r="CU28" s="585">
        <v>0</v>
      </c>
      <c r="CV28" s="585">
        <v>0</v>
      </c>
      <c r="CW28" s="585">
        <v>0</v>
      </c>
      <c r="CZ28" s="585" t="s">
        <v>3089</v>
      </c>
      <c r="DA28" s="585">
        <v>732</v>
      </c>
      <c r="DB28" s="585">
        <v>644</v>
      </c>
      <c r="DC28" s="585">
        <v>72</v>
      </c>
      <c r="DD28" s="585">
        <v>14</v>
      </c>
      <c r="DE28" s="585">
        <v>3</v>
      </c>
      <c r="DH28" s="585" t="s">
        <v>473</v>
      </c>
      <c r="DI28" s="585">
        <v>191</v>
      </c>
      <c r="DJ28" s="585">
        <v>156</v>
      </c>
      <c r="DK28" s="585">
        <v>21</v>
      </c>
      <c r="DL28" s="585">
        <v>14</v>
      </c>
      <c r="DM28" s="585">
        <v>0</v>
      </c>
      <c r="DN28" s="585">
        <v>112</v>
      </c>
      <c r="DO28" s="585">
        <v>98</v>
      </c>
      <c r="DP28" s="585">
        <v>4</v>
      </c>
      <c r="DQ28" s="585">
        <v>10</v>
      </c>
      <c r="DR28" s="585">
        <v>0</v>
      </c>
      <c r="DS28" s="585">
        <v>79</v>
      </c>
      <c r="DT28" s="585">
        <v>59</v>
      </c>
      <c r="DU28" s="585">
        <v>17</v>
      </c>
      <c r="DV28" s="585">
        <v>3</v>
      </c>
      <c r="DW28" s="585">
        <v>0</v>
      </c>
    </row>
    <row r="29" spans="1:127" ht="12.75" customHeight="1">
      <c r="A29" s="414"/>
      <c r="B29" s="414"/>
      <c r="C29" s="414"/>
      <c r="D29" s="579"/>
      <c r="E29" s="579"/>
      <c r="G29" s="598"/>
      <c r="H29" s="598"/>
      <c r="J29" s="439" t="s">
        <v>3040</v>
      </c>
      <c r="K29" s="632">
        <f>SUM(K22:K28)</f>
        <v>9569000</v>
      </c>
      <c r="BB29" s="382" t="s">
        <v>3163</v>
      </c>
      <c r="BC29" s="382"/>
      <c r="BD29" s="382"/>
      <c r="BE29" s="382"/>
      <c r="BF29" s="382"/>
      <c r="BG29" s="382"/>
      <c r="BH29" s="382"/>
      <c r="BI29" s="382"/>
      <c r="BJ29" s="382"/>
      <c r="BK29" s="382"/>
      <c r="BL29" s="381"/>
      <c r="BM29" s="381"/>
      <c r="BP29" s="585" t="s">
        <v>3164</v>
      </c>
      <c r="BQ29" s="585">
        <v>77</v>
      </c>
      <c r="BR29" s="585">
        <v>65</v>
      </c>
      <c r="BS29" s="585">
        <v>8</v>
      </c>
      <c r="BT29" s="585">
        <v>3</v>
      </c>
      <c r="BU29" s="585">
        <v>0</v>
      </c>
      <c r="BV29" s="585">
        <v>20</v>
      </c>
      <c r="BW29" s="585">
        <v>20</v>
      </c>
      <c r="BX29" s="585">
        <v>0</v>
      </c>
      <c r="BY29" s="585">
        <v>0</v>
      </c>
      <c r="BZ29" s="585">
        <v>0</v>
      </c>
      <c r="CA29" s="585">
        <v>57</v>
      </c>
      <c r="CB29" s="585">
        <v>46</v>
      </c>
      <c r="CC29" s="585">
        <v>8</v>
      </c>
      <c r="CD29" s="585">
        <v>3</v>
      </c>
      <c r="CE29" s="585">
        <v>0</v>
      </c>
      <c r="CZ29" s="585" t="s">
        <v>3095</v>
      </c>
      <c r="DA29" s="585">
        <v>834</v>
      </c>
      <c r="DB29" s="585">
        <v>761</v>
      </c>
      <c r="DC29" s="585">
        <v>42</v>
      </c>
      <c r="DD29" s="585">
        <v>14</v>
      </c>
      <c r="DE29" s="585">
        <v>17</v>
      </c>
      <c r="DH29" s="585" t="s">
        <v>1967</v>
      </c>
      <c r="DI29" s="585">
        <v>251</v>
      </c>
      <c r="DJ29" s="585">
        <v>228</v>
      </c>
      <c r="DK29" s="585">
        <v>17</v>
      </c>
      <c r="DL29" s="585">
        <v>3</v>
      </c>
      <c r="DM29" s="585">
        <v>3</v>
      </c>
      <c r="DN29" s="585">
        <v>151</v>
      </c>
      <c r="DO29" s="585">
        <v>143</v>
      </c>
      <c r="DP29" s="585">
        <v>8</v>
      </c>
      <c r="DQ29" s="585">
        <v>0</v>
      </c>
      <c r="DR29" s="585">
        <v>0</v>
      </c>
      <c r="DS29" s="585">
        <v>99</v>
      </c>
      <c r="DT29" s="585">
        <v>85</v>
      </c>
      <c r="DU29" s="585">
        <v>8</v>
      </c>
      <c r="DV29" s="585">
        <v>3</v>
      </c>
      <c r="DW29" s="585">
        <v>3</v>
      </c>
    </row>
    <row r="30" spans="1:127" ht="12.75" customHeight="1">
      <c r="A30" s="414" t="s">
        <v>3165</v>
      </c>
      <c r="B30" s="414" t="s">
        <v>3008</v>
      </c>
      <c r="C30" s="414" t="s">
        <v>3009</v>
      </c>
      <c r="D30" s="579"/>
      <c r="BB30" s="597" t="s">
        <v>3166</v>
      </c>
      <c r="BC30" s="2098" t="s">
        <v>129</v>
      </c>
      <c r="BD30" s="2098"/>
      <c r="BE30" s="2098"/>
      <c r="BF30" s="2098" t="s">
        <v>845</v>
      </c>
      <c r="BG30" s="2098"/>
      <c r="BH30" s="2098"/>
      <c r="BI30" s="2098" t="s">
        <v>3006</v>
      </c>
      <c r="BJ30" s="2098"/>
      <c r="BK30" s="2098"/>
      <c r="BL30" s="2078" t="s">
        <v>528</v>
      </c>
      <c r="BM30" s="2079"/>
      <c r="BP30" s="585" t="s">
        <v>3167</v>
      </c>
      <c r="BQ30" s="585">
        <v>195</v>
      </c>
      <c r="BR30" s="585">
        <v>163</v>
      </c>
      <c r="BS30" s="585">
        <v>17</v>
      </c>
      <c r="BT30" s="585">
        <v>7</v>
      </c>
      <c r="BU30" s="585">
        <v>9</v>
      </c>
      <c r="BV30" s="585">
        <v>53</v>
      </c>
      <c r="BW30" s="585">
        <v>39</v>
      </c>
      <c r="BX30" s="585">
        <v>8</v>
      </c>
      <c r="BY30" s="585">
        <v>0</v>
      </c>
      <c r="BZ30" s="585">
        <v>6</v>
      </c>
      <c r="CA30" s="585">
        <v>142</v>
      </c>
      <c r="CB30" s="585">
        <v>124</v>
      </c>
      <c r="CC30" s="585">
        <v>8</v>
      </c>
      <c r="CD30" s="585">
        <v>7</v>
      </c>
      <c r="CE30" s="585">
        <v>3</v>
      </c>
      <c r="CH30" s="585" t="s">
        <v>3168</v>
      </c>
      <c r="CZ30" s="585" t="s">
        <v>3101</v>
      </c>
      <c r="DA30" s="525">
        <v>1157</v>
      </c>
      <c r="DB30" s="525">
        <v>1027</v>
      </c>
      <c r="DC30" s="585">
        <v>88</v>
      </c>
      <c r="DD30" s="585">
        <v>41</v>
      </c>
      <c r="DE30" s="585">
        <v>0</v>
      </c>
      <c r="DH30" s="585" t="s">
        <v>2818</v>
      </c>
      <c r="DI30" s="585">
        <v>0</v>
      </c>
      <c r="DJ30" s="585">
        <v>0</v>
      </c>
      <c r="DK30" s="585">
        <v>0</v>
      </c>
      <c r="DL30" s="585">
        <v>0</v>
      </c>
      <c r="DM30" s="585">
        <v>0</v>
      </c>
      <c r="DN30" s="585">
        <v>0</v>
      </c>
      <c r="DO30" s="585">
        <v>0</v>
      </c>
      <c r="DP30" s="585">
        <v>0</v>
      </c>
      <c r="DQ30" s="585">
        <v>0</v>
      </c>
      <c r="DR30" s="585">
        <v>0</v>
      </c>
      <c r="DS30" s="585">
        <v>0</v>
      </c>
      <c r="DT30" s="585">
        <v>0</v>
      </c>
      <c r="DU30" s="585">
        <v>0</v>
      </c>
      <c r="DV30" s="585">
        <v>0</v>
      </c>
      <c r="DW30" s="585">
        <v>0</v>
      </c>
    </row>
    <row r="31" spans="1:127" ht="12.75" customHeight="1">
      <c r="A31" s="414"/>
      <c r="B31" s="414"/>
      <c r="C31" s="612" t="s">
        <v>3023</v>
      </c>
      <c r="D31" s="579"/>
      <c r="E31" s="456">
        <v>6661550</v>
      </c>
      <c r="G31" s="598" t="s">
        <v>3169</v>
      </c>
      <c r="H31" s="598" t="s">
        <v>3034</v>
      </c>
      <c r="I31" s="585" t="s">
        <v>3170</v>
      </c>
      <c r="K31" s="584">
        <v>1950000</v>
      </c>
      <c r="BB31" s="610" t="s">
        <v>3018</v>
      </c>
      <c r="BC31" s="642">
        <v>2003</v>
      </c>
      <c r="BD31" s="642">
        <v>1997</v>
      </c>
      <c r="BE31" s="642">
        <v>1990</v>
      </c>
      <c r="BF31" s="642">
        <v>2003</v>
      </c>
      <c r="BG31" s="642">
        <v>1997</v>
      </c>
      <c r="BH31" s="642">
        <v>1990</v>
      </c>
      <c r="BI31" s="642">
        <v>2003</v>
      </c>
      <c r="BJ31" s="642">
        <v>1997</v>
      </c>
      <c r="BK31" s="642">
        <v>1990</v>
      </c>
      <c r="BL31" s="441">
        <v>2003</v>
      </c>
      <c r="BM31" s="442">
        <v>1997</v>
      </c>
      <c r="BP31" s="585" t="s">
        <v>3171</v>
      </c>
      <c r="BQ31" s="525">
        <v>8660</v>
      </c>
      <c r="BR31" s="525">
        <v>7178</v>
      </c>
      <c r="BS31" s="525">
        <v>1036</v>
      </c>
      <c r="BT31" s="585">
        <v>303</v>
      </c>
      <c r="BU31" s="585">
        <v>143</v>
      </c>
      <c r="BV31" s="525">
        <v>4204</v>
      </c>
      <c r="BW31" s="525">
        <v>3485</v>
      </c>
      <c r="BX31" s="585">
        <v>501</v>
      </c>
      <c r="BY31" s="585">
        <v>155</v>
      </c>
      <c r="BZ31" s="585">
        <v>63</v>
      </c>
      <c r="CA31" s="525">
        <v>4456</v>
      </c>
      <c r="CB31" s="525">
        <v>3693</v>
      </c>
      <c r="CC31" s="585">
        <v>535</v>
      </c>
      <c r="CD31" s="585">
        <v>148</v>
      </c>
      <c r="CE31" s="585">
        <v>80</v>
      </c>
      <c r="CH31" s="585" t="s">
        <v>129</v>
      </c>
      <c r="CI31" s="525">
        <v>13588</v>
      </c>
      <c r="CJ31" s="525">
        <v>10943</v>
      </c>
      <c r="CK31" s="525">
        <v>1912</v>
      </c>
      <c r="CL31" s="585">
        <v>499</v>
      </c>
      <c r="CM31" s="585">
        <v>234</v>
      </c>
      <c r="CN31" s="525">
        <v>6540</v>
      </c>
      <c r="CO31" s="525">
        <v>5247</v>
      </c>
      <c r="CP31" s="585">
        <v>943</v>
      </c>
      <c r="CQ31" s="585">
        <v>241</v>
      </c>
      <c r="CR31" s="585">
        <v>109</v>
      </c>
      <c r="CS31" s="525">
        <v>7048</v>
      </c>
      <c r="CT31" s="525">
        <v>5696</v>
      </c>
      <c r="CU31" s="585">
        <v>968</v>
      </c>
      <c r="CV31" s="585">
        <v>258</v>
      </c>
      <c r="CW31" s="585">
        <v>126</v>
      </c>
      <c r="CZ31" s="585" t="s">
        <v>3107</v>
      </c>
      <c r="DA31" s="525">
        <v>1626</v>
      </c>
      <c r="DB31" s="525">
        <v>1183</v>
      </c>
      <c r="DC31" s="585">
        <v>375</v>
      </c>
      <c r="DD31" s="585">
        <v>48</v>
      </c>
      <c r="DE31" s="585">
        <v>20</v>
      </c>
      <c r="DH31" s="585" t="s">
        <v>3112</v>
      </c>
      <c r="DI31" s="585">
        <v>0</v>
      </c>
      <c r="DJ31" s="585">
        <v>0</v>
      </c>
      <c r="DK31" s="585">
        <v>0</v>
      </c>
      <c r="DL31" s="585">
        <v>0</v>
      </c>
      <c r="DM31" s="585">
        <v>0</v>
      </c>
      <c r="DN31" s="585">
        <v>0</v>
      </c>
      <c r="DO31" s="585">
        <v>0</v>
      </c>
      <c r="DP31" s="585">
        <v>0</v>
      </c>
      <c r="DQ31" s="585">
        <v>0</v>
      </c>
      <c r="DR31" s="585">
        <v>0</v>
      </c>
      <c r="DS31" s="585">
        <v>0</v>
      </c>
      <c r="DT31" s="585">
        <v>0</v>
      </c>
      <c r="DU31" s="585">
        <v>0</v>
      </c>
      <c r="DV31" s="585">
        <v>0</v>
      </c>
      <c r="DW31" s="585">
        <v>0</v>
      </c>
    </row>
    <row r="32" spans="1:127" ht="12.75" customHeight="1">
      <c r="A32" s="414"/>
      <c r="B32" s="414" t="s">
        <v>3032</v>
      </c>
      <c r="C32" s="391" t="s">
        <v>3033</v>
      </c>
      <c r="D32" s="579"/>
      <c r="E32" s="622">
        <v>8245121</v>
      </c>
      <c r="G32" s="598"/>
      <c r="H32" s="598" t="s">
        <v>3154</v>
      </c>
      <c r="I32" s="585" t="s">
        <v>3172</v>
      </c>
      <c r="K32" s="584">
        <v>2000000</v>
      </c>
      <c r="N32" s="382" t="s">
        <v>3174</v>
      </c>
      <c r="BB32" s="382"/>
      <c r="BC32" s="382"/>
      <c r="BD32" s="382"/>
      <c r="BE32" s="382"/>
      <c r="BF32" s="382"/>
      <c r="BG32" s="382"/>
      <c r="BH32" s="382"/>
      <c r="BI32" s="382"/>
      <c r="BJ32" s="382"/>
      <c r="BK32" s="382"/>
      <c r="BL32" s="382"/>
      <c r="BM32" s="382"/>
      <c r="CH32" s="585" t="s">
        <v>3173</v>
      </c>
      <c r="CI32" s="525">
        <v>3235</v>
      </c>
      <c r="CJ32" s="525">
        <v>2549</v>
      </c>
      <c r="CK32" s="585">
        <v>526</v>
      </c>
      <c r="CL32" s="585">
        <v>83</v>
      </c>
      <c r="CM32" s="585">
        <v>77</v>
      </c>
      <c r="CN32" s="525">
        <v>1829</v>
      </c>
      <c r="CO32" s="525">
        <v>1450</v>
      </c>
      <c r="CP32" s="585">
        <v>291</v>
      </c>
      <c r="CQ32" s="585">
        <v>52</v>
      </c>
      <c r="CR32" s="585">
        <v>37</v>
      </c>
      <c r="CS32" s="525">
        <v>1406</v>
      </c>
      <c r="CT32" s="525">
        <v>1099</v>
      </c>
      <c r="CU32" s="585">
        <v>236</v>
      </c>
      <c r="CV32" s="585">
        <v>31</v>
      </c>
      <c r="CW32" s="585">
        <v>40</v>
      </c>
      <c r="CZ32" s="585" t="s">
        <v>3111</v>
      </c>
      <c r="DA32" s="525">
        <v>1353</v>
      </c>
      <c r="DB32" s="585">
        <v>949</v>
      </c>
      <c r="DC32" s="585">
        <v>278</v>
      </c>
      <c r="DD32" s="585">
        <v>86</v>
      </c>
      <c r="DE32" s="585">
        <v>40</v>
      </c>
      <c r="DH32" s="585" t="s">
        <v>388</v>
      </c>
      <c r="DI32" s="585">
        <v>154</v>
      </c>
      <c r="DJ32" s="585">
        <v>143</v>
      </c>
      <c r="DK32" s="585">
        <v>4</v>
      </c>
      <c r="DL32" s="585">
        <v>7</v>
      </c>
      <c r="DM32" s="585">
        <v>0</v>
      </c>
      <c r="DN32" s="585">
        <v>53</v>
      </c>
      <c r="DO32" s="585">
        <v>46</v>
      </c>
      <c r="DP32" s="585">
        <v>4</v>
      </c>
      <c r="DQ32" s="585">
        <v>3</v>
      </c>
      <c r="DR32" s="585">
        <v>0</v>
      </c>
      <c r="DS32" s="585">
        <v>101</v>
      </c>
      <c r="DT32" s="585">
        <v>98</v>
      </c>
      <c r="DU32" s="585">
        <v>0</v>
      </c>
      <c r="DV32" s="585">
        <v>3</v>
      </c>
      <c r="DW32" s="585">
        <v>0</v>
      </c>
    </row>
    <row r="33" spans="1:127" ht="12.75" customHeight="1">
      <c r="A33" s="414"/>
      <c r="B33" s="414"/>
      <c r="C33" s="414"/>
      <c r="D33" s="579" t="s">
        <v>3040</v>
      </c>
      <c r="E33" s="456">
        <f>SUM(E31:E32)</f>
        <v>14906671</v>
      </c>
      <c r="G33" s="598"/>
      <c r="H33" s="598" t="s">
        <v>3154</v>
      </c>
      <c r="I33" s="585" t="s">
        <v>3155</v>
      </c>
      <c r="K33" s="584">
        <v>575000</v>
      </c>
      <c r="N33" s="588" t="s">
        <v>2996</v>
      </c>
      <c r="O33" s="589" t="s">
        <v>2807</v>
      </c>
      <c r="P33" s="590" t="s">
        <v>2997</v>
      </c>
      <c r="BB33" s="619" t="s">
        <v>3175</v>
      </c>
      <c r="BC33" s="626">
        <v>17.099236641221374</v>
      </c>
      <c r="BD33" s="626">
        <v>17.099236641221374</v>
      </c>
      <c r="BE33" s="626">
        <v>24.205914567360349</v>
      </c>
      <c r="BF33" s="626">
        <v>17.154150197628457</v>
      </c>
      <c r="BG33" s="626">
        <v>17.154150197628457</v>
      </c>
      <c r="BH33" s="626">
        <v>23.626787057938298</v>
      </c>
      <c r="BI33" s="626">
        <v>15.447154471544716</v>
      </c>
      <c r="BJ33" s="626">
        <v>15.447154471544716</v>
      </c>
      <c r="BK33" s="626">
        <v>39.473684210526315</v>
      </c>
      <c r="BL33" s="626">
        <v>15.686274509803921</v>
      </c>
      <c r="BM33" s="626">
        <v>15.686274509803921</v>
      </c>
      <c r="BP33" s="621" t="s">
        <v>3176</v>
      </c>
      <c r="CH33" s="585" t="s">
        <v>3177</v>
      </c>
      <c r="CI33" s="585">
        <v>696</v>
      </c>
      <c r="CJ33" s="585">
        <v>579</v>
      </c>
      <c r="CK33" s="585">
        <v>97</v>
      </c>
      <c r="CL33" s="585">
        <v>17</v>
      </c>
      <c r="CM33" s="585">
        <v>3</v>
      </c>
      <c r="CN33" s="585">
        <v>246</v>
      </c>
      <c r="CO33" s="585">
        <v>215</v>
      </c>
      <c r="CP33" s="585">
        <v>21</v>
      </c>
      <c r="CQ33" s="585">
        <v>10</v>
      </c>
      <c r="CR33" s="585">
        <v>0</v>
      </c>
      <c r="CS33" s="585">
        <v>450</v>
      </c>
      <c r="CT33" s="585">
        <v>364</v>
      </c>
      <c r="CU33" s="585">
        <v>76</v>
      </c>
      <c r="CV33" s="585">
        <v>7</v>
      </c>
      <c r="CW33" s="585">
        <v>3</v>
      </c>
      <c r="CZ33" s="585" t="s">
        <v>3116</v>
      </c>
      <c r="DA33" s="585">
        <v>109</v>
      </c>
      <c r="DB33" s="585">
        <v>59</v>
      </c>
      <c r="DC33" s="585">
        <v>21</v>
      </c>
      <c r="DD33" s="585">
        <v>24</v>
      </c>
      <c r="DE33" s="585">
        <v>6</v>
      </c>
      <c r="DH33" s="585" t="s">
        <v>3122</v>
      </c>
      <c r="DI33" s="585">
        <v>71</v>
      </c>
      <c r="DJ33" s="585">
        <v>59</v>
      </c>
      <c r="DK33" s="585">
        <v>13</v>
      </c>
      <c r="DL33" s="585">
        <v>0</v>
      </c>
      <c r="DM33" s="585">
        <v>0</v>
      </c>
      <c r="DN33" s="585">
        <v>28</v>
      </c>
      <c r="DO33" s="585">
        <v>20</v>
      </c>
      <c r="DP33" s="585">
        <v>8</v>
      </c>
      <c r="DQ33" s="585">
        <v>0</v>
      </c>
      <c r="DR33" s="585">
        <v>0</v>
      </c>
      <c r="DS33" s="585">
        <v>43</v>
      </c>
      <c r="DT33" s="585">
        <v>39</v>
      </c>
      <c r="DU33" s="585">
        <v>4</v>
      </c>
      <c r="DV33" s="585">
        <v>0</v>
      </c>
      <c r="DW33" s="585">
        <v>0</v>
      </c>
    </row>
    <row r="34" spans="1:127" ht="12.75" customHeight="1">
      <c r="A34" s="414"/>
      <c r="B34" s="414"/>
      <c r="C34" s="414"/>
      <c r="D34" s="579"/>
      <c r="E34" s="579"/>
      <c r="G34" s="598"/>
      <c r="H34" s="598" t="s">
        <v>3158</v>
      </c>
      <c r="I34" s="585" t="s">
        <v>3178</v>
      </c>
      <c r="K34" s="584">
        <v>1455000</v>
      </c>
      <c r="N34" s="599" t="s">
        <v>129</v>
      </c>
      <c r="O34" s="600">
        <f>SUM(O35:O38)</f>
        <v>40039</v>
      </c>
      <c r="P34" s="605" t="s">
        <v>2824</v>
      </c>
      <c r="BB34" s="619" t="s">
        <v>3179</v>
      </c>
      <c r="BC34" s="626">
        <v>21.49171270718232</v>
      </c>
      <c r="BD34" s="626">
        <v>21.49171270718232</v>
      </c>
      <c r="BE34" s="626">
        <v>45.23121387283237</v>
      </c>
      <c r="BF34" s="626">
        <v>21.087786259541986</v>
      </c>
      <c r="BG34" s="626">
        <v>21.087786259541986</v>
      </c>
      <c r="BH34" s="626">
        <v>45.320197044334975</v>
      </c>
      <c r="BI34" s="626">
        <v>25.96153846153846</v>
      </c>
      <c r="BJ34" s="626">
        <v>25.96153846153846</v>
      </c>
      <c r="BK34" s="626">
        <v>41.304347826086953</v>
      </c>
      <c r="BL34" s="626">
        <v>40.697674418604649</v>
      </c>
      <c r="BM34" s="626">
        <v>40.697674418604649</v>
      </c>
      <c r="BP34" s="585" t="s">
        <v>129</v>
      </c>
      <c r="BQ34" s="525">
        <v>4469</v>
      </c>
      <c r="BR34" s="525">
        <v>3563</v>
      </c>
      <c r="BS34" s="585">
        <v>648</v>
      </c>
      <c r="BT34" s="585">
        <v>189</v>
      </c>
      <c r="BU34" s="585">
        <v>69</v>
      </c>
      <c r="BV34" s="585">
        <v>0</v>
      </c>
      <c r="BW34" s="585">
        <v>0</v>
      </c>
      <c r="BX34" s="585">
        <v>0</v>
      </c>
      <c r="BY34" s="585">
        <v>0</v>
      </c>
      <c r="BZ34" s="585">
        <v>0</v>
      </c>
      <c r="CA34" s="525">
        <v>4469</v>
      </c>
      <c r="CB34" s="525">
        <v>3563</v>
      </c>
      <c r="CC34" s="585">
        <v>648</v>
      </c>
      <c r="CD34" s="585">
        <v>189</v>
      </c>
      <c r="CE34" s="585">
        <v>69</v>
      </c>
      <c r="CH34" s="585" t="s">
        <v>3180</v>
      </c>
      <c r="CI34" s="525">
        <v>1821</v>
      </c>
      <c r="CJ34" s="525">
        <v>1463</v>
      </c>
      <c r="CK34" s="585">
        <v>261</v>
      </c>
      <c r="CL34" s="585">
        <v>83</v>
      </c>
      <c r="CM34" s="585">
        <v>14</v>
      </c>
      <c r="CN34" s="585">
        <v>709</v>
      </c>
      <c r="CO34" s="585">
        <v>559</v>
      </c>
      <c r="CP34" s="585">
        <v>105</v>
      </c>
      <c r="CQ34" s="585">
        <v>41</v>
      </c>
      <c r="CR34" s="585">
        <v>3</v>
      </c>
      <c r="CS34" s="525">
        <v>1112</v>
      </c>
      <c r="CT34" s="585">
        <v>904</v>
      </c>
      <c r="CU34" s="585">
        <v>156</v>
      </c>
      <c r="CV34" s="585">
        <v>41</v>
      </c>
      <c r="CW34" s="585">
        <v>11</v>
      </c>
      <c r="CZ34" s="585" t="s">
        <v>3121</v>
      </c>
      <c r="DA34" s="585">
        <v>71</v>
      </c>
      <c r="DB34" s="585">
        <v>26</v>
      </c>
      <c r="DC34" s="585">
        <v>21</v>
      </c>
      <c r="DD34" s="585">
        <v>21</v>
      </c>
      <c r="DE34" s="585">
        <v>3</v>
      </c>
      <c r="DH34" s="586" t="s">
        <v>3126</v>
      </c>
      <c r="DI34" s="586">
        <v>0</v>
      </c>
      <c r="DJ34" s="586">
        <v>0</v>
      </c>
      <c r="DK34" s="586">
        <v>0</v>
      </c>
      <c r="DL34" s="586">
        <v>0</v>
      </c>
      <c r="DM34" s="586">
        <v>0</v>
      </c>
      <c r="DN34" s="586">
        <v>0</v>
      </c>
      <c r="DO34" s="586">
        <v>0</v>
      </c>
      <c r="DP34" s="586">
        <v>0</v>
      </c>
      <c r="DQ34" s="586">
        <v>0</v>
      </c>
      <c r="DR34" s="586">
        <v>0</v>
      </c>
      <c r="DS34" s="586">
        <v>0</v>
      </c>
      <c r="DT34" s="586">
        <v>0</v>
      </c>
      <c r="DU34" s="586">
        <v>0</v>
      </c>
      <c r="DV34" s="586">
        <v>0</v>
      </c>
      <c r="DW34" s="586">
        <v>0</v>
      </c>
    </row>
    <row r="35" spans="1:127" ht="12.75" customHeight="1">
      <c r="A35" s="598" t="s">
        <v>3181</v>
      </c>
      <c r="B35" s="414" t="s">
        <v>3008</v>
      </c>
      <c r="C35" s="414" t="s">
        <v>3009</v>
      </c>
      <c r="D35" s="579"/>
      <c r="E35" s="579"/>
      <c r="G35" s="598"/>
      <c r="H35" s="598" t="s">
        <v>3158</v>
      </c>
      <c r="I35" s="585" t="s">
        <v>3182</v>
      </c>
      <c r="K35" s="584">
        <v>850000</v>
      </c>
      <c r="N35" s="585" t="s">
        <v>2818</v>
      </c>
      <c r="O35" s="613">
        <v>20452</v>
      </c>
      <c r="P35" s="601" t="s">
        <v>3187</v>
      </c>
      <c r="BB35" s="619" t="s">
        <v>3183</v>
      </c>
      <c r="BC35" s="626">
        <v>43.223707986989517</v>
      </c>
      <c r="BD35" s="643" t="s">
        <v>1626</v>
      </c>
      <c r="BE35" s="643" t="s">
        <v>1626</v>
      </c>
      <c r="BF35" s="626">
        <v>43.994753606895259</v>
      </c>
      <c r="BG35" s="626">
        <v>43.994753606895259</v>
      </c>
      <c r="BH35" s="643" t="s">
        <v>1626</v>
      </c>
      <c r="BI35" s="626">
        <v>22.727272727272727</v>
      </c>
      <c r="BJ35" s="626">
        <v>22.727272727272727</v>
      </c>
      <c r="BK35" s="643" t="s">
        <v>1626</v>
      </c>
      <c r="BL35" s="626">
        <v>21.839080459770116</v>
      </c>
      <c r="BM35" s="626">
        <v>21.839080459770116</v>
      </c>
      <c r="BP35" s="585" t="s">
        <v>1684</v>
      </c>
      <c r="BQ35" s="525">
        <v>1960</v>
      </c>
      <c r="BR35" s="525">
        <v>1411</v>
      </c>
      <c r="BS35" s="585">
        <v>400</v>
      </c>
      <c r="BT35" s="585">
        <v>90</v>
      </c>
      <c r="BU35" s="585">
        <v>60</v>
      </c>
      <c r="BV35" s="585">
        <v>0</v>
      </c>
      <c r="BW35" s="585">
        <v>0</v>
      </c>
      <c r="BX35" s="585">
        <v>0</v>
      </c>
      <c r="BY35" s="585">
        <v>0</v>
      </c>
      <c r="BZ35" s="585">
        <v>0</v>
      </c>
      <c r="CA35" s="525">
        <v>1960</v>
      </c>
      <c r="CB35" s="525">
        <v>1411</v>
      </c>
      <c r="CC35" s="585">
        <v>400</v>
      </c>
      <c r="CD35" s="585">
        <v>90</v>
      </c>
      <c r="CE35" s="585">
        <v>60</v>
      </c>
      <c r="CH35" s="585" t="s">
        <v>3184</v>
      </c>
      <c r="CI35" s="525">
        <v>2311</v>
      </c>
      <c r="CJ35" s="525">
        <v>1729</v>
      </c>
      <c r="CK35" s="585">
        <v>375</v>
      </c>
      <c r="CL35" s="585">
        <v>138</v>
      </c>
      <c r="CM35" s="585">
        <v>69</v>
      </c>
      <c r="CN35" s="585">
        <v>955</v>
      </c>
      <c r="CO35" s="585">
        <v>670</v>
      </c>
      <c r="CP35" s="585">
        <v>206</v>
      </c>
      <c r="CQ35" s="585">
        <v>45</v>
      </c>
      <c r="CR35" s="585">
        <v>34</v>
      </c>
      <c r="CS35" s="525">
        <v>1356</v>
      </c>
      <c r="CT35" s="525">
        <v>1060</v>
      </c>
      <c r="CU35" s="585">
        <v>168</v>
      </c>
      <c r="CV35" s="585">
        <v>93</v>
      </c>
      <c r="CW35" s="585">
        <v>34</v>
      </c>
      <c r="CZ35" s="585" t="s">
        <v>3125</v>
      </c>
      <c r="DA35" s="585">
        <v>120</v>
      </c>
      <c r="DB35" s="585">
        <v>85</v>
      </c>
      <c r="DC35" s="585">
        <v>13</v>
      </c>
      <c r="DD35" s="585">
        <v>17</v>
      </c>
      <c r="DE35" s="585">
        <v>6</v>
      </c>
      <c r="DH35" s="585" t="s">
        <v>3185</v>
      </c>
    </row>
    <row r="36" spans="1:127" ht="12.75" customHeight="1">
      <c r="A36" s="414"/>
      <c r="B36" s="414"/>
      <c r="C36" s="612" t="s">
        <v>3023</v>
      </c>
      <c r="D36" s="579"/>
      <c r="E36" s="456">
        <v>6665250</v>
      </c>
      <c r="G36" s="598"/>
      <c r="H36" s="598" t="s">
        <v>3158</v>
      </c>
      <c r="I36" s="585" t="s">
        <v>3186</v>
      </c>
      <c r="K36" s="584">
        <v>500000</v>
      </c>
      <c r="N36" s="585" t="s">
        <v>1967</v>
      </c>
      <c r="O36" s="613">
        <v>16985</v>
      </c>
      <c r="P36" s="422" t="s">
        <v>2824</v>
      </c>
      <c r="BB36" s="619"/>
      <c r="BC36" s="626"/>
      <c r="BD36" s="626"/>
      <c r="BE36" s="626"/>
      <c r="BF36" s="626"/>
      <c r="BG36" s="626"/>
      <c r="BH36" s="626"/>
      <c r="BI36" s="626"/>
      <c r="BJ36" s="626"/>
      <c r="BK36" s="626"/>
      <c r="BL36" s="626"/>
      <c r="BM36" s="626"/>
      <c r="BP36" s="585" t="s">
        <v>3188</v>
      </c>
      <c r="BQ36" s="585">
        <v>499</v>
      </c>
      <c r="BR36" s="585">
        <v>397</v>
      </c>
      <c r="BS36" s="585">
        <v>76</v>
      </c>
      <c r="BT36" s="585">
        <v>24</v>
      </c>
      <c r="BU36" s="585">
        <v>3</v>
      </c>
      <c r="BV36" s="585">
        <v>0</v>
      </c>
      <c r="BW36" s="585">
        <v>0</v>
      </c>
      <c r="BX36" s="585">
        <v>0</v>
      </c>
      <c r="BY36" s="585">
        <v>0</v>
      </c>
      <c r="BZ36" s="585">
        <v>0</v>
      </c>
      <c r="CA36" s="585">
        <v>499</v>
      </c>
      <c r="CB36" s="585">
        <v>397</v>
      </c>
      <c r="CC36" s="585">
        <v>76</v>
      </c>
      <c r="CD36" s="585">
        <v>24</v>
      </c>
      <c r="CE36" s="585">
        <v>3</v>
      </c>
      <c r="CH36" s="585" t="s">
        <v>3189</v>
      </c>
      <c r="CI36" s="585">
        <v>76</v>
      </c>
      <c r="CJ36" s="585">
        <v>72</v>
      </c>
      <c r="CK36" s="585">
        <v>4</v>
      </c>
      <c r="CL36" s="585">
        <v>0</v>
      </c>
      <c r="CM36" s="585">
        <v>0</v>
      </c>
      <c r="CN36" s="585">
        <v>37</v>
      </c>
      <c r="CO36" s="585">
        <v>33</v>
      </c>
      <c r="CP36" s="585">
        <v>4</v>
      </c>
      <c r="CQ36" s="585">
        <v>0</v>
      </c>
      <c r="CR36" s="585">
        <v>0</v>
      </c>
      <c r="CS36" s="585">
        <v>39</v>
      </c>
      <c r="CT36" s="585">
        <v>39</v>
      </c>
      <c r="CU36" s="585">
        <v>0</v>
      </c>
      <c r="CV36" s="585">
        <v>0</v>
      </c>
      <c r="CW36" s="585">
        <v>0</v>
      </c>
      <c r="CZ36" s="586" t="s">
        <v>3131</v>
      </c>
      <c r="DA36" s="586">
        <v>23</v>
      </c>
      <c r="DB36" s="586">
        <v>20</v>
      </c>
      <c r="DC36" s="586">
        <v>0</v>
      </c>
      <c r="DD36" s="586">
        <v>3</v>
      </c>
      <c r="DE36" s="586">
        <v>0</v>
      </c>
      <c r="DH36" s="585" t="s">
        <v>3190</v>
      </c>
    </row>
    <row r="37" spans="1:127" ht="12.75" customHeight="1">
      <c r="A37" s="414"/>
      <c r="B37" s="414" t="s">
        <v>3032</v>
      </c>
      <c r="C37" s="391" t="s">
        <v>3033</v>
      </c>
      <c r="D37" s="579"/>
      <c r="E37" s="622">
        <v>8064031</v>
      </c>
      <c r="G37" s="598"/>
      <c r="H37" s="598" t="s">
        <v>3158</v>
      </c>
      <c r="I37" s="585" t="s">
        <v>3191</v>
      </c>
      <c r="J37" s="586"/>
      <c r="K37" s="627">
        <v>250000</v>
      </c>
      <c r="N37" s="585" t="s">
        <v>473</v>
      </c>
      <c r="O37" s="613">
        <v>2578</v>
      </c>
      <c r="P37" s="422" t="s">
        <v>2824</v>
      </c>
      <c r="BB37" s="382" t="s">
        <v>3192</v>
      </c>
      <c r="BC37" s="382"/>
      <c r="BD37" s="382"/>
      <c r="BE37" s="382"/>
      <c r="BF37" s="382"/>
      <c r="BG37" s="382"/>
      <c r="BH37" s="382"/>
      <c r="BI37" s="382"/>
      <c r="BJ37" s="382"/>
      <c r="BK37" s="382"/>
      <c r="BL37" s="382"/>
      <c r="BM37" s="382"/>
      <c r="BP37" s="585" t="s">
        <v>3193</v>
      </c>
      <c r="BQ37" s="585">
        <v>527</v>
      </c>
      <c r="BR37" s="585">
        <v>442</v>
      </c>
      <c r="BS37" s="585">
        <v>51</v>
      </c>
      <c r="BT37" s="585">
        <v>31</v>
      </c>
      <c r="BU37" s="585">
        <v>3</v>
      </c>
      <c r="BV37" s="585">
        <v>0</v>
      </c>
      <c r="BW37" s="585">
        <v>0</v>
      </c>
      <c r="BX37" s="585">
        <v>0</v>
      </c>
      <c r="BY37" s="585">
        <v>0</v>
      </c>
      <c r="BZ37" s="585">
        <v>0</v>
      </c>
      <c r="CA37" s="585">
        <v>527</v>
      </c>
      <c r="CB37" s="585">
        <v>442</v>
      </c>
      <c r="CC37" s="585">
        <v>51</v>
      </c>
      <c r="CD37" s="585">
        <v>31</v>
      </c>
      <c r="CE37" s="585">
        <v>3</v>
      </c>
      <c r="CH37" s="585" t="s">
        <v>3194</v>
      </c>
      <c r="CI37" s="585">
        <v>205</v>
      </c>
      <c r="CJ37" s="585">
        <v>137</v>
      </c>
      <c r="CK37" s="585">
        <v>59</v>
      </c>
      <c r="CL37" s="585">
        <v>3</v>
      </c>
      <c r="CM37" s="585">
        <v>6</v>
      </c>
      <c r="CN37" s="585">
        <v>82</v>
      </c>
      <c r="CO37" s="585">
        <v>52</v>
      </c>
      <c r="CP37" s="585">
        <v>21</v>
      </c>
      <c r="CQ37" s="585">
        <v>3</v>
      </c>
      <c r="CR37" s="585">
        <v>6</v>
      </c>
      <c r="CS37" s="585">
        <v>122</v>
      </c>
      <c r="CT37" s="585">
        <v>85</v>
      </c>
      <c r="CU37" s="585">
        <v>38</v>
      </c>
      <c r="CV37" s="585">
        <v>0</v>
      </c>
      <c r="CW37" s="585">
        <v>0</v>
      </c>
      <c r="CZ37" s="585" t="s">
        <v>3185</v>
      </c>
    </row>
    <row r="38" spans="1:127" ht="12.75" customHeight="1">
      <c r="A38" s="414"/>
      <c r="B38" s="414"/>
      <c r="C38" s="414"/>
      <c r="D38" s="579" t="s">
        <v>3040</v>
      </c>
      <c r="E38" s="644">
        <f>SUM(E36:E37)</f>
        <v>14729281</v>
      </c>
      <c r="G38" s="598"/>
      <c r="H38" s="598"/>
      <c r="J38" s="439" t="s">
        <v>3040</v>
      </c>
      <c r="K38" s="632">
        <f>SUM(K31:K37)</f>
        <v>7580000</v>
      </c>
      <c r="N38" s="586" t="s">
        <v>3051</v>
      </c>
      <c r="O38" s="625">
        <v>24</v>
      </c>
      <c r="P38" s="611" t="s">
        <v>2824</v>
      </c>
      <c r="BB38" s="619" t="s">
        <v>3195</v>
      </c>
      <c r="BC38" s="626">
        <v>19.423955040393398</v>
      </c>
      <c r="BD38" s="626">
        <v>19.423955040393398</v>
      </c>
      <c r="BE38" s="626">
        <v>7.9419299743808711</v>
      </c>
      <c r="BF38" s="626">
        <v>19.319009468317553</v>
      </c>
      <c r="BG38" s="626">
        <v>19.319009468317553</v>
      </c>
      <c r="BH38" s="626">
        <v>7.8612209046991657</v>
      </c>
      <c r="BI38" s="626">
        <v>8.2568807339449535</v>
      </c>
      <c r="BJ38" s="626">
        <v>8.2568807339449535</v>
      </c>
      <c r="BK38" s="626">
        <v>11.475409836065573</v>
      </c>
      <c r="BL38" s="626">
        <v>38.70967741935484</v>
      </c>
      <c r="BM38" s="626">
        <v>38.70967741935484</v>
      </c>
      <c r="BP38" s="585" t="s">
        <v>3196</v>
      </c>
      <c r="BQ38" s="585">
        <v>381</v>
      </c>
      <c r="BR38" s="585">
        <v>319</v>
      </c>
      <c r="BS38" s="585">
        <v>42</v>
      </c>
      <c r="BT38" s="585">
        <v>17</v>
      </c>
      <c r="BU38" s="585">
        <v>3</v>
      </c>
      <c r="BV38" s="585">
        <v>0</v>
      </c>
      <c r="BW38" s="585">
        <v>0</v>
      </c>
      <c r="BX38" s="585">
        <v>0</v>
      </c>
      <c r="BY38" s="585">
        <v>0</v>
      </c>
      <c r="BZ38" s="585">
        <v>0</v>
      </c>
      <c r="CA38" s="585">
        <v>381</v>
      </c>
      <c r="CB38" s="585">
        <v>319</v>
      </c>
      <c r="CC38" s="585">
        <v>42</v>
      </c>
      <c r="CD38" s="585">
        <v>17</v>
      </c>
      <c r="CE38" s="585">
        <v>3</v>
      </c>
      <c r="CH38" s="585" t="s">
        <v>1709</v>
      </c>
      <c r="CI38" s="585">
        <v>249</v>
      </c>
      <c r="CJ38" s="585">
        <v>221</v>
      </c>
      <c r="CK38" s="585">
        <v>0</v>
      </c>
      <c r="CL38" s="585">
        <v>28</v>
      </c>
      <c r="CM38" s="585">
        <v>0</v>
      </c>
      <c r="CN38" s="585">
        <v>138</v>
      </c>
      <c r="CO38" s="585">
        <v>117</v>
      </c>
      <c r="CP38" s="585">
        <v>0</v>
      </c>
      <c r="CQ38" s="585">
        <v>21</v>
      </c>
      <c r="CR38" s="585">
        <v>0</v>
      </c>
      <c r="CS38" s="585">
        <v>111</v>
      </c>
      <c r="CT38" s="585">
        <v>104</v>
      </c>
      <c r="CU38" s="585">
        <v>0</v>
      </c>
      <c r="CV38" s="585">
        <v>7</v>
      </c>
      <c r="CW38" s="585">
        <v>0</v>
      </c>
      <c r="CZ38" s="585" t="s">
        <v>3190</v>
      </c>
    </row>
    <row r="39" spans="1:127" ht="12.75" customHeight="1">
      <c r="A39" s="414"/>
      <c r="B39" s="414"/>
      <c r="C39" s="414"/>
      <c r="D39" s="579"/>
      <c r="E39" s="579"/>
      <c r="N39" s="585" t="s">
        <v>3204</v>
      </c>
      <c r="BB39" s="619" t="s">
        <v>3197</v>
      </c>
      <c r="BC39" s="626">
        <v>43.976115208991921</v>
      </c>
      <c r="BD39" s="626">
        <v>43.976115208991921</v>
      </c>
      <c r="BE39" s="626">
        <v>84.756618274978649</v>
      </c>
      <c r="BF39" s="626">
        <v>43.517844136926442</v>
      </c>
      <c r="BG39" s="626">
        <v>43.517844136926442</v>
      </c>
      <c r="BH39" s="626">
        <v>84.7167325428195</v>
      </c>
      <c r="BI39" s="626">
        <v>57.798165137614681</v>
      </c>
      <c r="BJ39" s="626">
        <v>57.798165137614681</v>
      </c>
      <c r="BK39" s="626">
        <v>85.245901639344268</v>
      </c>
      <c r="BL39" s="626">
        <v>54.838709677419352</v>
      </c>
      <c r="BM39" s="626">
        <v>54.838709677419352</v>
      </c>
      <c r="BP39" s="585" t="s">
        <v>3198</v>
      </c>
      <c r="BQ39" s="585">
        <v>406</v>
      </c>
      <c r="BR39" s="585">
        <v>358</v>
      </c>
      <c r="BS39" s="585">
        <v>38</v>
      </c>
      <c r="BT39" s="585">
        <v>10</v>
      </c>
      <c r="BU39" s="585">
        <v>0</v>
      </c>
      <c r="BV39" s="585">
        <v>0</v>
      </c>
      <c r="BW39" s="585">
        <v>0</v>
      </c>
      <c r="BX39" s="585">
        <v>0</v>
      </c>
      <c r="BY39" s="585">
        <v>0</v>
      </c>
      <c r="BZ39" s="585">
        <v>0</v>
      </c>
      <c r="CA39" s="585">
        <v>406</v>
      </c>
      <c r="CB39" s="585">
        <v>358</v>
      </c>
      <c r="CC39" s="585">
        <v>38</v>
      </c>
      <c r="CD39" s="585">
        <v>10</v>
      </c>
      <c r="CE39" s="585">
        <v>0</v>
      </c>
      <c r="CH39" s="586" t="s">
        <v>3199</v>
      </c>
      <c r="CI39" s="633">
        <v>4997</v>
      </c>
      <c r="CJ39" s="633">
        <v>4194</v>
      </c>
      <c r="CK39" s="586">
        <v>590</v>
      </c>
      <c r="CL39" s="586">
        <v>148</v>
      </c>
      <c r="CM39" s="586">
        <v>66</v>
      </c>
      <c r="CN39" s="633">
        <v>2544</v>
      </c>
      <c r="CO39" s="633">
        <v>2152</v>
      </c>
      <c r="CP39" s="586">
        <v>295</v>
      </c>
      <c r="CQ39" s="586">
        <v>69</v>
      </c>
      <c r="CR39" s="586">
        <v>29</v>
      </c>
      <c r="CS39" s="633">
        <v>2453</v>
      </c>
      <c r="CT39" s="633">
        <v>2042</v>
      </c>
      <c r="CU39" s="586">
        <v>295</v>
      </c>
      <c r="CV39" s="586">
        <v>79</v>
      </c>
      <c r="CW39" s="586">
        <v>37</v>
      </c>
    </row>
    <row r="40" spans="1:127" ht="12.75" customHeight="1">
      <c r="A40" s="598" t="s">
        <v>3200</v>
      </c>
      <c r="B40" s="414" t="s">
        <v>3008</v>
      </c>
      <c r="C40" s="414" t="s">
        <v>3009</v>
      </c>
      <c r="D40" s="579"/>
      <c r="E40" s="579"/>
      <c r="G40" s="598" t="s">
        <v>3201</v>
      </c>
      <c r="H40" s="598" t="s">
        <v>3202</v>
      </c>
      <c r="I40" s="585" t="s">
        <v>3203</v>
      </c>
      <c r="K40" s="584">
        <v>2150000</v>
      </c>
      <c r="N40" s="585" t="s">
        <v>3209</v>
      </c>
      <c r="BB40" s="619" t="s">
        <v>3205</v>
      </c>
      <c r="BC40" s="626">
        <v>70.6357569371268</v>
      </c>
      <c r="BD40" s="643" t="s">
        <v>1626</v>
      </c>
      <c r="BE40" s="643" t="s">
        <v>1626</v>
      </c>
      <c r="BF40" s="626">
        <v>70.721048798251999</v>
      </c>
      <c r="BG40" s="626">
        <v>70.721048798251999</v>
      </c>
      <c r="BH40" s="643" t="s">
        <v>1626</v>
      </c>
      <c r="BI40" s="626">
        <v>65.137614678899084</v>
      </c>
      <c r="BJ40" s="626">
        <v>65.137614678899084</v>
      </c>
      <c r="BK40" s="643" t="s">
        <v>1626</v>
      </c>
      <c r="BL40" s="626">
        <v>72.043010752688176</v>
      </c>
      <c r="BM40" s="626">
        <v>72.043010752688176</v>
      </c>
      <c r="BP40" s="585" t="s">
        <v>3206</v>
      </c>
      <c r="BQ40" s="585">
        <v>194</v>
      </c>
      <c r="BR40" s="585">
        <v>169</v>
      </c>
      <c r="BS40" s="585">
        <v>21</v>
      </c>
      <c r="BT40" s="585">
        <v>3</v>
      </c>
      <c r="BU40" s="585">
        <v>0</v>
      </c>
      <c r="BV40" s="585">
        <v>0</v>
      </c>
      <c r="BW40" s="585">
        <v>0</v>
      </c>
      <c r="BX40" s="585">
        <v>0</v>
      </c>
      <c r="BY40" s="585">
        <v>0</v>
      </c>
      <c r="BZ40" s="585">
        <v>0</v>
      </c>
      <c r="CA40" s="585">
        <v>194</v>
      </c>
      <c r="CB40" s="585">
        <v>169</v>
      </c>
      <c r="CC40" s="585">
        <v>21</v>
      </c>
      <c r="CD40" s="585">
        <v>3</v>
      </c>
      <c r="CE40" s="585">
        <v>0</v>
      </c>
      <c r="CH40" s="585" t="s">
        <v>3185</v>
      </c>
    </row>
    <row r="41" spans="1:127" ht="12.75" customHeight="1">
      <c r="B41" s="414"/>
      <c r="C41" s="612" t="s">
        <v>3023</v>
      </c>
      <c r="D41" s="579"/>
      <c r="G41" s="598"/>
      <c r="H41" s="598" t="s">
        <v>3207</v>
      </c>
      <c r="I41" s="585" t="s">
        <v>3208</v>
      </c>
      <c r="K41" s="584">
        <v>350000</v>
      </c>
      <c r="N41" s="585" t="s">
        <v>3091</v>
      </c>
      <c r="BB41" s="645" t="s">
        <v>3210</v>
      </c>
      <c r="BC41" s="646">
        <v>11.92483315770987</v>
      </c>
      <c r="BD41" s="647" t="s">
        <v>1626</v>
      </c>
      <c r="BE41" s="647" t="s">
        <v>1626</v>
      </c>
      <c r="BF41" s="646">
        <v>11.981063364894393</v>
      </c>
      <c r="BG41" s="646">
        <v>11.981063364894393</v>
      </c>
      <c r="BH41" s="647" t="s">
        <v>1626</v>
      </c>
      <c r="BI41" s="646">
        <v>4.5871559633027523</v>
      </c>
      <c r="BJ41" s="646">
        <v>4.5871559633027523</v>
      </c>
      <c r="BK41" s="647" t="s">
        <v>1626</v>
      </c>
      <c r="BL41" s="646">
        <v>17.204301075268816</v>
      </c>
      <c r="BM41" s="646">
        <v>17.204301075268816</v>
      </c>
      <c r="BP41" s="585" t="s">
        <v>3211</v>
      </c>
      <c r="BQ41" s="585">
        <v>213</v>
      </c>
      <c r="BR41" s="585">
        <v>202</v>
      </c>
      <c r="BS41" s="585">
        <v>4</v>
      </c>
      <c r="BT41" s="585">
        <v>7</v>
      </c>
      <c r="BU41" s="585">
        <v>0</v>
      </c>
      <c r="BV41" s="585">
        <v>0</v>
      </c>
      <c r="BW41" s="585">
        <v>0</v>
      </c>
      <c r="BX41" s="585">
        <v>0</v>
      </c>
      <c r="BY41" s="585">
        <v>0</v>
      </c>
      <c r="BZ41" s="585">
        <v>0</v>
      </c>
      <c r="CA41" s="585">
        <v>213</v>
      </c>
      <c r="CB41" s="585">
        <v>202</v>
      </c>
      <c r="CC41" s="585">
        <v>4</v>
      </c>
      <c r="CD41" s="585">
        <v>7</v>
      </c>
      <c r="CE41" s="585">
        <v>0</v>
      </c>
      <c r="CH41" s="585" t="s">
        <v>3190</v>
      </c>
    </row>
    <row r="42" spans="1:127" ht="12.75" customHeight="1">
      <c r="B42" s="414" t="s">
        <v>3127</v>
      </c>
      <c r="C42" s="382" t="s">
        <v>3212</v>
      </c>
      <c r="D42" s="579"/>
      <c r="E42" s="456">
        <v>7100000</v>
      </c>
      <c r="G42" s="598"/>
      <c r="H42" s="598" t="s">
        <v>3034</v>
      </c>
      <c r="I42" s="585" t="s">
        <v>3213</v>
      </c>
      <c r="K42" s="584">
        <v>700000</v>
      </c>
      <c r="N42" s="585" t="s">
        <v>3073</v>
      </c>
      <c r="BB42" s="382" t="s">
        <v>3214</v>
      </c>
      <c r="BC42" s="382"/>
      <c r="BD42" s="626"/>
      <c r="BE42" s="626"/>
      <c r="BF42" s="626"/>
      <c r="BG42" s="626"/>
      <c r="BH42" s="626"/>
      <c r="BI42" s="626"/>
      <c r="BJ42" s="626"/>
      <c r="BK42" s="626"/>
      <c r="BL42" s="626"/>
      <c r="BM42" s="626"/>
      <c r="BP42" s="586" t="s">
        <v>3215</v>
      </c>
      <c r="BQ42" s="586">
        <v>290</v>
      </c>
      <c r="BR42" s="586">
        <v>267</v>
      </c>
      <c r="BS42" s="586">
        <v>17</v>
      </c>
      <c r="BT42" s="586">
        <v>7</v>
      </c>
      <c r="BU42" s="586">
        <v>0</v>
      </c>
      <c r="BV42" s="586">
        <v>0</v>
      </c>
      <c r="BW42" s="586">
        <v>0</v>
      </c>
      <c r="BX42" s="586">
        <v>0</v>
      </c>
      <c r="BY42" s="586">
        <v>0</v>
      </c>
      <c r="BZ42" s="586">
        <v>0</v>
      </c>
      <c r="CA42" s="586">
        <v>290</v>
      </c>
      <c r="CB42" s="586">
        <v>267</v>
      </c>
      <c r="CC42" s="586">
        <v>17</v>
      </c>
      <c r="CD42" s="586">
        <v>7</v>
      </c>
      <c r="CE42" s="586">
        <v>0</v>
      </c>
    </row>
    <row r="43" spans="1:127" ht="12.75" customHeight="1">
      <c r="B43" s="414"/>
      <c r="C43" s="612" t="s">
        <v>3216</v>
      </c>
      <c r="D43" s="579"/>
      <c r="E43" s="456">
        <v>5349234</v>
      </c>
      <c r="G43" s="598"/>
      <c r="H43" s="598" t="s">
        <v>3034</v>
      </c>
      <c r="I43" s="585" t="s">
        <v>3102</v>
      </c>
      <c r="K43" s="584">
        <v>510000</v>
      </c>
      <c r="N43" s="585" t="s">
        <v>2022</v>
      </c>
      <c r="BB43" s="382" t="s">
        <v>3146</v>
      </c>
      <c r="BC43" s="382"/>
      <c r="BD43" s="626"/>
      <c r="BE43" s="626"/>
      <c r="BF43" s="626"/>
      <c r="BG43" s="626"/>
      <c r="BH43" s="626"/>
      <c r="BI43" s="626"/>
      <c r="BJ43" s="626"/>
      <c r="BK43" s="626"/>
      <c r="BL43" s="626"/>
      <c r="BM43" s="626"/>
      <c r="BP43" s="585" t="s">
        <v>3185</v>
      </c>
      <c r="BQ43" s="525"/>
      <c r="BR43" s="525"/>
    </row>
    <row r="44" spans="1:127" ht="12.75" customHeight="1">
      <c r="B44" s="414" t="s">
        <v>3049</v>
      </c>
      <c r="C44" s="391" t="s">
        <v>3217</v>
      </c>
      <c r="D44" s="579"/>
      <c r="E44" s="456">
        <v>2257437</v>
      </c>
      <c r="G44" s="598"/>
      <c r="H44" s="598" t="s">
        <v>3041</v>
      </c>
      <c r="I44" s="585" t="s">
        <v>3117</v>
      </c>
      <c r="K44" s="584">
        <v>750000</v>
      </c>
      <c r="BB44" s="382" t="s">
        <v>3149</v>
      </c>
      <c r="BC44" s="382"/>
      <c r="BD44" s="626"/>
      <c r="BE44" s="626"/>
      <c r="BF44" s="626"/>
      <c r="BG44" s="626"/>
      <c r="BH44" s="626"/>
      <c r="BI44" s="626"/>
      <c r="BJ44" s="626"/>
      <c r="BK44" s="626"/>
      <c r="BL44" s="626"/>
      <c r="BM44" s="626"/>
      <c r="BP44" s="585" t="s">
        <v>3190</v>
      </c>
    </row>
    <row r="45" spans="1:127" ht="12.75" customHeight="1">
      <c r="B45" s="414" t="s">
        <v>3032</v>
      </c>
      <c r="C45" s="391" t="s">
        <v>3218</v>
      </c>
      <c r="D45" s="579"/>
      <c r="E45" s="622">
        <v>200000</v>
      </c>
      <c r="G45" s="598"/>
      <c r="H45" s="598" t="s">
        <v>3158</v>
      </c>
      <c r="I45" s="585" t="s">
        <v>3178</v>
      </c>
      <c r="K45" s="584">
        <v>45000</v>
      </c>
      <c r="BB45" s="382" t="s">
        <v>3153</v>
      </c>
      <c r="BC45" s="382"/>
      <c r="BD45" s="626"/>
      <c r="BE45" s="626"/>
      <c r="BF45" s="626"/>
      <c r="BG45" s="626"/>
      <c r="BH45" s="626"/>
      <c r="BI45" s="626"/>
      <c r="BJ45" s="626"/>
      <c r="BK45" s="626"/>
      <c r="BL45" s="626"/>
      <c r="BM45" s="626"/>
    </row>
    <row r="46" spans="1:127" ht="12.75" customHeight="1">
      <c r="B46" s="414"/>
      <c r="C46" s="391"/>
      <c r="D46" s="579" t="s">
        <v>3040</v>
      </c>
      <c r="E46" s="644">
        <f>SUM(E42:E45)</f>
        <v>14906671</v>
      </c>
      <c r="G46" s="598"/>
      <c r="H46" s="598" t="s">
        <v>3219</v>
      </c>
      <c r="I46" s="585" t="s">
        <v>3220</v>
      </c>
      <c r="J46" s="586"/>
      <c r="K46" s="627">
        <v>75000</v>
      </c>
      <c r="BB46" s="382" t="s">
        <v>1629</v>
      </c>
      <c r="BC46" s="382"/>
      <c r="BD46" s="626"/>
      <c r="BE46" s="626"/>
      <c r="BF46" s="626"/>
      <c r="BG46" s="626"/>
      <c r="BH46" s="626"/>
      <c r="BI46" s="626"/>
      <c r="BJ46" s="626"/>
      <c r="BK46" s="626"/>
      <c r="BL46" s="626"/>
      <c r="BM46" s="626"/>
    </row>
    <row r="47" spans="1:127" ht="12.75" customHeight="1">
      <c r="A47" s="414"/>
      <c r="B47" s="414"/>
      <c r="C47" s="414"/>
      <c r="D47" s="579"/>
      <c r="E47" s="579"/>
      <c r="G47" s="648"/>
      <c r="H47" s="648"/>
      <c r="I47" s="586"/>
      <c r="J47" s="477" t="s">
        <v>3040</v>
      </c>
      <c r="K47" s="649">
        <f>SUM(K40:K46)</f>
        <v>4580000</v>
      </c>
      <c r="BB47" s="382"/>
      <c r="BC47" s="382"/>
      <c r="BD47" s="626"/>
      <c r="BE47" s="626"/>
      <c r="BF47" s="626"/>
      <c r="BG47" s="626"/>
      <c r="BH47" s="626"/>
      <c r="BI47" s="626"/>
      <c r="BJ47" s="626"/>
      <c r="BK47" s="626"/>
      <c r="BL47" s="626"/>
      <c r="BM47" s="626"/>
    </row>
    <row r="48" spans="1:127" ht="12.75" customHeight="1">
      <c r="A48" s="598" t="s">
        <v>3221</v>
      </c>
      <c r="B48" s="414" t="s">
        <v>3008</v>
      </c>
      <c r="C48" s="414" t="s">
        <v>3009</v>
      </c>
      <c r="D48" s="579"/>
      <c r="E48" s="456"/>
      <c r="G48" s="451" t="s">
        <v>3222</v>
      </c>
      <c r="H48" s="598"/>
      <c r="K48" s="584"/>
      <c r="N48" s="382" t="s">
        <v>3223</v>
      </c>
      <c r="BB48" s="641"/>
      <c r="BC48" s="641"/>
      <c r="BD48" s="650"/>
      <c r="BE48" s="650"/>
      <c r="BF48" s="650"/>
      <c r="BG48" s="650"/>
      <c r="BH48" s="650"/>
      <c r="BI48" s="650"/>
      <c r="BJ48" s="650"/>
      <c r="BK48" s="650"/>
      <c r="BL48" s="650"/>
      <c r="BM48" s="650"/>
    </row>
    <row r="49" spans="1:65" ht="12.75" customHeight="1">
      <c r="B49" s="414"/>
      <c r="C49" s="612" t="s">
        <v>3023</v>
      </c>
      <c r="D49" s="579"/>
      <c r="E49" s="456">
        <v>7100000</v>
      </c>
      <c r="G49" s="651"/>
      <c r="N49" s="588" t="s">
        <v>2996</v>
      </c>
      <c r="O49" s="589" t="s">
        <v>2807</v>
      </c>
      <c r="P49" s="590" t="s">
        <v>2997</v>
      </c>
      <c r="BB49" s="549"/>
      <c r="BC49" s="549"/>
      <c r="BD49" s="549"/>
      <c r="BE49" s="549"/>
      <c r="BF49" s="549"/>
      <c r="BG49" s="549"/>
      <c r="BH49" s="549"/>
      <c r="BI49" s="549"/>
      <c r="BJ49" s="549"/>
      <c r="BK49" s="549"/>
      <c r="BL49" s="549"/>
      <c r="BM49" s="549"/>
    </row>
    <row r="50" spans="1:65" ht="12.75" customHeight="1">
      <c r="A50" s="414"/>
      <c r="B50" s="414" t="s">
        <v>3049</v>
      </c>
      <c r="C50" s="391" t="s">
        <v>3224</v>
      </c>
      <c r="D50" s="579"/>
      <c r="E50" s="456">
        <v>3000000</v>
      </c>
      <c r="N50" s="599" t="s">
        <v>129</v>
      </c>
      <c r="O50" s="600">
        <f>SUM(O51:O54)</f>
        <v>32635</v>
      </c>
      <c r="P50" s="605" t="s">
        <v>1627</v>
      </c>
      <c r="BB50" s="382" t="s">
        <v>3225</v>
      </c>
      <c r="BC50" s="382"/>
      <c r="BD50" s="382"/>
      <c r="BE50" s="382"/>
      <c r="BF50" s="382"/>
      <c r="BG50" s="382"/>
      <c r="BH50" s="382"/>
      <c r="BI50" s="382"/>
      <c r="BJ50" s="382"/>
      <c r="BK50" s="382"/>
      <c r="BL50" s="381"/>
      <c r="BM50" s="381"/>
    </row>
    <row r="51" spans="1:65" ht="12.75" customHeight="1">
      <c r="A51" s="414"/>
      <c r="B51" s="414" t="s">
        <v>3226</v>
      </c>
      <c r="C51" s="391" t="s">
        <v>3227</v>
      </c>
      <c r="D51" s="579"/>
      <c r="E51" s="456">
        <v>606671</v>
      </c>
      <c r="N51" s="585" t="s">
        <v>2818</v>
      </c>
      <c r="O51" s="652">
        <v>12215</v>
      </c>
      <c r="P51" s="601" t="s">
        <v>3232</v>
      </c>
      <c r="BB51" s="597" t="s">
        <v>3228</v>
      </c>
      <c r="BC51" s="2098" t="s">
        <v>129</v>
      </c>
      <c r="BD51" s="2098"/>
      <c r="BE51" s="2098"/>
      <c r="BF51" s="2098" t="s">
        <v>845</v>
      </c>
      <c r="BG51" s="2098"/>
      <c r="BH51" s="2098"/>
      <c r="BI51" s="2098" t="s">
        <v>3006</v>
      </c>
      <c r="BJ51" s="2098"/>
      <c r="BK51" s="2098"/>
      <c r="BL51" s="2078" t="s">
        <v>528</v>
      </c>
      <c r="BM51" s="2079"/>
    </row>
    <row r="52" spans="1:65" ht="12.75" customHeight="1">
      <c r="A52" s="414"/>
      <c r="B52" s="414" t="s">
        <v>3229</v>
      </c>
      <c r="C52" s="391" t="s">
        <v>3230</v>
      </c>
      <c r="D52" s="579"/>
      <c r="E52" s="456"/>
      <c r="G52" s="2097" t="s">
        <v>3231</v>
      </c>
      <c r="H52" s="2097"/>
      <c r="I52" s="2097"/>
      <c r="J52" s="2097"/>
      <c r="K52" s="2097"/>
      <c r="N52" s="585" t="s">
        <v>1967</v>
      </c>
      <c r="O52" s="652">
        <v>18305</v>
      </c>
      <c r="P52" s="601" t="s">
        <v>3235</v>
      </c>
      <c r="BB52" s="610" t="s">
        <v>3018</v>
      </c>
      <c r="BC52" s="389">
        <v>2003</v>
      </c>
      <c r="BD52" s="389">
        <v>1997</v>
      </c>
      <c r="BE52" s="389">
        <v>1990</v>
      </c>
      <c r="BF52" s="389">
        <v>2003</v>
      </c>
      <c r="BG52" s="389">
        <v>1997</v>
      </c>
      <c r="BH52" s="389">
        <v>1990</v>
      </c>
      <c r="BI52" s="389">
        <v>2003</v>
      </c>
      <c r="BJ52" s="389">
        <v>1997</v>
      </c>
      <c r="BK52" s="389">
        <v>1990</v>
      </c>
      <c r="BL52" s="441">
        <v>2003</v>
      </c>
      <c r="BM52" s="442">
        <v>1997</v>
      </c>
    </row>
    <row r="53" spans="1:65" ht="12.75" customHeight="1">
      <c r="A53" s="414"/>
      <c r="B53" s="414"/>
      <c r="C53" s="391" t="s">
        <v>3233</v>
      </c>
      <c r="D53" s="579"/>
      <c r="E53" s="622">
        <v>4200000</v>
      </c>
      <c r="G53" s="585" t="s">
        <v>3234</v>
      </c>
      <c r="N53" s="585" t="s">
        <v>473</v>
      </c>
      <c r="O53" s="652">
        <v>2100</v>
      </c>
      <c r="P53" s="601" t="s">
        <v>3236</v>
      </c>
      <c r="BB53" s="382"/>
      <c r="BC53" s="382"/>
      <c r="BD53" s="382"/>
      <c r="BE53" s="382"/>
      <c r="BF53" s="382"/>
      <c r="BG53" s="382"/>
      <c r="BH53" s="382"/>
      <c r="BI53" s="382"/>
      <c r="BJ53" s="382"/>
      <c r="BK53" s="382"/>
      <c r="BL53" s="382"/>
      <c r="BM53" s="382"/>
    </row>
    <row r="54" spans="1:65" ht="12.75" customHeight="1">
      <c r="A54" s="412"/>
      <c r="B54" s="412"/>
      <c r="C54" s="412"/>
      <c r="D54" s="653" t="s">
        <v>3040</v>
      </c>
      <c r="E54" s="654">
        <f>SUM(E49:E53)</f>
        <v>14906671</v>
      </c>
      <c r="G54" s="399" t="s">
        <v>2993</v>
      </c>
      <c r="H54" s="587" t="s">
        <v>1931</v>
      </c>
      <c r="I54" s="587" t="s">
        <v>2994</v>
      </c>
      <c r="J54" s="2070" t="s">
        <v>2995</v>
      </c>
      <c r="K54" s="2071"/>
      <c r="N54" s="586" t="s">
        <v>3051</v>
      </c>
      <c r="O54" s="625">
        <v>15</v>
      </c>
      <c r="P54" s="611" t="s">
        <v>2824</v>
      </c>
      <c r="BB54" s="626" t="s">
        <v>3237</v>
      </c>
      <c r="BC54" s="626">
        <v>5.5930568948891031</v>
      </c>
      <c r="BD54" s="626">
        <v>15.823674042852126</v>
      </c>
      <c r="BE54" s="626">
        <v>8.0700256191289501</v>
      </c>
      <c r="BF54" s="626">
        <v>2.3417290673927842</v>
      </c>
      <c r="BG54" s="626">
        <v>15.859431900946833</v>
      </c>
      <c r="BH54" s="626">
        <v>7.5537988581466839</v>
      </c>
      <c r="BI54" s="626">
        <v>0</v>
      </c>
      <c r="BJ54" s="626">
        <v>6.4220183486238529</v>
      </c>
      <c r="BK54" s="626">
        <v>27.868852459016395</v>
      </c>
      <c r="BL54" s="626">
        <v>37.580437580437582</v>
      </c>
      <c r="BM54" s="626">
        <v>24.731182795698924</v>
      </c>
    </row>
    <row r="55" spans="1:65" ht="12.75" customHeight="1">
      <c r="A55" s="451" t="s">
        <v>3222</v>
      </c>
      <c r="G55" s="598" t="s">
        <v>3238</v>
      </c>
      <c r="H55" s="598" t="s">
        <v>3202</v>
      </c>
      <c r="I55" s="585" t="s">
        <v>3239</v>
      </c>
      <c r="K55" s="584">
        <v>1800000</v>
      </c>
      <c r="N55" s="585" t="s">
        <v>3242</v>
      </c>
      <c r="BB55" s="619" t="s">
        <v>3240</v>
      </c>
      <c r="BC55" s="626">
        <v>73.455056179775283</v>
      </c>
      <c r="BD55" s="626">
        <v>89.234300020863756</v>
      </c>
      <c r="BE55" s="626">
        <v>70.227589410125404</v>
      </c>
      <c r="BF55" s="626">
        <v>76.523072633486692</v>
      </c>
      <c r="BG55" s="626">
        <v>89.915602683401858</v>
      </c>
      <c r="BH55" s="626">
        <v>70.213776722090259</v>
      </c>
      <c r="BI55" s="626">
        <v>22.988505747126435</v>
      </c>
      <c r="BJ55" s="626">
        <v>88.235294117647058</v>
      </c>
      <c r="BK55" s="626">
        <v>68.181818181818187</v>
      </c>
      <c r="BL55" s="626">
        <v>46.185567010309278</v>
      </c>
      <c r="BM55" s="626">
        <v>45.714285714285715</v>
      </c>
    </row>
    <row r="56" spans="1:65" ht="12.75" customHeight="1">
      <c r="A56" s="451"/>
      <c r="G56" s="598"/>
      <c r="H56" s="598" t="s">
        <v>3034</v>
      </c>
      <c r="I56" s="585" t="s">
        <v>3241</v>
      </c>
      <c r="K56" s="584">
        <v>100000</v>
      </c>
      <c r="N56" s="585" t="s">
        <v>3084</v>
      </c>
      <c r="BB56" s="619"/>
      <c r="BC56" s="626"/>
      <c r="BD56" s="626"/>
      <c r="BE56" s="626"/>
      <c r="BF56" s="626"/>
      <c r="BG56" s="626"/>
      <c r="BH56" s="626"/>
      <c r="BI56" s="626"/>
      <c r="BJ56" s="626"/>
      <c r="BK56" s="626"/>
      <c r="BL56" s="626"/>
      <c r="BM56" s="626"/>
    </row>
    <row r="57" spans="1:65" ht="12.75" customHeight="1">
      <c r="G57" s="598"/>
      <c r="H57" s="598" t="s">
        <v>3034</v>
      </c>
      <c r="I57" s="585" t="s">
        <v>3243</v>
      </c>
      <c r="K57" s="584">
        <v>300000</v>
      </c>
      <c r="N57" s="585" t="s">
        <v>3091</v>
      </c>
      <c r="BB57" s="619" t="s">
        <v>3244</v>
      </c>
      <c r="BC57" s="619">
        <v>2931</v>
      </c>
      <c r="BD57" s="619">
        <v>1408</v>
      </c>
      <c r="BE57" s="619">
        <v>779</v>
      </c>
      <c r="BF57" s="619">
        <v>2453</v>
      </c>
      <c r="BG57" s="619">
        <v>1336</v>
      </c>
      <c r="BH57" s="619">
        <v>735</v>
      </c>
      <c r="BI57" s="619">
        <v>72</v>
      </c>
      <c r="BJ57" s="619">
        <v>53</v>
      </c>
      <c r="BK57" s="619">
        <v>41</v>
      </c>
      <c r="BL57" s="619">
        <v>406</v>
      </c>
      <c r="BM57" s="619">
        <v>19</v>
      </c>
    </row>
    <row r="58" spans="1:65" ht="13.5" customHeight="1">
      <c r="G58" s="598"/>
      <c r="H58" s="598" t="s">
        <v>3034</v>
      </c>
      <c r="I58" s="585" t="s">
        <v>3245</v>
      </c>
      <c r="K58" s="584">
        <v>1300000</v>
      </c>
      <c r="N58" s="585" t="s">
        <v>3073</v>
      </c>
      <c r="BB58" s="619" t="s">
        <v>3246</v>
      </c>
      <c r="BC58" s="619">
        <v>1767</v>
      </c>
      <c r="BD58" s="619">
        <v>787</v>
      </c>
      <c r="BE58" s="619">
        <v>351</v>
      </c>
      <c r="BF58" s="619">
        <v>1489</v>
      </c>
      <c r="BG58" s="619">
        <v>751</v>
      </c>
      <c r="BH58" s="619">
        <v>332</v>
      </c>
      <c r="BI58" s="619">
        <v>34</v>
      </c>
      <c r="BJ58" s="619">
        <v>30</v>
      </c>
      <c r="BK58" s="619">
        <v>16</v>
      </c>
      <c r="BL58" s="619">
        <v>244</v>
      </c>
      <c r="BM58" s="619">
        <v>6</v>
      </c>
    </row>
    <row r="59" spans="1:65" ht="12" customHeight="1">
      <c r="A59" s="2097" t="s">
        <v>3247</v>
      </c>
      <c r="B59" s="2097"/>
      <c r="C59" s="2097"/>
      <c r="D59" s="2097"/>
      <c r="E59" s="2097"/>
      <c r="G59" s="598"/>
      <c r="H59" s="598" t="s">
        <v>3034</v>
      </c>
      <c r="I59" s="585" t="s">
        <v>3113</v>
      </c>
      <c r="K59" s="393">
        <v>230000</v>
      </c>
      <c r="N59" s="585" t="s">
        <v>2022</v>
      </c>
      <c r="BB59" s="619" t="s">
        <v>3248</v>
      </c>
      <c r="BC59" s="619">
        <v>644</v>
      </c>
      <c r="BD59" s="619">
        <v>282</v>
      </c>
      <c r="BE59" s="619">
        <v>145</v>
      </c>
      <c r="BF59" s="619">
        <v>534</v>
      </c>
      <c r="BG59" s="619">
        <v>269</v>
      </c>
      <c r="BH59" s="619">
        <v>143</v>
      </c>
      <c r="BI59" s="619">
        <v>18</v>
      </c>
      <c r="BJ59" s="619">
        <v>11</v>
      </c>
      <c r="BK59" s="619">
        <v>2</v>
      </c>
      <c r="BL59" s="619">
        <v>92</v>
      </c>
      <c r="BM59" s="619">
        <v>2</v>
      </c>
    </row>
    <row r="60" spans="1:65" ht="12" customHeight="1">
      <c r="A60" s="648"/>
      <c r="B60" s="655" t="s">
        <v>3249</v>
      </c>
      <c r="C60" s="586"/>
      <c r="D60" s="586"/>
      <c r="E60" s="627"/>
      <c r="G60" s="598"/>
      <c r="H60" s="598" t="s">
        <v>3034</v>
      </c>
      <c r="I60" s="585" t="s">
        <v>3250</v>
      </c>
      <c r="K60" s="584">
        <v>150000</v>
      </c>
      <c r="BB60" s="619" t="s">
        <v>3251</v>
      </c>
      <c r="BC60" s="619">
        <v>335</v>
      </c>
      <c r="BD60" s="619">
        <v>211</v>
      </c>
      <c r="BE60" s="619">
        <v>151</v>
      </c>
      <c r="BF60" s="619">
        <v>277</v>
      </c>
      <c r="BG60" s="619">
        <v>193</v>
      </c>
      <c r="BH60" s="619">
        <v>140</v>
      </c>
      <c r="BI60" s="619">
        <v>13</v>
      </c>
      <c r="BJ60" s="619">
        <v>7</v>
      </c>
      <c r="BK60" s="619">
        <v>11</v>
      </c>
      <c r="BL60" s="619">
        <v>45</v>
      </c>
      <c r="BM60" s="619">
        <v>11</v>
      </c>
    </row>
    <row r="61" spans="1:65" ht="12" customHeight="1">
      <c r="A61" s="412" t="s">
        <v>2993</v>
      </c>
      <c r="B61" s="587" t="s">
        <v>1931</v>
      </c>
      <c r="C61" s="656" t="s">
        <v>2994</v>
      </c>
      <c r="D61" s="2099" t="s">
        <v>2995</v>
      </c>
      <c r="E61" s="2100"/>
      <c r="G61" s="598"/>
      <c r="H61" s="598" t="s">
        <v>3158</v>
      </c>
      <c r="I61" s="585" t="s">
        <v>3252</v>
      </c>
      <c r="J61" s="586"/>
      <c r="K61" s="627">
        <v>700000</v>
      </c>
      <c r="BB61" s="619"/>
      <c r="BC61" s="619"/>
      <c r="BD61" s="619"/>
      <c r="BE61" s="619"/>
      <c r="BF61" s="619"/>
      <c r="BG61" s="619"/>
      <c r="BH61" s="619"/>
      <c r="BI61" s="619"/>
      <c r="BJ61" s="619"/>
      <c r="BK61" s="619"/>
      <c r="BL61" s="619"/>
      <c r="BM61" s="619"/>
    </row>
    <row r="62" spans="1:65" ht="12.75" customHeight="1">
      <c r="A62" s="598" t="s">
        <v>3253</v>
      </c>
      <c r="B62" s="598" t="s">
        <v>3008</v>
      </c>
      <c r="C62" s="414" t="s">
        <v>3009</v>
      </c>
      <c r="D62" s="579"/>
      <c r="E62" s="456"/>
      <c r="G62" s="598"/>
      <c r="H62" s="598"/>
      <c r="J62" s="439" t="s">
        <v>3040</v>
      </c>
      <c r="K62" s="632">
        <f>SUM(K55:K61)</f>
        <v>4580000</v>
      </c>
      <c r="BB62" s="619" t="s">
        <v>3254</v>
      </c>
      <c r="BC62" s="626"/>
      <c r="BD62" s="626"/>
      <c r="BE62" s="626"/>
      <c r="BF62" s="626"/>
      <c r="BG62" s="626"/>
      <c r="BH62" s="626"/>
      <c r="BI62" s="626"/>
      <c r="BJ62" s="626"/>
      <c r="BK62" s="626"/>
      <c r="BL62" s="626"/>
      <c r="BM62" s="626"/>
    </row>
    <row r="63" spans="1:65" ht="12.75" customHeight="1">
      <c r="B63" s="414"/>
      <c r="C63" s="612" t="s">
        <v>3023</v>
      </c>
      <c r="D63" s="579"/>
      <c r="E63" s="456">
        <v>7100000</v>
      </c>
      <c r="G63" s="598"/>
      <c r="H63" s="598"/>
      <c r="K63" s="584"/>
      <c r="BB63" s="626" t="s">
        <v>3255</v>
      </c>
      <c r="BC63" s="626">
        <v>43.175343175343173</v>
      </c>
      <c r="BD63" s="626">
        <v>48.796331677493313</v>
      </c>
      <c r="BE63" s="626">
        <v>59.978880675818367</v>
      </c>
      <c r="BF63" s="626">
        <v>40.173661360347324</v>
      </c>
      <c r="BG63" s="626">
        <v>47.77120315581854</v>
      </c>
      <c r="BH63" s="626">
        <v>59.743040685224834</v>
      </c>
      <c r="BI63" s="626">
        <v>67.088607594936718</v>
      </c>
      <c r="BJ63" s="626">
        <v>85.294117647058826</v>
      </c>
      <c r="BK63" s="626">
        <v>76.923076923076934</v>
      </c>
      <c r="BL63" s="626">
        <v>69.113149847094803</v>
      </c>
      <c r="BM63" s="626">
        <v>77.083333333333343</v>
      </c>
    </row>
    <row r="64" spans="1:65">
      <c r="B64" s="598" t="s">
        <v>3049</v>
      </c>
      <c r="C64" s="391" t="s">
        <v>3224</v>
      </c>
      <c r="D64" s="579"/>
      <c r="E64" s="456">
        <v>3000000</v>
      </c>
      <c r="G64" s="598" t="s">
        <v>3256</v>
      </c>
      <c r="H64" s="598" t="s">
        <v>3034</v>
      </c>
      <c r="I64" s="585" t="s">
        <v>3257</v>
      </c>
      <c r="K64" s="584">
        <v>650000</v>
      </c>
      <c r="BB64" s="626" t="s">
        <v>3258</v>
      </c>
      <c r="BC64" s="626">
        <v>1.6835016835016836</v>
      </c>
      <c r="BD64" s="626">
        <v>1.4520443255636224</v>
      </c>
      <c r="BE64" s="626">
        <v>8.025343189017951</v>
      </c>
      <c r="BF64" s="626">
        <v>1.0130246020260492</v>
      </c>
      <c r="BG64" s="626">
        <v>1.26232741617357</v>
      </c>
      <c r="BH64" s="626">
        <v>8.1370449678800849</v>
      </c>
      <c r="BI64" s="626">
        <v>3.7974683544303796</v>
      </c>
      <c r="BJ64" s="626">
        <v>5.882352941176471</v>
      </c>
      <c r="BK64" s="626">
        <v>0</v>
      </c>
      <c r="BL64" s="626">
        <v>8.2568807339449535</v>
      </c>
      <c r="BM64" s="626">
        <v>8.3333333333333339</v>
      </c>
    </row>
    <row r="65" spans="1:65">
      <c r="B65" s="414" t="s">
        <v>3127</v>
      </c>
      <c r="C65" s="391" t="s">
        <v>3259</v>
      </c>
      <c r="D65" s="579"/>
      <c r="E65" s="456">
        <v>950000</v>
      </c>
      <c r="G65" s="598"/>
      <c r="H65" s="598" t="s">
        <v>3034</v>
      </c>
      <c r="I65" s="585" t="s">
        <v>3241</v>
      </c>
      <c r="K65" s="584">
        <v>100000</v>
      </c>
      <c r="BB65" s="382"/>
      <c r="BC65" s="382"/>
      <c r="BD65" s="382"/>
      <c r="BE65" s="382"/>
      <c r="BF65" s="382"/>
      <c r="BG65" s="382"/>
      <c r="BH65" s="382"/>
      <c r="BI65" s="382"/>
      <c r="BJ65" s="382"/>
      <c r="BK65" s="382"/>
      <c r="BL65" s="382"/>
      <c r="BM65" s="382"/>
    </row>
    <row r="66" spans="1:65">
      <c r="B66" s="414" t="s">
        <v>3034</v>
      </c>
      <c r="C66" s="391" t="s">
        <v>3260</v>
      </c>
      <c r="D66" s="579"/>
      <c r="E66" s="456">
        <v>1500000</v>
      </c>
      <c r="G66" s="598"/>
      <c r="H66" s="598" t="s">
        <v>3158</v>
      </c>
      <c r="I66" s="585" t="s">
        <v>3261</v>
      </c>
      <c r="K66" s="584">
        <v>890000</v>
      </c>
      <c r="BB66" s="619" t="s">
        <v>3262</v>
      </c>
      <c r="BC66" s="626"/>
      <c r="BD66" s="626"/>
      <c r="BE66" s="626"/>
      <c r="BF66" s="626"/>
      <c r="BG66" s="626"/>
      <c r="BH66" s="626"/>
      <c r="BI66" s="626"/>
      <c r="BJ66" s="626"/>
      <c r="BK66" s="626"/>
      <c r="BL66" s="626"/>
      <c r="BM66" s="626"/>
    </row>
    <row r="67" spans="1:65">
      <c r="B67" s="414" t="s">
        <v>3263</v>
      </c>
      <c r="C67" s="391" t="s">
        <v>3264</v>
      </c>
      <c r="D67" s="579"/>
      <c r="E67" s="456">
        <v>1000000</v>
      </c>
      <c r="G67" s="598"/>
      <c r="H67" s="598" t="s">
        <v>3158</v>
      </c>
      <c r="I67" s="585" t="s">
        <v>3265</v>
      </c>
      <c r="K67" s="584">
        <v>340000</v>
      </c>
      <c r="BB67" s="626" t="s">
        <v>3255</v>
      </c>
      <c r="BC67" s="626">
        <v>39.978902953586498</v>
      </c>
      <c r="BD67" s="626">
        <v>43.719806763285021</v>
      </c>
      <c r="BE67" s="626">
        <v>57.544757033248082</v>
      </c>
      <c r="BF67" s="626">
        <v>36.786344908769863</v>
      </c>
      <c r="BG67" s="626">
        <v>42.667771333885668</v>
      </c>
      <c r="BH67" s="626">
        <v>57.881136950904391</v>
      </c>
      <c r="BI67" s="626">
        <v>69.444444444444443</v>
      </c>
      <c r="BJ67" s="626">
        <v>80</v>
      </c>
      <c r="BK67" s="626">
        <v>25</v>
      </c>
      <c r="BL67" s="626">
        <v>67.080745341614914</v>
      </c>
      <c r="BM67" s="626">
        <v>80</v>
      </c>
    </row>
    <row r="68" spans="1:65">
      <c r="B68" s="414" t="s">
        <v>3059</v>
      </c>
      <c r="C68" s="391" t="s">
        <v>3266</v>
      </c>
      <c r="D68" s="579"/>
      <c r="E68" s="456">
        <v>800000</v>
      </c>
      <c r="G68" s="598"/>
      <c r="H68" s="598" t="s">
        <v>3158</v>
      </c>
      <c r="I68" s="585" t="s">
        <v>3267</v>
      </c>
      <c r="J68" s="586"/>
      <c r="K68" s="627">
        <v>2600000</v>
      </c>
      <c r="BB68" s="646" t="s">
        <v>3258</v>
      </c>
      <c r="BC68" s="646">
        <v>1.2130801687763713</v>
      </c>
      <c r="BD68" s="646">
        <v>1.2077294685990339</v>
      </c>
      <c r="BE68" s="646">
        <v>8.1841432225063944</v>
      </c>
      <c r="BF68" s="646">
        <v>0.70629782224838145</v>
      </c>
      <c r="BG68" s="646">
        <v>0.91135045567522788</v>
      </c>
      <c r="BH68" s="646">
        <v>8.2687338501291983</v>
      </c>
      <c r="BI68" s="646">
        <v>5.5555555555555554</v>
      </c>
      <c r="BJ68" s="646">
        <v>6.666666666666667</v>
      </c>
      <c r="BK68" s="646">
        <v>0</v>
      </c>
      <c r="BL68" s="646">
        <v>5.5900621118012426</v>
      </c>
      <c r="BM68" s="646">
        <v>15</v>
      </c>
    </row>
    <row r="69" spans="1:65">
      <c r="B69" s="414" t="s">
        <v>3229</v>
      </c>
      <c r="C69" s="391" t="s">
        <v>3268</v>
      </c>
      <c r="D69" s="579"/>
      <c r="E69" s="456">
        <v>800000</v>
      </c>
      <c r="G69" s="598"/>
      <c r="H69" s="598"/>
      <c r="J69" s="439" t="s">
        <v>3040</v>
      </c>
      <c r="K69" s="632">
        <f>SUM(K64:K68)</f>
        <v>4580000</v>
      </c>
      <c r="BB69" s="382" t="s">
        <v>3214</v>
      </c>
      <c r="BC69" s="382"/>
      <c r="BD69" s="626"/>
      <c r="BE69" s="626"/>
      <c r="BF69" s="626"/>
      <c r="BG69" s="626"/>
      <c r="BH69" s="626"/>
      <c r="BI69" s="626"/>
      <c r="BJ69" s="626"/>
      <c r="BK69" s="626"/>
      <c r="BL69" s="626"/>
      <c r="BM69" s="626"/>
    </row>
    <row r="70" spans="1:65">
      <c r="B70" s="414" t="s">
        <v>3011</v>
      </c>
      <c r="C70" s="391" t="s">
        <v>3269</v>
      </c>
      <c r="D70" s="579"/>
      <c r="E70" s="456">
        <v>417026</v>
      </c>
      <c r="BB70" s="382" t="s">
        <v>3146</v>
      </c>
      <c r="BC70" s="382"/>
      <c r="BD70" s="626"/>
      <c r="BE70" s="626"/>
      <c r="BF70" s="626"/>
      <c r="BG70" s="626"/>
      <c r="BH70" s="626"/>
      <c r="BI70" s="626"/>
      <c r="BJ70" s="626"/>
      <c r="BK70" s="626"/>
      <c r="BL70" s="626"/>
      <c r="BM70" s="626"/>
    </row>
    <row r="71" spans="1:65">
      <c r="B71" s="414" t="s">
        <v>3041</v>
      </c>
      <c r="C71" s="391" t="s">
        <v>3270</v>
      </c>
      <c r="D71" s="579"/>
      <c r="E71" s="456">
        <v>60000</v>
      </c>
      <c r="G71" s="598" t="s">
        <v>3271</v>
      </c>
      <c r="H71" s="598" t="s">
        <v>3034</v>
      </c>
      <c r="I71" s="585" t="s">
        <v>3272</v>
      </c>
      <c r="K71" s="584">
        <v>300000</v>
      </c>
      <c r="BB71" s="382" t="s">
        <v>3149</v>
      </c>
      <c r="BC71" s="382"/>
      <c r="BD71" s="626"/>
      <c r="BE71" s="626"/>
      <c r="BF71" s="626"/>
      <c r="BG71" s="626"/>
      <c r="BH71" s="626"/>
      <c r="BI71" s="626"/>
      <c r="BJ71" s="626"/>
      <c r="BK71" s="626"/>
      <c r="BL71" s="626"/>
      <c r="BM71" s="626"/>
    </row>
    <row r="72" spans="1:65">
      <c r="B72" s="414" t="s">
        <v>1169</v>
      </c>
      <c r="C72" s="391" t="s">
        <v>3273</v>
      </c>
      <c r="D72" s="579"/>
      <c r="E72" s="456">
        <v>500000</v>
      </c>
      <c r="G72" s="598"/>
      <c r="H72" s="598" t="s">
        <v>3034</v>
      </c>
      <c r="I72" s="585" t="s">
        <v>3274</v>
      </c>
      <c r="K72" s="584">
        <v>900000</v>
      </c>
      <c r="BB72" s="382" t="s">
        <v>3153</v>
      </c>
      <c r="BC72" s="382"/>
      <c r="BD72" s="382"/>
      <c r="BE72" s="382"/>
      <c r="BF72" s="382"/>
      <c r="BG72" s="382"/>
      <c r="BH72" s="382"/>
      <c r="BI72" s="382"/>
      <c r="BJ72" s="382"/>
      <c r="BK72" s="382"/>
      <c r="BL72" s="382"/>
      <c r="BM72" s="382"/>
    </row>
    <row r="73" spans="1:65">
      <c r="A73" s="414"/>
      <c r="B73" s="414" t="s">
        <v>3275</v>
      </c>
      <c r="C73" s="391" t="s">
        <v>3276</v>
      </c>
      <c r="D73" s="579"/>
      <c r="E73" s="456">
        <v>290000</v>
      </c>
      <c r="G73" s="598"/>
      <c r="H73" s="598" t="s">
        <v>3034</v>
      </c>
      <c r="I73" s="585" t="s">
        <v>3277</v>
      </c>
      <c r="K73" s="584">
        <v>900000</v>
      </c>
    </row>
    <row r="74" spans="1:65">
      <c r="A74" s="414"/>
      <c r="B74" s="414" t="s">
        <v>3278</v>
      </c>
      <c r="C74" s="391" t="s">
        <v>3279</v>
      </c>
      <c r="D74" s="579"/>
      <c r="E74" s="622">
        <v>410000</v>
      </c>
      <c r="G74" s="598"/>
      <c r="H74" s="598" t="s">
        <v>3034</v>
      </c>
      <c r="I74" s="585" t="s">
        <v>3243</v>
      </c>
      <c r="K74" s="584">
        <v>700000</v>
      </c>
      <c r="BB74" s="549"/>
      <c r="BC74" s="549"/>
      <c r="BD74" s="549"/>
      <c r="BE74" s="549"/>
      <c r="BF74" s="549"/>
      <c r="BG74" s="549"/>
      <c r="BH74" s="549"/>
      <c r="BI74" s="549"/>
      <c r="BJ74" s="549"/>
      <c r="BK74" s="549"/>
      <c r="BL74" s="549"/>
      <c r="BM74" s="549"/>
    </row>
    <row r="75" spans="1:65">
      <c r="A75" s="414"/>
      <c r="B75" s="414"/>
      <c r="C75" s="391"/>
      <c r="D75" s="599" t="s">
        <v>3040</v>
      </c>
      <c r="E75" s="644">
        <f>SUM(E63:E74)</f>
        <v>16827026</v>
      </c>
      <c r="G75" s="598"/>
      <c r="H75" s="598" t="s">
        <v>3034</v>
      </c>
      <c r="I75" s="585" t="s">
        <v>3241</v>
      </c>
      <c r="K75" s="584">
        <v>750000</v>
      </c>
      <c r="BB75" s="549"/>
      <c r="BC75" s="549"/>
      <c r="BD75" s="549"/>
      <c r="BE75" s="549"/>
      <c r="BF75" s="549"/>
      <c r="BG75" s="549"/>
      <c r="BH75" s="549"/>
      <c r="BI75" s="549"/>
      <c r="BJ75" s="549"/>
      <c r="BK75" s="549"/>
      <c r="BL75" s="549"/>
      <c r="BM75" s="549"/>
    </row>
    <row r="76" spans="1:65">
      <c r="A76" s="414"/>
      <c r="B76" s="414"/>
      <c r="C76" s="414"/>
      <c r="D76" s="579"/>
      <c r="E76" s="579"/>
      <c r="G76" s="598"/>
      <c r="H76" s="598" t="s">
        <v>3154</v>
      </c>
      <c r="I76" s="585" t="s">
        <v>3172</v>
      </c>
      <c r="K76" s="584">
        <v>420000</v>
      </c>
      <c r="BB76" s="382" t="s">
        <v>3280</v>
      </c>
      <c r="BC76" s="382"/>
      <c r="BD76" s="382"/>
      <c r="BE76" s="382"/>
      <c r="BF76" s="382"/>
      <c r="BG76" s="382"/>
      <c r="BH76" s="382"/>
      <c r="BI76" s="382"/>
      <c r="BJ76" s="382"/>
      <c r="BK76" s="382"/>
      <c r="BL76" s="382"/>
      <c r="BM76" s="382"/>
    </row>
    <row r="77" spans="1:65">
      <c r="A77" s="598" t="s">
        <v>3281</v>
      </c>
      <c r="B77" s="598" t="s">
        <v>3008</v>
      </c>
      <c r="C77" s="585" t="s">
        <v>3282</v>
      </c>
      <c r="E77" s="584">
        <v>6100000</v>
      </c>
      <c r="G77" s="598"/>
      <c r="H77" s="598" t="s">
        <v>3158</v>
      </c>
      <c r="I77" s="585" t="s">
        <v>3283</v>
      </c>
      <c r="K77" s="584">
        <v>600000</v>
      </c>
      <c r="BB77" s="597" t="s">
        <v>3284</v>
      </c>
      <c r="BC77" s="2098" t="s">
        <v>129</v>
      </c>
      <c r="BD77" s="2098"/>
      <c r="BE77" s="2098"/>
      <c r="BF77" s="2098" t="s">
        <v>845</v>
      </c>
      <c r="BG77" s="2098"/>
      <c r="BH77" s="2098"/>
      <c r="BI77" s="2098" t="s">
        <v>3006</v>
      </c>
      <c r="BJ77" s="2098"/>
      <c r="BK77" s="2098"/>
      <c r="BL77" s="2078" t="s">
        <v>528</v>
      </c>
      <c r="BM77" s="2079"/>
    </row>
    <row r="78" spans="1:65">
      <c r="B78" s="598" t="s">
        <v>3008</v>
      </c>
      <c r="C78" s="585" t="s">
        <v>3285</v>
      </c>
      <c r="E78" s="584">
        <v>1000000</v>
      </c>
      <c r="G78" s="598"/>
      <c r="H78" s="598" t="s">
        <v>3158</v>
      </c>
      <c r="I78" s="585" t="s">
        <v>3261</v>
      </c>
      <c r="J78" s="586"/>
      <c r="K78" s="627">
        <v>10000</v>
      </c>
      <c r="BB78" s="610" t="s">
        <v>3018</v>
      </c>
      <c r="BC78" s="389">
        <v>2003</v>
      </c>
      <c r="BD78" s="389">
        <v>1997</v>
      </c>
      <c r="BE78" s="389">
        <v>1990</v>
      </c>
      <c r="BF78" s="389">
        <v>2003</v>
      </c>
      <c r="BG78" s="389">
        <v>1997</v>
      </c>
      <c r="BH78" s="389">
        <v>1990</v>
      </c>
      <c r="BI78" s="389">
        <v>2003</v>
      </c>
      <c r="BJ78" s="389">
        <v>1997</v>
      </c>
      <c r="BK78" s="389">
        <v>1990</v>
      </c>
      <c r="BL78" s="441">
        <v>2003</v>
      </c>
      <c r="BM78" s="442">
        <v>1997</v>
      </c>
    </row>
    <row r="79" spans="1:65">
      <c r="B79" s="598" t="s">
        <v>3049</v>
      </c>
      <c r="C79" s="585" t="s">
        <v>3286</v>
      </c>
      <c r="E79" s="584">
        <v>8500000</v>
      </c>
      <c r="G79" s="598"/>
      <c r="H79" s="598"/>
      <c r="J79" s="439" t="s">
        <v>3040</v>
      </c>
      <c r="K79" s="632">
        <f>SUM(K71:K78)</f>
        <v>4580000</v>
      </c>
      <c r="BB79" s="382"/>
      <c r="BC79" s="382"/>
      <c r="BD79" s="382"/>
      <c r="BE79" s="382"/>
      <c r="BF79" s="382"/>
      <c r="BG79" s="382"/>
      <c r="BH79" s="382"/>
      <c r="BI79" s="382"/>
      <c r="BJ79" s="382"/>
      <c r="BK79" s="382"/>
      <c r="BL79" s="382"/>
      <c r="BM79" s="382"/>
    </row>
    <row r="80" spans="1:65">
      <c r="B80" s="598" t="s">
        <v>3059</v>
      </c>
      <c r="C80" s="585" t="s">
        <v>3287</v>
      </c>
      <c r="E80" s="584">
        <v>377026</v>
      </c>
      <c r="G80" s="657"/>
      <c r="H80" s="657"/>
      <c r="I80" s="2096" t="s">
        <v>3288</v>
      </c>
      <c r="J80" s="2096"/>
      <c r="K80" s="659">
        <f>K9+K20+K29+K38+K47+K62+K69+K79</f>
        <v>47422000</v>
      </c>
      <c r="BB80" s="619" t="s">
        <v>3289</v>
      </c>
      <c r="BC80" s="619">
        <v>5600</v>
      </c>
      <c r="BD80" s="619">
        <v>4144</v>
      </c>
      <c r="BE80" s="619">
        <v>1756</v>
      </c>
      <c r="BF80" s="619">
        <v>5051</v>
      </c>
      <c r="BG80" s="619">
        <v>3997</v>
      </c>
      <c r="BH80" s="619">
        <v>1723</v>
      </c>
      <c r="BI80" s="619">
        <v>114</v>
      </c>
      <c r="BJ80" s="619">
        <v>68</v>
      </c>
      <c r="BK80" s="619">
        <v>33</v>
      </c>
      <c r="BL80" s="619">
        <v>435</v>
      </c>
      <c r="BM80" s="619">
        <v>79</v>
      </c>
    </row>
    <row r="81" spans="1:65">
      <c r="B81" s="598" t="s">
        <v>3034</v>
      </c>
      <c r="C81" s="585" t="s">
        <v>3290</v>
      </c>
      <c r="E81" s="584">
        <v>350000</v>
      </c>
      <c r="G81" s="451" t="s">
        <v>3222</v>
      </c>
      <c r="H81" s="660"/>
      <c r="I81" s="547"/>
      <c r="J81" s="547"/>
      <c r="K81" s="661"/>
      <c r="BB81" s="662" t="s">
        <v>3291</v>
      </c>
      <c r="BC81" s="662">
        <v>61.214285714285715</v>
      </c>
      <c r="BD81" s="662">
        <v>58.590733590733592</v>
      </c>
      <c r="BE81" s="662">
        <v>67.482915717539868</v>
      </c>
      <c r="BF81" s="662">
        <v>61.552167887547022</v>
      </c>
      <c r="BG81" s="662">
        <v>58.618964223167374</v>
      </c>
      <c r="BH81" s="662">
        <v>67.61462565293094</v>
      </c>
      <c r="BI81" s="662">
        <v>54.385964912280699</v>
      </c>
      <c r="BJ81" s="662">
        <v>54.411764705882355</v>
      </c>
      <c r="BK81" s="662">
        <v>60.606060606060609</v>
      </c>
      <c r="BL81" s="662">
        <v>59.080459770114942</v>
      </c>
      <c r="BM81" s="662">
        <v>60.759493670886073</v>
      </c>
    </row>
    <row r="82" spans="1:65">
      <c r="B82" s="598" t="s">
        <v>3292</v>
      </c>
      <c r="C82" s="585" t="s">
        <v>3293</v>
      </c>
      <c r="E82" s="584">
        <v>300000</v>
      </c>
      <c r="BB82" s="626" t="s">
        <v>3294</v>
      </c>
      <c r="BC82" s="626">
        <v>15.548424737456243</v>
      </c>
      <c r="BD82" s="626">
        <v>12.973640856672159</v>
      </c>
      <c r="BE82" s="626">
        <v>11.139240506329115</v>
      </c>
      <c r="BF82" s="626">
        <v>16.596976519781279</v>
      </c>
      <c r="BG82" s="626">
        <v>13.060179257362355</v>
      </c>
      <c r="BH82" s="626">
        <v>10.987124463519313</v>
      </c>
      <c r="BI82" s="626">
        <v>8.064516129032258</v>
      </c>
      <c r="BJ82" s="626">
        <v>13.513513513513514</v>
      </c>
      <c r="BK82" s="626">
        <v>20</v>
      </c>
      <c r="BL82" s="626">
        <v>4.6692607003891053</v>
      </c>
      <c r="BM82" s="626">
        <v>8.3333333333333339</v>
      </c>
    </row>
    <row r="83" spans="1:65">
      <c r="B83" s="598" t="s">
        <v>3295</v>
      </c>
      <c r="C83" s="585" t="s">
        <v>3296</v>
      </c>
      <c r="E83" s="627">
        <v>200000</v>
      </c>
      <c r="BB83" s="619" t="s">
        <v>3297</v>
      </c>
      <c r="BC83" s="619">
        <v>2766</v>
      </c>
      <c r="BD83" s="619">
        <v>2032</v>
      </c>
      <c r="BE83" s="619">
        <v>769</v>
      </c>
      <c r="BF83" s="619">
        <v>2497</v>
      </c>
      <c r="BG83" s="619">
        <v>1958</v>
      </c>
      <c r="BH83" s="619">
        <v>761</v>
      </c>
      <c r="BI83" s="619">
        <v>54</v>
      </c>
      <c r="BJ83" s="619">
        <v>36</v>
      </c>
      <c r="BK83" s="619">
        <v>8</v>
      </c>
      <c r="BL83" s="619">
        <v>215</v>
      </c>
      <c r="BM83" s="619">
        <v>38</v>
      </c>
    </row>
    <row r="84" spans="1:65">
      <c r="D84" s="599" t="s">
        <v>3040</v>
      </c>
      <c r="E84" s="632">
        <f>SUM(E77:E83)</f>
        <v>16827026</v>
      </c>
      <c r="BB84" s="662" t="s">
        <v>3291</v>
      </c>
      <c r="BC84" s="626">
        <v>46.963123644251624</v>
      </c>
      <c r="BD84" s="626">
        <v>47.145669291338585</v>
      </c>
      <c r="BE84" s="626">
        <v>48.894668400520153</v>
      </c>
      <c r="BF84" s="626">
        <v>47.176611934321187</v>
      </c>
      <c r="BG84" s="626">
        <v>47.088866189989787</v>
      </c>
      <c r="BH84" s="626">
        <v>49.014454664914588</v>
      </c>
      <c r="BI84" s="626">
        <v>38.888888888888886</v>
      </c>
      <c r="BJ84" s="626">
        <v>44.444444444444443</v>
      </c>
      <c r="BK84" s="626">
        <v>37.5</v>
      </c>
      <c r="BL84" s="626">
        <v>46.511627906976742</v>
      </c>
      <c r="BM84" s="626">
        <v>52.631578947368418</v>
      </c>
    </row>
    <row r="85" spans="1:65">
      <c r="A85" s="414"/>
      <c r="B85" s="414"/>
      <c r="C85" s="414"/>
      <c r="D85" s="579"/>
      <c r="E85" s="579"/>
      <c r="BB85" s="626" t="s">
        <v>3294</v>
      </c>
      <c r="BC85" s="626">
        <v>24.480369515011546</v>
      </c>
      <c r="BD85" s="626">
        <v>18.058455114822547</v>
      </c>
      <c r="BE85" s="626">
        <v>15.425531914893616</v>
      </c>
      <c r="BF85" s="626">
        <v>26.146010186757216</v>
      </c>
      <c r="BG85" s="626">
        <v>18.004338394793926</v>
      </c>
      <c r="BH85" s="626">
        <v>15.281501340482574</v>
      </c>
      <c r="BI85" s="626">
        <v>19.047619047619047</v>
      </c>
      <c r="BJ85" s="626">
        <v>25</v>
      </c>
      <c r="BK85" s="626">
        <v>33.333333333333336</v>
      </c>
      <c r="BL85" s="626">
        <v>6</v>
      </c>
      <c r="BM85" s="626">
        <v>15</v>
      </c>
    </row>
    <row r="86" spans="1:65">
      <c r="A86" s="414" t="s">
        <v>3298</v>
      </c>
      <c r="B86" s="663" t="s">
        <v>3034</v>
      </c>
      <c r="C86" s="382" t="s">
        <v>3282</v>
      </c>
      <c r="D86" s="579"/>
      <c r="E86" s="456">
        <v>6100000</v>
      </c>
      <c r="BB86" s="619"/>
      <c r="BC86" s="626"/>
      <c r="BD86" s="626"/>
      <c r="BE86" s="626"/>
      <c r="BF86" s="626"/>
      <c r="BG86" s="626"/>
      <c r="BH86" s="626"/>
      <c r="BI86" s="626"/>
      <c r="BJ86" s="626"/>
      <c r="BK86" s="626"/>
      <c r="BL86" s="626"/>
      <c r="BM86" s="626"/>
    </row>
    <row r="87" spans="1:65">
      <c r="A87" s="414"/>
      <c r="B87" s="663" t="s">
        <v>3034</v>
      </c>
      <c r="C87" s="382" t="s">
        <v>3285</v>
      </c>
      <c r="D87" s="579"/>
      <c r="E87" s="456">
        <v>1000000</v>
      </c>
      <c r="BB87" s="619" t="s">
        <v>3299</v>
      </c>
      <c r="BC87" s="626">
        <v>41.410714285714285</v>
      </c>
      <c r="BD87" s="626">
        <v>44.522200772200769</v>
      </c>
      <c r="BE87" s="626">
        <v>54.6127562642369</v>
      </c>
      <c r="BF87" s="626">
        <v>41.001781825381116</v>
      </c>
      <c r="BG87" s="626">
        <v>44.708531398548914</v>
      </c>
      <c r="BH87" s="626">
        <v>54.672083575159604</v>
      </c>
      <c r="BI87" s="626">
        <v>40.350877192982459</v>
      </c>
      <c r="BJ87" s="626">
        <v>44.117647058823529</v>
      </c>
      <c r="BK87" s="626">
        <v>51.515151515151516</v>
      </c>
      <c r="BL87" s="626">
        <v>46.4367816091954</v>
      </c>
      <c r="BM87" s="626">
        <v>35.443037974683541</v>
      </c>
    </row>
    <row r="88" spans="1:65">
      <c r="A88" s="414"/>
      <c r="B88" s="663" t="s">
        <v>3049</v>
      </c>
      <c r="C88" s="382" t="s">
        <v>3276</v>
      </c>
      <c r="D88" s="579"/>
      <c r="E88" s="456">
        <v>4142026</v>
      </c>
      <c r="BB88" s="619" t="s">
        <v>3300</v>
      </c>
      <c r="BC88" s="626">
        <v>17.428571428571427</v>
      </c>
      <c r="BD88" s="626">
        <v>29.48841698841699</v>
      </c>
      <c r="BE88" s="626">
        <v>29.214123006833713</v>
      </c>
      <c r="BF88" s="626">
        <v>16.848148881409621</v>
      </c>
      <c r="BG88" s="626">
        <v>29.547160370277709</v>
      </c>
      <c r="BH88" s="626">
        <v>29.251305861868833</v>
      </c>
      <c r="BI88" s="626">
        <v>32.456140350877192</v>
      </c>
      <c r="BJ88" s="626">
        <v>32.352941176470587</v>
      </c>
      <c r="BK88" s="626">
        <v>27.272727272727273</v>
      </c>
      <c r="BL88" s="626">
        <v>20.229885057471265</v>
      </c>
      <c r="BM88" s="626">
        <v>24.050632911392405</v>
      </c>
    </row>
    <row r="89" spans="1:65">
      <c r="A89" s="414"/>
      <c r="B89" s="663" t="s">
        <v>3127</v>
      </c>
      <c r="C89" s="382" t="s">
        <v>3276</v>
      </c>
      <c r="D89" s="579"/>
      <c r="E89" s="456">
        <v>3525000</v>
      </c>
      <c r="G89" s="598"/>
      <c r="H89" s="598"/>
      <c r="J89" s="639"/>
      <c r="K89" s="584"/>
      <c r="BB89" s="619" t="s">
        <v>3301</v>
      </c>
      <c r="BC89" s="626">
        <v>35.214285714285715</v>
      </c>
      <c r="BD89" s="626">
        <v>42.302123552123554</v>
      </c>
      <c r="BE89" s="626">
        <v>48.974943052391801</v>
      </c>
      <c r="BF89" s="626">
        <v>34.765392991486834</v>
      </c>
      <c r="BG89" s="626">
        <v>42.556917688266196</v>
      </c>
      <c r="BH89" s="626">
        <v>49.158444573418457</v>
      </c>
      <c r="BI89" s="626">
        <v>36.842105263157897</v>
      </c>
      <c r="BJ89" s="626">
        <v>38.235294117647058</v>
      </c>
      <c r="BK89" s="626">
        <v>39.393939393939391</v>
      </c>
      <c r="BL89" s="626">
        <v>40</v>
      </c>
      <c r="BM89" s="626">
        <v>32.911392405063289</v>
      </c>
    </row>
    <row r="90" spans="1:65">
      <c r="A90" s="414"/>
      <c r="B90" s="663" t="s">
        <v>3278</v>
      </c>
      <c r="C90" s="382" t="s">
        <v>3302</v>
      </c>
      <c r="D90" s="579"/>
      <c r="E90" s="456">
        <v>500000</v>
      </c>
      <c r="BB90" s="645" t="s">
        <v>3303</v>
      </c>
      <c r="BC90" s="646">
        <v>15.267857142857142</v>
      </c>
      <c r="BD90" s="646">
        <v>28.378378378378379</v>
      </c>
      <c r="BE90" s="646">
        <v>28.132118451025057</v>
      </c>
      <c r="BF90" s="646">
        <v>14.67036230449416</v>
      </c>
      <c r="BG90" s="646">
        <v>28.446334751063297</v>
      </c>
      <c r="BH90" s="646">
        <v>28.148578061520602</v>
      </c>
      <c r="BI90" s="646">
        <v>31.578947368421051</v>
      </c>
      <c r="BJ90" s="646">
        <v>29.411764705882351</v>
      </c>
      <c r="BK90" s="646">
        <v>27.272727272727273</v>
      </c>
      <c r="BL90" s="646">
        <v>17.931034482758619</v>
      </c>
      <c r="BM90" s="646">
        <v>24.050632911392405</v>
      </c>
    </row>
    <row r="91" spans="1:65">
      <c r="A91" s="414"/>
      <c r="B91" s="663" t="s">
        <v>3041</v>
      </c>
      <c r="C91" s="382" t="s">
        <v>3276</v>
      </c>
      <c r="D91" s="579"/>
      <c r="E91" s="622">
        <v>1560000</v>
      </c>
      <c r="BB91" s="382" t="s">
        <v>3214</v>
      </c>
      <c r="BC91" s="382"/>
      <c r="BD91" s="626"/>
      <c r="BE91" s="626"/>
      <c r="BF91" s="626"/>
      <c r="BG91" s="626"/>
      <c r="BH91" s="626"/>
      <c r="BI91" s="626"/>
      <c r="BJ91" s="626"/>
      <c r="BK91" s="626"/>
      <c r="BL91" s="626"/>
      <c r="BM91" s="626"/>
    </row>
    <row r="92" spans="1:65">
      <c r="A92" s="414"/>
      <c r="B92" s="663"/>
      <c r="C92" s="382"/>
      <c r="D92" s="599" t="s">
        <v>3040</v>
      </c>
      <c r="E92" s="644">
        <f>SUM(E86:E91)</f>
        <v>16827026</v>
      </c>
      <c r="BB92" s="382" t="s">
        <v>3146</v>
      </c>
      <c r="BC92" s="382"/>
      <c r="BD92" s="626"/>
      <c r="BE92" s="626"/>
      <c r="BF92" s="626"/>
      <c r="BG92" s="626"/>
      <c r="BH92" s="626"/>
      <c r="BI92" s="626"/>
      <c r="BJ92" s="626"/>
      <c r="BK92" s="626"/>
      <c r="BL92" s="626"/>
      <c r="BM92" s="626"/>
    </row>
    <row r="93" spans="1:65">
      <c r="A93" s="414"/>
      <c r="B93" s="414"/>
      <c r="C93" s="414"/>
      <c r="D93" s="579"/>
      <c r="E93" s="579"/>
      <c r="BB93" s="382" t="s">
        <v>3149</v>
      </c>
      <c r="BC93" s="382"/>
      <c r="BD93" s="626"/>
      <c r="BE93" s="626"/>
      <c r="BF93" s="626"/>
      <c r="BG93" s="626"/>
      <c r="BH93" s="626"/>
      <c r="BI93" s="626"/>
      <c r="BJ93" s="626"/>
      <c r="BK93" s="626"/>
      <c r="BL93" s="626"/>
      <c r="BM93" s="626"/>
    </row>
    <row r="94" spans="1:65">
      <c r="A94" s="598" t="s">
        <v>3304</v>
      </c>
      <c r="B94" s="598" t="s">
        <v>3034</v>
      </c>
      <c r="C94" s="585" t="s">
        <v>3282</v>
      </c>
      <c r="D94" s="639"/>
      <c r="E94" s="584">
        <v>6100000</v>
      </c>
      <c r="BB94" s="382" t="s">
        <v>3153</v>
      </c>
      <c r="BC94" s="382"/>
      <c r="BD94" s="626"/>
      <c r="BE94" s="626"/>
      <c r="BF94" s="626"/>
      <c r="BG94" s="626"/>
      <c r="BH94" s="626"/>
      <c r="BI94" s="626"/>
      <c r="BJ94" s="626"/>
      <c r="BK94" s="626"/>
      <c r="BL94" s="626"/>
      <c r="BM94" s="626"/>
    </row>
    <row r="95" spans="1:65">
      <c r="B95" s="598" t="s">
        <v>3034</v>
      </c>
      <c r="C95" s="585" t="s">
        <v>3285</v>
      </c>
      <c r="D95" s="639"/>
      <c r="E95" s="584">
        <v>1000000</v>
      </c>
      <c r="BB95" s="549"/>
      <c r="BC95" s="549"/>
      <c r="BD95" s="650"/>
      <c r="BE95" s="650"/>
      <c r="BF95" s="650"/>
      <c r="BG95" s="650"/>
      <c r="BH95" s="650"/>
      <c r="BI95" s="650"/>
      <c r="BJ95" s="650"/>
      <c r="BK95" s="650"/>
      <c r="BL95" s="650"/>
      <c r="BM95" s="650"/>
    </row>
    <row r="96" spans="1:65">
      <c r="B96" s="598" t="s">
        <v>3263</v>
      </c>
      <c r="C96" s="585" t="s">
        <v>3305</v>
      </c>
      <c r="D96" s="639"/>
      <c r="E96" s="584">
        <v>1400000</v>
      </c>
      <c r="G96" s="598"/>
      <c r="H96" s="598"/>
      <c r="J96" s="639"/>
      <c r="K96" s="584"/>
      <c r="BB96" s="641"/>
      <c r="BC96" s="641"/>
      <c r="BD96" s="650"/>
      <c r="BE96" s="650"/>
      <c r="BF96" s="650"/>
      <c r="BG96" s="650"/>
      <c r="BH96" s="650"/>
      <c r="BI96" s="650"/>
      <c r="BJ96" s="650"/>
      <c r="BK96" s="650"/>
      <c r="BL96" s="650"/>
      <c r="BM96" s="650"/>
    </row>
    <row r="97" spans="1:65">
      <c r="B97" s="598" t="s">
        <v>3049</v>
      </c>
      <c r="C97" s="585" t="s">
        <v>3306</v>
      </c>
      <c r="D97" s="639"/>
      <c r="E97" s="584">
        <v>2500000</v>
      </c>
      <c r="BB97" s="549"/>
      <c r="BC97" s="549"/>
      <c r="BD97" s="549"/>
      <c r="BE97" s="549"/>
      <c r="BF97" s="549"/>
      <c r="BG97" s="549"/>
      <c r="BH97" s="549"/>
      <c r="BI97" s="549"/>
      <c r="BJ97" s="549"/>
      <c r="BK97" s="549"/>
      <c r="BL97" s="549"/>
      <c r="BM97" s="549"/>
    </row>
    <row r="98" spans="1:65">
      <c r="B98" s="598" t="s">
        <v>3229</v>
      </c>
      <c r="C98" s="585" t="s">
        <v>3307</v>
      </c>
      <c r="E98" s="584">
        <v>750000</v>
      </c>
      <c r="BB98" s="382" t="s">
        <v>3308</v>
      </c>
      <c r="BC98" s="382"/>
      <c r="BD98" s="382"/>
      <c r="BE98" s="382"/>
      <c r="BF98" s="382"/>
      <c r="BG98" s="382"/>
      <c r="BH98" s="382"/>
      <c r="BI98" s="382"/>
      <c r="BJ98" s="382"/>
      <c r="BK98" s="382"/>
      <c r="BL98" s="382"/>
      <c r="BM98" s="382"/>
    </row>
    <row r="99" spans="1:65">
      <c r="B99" s="598" t="s">
        <v>3127</v>
      </c>
      <c r="C99" s="585" t="s">
        <v>3309</v>
      </c>
      <c r="E99" s="584">
        <v>300000</v>
      </c>
      <c r="BB99" s="597" t="s">
        <v>3173</v>
      </c>
      <c r="BC99" s="2098" t="s">
        <v>129</v>
      </c>
      <c r="BD99" s="2098"/>
      <c r="BE99" s="2098"/>
      <c r="BF99" s="2098" t="s">
        <v>845</v>
      </c>
      <c r="BG99" s="2098"/>
      <c r="BH99" s="2098"/>
      <c r="BI99" s="2098" t="s">
        <v>3006</v>
      </c>
      <c r="BJ99" s="2098"/>
      <c r="BK99" s="2098"/>
      <c r="BL99" s="2098" t="s">
        <v>528</v>
      </c>
      <c r="BM99" s="2078"/>
    </row>
    <row r="100" spans="1:65">
      <c r="B100" s="598" t="s">
        <v>3310</v>
      </c>
      <c r="C100" s="585" t="s">
        <v>3311</v>
      </c>
      <c r="E100" s="584">
        <v>250000</v>
      </c>
      <c r="BB100" s="610" t="s">
        <v>3018</v>
      </c>
      <c r="BC100" s="389">
        <v>2003</v>
      </c>
      <c r="BD100" s="389">
        <v>1997</v>
      </c>
      <c r="BE100" s="389">
        <v>1990</v>
      </c>
      <c r="BF100" s="389">
        <v>2003</v>
      </c>
      <c r="BG100" s="389">
        <v>1997</v>
      </c>
      <c r="BH100" s="389">
        <v>1990</v>
      </c>
      <c r="BI100" s="389">
        <v>2003</v>
      </c>
      <c r="BJ100" s="389">
        <v>1997</v>
      </c>
      <c r="BK100" s="389">
        <v>1990</v>
      </c>
      <c r="BL100" s="441">
        <v>2003</v>
      </c>
      <c r="BM100" s="442">
        <v>1997</v>
      </c>
    </row>
    <row r="101" spans="1:65">
      <c r="B101" s="598" t="s">
        <v>3312</v>
      </c>
      <c r="C101" s="585" t="s">
        <v>3313</v>
      </c>
      <c r="E101" s="584">
        <v>3777026</v>
      </c>
      <c r="BB101" s="619" t="s">
        <v>3314</v>
      </c>
      <c r="BC101" s="619"/>
      <c r="BD101" s="626"/>
      <c r="BE101" s="626"/>
      <c r="BF101" s="626"/>
      <c r="BG101" s="626"/>
      <c r="BH101" s="626"/>
      <c r="BI101" s="626"/>
      <c r="BJ101" s="626"/>
      <c r="BK101" s="626"/>
      <c r="BL101" s="626"/>
      <c r="BM101" s="626"/>
    </row>
    <row r="102" spans="1:65">
      <c r="B102" s="598" t="s">
        <v>3127</v>
      </c>
      <c r="C102" s="585" t="s">
        <v>3315</v>
      </c>
      <c r="E102" s="584">
        <v>500000</v>
      </c>
      <c r="BB102" s="619" t="s">
        <v>3316</v>
      </c>
      <c r="BC102" s="626">
        <v>3.9392844235634259</v>
      </c>
      <c r="BD102" s="626">
        <v>3.008298755186722</v>
      </c>
      <c r="BE102" s="626">
        <v>4.1785375118708448</v>
      </c>
      <c r="BF102" s="626">
        <v>3.1893419459023011</v>
      </c>
      <c r="BG102" s="626">
        <v>2.8556034482758621</v>
      </c>
      <c r="BH102" s="626">
        <v>4.243008678881389</v>
      </c>
      <c r="BI102" s="626">
        <v>3.5087719298245612</v>
      </c>
      <c r="BJ102" s="626">
        <v>6.666666666666667</v>
      </c>
      <c r="BK102" s="626">
        <v>0</v>
      </c>
      <c r="BL102" s="626">
        <v>12.017167381974248</v>
      </c>
      <c r="BM102" s="626">
        <v>7.1428571428571432</v>
      </c>
    </row>
    <row r="103" spans="1:65">
      <c r="B103" s="598" t="s">
        <v>3295</v>
      </c>
      <c r="C103" s="585" t="s">
        <v>3317</v>
      </c>
      <c r="E103" s="627">
        <v>250000</v>
      </c>
      <c r="BB103" s="619" t="s">
        <v>3318</v>
      </c>
      <c r="BC103" s="626">
        <v>15.468015901698591</v>
      </c>
      <c r="BD103" s="626">
        <v>16.441908713692946</v>
      </c>
      <c r="BE103" s="626">
        <v>13.865147198480532</v>
      </c>
      <c r="BF103" s="626">
        <v>14.897052886556319</v>
      </c>
      <c r="BG103" s="626">
        <v>16.325431034482758</v>
      </c>
      <c r="BH103" s="626">
        <v>13.596914175506267</v>
      </c>
      <c r="BI103" s="626">
        <v>12.280701754385966</v>
      </c>
      <c r="BJ103" s="626">
        <v>23.333333333333332</v>
      </c>
      <c r="BK103" s="626">
        <v>31.25</v>
      </c>
      <c r="BL103" s="626">
        <v>22.317596566523605</v>
      </c>
      <c r="BM103" s="626">
        <v>16.666666666666668</v>
      </c>
    </row>
    <row r="104" spans="1:65">
      <c r="D104" s="599" t="s">
        <v>3040</v>
      </c>
      <c r="E104" s="632">
        <f>SUM(E94:E103)</f>
        <v>16827026</v>
      </c>
      <c r="BB104" s="619" t="s">
        <v>3319</v>
      </c>
      <c r="BC104" s="626">
        <v>38.670039754246474</v>
      </c>
      <c r="BD104" s="626">
        <v>47.614107883817425</v>
      </c>
      <c r="BE104" s="626">
        <v>33.238366571699906</v>
      </c>
      <c r="BF104" s="626">
        <v>39.362131610819539</v>
      </c>
      <c r="BG104" s="626">
        <v>47.413793103448278</v>
      </c>
      <c r="BH104" s="626">
        <v>33.55834136933462</v>
      </c>
      <c r="BI104" s="626">
        <v>42.10526315789474</v>
      </c>
      <c r="BJ104" s="626">
        <v>53.333333333333336</v>
      </c>
      <c r="BK104" s="626">
        <v>12.5</v>
      </c>
      <c r="BL104" s="626">
        <v>30.472103004291846</v>
      </c>
      <c r="BM104" s="626">
        <v>52.38095238095238</v>
      </c>
    </row>
    <row r="105" spans="1:65">
      <c r="A105" s="414"/>
      <c r="B105" s="414"/>
      <c r="C105" s="414"/>
      <c r="D105" s="579"/>
      <c r="E105" s="579"/>
      <c r="BB105" s="619" t="s">
        <v>3320</v>
      </c>
      <c r="BC105" s="626">
        <v>4.5175280086736533</v>
      </c>
      <c r="BD105" s="626">
        <v>4.304979253112033</v>
      </c>
      <c r="BE105" s="626">
        <v>5.1282051282051286</v>
      </c>
      <c r="BF105" s="626">
        <v>4.8849414614452966</v>
      </c>
      <c r="BG105" s="626">
        <v>4.4719827586206895</v>
      </c>
      <c r="BH105" s="626">
        <v>5.2073288331726131</v>
      </c>
      <c r="BI105" s="626">
        <v>0</v>
      </c>
      <c r="BJ105" s="626">
        <v>0</v>
      </c>
      <c r="BK105" s="626">
        <v>0</v>
      </c>
      <c r="BL105" s="626">
        <v>1.7167381974248928</v>
      </c>
      <c r="BM105" s="626">
        <v>0</v>
      </c>
    </row>
    <row r="106" spans="1:65">
      <c r="A106" s="598" t="s">
        <v>3321</v>
      </c>
      <c r="B106" s="598" t="s">
        <v>3034</v>
      </c>
      <c r="C106" s="585" t="s">
        <v>3282</v>
      </c>
      <c r="D106" s="639"/>
      <c r="E106" s="584">
        <v>6100000</v>
      </c>
      <c r="BB106" s="382" t="s">
        <v>3322</v>
      </c>
      <c r="BC106" s="626">
        <v>11.853993494759667</v>
      </c>
      <c r="BD106" s="626">
        <v>8.0394190871369293</v>
      </c>
      <c r="BE106" s="626">
        <v>13.200379867046534</v>
      </c>
      <c r="BF106" s="626">
        <v>11.546225272507066</v>
      </c>
      <c r="BG106" s="626">
        <v>8.0280172413793096</v>
      </c>
      <c r="BH106" s="626">
        <v>12.825458052073289</v>
      </c>
      <c r="BI106" s="626">
        <v>26.315789473684209</v>
      </c>
      <c r="BJ106" s="626">
        <v>6.666666666666667</v>
      </c>
      <c r="BK106" s="626">
        <v>37.5</v>
      </c>
      <c r="BL106" s="626">
        <v>11.587982832618026</v>
      </c>
      <c r="BM106" s="626">
        <v>9.5238095238095237</v>
      </c>
    </row>
    <row r="107" spans="1:65">
      <c r="B107" s="598" t="s">
        <v>3034</v>
      </c>
      <c r="C107" s="585" t="s">
        <v>3285</v>
      </c>
      <c r="D107" s="639"/>
      <c r="E107" s="584">
        <v>1000000</v>
      </c>
      <c r="BB107" s="619" t="s">
        <v>3323</v>
      </c>
      <c r="BC107" s="626">
        <v>25.370437296711241</v>
      </c>
      <c r="BD107" s="626">
        <v>20.539419087136931</v>
      </c>
      <c r="BE107" s="626">
        <v>30.294396961063629</v>
      </c>
      <c r="BF107" s="626">
        <v>25.918449737585789</v>
      </c>
      <c r="BG107" s="626">
        <v>20.851293103448278</v>
      </c>
      <c r="BH107" s="626">
        <v>30.4725168756027</v>
      </c>
      <c r="BI107" s="626">
        <v>15.789473684210526</v>
      </c>
      <c r="BJ107" s="626">
        <v>10</v>
      </c>
      <c r="BK107" s="626">
        <v>18.75</v>
      </c>
      <c r="BL107" s="626">
        <v>21.888412017167383</v>
      </c>
      <c r="BM107" s="626">
        <v>14.285714285714286</v>
      </c>
    </row>
    <row r="108" spans="1:65">
      <c r="B108" s="598" t="s">
        <v>3049</v>
      </c>
      <c r="C108" s="585" t="s">
        <v>3324</v>
      </c>
      <c r="D108" s="639"/>
      <c r="E108" s="584">
        <v>3500000</v>
      </c>
      <c r="BB108" s="619"/>
      <c r="BC108" s="626"/>
      <c r="BD108" s="626"/>
      <c r="BE108" s="626"/>
      <c r="BF108" s="626"/>
      <c r="BG108" s="626"/>
      <c r="BH108" s="626"/>
      <c r="BI108" s="626"/>
      <c r="BJ108" s="626"/>
      <c r="BK108" s="626"/>
      <c r="BL108" s="626"/>
      <c r="BM108" s="626"/>
    </row>
    <row r="109" spans="1:65">
      <c r="B109" s="598" t="s">
        <v>3049</v>
      </c>
      <c r="C109" s="382" t="s">
        <v>3325</v>
      </c>
      <c r="D109" s="639"/>
      <c r="E109" s="584">
        <v>1000000</v>
      </c>
      <c r="BB109" s="619" t="s">
        <v>3326</v>
      </c>
      <c r="BC109" s="626"/>
      <c r="BD109" s="626"/>
      <c r="BE109" s="626"/>
      <c r="BF109" s="626"/>
      <c r="BG109" s="626"/>
      <c r="BH109" s="626"/>
      <c r="BI109" s="626"/>
      <c r="BJ109" s="626"/>
      <c r="BK109" s="626"/>
      <c r="BL109" s="626"/>
      <c r="BM109" s="626"/>
    </row>
    <row r="110" spans="1:65">
      <c r="B110" s="598" t="s">
        <v>3327</v>
      </c>
      <c r="C110" s="585" t="s">
        <v>3328</v>
      </c>
      <c r="E110" s="584">
        <v>2700000</v>
      </c>
      <c r="BB110" s="619"/>
      <c r="BC110" s="626"/>
      <c r="BD110" s="626"/>
      <c r="BE110" s="626"/>
      <c r="BF110" s="626"/>
      <c r="BG110" s="626"/>
      <c r="BH110" s="626"/>
      <c r="BI110" s="626"/>
      <c r="BJ110" s="626"/>
      <c r="BK110" s="626"/>
      <c r="BL110" s="626"/>
      <c r="BM110" s="626"/>
    </row>
    <row r="111" spans="1:65">
      <c r="B111" s="598" t="s">
        <v>3041</v>
      </c>
      <c r="C111" s="585" t="s">
        <v>3329</v>
      </c>
      <c r="E111" s="584">
        <v>750000</v>
      </c>
      <c r="BB111" s="619" t="s">
        <v>3330</v>
      </c>
      <c r="BC111" s="626">
        <v>36.086494151010278</v>
      </c>
      <c r="BD111" s="626">
        <v>37.245622337908188</v>
      </c>
      <c r="BE111" s="626">
        <v>25.261158594491928</v>
      </c>
      <c r="BF111" s="626">
        <v>37.078205637157602</v>
      </c>
      <c r="BG111" s="626">
        <v>37.260677466863036</v>
      </c>
      <c r="BH111" s="626">
        <v>25.361620057859209</v>
      </c>
      <c r="BI111" s="626">
        <v>21.05263157894737</v>
      </c>
      <c r="BJ111" s="626">
        <v>40.625</v>
      </c>
      <c r="BK111" s="626">
        <v>18.75</v>
      </c>
      <c r="BL111" s="626">
        <v>29.387755102040817</v>
      </c>
      <c r="BM111" s="626">
        <v>34.090909090909093</v>
      </c>
    </row>
    <row r="112" spans="1:65">
      <c r="B112" s="598" t="s">
        <v>3059</v>
      </c>
      <c r="C112" s="585" t="s">
        <v>3331</v>
      </c>
      <c r="E112" s="584">
        <v>527026</v>
      </c>
      <c r="BB112" s="619" t="s">
        <v>3332</v>
      </c>
      <c r="BC112" s="626">
        <v>35.873803615739099</v>
      </c>
      <c r="BD112" s="626">
        <v>32.418362517747276</v>
      </c>
      <c r="BE112" s="626">
        <v>30.294396961063629</v>
      </c>
      <c r="BF112" s="626">
        <v>35.60936879714172</v>
      </c>
      <c r="BG112" s="626">
        <v>32.05694648993618</v>
      </c>
      <c r="BH112" s="626">
        <v>30.376084860173577</v>
      </c>
      <c r="BI112" s="626">
        <v>38.596491228070178</v>
      </c>
      <c r="BJ112" s="626">
        <v>50</v>
      </c>
      <c r="BK112" s="626">
        <v>25</v>
      </c>
      <c r="BL112" s="626">
        <v>37.95918367346939</v>
      </c>
      <c r="BM112" s="626">
        <v>36.363636363636367</v>
      </c>
    </row>
    <row r="113" spans="1:65">
      <c r="B113" s="598" t="s">
        <v>3229</v>
      </c>
      <c r="C113" s="585" t="s">
        <v>3333</v>
      </c>
      <c r="E113" s="584">
        <v>500000</v>
      </c>
      <c r="BB113" s="619" t="s">
        <v>3334</v>
      </c>
      <c r="BC113" s="626">
        <v>13.505848989719958</v>
      </c>
      <c r="BD113" s="626">
        <v>17.415996213913868</v>
      </c>
      <c r="BE113" s="626">
        <v>11.396011396011396</v>
      </c>
      <c r="BF113" s="626">
        <v>13.735609368797142</v>
      </c>
      <c r="BG113" s="626">
        <v>16.985763377515955</v>
      </c>
      <c r="BH113" s="626">
        <v>11.475409836065573</v>
      </c>
      <c r="BI113" s="626">
        <v>15.789473684210526</v>
      </c>
      <c r="BJ113" s="626">
        <v>34.375</v>
      </c>
      <c r="BK113" s="626">
        <v>6.25</v>
      </c>
      <c r="BL113" s="626">
        <v>10.612244897959183</v>
      </c>
      <c r="BM113" s="626">
        <v>25</v>
      </c>
    </row>
    <row r="114" spans="1:65">
      <c r="B114" s="598" t="s">
        <v>3335</v>
      </c>
      <c r="C114" s="585" t="s">
        <v>3317</v>
      </c>
      <c r="E114" s="584">
        <v>500000</v>
      </c>
      <c r="BB114" s="619"/>
      <c r="BC114" s="626"/>
      <c r="BD114" s="626"/>
      <c r="BE114" s="626"/>
      <c r="BF114" s="626"/>
      <c r="BG114" s="626"/>
      <c r="BH114" s="626"/>
      <c r="BI114" s="626"/>
      <c r="BJ114" s="626"/>
      <c r="BK114" s="626"/>
      <c r="BL114" s="626"/>
      <c r="BM114" s="626"/>
    </row>
    <row r="115" spans="1:65">
      <c r="B115" s="598" t="s">
        <v>3310</v>
      </c>
      <c r="C115" s="585" t="s">
        <v>3336</v>
      </c>
      <c r="E115" s="627">
        <v>250000</v>
      </c>
      <c r="BB115" s="645" t="s">
        <v>3337</v>
      </c>
      <c r="BC115" s="646">
        <v>96.455157745480321</v>
      </c>
      <c r="BD115" s="646">
        <v>90.298154283009936</v>
      </c>
      <c r="BE115" s="646">
        <v>94.681861348528017</v>
      </c>
      <c r="BF115" s="646">
        <v>97.062326319968236</v>
      </c>
      <c r="BG115" s="646">
        <v>90.230731467844876</v>
      </c>
      <c r="BH115" s="646">
        <v>94.599807135969144</v>
      </c>
      <c r="BI115" s="646">
        <v>100</v>
      </c>
      <c r="BJ115" s="646">
        <v>90.625</v>
      </c>
      <c r="BK115" s="646">
        <v>100</v>
      </c>
      <c r="BL115" s="646">
        <v>89.387755102040813</v>
      </c>
      <c r="BM115" s="646">
        <v>93.181818181818187</v>
      </c>
    </row>
    <row r="116" spans="1:65">
      <c r="D116" s="439" t="s">
        <v>3040</v>
      </c>
      <c r="E116" s="632">
        <f>SUM(E106:E115)</f>
        <v>16827026</v>
      </c>
      <c r="BB116" s="382" t="s">
        <v>3214</v>
      </c>
      <c r="BC116" s="382"/>
      <c r="BD116" s="626"/>
      <c r="BE116" s="626"/>
      <c r="BF116" s="626"/>
      <c r="BG116" s="626"/>
      <c r="BH116" s="626"/>
      <c r="BI116" s="626"/>
      <c r="BJ116" s="626"/>
      <c r="BK116" s="626"/>
      <c r="BL116" s="626"/>
      <c r="BM116" s="626"/>
    </row>
    <row r="117" spans="1:65">
      <c r="A117" s="414"/>
      <c r="B117" s="414"/>
      <c r="C117" s="414"/>
      <c r="D117" s="579"/>
      <c r="E117" s="579"/>
      <c r="BB117" s="382" t="s">
        <v>3146</v>
      </c>
      <c r="BC117" s="382"/>
      <c r="BD117" s="626"/>
      <c r="BE117" s="626"/>
      <c r="BF117" s="626"/>
      <c r="BG117" s="626"/>
      <c r="BH117" s="626"/>
      <c r="BI117" s="626"/>
      <c r="BJ117" s="626"/>
      <c r="BK117" s="626"/>
      <c r="BL117" s="626"/>
      <c r="BM117" s="626"/>
    </row>
    <row r="118" spans="1:65">
      <c r="A118" s="598" t="s">
        <v>3338</v>
      </c>
      <c r="B118" s="598" t="s">
        <v>3034</v>
      </c>
      <c r="C118" s="585" t="s">
        <v>3282</v>
      </c>
      <c r="E118" s="584">
        <v>6100000</v>
      </c>
      <c r="BB118" s="382" t="s">
        <v>3149</v>
      </c>
      <c r="BC118" s="382"/>
      <c r="BD118" s="626"/>
      <c r="BE118" s="626"/>
      <c r="BF118" s="626"/>
      <c r="BG118" s="626"/>
      <c r="BH118" s="626"/>
      <c r="BI118" s="626"/>
      <c r="BJ118" s="626"/>
      <c r="BK118" s="626"/>
      <c r="BL118" s="626"/>
      <c r="BM118" s="626"/>
    </row>
    <row r="119" spans="1:65">
      <c r="B119" s="598" t="s">
        <v>3034</v>
      </c>
      <c r="C119" s="585" t="s">
        <v>3285</v>
      </c>
      <c r="E119" s="584">
        <v>1000000</v>
      </c>
      <c r="BB119" s="382" t="s">
        <v>3153</v>
      </c>
      <c r="BC119" s="382"/>
      <c r="BD119" s="626"/>
      <c r="BE119" s="626"/>
      <c r="BF119" s="626"/>
      <c r="BG119" s="626"/>
      <c r="BH119" s="626"/>
      <c r="BI119" s="626"/>
      <c r="BJ119" s="626"/>
      <c r="BK119" s="626"/>
      <c r="BL119" s="626"/>
      <c r="BM119" s="626"/>
    </row>
    <row r="120" spans="1:65">
      <c r="B120" s="598" t="s">
        <v>3049</v>
      </c>
      <c r="C120" s="585" t="s">
        <v>3325</v>
      </c>
      <c r="E120" s="584">
        <v>3142322</v>
      </c>
      <c r="BB120" s="549"/>
      <c r="BC120" s="549"/>
      <c r="BD120" s="650"/>
      <c r="BE120" s="650"/>
      <c r="BF120" s="650"/>
      <c r="BG120" s="650"/>
      <c r="BH120" s="650"/>
      <c r="BI120" s="650"/>
      <c r="BJ120" s="650"/>
      <c r="BK120" s="650"/>
      <c r="BL120" s="650"/>
      <c r="BM120" s="650"/>
    </row>
    <row r="121" spans="1:65">
      <c r="B121" s="598" t="s">
        <v>3229</v>
      </c>
      <c r="C121" s="585" t="s">
        <v>3325</v>
      </c>
      <c r="E121" s="584">
        <v>500000</v>
      </c>
      <c r="BB121" s="549"/>
      <c r="BC121" s="549"/>
      <c r="BD121" s="650"/>
      <c r="BE121" s="650"/>
      <c r="BF121" s="650"/>
      <c r="BG121" s="650"/>
      <c r="BH121" s="650"/>
      <c r="BI121" s="650"/>
      <c r="BJ121" s="650"/>
      <c r="BK121" s="650"/>
      <c r="BL121" s="650"/>
      <c r="BM121" s="650"/>
    </row>
    <row r="122" spans="1:65">
      <c r="B122" s="598" t="s">
        <v>3295</v>
      </c>
      <c r="C122" s="585" t="s">
        <v>3317</v>
      </c>
      <c r="E122" s="584">
        <v>500000</v>
      </c>
      <c r="BB122" s="641"/>
      <c r="BC122" s="641"/>
      <c r="BD122" s="650"/>
      <c r="BE122" s="650"/>
      <c r="BF122" s="650"/>
      <c r="BG122" s="650"/>
      <c r="BH122" s="650"/>
      <c r="BI122" s="650"/>
      <c r="BJ122" s="650"/>
      <c r="BK122" s="650"/>
      <c r="BL122" s="650"/>
      <c r="BM122" s="650"/>
    </row>
    <row r="123" spans="1:65">
      <c r="B123" s="598" t="s">
        <v>3335</v>
      </c>
      <c r="C123" s="585" t="s">
        <v>3339</v>
      </c>
      <c r="E123" s="584">
        <v>500000</v>
      </c>
      <c r="BB123" s="382" t="s">
        <v>3340</v>
      </c>
      <c r="BC123" s="382"/>
      <c r="BD123" s="382"/>
      <c r="BE123" s="382"/>
      <c r="BF123" s="382"/>
      <c r="BG123" s="382"/>
      <c r="BH123" s="382"/>
      <c r="BI123" s="382"/>
      <c r="BJ123" s="382"/>
      <c r="BK123" s="382"/>
      <c r="BL123" s="382"/>
      <c r="BM123" s="382"/>
    </row>
    <row r="124" spans="1:65">
      <c r="B124" s="598" t="s">
        <v>3034</v>
      </c>
      <c r="C124" s="585" t="s">
        <v>3341</v>
      </c>
      <c r="E124" s="584">
        <v>500000</v>
      </c>
      <c r="BB124" s="597" t="s">
        <v>3342</v>
      </c>
      <c r="BC124" s="2098" t="s">
        <v>129</v>
      </c>
      <c r="BD124" s="2098"/>
      <c r="BE124" s="2098"/>
      <c r="BF124" s="2098" t="s">
        <v>845</v>
      </c>
      <c r="BG124" s="2098"/>
      <c r="BH124" s="2098"/>
      <c r="BI124" s="2098" t="s">
        <v>3006</v>
      </c>
      <c r="BJ124" s="2098"/>
      <c r="BK124" s="2098"/>
      <c r="BL124" s="2098" t="s">
        <v>528</v>
      </c>
      <c r="BM124" s="2078"/>
    </row>
    <row r="125" spans="1:65">
      <c r="B125" s="598" t="s">
        <v>3041</v>
      </c>
      <c r="C125" s="585" t="s">
        <v>3343</v>
      </c>
      <c r="E125" s="584">
        <v>1000000</v>
      </c>
      <c r="BB125" s="610" t="s">
        <v>3018</v>
      </c>
      <c r="BC125" s="389">
        <v>2003</v>
      </c>
      <c r="BD125" s="389">
        <v>1997</v>
      </c>
      <c r="BE125" s="389">
        <v>1990</v>
      </c>
      <c r="BF125" s="389">
        <v>2003</v>
      </c>
      <c r="BG125" s="389">
        <v>1997</v>
      </c>
      <c r="BH125" s="389">
        <v>1990</v>
      </c>
      <c r="BI125" s="389">
        <v>2003</v>
      </c>
      <c r="BJ125" s="389">
        <v>1997</v>
      </c>
      <c r="BK125" s="389">
        <v>1990</v>
      </c>
      <c r="BL125" s="642">
        <v>2003</v>
      </c>
      <c r="BM125" s="664">
        <v>1997</v>
      </c>
    </row>
    <row r="126" spans="1:65">
      <c r="B126" s="598" t="s">
        <v>3059</v>
      </c>
      <c r="C126" s="585" t="s">
        <v>3344</v>
      </c>
      <c r="E126" s="584">
        <v>1000000</v>
      </c>
      <c r="BB126" s="382"/>
      <c r="BC126" s="382"/>
      <c r="BD126" s="382"/>
      <c r="BE126" s="382"/>
      <c r="BF126" s="382"/>
      <c r="BG126" s="382"/>
      <c r="BH126" s="382"/>
      <c r="BI126" s="382"/>
      <c r="BJ126" s="382"/>
      <c r="BK126" s="382"/>
      <c r="BL126" s="382"/>
      <c r="BM126" s="382"/>
    </row>
    <row r="127" spans="1:65">
      <c r="B127" s="598" t="s">
        <v>3049</v>
      </c>
      <c r="C127" s="585" t="s">
        <v>3345</v>
      </c>
      <c r="E127" s="627">
        <v>286657</v>
      </c>
      <c r="BB127" s="619" t="s">
        <v>3129</v>
      </c>
      <c r="BC127" s="619">
        <v>1713</v>
      </c>
      <c r="BD127" s="619">
        <v>979</v>
      </c>
      <c r="BE127" s="619">
        <v>678</v>
      </c>
      <c r="BF127" s="619">
        <v>1506</v>
      </c>
      <c r="BG127" s="619">
        <v>931</v>
      </c>
      <c r="BH127" s="619">
        <v>647</v>
      </c>
      <c r="BI127" s="619">
        <v>39</v>
      </c>
      <c r="BJ127" s="619">
        <v>22</v>
      </c>
      <c r="BK127" s="619">
        <v>30</v>
      </c>
      <c r="BL127" s="619">
        <v>168</v>
      </c>
      <c r="BM127" s="619">
        <v>26</v>
      </c>
    </row>
    <row r="128" spans="1:65">
      <c r="A128" s="648"/>
      <c r="B128" s="648"/>
      <c r="C128" s="586"/>
      <c r="D128" s="477" t="s">
        <v>3040</v>
      </c>
      <c r="E128" s="649">
        <f>SUM(E118:E127)</f>
        <v>14528979</v>
      </c>
      <c r="BB128" s="619" t="s">
        <v>3346</v>
      </c>
      <c r="BC128" s="619">
        <v>21715</v>
      </c>
      <c r="BD128" s="619">
        <v>12747</v>
      </c>
      <c r="BE128" s="619">
        <v>20332</v>
      </c>
      <c r="BF128" s="619">
        <v>21871</v>
      </c>
      <c r="BG128" s="619">
        <v>12878</v>
      </c>
      <c r="BH128" s="619">
        <v>20069</v>
      </c>
      <c r="BI128" s="619">
        <v>27499</v>
      </c>
      <c r="BJ128" s="619">
        <v>12499</v>
      </c>
      <c r="BK128" s="619">
        <v>26428</v>
      </c>
      <c r="BL128" s="619">
        <v>17221</v>
      </c>
      <c r="BM128" s="619">
        <v>9999</v>
      </c>
    </row>
    <row r="129" spans="1:65">
      <c r="A129" s="451" t="s">
        <v>3222</v>
      </c>
      <c r="BB129" s="619" t="s">
        <v>3347</v>
      </c>
      <c r="BC129" s="619">
        <v>27158</v>
      </c>
      <c r="BD129" s="619">
        <v>18205</v>
      </c>
      <c r="BE129" s="619">
        <v>27705</v>
      </c>
      <c r="BF129" s="619">
        <v>27343</v>
      </c>
      <c r="BG129" s="619">
        <v>18449</v>
      </c>
      <c r="BH129" s="619">
        <v>27581</v>
      </c>
      <c r="BI129" s="619">
        <v>32839</v>
      </c>
      <c r="BJ129" s="619">
        <v>11712</v>
      </c>
      <c r="BK129" s="619">
        <v>31176</v>
      </c>
      <c r="BL129" s="619">
        <v>24183</v>
      </c>
      <c r="BM129" s="619">
        <v>14983</v>
      </c>
    </row>
    <row r="130" spans="1:65">
      <c r="A130" s="451"/>
      <c r="BB130" s="619" t="s">
        <v>3348</v>
      </c>
      <c r="BC130" s="619"/>
      <c r="BD130" s="619"/>
      <c r="BE130" s="619"/>
      <c r="BF130" s="619"/>
      <c r="BG130" s="619"/>
      <c r="BH130" s="619"/>
      <c r="BI130" s="619"/>
      <c r="BJ130" s="619"/>
      <c r="BK130" s="619"/>
      <c r="BL130" s="619"/>
      <c r="BM130" s="619"/>
    </row>
    <row r="131" spans="1:65">
      <c r="BB131" s="619" t="s">
        <v>3349</v>
      </c>
      <c r="BC131" s="619">
        <v>4986</v>
      </c>
      <c r="BD131" s="619">
        <v>3371</v>
      </c>
      <c r="BE131" s="619">
        <v>2686</v>
      </c>
      <c r="BF131" s="619">
        <v>4968</v>
      </c>
      <c r="BG131" s="619">
        <v>3371</v>
      </c>
      <c r="BH131" s="619">
        <v>2684</v>
      </c>
      <c r="BI131" s="619">
        <v>5815</v>
      </c>
      <c r="BJ131" s="619">
        <v>2521</v>
      </c>
      <c r="BK131" s="619">
        <v>2907</v>
      </c>
      <c r="BL131" s="619">
        <v>4970</v>
      </c>
      <c r="BM131" s="619">
        <v>4399</v>
      </c>
    </row>
    <row r="132" spans="1:65">
      <c r="BB132" s="619"/>
      <c r="BC132" s="619"/>
      <c r="BD132" s="626"/>
      <c r="BE132" s="626"/>
      <c r="BF132" s="626"/>
      <c r="BG132" s="626"/>
      <c r="BH132" s="626"/>
      <c r="BI132" s="626"/>
      <c r="BJ132" s="626"/>
      <c r="BK132" s="626"/>
      <c r="BL132" s="626"/>
      <c r="BM132" s="626"/>
    </row>
    <row r="133" spans="1:65">
      <c r="A133" s="2097" t="s">
        <v>3350</v>
      </c>
      <c r="B133" s="2097"/>
      <c r="C133" s="2097"/>
      <c r="D133" s="2097"/>
      <c r="E133" s="2097"/>
      <c r="BB133" s="619" t="s">
        <v>3351</v>
      </c>
      <c r="BC133" s="619">
        <v>9831</v>
      </c>
      <c r="BD133" s="619">
        <v>6550</v>
      </c>
      <c r="BE133" s="619">
        <v>4156</v>
      </c>
      <c r="BF133" s="619">
        <v>8709</v>
      </c>
      <c r="BG133" s="619">
        <v>6325</v>
      </c>
      <c r="BH133" s="619">
        <v>4045</v>
      </c>
      <c r="BI133" s="619">
        <v>208</v>
      </c>
      <c r="BJ133" s="619">
        <v>123</v>
      </c>
      <c r="BK133" s="619">
        <v>104</v>
      </c>
      <c r="BL133" s="619">
        <v>914</v>
      </c>
      <c r="BM133" s="619">
        <v>102</v>
      </c>
    </row>
    <row r="134" spans="1:65">
      <c r="A134" s="648"/>
      <c r="B134" s="655" t="s">
        <v>3249</v>
      </c>
      <c r="C134" s="586"/>
      <c r="D134" s="586"/>
      <c r="E134" s="627"/>
      <c r="BB134" s="619" t="s">
        <v>3352</v>
      </c>
      <c r="BC134" s="662">
        <v>16.753127860848338</v>
      </c>
      <c r="BD134" s="662">
        <v>46.44274809160305</v>
      </c>
      <c r="BE134" s="662">
        <v>18.960538979788257</v>
      </c>
      <c r="BF134" s="662">
        <v>15.845676885980021</v>
      </c>
      <c r="BG134" s="662">
        <v>46.51383399209486</v>
      </c>
      <c r="BH134" s="662">
        <v>19.085290482076637</v>
      </c>
      <c r="BI134" s="662">
        <v>9.134615384615385</v>
      </c>
      <c r="BJ134" s="662">
        <v>40.650406504065039</v>
      </c>
      <c r="BK134" s="662">
        <v>13.461538461538462</v>
      </c>
      <c r="BL134" s="662">
        <v>27.133479212253828</v>
      </c>
      <c r="BM134" s="662">
        <v>49.019607843137258</v>
      </c>
    </row>
    <row r="135" spans="1:65">
      <c r="A135" s="397" t="s">
        <v>2993</v>
      </c>
      <c r="B135" s="587" t="s">
        <v>1931</v>
      </c>
      <c r="C135" s="587" t="s">
        <v>2994</v>
      </c>
      <c r="D135" s="2070" t="s">
        <v>2995</v>
      </c>
      <c r="E135" s="2071"/>
      <c r="BB135" s="619" t="s">
        <v>3353</v>
      </c>
      <c r="BC135" s="662">
        <v>45.183602888821078</v>
      </c>
      <c r="BD135" s="662">
        <v>67.664122137404576</v>
      </c>
      <c r="BE135" s="662">
        <v>34.095283926852744</v>
      </c>
      <c r="BF135" s="662">
        <v>45.240555746928464</v>
      </c>
      <c r="BG135" s="662">
        <v>67.320158102766797</v>
      </c>
      <c r="BH135" s="662">
        <v>34.289245982694688</v>
      </c>
      <c r="BI135" s="662">
        <v>38.46153846153846</v>
      </c>
      <c r="BJ135" s="662">
        <v>91.869918699186996</v>
      </c>
      <c r="BK135" s="662">
        <v>26.923076923076923</v>
      </c>
      <c r="BL135" s="662">
        <v>46.170678336980309</v>
      </c>
      <c r="BM135" s="662">
        <v>59.803921568627452</v>
      </c>
    </row>
    <row r="136" spans="1:65">
      <c r="A136" s="598" t="s">
        <v>3354</v>
      </c>
      <c r="B136" s="598" t="s">
        <v>3034</v>
      </c>
      <c r="C136" s="585" t="s">
        <v>3282</v>
      </c>
      <c r="D136" s="639"/>
      <c r="E136" s="584">
        <v>6100000</v>
      </c>
      <c r="BB136" s="619" t="s">
        <v>3355</v>
      </c>
      <c r="BC136" s="662">
        <v>57.105075780693724</v>
      </c>
      <c r="BD136" s="662">
        <v>75.038167938931295</v>
      </c>
      <c r="BE136" s="662">
        <v>41.602502406159772</v>
      </c>
      <c r="BF136" s="662">
        <v>57.572626019060742</v>
      </c>
      <c r="BG136" s="662">
        <v>74.735177865612641</v>
      </c>
      <c r="BH136" s="662">
        <v>41.804697156983934</v>
      </c>
      <c r="BI136" s="662">
        <v>46.634615384615387</v>
      </c>
      <c r="BJ136" s="662">
        <v>97.560975609756099</v>
      </c>
      <c r="BK136" s="662">
        <v>34.615384615384613</v>
      </c>
      <c r="BL136" s="662">
        <v>55.032822757111596</v>
      </c>
      <c r="BM136" s="662">
        <v>66.666666666666671</v>
      </c>
    </row>
    <row r="137" spans="1:65">
      <c r="B137" s="598" t="s">
        <v>3049</v>
      </c>
      <c r="C137" s="585" t="s">
        <v>3325</v>
      </c>
      <c r="D137" s="639"/>
      <c r="E137" s="584">
        <v>5000000</v>
      </c>
      <c r="BB137" s="645" t="s">
        <v>3356</v>
      </c>
      <c r="BC137" s="665">
        <v>80.805614891669208</v>
      </c>
      <c r="BD137" s="665">
        <v>88.519083969465655</v>
      </c>
      <c r="BE137" s="665">
        <v>51.467757459095282</v>
      </c>
      <c r="BF137" s="665">
        <v>81.60523596279711</v>
      </c>
      <c r="BG137" s="665">
        <v>88.458498023715421</v>
      </c>
      <c r="BH137" s="665">
        <v>51.470951792336216</v>
      </c>
      <c r="BI137" s="665">
        <v>83.17307692307692</v>
      </c>
      <c r="BJ137" s="665">
        <v>97.560975609756099</v>
      </c>
      <c r="BK137" s="665">
        <v>50</v>
      </c>
      <c r="BL137" s="665">
        <v>72.647702407002186</v>
      </c>
      <c r="BM137" s="665">
        <v>81.372549019607845</v>
      </c>
    </row>
    <row r="138" spans="1:65">
      <c r="B138" s="598" t="s">
        <v>3049</v>
      </c>
      <c r="C138" s="585" t="s">
        <v>3325</v>
      </c>
      <c r="D138" s="639"/>
      <c r="E138" s="584">
        <v>1992303</v>
      </c>
      <c r="BB138" s="382" t="s">
        <v>3214</v>
      </c>
      <c r="BC138" s="382"/>
      <c r="BD138" s="626"/>
      <c r="BE138" s="626"/>
      <c r="BF138" s="626"/>
      <c r="BG138" s="626"/>
      <c r="BH138" s="626"/>
      <c r="BI138" s="626"/>
      <c r="BJ138" s="626"/>
      <c r="BK138" s="626"/>
      <c r="BL138" s="626"/>
      <c r="BM138" s="626"/>
    </row>
    <row r="139" spans="1:65">
      <c r="B139" s="598" t="s">
        <v>3229</v>
      </c>
      <c r="C139" s="585" t="s">
        <v>3325</v>
      </c>
      <c r="E139" s="584">
        <v>500000</v>
      </c>
      <c r="BB139" s="382" t="s">
        <v>3146</v>
      </c>
      <c r="BC139" s="382"/>
      <c r="BD139" s="382"/>
      <c r="BE139" s="382"/>
      <c r="BF139" s="382"/>
      <c r="BG139" s="382"/>
      <c r="BH139" s="382"/>
      <c r="BI139" s="382"/>
      <c r="BJ139" s="382"/>
      <c r="BK139" s="382"/>
      <c r="BL139" s="382"/>
      <c r="BM139" s="382"/>
    </row>
    <row r="140" spans="1:65">
      <c r="B140" s="598" t="s">
        <v>3295</v>
      </c>
      <c r="C140" s="585" t="s">
        <v>3357</v>
      </c>
      <c r="E140" s="584">
        <v>500000</v>
      </c>
      <c r="BB140" s="382" t="s">
        <v>3149</v>
      </c>
      <c r="BC140" s="619"/>
      <c r="BD140" s="626"/>
      <c r="BE140" s="626"/>
      <c r="BF140" s="626"/>
      <c r="BG140" s="626"/>
      <c r="BH140" s="626"/>
      <c r="BI140" s="626"/>
      <c r="BJ140" s="626"/>
      <c r="BK140" s="626"/>
      <c r="BL140" s="626"/>
      <c r="BM140" s="626"/>
    </row>
    <row r="141" spans="1:65">
      <c r="B141" s="598" t="s">
        <v>3358</v>
      </c>
      <c r="C141" s="585" t="s">
        <v>3359</v>
      </c>
      <c r="E141" s="627">
        <v>150019</v>
      </c>
      <c r="BB141" s="382" t="s">
        <v>3153</v>
      </c>
      <c r="BC141" s="382"/>
      <c r="BD141" s="382"/>
      <c r="BE141" s="382"/>
      <c r="BF141" s="382"/>
      <c r="BG141" s="382"/>
      <c r="BH141" s="382"/>
      <c r="BI141" s="382"/>
      <c r="BJ141" s="382"/>
      <c r="BK141" s="382"/>
      <c r="BL141" s="382"/>
      <c r="BM141" s="382"/>
    </row>
    <row r="142" spans="1:65">
      <c r="D142" s="439" t="s">
        <v>3040</v>
      </c>
      <c r="E142" s="632">
        <f>SUM(E136:E141)</f>
        <v>14242322</v>
      </c>
      <c r="BB142" s="549"/>
      <c r="BC142" s="549"/>
      <c r="BD142" s="549"/>
      <c r="BE142" s="549"/>
      <c r="BF142" s="549"/>
      <c r="BG142" s="549"/>
      <c r="BH142" s="549"/>
      <c r="BI142" s="549"/>
      <c r="BJ142" s="549"/>
      <c r="BK142" s="549"/>
      <c r="BL142" s="549"/>
      <c r="BM142" s="549"/>
    </row>
    <row r="143" spans="1:65">
      <c r="A143" s="414"/>
      <c r="B143" s="414"/>
      <c r="C143" s="414"/>
      <c r="D143" s="579"/>
      <c r="E143" s="579"/>
      <c r="BB143" s="549"/>
      <c r="BC143" s="549"/>
      <c r="BD143" s="549"/>
      <c r="BE143" s="549"/>
      <c r="BF143" s="549"/>
      <c r="BG143" s="549"/>
      <c r="BH143" s="549"/>
      <c r="BI143" s="549"/>
      <c r="BJ143" s="549"/>
      <c r="BK143" s="549"/>
      <c r="BL143" s="549"/>
      <c r="BM143" s="549"/>
    </row>
    <row r="144" spans="1:65">
      <c r="A144" s="598" t="s">
        <v>3360</v>
      </c>
      <c r="B144" s="598" t="s">
        <v>3034</v>
      </c>
      <c r="C144" s="585" t="s">
        <v>3282</v>
      </c>
      <c r="D144" s="639"/>
      <c r="E144" s="584">
        <v>6100000</v>
      </c>
      <c r="BB144" s="641"/>
      <c r="BC144" s="641"/>
      <c r="BD144" s="650"/>
      <c r="BE144" s="650"/>
      <c r="BF144" s="650"/>
      <c r="BG144" s="650"/>
      <c r="BH144" s="650"/>
      <c r="BI144" s="650"/>
      <c r="BJ144" s="650"/>
      <c r="BK144" s="650"/>
      <c r="BL144" s="650"/>
      <c r="BM144" s="650"/>
    </row>
    <row r="145" spans="1:65">
      <c r="B145" s="598" t="s">
        <v>3049</v>
      </c>
      <c r="C145" s="585" t="s">
        <v>3325</v>
      </c>
      <c r="D145" s="639"/>
      <c r="E145" s="584">
        <v>6242322</v>
      </c>
      <c r="BB145" s="382" t="s">
        <v>3361</v>
      </c>
      <c r="BC145" s="382"/>
      <c r="BD145" s="382"/>
      <c r="BE145" s="382"/>
      <c r="BF145" s="382"/>
      <c r="BG145" s="382"/>
      <c r="BH145" s="382"/>
      <c r="BI145" s="382"/>
      <c r="BJ145" s="382"/>
      <c r="BK145" s="382"/>
      <c r="BL145" s="381"/>
      <c r="BM145" s="381"/>
    </row>
    <row r="146" spans="1:65">
      <c r="B146" s="598" t="s">
        <v>3229</v>
      </c>
      <c r="C146" s="585" t="s">
        <v>3325</v>
      </c>
      <c r="E146" s="584">
        <v>500000</v>
      </c>
      <c r="BB146" s="666"/>
      <c r="BC146" s="2078" t="s">
        <v>129</v>
      </c>
      <c r="BD146" s="2079"/>
      <c r="BE146" s="2080"/>
      <c r="BF146" s="2098" t="s">
        <v>845</v>
      </c>
      <c r="BG146" s="2098"/>
      <c r="BH146" s="2098"/>
      <c r="BI146" s="2098" t="s">
        <v>3006</v>
      </c>
      <c r="BJ146" s="2098"/>
      <c r="BK146" s="2098"/>
      <c r="BL146" s="2078" t="s">
        <v>528</v>
      </c>
      <c r="BM146" s="2079"/>
    </row>
    <row r="147" spans="1:65">
      <c r="B147" s="598" t="s">
        <v>3295</v>
      </c>
      <c r="C147" s="585" t="s">
        <v>3357</v>
      </c>
      <c r="E147" s="584">
        <v>500000</v>
      </c>
      <c r="BB147" s="382"/>
      <c r="BC147" s="667" t="s">
        <v>1967</v>
      </c>
      <c r="BD147" s="667" t="s">
        <v>1967</v>
      </c>
      <c r="BE147" s="667" t="s">
        <v>1967</v>
      </c>
      <c r="BF147" s="667" t="s">
        <v>1967</v>
      </c>
      <c r="BG147" s="667" t="s">
        <v>1967</v>
      </c>
      <c r="BH147" s="667" t="s">
        <v>1967</v>
      </c>
      <c r="BI147" s="667" t="s">
        <v>1967</v>
      </c>
      <c r="BJ147" s="667" t="s">
        <v>1967</v>
      </c>
      <c r="BK147" s="667" t="s">
        <v>1967</v>
      </c>
      <c r="BL147" s="667" t="s">
        <v>1967</v>
      </c>
      <c r="BM147" s="465" t="s">
        <v>1967</v>
      </c>
    </row>
    <row r="148" spans="1:65">
      <c r="B148" s="598" t="s">
        <v>3127</v>
      </c>
      <c r="C148" s="585" t="s">
        <v>3362</v>
      </c>
      <c r="E148" s="584">
        <v>500000</v>
      </c>
      <c r="BB148" s="382" t="s">
        <v>3005</v>
      </c>
      <c r="BC148" s="417" t="s">
        <v>3363</v>
      </c>
      <c r="BD148" s="667" t="s">
        <v>3364</v>
      </c>
      <c r="BE148" s="667" t="s">
        <v>3364</v>
      </c>
      <c r="BF148" s="417" t="s">
        <v>3363</v>
      </c>
      <c r="BG148" s="667" t="s">
        <v>3364</v>
      </c>
      <c r="BH148" s="667" t="s">
        <v>3364</v>
      </c>
      <c r="BI148" s="417" t="s">
        <v>3363</v>
      </c>
      <c r="BJ148" s="667" t="s">
        <v>3364</v>
      </c>
      <c r="BK148" s="667" t="s">
        <v>3364</v>
      </c>
      <c r="BL148" s="417" t="s">
        <v>3363</v>
      </c>
      <c r="BM148" s="465" t="s">
        <v>3364</v>
      </c>
    </row>
    <row r="149" spans="1:65">
      <c r="B149" s="598" t="s">
        <v>3335</v>
      </c>
      <c r="C149" s="585" t="s">
        <v>3365</v>
      </c>
      <c r="E149" s="584">
        <v>171000</v>
      </c>
      <c r="BB149" s="381" t="s">
        <v>2449</v>
      </c>
      <c r="BC149" s="668">
        <v>2003</v>
      </c>
      <c r="BD149" s="441">
        <v>1997</v>
      </c>
      <c r="BE149" s="441">
        <v>1990</v>
      </c>
      <c r="BF149" s="668">
        <v>2003</v>
      </c>
      <c r="BG149" s="441">
        <v>1997</v>
      </c>
      <c r="BH149" s="441">
        <v>1990</v>
      </c>
      <c r="BI149" s="668">
        <v>2003</v>
      </c>
      <c r="BJ149" s="441">
        <v>1997</v>
      </c>
      <c r="BK149" s="441">
        <v>1990</v>
      </c>
      <c r="BL149" s="668">
        <v>2003</v>
      </c>
      <c r="BM149" s="442">
        <v>1997</v>
      </c>
    </row>
    <row r="150" spans="1:65">
      <c r="B150" s="598" t="s">
        <v>3335</v>
      </c>
      <c r="C150" s="585" t="s">
        <v>3366</v>
      </c>
      <c r="D150" s="586"/>
      <c r="E150" s="627">
        <v>229000</v>
      </c>
      <c r="BB150" s="669"/>
      <c r="BC150" s="669"/>
      <c r="BD150" s="669"/>
      <c r="BE150" s="669"/>
      <c r="BF150" s="669"/>
      <c r="BG150" s="669"/>
      <c r="BH150" s="669"/>
      <c r="BI150" s="669"/>
      <c r="BJ150" s="669"/>
      <c r="BK150" s="669"/>
      <c r="BL150" s="669"/>
      <c r="BM150" s="669"/>
    </row>
    <row r="151" spans="1:65">
      <c r="D151" s="439" t="s">
        <v>3040</v>
      </c>
      <c r="E151" s="632">
        <f>SUM(E144:E150)</f>
        <v>14242322</v>
      </c>
      <c r="BB151" s="619" t="s">
        <v>3017</v>
      </c>
      <c r="BC151" s="619">
        <v>9831</v>
      </c>
      <c r="BD151" s="619">
        <v>6550</v>
      </c>
      <c r="BE151" s="619">
        <v>2739</v>
      </c>
      <c r="BF151" s="619">
        <v>8709</v>
      </c>
      <c r="BG151" s="619">
        <v>6325</v>
      </c>
      <c r="BH151" s="619">
        <v>2658</v>
      </c>
      <c r="BI151" s="619">
        <v>208</v>
      </c>
      <c r="BJ151" s="619">
        <v>123</v>
      </c>
      <c r="BK151" s="619">
        <v>76</v>
      </c>
      <c r="BL151" s="619">
        <v>914</v>
      </c>
      <c r="BM151" s="619">
        <v>102</v>
      </c>
    </row>
    <row r="152" spans="1:65">
      <c r="C152" s="2095"/>
      <c r="D152" s="2095"/>
      <c r="E152" s="670"/>
      <c r="BB152" s="619" t="s">
        <v>3367</v>
      </c>
      <c r="BC152" s="619">
        <v>1535</v>
      </c>
      <c r="BD152" s="619">
        <v>856</v>
      </c>
      <c r="BE152" s="619">
        <v>397</v>
      </c>
      <c r="BF152" s="619">
        <v>1364</v>
      </c>
      <c r="BG152" s="619">
        <v>833</v>
      </c>
      <c r="BH152" s="619">
        <v>381</v>
      </c>
      <c r="BI152" s="619">
        <v>34</v>
      </c>
      <c r="BJ152" s="619">
        <v>14</v>
      </c>
      <c r="BK152" s="619">
        <v>15</v>
      </c>
      <c r="BL152" s="619">
        <v>137</v>
      </c>
      <c r="BM152" s="619">
        <v>9</v>
      </c>
    </row>
    <row r="153" spans="1:65">
      <c r="A153" s="598" t="s">
        <v>3368</v>
      </c>
      <c r="B153" s="598" t="s">
        <v>3335</v>
      </c>
      <c r="C153" s="585" t="s">
        <v>3369</v>
      </c>
      <c r="D153" s="639"/>
      <c r="E153" s="584">
        <v>800000</v>
      </c>
      <c r="BB153" s="619" t="s">
        <v>1674</v>
      </c>
      <c r="BC153" s="619">
        <v>1313</v>
      </c>
      <c r="BD153" s="619">
        <v>799</v>
      </c>
      <c r="BE153" s="619">
        <v>303</v>
      </c>
      <c r="BF153" s="619">
        <v>1121</v>
      </c>
      <c r="BG153" s="619">
        <v>776</v>
      </c>
      <c r="BH153" s="619">
        <v>291</v>
      </c>
      <c r="BI153" s="619">
        <v>35</v>
      </c>
      <c r="BJ153" s="619">
        <v>16</v>
      </c>
      <c r="BK153" s="619">
        <v>10</v>
      </c>
      <c r="BL153" s="619">
        <v>157</v>
      </c>
      <c r="BM153" s="619">
        <v>7</v>
      </c>
    </row>
    <row r="154" spans="1:65">
      <c r="B154" s="598" t="s">
        <v>3295</v>
      </c>
      <c r="C154" s="585" t="s">
        <v>3357</v>
      </c>
      <c r="D154" s="639"/>
      <c r="E154" s="584">
        <v>1000000</v>
      </c>
      <c r="BB154" s="619" t="s">
        <v>3370</v>
      </c>
      <c r="BC154" s="619">
        <v>1171</v>
      </c>
      <c r="BD154" s="619">
        <v>641</v>
      </c>
      <c r="BE154" s="619">
        <v>237</v>
      </c>
      <c r="BF154" s="619">
        <v>997</v>
      </c>
      <c r="BG154" s="619">
        <v>612</v>
      </c>
      <c r="BH154" s="619">
        <v>223</v>
      </c>
      <c r="BI154" s="619">
        <v>20</v>
      </c>
      <c r="BJ154" s="619">
        <v>23</v>
      </c>
      <c r="BK154" s="619">
        <v>12</v>
      </c>
      <c r="BL154" s="619">
        <v>154</v>
      </c>
      <c r="BM154" s="619">
        <v>6</v>
      </c>
    </row>
    <row r="155" spans="1:65">
      <c r="B155" s="598" t="s">
        <v>3049</v>
      </c>
      <c r="C155" s="585" t="s">
        <v>3325</v>
      </c>
      <c r="D155" s="639"/>
      <c r="E155" s="584">
        <v>1629014</v>
      </c>
      <c r="BB155" s="619" t="s">
        <v>3371</v>
      </c>
      <c r="BC155" s="619">
        <v>966</v>
      </c>
      <c r="BD155" s="619">
        <v>646</v>
      </c>
      <c r="BE155" s="619">
        <v>363</v>
      </c>
      <c r="BF155" s="619">
        <v>845</v>
      </c>
      <c r="BG155" s="619">
        <v>617</v>
      </c>
      <c r="BH155" s="619">
        <v>351</v>
      </c>
      <c r="BI155" s="619">
        <v>19</v>
      </c>
      <c r="BJ155" s="619">
        <v>17</v>
      </c>
      <c r="BK155" s="619">
        <v>12</v>
      </c>
      <c r="BL155" s="619">
        <v>102</v>
      </c>
      <c r="BM155" s="619">
        <v>12</v>
      </c>
    </row>
    <row r="156" spans="1:65">
      <c r="B156" s="598" t="s">
        <v>3049</v>
      </c>
      <c r="C156" s="585" t="s">
        <v>3372</v>
      </c>
      <c r="D156" s="639"/>
      <c r="E156" s="584">
        <v>2478986</v>
      </c>
      <c r="BB156" s="619" t="s">
        <v>3373</v>
      </c>
      <c r="BC156" s="619">
        <v>985</v>
      </c>
      <c r="BD156" s="619">
        <v>991</v>
      </c>
      <c r="BE156" s="619">
        <v>492</v>
      </c>
      <c r="BF156" s="619">
        <v>927</v>
      </c>
      <c r="BG156" s="619">
        <v>952</v>
      </c>
      <c r="BH156" s="619">
        <v>478</v>
      </c>
      <c r="BI156" s="619">
        <v>21</v>
      </c>
      <c r="BJ156" s="619">
        <v>19</v>
      </c>
      <c r="BK156" s="619">
        <v>14</v>
      </c>
      <c r="BL156" s="619">
        <v>37</v>
      </c>
      <c r="BM156" s="619">
        <v>20</v>
      </c>
    </row>
    <row r="157" spans="1:65">
      <c r="B157" s="598" t="s">
        <v>3034</v>
      </c>
      <c r="C157" s="585" t="s">
        <v>3282</v>
      </c>
      <c r="D157" s="639"/>
      <c r="E157" s="584">
        <v>6100000</v>
      </c>
      <c r="BB157" s="619" t="s">
        <v>3374</v>
      </c>
      <c r="BC157" s="619">
        <v>963</v>
      </c>
      <c r="BD157" s="619">
        <v>913</v>
      </c>
      <c r="BE157" s="619">
        <v>372</v>
      </c>
      <c r="BF157" s="619">
        <v>877</v>
      </c>
      <c r="BG157" s="619">
        <v>889</v>
      </c>
      <c r="BH157" s="619">
        <v>366</v>
      </c>
      <c r="BI157" s="619">
        <v>22</v>
      </c>
      <c r="BJ157" s="619">
        <v>7</v>
      </c>
      <c r="BK157" s="619">
        <v>6</v>
      </c>
      <c r="BL157" s="619">
        <v>64</v>
      </c>
      <c r="BM157" s="619">
        <v>17</v>
      </c>
    </row>
    <row r="158" spans="1:65">
      <c r="B158" s="598" t="s">
        <v>3049</v>
      </c>
      <c r="C158" s="585" t="s">
        <v>3375</v>
      </c>
      <c r="D158" s="639"/>
      <c r="E158" s="584">
        <v>150000</v>
      </c>
      <c r="BB158" s="619" t="s">
        <v>3376</v>
      </c>
      <c r="BC158" s="619">
        <v>873</v>
      </c>
      <c r="BD158" s="619">
        <v>571</v>
      </c>
      <c r="BE158" s="619">
        <v>250</v>
      </c>
      <c r="BF158" s="619">
        <v>782</v>
      </c>
      <c r="BG158" s="619">
        <v>552</v>
      </c>
      <c r="BH158" s="619">
        <v>247</v>
      </c>
      <c r="BI158" s="619">
        <v>15</v>
      </c>
      <c r="BJ158" s="619">
        <v>8</v>
      </c>
      <c r="BK158" s="619">
        <v>3</v>
      </c>
      <c r="BL158" s="619">
        <v>76</v>
      </c>
      <c r="BM158" s="619">
        <v>11</v>
      </c>
    </row>
    <row r="159" spans="1:65">
      <c r="B159" s="598" t="s">
        <v>3229</v>
      </c>
      <c r="C159" s="585" t="s">
        <v>3377</v>
      </c>
      <c r="D159" s="639"/>
      <c r="E159" s="584">
        <v>400000</v>
      </c>
      <c r="BB159" s="619" t="s">
        <v>3378</v>
      </c>
      <c r="BC159" s="619">
        <v>674</v>
      </c>
      <c r="BD159" s="619">
        <v>406</v>
      </c>
      <c r="BE159" s="619">
        <v>127</v>
      </c>
      <c r="BF159" s="619">
        <v>595</v>
      </c>
      <c r="BG159" s="619">
        <v>391</v>
      </c>
      <c r="BH159" s="619">
        <v>124</v>
      </c>
      <c r="BI159" s="619">
        <v>15</v>
      </c>
      <c r="BJ159" s="619">
        <v>9</v>
      </c>
      <c r="BK159" s="619">
        <v>3</v>
      </c>
      <c r="BL159" s="619">
        <v>64</v>
      </c>
      <c r="BM159" s="619">
        <v>6</v>
      </c>
    </row>
    <row r="160" spans="1:65">
      <c r="B160" s="598" t="s">
        <v>3229</v>
      </c>
      <c r="C160" s="585" t="s">
        <v>3379</v>
      </c>
      <c r="D160" s="639"/>
      <c r="E160" s="584">
        <v>600000</v>
      </c>
      <c r="BB160" s="619" t="s">
        <v>3380</v>
      </c>
      <c r="BC160" s="619">
        <v>500</v>
      </c>
      <c r="BD160" s="619">
        <v>275</v>
      </c>
      <c r="BE160" s="619">
        <v>77</v>
      </c>
      <c r="BF160" s="619">
        <v>438</v>
      </c>
      <c r="BG160" s="619">
        <v>269</v>
      </c>
      <c r="BH160" s="619">
        <v>77</v>
      </c>
      <c r="BI160" s="619">
        <v>11</v>
      </c>
      <c r="BJ160" s="619">
        <v>4</v>
      </c>
      <c r="BK160" s="619">
        <v>0</v>
      </c>
      <c r="BL160" s="619">
        <v>51</v>
      </c>
      <c r="BM160" s="619">
        <v>2</v>
      </c>
    </row>
    <row r="161" spans="1:65">
      <c r="B161" s="598" t="s">
        <v>3335</v>
      </c>
      <c r="C161" s="585" t="s">
        <v>3381</v>
      </c>
      <c r="D161" s="639"/>
      <c r="E161" s="584">
        <v>200000</v>
      </c>
      <c r="BB161" s="619" t="s">
        <v>3382</v>
      </c>
      <c r="BC161" s="619">
        <v>342</v>
      </c>
      <c r="BD161" s="619">
        <v>192</v>
      </c>
      <c r="BE161" s="619">
        <v>37</v>
      </c>
      <c r="BF161" s="619">
        <v>310</v>
      </c>
      <c r="BG161" s="619">
        <v>188</v>
      </c>
      <c r="BH161" s="619">
        <v>36</v>
      </c>
      <c r="BI161" s="619">
        <v>8</v>
      </c>
      <c r="BJ161" s="619">
        <v>1</v>
      </c>
      <c r="BK161" s="619">
        <v>1</v>
      </c>
      <c r="BL161" s="619">
        <v>24</v>
      </c>
      <c r="BM161" s="619">
        <v>3</v>
      </c>
    </row>
    <row r="162" spans="1:65">
      <c r="B162" s="598" t="s">
        <v>3383</v>
      </c>
      <c r="C162" s="585" t="s">
        <v>3384</v>
      </c>
      <c r="D162" s="639"/>
      <c r="E162" s="584">
        <v>78000</v>
      </c>
      <c r="BB162" s="619" t="s">
        <v>3385</v>
      </c>
      <c r="BC162" s="619">
        <v>210</v>
      </c>
      <c r="BD162" s="619">
        <v>92</v>
      </c>
      <c r="BE162" s="619">
        <v>35</v>
      </c>
      <c r="BF162" s="619">
        <v>189</v>
      </c>
      <c r="BG162" s="619">
        <v>86</v>
      </c>
      <c r="BH162" s="619">
        <v>35</v>
      </c>
      <c r="BI162" s="619">
        <v>2</v>
      </c>
      <c r="BJ162" s="619">
        <v>4</v>
      </c>
      <c r="BK162" s="619">
        <v>0</v>
      </c>
      <c r="BL162" s="619">
        <v>19</v>
      </c>
      <c r="BM162" s="619">
        <v>2</v>
      </c>
    </row>
    <row r="163" spans="1:65">
      <c r="B163" s="598" t="s">
        <v>3335</v>
      </c>
      <c r="C163" s="585" t="s">
        <v>3357</v>
      </c>
      <c r="D163" s="671"/>
      <c r="E163" s="627">
        <v>806322</v>
      </c>
      <c r="BB163" s="619" t="s">
        <v>3386</v>
      </c>
      <c r="BC163" s="619">
        <v>133</v>
      </c>
      <c r="BD163" s="619">
        <v>68</v>
      </c>
      <c r="BE163" s="619">
        <v>17</v>
      </c>
      <c r="BF163" s="619">
        <v>118</v>
      </c>
      <c r="BG163" s="619">
        <v>65</v>
      </c>
      <c r="BH163" s="619">
        <v>17</v>
      </c>
      <c r="BI163" s="619">
        <v>3</v>
      </c>
      <c r="BJ163" s="619">
        <v>1</v>
      </c>
      <c r="BK163" s="619">
        <v>0</v>
      </c>
      <c r="BL163" s="619">
        <v>12</v>
      </c>
      <c r="BM163" s="619">
        <v>2</v>
      </c>
    </row>
    <row r="164" spans="1:65">
      <c r="D164" s="439" t="s">
        <v>3040</v>
      </c>
      <c r="E164" s="632">
        <f>SUM(E153:E163)</f>
        <v>14242322</v>
      </c>
      <c r="BB164" s="619" t="s">
        <v>3387</v>
      </c>
      <c r="BC164" s="619">
        <v>83</v>
      </c>
      <c r="BD164" s="619">
        <v>43</v>
      </c>
      <c r="BE164" s="619">
        <v>17</v>
      </c>
      <c r="BF164" s="619">
        <v>71</v>
      </c>
      <c r="BG164" s="619">
        <v>43</v>
      </c>
      <c r="BH164" s="619">
        <v>17</v>
      </c>
      <c r="BI164" s="619">
        <v>2</v>
      </c>
      <c r="BJ164" s="619">
        <v>0</v>
      </c>
      <c r="BK164" s="619">
        <v>0</v>
      </c>
      <c r="BL164" s="619">
        <v>10</v>
      </c>
      <c r="BM164" s="619">
        <v>0</v>
      </c>
    </row>
    <row r="165" spans="1:65">
      <c r="A165" s="414"/>
      <c r="B165" s="414"/>
      <c r="C165" s="414"/>
      <c r="D165" s="579"/>
      <c r="E165" s="579"/>
      <c r="BB165" s="619" t="s">
        <v>3388</v>
      </c>
      <c r="BC165" s="619">
        <v>54</v>
      </c>
      <c r="BD165" s="619">
        <v>38</v>
      </c>
      <c r="BE165" s="619">
        <v>6</v>
      </c>
      <c r="BF165" s="619">
        <v>49</v>
      </c>
      <c r="BG165" s="619">
        <v>34</v>
      </c>
      <c r="BH165" s="619">
        <v>6</v>
      </c>
      <c r="BI165" s="619">
        <v>1</v>
      </c>
      <c r="BJ165" s="619">
        <v>0</v>
      </c>
      <c r="BK165" s="619">
        <v>0</v>
      </c>
      <c r="BL165" s="619">
        <v>4</v>
      </c>
      <c r="BM165" s="619">
        <v>4</v>
      </c>
    </row>
    <row r="166" spans="1:65">
      <c r="A166" s="598" t="s">
        <v>3389</v>
      </c>
      <c r="B166" s="598" t="s">
        <v>3390</v>
      </c>
      <c r="C166" s="585" t="s">
        <v>3282</v>
      </c>
      <c r="D166" s="639"/>
      <c r="E166" s="584">
        <v>6100000</v>
      </c>
      <c r="BB166" s="619" t="s">
        <v>3391</v>
      </c>
      <c r="BC166" s="619">
        <v>15</v>
      </c>
      <c r="BD166" s="619">
        <v>12</v>
      </c>
      <c r="BE166" s="619">
        <v>4</v>
      </c>
      <c r="BF166" s="619">
        <v>15</v>
      </c>
      <c r="BG166" s="619">
        <v>12</v>
      </c>
      <c r="BH166" s="619">
        <v>4</v>
      </c>
      <c r="BI166" s="619">
        <v>0</v>
      </c>
      <c r="BJ166" s="619">
        <v>0</v>
      </c>
      <c r="BK166" s="619">
        <v>0</v>
      </c>
      <c r="BL166" s="619">
        <v>0</v>
      </c>
      <c r="BM166" s="619">
        <v>0</v>
      </c>
    </row>
    <row r="167" spans="1:65">
      <c r="B167" s="598" t="s">
        <v>3049</v>
      </c>
      <c r="C167" s="585" t="s">
        <v>3392</v>
      </c>
      <c r="D167" s="639"/>
      <c r="E167" s="584">
        <v>2211600</v>
      </c>
      <c r="BB167" s="619" t="s">
        <v>2867</v>
      </c>
      <c r="BC167" s="619">
        <v>14</v>
      </c>
      <c r="BD167" s="619">
        <v>7</v>
      </c>
      <c r="BE167" s="619">
        <v>5</v>
      </c>
      <c r="BF167" s="619">
        <v>11</v>
      </c>
      <c r="BG167" s="619">
        <v>6</v>
      </c>
      <c r="BH167" s="619">
        <v>5</v>
      </c>
      <c r="BI167" s="619">
        <v>0</v>
      </c>
      <c r="BJ167" s="619">
        <v>0</v>
      </c>
      <c r="BK167" s="619">
        <v>0</v>
      </c>
      <c r="BL167" s="619">
        <v>3</v>
      </c>
      <c r="BM167" s="619">
        <v>1</v>
      </c>
    </row>
    <row r="168" spans="1:65">
      <c r="B168" s="598" t="s">
        <v>3049</v>
      </c>
      <c r="C168" s="585" t="s">
        <v>3393</v>
      </c>
      <c r="D168" s="639"/>
      <c r="E168" s="584">
        <v>3005000</v>
      </c>
      <c r="BB168" s="626" t="s">
        <v>3064</v>
      </c>
      <c r="BC168" s="626">
        <v>19.600000000000001</v>
      </c>
      <c r="BD168" s="626">
        <v>21.7</v>
      </c>
      <c r="BE168" s="626">
        <v>20.7</v>
      </c>
      <c r="BF168" s="626">
        <v>20.100000000000001</v>
      </c>
      <c r="BG168" s="626">
        <v>21.7</v>
      </c>
      <c r="BH168" s="626">
        <v>20.9</v>
      </c>
      <c r="BI168" s="626">
        <v>18.899999999999999</v>
      </c>
      <c r="BJ168" s="626">
        <v>17.5</v>
      </c>
      <c r="BK168" s="626">
        <v>15.4</v>
      </c>
      <c r="BL168" s="626">
        <v>15.4</v>
      </c>
      <c r="BM168" s="626">
        <v>24.3</v>
      </c>
    </row>
    <row r="169" spans="1:65">
      <c r="B169" s="598" t="s">
        <v>3335</v>
      </c>
      <c r="C169" s="585" t="s">
        <v>3394</v>
      </c>
      <c r="D169" s="639"/>
      <c r="E169" s="584">
        <v>916000</v>
      </c>
      <c r="BB169" s="382" t="s">
        <v>3348</v>
      </c>
      <c r="BC169" s="382"/>
      <c r="BD169" s="382"/>
      <c r="BE169" s="382"/>
      <c r="BF169" s="382"/>
      <c r="BG169" s="382"/>
      <c r="BH169" s="382"/>
      <c r="BI169" s="382"/>
      <c r="BJ169" s="382"/>
      <c r="BK169" s="382"/>
      <c r="BL169" s="382"/>
      <c r="BM169" s="382"/>
    </row>
    <row r="170" spans="1:65">
      <c r="B170" s="598" t="s">
        <v>3335</v>
      </c>
      <c r="C170" s="585" t="s">
        <v>3395</v>
      </c>
      <c r="D170" s="639"/>
      <c r="E170" s="584">
        <v>412000</v>
      </c>
      <c r="BB170" s="619" t="s">
        <v>3396</v>
      </c>
      <c r="BC170" s="619">
        <v>4814</v>
      </c>
      <c r="BD170" s="619">
        <v>3216</v>
      </c>
      <c r="BE170" s="619">
        <v>1261</v>
      </c>
      <c r="BF170" s="619">
        <v>4271</v>
      </c>
      <c r="BG170" s="619">
        <v>3109</v>
      </c>
      <c r="BH170" s="619">
        <v>1234</v>
      </c>
      <c r="BI170" s="619">
        <v>101</v>
      </c>
      <c r="BJ170" s="619">
        <v>56</v>
      </c>
      <c r="BK170" s="619">
        <v>27</v>
      </c>
      <c r="BL170" s="619">
        <v>442</v>
      </c>
      <c r="BM170" s="619">
        <v>51</v>
      </c>
    </row>
    <row r="171" spans="1:65">
      <c r="B171" s="598" t="s">
        <v>3034</v>
      </c>
      <c r="C171" s="585" t="s">
        <v>3397</v>
      </c>
      <c r="D171" s="639"/>
      <c r="E171" s="584">
        <v>509717</v>
      </c>
      <c r="BB171" s="619" t="s">
        <v>3367</v>
      </c>
      <c r="BC171" s="619">
        <v>712</v>
      </c>
      <c r="BD171" s="619">
        <v>425</v>
      </c>
      <c r="BE171" s="619">
        <v>198</v>
      </c>
      <c r="BF171" s="619">
        <v>635</v>
      </c>
      <c r="BG171" s="619">
        <v>417</v>
      </c>
      <c r="BH171" s="619">
        <v>191</v>
      </c>
      <c r="BI171" s="619">
        <v>14</v>
      </c>
      <c r="BJ171" s="619">
        <v>3</v>
      </c>
      <c r="BK171" s="619">
        <v>7</v>
      </c>
      <c r="BL171" s="619">
        <v>63</v>
      </c>
      <c r="BM171" s="619">
        <v>5</v>
      </c>
    </row>
    <row r="172" spans="1:65">
      <c r="B172" s="598" t="s">
        <v>3041</v>
      </c>
      <c r="C172" s="585" t="s">
        <v>3398</v>
      </c>
      <c r="D172" s="639"/>
      <c r="E172" s="584">
        <v>538005</v>
      </c>
      <c r="BB172" s="619" t="s">
        <v>1674</v>
      </c>
      <c r="BC172" s="619">
        <v>637</v>
      </c>
      <c r="BD172" s="619">
        <v>387</v>
      </c>
      <c r="BE172" s="619">
        <v>158</v>
      </c>
      <c r="BF172" s="619">
        <v>540</v>
      </c>
      <c r="BG172" s="619">
        <v>373</v>
      </c>
      <c r="BH172" s="619">
        <v>153</v>
      </c>
      <c r="BI172" s="619">
        <v>20</v>
      </c>
      <c r="BJ172" s="619">
        <v>9</v>
      </c>
      <c r="BK172" s="619">
        <v>5</v>
      </c>
      <c r="BL172" s="619">
        <v>77</v>
      </c>
      <c r="BM172" s="619">
        <v>5</v>
      </c>
    </row>
    <row r="173" spans="1:65">
      <c r="B173" s="598" t="s">
        <v>3310</v>
      </c>
      <c r="C173" s="585" t="s">
        <v>3399</v>
      </c>
      <c r="D173" s="639"/>
      <c r="E173" s="584">
        <v>350000</v>
      </c>
      <c r="BB173" s="619" t="s">
        <v>3370</v>
      </c>
      <c r="BC173" s="619">
        <v>587</v>
      </c>
      <c r="BD173" s="619">
        <v>316</v>
      </c>
      <c r="BE173" s="619">
        <v>112</v>
      </c>
      <c r="BF173" s="619">
        <v>503</v>
      </c>
      <c r="BG173" s="619">
        <v>307</v>
      </c>
      <c r="BH173" s="619">
        <v>106</v>
      </c>
      <c r="BI173" s="619">
        <v>11</v>
      </c>
      <c r="BJ173" s="619">
        <v>7</v>
      </c>
      <c r="BK173" s="619">
        <v>6</v>
      </c>
      <c r="BL173" s="619">
        <v>73</v>
      </c>
      <c r="BM173" s="619">
        <v>2</v>
      </c>
    </row>
    <row r="174" spans="1:65">
      <c r="B174" s="598" t="s">
        <v>3059</v>
      </c>
      <c r="C174" s="585" t="s">
        <v>3400</v>
      </c>
      <c r="D174" s="671"/>
      <c r="E174" s="627">
        <v>200000</v>
      </c>
      <c r="BB174" s="619" t="s">
        <v>3371</v>
      </c>
      <c r="BC174" s="619">
        <v>486</v>
      </c>
      <c r="BD174" s="619">
        <v>333</v>
      </c>
      <c r="BE174" s="619">
        <v>185</v>
      </c>
      <c r="BF174" s="619">
        <v>426</v>
      </c>
      <c r="BG174" s="619">
        <v>315</v>
      </c>
      <c r="BH174" s="619">
        <v>182</v>
      </c>
      <c r="BI174" s="619">
        <v>9</v>
      </c>
      <c r="BJ174" s="619">
        <v>10</v>
      </c>
      <c r="BK174" s="619">
        <v>3</v>
      </c>
      <c r="BL174" s="619">
        <v>51</v>
      </c>
      <c r="BM174" s="619">
        <v>8</v>
      </c>
    </row>
    <row r="175" spans="1:65">
      <c r="D175" s="439" t="s">
        <v>3040</v>
      </c>
      <c r="E175" s="632">
        <f>SUM(E166:E174)</f>
        <v>14242322</v>
      </c>
      <c r="BB175" s="619" t="s">
        <v>3373</v>
      </c>
      <c r="BC175" s="619">
        <v>496</v>
      </c>
      <c r="BD175" s="619">
        <v>513</v>
      </c>
      <c r="BE175" s="619">
        <v>217</v>
      </c>
      <c r="BF175" s="619">
        <v>468</v>
      </c>
      <c r="BG175" s="619">
        <v>490</v>
      </c>
      <c r="BH175" s="619">
        <v>215</v>
      </c>
      <c r="BI175" s="619">
        <v>11</v>
      </c>
      <c r="BJ175" s="619">
        <v>12</v>
      </c>
      <c r="BK175" s="619">
        <v>2</v>
      </c>
      <c r="BL175" s="619">
        <v>17</v>
      </c>
      <c r="BM175" s="619">
        <v>11</v>
      </c>
    </row>
    <row r="176" spans="1:65">
      <c r="BB176" s="619" t="s">
        <v>3374</v>
      </c>
      <c r="BC176" s="619">
        <v>474</v>
      </c>
      <c r="BD176" s="619">
        <v>410</v>
      </c>
      <c r="BE176" s="619">
        <v>139</v>
      </c>
      <c r="BF176" s="619">
        <v>434</v>
      </c>
      <c r="BG176" s="619">
        <v>402</v>
      </c>
      <c r="BH176" s="619">
        <v>137</v>
      </c>
      <c r="BI176" s="619">
        <v>10</v>
      </c>
      <c r="BJ176" s="619">
        <v>1</v>
      </c>
      <c r="BK176" s="619">
        <v>2</v>
      </c>
      <c r="BL176" s="619">
        <v>30</v>
      </c>
      <c r="BM176" s="619">
        <v>7</v>
      </c>
    </row>
    <row r="177" spans="1:65">
      <c r="A177" s="598" t="s">
        <v>3401</v>
      </c>
      <c r="B177" s="598" t="s">
        <v>3127</v>
      </c>
      <c r="C177" s="585" t="s">
        <v>3402</v>
      </c>
      <c r="E177" s="584">
        <v>300000</v>
      </c>
      <c r="BB177" s="619" t="s">
        <v>3376</v>
      </c>
      <c r="BC177" s="619">
        <v>413</v>
      </c>
      <c r="BD177" s="619">
        <v>281</v>
      </c>
      <c r="BE177" s="619">
        <v>108</v>
      </c>
      <c r="BF177" s="619">
        <v>373</v>
      </c>
      <c r="BG177" s="619">
        <v>271</v>
      </c>
      <c r="BH177" s="619">
        <v>107</v>
      </c>
      <c r="BI177" s="619">
        <v>6</v>
      </c>
      <c r="BJ177" s="619">
        <v>6</v>
      </c>
      <c r="BK177" s="619">
        <v>1</v>
      </c>
      <c r="BL177" s="619">
        <v>34</v>
      </c>
      <c r="BM177" s="619">
        <v>4</v>
      </c>
    </row>
    <row r="178" spans="1:65">
      <c r="B178" s="598" t="s">
        <v>3229</v>
      </c>
      <c r="C178" s="585" t="s">
        <v>3403</v>
      </c>
      <c r="E178" s="584">
        <v>1800000</v>
      </c>
      <c r="BB178" s="619" t="s">
        <v>3378</v>
      </c>
      <c r="BC178" s="619">
        <v>330</v>
      </c>
      <c r="BD178" s="619">
        <v>193</v>
      </c>
      <c r="BE178" s="619">
        <v>44</v>
      </c>
      <c r="BF178" s="619">
        <v>291</v>
      </c>
      <c r="BG178" s="619">
        <v>184</v>
      </c>
      <c r="BH178" s="619">
        <v>43</v>
      </c>
      <c r="BI178" s="619">
        <v>9</v>
      </c>
      <c r="BJ178" s="619">
        <v>5</v>
      </c>
      <c r="BK178" s="619">
        <v>1</v>
      </c>
      <c r="BL178" s="619">
        <v>30</v>
      </c>
      <c r="BM178" s="619">
        <v>4</v>
      </c>
    </row>
    <row r="179" spans="1:65">
      <c r="B179" s="598" t="s">
        <v>3229</v>
      </c>
      <c r="C179" s="585" t="s">
        <v>3404</v>
      </c>
      <c r="E179" s="584">
        <v>764238</v>
      </c>
      <c r="BB179" s="619" t="s">
        <v>3380</v>
      </c>
      <c r="BC179" s="619">
        <v>237</v>
      </c>
      <c r="BD179" s="619">
        <v>138</v>
      </c>
      <c r="BE179" s="619">
        <v>37</v>
      </c>
      <c r="BF179" s="619">
        <v>210</v>
      </c>
      <c r="BG179" s="619">
        <v>137</v>
      </c>
      <c r="BH179" s="619">
        <v>37</v>
      </c>
      <c r="BI179" s="619">
        <v>3</v>
      </c>
      <c r="BJ179" s="619">
        <v>1</v>
      </c>
      <c r="BK179" s="619">
        <v>0</v>
      </c>
      <c r="BL179" s="619">
        <v>24</v>
      </c>
      <c r="BM179" s="619">
        <v>0</v>
      </c>
    </row>
    <row r="180" spans="1:65">
      <c r="B180" s="598" t="s">
        <v>3034</v>
      </c>
      <c r="C180" s="585" t="s">
        <v>3405</v>
      </c>
      <c r="E180" s="584">
        <v>3200000</v>
      </c>
      <c r="G180" s="584"/>
      <c r="BB180" s="619" t="s">
        <v>3382</v>
      </c>
      <c r="BC180" s="619">
        <v>186</v>
      </c>
      <c r="BD180" s="619">
        <v>80</v>
      </c>
      <c r="BE180" s="619">
        <v>20</v>
      </c>
      <c r="BF180" s="619">
        <v>168</v>
      </c>
      <c r="BG180" s="619">
        <v>78</v>
      </c>
      <c r="BH180" s="619">
        <v>20</v>
      </c>
      <c r="BI180" s="619">
        <v>5</v>
      </c>
      <c r="BJ180" s="619">
        <v>0</v>
      </c>
      <c r="BK180" s="619">
        <v>0</v>
      </c>
      <c r="BL180" s="619">
        <v>13</v>
      </c>
      <c r="BM180" s="619">
        <v>2</v>
      </c>
    </row>
    <row r="181" spans="1:65">
      <c r="B181" s="598" t="s">
        <v>3049</v>
      </c>
      <c r="C181" s="585" t="s">
        <v>3406</v>
      </c>
      <c r="E181" s="584">
        <v>1500000</v>
      </c>
      <c r="BB181" s="619"/>
      <c r="BC181" s="619"/>
      <c r="BD181" s="619"/>
      <c r="BE181" s="619"/>
      <c r="BF181" s="619"/>
      <c r="BG181" s="619"/>
      <c r="BH181" s="619"/>
      <c r="BI181" s="619"/>
      <c r="BJ181" s="619"/>
      <c r="BK181" s="619"/>
      <c r="BL181" s="619"/>
      <c r="BM181" s="619"/>
    </row>
    <row r="182" spans="1:65">
      <c r="B182" s="598" t="s">
        <v>3049</v>
      </c>
      <c r="C182" s="585" t="s">
        <v>3403</v>
      </c>
      <c r="E182" s="584">
        <v>3584010</v>
      </c>
      <c r="BB182" s="619" t="s">
        <v>3385</v>
      </c>
      <c r="BC182" s="619">
        <v>96</v>
      </c>
      <c r="BD182" s="619">
        <v>50</v>
      </c>
      <c r="BE182" s="619">
        <v>19</v>
      </c>
      <c r="BF182" s="619">
        <v>83</v>
      </c>
      <c r="BG182" s="619">
        <v>47</v>
      </c>
      <c r="BH182" s="619">
        <v>19</v>
      </c>
      <c r="BI182" s="619">
        <v>1</v>
      </c>
      <c r="BJ182" s="619">
        <v>2</v>
      </c>
      <c r="BK182" s="619">
        <v>0</v>
      </c>
      <c r="BL182" s="619">
        <v>12</v>
      </c>
      <c r="BM182" s="619">
        <v>1</v>
      </c>
    </row>
    <row r="183" spans="1:65">
      <c r="B183" s="598" t="s">
        <v>3059</v>
      </c>
      <c r="C183" s="585" t="s">
        <v>3407</v>
      </c>
      <c r="E183" s="584">
        <v>2837000</v>
      </c>
      <c r="BB183" s="619" t="s">
        <v>3386</v>
      </c>
      <c r="BC183" s="619">
        <v>72</v>
      </c>
      <c r="BD183" s="619">
        <v>31</v>
      </c>
      <c r="BE183" s="619">
        <v>7</v>
      </c>
      <c r="BF183" s="619">
        <v>63</v>
      </c>
      <c r="BG183" s="619">
        <v>30</v>
      </c>
      <c r="BH183" s="619">
        <v>7</v>
      </c>
      <c r="BI183" s="619">
        <v>2</v>
      </c>
      <c r="BJ183" s="619">
        <v>0</v>
      </c>
      <c r="BK183" s="619">
        <v>0</v>
      </c>
      <c r="BL183" s="619">
        <v>7</v>
      </c>
      <c r="BM183" s="619">
        <v>1</v>
      </c>
    </row>
    <row r="184" spans="1:65">
      <c r="B184" s="598" t="s">
        <v>3041</v>
      </c>
      <c r="C184" s="585" t="s">
        <v>3172</v>
      </c>
      <c r="D184" s="586"/>
      <c r="E184" s="627">
        <v>257074</v>
      </c>
      <c r="BB184" s="619" t="s">
        <v>3387</v>
      </c>
      <c r="BC184" s="619">
        <v>44</v>
      </c>
      <c r="BD184" s="619">
        <v>25</v>
      </c>
      <c r="BE184" s="619">
        <v>10</v>
      </c>
      <c r="BF184" s="619">
        <v>39</v>
      </c>
      <c r="BG184" s="619">
        <v>25</v>
      </c>
      <c r="BH184" s="619">
        <v>10</v>
      </c>
      <c r="BI184" s="619">
        <v>0</v>
      </c>
      <c r="BJ184" s="619">
        <v>0</v>
      </c>
      <c r="BK184" s="619">
        <v>0</v>
      </c>
      <c r="BL184" s="619">
        <v>5</v>
      </c>
      <c r="BM184" s="619">
        <v>0</v>
      </c>
    </row>
    <row r="185" spans="1:65">
      <c r="D185" s="439" t="s">
        <v>3040</v>
      </c>
      <c r="E185" s="632">
        <f>SUM(E177:E184)</f>
        <v>14242322</v>
      </c>
      <c r="BB185" s="619" t="s">
        <v>3388</v>
      </c>
      <c r="BC185" s="619">
        <v>25</v>
      </c>
      <c r="BD185" s="619">
        <v>22</v>
      </c>
      <c r="BE185" s="619">
        <v>2</v>
      </c>
      <c r="BF185" s="619">
        <v>22</v>
      </c>
      <c r="BG185" s="619">
        <v>21</v>
      </c>
      <c r="BH185" s="619">
        <v>2</v>
      </c>
      <c r="BI185" s="619">
        <v>0</v>
      </c>
      <c r="BJ185" s="619">
        <v>0</v>
      </c>
      <c r="BK185" s="619">
        <v>0</v>
      </c>
      <c r="BL185" s="619">
        <v>3</v>
      </c>
      <c r="BM185" s="619">
        <v>1</v>
      </c>
    </row>
    <row r="186" spans="1:65">
      <c r="B186" s="598" t="s">
        <v>3049</v>
      </c>
      <c r="C186" s="585" t="s">
        <v>3408</v>
      </c>
      <c r="D186" s="439"/>
      <c r="E186" s="672">
        <v>-286657</v>
      </c>
      <c r="BB186" s="619" t="s">
        <v>3391</v>
      </c>
      <c r="BC186" s="619">
        <v>10</v>
      </c>
      <c r="BD186" s="619">
        <v>7</v>
      </c>
      <c r="BE186" s="619">
        <v>3</v>
      </c>
      <c r="BF186" s="619">
        <v>10</v>
      </c>
      <c r="BG186" s="619">
        <v>7</v>
      </c>
      <c r="BH186" s="619">
        <v>3</v>
      </c>
      <c r="BI186" s="619">
        <v>0</v>
      </c>
      <c r="BJ186" s="619">
        <v>0</v>
      </c>
      <c r="BK186" s="619">
        <v>0</v>
      </c>
      <c r="BL186" s="619">
        <v>0</v>
      </c>
      <c r="BM186" s="619">
        <v>0</v>
      </c>
    </row>
    <row r="187" spans="1:65">
      <c r="A187" s="648"/>
      <c r="B187" s="648"/>
      <c r="C187" s="586"/>
      <c r="D187" s="477" t="s">
        <v>3409</v>
      </c>
      <c r="E187" s="627">
        <f>E185+E186</f>
        <v>13955665</v>
      </c>
      <c r="BB187" s="619" t="s">
        <v>2867</v>
      </c>
      <c r="BC187" s="619">
        <v>9</v>
      </c>
      <c r="BD187" s="619">
        <v>5</v>
      </c>
      <c r="BE187" s="619">
        <v>2</v>
      </c>
      <c r="BF187" s="619">
        <v>6</v>
      </c>
      <c r="BG187" s="619">
        <v>5</v>
      </c>
      <c r="BH187" s="619">
        <v>2</v>
      </c>
      <c r="BI187" s="619">
        <v>0</v>
      </c>
      <c r="BJ187" s="619">
        <v>0</v>
      </c>
      <c r="BK187" s="619">
        <v>0</v>
      </c>
      <c r="BL187" s="619">
        <v>3</v>
      </c>
      <c r="BM187" s="619">
        <v>0</v>
      </c>
    </row>
    <row r="188" spans="1:65">
      <c r="A188" s="592"/>
      <c r="B188" s="592"/>
      <c r="C188" s="2096" t="s">
        <v>3410</v>
      </c>
      <c r="D188" s="2096"/>
      <c r="E188" s="659">
        <f>E6+E13+E18+E23+E28+E33+E38+E46+E54+E75+E84+E92+E104+E116+E128+E142+E151+E164+E175+E187</f>
        <v>296346989</v>
      </c>
      <c r="BB188" s="626" t="s">
        <v>3064</v>
      </c>
      <c r="BC188" s="626">
        <v>19.8</v>
      </c>
      <c r="BD188" s="626">
        <v>21.4</v>
      </c>
      <c r="BE188" s="626">
        <v>19.399999999999999</v>
      </c>
      <c r="BF188" s="626">
        <v>20.3</v>
      </c>
      <c r="BG188" s="626">
        <v>21.5</v>
      </c>
      <c r="BH188" s="626">
        <v>19.600000000000001</v>
      </c>
      <c r="BI188" s="626">
        <v>18.100000000000001</v>
      </c>
      <c r="BJ188" s="626">
        <v>19.5</v>
      </c>
      <c r="BK188" s="626">
        <v>11.3</v>
      </c>
      <c r="BL188" s="626">
        <v>15.8</v>
      </c>
      <c r="BM188" s="626">
        <v>22.5</v>
      </c>
    </row>
    <row r="189" spans="1:65">
      <c r="A189" s="451" t="s">
        <v>3222</v>
      </c>
      <c r="BB189" s="382" t="s">
        <v>3348</v>
      </c>
      <c r="BC189" s="382"/>
      <c r="BD189" s="382"/>
      <c r="BE189" s="382"/>
      <c r="BF189" s="382"/>
      <c r="BG189" s="382"/>
      <c r="BH189" s="382"/>
      <c r="BI189" s="382"/>
      <c r="BJ189" s="382"/>
      <c r="BK189" s="382"/>
      <c r="BL189" s="382"/>
      <c r="BM189" s="382"/>
    </row>
    <row r="190" spans="1:65">
      <c r="A190" s="451" t="s">
        <v>3411</v>
      </c>
      <c r="BB190" s="382" t="s">
        <v>3412</v>
      </c>
      <c r="BC190" s="382"/>
      <c r="BD190" s="382"/>
      <c r="BE190" s="382"/>
      <c r="BF190" s="382"/>
      <c r="BG190" s="382"/>
      <c r="BH190" s="382"/>
      <c r="BI190" s="382"/>
      <c r="BJ190" s="382"/>
      <c r="BK190" s="382"/>
      <c r="BL190" s="382"/>
      <c r="BM190" s="382"/>
    </row>
    <row r="191" spans="1:65">
      <c r="G191" s="584"/>
      <c r="BB191" s="382" t="s">
        <v>3348</v>
      </c>
      <c r="BC191" s="382"/>
      <c r="BD191" s="382"/>
      <c r="BE191" s="382"/>
      <c r="BF191" s="382"/>
      <c r="BG191" s="382"/>
      <c r="BH191" s="382"/>
      <c r="BI191" s="382"/>
      <c r="BJ191" s="382"/>
      <c r="BK191" s="382"/>
      <c r="BL191" s="382"/>
      <c r="BM191" s="382"/>
    </row>
    <row r="192" spans="1:65">
      <c r="BB192" s="619" t="s">
        <v>3413</v>
      </c>
      <c r="BC192" s="619">
        <v>2934</v>
      </c>
      <c r="BD192" s="619">
        <v>2166</v>
      </c>
      <c r="BE192" s="619">
        <v>1009</v>
      </c>
      <c r="BF192" s="619">
        <v>2634</v>
      </c>
      <c r="BG192" s="619">
        <v>2092</v>
      </c>
      <c r="BH192" s="619">
        <v>979</v>
      </c>
      <c r="BI192" s="619">
        <v>63</v>
      </c>
      <c r="BJ192" s="619">
        <v>33</v>
      </c>
      <c r="BK192" s="619">
        <v>30</v>
      </c>
      <c r="BL192" s="619">
        <v>237</v>
      </c>
      <c r="BM192" s="619">
        <v>41</v>
      </c>
    </row>
    <row r="193" spans="54:65">
      <c r="BB193" s="619" t="s">
        <v>3171</v>
      </c>
      <c r="BC193" s="619">
        <v>1259</v>
      </c>
      <c r="BD193" s="619">
        <v>1120</v>
      </c>
      <c r="BE193" s="619">
        <v>594</v>
      </c>
      <c r="BF193" s="619">
        <v>1116</v>
      </c>
      <c r="BG193" s="619">
        <v>1080</v>
      </c>
      <c r="BH193" s="619">
        <v>572</v>
      </c>
      <c r="BI193" s="619">
        <v>25</v>
      </c>
      <c r="BJ193" s="619">
        <v>15</v>
      </c>
      <c r="BK193" s="619">
        <v>22</v>
      </c>
      <c r="BL193" s="619">
        <v>118</v>
      </c>
      <c r="BM193" s="619">
        <v>25</v>
      </c>
    </row>
    <row r="194" spans="54:65">
      <c r="BB194" s="619" t="s">
        <v>3414</v>
      </c>
      <c r="BC194" s="626">
        <v>42.910702113156098</v>
      </c>
      <c r="BD194" s="626">
        <v>51.708217913204059</v>
      </c>
      <c r="BE194" s="626">
        <v>58.870168483647177</v>
      </c>
      <c r="BF194" s="626">
        <v>42.369020501138955</v>
      </c>
      <c r="BG194" s="626">
        <v>51.625239005736141</v>
      </c>
      <c r="BH194" s="626">
        <v>58.426966292134829</v>
      </c>
      <c r="BI194" s="626">
        <v>39.682539682539684</v>
      </c>
      <c r="BJ194" s="626">
        <v>45.454545454545453</v>
      </c>
      <c r="BK194" s="626">
        <v>73.333333333333329</v>
      </c>
      <c r="BL194" s="626">
        <v>49.789029535864977</v>
      </c>
      <c r="BM194" s="626">
        <v>60.975609756097562</v>
      </c>
    </row>
    <row r="195" spans="54:65">
      <c r="BB195" s="619" t="s">
        <v>3157</v>
      </c>
      <c r="BC195" s="619">
        <v>1556</v>
      </c>
      <c r="BD195" s="619">
        <v>999</v>
      </c>
      <c r="BE195" s="619">
        <v>383</v>
      </c>
      <c r="BF195" s="619">
        <v>1408</v>
      </c>
      <c r="BG195" s="619">
        <v>966</v>
      </c>
      <c r="BH195" s="619">
        <v>376</v>
      </c>
      <c r="BI195" s="619">
        <v>37</v>
      </c>
      <c r="BJ195" s="619">
        <v>17</v>
      </c>
      <c r="BK195" s="619">
        <v>7</v>
      </c>
      <c r="BL195" s="619">
        <v>111</v>
      </c>
      <c r="BM195" s="619">
        <v>16</v>
      </c>
    </row>
    <row r="196" spans="54:65">
      <c r="BB196" s="619" t="s">
        <v>3415</v>
      </c>
      <c r="BC196" s="619">
        <v>342</v>
      </c>
      <c r="BD196" s="619">
        <v>319</v>
      </c>
      <c r="BE196" s="619">
        <v>0</v>
      </c>
      <c r="BF196" s="619">
        <v>276</v>
      </c>
      <c r="BG196" s="619">
        <v>304</v>
      </c>
      <c r="BH196" s="619">
        <v>0</v>
      </c>
      <c r="BI196" s="619">
        <v>18</v>
      </c>
      <c r="BJ196" s="619">
        <v>11</v>
      </c>
      <c r="BK196" s="619">
        <v>0</v>
      </c>
      <c r="BL196" s="619">
        <v>48</v>
      </c>
      <c r="BM196" s="619">
        <v>4</v>
      </c>
    </row>
    <row r="197" spans="54:65">
      <c r="BB197" s="619" t="s">
        <v>3167</v>
      </c>
      <c r="BC197" s="619">
        <v>78</v>
      </c>
      <c r="BD197" s="619">
        <v>23</v>
      </c>
      <c r="BE197" s="619">
        <v>2</v>
      </c>
      <c r="BF197" s="619">
        <v>73</v>
      </c>
      <c r="BG197" s="619">
        <v>22</v>
      </c>
      <c r="BH197" s="619">
        <v>2</v>
      </c>
      <c r="BI197" s="619">
        <v>0</v>
      </c>
      <c r="BJ197" s="619">
        <v>1</v>
      </c>
      <c r="BK197" s="619">
        <v>0</v>
      </c>
      <c r="BL197" s="619">
        <v>5</v>
      </c>
      <c r="BM197" s="619">
        <v>0</v>
      </c>
    </row>
    <row r="198" spans="54:65">
      <c r="BB198" s="619" t="s">
        <v>3162</v>
      </c>
      <c r="BC198" s="619">
        <v>22</v>
      </c>
      <c r="BD198" s="619">
        <v>12</v>
      </c>
      <c r="BE198" s="619">
        <v>5</v>
      </c>
      <c r="BF198" s="619">
        <v>21</v>
      </c>
      <c r="BG198" s="619">
        <v>12</v>
      </c>
      <c r="BH198" s="619">
        <v>5</v>
      </c>
      <c r="BI198" s="619">
        <v>1</v>
      </c>
      <c r="BJ198" s="619">
        <v>0</v>
      </c>
      <c r="BK198" s="619">
        <v>0</v>
      </c>
      <c r="BL198" s="619">
        <v>0</v>
      </c>
      <c r="BM198" s="619">
        <v>0</v>
      </c>
    </row>
    <row r="199" spans="54:65">
      <c r="BB199" s="619" t="s">
        <v>3416</v>
      </c>
      <c r="BC199" s="619">
        <v>19</v>
      </c>
      <c r="BD199" s="619">
        <v>12</v>
      </c>
      <c r="BE199" s="619">
        <v>25</v>
      </c>
      <c r="BF199" s="619">
        <v>16</v>
      </c>
      <c r="BG199" s="619">
        <v>12</v>
      </c>
      <c r="BH199" s="619">
        <v>24</v>
      </c>
      <c r="BI199" s="619">
        <v>0</v>
      </c>
      <c r="BJ199" s="619">
        <v>0</v>
      </c>
      <c r="BK199" s="619">
        <v>1</v>
      </c>
      <c r="BL199" s="619">
        <v>3</v>
      </c>
      <c r="BM199" s="619">
        <v>0</v>
      </c>
    </row>
    <row r="200" spans="54:65">
      <c r="BB200" s="619" t="s">
        <v>3348</v>
      </c>
      <c r="BC200" s="619"/>
      <c r="BD200" s="619"/>
      <c r="BE200" s="619"/>
      <c r="BF200" s="619"/>
      <c r="BG200" s="619"/>
      <c r="BH200" s="619"/>
      <c r="BI200" s="619"/>
      <c r="BJ200" s="619"/>
      <c r="BK200" s="619"/>
      <c r="BL200" s="619"/>
      <c r="BM200" s="619"/>
    </row>
    <row r="201" spans="54:65">
      <c r="BB201" s="619" t="s">
        <v>3417</v>
      </c>
      <c r="BC201" s="619">
        <v>2878</v>
      </c>
      <c r="BD201" s="619">
        <v>2088</v>
      </c>
      <c r="BE201" s="619">
        <v>793</v>
      </c>
      <c r="BF201" s="619">
        <v>2593</v>
      </c>
      <c r="BG201" s="619">
        <v>2012</v>
      </c>
      <c r="BH201" s="619">
        <v>784</v>
      </c>
      <c r="BI201" s="619">
        <v>56</v>
      </c>
      <c r="BJ201" s="619">
        <v>37</v>
      </c>
      <c r="BK201" s="619">
        <v>9</v>
      </c>
      <c r="BL201" s="619">
        <v>229</v>
      </c>
      <c r="BM201" s="619">
        <v>39</v>
      </c>
    </row>
    <row r="202" spans="54:65">
      <c r="BB202" s="619" t="s">
        <v>3171</v>
      </c>
      <c r="BC202" s="619">
        <v>1029</v>
      </c>
      <c r="BD202" s="619">
        <v>920</v>
      </c>
      <c r="BE202" s="619">
        <v>409</v>
      </c>
      <c r="BF202" s="619">
        <v>922</v>
      </c>
      <c r="BG202" s="619">
        <v>881</v>
      </c>
      <c r="BH202" s="619">
        <v>405</v>
      </c>
      <c r="BI202" s="619">
        <v>17</v>
      </c>
      <c r="BJ202" s="619">
        <v>17</v>
      </c>
      <c r="BK202" s="619">
        <v>4</v>
      </c>
      <c r="BL202" s="619">
        <v>90</v>
      </c>
      <c r="BM202" s="619">
        <v>22</v>
      </c>
    </row>
    <row r="203" spans="54:65">
      <c r="BB203" s="619" t="s">
        <v>3119</v>
      </c>
      <c r="BC203" s="626">
        <v>35.753995830437802</v>
      </c>
      <c r="BD203" s="626">
        <v>44.061302681992338</v>
      </c>
      <c r="BE203" s="626">
        <v>51.576292559899116</v>
      </c>
      <c r="BF203" s="626">
        <v>35.557269571924415</v>
      </c>
      <c r="BG203" s="626">
        <v>43.787276341948314</v>
      </c>
      <c r="BH203" s="626">
        <v>51.658163265306122</v>
      </c>
      <c r="BI203" s="626">
        <v>30.357142857142858</v>
      </c>
      <c r="BJ203" s="626">
        <v>45.945945945945944</v>
      </c>
      <c r="BK203" s="626">
        <v>44.444444444444443</v>
      </c>
      <c r="BL203" s="626">
        <v>39.301310043668124</v>
      </c>
      <c r="BM203" s="626">
        <v>56.410256410256409</v>
      </c>
    </row>
    <row r="204" spans="54:65">
      <c r="BB204" s="619" t="s">
        <v>3157</v>
      </c>
      <c r="BC204" s="619">
        <v>1608</v>
      </c>
      <c r="BD204" s="619">
        <v>1025</v>
      </c>
      <c r="BE204" s="619">
        <v>343</v>
      </c>
      <c r="BF204" s="619">
        <v>1450</v>
      </c>
      <c r="BG204" s="619">
        <v>993</v>
      </c>
      <c r="BH204" s="619">
        <v>338</v>
      </c>
      <c r="BI204" s="619">
        <v>39</v>
      </c>
      <c r="BJ204" s="619">
        <v>17</v>
      </c>
      <c r="BK204" s="619">
        <v>5</v>
      </c>
      <c r="BL204" s="619">
        <v>120</v>
      </c>
      <c r="BM204" s="619">
        <v>15</v>
      </c>
    </row>
    <row r="205" spans="54:65">
      <c r="BB205" s="619" t="s">
        <v>3415</v>
      </c>
      <c r="BC205" s="619">
        <v>349</v>
      </c>
      <c r="BD205" s="619">
        <v>341</v>
      </c>
      <c r="BE205" s="619">
        <v>0</v>
      </c>
      <c r="BF205" s="619">
        <v>278</v>
      </c>
      <c r="BG205" s="619">
        <v>328</v>
      </c>
      <c r="BH205" s="619">
        <v>0</v>
      </c>
      <c r="BI205" s="619">
        <v>19</v>
      </c>
      <c r="BJ205" s="619">
        <v>10</v>
      </c>
      <c r="BK205" s="619">
        <v>0</v>
      </c>
      <c r="BL205" s="619">
        <v>52</v>
      </c>
      <c r="BM205" s="619">
        <v>3</v>
      </c>
    </row>
    <row r="206" spans="54:65">
      <c r="BB206" s="619" t="s">
        <v>3167</v>
      </c>
      <c r="BC206" s="619">
        <v>101</v>
      </c>
      <c r="BD206" s="619">
        <v>54</v>
      </c>
      <c r="BE206" s="619">
        <v>7</v>
      </c>
      <c r="BF206" s="619">
        <v>92</v>
      </c>
      <c r="BG206" s="619">
        <v>53</v>
      </c>
      <c r="BH206" s="619">
        <v>7</v>
      </c>
      <c r="BI206" s="619">
        <v>2</v>
      </c>
      <c r="BJ206" s="619">
        <v>1</v>
      </c>
      <c r="BK206" s="619">
        <v>0</v>
      </c>
      <c r="BL206" s="619">
        <v>8</v>
      </c>
      <c r="BM206" s="619">
        <v>0</v>
      </c>
    </row>
    <row r="207" spans="54:65">
      <c r="BB207" s="619" t="s">
        <v>3162</v>
      </c>
      <c r="BC207" s="619">
        <v>99</v>
      </c>
      <c r="BD207" s="619">
        <v>69</v>
      </c>
      <c r="BE207" s="619">
        <v>15</v>
      </c>
      <c r="BF207" s="619">
        <v>93</v>
      </c>
      <c r="BG207" s="619">
        <v>66</v>
      </c>
      <c r="BH207" s="619">
        <v>15</v>
      </c>
      <c r="BI207" s="619">
        <v>0</v>
      </c>
      <c r="BJ207" s="619">
        <v>2</v>
      </c>
      <c r="BK207" s="619">
        <v>0</v>
      </c>
      <c r="BL207" s="619">
        <v>6</v>
      </c>
      <c r="BM207" s="619">
        <v>1</v>
      </c>
    </row>
    <row r="208" spans="54:65">
      <c r="BB208" s="619" t="s">
        <v>3416</v>
      </c>
      <c r="BC208" s="619">
        <v>41</v>
      </c>
      <c r="BD208" s="619">
        <v>20</v>
      </c>
      <c r="BE208" s="619">
        <v>19</v>
      </c>
      <c r="BF208" s="619">
        <v>36</v>
      </c>
      <c r="BG208" s="619">
        <v>19</v>
      </c>
      <c r="BH208" s="619">
        <v>19</v>
      </c>
      <c r="BI208" s="619">
        <v>0</v>
      </c>
      <c r="BJ208" s="619">
        <v>0</v>
      </c>
      <c r="BK208" s="619">
        <v>0</v>
      </c>
      <c r="BL208" s="619">
        <v>5</v>
      </c>
      <c r="BM208" s="619">
        <v>1</v>
      </c>
    </row>
    <row r="209" spans="54:65">
      <c r="BB209" s="673"/>
      <c r="BC209" s="673"/>
      <c r="BD209" s="673"/>
      <c r="BE209" s="673"/>
      <c r="BF209" s="673"/>
      <c r="BG209" s="673"/>
      <c r="BH209" s="673"/>
      <c r="BI209" s="673"/>
      <c r="BJ209" s="673"/>
      <c r="BK209" s="673"/>
      <c r="BL209" s="673"/>
      <c r="BM209" s="673"/>
    </row>
    <row r="210" spans="54:65">
      <c r="BB210" s="382" t="s">
        <v>3418</v>
      </c>
      <c r="BC210" s="382"/>
      <c r="BD210" s="382"/>
      <c r="BE210" s="382"/>
      <c r="BF210" s="382"/>
      <c r="BG210" s="382"/>
      <c r="BH210" s="382"/>
      <c r="BI210" s="382"/>
      <c r="BJ210" s="382"/>
      <c r="BK210" s="382"/>
      <c r="BL210" s="382"/>
      <c r="BM210" s="382"/>
    </row>
    <row r="211" spans="54:65">
      <c r="BB211" s="382" t="s">
        <v>3419</v>
      </c>
      <c r="BC211" s="382"/>
      <c r="BD211" s="382"/>
      <c r="BE211" s="382"/>
      <c r="BF211" s="382"/>
      <c r="BG211" s="382"/>
      <c r="BH211" s="382"/>
      <c r="BI211" s="382"/>
      <c r="BJ211" s="382"/>
      <c r="BK211" s="382"/>
      <c r="BL211" s="382"/>
      <c r="BM211" s="382"/>
    </row>
    <row r="212" spans="54:65">
      <c r="BB212" s="382" t="s">
        <v>3420</v>
      </c>
      <c r="BC212" s="382"/>
      <c r="BD212" s="382"/>
      <c r="BE212" s="382"/>
      <c r="BF212" s="382"/>
      <c r="BG212" s="382"/>
      <c r="BH212" s="382"/>
      <c r="BI212" s="382"/>
      <c r="BJ212" s="382"/>
      <c r="BK212" s="382"/>
      <c r="BL212" s="382"/>
      <c r="BM212" s="382"/>
    </row>
    <row r="213" spans="54:65">
      <c r="BB213" s="382" t="s">
        <v>3149</v>
      </c>
      <c r="BC213" s="382"/>
      <c r="BD213" s="382"/>
      <c r="BE213" s="382"/>
      <c r="BF213" s="382"/>
      <c r="BG213" s="382"/>
      <c r="BH213" s="382"/>
      <c r="BI213" s="382"/>
      <c r="BJ213" s="382"/>
      <c r="BK213" s="382"/>
      <c r="BL213" s="382"/>
      <c r="BM213" s="382"/>
    </row>
    <row r="214" spans="54:65">
      <c r="BB214" s="382" t="s">
        <v>3153</v>
      </c>
      <c r="BC214" s="382"/>
      <c r="BD214" s="382"/>
      <c r="BE214" s="382"/>
      <c r="BF214" s="382"/>
      <c r="BG214" s="382"/>
      <c r="BH214" s="382"/>
      <c r="BI214" s="382"/>
      <c r="BJ214" s="382"/>
      <c r="BK214" s="382"/>
      <c r="BL214" s="382"/>
      <c r="BM214" s="382"/>
    </row>
  </sheetData>
  <mergeCells count="60">
    <mergeCell ref="AL2:AL3"/>
    <mergeCell ref="A1:E1"/>
    <mergeCell ref="G1:K1"/>
    <mergeCell ref="D2:E2"/>
    <mergeCell ref="J2:K2"/>
    <mergeCell ref="T2:V2"/>
    <mergeCell ref="W2:Y2"/>
    <mergeCell ref="AB2:AB3"/>
    <mergeCell ref="AC2:AC3"/>
    <mergeCell ref="AD2:AG2"/>
    <mergeCell ref="AH2:AH3"/>
    <mergeCell ref="AI2:AI3"/>
    <mergeCell ref="BC2:BE2"/>
    <mergeCell ref="BF2:BH2"/>
    <mergeCell ref="BI2:BK2"/>
    <mergeCell ref="BL2:BM2"/>
    <mergeCell ref="BQ2:BU2"/>
    <mergeCell ref="G52:K52"/>
    <mergeCell ref="J54:K54"/>
    <mergeCell ref="DI2:DM2"/>
    <mergeCell ref="DN2:DR2"/>
    <mergeCell ref="DS2:DW2"/>
    <mergeCell ref="BC30:BE30"/>
    <mergeCell ref="BF30:BH30"/>
    <mergeCell ref="BI30:BK30"/>
    <mergeCell ref="BL30:BM30"/>
    <mergeCell ref="BV2:BZ2"/>
    <mergeCell ref="CA2:CE2"/>
    <mergeCell ref="CI2:CM2"/>
    <mergeCell ref="CN2:CR2"/>
    <mergeCell ref="CS2:CW2"/>
    <mergeCell ref="DA2:DE2"/>
    <mergeCell ref="AM2:AS2"/>
    <mergeCell ref="BL77:BM77"/>
    <mergeCell ref="BC51:BE51"/>
    <mergeCell ref="BF51:BH51"/>
    <mergeCell ref="BI51:BK51"/>
    <mergeCell ref="BL51:BM51"/>
    <mergeCell ref="A59:E59"/>
    <mergeCell ref="D61:E61"/>
    <mergeCell ref="BC77:BE77"/>
    <mergeCell ref="BF77:BH77"/>
    <mergeCell ref="BI77:BK77"/>
    <mergeCell ref="BF146:BH146"/>
    <mergeCell ref="BI146:BK146"/>
    <mergeCell ref="BL146:BM146"/>
    <mergeCell ref="I80:J80"/>
    <mergeCell ref="BC99:BE99"/>
    <mergeCell ref="BF99:BH99"/>
    <mergeCell ref="BI99:BK99"/>
    <mergeCell ref="BL99:BM99"/>
    <mergeCell ref="BC124:BE124"/>
    <mergeCell ref="BF124:BH124"/>
    <mergeCell ref="BI124:BK124"/>
    <mergeCell ref="BL124:BM124"/>
    <mergeCell ref="C152:D152"/>
    <mergeCell ref="C188:D188"/>
    <mergeCell ref="A133:E133"/>
    <mergeCell ref="D135:E135"/>
    <mergeCell ref="BC146:BE146"/>
  </mergeCells>
  <printOptions horizontalCentered="1" verticalCentered="1"/>
  <pageMargins left="0.75" right="0.75" top="1" bottom="1" header="0.5" footer="0.5"/>
  <pageSetup scale="92"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CA535-E45A-4F0B-9CCF-1353713039E0}">
  <sheetPr>
    <tabColor rgb="FFFFFF00"/>
  </sheetPr>
  <dimension ref="A1:AJ243"/>
  <sheetViews>
    <sheetView showGridLines="0" zoomScale="90" zoomScaleNormal="90" workbookViewId="0">
      <selection activeCell="AG12" sqref="AG12"/>
    </sheetView>
  </sheetViews>
  <sheetFormatPr defaultRowHeight="15"/>
  <cols>
    <col min="1" max="1" width="37.140625" customWidth="1"/>
    <col min="12" max="12" width="34" customWidth="1"/>
    <col min="13" max="13" width="12" customWidth="1"/>
    <col min="14" max="14" width="12.42578125" customWidth="1"/>
    <col min="15" max="15" width="11.85546875" customWidth="1"/>
    <col min="16" max="16" width="12.42578125" customWidth="1"/>
    <col min="19" max="19" width="35.28515625" customWidth="1"/>
    <col min="20" max="21" width="12.140625" customWidth="1"/>
    <col min="22" max="22" width="12" customWidth="1"/>
    <col min="23" max="23" width="12.7109375" customWidth="1"/>
    <col min="27" max="27" width="11" customWidth="1"/>
    <col min="28" max="29" width="10.7109375" customWidth="1"/>
    <col min="30" max="30" width="10.85546875" customWidth="1"/>
    <col min="31" max="31" width="10.5703125" customWidth="1"/>
    <col min="32" max="32" width="12.28515625" customWidth="1"/>
  </cols>
  <sheetData>
    <row r="1" spans="1:32" ht="12" customHeight="1">
      <c r="A1" s="1" t="s">
        <v>0</v>
      </c>
      <c r="B1" s="2"/>
      <c r="C1" s="2"/>
      <c r="D1" s="2"/>
      <c r="E1" s="3"/>
      <c r="F1" s="2036"/>
      <c r="G1" s="2036"/>
      <c r="H1" s="2036"/>
      <c r="I1" s="2036"/>
      <c r="L1" s="1" t="s">
        <v>40</v>
      </c>
      <c r="M1" s="3"/>
      <c r="N1" s="3"/>
      <c r="O1" s="3"/>
      <c r="P1" s="3"/>
      <c r="S1" s="1" t="s">
        <v>107</v>
      </c>
      <c r="T1" s="3"/>
      <c r="U1" s="3"/>
      <c r="V1" s="3"/>
      <c r="W1" s="3"/>
      <c r="Z1" s="1" t="s">
        <v>113</v>
      </c>
      <c r="AA1" s="2"/>
      <c r="AB1" s="2"/>
      <c r="AC1" s="2"/>
      <c r="AD1" s="2"/>
      <c r="AE1" s="2"/>
      <c r="AF1" s="2"/>
    </row>
    <row r="2" spans="1:32" ht="12" customHeight="1">
      <c r="A2" s="2" t="s">
        <v>1</v>
      </c>
      <c r="B2" s="2"/>
      <c r="C2" s="2"/>
      <c r="D2" s="2"/>
      <c r="E2" s="2"/>
      <c r="F2" s="2"/>
      <c r="G2" s="2"/>
      <c r="H2" s="2"/>
      <c r="I2" s="2"/>
      <c r="L2" s="3" t="s">
        <v>41</v>
      </c>
      <c r="M2" s="3"/>
      <c r="N2" s="3"/>
      <c r="O2" s="3"/>
      <c r="P2" s="3"/>
      <c r="S2" s="3" t="s">
        <v>41</v>
      </c>
      <c r="T2" s="3"/>
      <c r="U2" s="3"/>
      <c r="V2" s="3"/>
      <c r="W2" s="3"/>
      <c r="Z2" s="41" t="s">
        <v>114</v>
      </c>
      <c r="AA2" s="37" t="s">
        <v>115</v>
      </c>
      <c r="AB2" s="1849" t="s">
        <v>116</v>
      </c>
      <c r="AC2" s="109" t="s">
        <v>117</v>
      </c>
      <c r="AD2" s="1846" t="s">
        <v>118</v>
      </c>
      <c r="AE2" s="1849" t="s">
        <v>119</v>
      </c>
      <c r="AF2" s="1846" t="s">
        <v>120</v>
      </c>
    </row>
    <row r="3" spans="1:32" ht="13.5" customHeight="1">
      <c r="A3" s="2115" t="s">
        <v>4</v>
      </c>
      <c r="B3" s="2119" t="s">
        <v>2</v>
      </c>
      <c r="C3" s="2119"/>
      <c r="D3" s="2119"/>
      <c r="E3" s="2119"/>
      <c r="F3" s="2120" t="s">
        <v>3</v>
      </c>
      <c r="G3" s="2120"/>
      <c r="H3" s="2120"/>
      <c r="I3" s="2033"/>
      <c r="L3" s="2117" t="s">
        <v>4</v>
      </c>
      <c r="M3" s="2063" t="s">
        <v>2</v>
      </c>
      <c r="N3" s="2063"/>
      <c r="O3" s="2063"/>
      <c r="P3" s="2039"/>
      <c r="S3" s="32"/>
      <c r="T3" s="2047" t="s">
        <v>34</v>
      </c>
      <c r="U3" s="2047"/>
      <c r="V3" s="2047"/>
      <c r="W3" s="2042"/>
      <c r="Z3" s="42" t="s">
        <v>121</v>
      </c>
      <c r="AA3" s="38" t="s">
        <v>122</v>
      </c>
      <c r="AB3" s="1848" t="s">
        <v>122</v>
      </c>
      <c r="AC3" s="106" t="s">
        <v>122</v>
      </c>
      <c r="AD3" s="1847" t="s">
        <v>122</v>
      </c>
      <c r="AE3" s="1848" t="s">
        <v>123</v>
      </c>
      <c r="AF3" s="1847" t="s">
        <v>124</v>
      </c>
    </row>
    <row r="4" spans="1:32">
      <c r="A4" s="2116"/>
      <c r="B4" s="15" t="s">
        <v>5</v>
      </c>
      <c r="C4" s="15" t="s">
        <v>6</v>
      </c>
      <c r="D4" s="15" t="s">
        <v>7</v>
      </c>
      <c r="E4" s="16" t="s">
        <v>8</v>
      </c>
      <c r="F4" s="17" t="s">
        <v>5</v>
      </c>
      <c r="G4" s="17" t="s">
        <v>9</v>
      </c>
      <c r="H4" s="17" t="s">
        <v>10</v>
      </c>
      <c r="I4" s="18" t="s">
        <v>8</v>
      </c>
      <c r="L4" s="2118"/>
      <c r="M4" s="15" t="s">
        <v>42</v>
      </c>
      <c r="N4" s="15" t="s">
        <v>43</v>
      </c>
      <c r="O4" s="15" t="s">
        <v>44</v>
      </c>
      <c r="P4" s="31" t="s">
        <v>45</v>
      </c>
      <c r="S4" s="32" t="s">
        <v>4</v>
      </c>
      <c r="T4" s="9" t="s">
        <v>42</v>
      </c>
      <c r="U4" s="9" t="s">
        <v>43</v>
      </c>
      <c r="V4" s="9" t="s">
        <v>44</v>
      </c>
      <c r="W4" s="33" t="s">
        <v>45</v>
      </c>
      <c r="Z4" s="34">
        <v>2024</v>
      </c>
      <c r="AA4" s="4">
        <v>164</v>
      </c>
      <c r="AB4" s="4">
        <v>171.1</v>
      </c>
      <c r="AC4" s="4">
        <v>171.4</v>
      </c>
      <c r="AD4" s="4">
        <v>172.1</v>
      </c>
      <c r="AE4" s="4">
        <v>169.6</v>
      </c>
      <c r="AF4" s="4">
        <v>4.0999999999999996</v>
      </c>
    </row>
    <row r="5" spans="1:32" ht="12.75" customHeight="1">
      <c r="A5" s="20" t="s">
        <v>11</v>
      </c>
      <c r="B5" s="22">
        <v>164.1</v>
      </c>
      <c r="C5" s="22">
        <v>171.1</v>
      </c>
      <c r="D5" s="22">
        <v>171.4</v>
      </c>
      <c r="E5" s="22">
        <v>172.1</v>
      </c>
      <c r="F5" s="22">
        <v>163.6</v>
      </c>
      <c r="G5" s="22">
        <v>164.3</v>
      </c>
      <c r="H5" s="22">
        <v>161</v>
      </c>
      <c r="I5" s="22">
        <v>162.6</v>
      </c>
      <c r="L5" s="20" t="s">
        <v>106</v>
      </c>
      <c r="M5" s="5">
        <v>164.1</v>
      </c>
      <c r="N5" s="5">
        <v>171.1</v>
      </c>
      <c r="O5" s="5">
        <v>171.4</v>
      </c>
      <c r="P5" s="5">
        <v>172.1</v>
      </c>
      <c r="S5" s="20" t="s">
        <v>11</v>
      </c>
      <c r="T5" s="22">
        <v>143.69999999999999</v>
      </c>
      <c r="U5" s="22">
        <v>147.9</v>
      </c>
      <c r="V5" s="22">
        <v>151.1</v>
      </c>
      <c r="W5" s="22">
        <v>156.80000000000001</v>
      </c>
      <c r="Z5" s="35">
        <v>2023</v>
      </c>
      <c r="AA5" s="5">
        <v>163.6</v>
      </c>
      <c r="AB5" s="5">
        <v>164.3</v>
      </c>
      <c r="AC5" s="5">
        <v>161.1</v>
      </c>
      <c r="AD5" s="5">
        <v>162.6</v>
      </c>
      <c r="AE5" s="5">
        <v>162.9</v>
      </c>
      <c r="AF5" s="5">
        <v>8.6999999999999993</v>
      </c>
    </row>
    <row r="6" spans="1:32" ht="12.95" customHeight="1">
      <c r="A6" s="3" t="s">
        <v>12</v>
      </c>
      <c r="B6" s="5">
        <v>188.9</v>
      </c>
      <c r="C6" s="5">
        <v>188.8</v>
      </c>
      <c r="D6" s="5">
        <v>189.5</v>
      </c>
      <c r="E6" s="5">
        <v>190.6</v>
      </c>
      <c r="F6" s="5">
        <v>187.4</v>
      </c>
      <c r="G6" s="5">
        <v>189.3</v>
      </c>
      <c r="H6" s="5">
        <v>189.1</v>
      </c>
      <c r="I6" s="5">
        <v>189.2</v>
      </c>
      <c r="L6" s="20" t="s">
        <v>12</v>
      </c>
      <c r="M6" s="5">
        <v>188.9</v>
      </c>
      <c r="N6" s="5">
        <v>188.8</v>
      </c>
      <c r="O6" s="5">
        <v>189.5</v>
      </c>
      <c r="P6" s="5">
        <v>190.6</v>
      </c>
      <c r="S6" s="20" t="s">
        <v>12</v>
      </c>
      <c r="T6" s="22">
        <v>169.4</v>
      </c>
      <c r="U6" s="22">
        <v>175.1</v>
      </c>
      <c r="V6" s="22">
        <v>178</v>
      </c>
      <c r="W6" s="22">
        <v>183.7</v>
      </c>
      <c r="Z6" s="35">
        <v>2022</v>
      </c>
      <c r="AA6" s="5">
        <v>143.69999999999999</v>
      </c>
      <c r="AB6" s="5">
        <v>147.9</v>
      </c>
      <c r="AC6" s="5">
        <v>151.1</v>
      </c>
      <c r="AD6" s="5">
        <v>156.80000000000001</v>
      </c>
      <c r="AE6" s="5">
        <v>149.9</v>
      </c>
      <c r="AF6" s="5">
        <v>7.9</v>
      </c>
    </row>
    <row r="7" spans="1:32" ht="12.95" customHeight="1">
      <c r="A7" s="3" t="s">
        <v>13</v>
      </c>
      <c r="B7" s="5">
        <v>143.9</v>
      </c>
      <c r="C7" s="5">
        <v>146.1</v>
      </c>
      <c r="D7" s="5">
        <v>146.1</v>
      </c>
      <c r="E7" s="5">
        <v>147.6</v>
      </c>
      <c r="F7" s="5">
        <v>149.80000000000001</v>
      </c>
      <c r="G7" s="5">
        <v>149.69999999999999</v>
      </c>
      <c r="H7" s="5">
        <v>140</v>
      </c>
      <c r="I7" s="5">
        <v>140.19999999999999</v>
      </c>
      <c r="L7" s="3" t="s">
        <v>46</v>
      </c>
      <c r="M7" s="5">
        <v>204.5</v>
      </c>
      <c r="N7" s="5">
        <v>190.7</v>
      </c>
      <c r="O7" s="5">
        <v>191</v>
      </c>
      <c r="P7" s="5">
        <v>192.8</v>
      </c>
      <c r="S7" s="3" t="s">
        <v>46</v>
      </c>
      <c r="T7" s="22">
        <v>161.69999999999999</v>
      </c>
      <c r="U7" s="22">
        <v>170.3</v>
      </c>
      <c r="V7" s="22">
        <v>178.6</v>
      </c>
      <c r="W7" s="22">
        <v>186.2</v>
      </c>
      <c r="Z7" s="35">
        <v>2021</v>
      </c>
      <c r="AA7" s="5">
        <v>135.80000000000001</v>
      </c>
      <c r="AB7" s="5">
        <v>137.80000000000001</v>
      </c>
      <c r="AC7" s="5">
        <v>140.9</v>
      </c>
      <c r="AD7" s="5">
        <v>141.30000000000001</v>
      </c>
      <c r="AE7" s="5">
        <v>140</v>
      </c>
      <c r="AF7" s="5">
        <v>4.5999999999999996</v>
      </c>
    </row>
    <row r="8" spans="1:32" ht="12.95" customHeight="1">
      <c r="A8" s="3" t="s">
        <v>14</v>
      </c>
      <c r="B8" s="5">
        <v>92.4</v>
      </c>
      <c r="C8" s="5">
        <v>91.9</v>
      </c>
      <c r="D8" s="5">
        <v>90.2</v>
      </c>
      <c r="E8" s="5">
        <v>91.4</v>
      </c>
      <c r="F8" s="5">
        <v>93</v>
      </c>
      <c r="G8" s="5">
        <v>92.2</v>
      </c>
      <c r="H8" s="5">
        <v>92.4</v>
      </c>
      <c r="I8" s="5">
        <v>92.4</v>
      </c>
      <c r="L8" s="3" t="s">
        <v>47</v>
      </c>
      <c r="M8" s="5">
        <v>188.7</v>
      </c>
      <c r="N8" s="5">
        <v>189.1</v>
      </c>
      <c r="O8" s="5">
        <v>189.1</v>
      </c>
      <c r="P8" s="5">
        <v>192.2</v>
      </c>
      <c r="S8" s="3" t="s">
        <v>47</v>
      </c>
      <c r="T8" s="22">
        <v>166.4</v>
      </c>
      <c r="U8" s="22">
        <v>171.5</v>
      </c>
      <c r="V8" s="22">
        <v>170</v>
      </c>
      <c r="W8" s="22">
        <v>181.7</v>
      </c>
      <c r="Z8" s="35">
        <v>2020</v>
      </c>
      <c r="AA8" s="5">
        <v>133.5</v>
      </c>
      <c r="AB8" s="5">
        <v>134.9</v>
      </c>
      <c r="AC8" s="5">
        <v>132.9</v>
      </c>
      <c r="AD8" s="5">
        <v>134.19999999999999</v>
      </c>
      <c r="AE8" s="5">
        <v>133.9</v>
      </c>
      <c r="AF8" s="5">
        <v>1.7</v>
      </c>
    </row>
    <row r="9" spans="1:32" ht="12.95" customHeight="1">
      <c r="A9" s="3" t="s">
        <v>15</v>
      </c>
      <c r="B9" s="5">
        <v>129</v>
      </c>
      <c r="C9" s="5">
        <v>130.9</v>
      </c>
      <c r="D9" s="5">
        <v>132.5</v>
      </c>
      <c r="E9" s="5">
        <v>132.5</v>
      </c>
      <c r="F9" s="5">
        <v>126.4</v>
      </c>
      <c r="G9" s="5">
        <v>126.9</v>
      </c>
      <c r="H9" s="5">
        <v>128.19999999999999</v>
      </c>
      <c r="I9" s="5">
        <v>128.30000000000001</v>
      </c>
      <c r="L9" s="3" t="s">
        <v>48</v>
      </c>
      <c r="M9" s="5">
        <v>215.6</v>
      </c>
      <c r="N9" s="5">
        <v>229.9</v>
      </c>
      <c r="O9" s="5">
        <v>230.7</v>
      </c>
      <c r="P9" s="5">
        <v>232.2</v>
      </c>
      <c r="S9" s="3" t="s">
        <v>48</v>
      </c>
      <c r="T9" s="22">
        <v>206.3</v>
      </c>
      <c r="U9" s="22">
        <v>216.9</v>
      </c>
      <c r="V9" s="22">
        <v>211.1</v>
      </c>
      <c r="W9" s="22">
        <v>203.5</v>
      </c>
      <c r="Z9" s="35">
        <v>2019</v>
      </c>
      <c r="AA9" s="5">
        <v>130.1</v>
      </c>
      <c r="AB9" s="5">
        <v>131.6</v>
      </c>
      <c r="AC9" s="5">
        <v>131.80000000000001</v>
      </c>
      <c r="AD9" s="5">
        <v>128.69999999999999</v>
      </c>
      <c r="AE9" s="5">
        <v>131.6</v>
      </c>
      <c r="AF9" s="5">
        <v>1.8</v>
      </c>
    </row>
    <row r="10" spans="1:32" ht="12.95" customHeight="1">
      <c r="A10" s="3" t="s">
        <v>16</v>
      </c>
      <c r="B10" s="5">
        <v>236.6</v>
      </c>
      <c r="C10" s="5">
        <v>267.89999999999998</v>
      </c>
      <c r="D10" s="5">
        <v>267.89999999999998</v>
      </c>
      <c r="E10" s="5">
        <v>267.89999999999998</v>
      </c>
      <c r="F10" s="5">
        <v>229.2</v>
      </c>
      <c r="G10" s="5">
        <v>229.2</v>
      </c>
      <c r="H10" s="5">
        <v>229.2</v>
      </c>
      <c r="I10" s="5">
        <v>235.4</v>
      </c>
      <c r="L10" s="3" t="s">
        <v>49</v>
      </c>
      <c r="M10" s="5">
        <v>151.69999999999999</v>
      </c>
      <c r="N10" s="5">
        <v>157.9</v>
      </c>
      <c r="O10" s="5">
        <v>157.9</v>
      </c>
      <c r="P10" s="5">
        <v>157.9</v>
      </c>
      <c r="S10" s="3" t="s">
        <v>49</v>
      </c>
      <c r="T10" s="22">
        <v>141.80000000000001</v>
      </c>
      <c r="U10" s="22">
        <v>152</v>
      </c>
      <c r="V10" s="22">
        <v>146.5</v>
      </c>
      <c r="W10" s="22">
        <v>163.9</v>
      </c>
      <c r="Z10" s="21">
        <v>2018</v>
      </c>
      <c r="AA10" s="5">
        <v>127.6</v>
      </c>
      <c r="AB10" s="5">
        <v>129.5</v>
      </c>
      <c r="AC10" s="5">
        <v>129.9</v>
      </c>
      <c r="AD10" s="5">
        <v>130.5</v>
      </c>
      <c r="AE10" s="5">
        <v>129.30000000000001</v>
      </c>
      <c r="AF10" s="5">
        <v>2.6</v>
      </c>
    </row>
    <row r="11" spans="1:32" ht="12.95" customHeight="1">
      <c r="A11" s="3" t="s">
        <v>17</v>
      </c>
      <c r="B11" s="5">
        <v>143.19999999999999</v>
      </c>
      <c r="C11" s="5">
        <v>143.4</v>
      </c>
      <c r="D11" s="5">
        <v>145.69999999999999</v>
      </c>
      <c r="E11" s="5">
        <v>145.69999999999999</v>
      </c>
      <c r="F11" s="5">
        <v>141.1</v>
      </c>
      <c r="G11" s="5">
        <v>141.6</v>
      </c>
      <c r="H11" s="5">
        <v>141.80000000000001</v>
      </c>
      <c r="I11" s="5">
        <v>144</v>
      </c>
      <c r="L11" s="3" t="s">
        <v>50</v>
      </c>
      <c r="M11" s="5">
        <v>253.4</v>
      </c>
      <c r="N11" s="5">
        <v>255.2</v>
      </c>
      <c r="O11" s="5">
        <v>255.2</v>
      </c>
      <c r="P11" s="5">
        <v>255.2</v>
      </c>
      <c r="S11" s="3" t="s">
        <v>50</v>
      </c>
      <c r="T11" s="22">
        <v>231.4</v>
      </c>
      <c r="U11" s="22">
        <v>231.1</v>
      </c>
      <c r="V11" s="22">
        <v>242.5</v>
      </c>
      <c r="W11" s="22">
        <v>250.2</v>
      </c>
      <c r="Z11" s="21">
        <v>2017</v>
      </c>
      <c r="AA11" s="5">
        <v>124.1</v>
      </c>
      <c r="AB11" s="5">
        <v>126.1</v>
      </c>
      <c r="AC11" s="5">
        <v>126.4</v>
      </c>
      <c r="AD11" s="5">
        <v>127.6</v>
      </c>
      <c r="AE11" s="5">
        <v>126.1</v>
      </c>
      <c r="AF11" s="5">
        <v>2.5</v>
      </c>
    </row>
    <row r="12" spans="1:32" ht="12.95" customHeight="1">
      <c r="A12" s="3" t="s">
        <v>18</v>
      </c>
      <c r="B12" s="5">
        <v>122.8</v>
      </c>
      <c r="C12" s="5">
        <v>123.2</v>
      </c>
      <c r="D12" s="5">
        <v>123.3</v>
      </c>
      <c r="E12" s="5">
        <v>124.2</v>
      </c>
      <c r="F12" s="5">
        <v>120.5</v>
      </c>
      <c r="G12" s="5">
        <v>121.7</v>
      </c>
      <c r="H12" s="5">
        <v>123.1</v>
      </c>
      <c r="I12" s="5">
        <v>122.8</v>
      </c>
      <c r="L12" s="3" t="s">
        <v>51</v>
      </c>
      <c r="M12" s="5">
        <v>171.7</v>
      </c>
      <c r="N12" s="5">
        <v>166.6</v>
      </c>
      <c r="O12" s="5">
        <v>166.6</v>
      </c>
      <c r="P12" s="5">
        <v>167</v>
      </c>
      <c r="S12" s="3" t="s">
        <v>51</v>
      </c>
      <c r="T12" s="22">
        <v>181.6</v>
      </c>
      <c r="U12" s="22">
        <v>165.9</v>
      </c>
      <c r="V12" s="22">
        <v>171.7</v>
      </c>
      <c r="W12" s="22">
        <v>184.3</v>
      </c>
      <c r="Z12" s="21">
        <v>2016</v>
      </c>
      <c r="AA12" s="5">
        <v>121.3</v>
      </c>
      <c r="AB12" s="5">
        <v>123.5</v>
      </c>
      <c r="AC12" s="5">
        <v>123.6</v>
      </c>
      <c r="AD12" s="5">
        <v>123.6</v>
      </c>
      <c r="AE12" s="5">
        <v>123</v>
      </c>
      <c r="AF12" s="5">
        <v>6</v>
      </c>
    </row>
    <row r="13" spans="1:32" ht="12.95" customHeight="1">
      <c r="A13" s="3" t="s">
        <v>19</v>
      </c>
      <c r="B13" s="5">
        <v>145.1</v>
      </c>
      <c r="C13" s="5">
        <v>142.19999999999999</v>
      </c>
      <c r="D13" s="5">
        <v>142.30000000000001</v>
      </c>
      <c r="E13" s="5">
        <v>142.30000000000001</v>
      </c>
      <c r="F13" s="5">
        <v>141</v>
      </c>
      <c r="G13" s="5">
        <v>144.6</v>
      </c>
      <c r="H13" s="5">
        <v>146.80000000000001</v>
      </c>
      <c r="I13" s="5">
        <v>144.30000000000001</v>
      </c>
      <c r="L13" s="3" t="s">
        <v>52</v>
      </c>
      <c r="M13" s="5">
        <v>210.9</v>
      </c>
      <c r="N13" s="5">
        <v>181.6</v>
      </c>
      <c r="O13" s="5">
        <v>181.6</v>
      </c>
      <c r="P13" s="5">
        <v>181.6</v>
      </c>
      <c r="S13" s="3" t="s">
        <v>52</v>
      </c>
      <c r="T13" s="22">
        <v>166.7</v>
      </c>
      <c r="U13" s="22">
        <v>190.9</v>
      </c>
      <c r="V13" s="22">
        <v>189.7</v>
      </c>
      <c r="W13" s="22">
        <v>193.4</v>
      </c>
      <c r="Z13" s="21">
        <v>2015</v>
      </c>
      <c r="AA13" s="5">
        <v>116</v>
      </c>
      <c r="AB13" s="5">
        <v>116.5</v>
      </c>
      <c r="AC13" s="5">
        <v>116.4</v>
      </c>
      <c r="AD13" s="5">
        <v>115.4</v>
      </c>
      <c r="AE13" s="5">
        <v>116.1</v>
      </c>
      <c r="AF13" s="5">
        <v>-0.9</v>
      </c>
    </row>
    <row r="14" spans="1:32" ht="12.95" customHeight="1">
      <c r="A14" s="2"/>
      <c r="B14" s="2"/>
      <c r="C14" s="2"/>
      <c r="D14" s="2"/>
      <c r="E14" s="2"/>
      <c r="F14" s="2"/>
      <c r="G14" s="2"/>
      <c r="H14" s="2"/>
      <c r="I14" s="2"/>
      <c r="L14" s="3" t="s">
        <v>53</v>
      </c>
      <c r="M14" s="5">
        <v>229.6</v>
      </c>
      <c r="N14" s="5">
        <v>256.3</v>
      </c>
      <c r="O14" s="5">
        <v>276.89999999999998</v>
      </c>
      <c r="P14" s="5">
        <v>301.60000000000002</v>
      </c>
      <c r="S14" s="3" t="s">
        <v>53</v>
      </c>
      <c r="T14" s="22">
        <v>157.5</v>
      </c>
      <c r="U14" s="22">
        <v>214.4</v>
      </c>
      <c r="V14" s="22">
        <v>221.1</v>
      </c>
      <c r="W14" s="22">
        <v>251.1</v>
      </c>
      <c r="Z14" s="21">
        <v>2014</v>
      </c>
      <c r="AA14" s="5">
        <v>116.4</v>
      </c>
      <c r="AB14" s="5">
        <v>117.1</v>
      </c>
      <c r="AC14" s="5">
        <v>117.2</v>
      </c>
      <c r="AD14" s="5">
        <v>117.9</v>
      </c>
      <c r="AE14" s="5">
        <v>117.2</v>
      </c>
      <c r="AF14" s="5">
        <v>0.8</v>
      </c>
    </row>
    <row r="15" spans="1:32" ht="12.95" customHeight="1">
      <c r="A15" s="6" t="s">
        <v>20</v>
      </c>
      <c r="B15" s="2"/>
      <c r="C15" s="2"/>
      <c r="D15" s="2"/>
      <c r="E15" s="2"/>
      <c r="F15" s="2"/>
      <c r="G15" s="2"/>
      <c r="H15" s="2"/>
      <c r="I15" s="2"/>
      <c r="L15" s="3" t="s">
        <v>54</v>
      </c>
      <c r="M15" s="5">
        <v>174.6</v>
      </c>
      <c r="N15" s="5">
        <v>161.19999999999999</v>
      </c>
      <c r="O15" s="5">
        <v>161.19999999999999</v>
      </c>
      <c r="P15" s="5">
        <v>161.19999999999999</v>
      </c>
      <c r="S15" s="3" t="s">
        <v>54</v>
      </c>
      <c r="T15" s="22">
        <v>159.80000000000001</v>
      </c>
      <c r="U15" s="22">
        <v>167.9</v>
      </c>
      <c r="V15" s="22">
        <v>172.3</v>
      </c>
      <c r="W15" s="22">
        <v>180.4</v>
      </c>
      <c r="Z15" s="21">
        <v>2013</v>
      </c>
      <c r="AA15" s="5">
        <v>116.8</v>
      </c>
      <c r="AB15" s="5">
        <v>117</v>
      </c>
      <c r="AC15" s="5">
        <v>115.5</v>
      </c>
      <c r="AD15" s="5">
        <v>115.8</v>
      </c>
      <c r="AE15" s="5">
        <v>116.3</v>
      </c>
      <c r="AF15" s="5">
        <v>0</v>
      </c>
    </row>
    <row r="16" spans="1:32" ht="12.95" customHeight="1">
      <c r="A16" s="3" t="s">
        <v>21</v>
      </c>
      <c r="B16" s="5">
        <v>159.6</v>
      </c>
      <c r="C16" s="5">
        <v>167.8</v>
      </c>
      <c r="D16" s="5">
        <v>168.1</v>
      </c>
      <c r="E16" s="5">
        <v>168.6</v>
      </c>
      <c r="F16" s="5">
        <v>159.19999999999999</v>
      </c>
      <c r="G16" s="5">
        <v>159.6</v>
      </c>
      <c r="H16" s="5">
        <v>156.4</v>
      </c>
      <c r="I16" s="5">
        <v>157.69999999999999</v>
      </c>
      <c r="L16" s="3" t="s">
        <v>55</v>
      </c>
      <c r="M16" s="5">
        <v>163.4</v>
      </c>
      <c r="N16" s="5">
        <v>178.4</v>
      </c>
      <c r="O16" s="5">
        <v>178.6</v>
      </c>
      <c r="P16" s="5">
        <v>179</v>
      </c>
      <c r="S16" s="3" t="s">
        <v>55</v>
      </c>
      <c r="T16" s="22">
        <v>144.19999999999999</v>
      </c>
      <c r="U16" s="22">
        <v>149.1</v>
      </c>
      <c r="V16" s="22">
        <v>147.19999999999999</v>
      </c>
      <c r="W16" s="22">
        <v>158.5</v>
      </c>
      <c r="Z16" s="21">
        <v>2012</v>
      </c>
      <c r="AA16" s="5">
        <v>116</v>
      </c>
      <c r="AB16" s="5">
        <v>116.4</v>
      </c>
      <c r="AC16" s="5">
        <v>116.6</v>
      </c>
      <c r="AD16" s="5">
        <v>116.3</v>
      </c>
      <c r="AE16" s="5">
        <v>116.3</v>
      </c>
      <c r="AF16" s="5">
        <v>3.2</v>
      </c>
    </row>
    <row r="17" spans="1:36" ht="12.95" customHeight="1">
      <c r="A17" s="3" t="s">
        <v>22</v>
      </c>
      <c r="B17" s="5">
        <v>142.6</v>
      </c>
      <c r="C17" s="5">
        <v>145.1</v>
      </c>
      <c r="D17" s="5">
        <v>145.6</v>
      </c>
      <c r="E17" s="5">
        <v>147.69999999999999</v>
      </c>
      <c r="F17" s="5">
        <v>153.30000000000001</v>
      </c>
      <c r="G17" s="5">
        <v>152.9</v>
      </c>
      <c r="H17" s="5">
        <v>139.69999999999999</v>
      </c>
      <c r="I17" s="5">
        <v>137.5</v>
      </c>
      <c r="L17" s="3" t="s">
        <v>56</v>
      </c>
      <c r="M17" s="5">
        <v>158.69999999999999</v>
      </c>
      <c r="N17" s="5">
        <v>165.3</v>
      </c>
      <c r="O17" s="5">
        <v>165.3</v>
      </c>
      <c r="P17" s="5">
        <v>165.3</v>
      </c>
      <c r="S17" s="3" t="s">
        <v>56</v>
      </c>
      <c r="T17" s="22">
        <v>138</v>
      </c>
      <c r="U17" s="22">
        <v>145.80000000000001</v>
      </c>
      <c r="V17" s="22">
        <v>147.9</v>
      </c>
      <c r="W17" s="22">
        <v>155.1</v>
      </c>
      <c r="Z17" s="21">
        <v>2011</v>
      </c>
      <c r="AA17" s="5">
        <v>109.8</v>
      </c>
      <c r="AB17" s="5">
        <v>112.9</v>
      </c>
      <c r="AC17" s="5">
        <v>113.3</v>
      </c>
      <c r="AD17" s="5">
        <v>115</v>
      </c>
      <c r="AE17" s="5">
        <v>112.8</v>
      </c>
      <c r="AF17" s="5">
        <v>3.3</v>
      </c>
    </row>
    <row r="18" spans="1:36" ht="12.95" customHeight="1">
      <c r="A18" s="3" t="s">
        <v>23</v>
      </c>
      <c r="B18" s="5">
        <v>166.3</v>
      </c>
      <c r="C18" s="5">
        <v>176.9</v>
      </c>
      <c r="D18" s="5">
        <v>177</v>
      </c>
      <c r="E18" s="5">
        <v>177</v>
      </c>
      <c r="F18" s="5">
        <v>161.6</v>
      </c>
      <c r="G18" s="5">
        <v>162.30000000000001</v>
      </c>
      <c r="H18" s="5">
        <v>163.1</v>
      </c>
      <c r="I18" s="5">
        <v>165.8</v>
      </c>
      <c r="L18" s="3" t="s">
        <v>57</v>
      </c>
      <c r="M18" s="5">
        <v>174.2</v>
      </c>
      <c r="N18" s="5">
        <v>172.8</v>
      </c>
      <c r="O18" s="5">
        <v>173.4</v>
      </c>
      <c r="P18" s="5">
        <v>173.4</v>
      </c>
      <c r="S18" s="3" t="s">
        <v>57</v>
      </c>
      <c r="T18" s="22">
        <v>146.1</v>
      </c>
      <c r="U18" s="22">
        <v>149.80000000000001</v>
      </c>
      <c r="V18" s="22">
        <v>153.19999999999999</v>
      </c>
      <c r="W18" s="22">
        <v>156</v>
      </c>
      <c r="Z18" s="21">
        <v>2010</v>
      </c>
      <c r="AA18" s="5">
        <v>107.8</v>
      </c>
      <c r="AB18" s="5">
        <v>108.9</v>
      </c>
      <c r="AC18" s="5">
        <v>109.4</v>
      </c>
      <c r="AD18" s="5">
        <v>110.6</v>
      </c>
      <c r="AE18" s="5">
        <v>109.2</v>
      </c>
      <c r="AF18" s="5">
        <v>2.9</v>
      </c>
    </row>
    <row r="19" spans="1:36" ht="12.95" customHeight="1">
      <c r="A19" s="3" t="s">
        <v>24</v>
      </c>
      <c r="B19" s="5">
        <v>123</v>
      </c>
      <c r="C19" s="5">
        <v>123.5</v>
      </c>
      <c r="D19" s="5">
        <v>123.9</v>
      </c>
      <c r="E19" s="5">
        <v>123.8</v>
      </c>
      <c r="F19" s="5">
        <v>119.7</v>
      </c>
      <c r="G19" s="5">
        <v>121.1</v>
      </c>
      <c r="H19" s="5">
        <v>122.1</v>
      </c>
      <c r="I19" s="5">
        <v>122.6</v>
      </c>
      <c r="L19" s="3" t="s">
        <v>58</v>
      </c>
      <c r="M19" s="5">
        <v>200.7</v>
      </c>
      <c r="N19" s="5">
        <v>217.9</v>
      </c>
      <c r="O19" s="5">
        <v>217.9</v>
      </c>
      <c r="P19" s="5">
        <v>217.9</v>
      </c>
      <c r="S19" s="3" t="s">
        <v>58</v>
      </c>
      <c r="T19" s="22">
        <v>180.9</v>
      </c>
      <c r="U19" s="22">
        <v>179</v>
      </c>
      <c r="V19" s="22">
        <v>183.1</v>
      </c>
      <c r="W19" s="22">
        <v>187.5</v>
      </c>
      <c r="Z19" s="21">
        <v>2009</v>
      </c>
      <c r="AA19" s="5">
        <v>105.6</v>
      </c>
      <c r="AB19" s="5">
        <v>105.4</v>
      </c>
      <c r="AC19" s="5">
        <v>106.9</v>
      </c>
      <c r="AD19" s="5">
        <v>106.5</v>
      </c>
      <c r="AE19" s="5">
        <v>106.1</v>
      </c>
      <c r="AF19" s="5">
        <v>1.7</v>
      </c>
    </row>
    <row r="20" spans="1:36" ht="12.95" customHeight="1">
      <c r="A20" s="3" t="s">
        <v>25</v>
      </c>
      <c r="B20" s="5">
        <v>188.9</v>
      </c>
      <c r="C20" s="5">
        <v>203.4</v>
      </c>
      <c r="D20" s="5">
        <v>203.5</v>
      </c>
      <c r="E20" s="5">
        <v>204.6</v>
      </c>
      <c r="F20" s="5">
        <v>190.8</v>
      </c>
      <c r="G20" s="5">
        <v>190.5</v>
      </c>
      <c r="H20" s="5">
        <v>183.9</v>
      </c>
      <c r="I20" s="5">
        <v>185.8</v>
      </c>
      <c r="L20" s="3" t="s">
        <v>59</v>
      </c>
      <c r="M20" s="5">
        <v>283.5</v>
      </c>
      <c r="N20" s="5">
        <v>298.2</v>
      </c>
      <c r="O20" s="5">
        <v>298.2</v>
      </c>
      <c r="P20" s="5">
        <v>298.2</v>
      </c>
      <c r="S20" s="3" t="s">
        <v>59</v>
      </c>
      <c r="T20" s="22">
        <v>229.9</v>
      </c>
      <c r="U20" s="22">
        <v>229.9</v>
      </c>
      <c r="V20" s="22">
        <v>245.1</v>
      </c>
      <c r="W20" s="22">
        <v>279</v>
      </c>
      <c r="Z20" s="21">
        <v>2008</v>
      </c>
      <c r="AA20" s="5">
        <v>101.1</v>
      </c>
      <c r="AB20" s="5">
        <v>104.1</v>
      </c>
      <c r="AC20" s="5">
        <v>106</v>
      </c>
      <c r="AD20" s="5">
        <v>106.1</v>
      </c>
      <c r="AE20" s="5">
        <v>104.3</v>
      </c>
      <c r="AF20" s="5">
        <v>6.2</v>
      </c>
    </row>
    <row r="21" spans="1:36" ht="12.95" customHeight="1">
      <c r="A21" s="3" t="s">
        <v>26</v>
      </c>
      <c r="B21" s="5">
        <v>152.9</v>
      </c>
      <c r="C21" s="5">
        <v>153.4</v>
      </c>
      <c r="D21" s="5">
        <v>154</v>
      </c>
      <c r="E21" s="5">
        <v>154.69999999999999</v>
      </c>
      <c r="F21" s="5">
        <v>152.5</v>
      </c>
      <c r="G21" s="5">
        <v>153.30000000000001</v>
      </c>
      <c r="H21" s="5">
        <v>150.19999999999999</v>
      </c>
      <c r="I21" s="5">
        <v>151.4</v>
      </c>
      <c r="L21" s="3" t="s">
        <v>60</v>
      </c>
      <c r="M21" s="5">
        <v>196.7</v>
      </c>
      <c r="N21" s="5">
        <v>206</v>
      </c>
      <c r="O21" s="5">
        <v>206</v>
      </c>
      <c r="P21" s="5">
        <v>206</v>
      </c>
      <c r="S21" s="3" t="s">
        <v>60</v>
      </c>
      <c r="T21" s="22">
        <v>176.6</v>
      </c>
      <c r="U21" s="22">
        <v>184</v>
      </c>
      <c r="V21" s="22">
        <v>189.6</v>
      </c>
      <c r="W21" s="22">
        <v>184.7</v>
      </c>
      <c r="Z21" s="21">
        <v>2007</v>
      </c>
      <c r="AA21" s="5">
        <v>97.2</v>
      </c>
      <c r="AB21" s="5">
        <v>98.1</v>
      </c>
      <c r="AC21" s="5">
        <v>97.6</v>
      </c>
      <c r="AD21" s="5">
        <v>100</v>
      </c>
      <c r="AE21" s="5">
        <v>98.2</v>
      </c>
      <c r="AF21" s="5">
        <v>6.8</v>
      </c>
    </row>
    <row r="22" spans="1:36" ht="12.95" customHeight="1">
      <c r="A22" s="2"/>
      <c r="B22" s="2"/>
      <c r="C22" s="2"/>
      <c r="D22" s="2"/>
      <c r="E22" s="2"/>
      <c r="F22" s="2"/>
      <c r="G22" s="2"/>
      <c r="H22" s="2"/>
      <c r="I22" s="2"/>
      <c r="L22" s="3" t="s">
        <v>61</v>
      </c>
      <c r="M22" s="5">
        <v>182.4</v>
      </c>
      <c r="N22" s="5">
        <v>179.4</v>
      </c>
      <c r="O22" s="5">
        <v>184</v>
      </c>
      <c r="P22" s="5">
        <v>188.6</v>
      </c>
      <c r="S22" s="3" t="s">
        <v>61</v>
      </c>
      <c r="T22" s="22">
        <v>164.4</v>
      </c>
      <c r="U22" s="22">
        <v>166.8</v>
      </c>
      <c r="V22" s="22">
        <v>170</v>
      </c>
      <c r="W22" s="22">
        <v>177.5</v>
      </c>
      <c r="Z22" s="21">
        <v>2006</v>
      </c>
      <c r="AA22" s="5">
        <v>88.8</v>
      </c>
      <c r="AB22" s="5">
        <v>91.3</v>
      </c>
      <c r="AC22" s="5">
        <v>92.4</v>
      </c>
      <c r="AD22" s="5">
        <v>95.5</v>
      </c>
      <c r="AE22" s="5">
        <v>92</v>
      </c>
      <c r="AF22" s="5">
        <v>11.6</v>
      </c>
    </row>
    <row r="23" spans="1:36" ht="12.95" customHeight="1">
      <c r="A23" s="6" t="s">
        <v>27</v>
      </c>
      <c r="B23" s="2"/>
      <c r="C23" s="2"/>
      <c r="D23" s="2"/>
      <c r="E23" s="2"/>
      <c r="F23" s="2"/>
      <c r="G23" s="2"/>
      <c r="H23" s="2"/>
      <c r="I23" s="2"/>
      <c r="L23" s="3" t="s">
        <v>62</v>
      </c>
      <c r="M23" s="5">
        <v>155.69999999999999</v>
      </c>
      <c r="N23" s="5">
        <v>163.69999999999999</v>
      </c>
      <c r="O23" s="5">
        <v>163.80000000000001</v>
      </c>
      <c r="P23" s="5">
        <v>163.69999999999999</v>
      </c>
      <c r="S23" s="3" t="s">
        <v>62</v>
      </c>
      <c r="T23" s="22">
        <v>137.30000000000001</v>
      </c>
      <c r="U23" s="22">
        <v>147.69999999999999</v>
      </c>
      <c r="V23" s="22">
        <v>154.1</v>
      </c>
      <c r="W23" s="22">
        <v>154.30000000000001</v>
      </c>
      <c r="Z23" s="21">
        <v>2005</v>
      </c>
      <c r="AA23" s="5">
        <v>79.3</v>
      </c>
      <c r="AB23" s="5">
        <v>80.900000000000006</v>
      </c>
      <c r="AC23" s="5">
        <v>81.5</v>
      </c>
      <c r="AD23" s="5">
        <v>88.1</v>
      </c>
      <c r="AE23" s="5">
        <v>82.5</v>
      </c>
      <c r="AF23" s="5">
        <v>7.7</v>
      </c>
    </row>
    <row r="24" spans="1:36" ht="12.95" customHeight="1">
      <c r="A24" s="2" t="s">
        <v>28</v>
      </c>
      <c r="B24" s="5">
        <v>0.41</v>
      </c>
      <c r="C24" s="5">
        <v>0.4</v>
      </c>
      <c r="D24" s="5">
        <v>0.4</v>
      </c>
      <c r="E24" s="5">
        <v>0.4</v>
      </c>
      <c r="F24" s="5">
        <v>0.42</v>
      </c>
      <c r="G24" s="5">
        <v>0.41</v>
      </c>
      <c r="H24" s="5">
        <v>0.42</v>
      </c>
      <c r="I24" s="5">
        <v>0.42</v>
      </c>
      <c r="L24" s="3"/>
      <c r="M24" s="2"/>
      <c r="N24" s="2"/>
      <c r="O24" s="2"/>
      <c r="P24" s="2"/>
      <c r="S24" s="3"/>
      <c r="T24" s="3"/>
      <c r="U24" s="3"/>
      <c r="V24" s="3"/>
      <c r="W24" s="3"/>
      <c r="Z24" s="21">
        <v>2004</v>
      </c>
      <c r="AA24" s="5">
        <v>74.7</v>
      </c>
      <c r="AB24" s="5">
        <v>76</v>
      </c>
      <c r="AC24" s="5">
        <v>77.099999999999994</v>
      </c>
      <c r="AD24" s="5">
        <v>78.599999999999994</v>
      </c>
      <c r="AE24" s="5">
        <v>76.599999999999994</v>
      </c>
      <c r="AF24" s="5">
        <v>6.1</v>
      </c>
    </row>
    <row r="25" spans="1:36" ht="12.95" customHeight="1">
      <c r="A25" s="10" t="s">
        <v>29</v>
      </c>
      <c r="B25" s="11">
        <v>0.61</v>
      </c>
      <c r="C25" s="11">
        <v>0.57999999999999996</v>
      </c>
      <c r="D25" s="11">
        <v>0.57999999999999996</v>
      </c>
      <c r="E25" s="11">
        <v>0.57999999999999996</v>
      </c>
      <c r="F25" s="11">
        <v>0.61</v>
      </c>
      <c r="G25" s="11">
        <v>0.61</v>
      </c>
      <c r="H25" s="11">
        <v>0.62</v>
      </c>
      <c r="I25" s="11">
        <v>0.62</v>
      </c>
      <c r="L25" s="20" t="s">
        <v>13</v>
      </c>
      <c r="M25" s="5">
        <v>143.9</v>
      </c>
      <c r="N25" s="5">
        <v>146.1</v>
      </c>
      <c r="O25" s="5">
        <v>146.1</v>
      </c>
      <c r="P25" s="5">
        <v>147.6</v>
      </c>
      <c r="S25" s="20" t="s">
        <v>13</v>
      </c>
      <c r="T25" s="22">
        <v>119.2</v>
      </c>
      <c r="U25" s="22">
        <v>132.30000000000001</v>
      </c>
      <c r="V25" s="22">
        <v>137.19999999999999</v>
      </c>
      <c r="W25" s="22">
        <v>144.6</v>
      </c>
      <c r="Z25" s="21">
        <v>2003</v>
      </c>
      <c r="AA25" s="5">
        <v>70.3</v>
      </c>
      <c r="AB25" s="5">
        <v>72.3</v>
      </c>
      <c r="AC25" s="5">
        <v>72.7</v>
      </c>
      <c r="AD25" s="5">
        <v>73.5</v>
      </c>
      <c r="AE25" s="5">
        <v>72.2</v>
      </c>
      <c r="AF25" s="5">
        <v>2.7</v>
      </c>
    </row>
    <row r="26" spans="1:36" ht="12.95" customHeight="1">
      <c r="A26" s="13" t="s">
        <v>30</v>
      </c>
      <c r="B26" s="14"/>
      <c r="C26" s="14"/>
      <c r="D26" s="14"/>
      <c r="E26" s="14"/>
      <c r="F26" s="14"/>
      <c r="G26" s="14"/>
      <c r="H26" s="14"/>
      <c r="I26" s="14"/>
      <c r="L26" s="3" t="s">
        <v>63</v>
      </c>
      <c r="M26" s="5">
        <v>133.19999999999999</v>
      </c>
      <c r="N26" s="5">
        <v>133.80000000000001</v>
      </c>
      <c r="O26" s="5">
        <v>133.80000000000001</v>
      </c>
      <c r="P26" s="5">
        <v>133.9</v>
      </c>
      <c r="S26" s="3" t="s">
        <v>63</v>
      </c>
      <c r="T26" s="22">
        <v>106.6</v>
      </c>
      <c r="U26" s="22">
        <v>126.4</v>
      </c>
      <c r="V26" s="22">
        <v>125.6</v>
      </c>
      <c r="W26" s="22">
        <v>127</v>
      </c>
      <c r="Z26" s="21">
        <v>2002</v>
      </c>
      <c r="AA26" s="5">
        <v>69.8</v>
      </c>
      <c r="AB26" s="5">
        <v>69.8</v>
      </c>
      <c r="AC26" s="5">
        <v>70</v>
      </c>
      <c r="AD26" s="5">
        <v>71.5</v>
      </c>
      <c r="AE26" s="5">
        <v>70.3</v>
      </c>
      <c r="AF26" s="5">
        <v>0.6</v>
      </c>
    </row>
    <row r="27" spans="1:36" ht="12.95" customHeight="1">
      <c r="A27" s="13" t="s">
        <v>31</v>
      </c>
      <c r="B27" s="14"/>
      <c r="C27" s="14"/>
      <c r="D27" s="14"/>
      <c r="E27" s="14"/>
      <c r="F27" s="14"/>
      <c r="G27" s="14"/>
      <c r="H27" s="14"/>
      <c r="I27" s="14"/>
      <c r="L27" s="3" t="s">
        <v>64</v>
      </c>
      <c r="M27" s="5">
        <v>143.19999999999999</v>
      </c>
      <c r="N27" s="5">
        <v>144</v>
      </c>
      <c r="O27" s="5">
        <v>144</v>
      </c>
      <c r="P27" s="5">
        <v>144.1</v>
      </c>
      <c r="S27" s="3" t="s">
        <v>64</v>
      </c>
      <c r="T27" s="22">
        <v>146.6</v>
      </c>
      <c r="U27" s="22">
        <v>151.6</v>
      </c>
      <c r="V27" s="22">
        <v>152.5</v>
      </c>
      <c r="W27" s="22">
        <v>152.5</v>
      </c>
      <c r="Z27" s="21">
        <v>2001</v>
      </c>
      <c r="AA27" s="5">
        <v>70.599999999999994</v>
      </c>
      <c r="AB27" s="5">
        <v>70.400000000000006</v>
      </c>
      <c r="AC27" s="5">
        <v>69.2</v>
      </c>
      <c r="AD27" s="5">
        <v>69.099999999999994</v>
      </c>
      <c r="AE27" s="5">
        <v>69.8</v>
      </c>
      <c r="AF27" s="5">
        <v>-1.4</v>
      </c>
    </row>
    <row r="28" spans="1:36" ht="12.95" customHeight="1">
      <c r="A28" s="14" t="s">
        <v>32</v>
      </c>
      <c r="B28" s="14"/>
      <c r="C28" s="14"/>
      <c r="D28" s="14"/>
      <c r="E28" s="14"/>
      <c r="F28" s="14"/>
      <c r="G28" s="14"/>
      <c r="H28" s="14"/>
      <c r="I28" s="14"/>
      <c r="L28" s="3" t="s">
        <v>65</v>
      </c>
      <c r="M28" s="5">
        <v>167.8</v>
      </c>
      <c r="N28" s="5">
        <v>167.8</v>
      </c>
      <c r="O28" s="5">
        <v>167.8</v>
      </c>
      <c r="P28" s="5">
        <v>167.8</v>
      </c>
      <c r="S28" s="3" t="s">
        <v>65</v>
      </c>
      <c r="T28" s="22">
        <v>106.4</v>
      </c>
      <c r="U28" s="22">
        <v>143.4</v>
      </c>
      <c r="V28" s="22">
        <v>163</v>
      </c>
      <c r="W28" s="22">
        <v>183.8</v>
      </c>
      <c r="Z28" s="40">
        <v>2000</v>
      </c>
      <c r="AA28" s="11">
        <v>71.2</v>
      </c>
      <c r="AB28" s="11">
        <v>71.400000000000006</v>
      </c>
      <c r="AC28" s="11">
        <v>70.400000000000006</v>
      </c>
      <c r="AD28" s="11">
        <v>70.2</v>
      </c>
      <c r="AE28" s="11">
        <v>70.8</v>
      </c>
      <c r="AF28" s="11">
        <v>2</v>
      </c>
    </row>
    <row r="29" spans="1:36" ht="12" customHeight="1">
      <c r="A29" s="2"/>
      <c r="B29" s="2"/>
      <c r="C29" s="2"/>
      <c r="D29" s="2"/>
      <c r="E29" s="2"/>
      <c r="F29" s="2"/>
      <c r="G29" s="2"/>
      <c r="H29" s="2"/>
      <c r="I29" s="2"/>
      <c r="L29" s="3" t="s">
        <v>66</v>
      </c>
      <c r="M29" s="5">
        <v>167.6</v>
      </c>
      <c r="N29" s="5">
        <v>167.6</v>
      </c>
      <c r="O29" s="5">
        <v>167.6</v>
      </c>
      <c r="P29" s="5">
        <v>181.9</v>
      </c>
      <c r="S29" s="3" t="s">
        <v>66</v>
      </c>
      <c r="T29" s="22">
        <v>159.19999999999999</v>
      </c>
      <c r="U29" s="22">
        <v>157.80000000000001</v>
      </c>
      <c r="V29" s="22">
        <v>158.4</v>
      </c>
      <c r="W29" s="22">
        <v>163.1</v>
      </c>
      <c r="Z29" s="43" t="s">
        <v>30</v>
      </c>
      <c r="AA29" s="44"/>
      <c r="AB29" s="44"/>
      <c r="AC29" s="44"/>
      <c r="AD29" s="44"/>
      <c r="AE29" s="44"/>
      <c r="AF29" s="44"/>
      <c r="AG29" s="45"/>
      <c r="AH29" s="45"/>
      <c r="AI29" s="45"/>
      <c r="AJ29" s="45"/>
    </row>
    <row r="30" spans="1:36" ht="12" customHeight="1">
      <c r="A30" s="2"/>
      <c r="B30" s="2"/>
      <c r="C30" s="2"/>
      <c r="D30" s="2"/>
      <c r="E30" s="2"/>
      <c r="F30" s="2"/>
      <c r="G30" s="2"/>
      <c r="H30" s="2"/>
      <c r="I30" s="2"/>
      <c r="L30" s="3" t="s">
        <v>67</v>
      </c>
      <c r="M30" s="5">
        <v>145.6</v>
      </c>
      <c r="N30" s="5">
        <v>146</v>
      </c>
      <c r="O30" s="5">
        <v>146</v>
      </c>
      <c r="P30" s="5">
        <v>146</v>
      </c>
      <c r="S30" s="3" t="s">
        <v>67</v>
      </c>
      <c r="T30" s="22">
        <v>132</v>
      </c>
      <c r="U30" s="22">
        <v>140.5</v>
      </c>
      <c r="V30" s="22">
        <v>144</v>
      </c>
      <c r="W30" s="22">
        <v>144</v>
      </c>
      <c r="Z30" s="43" t="s">
        <v>125</v>
      </c>
      <c r="AA30" s="44"/>
      <c r="AB30" s="44"/>
      <c r="AC30" s="44"/>
      <c r="AD30" s="44"/>
      <c r="AE30" s="44"/>
      <c r="AF30" s="44"/>
      <c r="AG30" s="45"/>
      <c r="AH30" s="45"/>
      <c r="AI30" s="45"/>
      <c r="AJ30" s="45"/>
    </row>
    <row r="31" spans="1:36" ht="12" customHeight="1">
      <c r="A31" s="2"/>
      <c r="B31" s="2"/>
      <c r="C31" s="2"/>
      <c r="D31" s="2"/>
      <c r="E31" s="2"/>
      <c r="F31" s="2"/>
      <c r="G31" s="2"/>
      <c r="H31" s="2"/>
      <c r="I31" s="2"/>
      <c r="L31" s="3" t="s">
        <v>68</v>
      </c>
      <c r="M31" s="5">
        <v>60.7</v>
      </c>
      <c r="N31" s="5">
        <v>60.7</v>
      </c>
      <c r="O31" s="5">
        <v>60.7</v>
      </c>
      <c r="P31" s="5">
        <v>60.3</v>
      </c>
      <c r="S31" s="3" t="s">
        <v>68</v>
      </c>
      <c r="T31" s="22">
        <v>56</v>
      </c>
      <c r="U31" s="22">
        <v>60.4</v>
      </c>
      <c r="V31" s="22">
        <v>59.2</v>
      </c>
      <c r="W31" s="22">
        <v>53.6</v>
      </c>
      <c r="Z31" s="46" t="s">
        <v>126</v>
      </c>
      <c r="AA31" s="46"/>
      <c r="AB31" s="46"/>
      <c r="AC31" s="46"/>
      <c r="AD31" s="46"/>
      <c r="AE31" s="46"/>
      <c r="AF31" s="46"/>
      <c r="AG31" s="45"/>
      <c r="AH31" s="45"/>
      <c r="AI31" s="45"/>
      <c r="AJ31" s="45"/>
    </row>
    <row r="32" spans="1:36" ht="12.95" customHeight="1">
      <c r="A32" s="1" t="s">
        <v>33</v>
      </c>
      <c r="B32" s="2"/>
      <c r="C32" s="2"/>
      <c r="D32" s="2"/>
      <c r="E32" s="3"/>
      <c r="F32" s="2036"/>
      <c r="G32" s="2036"/>
      <c r="H32" s="2036"/>
      <c r="I32" s="2036"/>
      <c r="L32" s="3" t="s">
        <v>69</v>
      </c>
      <c r="M32" s="5">
        <v>76.2</v>
      </c>
      <c r="N32" s="5">
        <v>76.400000000000006</v>
      </c>
      <c r="O32" s="5">
        <v>76.400000000000006</v>
      </c>
      <c r="P32" s="5">
        <v>75.599999999999994</v>
      </c>
      <c r="S32" s="3" t="s">
        <v>69</v>
      </c>
      <c r="T32" s="22">
        <v>103.5</v>
      </c>
      <c r="U32" s="22">
        <v>106.3</v>
      </c>
      <c r="V32" s="22">
        <v>81.8</v>
      </c>
      <c r="W32" s="22">
        <v>84.4</v>
      </c>
    </row>
    <row r="33" spans="1:23" ht="12.95" customHeight="1">
      <c r="A33" s="2" t="s">
        <v>1</v>
      </c>
      <c r="B33" s="2"/>
      <c r="C33" s="2"/>
      <c r="D33" s="2"/>
      <c r="E33" s="2"/>
      <c r="F33" s="2"/>
      <c r="G33" s="2"/>
      <c r="H33" s="2"/>
      <c r="I33" s="2"/>
      <c r="L33" s="3" t="s">
        <v>70</v>
      </c>
      <c r="M33" s="5">
        <v>138.1</v>
      </c>
      <c r="N33" s="5">
        <v>133.1</v>
      </c>
      <c r="O33" s="5">
        <v>133.1</v>
      </c>
      <c r="P33" s="5">
        <v>133.80000000000001</v>
      </c>
      <c r="S33" s="3" t="s">
        <v>70</v>
      </c>
      <c r="T33" s="22">
        <v>119.9</v>
      </c>
      <c r="U33" s="22">
        <v>121.9</v>
      </c>
      <c r="V33" s="22">
        <v>118.6</v>
      </c>
      <c r="W33" s="22">
        <v>138.1</v>
      </c>
    </row>
    <row r="34" spans="1:23" ht="12.95" customHeight="1">
      <c r="A34" s="2115" t="s">
        <v>4</v>
      </c>
      <c r="B34" s="2120" t="s">
        <v>34</v>
      </c>
      <c r="C34" s="2120"/>
      <c r="D34" s="2120"/>
      <c r="E34" s="2120"/>
      <c r="F34" s="2120" t="s">
        <v>35</v>
      </c>
      <c r="G34" s="2120"/>
      <c r="H34" s="2120"/>
      <c r="I34" s="2033"/>
      <c r="L34" s="3" t="s">
        <v>71</v>
      </c>
      <c r="M34" s="5">
        <v>141.30000000000001</v>
      </c>
      <c r="N34" s="5">
        <v>144.5</v>
      </c>
      <c r="O34" s="5">
        <v>144.5</v>
      </c>
      <c r="P34" s="5">
        <v>144.5</v>
      </c>
      <c r="S34" s="3" t="s">
        <v>71</v>
      </c>
      <c r="T34" s="22">
        <v>115.4</v>
      </c>
      <c r="U34" s="22">
        <v>115</v>
      </c>
      <c r="V34" s="22">
        <v>118</v>
      </c>
      <c r="W34" s="22">
        <v>122.8</v>
      </c>
    </row>
    <row r="35" spans="1:23" ht="12.95" customHeight="1">
      <c r="A35" s="2116"/>
      <c r="B35" s="17" t="s">
        <v>5</v>
      </c>
      <c r="C35" s="17" t="s">
        <v>6</v>
      </c>
      <c r="D35" s="17" t="s">
        <v>7</v>
      </c>
      <c r="E35" s="19" t="s">
        <v>8</v>
      </c>
      <c r="F35" s="17" t="s">
        <v>5</v>
      </c>
      <c r="G35" s="17" t="s">
        <v>6</v>
      </c>
      <c r="H35" s="17" t="s">
        <v>7</v>
      </c>
      <c r="I35" s="18" t="s">
        <v>8</v>
      </c>
      <c r="L35" s="3" t="s">
        <v>72</v>
      </c>
      <c r="M35" s="5">
        <v>135.4</v>
      </c>
      <c r="N35" s="5">
        <v>130.69999999999999</v>
      </c>
      <c r="O35" s="5">
        <v>130.69999999999999</v>
      </c>
      <c r="P35" s="5">
        <v>130.69999999999999</v>
      </c>
      <c r="S35" s="3" t="s">
        <v>72</v>
      </c>
      <c r="T35" s="22">
        <v>140.69999999999999</v>
      </c>
      <c r="U35" s="22">
        <v>141.9</v>
      </c>
      <c r="V35" s="22">
        <v>142.4</v>
      </c>
      <c r="W35" s="22">
        <v>137.69999999999999</v>
      </c>
    </row>
    <row r="36" spans="1:23" ht="12.95" customHeight="1">
      <c r="A36" s="2"/>
      <c r="B36" s="2"/>
      <c r="C36" s="2"/>
      <c r="D36" s="2"/>
      <c r="E36" s="2"/>
      <c r="F36" s="2"/>
      <c r="G36" s="2"/>
      <c r="H36" s="2"/>
      <c r="I36" s="2"/>
      <c r="L36" s="3"/>
      <c r="M36" s="2"/>
      <c r="N36" s="2"/>
      <c r="O36" s="2"/>
      <c r="P36" s="2"/>
      <c r="S36" s="3"/>
      <c r="T36" s="3"/>
      <c r="U36" s="3"/>
      <c r="V36" s="3"/>
      <c r="W36" s="3"/>
    </row>
    <row r="37" spans="1:23" ht="12.95" customHeight="1">
      <c r="A37" s="6" t="s">
        <v>11</v>
      </c>
      <c r="B37" s="5">
        <v>143.69999999999999</v>
      </c>
      <c r="C37" s="5">
        <v>147.9</v>
      </c>
      <c r="D37" s="5">
        <v>151.1</v>
      </c>
      <c r="E37" s="5">
        <v>156.80000000000001</v>
      </c>
      <c r="F37" s="5">
        <v>135.80000000000001</v>
      </c>
      <c r="G37" s="5">
        <v>137.80000000000001</v>
      </c>
      <c r="H37" s="5">
        <v>140.9</v>
      </c>
      <c r="I37" s="5">
        <v>141.30000000000001</v>
      </c>
      <c r="L37" s="20" t="s">
        <v>14</v>
      </c>
      <c r="M37" s="5">
        <v>90.2</v>
      </c>
      <c r="N37" s="5">
        <v>91.9</v>
      </c>
      <c r="O37" s="5">
        <v>91.9</v>
      </c>
      <c r="P37" s="5">
        <v>91.4</v>
      </c>
      <c r="S37" s="20" t="s">
        <v>14</v>
      </c>
      <c r="T37" s="22">
        <v>86.7</v>
      </c>
      <c r="U37" s="22">
        <v>88.2</v>
      </c>
      <c r="V37" s="22">
        <v>89.9</v>
      </c>
      <c r="W37" s="22">
        <v>89.3</v>
      </c>
    </row>
    <row r="38" spans="1:23" ht="12.95" customHeight="1">
      <c r="A38" s="3" t="s">
        <v>12</v>
      </c>
      <c r="B38" s="5">
        <v>169.4</v>
      </c>
      <c r="C38" s="5">
        <v>175.1</v>
      </c>
      <c r="D38" s="5">
        <v>178</v>
      </c>
      <c r="E38" s="5">
        <v>183.7</v>
      </c>
      <c r="F38" s="5">
        <v>151.19999999999999</v>
      </c>
      <c r="G38" s="5">
        <v>152.19999999999999</v>
      </c>
      <c r="H38" s="5">
        <v>163.9</v>
      </c>
      <c r="I38" s="5">
        <v>166.4</v>
      </c>
      <c r="L38" s="3" t="s">
        <v>73</v>
      </c>
      <c r="M38" s="5">
        <v>94.7</v>
      </c>
      <c r="N38" s="5">
        <v>99</v>
      </c>
      <c r="O38" s="5">
        <v>99</v>
      </c>
      <c r="P38" s="5">
        <v>98.1</v>
      </c>
      <c r="S38" s="3" t="s">
        <v>73</v>
      </c>
      <c r="T38" s="22">
        <v>103.3</v>
      </c>
      <c r="U38" s="22">
        <v>103.7</v>
      </c>
      <c r="V38" s="22">
        <v>109.2</v>
      </c>
      <c r="W38" s="22">
        <v>102</v>
      </c>
    </row>
    <row r="39" spans="1:23" ht="12.95" customHeight="1">
      <c r="A39" s="3" t="s">
        <v>13</v>
      </c>
      <c r="B39" s="5">
        <v>119.2</v>
      </c>
      <c r="C39" s="5">
        <v>132.30000000000001</v>
      </c>
      <c r="D39" s="5" t="s">
        <v>36</v>
      </c>
      <c r="E39" s="5" t="s">
        <v>37</v>
      </c>
      <c r="F39" s="5">
        <v>116.2</v>
      </c>
      <c r="G39" s="5">
        <v>116.2</v>
      </c>
      <c r="H39" s="5">
        <v>119.7</v>
      </c>
      <c r="I39" s="5">
        <v>118.7</v>
      </c>
      <c r="L39" s="3" t="s">
        <v>74</v>
      </c>
      <c r="M39" s="5">
        <v>108.1</v>
      </c>
      <c r="N39" s="5">
        <v>108.1</v>
      </c>
      <c r="O39" s="5">
        <v>108.1</v>
      </c>
      <c r="P39" s="5">
        <v>108.1</v>
      </c>
      <c r="S39" s="3" t="s">
        <v>74</v>
      </c>
      <c r="T39" s="22">
        <v>87.7</v>
      </c>
      <c r="U39" s="22">
        <v>89.2</v>
      </c>
      <c r="V39" s="22">
        <v>96.1</v>
      </c>
      <c r="W39" s="22">
        <v>95.6</v>
      </c>
    </row>
    <row r="40" spans="1:23" ht="12.95" customHeight="1">
      <c r="A40" s="3" t="s">
        <v>14</v>
      </c>
      <c r="B40" s="5">
        <v>86.7</v>
      </c>
      <c r="C40" s="5">
        <v>88.2</v>
      </c>
      <c r="D40" s="5">
        <v>89.9</v>
      </c>
      <c r="E40" s="5">
        <v>89.3</v>
      </c>
      <c r="F40" s="5">
        <v>86.4</v>
      </c>
      <c r="G40" s="5">
        <v>86.3</v>
      </c>
      <c r="H40" s="5">
        <v>87.3</v>
      </c>
      <c r="I40" s="5">
        <v>87.3</v>
      </c>
      <c r="L40" s="3" t="s">
        <v>75</v>
      </c>
      <c r="M40" s="5">
        <v>108.9</v>
      </c>
      <c r="N40" s="5">
        <v>112.6</v>
      </c>
      <c r="O40" s="5">
        <v>122.6</v>
      </c>
      <c r="P40" s="5">
        <v>112</v>
      </c>
      <c r="S40" s="3" t="s">
        <v>75</v>
      </c>
      <c r="T40" s="22">
        <v>93.3</v>
      </c>
      <c r="U40" s="22">
        <v>95.8</v>
      </c>
      <c r="V40" s="22">
        <v>98.6</v>
      </c>
      <c r="W40" s="22">
        <v>104.7</v>
      </c>
    </row>
    <row r="41" spans="1:23" ht="12.95" customHeight="1">
      <c r="A41" s="3" t="s">
        <v>15</v>
      </c>
      <c r="B41" s="5">
        <v>123.4</v>
      </c>
      <c r="C41" s="5">
        <v>127</v>
      </c>
      <c r="D41" s="5">
        <v>125.1</v>
      </c>
      <c r="E41" s="5">
        <v>124.2</v>
      </c>
      <c r="F41" s="5">
        <v>103.6</v>
      </c>
      <c r="G41" s="5">
        <v>112.2</v>
      </c>
      <c r="H41" s="5">
        <v>112.6</v>
      </c>
      <c r="I41" s="5">
        <v>112</v>
      </c>
      <c r="L41" s="3" t="s">
        <v>76</v>
      </c>
      <c r="M41" s="5">
        <v>73.599999999999994</v>
      </c>
      <c r="N41" s="5">
        <v>73.599999999999994</v>
      </c>
      <c r="O41" s="5">
        <v>73.599999999999994</v>
      </c>
      <c r="P41" s="5">
        <v>70.5</v>
      </c>
      <c r="S41" s="3" t="s">
        <v>76</v>
      </c>
      <c r="T41" s="22">
        <v>80.099999999999994</v>
      </c>
      <c r="U41" s="22">
        <v>66.8</v>
      </c>
      <c r="V41" s="22">
        <v>66.8</v>
      </c>
      <c r="W41" s="22">
        <v>72.2</v>
      </c>
    </row>
    <row r="42" spans="1:23" ht="12.95" customHeight="1">
      <c r="A42" s="3" t="s">
        <v>16</v>
      </c>
      <c r="B42" s="5">
        <v>200.4</v>
      </c>
      <c r="C42" s="5">
        <v>203.9</v>
      </c>
      <c r="D42" s="5">
        <v>203.9</v>
      </c>
      <c r="E42" s="5">
        <v>214.6</v>
      </c>
      <c r="F42" s="5">
        <v>189.4</v>
      </c>
      <c r="G42" s="5">
        <v>193.7</v>
      </c>
      <c r="H42" s="5">
        <v>193.7</v>
      </c>
      <c r="I42" s="5">
        <v>199.4</v>
      </c>
      <c r="L42" s="3" t="s">
        <v>77</v>
      </c>
      <c r="M42" s="5">
        <v>38.5</v>
      </c>
      <c r="N42" s="5">
        <v>38.5</v>
      </c>
      <c r="O42" s="5">
        <v>38.5</v>
      </c>
      <c r="P42" s="5">
        <v>38.5</v>
      </c>
      <c r="S42" s="3" t="s">
        <v>77</v>
      </c>
      <c r="T42" s="22">
        <v>39</v>
      </c>
      <c r="U42" s="22">
        <v>42.1</v>
      </c>
      <c r="V42" s="22">
        <v>42.1</v>
      </c>
      <c r="W42" s="22">
        <v>36.9</v>
      </c>
    </row>
    <row r="43" spans="1:23" ht="12.95" customHeight="1">
      <c r="A43" s="3" t="s">
        <v>17</v>
      </c>
      <c r="B43" s="5">
        <v>138.9</v>
      </c>
      <c r="C43" s="5">
        <v>136.80000000000001</v>
      </c>
      <c r="D43" s="5">
        <v>136.4</v>
      </c>
      <c r="E43" s="5">
        <v>140.1</v>
      </c>
      <c r="F43" s="5">
        <v>122.7</v>
      </c>
      <c r="G43" s="5">
        <v>124.5</v>
      </c>
      <c r="H43" s="5">
        <v>126.6</v>
      </c>
      <c r="I43" s="5">
        <v>126.8</v>
      </c>
      <c r="L43" s="3" t="s">
        <v>78</v>
      </c>
      <c r="M43" s="5">
        <v>142.6</v>
      </c>
      <c r="N43" s="5">
        <v>142.6</v>
      </c>
      <c r="O43" s="5">
        <v>142.6</v>
      </c>
      <c r="P43" s="5">
        <v>133.80000000000001</v>
      </c>
      <c r="S43" s="3" t="s">
        <v>78</v>
      </c>
      <c r="T43" s="22">
        <v>105.8</v>
      </c>
      <c r="U43" s="22">
        <v>118.9</v>
      </c>
      <c r="V43" s="22">
        <v>127.4</v>
      </c>
      <c r="W43" s="22">
        <v>128.4</v>
      </c>
    </row>
    <row r="44" spans="1:23" ht="12.95" customHeight="1">
      <c r="A44" s="3" t="s">
        <v>18</v>
      </c>
      <c r="B44" s="5">
        <v>117.3</v>
      </c>
      <c r="C44" s="5">
        <v>117.7</v>
      </c>
      <c r="D44" s="5">
        <v>117.7</v>
      </c>
      <c r="E44" s="5">
        <v>117.2</v>
      </c>
      <c r="F44" s="5">
        <v>114.8</v>
      </c>
      <c r="G44" s="5">
        <v>114.8</v>
      </c>
      <c r="H44" s="5">
        <v>115</v>
      </c>
      <c r="I44" s="5">
        <v>115</v>
      </c>
      <c r="L44" s="3" t="s">
        <v>79</v>
      </c>
      <c r="M44" s="5">
        <v>89.7</v>
      </c>
      <c r="N44" s="5">
        <v>89.7</v>
      </c>
      <c r="O44" s="5">
        <v>89.7</v>
      </c>
      <c r="P44" s="5">
        <v>89.7</v>
      </c>
      <c r="S44" s="3" t="s">
        <v>79</v>
      </c>
      <c r="T44" s="22">
        <v>100.3</v>
      </c>
      <c r="U44" s="22">
        <v>100.3</v>
      </c>
      <c r="V44" s="22">
        <v>87.1</v>
      </c>
      <c r="W44" s="22">
        <v>91.4</v>
      </c>
    </row>
    <row r="45" spans="1:23" ht="12.95" customHeight="1">
      <c r="A45" s="3" t="s">
        <v>19</v>
      </c>
      <c r="B45" s="5">
        <v>136.19999999999999</v>
      </c>
      <c r="C45" s="5">
        <v>132.80000000000001</v>
      </c>
      <c r="D45" s="5">
        <v>128.30000000000001</v>
      </c>
      <c r="E45" s="5">
        <v>131.19999999999999</v>
      </c>
      <c r="F45" s="5">
        <v>140.19999999999999</v>
      </c>
      <c r="G45" s="5">
        <v>142</v>
      </c>
      <c r="H45" s="5">
        <v>141.9</v>
      </c>
      <c r="I45" s="5">
        <v>134</v>
      </c>
      <c r="L45" s="3"/>
      <c r="M45" s="2"/>
      <c r="N45" s="2"/>
      <c r="O45" s="2"/>
      <c r="P45" s="2"/>
      <c r="S45" s="3"/>
      <c r="T45" s="3"/>
      <c r="U45" s="3"/>
      <c r="V45" s="3"/>
      <c r="W45" s="3"/>
    </row>
    <row r="46" spans="1:23" ht="12.95" customHeight="1">
      <c r="A46" s="2"/>
      <c r="B46" s="2"/>
      <c r="C46" s="2"/>
      <c r="D46" s="2"/>
      <c r="E46" s="2"/>
      <c r="F46" s="2"/>
      <c r="G46" s="2"/>
      <c r="H46" s="2"/>
      <c r="I46" s="2"/>
      <c r="L46" s="20" t="s">
        <v>15</v>
      </c>
      <c r="M46" s="5">
        <v>129</v>
      </c>
      <c r="N46" s="5">
        <v>130.9</v>
      </c>
      <c r="O46" s="5">
        <v>132.5</v>
      </c>
      <c r="P46" s="5">
        <v>132.5</v>
      </c>
      <c r="S46" s="20" t="s">
        <v>15</v>
      </c>
      <c r="T46" s="22">
        <v>123.4</v>
      </c>
      <c r="U46" s="22">
        <v>127</v>
      </c>
      <c r="V46" s="22">
        <v>125.1</v>
      </c>
      <c r="W46" s="22">
        <v>124.2</v>
      </c>
    </row>
    <row r="47" spans="1:23" ht="12.95" customHeight="1">
      <c r="A47" s="6" t="s">
        <v>38</v>
      </c>
      <c r="B47" s="2"/>
      <c r="C47" s="2"/>
      <c r="D47" s="2"/>
      <c r="E47" s="2"/>
      <c r="F47" s="2"/>
      <c r="G47" s="2"/>
      <c r="H47" s="2"/>
      <c r="I47" s="2"/>
      <c r="L47" s="3" t="s">
        <v>80</v>
      </c>
      <c r="M47" s="5">
        <v>126.1</v>
      </c>
      <c r="N47" s="5">
        <v>126.9</v>
      </c>
      <c r="O47" s="5">
        <v>130.4</v>
      </c>
      <c r="P47" s="5">
        <v>130.4</v>
      </c>
      <c r="S47" s="3" t="s">
        <v>80</v>
      </c>
      <c r="T47" s="22">
        <v>121.7</v>
      </c>
      <c r="U47" s="22">
        <v>122.2</v>
      </c>
      <c r="V47" s="22">
        <v>122.2</v>
      </c>
      <c r="W47" s="22">
        <v>124.3</v>
      </c>
    </row>
    <row r="48" spans="1:23" ht="12.95" customHeight="1">
      <c r="A48" s="3" t="s">
        <v>21</v>
      </c>
      <c r="B48" s="5">
        <v>139</v>
      </c>
      <c r="C48" s="5">
        <v>144.80000000000001</v>
      </c>
      <c r="D48" s="5">
        <v>146.19999999999999</v>
      </c>
      <c r="E48" s="5">
        <v>151.80000000000001</v>
      </c>
      <c r="F48" s="5">
        <v>132.9</v>
      </c>
      <c r="G48" s="5">
        <v>135.1</v>
      </c>
      <c r="H48" s="5">
        <v>136.69999999999999</v>
      </c>
      <c r="I48" s="5">
        <v>136.69999999999999</v>
      </c>
      <c r="L48" s="3" t="s">
        <v>81</v>
      </c>
      <c r="M48" s="5">
        <v>139.1</v>
      </c>
      <c r="N48" s="5">
        <v>146.5</v>
      </c>
      <c r="O48" s="5">
        <v>144.80000000000001</v>
      </c>
      <c r="P48" s="5">
        <v>142.80000000000001</v>
      </c>
      <c r="S48" s="3" t="s">
        <v>81</v>
      </c>
      <c r="T48" s="22">
        <v>144.5</v>
      </c>
      <c r="U48" s="22">
        <v>165.9</v>
      </c>
      <c r="V48" s="22">
        <v>147.69999999999999</v>
      </c>
      <c r="W48" s="22">
        <v>131.30000000000001</v>
      </c>
    </row>
    <row r="49" spans="1:23" ht="12.95" customHeight="1">
      <c r="A49" s="7" t="s">
        <v>22</v>
      </c>
      <c r="B49" s="5">
        <v>122.9</v>
      </c>
      <c r="C49" s="5">
        <v>137.4</v>
      </c>
      <c r="D49" s="5">
        <v>142.1</v>
      </c>
      <c r="E49" s="5">
        <v>149.5</v>
      </c>
      <c r="F49" s="5">
        <v>110.7</v>
      </c>
      <c r="G49" s="5">
        <v>113.9</v>
      </c>
      <c r="H49" s="5">
        <v>118.5</v>
      </c>
      <c r="I49" s="5">
        <v>118.2</v>
      </c>
      <c r="L49" s="3" t="s">
        <v>82</v>
      </c>
      <c r="M49" s="5">
        <v>143.30000000000001</v>
      </c>
      <c r="N49" s="5">
        <v>146.19999999999999</v>
      </c>
      <c r="O49" s="5">
        <v>146.19999999999999</v>
      </c>
      <c r="P49" s="5">
        <v>146.19999999999999</v>
      </c>
      <c r="S49" s="3" t="s">
        <v>82</v>
      </c>
      <c r="T49" s="22">
        <v>118.5</v>
      </c>
      <c r="U49" s="22">
        <v>118.5</v>
      </c>
      <c r="V49" s="22">
        <v>133.80000000000001</v>
      </c>
      <c r="W49" s="22">
        <v>138.4</v>
      </c>
    </row>
    <row r="50" spans="1:23" ht="12.95" customHeight="1">
      <c r="A50" s="3" t="s">
        <v>23</v>
      </c>
      <c r="B50" s="5">
        <v>145.4</v>
      </c>
      <c r="C50" s="5">
        <v>147.80000000000001</v>
      </c>
      <c r="D50" s="5">
        <v>147.69999999999999</v>
      </c>
      <c r="E50" s="5">
        <v>152.80000000000001</v>
      </c>
      <c r="F50" s="5">
        <v>141.80000000000001</v>
      </c>
      <c r="G50" s="5">
        <v>143.6</v>
      </c>
      <c r="H50" s="5">
        <v>143.9</v>
      </c>
      <c r="I50" s="5">
        <v>144.1</v>
      </c>
      <c r="L50" s="3" t="s">
        <v>83</v>
      </c>
      <c r="M50" s="5">
        <v>115.9</v>
      </c>
      <c r="N50" s="5">
        <v>114.1</v>
      </c>
      <c r="O50" s="5">
        <v>114.1</v>
      </c>
      <c r="P50" s="5">
        <v>114.8</v>
      </c>
      <c r="S50" s="3" t="s">
        <v>83</v>
      </c>
      <c r="T50" s="22">
        <v>107.2</v>
      </c>
      <c r="U50" s="22">
        <v>104.9</v>
      </c>
      <c r="V50" s="22">
        <v>99.5</v>
      </c>
      <c r="W50" s="22">
        <v>99.5</v>
      </c>
    </row>
    <row r="51" spans="1:23" ht="12.95" customHeight="1">
      <c r="A51" s="3" t="s">
        <v>24</v>
      </c>
      <c r="B51" s="5">
        <v>115.5</v>
      </c>
      <c r="C51" s="5">
        <v>116.5</v>
      </c>
      <c r="D51" s="5">
        <v>114.4</v>
      </c>
      <c r="E51" s="5">
        <v>115.7</v>
      </c>
      <c r="F51" s="5">
        <v>111.5</v>
      </c>
      <c r="G51" s="5">
        <v>113.9</v>
      </c>
      <c r="H51" s="5">
        <v>114.7</v>
      </c>
      <c r="I51" s="5">
        <v>112.1</v>
      </c>
      <c r="L51" s="3"/>
      <c r="M51" s="2"/>
      <c r="N51" s="2"/>
      <c r="O51" s="2"/>
      <c r="P51" s="2"/>
      <c r="S51" s="3"/>
      <c r="T51" s="3"/>
      <c r="U51" s="3"/>
      <c r="V51" s="3"/>
      <c r="W51" s="3"/>
    </row>
    <row r="52" spans="1:23" ht="12.95" customHeight="1">
      <c r="A52" s="3" t="s">
        <v>25</v>
      </c>
      <c r="B52" s="5">
        <v>157.80000000000001</v>
      </c>
      <c r="C52" s="5">
        <v>167.6</v>
      </c>
      <c r="D52" s="5">
        <v>171.6</v>
      </c>
      <c r="E52" s="5">
        <v>180.8</v>
      </c>
      <c r="F52" s="5">
        <v>150.1</v>
      </c>
      <c r="G52" s="5">
        <v>152.1</v>
      </c>
      <c r="H52" s="5">
        <v>154.30000000000001</v>
      </c>
      <c r="I52" s="5">
        <v>156.4</v>
      </c>
      <c r="L52" s="20" t="s">
        <v>16</v>
      </c>
      <c r="M52" s="5">
        <v>236.6</v>
      </c>
      <c r="N52" s="5">
        <v>267.89999999999998</v>
      </c>
      <c r="O52" s="5">
        <v>267.89999999999998</v>
      </c>
      <c r="P52" s="5">
        <v>267.89999999999998</v>
      </c>
      <c r="S52" s="20" t="s">
        <v>16</v>
      </c>
      <c r="T52" s="22">
        <v>200.4</v>
      </c>
      <c r="U52" s="22">
        <v>203.9</v>
      </c>
      <c r="V52" s="22">
        <v>203.9</v>
      </c>
      <c r="W52" s="22">
        <v>214.6</v>
      </c>
    </row>
    <row r="53" spans="1:23" ht="12.95" customHeight="1">
      <c r="A53" s="2"/>
      <c r="B53" s="5">
        <v>131.6</v>
      </c>
      <c r="C53" s="5">
        <v>137</v>
      </c>
      <c r="D53" s="5">
        <v>138.80000000000001</v>
      </c>
      <c r="E53" s="5">
        <v>145</v>
      </c>
      <c r="F53" s="5">
        <v>123.8</v>
      </c>
      <c r="G53" s="5">
        <v>125.1</v>
      </c>
      <c r="H53" s="5">
        <v>128.5</v>
      </c>
      <c r="I53" s="5">
        <v>129</v>
      </c>
      <c r="L53" s="3" t="s">
        <v>84</v>
      </c>
      <c r="M53" s="5">
        <v>183.5</v>
      </c>
      <c r="N53" s="5">
        <v>197.9</v>
      </c>
      <c r="O53" s="5">
        <v>197.9</v>
      </c>
      <c r="P53" s="5">
        <v>197.9</v>
      </c>
      <c r="S53" s="3" t="s">
        <v>84</v>
      </c>
      <c r="T53" s="22">
        <v>169.8</v>
      </c>
      <c r="U53" s="22">
        <v>179.6</v>
      </c>
      <c r="V53" s="22">
        <v>183.5</v>
      </c>
      <c r="W53" s="22">
        <v>183.5</v>
      </c>
    </row>
    <row r="54" spans="1:23" ht="12.95" customHeight="1">
      <c r="A54" s="6" t="s">
        <v>39</v>
      </c>
      <c r="B54" s="2"/>
      <c r="C54" s="2"/>
      <c r="D54" s="2"/>
      <c r="E54" s="2"/>
      <c r="F54" s="2"/>
      <c r="G54" s="2"/>
      <c r="H54" s="2"/>
      <c r="I54" s="2"/>
      <c r="L54" s="3" t="s">
        <v>85</v>
      </c>
      <c r="M54" s="5">
        <v>214.3</v>
      </c>
      <c r="N54" s="5">
        <v>214.3</v>
      </c>
      <c r="O54" s="5">
        <v>214.3</v>
      </c>
      <c r="P54" s="5">
        <v>214.3</v>
      </c>
      <c r="S54" s="3" t="s">
        <v>85</v>
      </c>
      <c r="T54" s="22">
        <v>215.2</v>
      </c>
      <c r="U54" s="22">
        <v>204.2</v>
      </c>
      <c r="V54" s="22">
        <v>204.2</v>
      </c>
      <c r="W54" s="22">
        <v>204</v>
      </c>
    </row>
    <row r="55" spans="1:23" ht="12.95" customHeight="1">
      <c r="A55" s="2" t="s">
        <v>28</v>
      </c>
      <c r="B55" s="5">
        <v>0.47</v>
      </c>
      <c r="C55" s="5">
        <v>0.46</v>
      </c>
      <c r="D55" s="5">
        <v>0.45</v>
      </c>
      <c r="E55" s="5">
        <v>0.43</v>
      </c>
      <c r="F55" s="5">
        <v>0.51</v>
      </c>
      <c r="G55" s="5">
        <v>0.49</v>
      </c>
      <c r="H55" s="5">
        <v>0.48</v>
      </c>
      <c r="I55" s="5">
        <v>0.48</v>
      </c>
      <c r="L55" s="3" t="s">
        <v>86</v>
      </c>
      <c r="M55" s="5">
        <v>156.80000000000001</v>
      </c>
      <c r="N55" s="5">
        <v>156.80000000000001</v>
      </c>
      <c r="O55" s="5">
        <v>156.80000000000001</v>
      </c>
      <c r="P55" s="5">
        <v>156.80000000000001</v>
      </c>
      <c r="S55" s="3" t="s">
        <v>86</v>
      </c>
      <c r="T55" s="22">
        <v>166.9</v>
      </c>
      <c r="U55" s="22">
        <v>158.6</v>
      </c>
      <c r="V55" s="22">
        <v>154.30000000000001</v>
      </c>
      <c r="W55" s="22">
        <v>157.30000000000001</v>
      </c>
    </row>
    <row r="56" spans="1:23" ht="12.95" customHeight="1">
      <c r="A56" s="10" t="s">
        <v>29</v>
      </c>
      <c r="B56" s="11">
        <v>0.7</v>
      </c>
      <c r="C56" s="11">
        <v>0.68</v>
      </c>
      <c r="D56" s="11">
        <v>0.66</v>
      </c>
      <c r="E56" s="11">
        <v>0.64</v>
      </c>
      <c r="F56" s="11">
        <v>0.74</v>
      </c>
      <c r="G56" s="11">
        <v>0.73</v>
      </c>
      <c r="H56" s="11">
        <v>0.71</v>
      </c>
      <c r="I56" s="11">
        <v>0.71</v>
      </c>
      <c r="L56" s="3" t="s">
        <v>87</v>
      </c>
      <c r="M56" s="5">
        <v>243.5</v>
      </c>
      <c r="N56" s="5">
        <v>280.10000000000002</v>
      </c>
      <c r="O56" s="5">
        <v>280.10000000000002</v>
      </c>
      <c r="P56" s="5">
        <v>280.10000000000002</v>
      </c>
      <c r="S56" s="3" t="s">
        <v>87</v>
      </c>
      <c r="T56" s="22">
        <v>200.8</v>
      </c>
      <c r="U56" s="22">
        <v>206.1</v>
      </c>
      <c r="V56" s="22">
        <v>206.1</v>
      </c>
      <c r="W56" s="22">
        <v>218.7</v>
      </c>
    </row>
    <row r="57" spans="1:23" ht="12.95" customHeight="1">
      <c r="A57" s="13" t="s">
        <v>30</v>
      </c>
      <c r="B57" s="14"/>
      <c r="C57" s="14"/>
      <c r="D57" s="14"/>
      <c r="E57" s="14"/>
      <c r="F57" s="14"/>
      <c r="G57" s="14"/>
      <c r="H57" s="14"/>
      <c r="I57" s="14"/>
      <c r="L57" s="3"/>
      <c r="M57" s="2"/>
      <c r="N57" s="2"/>
      <c r="O57" s="2"/>
      <c r="P57" s="2"/>
      <c r="S57" s="3"/>
      <c r="T57" s="3"/>
      <c r="U57" s="3"/>
      <c r="V57" s="3"/>
      <c r="W57" s="3"/>
    </row>
    <row r="58" spans="1:23" ht="12.95" customHeight="1">
      <c r="A58" s="13" t="s">
        <v>31</v>
      </c>
      <c r="B58" s="14"/>
      <c r="C58" s="14"/>
      <c r="D58" s="14"/>
      <c r="E58" s="14"/>
      <c r="F58" s="14"/>
      <c r="G58" s="14"/>
      <c r="H58" s="14"/>
      <c r="I58" s="14"/>
      <c r="L58" s="20" t="s">
        <v>17</v>
      </c>
      <c r="M58" s="5">
        <v>143.19999999999999</v>
      </c>
      <c r="N58" s="5">
        <v>143.4</v>
      </c>
      <c r="O58" s="5">
        <v>145.69999999999999</v>
      </c>
      <c r="P58" s="5">
        <v>145.69999999999999</v>
      </c>
      <c r="S58" s="20" t="s">
        <v>17</v>
      </c>
      <c r="T58" s="22">
        <v>138.9</v>
      </c>
      <c r="U58" s="22">
        <v>136.80000000000001</v>
      </c>
      <c r="V58" s="22">
        <v>136.4</v>
      </c>
      <c r="W58" s="22">
        <v>140.1</v>
      </c>
    </row>
    <row r="59" spans="1:23" ht="12.95" customHeight="1">
      <c r="L59" s="3" t="s">
        <v>88</v>
      </c>
      <c r="M59" s="5">
        <v>139.5</v>
      </c>
      <c r="N59" s="5">
        <v>139.5</v>
      </c>
      <c r="O59" s="5">
        <v>141.80000000000001</v>
      </c>
      <c r="P59" s="5">
        <v>141.80000000000001</v>
      </c>
      <c r="S59" s="3" t="s">
        <v>88</v>
      </c>
      <c r="T59" s="22">
        <v>137.1</v>
      </c>
      <c r="U59" s="22">
        <v>134.80000000000001</v>
      </c>
      <c r="V59" s="22">
        <v>134.9</v>
      </c>
      <c r="W59" s="22">
        <v>137.69999999999999</v>
      </c>
    </row>
    <row r="60" spans="1:23" ht="12.95" customHeight="1">
      <c r="L60" s="3" t="s">
        <v>89</v>
      </c>
      <c r="M60" s="5">
        <v>210.8</v>
      </c>
      <c r="N60" s="5">
        <v>212.6</v>
      </c>
      <c r="O60" s="5">
        <v>216.2</v>
      </c>
      <c r="P60" s="5">
        <v>216.2</v>
      </c>
      <c r="S60" s="3" t="s">
        <v>89</v>
      </c>
      <c r="T60" s="22">
        <v>166.7</v>
      </c>
      <c r="U60" s="22">
        <v>166.7</v>
      </c>
      <c r="V60" s="22">
        <v>178.2</v>
      </c>
      <c r="W60" s="22">
        <v>195.4</v>
      </c>
    </row>
    <row r="61" spans="1:23" ht="12.95" customHeight="1">
      <c r="L61" s="3" t="s">
        <v>90</v>
      </c>
      <c r="M61" s="5">
        <v>121</v>
      </c>
      <c r="N61" s="5">
        <v>121</v>
      </c>
      <c r="O61" s="5">
        <v>121</v>
      </c>
      <c r="P61" s="5">
        <v>121</v>
      </c>
      <c r="S61" s="3" t="s">
        <v>90</v>
      </c>
      <c r="T61" s="22">
        <v>135.6</v>
      </c>
      <c r="U61" s="22">
        <v>131.4</v>
      </c>
      <c r="V61" s="22">
        <v>107.6</v>
      </c>
      <c r="W61" s="22">
        <v>107.6</v>
      </c>
    </row>
    <row r="62" spans="1:23" ht="12.95" customHeight="1">
      <c r="L62" s="3"/>
      <c r="M62" s="2"/>
      <c r="N62" s="2"/>
      <c r="O62" s="2"/>
      <c r="P62" s="2"/>
      <c r="S62" s="3"/>
      <c r="T62" s="3"/>
      <c r="U62" s="3"/>
      <c r="V62" s="3"/>
      <c r="W62" s="3"/>
    </row>
    <row r="63" spans="1:23" ht="12.95" customHeight="1">
      <c r="L63" s="20" t="s">
        <v>18</v>
      </c>
      <c r="M63" s="5">
        <v>122.8</v>
      </c>
      <c r="N63" s="5">
        <v>123.2</v>
      </c>
      <c r="O63" s="5">
        <v>123.3</v>
      </c>
      <c r="P63" s="5">
        <v>124.2</v>
      </c>
      <c r="S63" s="20" t="s">
        <v>18</v>
      </c>
      <c r="T63" s="22">
        <v>117.3</v>
      </c>
      <c r="U63" s="22">
        <v>117.7</v>
      </c>
      <c r="V63" s="22">
        <v>117.7</v>
      </c>
      <c r="W63" s="22">
        <v>117.2</v>
      </c>
    </row>
    <row r="64" spans="1:23" ht="12.95" customHeight="1">
      <c r="L64" s="3" t="s">
        <v>91</v>
      </c>
      <c r="M64" s="5">
        <v>114.8</v>
      </c>
      <c r="N64" s="5">
        <v>114.8</v>
      </c>
      <c r="O64" s="5">
        <v>114.8</v>
      </c>
      <c r="P64" s="5">
        <v>114.8</v>
      </c>
      <c r="S64" s="3" t="s">
        <v>91</v>
      </c>
      <c r="T64" s="22">
        <v>123.4</v>
      </c>
      <c r="U64" s="22">
        <v>123.4</v>
      </c>
      <c r="V64" s="22">
        <v>123.4</v>
      </c>
      <c r="W64" s="22">
        <v>119.1</v>
      </c>
    </row>
    <row r="65" spans="11:23" ht="12.95" customHeight="1">
      <c r="L65" s="3" t="s">
        <v>92</v>
      </c>
      <c r="M65" s="5">
        <v>136.69999999999999</v>
      </c>
      <c r="N65" s="5">
        <v>136.69999999999999</v>
      </c>
      <c r="O65" s="5">
        <v>136.69999999999999</v>
      </c>
      <c r="P65" s="5">
        <v>136.69999999999999</v>
      </c>
      <c r="S65" s="3" t="s">
        <v>92</v>
      </c>
      <c r="T65" s="22">
        <v>117.9</v>
      </c>
      <c r="U65" s="22">
        <v>117.9</v>
      </c>
      <c r="V65" s="22">
        <v>117.9</v>
      </c>
      <c r="W65" s="22">
        <v>119.2</v>
      </c>
    </row>
    <row r="66" spans="11:23" ht="12.95" customHeight="1">
      <c r="L66" s="3" t="s">
        <v>93</v>
      </c>
      <c r="M66" s="5">
        <v>117.2</v>
      </c>
      <c r="N66" s="5">
        <v>117.2</v>
      </c>
      <c r="O66" s="5">
        <v>117.2</v>
      </c>
      <c r="P66" s="5">
        <v>117.9</v>
      </c>
      <c r="S66" s="3" t="s">
        <v>93</v>
      </c>
      <c r="T66" s="22">
        <v>111</v>
      </c>
      <c r="U66" s="22">
        <v>111</v>
      </c>
      <c r="V66" s="22">
        <v>111</v>
      </c>
      <c r="W66" s="22">
        <v>111</v>
      </c>
    </row>
    <row r="67" spans="11:23" ht="12.95" customHeight="1">
      <c r="L67" s="3" t="s">
        <v>94</v>
      </c>
      <c r="M67" s="5">
        <v>105.8</v>
      </c>
      <c r="N67" s="5">
        <v>108.5</v>
      </c>
      <c r="O67" s="5">
        <v>108.5</v>
      </c>
      <c r="P67" s="5">
        <v>114.1</v>
      </c>
      <c r="S67" s="3" t="s">
        <v>94</v>
      </c>
      <c r="T67" s="22">
        <v>108.6</v>
      </c>
      <c r="U67" s="22">
        <v>109.3</v>
      </c>
      <c r="V67" s="22">
        <v>109.3</v>
      </c>
      <c r="W67" s="22">
        <v>1005.8</v>
      </c>
    </row>
    <row r="68" spans="11:23" ht="12.95" customHeight="1">
      <c r="L68" s="3" t="s">
        <v>95</v>
      </c>
      <c r="M68" s="5">
        <v>149.6</v>
      </c>
      <c r="N68" s="5">
        <v>149.6</v>
      </c>
      <c r="O68" s="5">
        <v>149.6</v>
      </c>
      <c r="P68" s="5">
        <v>149.6</v>
      </c>
      <c r="S68" s="3" t="s">
        <v>95</v>
      </c>
      <c r="T68" s="22">
        <v>145.80000000000001</v>
      </c>
      <c r="U68" s="22">
        <v>148.1</v>
      </c>
      <c r="V68" s="22">
        <v>148.1</v>
      </c>
      <c r="W68" s="22">
        <v>148.1</v>
      </c>
    </row>
    <row r="69" spans="11:23" ht="12.95" customHeight="1">
      <c r="L69" s="3"/>
      <c r="M69" s="2"/>
      <c r="N69" s="2"/>
      <c r="O69" s="2"/>
      <c r="P69" s="2"/>
      <c r="S69" s="3"/>
      <c r="T69" s="3"/>
      <c r="U69" s="3"/>
      <c r="V69" s="3"/>
      <c r="W69" s="3"/>
    </row>
    <row r="70" spans="11:23" ht="12.95" customHeight="1">
      <c r="L70" s="20" t="s">
        <v>96</v>
      </c>
      <c r="M70" s="5">
        <v>145.5</v>
      </c>
      <c r="N70" s="5">
        <v>142.19999999999999</v>
      </c>
      <c r="O70" s="5">
        <v>142.30000000000001</v>
      </c>
      <c r="P70" s="5">
        <v>142.30000000000001</v>
      </c>
      <c r="S70" s="20" t="s">
        <v>96</v>
      </c>
      <c r="T70" s="22">
        <v>136.19999999999999</v>
      </c>
      <c r="U70" s="22">
        <v>132.80000000000001</v>
      </c>
      <c r="V70" s="22">
        <v>128.4</v>
      </c>
      <c r="W70" s="22">
        <v>131.19999999999999</v>
      </c>
    </row>
    <row r="71" spans="11:23" ht="12.95" customHeight="1">
      <c r="L71" s="3" t="s">
        <v>97</v>
      </c>
      <c r="M71" s="5">
        <v>275.3</v>
      </c>
      <c r="N71" s="5">
        <v>301.5</v>
      </c>
      <c r="O71" s="5">
        <v>301.5</v>
      </c>
      <c r="P71" s="5">
        <v>301.5</v>
      </c>
      <c r="S71" s="3" t="s">
        <v>97</v>
      </c>
      <c r="T71" s="22">
        <v>254.2</v>
      </c>
      <c r="U71" s="22">
        <v>265.7</v>
      </c>
      <c r="V71" s="22">
        <v>270.39999999999998</v>
      </c>
      <c r="W71" s="22">
        <v>275.8</v>
      </c>
    </row>
    <row r="72" spans="11:23" ht="12.95" customHeight="1">
      <c r="L72" s="3" t="s">
        <v>98</v>
      </c>
      <c r="M72" s="5">
        <v>106.5</v>
      </c>
      <c r="N72" s="5">
        <v>96.3</v>
      </c>
      <c r="O72" s="5">
        <v>96.3</v>
      </c>
      <c r="P72" s="5">
        <v>96.4</v>
      </c>
      <c r="S72" s="3" t="s">
        <v>98</v>
      </c>
      <c r="T72" s="22">
        <v>106.6</v>
      </c>
      <c r="U72" s="22">
        <v>97.6</v>
      </c>
      <c r="V72" s="22">
        <v>84.3</v>
      </c>
      <c r="W72" s="22">
        <v>85.2</v>
      </c>
    </row>
    <row r="73" spans="11:23" ht="12.95" customHeight="1">
      <c r="L73" s="3" t="s">
        <v>99</v>
      </c>
      <c r="M73" s="5">
        <v>194.6</v>
      </c>
      <c r="N73" s="5">
        <v>194.6</v>
      </c>
      <c r="O73" s="5">
        <v>194.6</v>
      </c>
      <c r="P73" s="5">
        <v>194.6</v>
      </c>
      <c r="S73" s="3" t="s">
        <v>99</v>
      </c>
      <c r="T73" s="22">
        <v>162.19999999999999</v>
      </c>
      <c r="U73" s="22">
        <v>158.1</v>
      </c>
      <c r="V73" s="22">
        <v>168.9</v>
      </c>
      <c r="W73" s="22">
        <v>185.9</v>
      </c>
    </row>
    <row r="74" spans="11:23" ht="12.95" customHeight="1">
      <c r="L74" s="3" t="s">
        <v>100</v>
      </c>
      <c r="M74" s="5">
        <v>199.9</v>
      </c>
      <c r="N74" s="5">
        <v>199.9</v>
      </c>
      <c r="O74" s="5">
        <v>199.9</v>
      </c>
      <c r="P74" s="5">
        <v>199.9</v>
      </c>
      <c r="S74" s="3" t="s">
        <v>100</v>
      </c>
      <c r="T74" s="22">
        <v>201.9</v>
      </c>
      <c r="U74" s="22">
        <v>201.9</v>
      </c>
      <c r="V74" s="22">
        <v>199.9</v>
      </c>
      <c r="W74" s="22">
        <v>199.9</v>
      </c>
    </row>
    <row r="75" spans="11:23" ht="12.95" customHeight="1">
      <c r="L75" s="3" t="s">
        <v>101</v>
      </c>
      <c r="M75" s="5">
        <v>164.1</v>
      </c>
      <c r="N75" s="5">
        <v>164.1</v>
      </c>
      <c r="O75" s="5">
        <v>164.1</v>
      </c>
      <c r="P75" s="5">
        <v>164.1</v>
      </c>
      <c r="S75" s="3" t="s">
        <v>101</v>
      </c>
      <c r="T75" s="22">
        <v>133.30000000000001</v>
      </c>
      <c r="U75" s="22">
        <v>133.30000000000001</v>
      </c>
      <c r="V75" s="22">
        <v>133.30000000000001</v>
      </c>
      <c r="W75" s="22">
        <v>158.80000000000001</v>
      </c>
    </row>
    <row r="76" spans="11:23" ht="12.95" customHeight="1">
      <c r="L76" s="3" t="s">
        <v>102</v>
      </c>
      <c r="M76" s="5">
        <v>135.30000000000001</v>
      </c>
      <c r="N76" s="5">
        <v>131.69999999999999</v>
      </c>
      <c r="O76" s="5">
        <v>131.6</v>
      </c>
      <c r="P76" s="5">
        <v>131.6</v>
      </c>
      <c r="S76" s="3" t="s">
        <v>102</v>
      </c>
      <c r="T76" s="22">
        <v>131.6</v>
      </c>
      <c r="U76" s="22">
        <v>131.6</v>
      </c>
      <c r="V76" s="22">
        <v>131.6</v>
      </c>
      <c r="W76" s="22">
        <v>131.6</v>
      </c>
    </row>
    <row r="77" spans="11:23" ht="12.75" customHeight="1">
      <c r="L77" s="23" t="s">
        <v>103</v>
      </c>
      <c r="M77" s="11">
        <v>158.80000000000001</v>
      </c>
      <c r="N77" s="11">
        <v>158.80000000000001</v>
      </c>
      <c r="O77" s="11">
        <v>158.80000000000001</v>
      </c>
      <c r="P77" s="11">
        <v>158.80000000000001</v>
      </c>
      <c r="S77" s="23" t="s">
        <v>103</v>
      </c>
      <c r="T77" s="29">
        <v>146.5</v>
      </c>
      <c r="U77" s="29">
        <v>150.30000000000001</v>
      </c>
      <c r="V77" s="29">
        <v>161.5</v>
      </c>
      <c r="W77" s="29">
        <v>148.69999999999999</v>
      </c>
    </row>
    <row r="78" spans="11:23" ht="25.5" customHeight="1">
      <c r="L78" s="2111" t="s">
        <v>30</v>
      </c>
      <c r="M78" s="2111"/>
      <c r="N78" s="2111"/>
      <c r="O78" s="2111"/>
      <c r="P78" s="2111"/>
      <c r="Q78" s="24"/>
      <c r="R78" s="24"/>
      <c r="S78" s="2112" t="s">
        <v>30</v>
      </c>
      <c r="T78" s="2112"/>
      <c r="U78" s="2112"/>
      <c r="V78" s="2112"/>
      <c r="W78" s="3"/>
    </row>
    <row r="79" spans="11:23" ht="12" customHeight="1">
      <c r="K79" s="25"/>
      <c r="L79" s="13" t="s">
        <v>104</v>
      </c>
      <c r="M79" s="1"/>
      <c r="N79" s="1"/>
      <c r="O79" s="3"/>
      <c r="P79" s="3"/>
      <c r="S79" s="30" t="s">
        <v>104</v>
      </c>
      <c r="T79" s="30"/>
      <c r="U79" s="30"/>
      <c r="V79" s="30"/>
      <c r="W79" s="3"/>
    </row>
    <row r="80" spans="11:23">
      <c r="L80" s="3"/>
      <c r="M80" s="3"/>
      <c r="N80" s="3"/>
      <c r="O80" s="3"/>
      <c r="P80" s="3"/>
      <c r="S80" s="3"/>
      <c r="T80" s="3"/>
      <c r="U80" s="3"/>
      <c r="V80" s="3"/>
      <c r="W80" s="3"/>
    </row>
    <row r="81" spans="12:23">
      <c r="L81" s="3"/>
      <c r="M81" s="3"/>
      <c r="N81" s="3"/>
      <c r="O81" s="3"/>
      <c r="P81" s="3"/>
      <c r="S81" s="2"/>
      <c r="T81" s="2"/>
      <c r="U81" s="2"/>
      <c r="V81" s="2"/>
      <c r="W81" s="2"/>
    </row>
    <row r="82" spans="12:23">
      <c r="L82" s="3"/>
      <c r="M82" s="3"/>
      <c r="N82" s="3"/>
      <c r="O82" s="3"/>
      <c r="P82" s="3"/>
      <c r="S82" s="2"/>
      <c r="T82" s="2"/>
      <c r="U82" s="2"/>
      <c r="V82" s="2"/>
      <c r="W82" s="2"/>
    </row>
    <row r="83" spans="12:23" ht="12" customHeight="1">
      <c r="L83" s="1" t="s">
        <v>105</v>
      </c>
      <c r="M83" s="3"/>
      <c r="N83" s="3"/>
      <c r="O83" s="3"/>
      <c r="P83" s="3"/>
      <c r="S83" s="1" t="s">
        <v>108</v>
      </c>
      <c r="T83" s="3"/>
      <c r="U83" s="3"/>
      <c r="V83" s="3"/>
      <c r="W83" s="3"/>
    </row>
    <row r="84" spans="12:23" ht="12" customHeight="1">
      <c r="L84" s="3" t="s">
        <v>41</v>
      </c>
      <c r="M84" s="3"/>
      <c r="N84" s="3"/>
      <c r="O84" s="3"/>
      <c r="P84" s="3"/>
      <c r="S84" s="3" t="s">
        <v>41</v>
      </c>
      <c r="T84" s="3"/>
      <c r="U84" s="3"/>
      <c r="V84" s="3"/>
      <c r="W84" s="3"/>
    </row>
    <row r="85" spans="12:23">
      <c r="L85" s="2113" t="s">
        <v>4</v>
      </c>
      <c r="M85" s="2047" t="s">
        <v>3</v>
      </c>
      <c r="N85" s="2047"/>
      <c r="O85" s="2047"/>
      <c r="P85" s="2042"/>
      <c r="S85" s="2113" t="s">
        <v>4</v>
      </c>
      <c r="T85" s="2047" t="s">
        <v>35</v>
      </c>
      <c r="U85" s="2047"/>
      <c r="V85" s="2047"/>
      <c r="W85" s="2042"/>
    </row>
    <row r="86" spans="12:23" ht="13.5" customHeight="1">
      <c r="L86" s="2114"/>
      <c r="M86" s="17" t="s">
        <v>42</v>
      </c>
      <c r="N86" s="17" t="s">
        <v>43</v>
      </c>
      <c r="O86" s="17" t="s">
        <v>44</v>
      </c>
      <c r="P86" s="28" t="s">
        <v>45</v>
      </c>
      <c r="S86" s="2114"/>
      <c r="T86" s="17" t="s">
        <v>42</v>
      </c>
      <c r="U86" s="17" t="s">
        <v>43</v>
      </c>
      <c r="V86" s="17" t="s">
        <v>44</v>
      </c>
      <c r="W86" s="28" t="s">
        <v>45</v>
      </c>
    </row>
    <row r="87" spans="12:23">
      <c r="L87" s="20" t="s">
        <v>11</v>
      </c>
      <c r="M87" s="5">
        <v>163.6</v>
      </c>
      <c r="N87" s="5">
        <v>164.3</v>
      </c>
      <c r="O87" s="5">
        <v>161.5</v>
      </c>
      <c r="P87" s="22">
        <v>162.6</v>
      </c>
      <c r="S87" s="20" t="s">
        <v>11</v>
      </c>
      <c r="T87" s="22">
        <v>135.80000000000001</v>
      </c>
      <c r="U87" s="22">
        <v>137.80000000000001</v>
      </c>
      <c r="V87" s="22">
        <v>140.9</v>
      </c>
      <c r="W87" s="22">
        <v>141.30000000000001</v>
      </c>
    </row>
    <row r="88" spans="12:23" ht="12.95" customHeight="1">
      <c r="L88" s="20" t="s">
        <v>12</v>
      </c>
      <c r="M88" s="22">
        <v>187.4</v>
      </c>
      <c r="N88" s="22">
        <v>189.3</v>
      </c>
      <c r="O88" s="22">
        <v>189.1</v>
      </c>
      <c r="P88" s="22">
        <v>189.2</v>
      </c>
      <c r="S88" s="20" t="s">
        <v>12</v>
      </c>
      <c r="T88" s="22">
        <v>151.19999999999999</v>
      </c>
      <c r="U88" s="22">
        <v>152.19999999999999</v>
      </c>
      <c r="V88" s="22">
        <v>163.9</v>
      </c>
      <c r="W88" s="22">
        <v>166.4</v>
      </c>
    </row>
    <row r="89" spans="12:23" ht="12.95" customHeight="1">
      <c r="L89" s="3" t="s">
        <v>46</v>
      </c>
      <c r="M89" s="22">
        <v>203.4</v>
      </c>
      <c r="N89" s="22">
        <v>209.5</v>
      </c>
      <c r="O89" s="22">
        <v>210.1</v>
      </c>
      <c r="P89" s="22">
        <v>205.8</v>
      </c>
      <c r="S89" s="3" t="s">
        <v>46</v>
      </c>
      <c r="T89" s="22">
        <v>148.4</v>
      </c>
      <c r="U89" s="22">
        <v>151.69999999999999</v>
      </c>
      <c r="V89" s="22">
        <v>153</v>
      </c>
      <c r="W89" s="22">
        <v>154.19999999999999</v>
      </c>
    </row>
    <row r="90" spans="12:23" ht="12.95" customHeight="1">
      <c r="L90" s="3" t="s">
        <v>47</v>
      </c>
      <c r="M90" s="22">
        <v>184.9</v>
      </c>
      <c r="N90" s="22">
        <v>186.1</v>
      </c>
      <c r="O90" s="22">
        <v>185.8</v>
      </c>
      <c r="P90" s="22">
        <v>187.8</v>
      </c>
      <c r="S90" s="3" t="s">
        <v>47</v>
      </c>
      <c r="T90" s="22">
        <v>151.5</v>
      </c>
      <c r="U90" s="22">
        <v>154.9</v>
      </c>
      <c r="V90" s="22">
        <v>158.19999999999999</v>
      </c>
      <c r="W90" s="22">
        <v>164.8</v>
      </c>
    </row>
    <row r="91" spans="12:23" ht="12.95" customHeight="1">
      <c r="L91" s="3" t="s">
        <v>48</v>
      </c>
      <c r="M91" s="22">
        <v>206.5</v>
      </c>
      <c r="N91" s="22">
        <v>214.6</v>
      </c>
      <c r="O91" s="22">
        <v>213.7</v>
      </c>
      <c r="P91" s="22">
        <v>216.5</v>
      </c>
      <c r="S91" s="3" t="s">
        <v>48</v>
      </c>
      <c r="T91" s="22">
        <v>157</v>
      </c>
      <c r="U91" s="22">
        <v>161.4</v>
      </c>
      <c r="V91" s="22">
        <v>195.1</v>
      </c>
      <c r="W91" s="22">
        <v>202.7</v>
      </c>
    </row>
    <row r="92" spans="12:23" ht="12.95" customHeight="1">
      <c r="L92" s="3" t="s">
        <v>49</v>
      </c>
      <c r="M92" s="22">
        <v>150</v>
      </c>
      <c r="N92" s="22">
        <v>149.6</v>
      </c>
      <c r="O92" s="22">
        <v>149.5</v>
      </c>
      <c r="P92" s="22">
        <v>151.4</v>
      </c>
      <c r="S92" s="3" t="s">
        <v>49</v>
      </c>
      <c r="T92" s="22">
        <v>131.6</v>
      </c>
      <c r="U92" s="22">
        <v>132.19999999999999</v>
      </c>
      <c r="V92" s="22">
        <v>147.19999999999999</v>
      </c>
      <c r="W92" s="22">
        <v>146.9</v>
      </c>
    </row>
    <row r="93" spans="12:23" ht="12.95" customHeight="1">
      <c r="L93" s="3" t="s">
        <v>50</v>
      </c>
      <c r="M93" s="22">
        <v>255.7</v>
      </c>
      <c r="N93" s="22">
        <v>253</v>
      </c>
      <c r="O93" s="22">
        <v>253.4</v>
      </c>
      <c r="P93" s="22">
        <v>253.4</v>
      </c>
      <c r="S93" s="3" t="s">
        <v>50</v>
      </c>
      <c r="T93" s="22">
        <v>227.5</v>
      </c>
      <c r="U93" s="22">
        <v>227.7</v>
      </c>
      <c r="V93" s="22">
        <v>229.9</v>
      </c>
      <c r="W93" s="22">
        <v>229.2</v>
      </c>
    </row>
    <row r="94" spans="12:23" ht="12.95" customHeight="1">
      <c r="L94" s="3" t="s">
        <v>51</v>
      </c>
      <c r="M94" s="22">
        <v>172.5</v>
      </c>
      <c r="N94" s="22">
        <v>174.7</v>
      </c>
      <c r="O94" s="22">
        <v>168.9</v>
      </c>
      <c r="P94" s="22">
        <v>170.8</v>
      </c>
      <c r="S94" s="3" t="s">
        <v>51</v>
      </c>
      <c r="T94" s="22">
        <v>160.6</v>
      </c>
      <c r="U94" s="22">
        <v>163.19999999999999</v>
      </c>
      <c r="V94" s="22">
        <v>177</v>
      </c>
      <c r="W94" s="22">
        <v>169.3</v>
      </c>
    </row>
    <row r="95" spans="12:23" ht="12.95" customHeight="1">
      <c r="L95" s="3" t="s">
        <v>52</v>
      </c>
      <c r="M95" s="22">
        <v>196.7</v>
      </c>
      <c r="N95" s="22">
        <v>204.6</v>
      </c>
      <c r="O95" s="22">
        <v>205.1</v>
      </c>
      <c r="P95" s="22">
        <v>210.9</v>
      </c>
      <c r="S95" s="3" t="s">
        <v>52</v>
      </c>
      <c r="T95" s="22">
        <v>134.4</v>
      </c>
      <c r="U95" s="22">
        <v>130.6</v>
      </c>
      <c r="V95" s="22">
        <v>159.1</v>
      </c>
      <c r="W95" s="22">
        <v>173.6</v>
      </c>
    </row>
    <row r="96" spans="12:23" ht="12.95" customHeight="1">
      <c r="L96" s="3" t="s">
        <v>53</v>
      </c>
      <c r="M96" s="22">
        <v>311.89999999999998</v>
      </c>
      <c r="N96" s="22">
        <v>241</v>
      </c>
      <c r="O96" s="22">
        <v>238</v>
      </c>
      <c r="P96" s="22">
        <v>236</v>
      </c>
      <c r="S96" s="3" t="s">
        <v>53</v>
      </c>
      <c r="T96" s="22">
        <v>137.30000000000001</v>
      </c>
      <c r="U96" s="22">
        <v>139.1</v>
      </c>
      <c r="V96" s="22">
        <v>155.5</v>
      </c>
      <c r="W96" s="22">
        <v>146.19999999999999</v>
      </c>
    </row>
    <row r="97" spans="12:23" ht="12.95" customHeight="1">
      <c r="L97" s="3" t="s">
        <v>54</v>
      </c>
      <c r="M97" s="22">
        <v>175.7</v>
      </c>
      <c r="N97" s="22">
        <v>175.3</v>
      </c>
      <c r="O97" s="22">
        <v>175</v>
      </c>
      <c r="P97" s="22">
        <v>174.6</v>
      </c>
      <c r="S97" s="3" t="s">
        <v>54</v>
      </c>
      <c r="T97" s="22">
        <v>149.9</v>
      </c>
      <c r="U97" s="22">
        <v>150.4</v>
      </c>
      <c r="V97" s="22">
        <v>151.5</v>
      </c>
      <c r="W97" s="22">
        <v>149.1</v>
      </c>
    </row>
    <row r="98" spans="12:23" ht="12.95" customHeight="1">
      <c r="L98" s="3" t="s">
        <v>55</v>
      </c>
      <c r="M98" s="22">
        <v>161.80000000000001</v>
      </c>
      <c r="N98" s="22">
        <v>162</v>
      </c>
      <c r="O98" s="22">
        <v>163.4</v>
      </c>
      <c r="P98" s="22">
        <v>163.69999999999999</v>
      </c>
      <c r="S98" s="3" t="s">
        <v>55</v>
      </c>
      <c r="T98" s="22">
        <v>137.1</v>
      </c>
      <c r="U98" s="22">
        <v>140.30000000000001</v>
      </c>
      <c r="V98" s="22">
        <v>148.6</v>
      </c>
      <c r="W98" s="22">
        <v>143.5</v>
      </c>
    </row>
    <row r="99" spans="12:23" ht="12.95" customHeight="1">
      <c r="L99" s="3" t="s">
        <v>56</v>
      </c>
      <c r="M99" s="22">
        <v>158.69999999999999</v>
      </c>
      <c r="N99" s="22">
        <v>161.1</v>
      </c>
      <c r="O99" s="22">
        <v>162.9</v>
      </c>
      <c r="P99" s="22">
        <v>158.69999999999999</v>
      </c>
      <c r="S99" s="3" t="s">
        <v>56</v>
      </c>
      <c r="T99" s="22">
        <v>127.5</v>
      </c>
      <c r="U99" s="22">
        <v>120.3</v>
      </c>
      <c r="V99" s="22">
        <v>136.5</v>
      </c>
      <c r="W99" s="22">
        <v>143.69999999999999</v>
      </c>
    </row>
    <row r="100" spans="12:23" ht="12.95" customHeight="1">
      <c r="L100" s="3" t="s">
        <v>57</v>
      </c>
      <c r="M100" s="22">
        <v>170.7</v>
      </c>
      <c r="N100" s="22">
        <v>173.1</v>
      </c>
      <c r="O100" s="22">
        <v>175.5</v>
      </c>
      <c r="P100" s="22">
        <v>174.8</v>
      </c>
      <c r="S100" s="3" t="s">
        <v>57</v>
      </c>
      <c r="T100" s="22">
        <v>136.80000000000001</v>
      </c>
      <c r="U100" s="22">
        <v>136.6</v>
      </c>
      <c r="V100" s="22">
        <v>139.6</v>
      </c>
      <c r="W100" s="22">
        <v>142.6</v>
      </c>
    </row>
    <row r="101" spans="12:23" ht="12.95" customHeight="1">
      <c r="L101" s="3" t="s">
        <v>58</v>
      </c>
      <c r="M101" s="22">
        <v>201.8</v>
      </c>
      <c r="N101" s="22">
        <v>201.3</v>
      </c>
      <c r="O101" s="22">
        <v>201.3</v>
      </c>
      <c r="P101" s="22">
        <v>200.7</v>
      </c>
      <c r="S101" s="3" t="s">
        <v>58</v>
      </c>
      <c r="T101" s="22">
        <v>168.5</v>
      </c>
      <c r="U101" s="22">
        <v>174.6</v>
      </c>
      <c r="V101" s="22">
        <v>177</v>
      </c>
      <c r="W101" s="22">
        <v>177</v>
      </c>
    </row>
    <row r="102" spans="12:23" ht="12.95" customHeight="1">
      <c r="L102" s="3" t="s">
        <v>59</v>
      </c>
      <c r="M102" s="22">
        <v>278.7</v>
      </c>
      <c r="N102" s="22">
        <v>278.7</v>
      </c>
      <c r="O102" s="22">
        <v>278.7</v>
      </c>
      <c r="P102" s="22">
        <v>283.5</v>
      </c>
      <c r="S102" s="3" t="s">
        <v>59</v>
      </c>
      <c r="T102" s="22">
        <v>154.5</v>
      </c>
      <c r="U102" s="22">
        <v>157.4</v>
      </c>
      <c r="V102" s="22">
        <v>203.6</v>
      </c>
      <c r="W102" s="22">
        <v>229.9</v>
      </c>
    </row>
    <row r="103" spans="12:23" ht="12.95" customHeight="1">
      <c r="L103" s="3" t="s">
        <v>60</v>
      </c>
      <c r="M103" s="22">
        <v>191.6</v>
      </c>
      <c r="N103" s="22">
        <v>198.4</v>
      </c>
      <c r="O103" s="22">
        <v>200.6</v>
      </c>
      <c r="P103" s="22">
        <v>196.5</v>
      </c>
      <c r="S103" s="3" t="s">
        <v>60</v>
      </c>
      <c r="T103" s="22">
        <v>166.8</v>
      </c>
      <c r="U103" s="22">
        <v>167.2</v>
      </c>
      <c r="V103" s="22">
        <v>170</v>
      </c>
      <c r="W103" s="22">
        <v>176</v>
      </c>
    </row>
    <row r="104" spans="12:23" ht="12.95" customHeight="1">
      <c r="L104" s="3" t="s">
        <v>61</v>
      </c>
      <c r="M104" s="22">
        <v>182.2</v>
      </c>
      <c r="N104" s="22">
        <v>182.4</v>
      </c>
      <c r="O104" s="22">
        <v>184.2</v>
      </c>
      <c r="P104" s="22">
        <v>182.4</v>
      </c>
      <c r="S104" s="3" t="s">
        <v>61</v>
      </c>
      <c r="T104" s="22">
        <v>145.80000000000001</v>
      </c>
      <c r="U104" s="22">
        <v>150.30000000000001</v>
      </c>
      <c r="V104" s="22">
        <v>150.4</v>
      </c>
      <c r="W104" s="22">
        <v>161.5</v>
      </c>
    </row>
    <row r="105" spans="12:23" ht="12.95" customHeight="1">
      <c r="L105" s="3" t="s">
        <v>62</v>
      </c>
      <c r="M105" s="22">
        <v>157.6</v>
      </c>
      <c r="N105" s="22">
        <v>155.80000000000001</v>
      </c>
      <c r="O105" s="22">
        <v>155.80000000000001</v>
      </c>
      <c r="P105" s="22">
        <v>155.69999999999999</v>
      </c>
      <c r="S105" s="3" t="s">
        <v>62</v>
      </c>
      <c r="T105" s="22">
        <v>135.6</v>
      </c>
      <c r="U105" s="22">
        <v>136.6</v>
      </c>
      <c r="V105" s="22">
        <v>136.69999999999999</v>
      </c>
      <c r="W105" s="22">
        <v>137.1</v>
      </c>
    </row>
    <row r="106" spans="12:23" ht="12.95" customHeight="1">
      <c r="L106" s="3"/>
      <c r="M106" s="3"/>
      <c r="N106" s="3"/>
      <c r="O106" s="3"/>
      <c r="P106" s="3"/>
      <c r="S106" s="3"/>
      <c r="T106" s="3"/>
      <c r="U106" s="3"/>
      <c r="V106" s="3"/>
      <c r="W106" s="3"/>
    </row>
    <row r="107" spans="12:23" ht="12.95" customHeight="1">
      <c r="L107" s="20" t="s">
        <v>13</v>
      </c>
      <c r="M107" s="22">
        <v>149.80000000000001</v>
      </c>
      <c r="N107" s="22">
        <v>149.69999999999999</v>
      </c>
      <c r="O107" s="22">
        <v>140</v>
      </c>
      <c r="P107" s="22">
        <v>140.19999999999999</v>
      </c>
      <c r="S107" s="20" t="s">
        <v>13</v>
      </c>
      <c r="T107" s="22">
        <v>116.2</v>
      </c>
      <c r="U107" s="22">
        <v>116.2</v>
      </c>
      <c r="V107" s="22">
        <v>119.7</v>
      </c>
      <c r="W107" s="22">
        <v>118.7</v>
      </c>
    </row>
    <row r="108" spans="12:23" ht="12.95" customHeight="1">
      <c r="L108" s="3" t="s">
        <v>63</v>
      </c>
      <c r="M108" s="22">
        <v>133</v>
      </c>
      <c r="N108" s="22">
        <v>133.19999999999999</v>
      </c>
      <c r="O108" s="22">
        <v>133.80000000000001</v>
      </c>
      <c r="P108" s="22">
        <v>133.19999999999999</v>
      </c>
      <c r="S108" s="3" t="s">
        <v>63</v>
      </c>
      <c r="T108" s="22">
        <v>108.6</v>
      </c>
      <c r="U108" s="22">
        <v>109.1</v>
      </c>
      <c r="V108" s="22">
        <v>109.6</v>
      </c>
      <c r="W108" s="22">
        <v>109.2</v>
      </c>
    </row>
    <row r="109" spans="12:23" ht="12.95" customHeight="1">
      <c r="L109" s="3" t="s">
        <v>64</v>
      </c>
      <c r="M109" s="22">
        <v>143.69999999999999</v>
      </c>
      <c r="N109" s="22">
        <v>143.19999999999999</v>
      </c>
      <c r="O109" s="22">
        <v>145.6</v>
      </c>
      <c r="P109" s="22">
        <v>143.19999999999999</v>
      </c>
      <c r="S109" s="3" t="s">
        <v>64</v>
      </c>
      <c r="T109" s="22">
        <v>135.4</v>
      </c>
      <c r="U109" s="22">
        <v>135.4</v>
      </c>
      <c r="V109" s="22">
        <v>146.69999999999999</v>
      </c>
      <c r="W109" s="22">
        <v>147.1</v>
      </c>
    </row>
    <row r="110" spans="12:23" ht="12.95" customHeight="1">
      <c r="L110" s="3" t="s">
        <v>65</v>
      </c>
      <c r="M110" s="22">
        <v>194.6</v>
      </c>
      <c r="N110" s="22">
        <v>194.4</v>
      </c>
      <c r="O110" s="22">
        <v>153.5</v>
      </c>
      <c r="P110" s="22">
        <v>153.5</v>
      </c>
      <c r="S110" s="3" t="s">
        <v>65</v>
      </c>
      <c r="T110" s="22">
        <v>95.6</v>
      </c>
      <c r="U110" s="22">
        <v>95.6</v>
      </c>
      <c r="V110" s="22">
        <v>106.4</v>
      </c>
      <c r="W110" s="22">
        <v>106.4</v>
      </c>
    </row>
    <row r="111" spans="12:23" ht="12.95" customHeight="1">
      <c r="L111" s="3" t="s">
        <v>66</v>
      </c>
      <c r="M111" s="22">
        <v>167.3</v>
      </c>
      <c r="N111" s="22">
        <v>167.3</v>
      </c>
      <c r="O111" s="22">
        <v>167.7</v>
      </c>
      <c r="P111" s="22">
        <v>167.3</v>
      </c>
      <c r="S111" s="3" t="s">
        <v>66</v>
      </c>
      <c r="T111" s="22">
        <v>160.9</v>
      </c>
      <c r="U111" s="22">
        <v>159.69999999999999</v>
      </c>
      <c r="V111" s="22">
        <v>159.9</v>
      </c>
      <c r="W111" s="22">
        <v>157.30000000000001</v>
      </c>
    </row>
    <row r="112" spans="12:23" ht="12.95" customHeight="1">
      <c r="L112" s="3" t="s">
        <v>67</v>
      </c>
      <c r="M112" s="22">
        <v>144</v>
      </c>
      <c r="N112" s="22">
        <v>145.19999999999999</v>
      </c>
      <c r="O112" s="22">
        <v>147.4</v>
      </c>
      <c r="P112" s="22">
        <v>145.6</v>
      </c>
      <c r="S112" s="3" t="s">
        <v>67</v>
      </c>
      <c r="T112" s="22">
        <v>96</v>
      </c>
      <c r="U112" s="22">
        <v>96</v>
      </c>
      <c r="V112" s="22">
        <v>96</v>
      </c>
      <c r="W112" s="22">
        <v>96.9</v>
      </c>
    </row>
    <row r="113" spans="12:23" ht="12.95" customHeight="1">
      <c r="L113" s="3" t="s">
        <v>68</v>
      </c>
      <c r="M113" s="22">
        <v>62.3</v>
      </c>
      <c r="N113" s="22">
        <v>62.5</v>
      </c>
      <c r="O113" s="22">
        <v>63.4</v>
      </c>
      <c r="P113" s="22">
        <v>60.7</v>
      </c>
      <c r="S113" s="3" t="s">
        <v>68</v>
      </c>
      <c r="T113" s="22">
        <v>58.3</v>
      </c>
      <c r="U113" s="22">
        <v>58.3</v>
      </c>
      <c r="V113" s="22">
        <v>59.1</v>
      </c>
      <c r="W113" s="22">
        <v>56.8</v>
      </c>
    </row>
    <row r="114" spans="12:23" ht="12.95" customHeight="1">
      <c r="L114" s="3" t="s">
        <v>69</v>
      </c>
      <c r="M114" s="22">
        <v>82.3</v>
      </c>
      <c r="N114" s="22">
        <v>77.5</v>
      </c>
      <c r="O114" s="22">
        <v>76.7</v>
      </c>
      <c r="P114" s="22">
        <v>76.2</v>
      </c>
      <c r="S114" s="3" t="s">
        <v>69</v>
      </c>
      <c r="T114" s="22">
        <v>120.9</v>
      </c>
      <c r="U114" s="22">
        <v>120.9</v>
      </c>
      <c r="V114" s="22">
        <v>99.4</v>
      </c>
      <c r="W114" s="22">
        <v>97.3</v>
      </c>
    </row>
    <row r="115" spans="12:23" ht="12.95" customHeight="1">
      <c r="L115" s="3" t="s">
        <v>70</v>
      </c>
      <c r="M115" s="22">
        <v>148.1</v>
      </c>
      <c r="N115" s="22">
        <v>138.80000000000001</v>
      </c>
      <c r="O115" s="22">
        <v>138.4</v>
      </c>
      <c r="P115" s="22">
        <v>138.1</v>
      </c>
      <c r="S115" s="3" t="s">
        <v>70</v>
      </c>
      <c r="T115" s="22">
        <v>113.3</v>
      </c>
      <c r="U115" s="22">
        <v>113.4</v>
      </c>
      <c r="V115" s="22">
        <v>112.3</v>
      </c>
      <c r="W115" s="22">
        <v>113.9</v>
      </c>
    </row>
    <row r="116" spans="12:23" ht="12.95" customHeight="1">
      <c r="L116" s="3" t="s">
        <v>71</v>
      </c>
      <c r="M116" s="22">
        <v>127.4</v>
      </c>
      <c r="N116" s="22">
        <v>133.80000000000001</v>
      </c>
      <c r="O116" s="22">
        <v>134.1</v>
      </c>
      <c r="P116" s="22">
        <v>141.30000000000001</v>
      </c>
      <c r="S116" s="3" t="s">
        <v>71</v>
      </c>
      <c r="T116" s="22">
        <v>115.1</v>
      </c>
      <c r="U116" s="22">
        <v>115.4</v>
      </c>
      <c r="V116" s="22">
        <v>116.2</v>
      </c>
      <c r="W116" s="22">
        <v>114.7</v>
      </c>
    </row>
    <row r="117" spans="12:23" ht="12.95" customHeight="1">
      <c r="L117" s="3" t="s">
        <v>72</v>
      </c>
      <c r="M117" s="22">
        <v>144.6</v>
      </c>
      <c r="N117" s="22">
        <v>121.7</v>
      </c>
      <c r="O117" s="22">
        <v>125.1</v>
      </c>
      <c r="P117" s="22">
        <v>125.1</v>
      </c>
      <c r="S117" s="3" t="s">
        <v>72</v>
      </c>
      <c r="T117" s="22">
        <v>146.1</v>
      </c>
      <c r="U117" s="22">
        <v>146.1</v>
      </c>
      <c r="V117" s="22">
        <v>146.1</v>
      </c>
      <c r="W117" s="22">
        <v>140.69999999999999</v>
      </c>
    </row>
    <row r="118" spans="12:23" ht="12.95" customHeight="1">
      <c r="L118" s="3"/>
      <c r="M118" s="3"/>
      <c r="N118" s="3"/>
      <c r="O118" s="3"/>
      <c r="P118" s="3"/>
      <c r="S118" s="3"/>
      <c r="T118" s="3"/>
      <c r="U118" s="3"/>
      <c r="V118" s="3"/>
      <c r="W118" s="3"/>
    </row>
    <row r="119" spans="12:23" ht="12.95" customHeight="1">
      <c r="L119" s="20" t="s">
        <v>14</v>
      </c>
      <c r="M119" s="22">
        <v>93</v>
      </c>
      <c r="N119" s="22">
        <v>92.2</v>
      </c>
      <c r="O119" s="22">
        <v>92.4</v>
      </c>
      <c r="P119" s="22">
        <v>92.4</v>
      </c>
      <c r="S119" s="20" t="s">
        <v>14</v>
      </c>
      <c r="T119" s="22">
        <v>86.4</v>
      </c>
      <c r="U119" s="22">
        <v>86.3</v>
      </c>
      <c r="V119" s="22">
        <v>87.3</v>
      </c>
      <c r="W119" s="22">
        <v>87.3</v>
      </c>
    </row>
    <row r="120" spans="12:23" ht="12.95" customHeight="1">
      <c r="L120" s="3" t="s">
        <v>73</v>
      </c>
      <c r="M120" s="22">
        <v>103.9</v>
      </c>
      <c r="N120" s="22">
        <v>99</v>
      </c>
      <c r="O120" s="22">
        <v>99</v>
      </c>
      <c r="P120" s="22">
        <v>99</v>
      </c>
      <c r="S120" s="3" t="s">
        <v>73</v>
      </c>
      <c r="T120" s="22">
        <v>102.7</v>
      </c>
      <c r="U120" s="22">
        <v>102.7</v>
      </c>
      <c r="V120" s="22">
        <v>102.7</v>
      </c>
      <c r="W120" s="22">
        <v>102.7</v>
      </c>
    </row>
    <row r="121" spans="12:23" ht="12.95" customHeight="1">
      <c r="L121" s="3" t="s">
        <v>74</v>
      </c>
      <c r="M121" s="22">
        <v>112.7</v>
      </c>
      <c r="N121" s="22">
        <v>108.1</v>
      </c>
      <c r="O121" s="22">
        <v>108.1</v>
      </c>
      <c r="P121" s="22">
        <v>108.1</v>
      </c>
      <c r="S121" s="3" t="s">
        <v>74</v>
      </c>
      <c r="T121" s="22">
        <v>90.2</v>
      </c>
      <c r="U121" s="22">
        <v>90.2</v>
      </c>
      <c r="V121" s="22">
        <v>90.2</v>
      </c>
      <c r="W121" s="22">
        <v>90.2</v>
      </c>
    </row>
    <row r="122" spans="12:23" ht="12.95" customHeight="1">
      <c r="L122" s="3" t="s">
        <v>75</v>
      </c>
      <c r="M122" s="22">
        <v>109.4</v>
      </c>
      <c r="N122" s="22">
        <v>112.6</v>
      </c>
      <c r="O122" s="22">
        <v>112.6</v>
      </c>
      <c r="P122" s="22">
        <v>112.6</v>
      </c>
      <c r="S122" s="3" t="s">
        <v>75</v>
      </c>
      <c r="T122" s="22">
        <v>94.8</v>
      </c>
      <c r="U122" s="22">
        <v>94.8</v>
      </c>
      <c r="V122" s="22">
        <v>95.8</v>
      </c>
      <c r="W122" s="22">
        <v>95.8</v>
      </c>
    </row>
    <row r="123" spans="12:23" ht="12.95" customHeight="1">
      <c r="L123" s="3" t="s">
        <v>76</v>
      </c>
      <c r="M123" s="22">
        <v>73.599999999999994</v>
      </c>
      <c r="N123" s="22">
        <v>73.599999999999994</v>
      </c>
      <c r="O123" s="22">
        <v>73.599999999999994</v>
      </c>
      <c r="P123" s="22">
        <v>73.599999999999994</v>
      </c>
      <c r="S123" s="3" t="s">
        <v>76</v>
      </c>
      <c r="T123" s="22">
        <v>80.099999999999994</v>
      </c>
      <c r="U123" s="22">
        <v>80.099999999999994</v>
      </c>
      <c r="V123" s="22">
        <v>80.099999999999994</v>
      </c>
      <c r="W123" s="22">
        <v>80.099999999999994</v>
      </c>
    </row>
    <row r="124" spans="12:23" ht="12.95" customHeight="1">
      <c r="L124" s="3" t="s">
        <v>77</v>
      </c>
      <c r="M124" s="22">
        <v>38.5</v>
      </c>
      <c r="N124" s="22">
        <v>38.5</v>
      </c>
      <c r="O124" s="22">
        <v>38.5</v>
      </c>
      <c r="P124" s="22">
        <v>38.5</v>
      </c>
      <c r="S124" s="3" t="s">
        <v>77</v>
      </c>
      <c r="T124" s="22">
        <v>38.1</v>
      </c>
      <c r="U124" s="22">
        <v>37.9</v>
      </c>
      <c r="V124" s="22">
        <v>37.9</v>
      </c>
      <c r="W124" s="22">
        <v>37.9</v>
      </c>
    </row>
    <row r="125" spans="12:23" ht="12.95" customHeight="1">
      <c r="L125" s="3" t="s">
        <v>78</v>
      </c>
      <c r="M125" s="22">
        <v>136.19999999999999</v>
      </c>
      <c r="N125" s="22">
        <v>138.30000000000001</v>
      </c>
      <c r="O125" s="22">
        <v>143.19999999999999</v>
      </c>
      <c r="P125" s="22">
        <v>142.6</v>
      </c>
      <c r="S125" s="3" t="s">
        <v>78</v>
      </c>
      <c r="T125" s="22">
        <v>104.4</v>
      </c>
      <c r="U125" s="22">
        <v>104.4</v>
      </c>
      <c r="V125" s="22">
        <v>105.8</v>
      </c>
      <c r="W125" s="22">
        <v>105.8</v>
      </c>
    </row>
    <row r="126" spans="12:23" ht="12.95" customHeight="1">
      <c r="L126" s="3" t="s">
        <v>79</v>
      </c>
      <c r="M126" s="22">
        <v>91.2</v>
      </c>
      <c r="N126" s="22">
        <v>89.7</v>
      </c>
      <c r="O126" s="22">
        <v>89.7</v>
      </c>
      <c r="P126" s="22">
        <v>89.7</v>
      </c>
      <c r="S126" s="3" t="s">
        <v>79</v>
      </c>
      <c r="T126" s="22">
        <v>95.6</v>
      </c>
      <c r="U126" s="22">
        <v>95.2</v>
      </c>
      <c r="V126" s="22">
        <v>100.9</v>
      </c>
      <c r="W126" s="22">
        <v>100.9</v>
      </c>
    </row>
    <row r="127" spans="12:23" ht="12.95" customHeight="1">
      <c r="L127" s="3"/>
      <c r="M127" s="3"/>
      <c r="N127" s="3"/>
      <c r="O127" s="3"/>
      <c r="P127" s="3"/>
      <c r="S127" s="3"/>
      <c r="T127" s="3"/>
      <c r="U127" s="3"/>
      <c r="V127" s="3"/>
      <c r="W127" s="3"/>
    </row>
    <row r="128" spans="12:23" ht="12.95" customHeight="1">
      <c r="L128" s="20" t="s">
        <v>15</v>
      </c>
      <c r="M128" s="22">
        <v>126.4</v>
      </c>
      <c r="N128" s="22">
        <v>126.9</v>
      </c>
      <c r="O128" s="22">
        <v>128.19999999999999</v>
      </c>
      <c r="P128" s="22">
        <v>128.30000000000001</v>
      </c>
      <c r="S128" s="20" t="s">
        <v>15</v>
      </c>
      <c r="T128" s="22">
        <v>103.6</v>
      </c>
      <c r="U128" s="22">
        <v>112.2</v>
      </c>
      <c r="V128" s="22">
        <v>112.6</v>
      </c>
      <c r="W128" s="22">
        <v>112</v>
      </c>
    </row>
    <row r="129" spans="12:23" ht="12.95" customHeight="1">
      <c r="L129" s="3" t="s">
        <v>80</v>
      </c>
      <c r="M129" s="22">
        <v>125</v>
      </c>
      <c r="N129" s="22">
        <v>126.1</v>
      </c>
      <c r="O129" s="22">
        <v>126.1</v>
      </c>
      <c r="P129" s="22">
        <v>126.1</v>
      </c>
      <c r="S129" s="3" t="s">
        <v>80</v>
      </c>
      <c r="T129" s="22">
        <v>100.4</v>
      </c>
      <c r="U129" s="22">
        <v>112.3</v>
      </c>
      <c r="V129" s="22">
        <v>111.1</v>
      </c>
      <c r="W129" s="22">
        <v>108.8</v>
      </c>
    </row>
    <row r="130" spans="12:23" ht="12.95" customHeight="1">
      <c r="L130" s="3" t="s">
        <v>81</v>
      </c>
      <c r="M130" s="22">
        <v>135.1</v>
      </c>
      <c r="N130" s="22">
        <v>131.1</v>
      </c>
      <c r="O130" s="22">
        <v>134.19999999999999</v>
      </c>
      <c r="P130" s="22">
        <v>131.6</v>
      </c>
      <c r="S130" s="3" t="s">
        <v>81</v>
      </c>
      <c r="T130" s="22">
        <v>112.3</v>
      </c>
      <c r="U130" s="22">
        <v>120.9</v>
      </c>
      <c r="V130" s="22">
        <v>127.6</v>
      </c>
      <c r="W130" s="22">
        <v>130.80000000000001</v>
      </c>
    </row>
    <row r="131" spans="12:23" ht="12.95" customHeight="1">
      <c r="L131" s="3" t="s">
        <v>82</v>
      </c>
      <c r="M131" s="22">
        <v>138.6</v>
      </c>
      <c r="N131" s="22">
        <v>143.30000000000001</v>
      </c>
      <c r="O131" s="22">
        <v>143.30000000000001</v>
      </c>
      <c r="P131" s="22">
        <v>143.30000000000001</v>
      </c>
      <c r="S131" s="3" t="s">
        <v>82</v>
      </c>
      <c r="T131" s="22">
        <v>116.7</v>
      </c>
      <c r="U131" s="22">
        <v>116.7</v>
      </c>
      <c r="V131" s="22">
        <v>116.7</v>
      </c>
      <c r="W131" s="22">
        <v>120</v>
      </c>
    </row>
    <row r="132" spans="12:23" ht="12.95" customHeight="1">
      <c r="L132" s="3" t="s">
        <v>83</v>
      </c>
      <c r="M132" s="22">
        <v>109.6</v>
      </c>
      <c r="N132" s="22">
        <v>109.6</v>
      </c>
      <c r="O132" s="22">
        <v>115.9</v>
      </c>
      <c r="P132" s="22">
        <v>119.1</v>
      </c>
      <c r="S132" s="3" t="s">
        <v>83</v>
      </c>
      <c r="T132" s="22">
        <v>94.7</v>
      </c>
      <c r="U132" s="22">
        <v>94.7</v>
      </c>
      <c r="V132" s="22">
        <v>94.7</v>
      </c>
      <c r="W132" s="22">
        <v>93.6</v>
      </c>
    </row>
    <row r="133" spans="12:23" ht="12.95" customHeight="1">
      <c r="L133" s="3"/>
      <c r="M133" s="3"/>
      <c r="N133" s="3"/>
      <c r="O133" s="3"/>
      <c r="P133" s="3"/>
      <c r="S133" s="3"/>
      <c r="T133" s="3"/>
      <c r="U133" s="3"/>
      <c r="V133" s="3"/>
      <c r="W133" s="3"/>
    </row>
    <row r="134" spans="12:23" ht="12.95" customHeight="1">
      <c r="L134" s="20" t="s">
        <v>16</v>
      </c>
      <c r="M134" s="22">
        <v>229.2</v>
      </c>
      <c r="N134" s="22">
        <v>229.2</v>
      </c>
      <c r="O134" s="22">
        <v>229.2</v>
      </c>
      <c r="P134" s="22">
        <v>235.4</v>
      </c>
      <c r="S134" s="20" t="s">
        <v>16</v>
      </c>
      <c r="T134" s="22">
        <v>189.4</v>
      </c>
      <c r="U134" s="22">
        <v>193.7</v>
      </c>
      <c r="V134" s="22">
        <v>193.7</v>
      </c>
      <c r="W134" s="22">
        <v>199.4</v>
      </c>
    </row>
    <row r="135" spans="12:23" ht="12.95" customHeight="1">
      <c r="L135" s="3" t="s">
        <v>84</v>
      </c>
      <c r="M135" s="22">
        <v>183.5</v>
      </c>
      <c r="N135" s="22">
        <v>183.5</v>
      </c>
      <c r="O135" s="22">
        <v>183.5</v>
      </c>
      <c r="P135" s="22">
        <v>183.5</v>
      </c>
      <c r="S135" s="3" t="s">
        <v>84</v>
      </c>
      <c r="T135" s="22">
        <v>160.1</v>
      </c>
      <c r="U135" s="22">
        <v>160.1</v>
      </c>
      <c r="V135" s="22">
        <v>160.1</v>
      </c>
      <c r="W135" s="22">
        <v>171.8</v>
      </c>
    </row>
    <row r="136" spans="12:23" ht="12.95" customHeight="1">
      <c r="L136" s="3" t="s">
        <v>85</v>
      </c>
      <c r="M136" s="22">
        <v>214.3</v>
      </c>
      <c r="N136" s="22">
        <v>214.3</v>
      </c>
      <c r="O136" s="22">
        <v>214.3</v>
      </c>
      <c r="P136" s="22">
        <v>214.3</v>
      </c>
      <c r="S136" s="3" t="s">
        <v>85</v>
      </c>
      <c r="T136" s="22">
        <v>203.9</v>
      </c>
      <c r="U136" s="22">
        <v>203.9</v>
      </c>
      <c r="V136" s="22">
        <v>203.9</v>
      </c>
      <c r="W136" s="22">
        <v>205</v>
      </c>
    </row>
    <row r="137" spans="12:23" ht="12.95" customHeight="1">
      <c r="L137" s="3" t="s">
        <v>86</v>
      </c>
      <c r="M137" s="22">
        <v>155.69999999999999</v>
      </c>
      <c r="N137" s="22">
        <v>155.69999999999999</v>
      </c>
      <c r="O137" s="22">
        <v>155.69999999999999</v>
      </c>
      <c r="P137" s="22">
        <v>156.80000000000001</v>
      </c>
      <c r="S137" s="3" t="s">
        <v>86</v>
      </c>
      <c r="T137" s="22">
        <v>157.19999999999999</v>
      </c>
      <c r="U137" s="22">
        <v>157.19999999999999</v>
      </c>
      <c r="V137" s="22">
        <v>157.19999999999999</v>
      </c>
      <c r="W137" s="22">
        <v>164.5</v>
      </c>
    </row>
    <row r="138" spans="12:23" ht="12.95" customHeight="1">
      <c r="L138" s="3" t="s">
        <v>87</v>
      </c>
      <c r="M138" s="22">
        <v>234.8</v>
      </c>
      <c r="N138" s="22">
        <v>234.8</v>
      </c>
      <c r="O138" s="22">
        <v>234.8</v>
      </c>
      <c r="P138" s="22">
        <v>242.1</v>
      </c>
      <c r="S138" s="3" t="s">
        <v>87</v>
      </c>
      <c r="T138" s="22">
        <v>189.7</v>
      </c>
      <c r="U138" s="22">
        <v>194.7</v>
      </c>
      <c r="V138" s="22">
        <v>194.7</v>
      </c>
      <c r="W138" s="22">
        <v>200.8</v>
      </c>
    </row>
    <row r="139" spans="12:23" ht="12.95" customHeight="1">
      <c r="L139" s="3"/>
      <c r="M139" s="3"/>
      <c r="N139" s="3"/>
      <c r="O139" s="3"/>
      <c r="P139" s="3"/>
      <c r="S139" s="3"/>
      <c r="T139" s="3"/>
      <c r="U139" s="3"/>
      <c r="V139" s="3"/>
      <c r="W139" s="3"/>
    </row>
    <row r="140" spans="12:23" ht="12.95" customHeight="1">
      <c r="L140" s="20" t="s">
        <v>17</v>
      </c>
      <c r="M140" s="22">
        <v>141.1</v>
      </c>
      <c r="N140" s="22">
        <v>141.6</v>
      </c>
      <c r="O140" s="22">
        <v>141.80000000000001</v>
      </c>
      <c r="P140" s="22">
        <v>144</v>
      </c>
      <c r="S140" s="20" t="s">
        <v>17</v>
      </c>
      <c r="T140" s="22">
        <v>122.7</v>
      </c>
      <c r="U140" s="22">
        <v>124.5</v>
      </c>
      <c r="V140" s="22">
        <v>126.6</v>
      </c>
      <c r="W140" s="22">
        <v>126.8</v>
      </c>
    </row>
    <row r="141" spans="12:23" ht="12.95" customHeight="1">
      <c r="L141" s="3" t="s">
        <v>88</v>
      </c>
      <c r="M141" s="22">
        <v>137.69999999999999</v>
      </c>
      <c r="N141" s="22">
        <v>137.69999999999999</v>
      </c>
      <c r="O141" s="22">
        <v>137.69999999999999</v>
      </c>
      <c r="P141" s="22">
        <v>140.30000000000001</v>
      </c>
      <c r="S141" s="3" t="s">
        <v>88</v>
      </c>
      <c r="T141" s="22">
        <v>119.7</v>
      </c>
      <c r="U141" s="22">
        <v>121.8</v>
      </c>
      <c r="V141" s="22">
        <v>124.2</v>
      </c>
      <c r="W141" s="22">
        <v>124.2</v>
      </c>
    </row>
    <row r="142" spans="12:23" ht="12.95" customHeight="1">
      <c r="L142" s="3" t="s">
        <v>89</v>
      </c>
      <c r="M142" s="22">
        <v>205.6</v>
      </c>
      <c r="N142" s="22">
        <v>208.7</v>
      </c>
      <c r="O142" s="22">
        <v>213.1</v>
      </c>
      <c r="P142" s="22">
        <v>210.8</v>
      </c>
      <c r="S142" s="3" t="s">
        <v>89</v>
      </c>
      <c r="T142" s="22">
        <v>160.4</v>
      </c>
      <c r="U142" s="22">
        <v>160.4</v>
      </c>
      <c r="V142" s="22">
        <v>160.4</v>
      </c>
      <c r="W142" s="22">
        <v>163.4</v>
      </c>
    </row>
    <row r="143" spans="12:23" ht="12.95" customHeight="1">
      <c r="L143" s="3" t="s">
        <v>90</v>
      </c>
      <c r="M143" s="22">
        <v>115.7</v>
      </c>
      <c r="N143" s="22">
        <v>120.5</v>
      </c>
      <c r="O143" s="22">
        <v>120.5</v>
      </c>
      <c r="P143" s="22">
        <v>121</v>
      </c>
      <c r="S143" s="3" t="s">
        <v>90</v>
      </c>
      <c r="T143" s="22">
        <v>126.6</v>
      </c>
      <c r="U143" s="22">
        <v>126.6</v>
      </c>
      <c r="V143" s="22">
        <v>126.6</v>
      </c>
      <c r="W143" s="22">
        <v>126.6</v>
      </c>
    </row>
    <row r="144" spans="12:23" ht="12.95" customHeight="1">
      <c r="L144" s="3"/>
      <c r="M144" s="3"/>
      <c r="N144" s="3"/>
      <c r="O144" s="3"/>
      <c r="P144" s="3"/>
      <c r="S144" s="3"/>
      <c r="T144" s="3"/>
      <c r="U144" s="3"/>
      <c r="V144" s="3"/>
      <c r="W144" s="3"/>
    </row>
    <row r="145" spans="12:23" ht="12.95" customHeight="1">
      <c r="L145" s="20" t="s">
        <v>18</v>
      </c>
      <c r="M145" s="22">
        <v>120.5</v>
      </c>
      <c r="N145" s="22">
        <v>121.7</v>
      </c>
      <c r="O145" s="22">
        <v>123.1</v>
      </c>
      <c r="P145" s="22">
        <v>123.8</v>
      </c>
      <c r="S145" s="20" t="s">
        <v>18</v>
      </c>
      <c r="T145" s="22">
        <v>114.8</v>
      </c>
      <c r="U145" s="22">
        <v>114.8</v>
      </c>
      <c r="V145" s="22">
        <v>115</v>
      </c>
      <c r="W145" s="22">
        <v>115</v>
      </c>
    </row>
    <row r="146" spans="12:23" ht="12.95" customHeight="1">
      <c r="L146" s="3" t="s">
        <v>91</v>
      </c>
      <c r="M146" s="22">
        <v>119.1</v>
      </c>
      <c r="N146" s="22">
        <v>114.8</v>
      </c>
      <c r="O146" s="22">
        <v>114.8</v>
      </c>
      <c r="P146" s="22">
        <v>114.8</v>
      </c>
      <c r="S146" s="3" t="s">
        <v>91</v>
      </c>
      <c r="T146" s="22">
        <v>123.4</v>
      </c>
      <c r="U146" s="22">
        <v>123.4</v>
      </c>
      <c r="V146" s="22">
        <v>123.4</v>
      </c>
      <c r="W146" s="22">
        <v>123.4</v>
      </c>
    </row>
    <row r="147" spans="12:23" ht="12.95" customHeight="1">
      <c r="L147" s="3" t="s">
        <v>92</v>
      </c>
      <c r="M147" s="22">
        <v>119.2</v>
      </c>
      <c r="N147" s="22">
        <v>130.30000000000001</v>
      </c>
      <c r="O147" s="22">
        <v>131.5</v>
      </c>
      <c r="P147" s="22">
        <v>136.69999999999999</v>
      </c>
      <c r="S147" s="3" t="s">
        <v>92</v>
      </c>
      <c r="T147" s="22">
        <v>116.8</v>
      </c>
      <c r="U147" s="22">
        <v>116.8</v>
      </c>
      <c r="V147" s="22">
        <v>117.9</v>
      </c>
      <c r="W147" s="22">
        <v>117.9</v>
      </c>
    </row>
    <row r="148" spans="12:23" ht="12.95" customHeight="1">
      <c r="L148" s="3" t="s">
        <v>93</v>
      </c>
      <c r="M148" s="22">
        <v>117.2</v>
      </c>
      <c r="N148" s="22">
        <v>117.2</v>
      </c>
      <c r="O148" s="22">
        <v>118.5</v>
      </c>
      <c r="P148" s="22">
        <v>118.5</v>
      </c>
      <c r="S148" s="3" t="s">
        <v>93</v>
      </c>
      <c r="T148" s="22">
        <v>111</v>
      </c>
      <c r="U148" s="22">
        <v>111</v>
      </c>
      <c r="V148" s="22">
        <v>111</v>
      </c>
      <c r="W148" s="22">
        <v>111</v>
      </c>
    </row>
    <row r="149" spans="12:23" ht="12.95" customHeight="1">
      <c r="L149" s="3" t="s">
        <v>94</v>
      </c>
      <c r="M149" s="22">
        <v>105.8</v>
      </c>
      <c r="N149" s="22">
        <v>105.8</v>
      </c>
      <c r="O149" s="22">
        <v>109.3</v>
      </c>
      <c r="P149" s="22">
        <v>105.8</v>
      </c>
      <c r="S149" s="3" t="s">
        <v>94</v>
      </c>
      <c r="T149" s="22">
        <v>89.5</v>
      </c>
      <c r="U149" s="22">
        <v>89.5</v>
      </c>
      <c r="V149" s="22" t="s">
        <v>109</v>
      </c>
      <c r="W149" s="22">
        <v>89.5</v>
      </c>
    </row>
    <row r="150" spans="12:23" ht="12.95" customHeight="1">
      <c r="L150" s="3" t="s">
        <v>95</v>
      </c>
      <c r="M150" s="22">
        <v>148.1</v>
      </c>
      <c r="N150" s="22">
        <v>148.1</v>
      </c>
      <c r="O150" s="22">
        <v>148.1</v>
      </c>
      <c r="P150" s="22">
        <v>149.6</v>
      </c>
      <c r="S150" s="3" t="s">
        <v>95</v>
      </c>
      <c r="T150" s="22">
        <v>145.80000000000001</v>
      </c>
      <c r="U150" s="22">
        <v>145.80000000000001</v>
      </c>
      <c r="V150" s="22">
        <v>145.80000000000001</v>
      </c>
      <c r="W150" s="22">
        <v>145.80000000000001</v>
      </c>
    </row>
    <row r="151" spans="12:23" ht="12.95" customHeight="1">
      <c r="L151" s="3"/>
      <c r="M151" s="3"/>
      <c r="N151" s="3"/>
      <c r="O151" s="3"/>
      <c r="P151" s="3"/>
      <c r="S151" s="3"/>
      <c r="T151" s="3"/>
      <c r="U151" s="3"/>
      <c r="V151" s="3"/>
      <c r="W151" s="3"/>
    </row>
    <row r="152" spans="12:23" ht="12.95" customHeight="1">
      <c r="L152" s="20" t="s">
        <v>96</v>
      </c>
      <c r="M152" s="22">
        <v>141</v>
      </c>
      <c r="N152" s="22">
        <v>144.6</v>
      </c>
      <c r="O152" s="22">
        <v>146.80000000000001</v>
      </c>
      <c r="P152" s="22">
        <v>144.30000000000001</v>
      </c>
      <c r="S152" s="20" t="s">
        <v>96</v>
      </c>
      <c r="T152" s="22">
        <v>140.19999999999999</v>
      </c>
      <c r="U152" s="22">
        <v>142</v>
      </c>
      <c r="V152" s="22">
        <v>141.9</v>
      </c>
      <c r="W152" s="22">
        <v>134</v>
      </c>
    </row>
    <row r="153" spans="12:23" ht="12.95" customHeight="1">
      <c r="L153" s="3" t="s">
        <v>97</v>
      </c>
      <c r="M153" s="22">
        <v>277.5</v>
      </c>
      <c r="N153" s="22">
        <v>275.3</v>
      </c>
      <c r="O153" s="22">
        <v>275.3</v>
      </c>
      <c r="P153" s="22">
        <v>273.5</v>
      </c>
      <c r="S153" s="3" t="s">
        <v>97</v>
      </c>
      <c r="T153" s="22">
        <v>249.7</v>
      </c>
      <c r="U153" s="22">
        <v>252</v>
      </c>
      <c r="V153" s="22">
        <v>252</v>
      </c>
      <c r="W153" s="22">
        <v>252</v>
      </c>
    </row>
    <row r="154" spans="12:23" ht="12.95" customHeight="1">
      <c r="L154" s="3" t="s">
        <v>98</v>
      </c>
      <c r="M154" s="22">
        <v>101.7</v>
      </c>
      <c r="N154" s="22">
        <v>106.3</v>
      </c>
      <c r="O154" s="22">
        <v>110.1</v>
      </c>
      <c r="P154" s="22">
        <v>105.8</v>
      </c>
      <c r="S154" s="3" t="s">
        <v>98</v>
      </c>
      <c r="T154" s="22">
        <v>121.3</v>
      </c>
      <c r="U154" s="22">
        <v>124.3</v>
      </c>
      <c r="V154" s="22">
        <v>123.4</v>
      </c>
      <c r="W154" s="22">
        <v>107.3</v>
      </c>
    </row>
    <row r="155" spans="12:23" ht="12.95" customHeight="1">
      <c r="L155" s="3" t="s">
        <v>99</v>
      </c>
      <c r="M155" s="22">
        <v>189.9</v>
      </c>
      <c r="N155" s="22">
        <v>189.9</v>
      </c>
      <c r="O155" s="22">
        <v>189.9</v>
      </c>
      <c r="P155" s="22">
        <v>189.9</v>
      </c>
      <c r="S155" s="3" t="s">
        <v>99</v>
      </c>
      <c r="T155" s="22">
        <v>133.6</v>
      </c>
      <c r="U155" s="22">
        <v>133.6</v>
      </c>
      <c r="V155" s="22">
        <v>139.30000000000001</v>
      </c>
      <c r="W155" s="22">
        <v>137.6</v>
      </c>
    </row>
    <row r="156" spans="12:23" ht="12.95" customHeight="1">
      <c r="L156" s="3" t="s">
        <v>100</v>
      </c>
      <c r="M156" s="22">
        <v>199.9</v>
      </c>
      <c r="N156" s="22">
        <v>199.9</v>
      </c>
      <c r="O156" s="22">
        <v>199.9</v>
      </c>
      <c r="P156" s="22">
        <v>199.9</v>
      </c>
      <c r="S156" s="3" t="s">
        <v>100</v>
      </c>
      <c r="T156" s="22">
        <v>176.7</v>
      </c>
      <c r="U156" s="22">
        <v>176.7</v>
      </c>
      <c r="V156" s="22">
        <v>176.7</v>
      </c>
      <c r="W156" s="22">
        <v>193.5</v>
      </c>
    </row>
    <row r="157" spans="12:23" ht="12.95" customHeight="1">
      <c r="L157" s="3" t="s">
        <v>101</v>
      </c>
      <c r="M157" s="22">
        <v>164.1</v>
      </c>
      <c r="N157" s="22">
        <v>164.1</v>
      </c>
      <c r="O157" s="22">
        <v>164.1</v>
      </c>
      <c r="P157" s="22">
        <v>164.1</v>
      </c>
      <c r="S157" s="3" t="s">
        <v>101</v>
      </c>
      <c r="T157" s="22">
        <v>126.8</v>
      </c>
      <c r="U157" s="22">
        <v>126.8</v>
      </c>
      <c r="V157" s="22">
        <v>126.8</v>
      </c>
      <c r="W157" s="22">
        <v>132</v>
      </c>
    </row>
    <row r="158" spans="12:23" ht="12.95" customHeight="1">
      <c r="L158" s="3" t="s">
        <v>102</v>
      </c>
      <c r="M158" s="22">
        <v>131.6</v>
      </c>
      <c r="N158" s="22">
        <v>131.6</v>
      </c>
      <c r="O158" s="22">
        <v>131.6</v>
      </c>
      <c r="P158" s="22">
        <v>131.6</v>
      </c>
      <c r="S158" s="3" t="s">
        <v>102</v>
      </c>
      <c r="T158" s="22">
        <v>128.80000000000001</v>
      </c>
      <c r="U158" s="22">
        <v>128.80000000000001</v>
      </c>
      <c r="V158" s="22">
        <v>128.80000000000001</v>
      </c>
      <c r="W158" s="22">
        <v>130.6</v>
      </c>
    </row>
    <row r="159" spans="12:23" ht="12.95" customHeight="1">
      <c r="L159" s="23" t="s">
        <v>103</v>
      </c>
      <c r="M159" s="29">
        <v>148.69999999999999</v>
      </c>
      <c r="N159" s="29">
        <v>158.80000000000001</v>
      </c>
      <c r="O159" s="29">
        <v>160</v>
      </c>
      <c r="P159" s="29">
        <v>160</v>
      </c>
      <c r="S159" s="23" t="s">
        <v>103</v>
      </c>
      <c r="T159" s="29">
        <v>143.1</v>
      </c>
      <c r="U159" s="29">
        <v>143.1</v>
      </c>
      <c r="V159" s="29">
        <v>143.1</v>
      </c>
      <c r="W159" s="29">
        <v>143.4</v>
      </c>
    </row>
    <row r="160" spans="12:23" ht="24" customHeight="1">
      <c r="L160" s="2111" t="s">
        <v>30</v>
      </c>
      <c r="M160" s="2111"/>
      <c r="N160" s="2111"/>
      <c r="O160" s="2111"/>
      <c r="P160" s="3"/>
      <c r="Q160" s="24"/>
      <c r="R160" s="24"/>
      <c r="S160" s="2112" t="s">
        <v>30</v>
      </c>
      <c r="T160" s="2112"/>
      <c r="U160" s="2112"/>
      <c r="V160" s="2112"/>
      <c r="W160" s="2112"/>
    </row>
    <row r="161" spans="12:23" ht="12.75" customHeight="1">
      <c r="L161" s="30" t="s">
        <v>104</v>
      </c>
      <c r="M161" s="30"/>
      <c r="N161" s="30"/>
      <c r="O161" s="30"/>
      <c r="P161" s="3"/>
      <c r="S161" s="30" t="s">
        <v>104</v>
      </c>
      <c r="T161" s="30"/>
      <c r="U161" s="30"/>
      <c r="V161" s="30"/>
      <c r="W161" s="30"/>
    </row>
    <row r="162" spans="12:23">
      <c r="S162" s="2"/>
      <c r="T162" s="2"/>
      <c r="U162" s="2"/>
      <c r="V162" s="2"/>
      <c r="W162" s="2"/>
    </row>
    <row r="163" spans="12:23">
      <c r="S163" s="2"/>
      <c r="T163" s="2"/>
      <c r="U163" s="2"/>
      <c r="V163" s="2"/>
      <c r="W163" s="2"/>
    </row>
    <row r="164" spans="12:23">
      <c r="S164" s="2"/>
      <c r="T164" s="2"/>
      <c r="U164" s="2"/>
      <c r="V164" s="2"/>
      <c r="W164" s="2"/>
    </row>
    <row r="165" spans="12:23" ht="12" customHeight="1">
      <c r="S165" s="1" t="s">
        <v>110</v>
      </c>
      <c r="T165" s="3"/>
      <c r="U165" s="3"/>
      <c r="V165" s="3"/>
      <c r="W165" s="3"/>
    </row>
    <row r="166" spans="12:23" ht="12" customHeight="1">
      <c r="S166" s="3" t="s">
        <v>41</v>
      </c>
      <c r="T166" s="3"/>
      <c r="U166" s="3"/>
      <c r="V166" s="3"/>
      <c r="W166" s="3"/>
    </row>
    <row r="167" spans="12:23">
      <c r="S167" s="2113" t="s">
        <v>4</v>
      </c>
      <c r="T167" s="2047" t="s">
        <v>111</v>
      </c>
      <c r="U167" s="2047"/>
      <c r="V167" s="2047"/>
      <c r="W167" s="2042"/>
    </row>
    <row r="168" spans="12:23">
      <c r="S168" s="2114"/>
      <c r="T168" s="17" t="s">
        <v>42</v>
      </c>
      <c r="U168" s="17" t="s">
        <v>43</v>
      </c>
      <c r="V168" s="17" t="s">
        <v>44</v>
      </c>
      <c r="W168" s="28" t="s">
        <v>45</v>
      </c>
    </row>
    <row r="169" spans="12:23">
      <c r="S169" s="20" t="s">
        <v>11</v>
      </c>
      <c r="T169" s="22">
        <v>133.5</v>
      </c>
      <c r="U169" s="22">
        <v>134.9</v>
      </c>
      <c r="V169" s="22">
        <v>132.9</v>
      </c>
      <c r="W169" s="22">
        <v>134.19999999999999</v>
      </c>
    </row>
    <row r="170" spans="12:23" ht="12.95" customHeight="1">
      <c r="S170" s="20" t="s">
        <v>12</v>
      </c>
      <c r="T170" s="22">
        <v>149.19999999999999</v>
      </c>
      <c r="U170" s="22">
        <v>150.6</v>
      </c>
      <c r="V170" s="22">
        <v>150.6</v>
      </c>
      <c r="W170" s="22">
        <v>150.6</v>
      </c>
    </row>
    <row r="171" spans="12:23" ht="12.95" customHeight="1">
      <c r="S171" s="3" t="s">
        <v>46</v>
      </c>
      <c r="T171" s="22">
        <v>150.5</v>
      </c>
      <c r="U171" s="22">
        <v>149.80000000000001</v>
      </c>
      <c r="V171" s="22">
        <v>149.80000000000001</v>
      </c>
      <c r="W171" s="22">
        <v>149.80000000000001</v>
      </c>
    </row>
    <row r="172" spans="12:23" ht="12.95" customHeight="1">
      <c r="S172" s="3" t="s">
        <v>47</v>
      </c>
      <c r="T172" s="22">
        <v>147.30000000000001</v>
      </c>
      <c r="U172" s="22">
        <v>146.80000000000001</v>
      </c>
      <c r="V172" s="22">
        <v>146.80000000000001</v>
      </c>
      <c r="W172" s="22">
        <v>146.80000000000001</v>
      </c>
    </row>
    <row r="173" spans="12:23" ht="12.95" customHeight="1">
      <c r="S173" s="3" t="s">
        <v>48</v>
      </c>
      <c r="T173" s="22">
        <v>159.80000000000001</v>
      </c>
      <c r="U173" s="22">
        <v>160.9</v>
      </c>
      <c r="V173" s="22">
        <v>160.9</v>
      </c>
      <c r="W173" s="22">
        <v>160.9</v>
      </c>
    </row>
    <row r="174" spans="12:23" ht="12.95" customHeight="1">
      <c r="S174" s="3" t="s">
        <v>49</v>
      </c>
      <c r="T174" s="22">
        <v>130.6</v>
      </c>
      <c r="U174" s="22">
        <v>130.80000000000001</v>
      </c>
      <c r="V174" s="22">
        <v>130.80000000000001</v>
      </c>
      <c r="W174" s="22">
        <v>130.80000000000001</v>
      </c>
    </row>
    <row r="175" spans="12:23" ht="12.95" customHeight="1">
      <c r="S175" s="3" t="s">
        <v>50</v>
      </c>
      <c r="T175" s="22">
        <v>209.4</v>
      </c>
      <c r="U175" s="22">
        <v>214.1</v>
      </c>
      <c r="V175" s="22">
        <v>214.1</v>
      </c>
      <c r="W175" s="22">
        <v>214.1</v>
      </c>
    </row>
    <row r="176" spans="12:23" ht="12.95" customHeight="1">
      <c r="S176" s="3" t="s">
        <v>51</v>
      </c>
      <c r="T176" s="22">
        <v>150.4</v>
      </c>
      <c r="U176" s="22">
        <v>157.5</v>
      </c>
      <c r="V176" s="22">
        <v>157.5</v>
      </c>
      <c r="W176" s="22">
        <v>157.5</v>
      </c>
    </row>
    <row r="177" spans="19:23" ht="12.95" customHeight="1">
      <c r="S177" s="3" t="s">
        <v>52</v>
      </c>
      <c r="T177" s="22">
        <v>143.30000000000001</v>
      </c>
      <c r="U177" s="22">
        <v>134.6</v>
      </c>
      <c r="V177" s="22">
        <v>134.6</v>
      </c>
      <c r="W177" s="22">
        <v>134.6</v>
      </c>
    </row>
    <row r="178" spans="19:23" ht="12.95" customHeight="1">
      <c r="S178" s="3" t="s">
        <v>53</v>
      </c>
      <c r="T178" s="22">
        <v>133.69999999999999</v>
      </c>
      <c r="U178" s="22">
        <v>140.30000000000001</v>
      </c>
      <c r="V178" s="22">
        <v>140.30000000000001</v>
      </c>
      <c r="W178" s="22">
        <v>140.30000000000001</v>
      </c>
    </row>
    <row r="179" spans="19:23" ht="12.95" customHeight="1">
      <c r="S179" s="3" t="s">
        <v>54</v>
      </c>
      <c r="T179" s="22">
        <v>146.69999999999999</v>
      </c>
      <c r="U179" s="22">
        <v>145.80000000000001</v>
      </c>
      <c r="V179" s="22">
        <v>145.80000000000001</v>
      </c>
      <c r="W179" s="22">
        <v>145.80000000000001</v>
      </c>
    </row>
    <row r="180" spans="19:23" ht="12.95" customHeight="1">
      <c r="S180" s="3" t="s">
        <v>55</v>
      </c>
      <c r="T180" s="22">
        <v>142.80000000000001</v>
      </c>
      <c r="U180" s="22">
        <v>141.30000000000001</v>
      </c>
      <c r="V180" s="22">
        <v>141.30000000000001</v>
      </c>
      <c r="W180" s="22" t="s">
        <v>112</v>
      </c>
    </row>
    <row r="181" spans="19:23" ht="12.95" customHeight="1">
      <c r="S181" s="3" t="s">
        <v>56</v>
      </c>
      <c r="T181" s="22">
        <v>125.8</v>
      </c>
      <c r="U181" s="22">
        <v>129.6</v>
      </c>
      <c r="V181" s="22">
        <v>129.6</v>
      </c>
      <c r="W181" s="22">
        <v>129.6</v>
      </c>
    </row>
    <row r="182" spans="19:23" ht="12.95" customHeight="1">
      <c r="S182" s="3" t="s">
        <v>57</v>
      </c>
      <c r="T182" s="22">
        <v>138</v>
      </c>
      <c r="U182" s="22">
        <v>141.69999999999999</v>
      </c>
      <c r="V182" s="22">
        <v>141.69999999999999</v>
      </c>
      <c r="W182" s="22">
        <v>141.69999999999999</v>
      </c>
    </row>
    <row r="183" spans="19:23" ht="12.95" customHeight="1">
      <c r="S183" s="3" t="s">
        <v>58</v>
      </c>
      <c r="T183" s="22">
        <v>173</v>
      </c>
      <c r="U183" s="22">
        <v>173</v>
      </c>
      <c r="V183" s="22">
        <v>173</v>
      </c>
      <c r="W183" s="22">
        <v>173</v>
      </c>
    </row>
    <row r="184" spans="19:23" ht="12.95" customHeight="1">
      <c r="S184" s="3" t="s">
        <v>59</v>
      </c>
      <c r="T184" s="22">
        <v>154.5</v>
      </c>
      <c r="U184" s="22">
        <v>154.5</v>
      </c>
      <c r="V184" s="22">
        <v>154.5</v>
      </c>
      <c r="W184" s="22">
        <v>154.5</v>
      </c>
    </row>
    <row r="185" spans="19:23" ht="12.95" customHeight="1">
      <c r="S185" s="3" t="s">
        <v>60</v>
      </c>
      <c r="T185" s="22">
        <v>159.6</v>
      </c>
      <c r="U185" s="22">
        <v>160.19999999999999</v>
      </c>
      <c r="V185" s="22">
        <v>160.19999999999999</v>
      </c>
      <c r="W185" s="22">
        <v>160.19999999999999</v>
      </c>
    </row>
    <row r="186" spans="19:23" ht="12.95" customHeight="1">
      <c r="S186" s="3" t="s">
        <v>61</v>
      </c>
      <c r="T186" s="22">
        <v>144.5</v>
      </c>
      <c r="U186" s="22">
        <v>146.80000000000001</v>
      </c>
      <c r="V186" s="22">
        <v>146.80000000000001</v>
      </c>
      <c r="W186" s="22">
        <v>146.80000000000001</v>
      </c>
    </row>
    <row r="187" spans="19:23" ht="12.95" customHeight="1">
      <c r="S187" s="3" t="s">
        <v>62</v>
      </c>
      <c r="T187" s="22">
        <v>135</v>
      </c>
      <c r="U187" s="22">
        <v>136.30000000000001</v>
      </c>
      <c r="V187" s="22">
        <v>136.30000000000001</v>
      </c>
      <c r="W187" s="22">
        <v>136.30000000000001</v>
      </c>
    </row>
    <row r="188" spans="19:23" ht="12.95" customHeight="1">
      <c r="S188" s="3"/>
      <c r="T188" s="3"/>
      <c r="U188" s="3"/>
      <c r="V188" s="3"/>
      <c r="W188" s="3"/>
    </row>
    <row r="189" spans="19:23" ht="12.95" customHeight="1">
      <c r="S189" s="20" t="s">
        <v>13</v>
      </c>
      <c r="T189" s="22">
        <v>119.7</v>
      </c>
      <c r="U189" s="22">
        <v>120</v>
      </c>
      <c r="V189" s="22">
        <v>112.1</v>
      </c>
      <c r="W189" s="22">
        <v>112.5</v>
      </c>
    </row>
    <row r="190" spans="19:23" ht="12.95" customHeight="1">
      <c r="S190" s="3" t="s">
        <v>63</v>
      </c>
      <c r="T190" s="22">
        <v>107.4</v>
      </c>
      <c r="U190" s="22">
        <v>107.4</v>
      </c>
      <c r="V190" s="22">
        <v>107.4</v>
      </c>
      <c r="W190" s="22">
        <v>107.4</v>
      </c>
    </row>
    <row r="191" spans="19:23" ht="12.95" customHeight="1">
      <c r="S191" s="3" t="s">
        <v>64</v>
      </c>
      <c r="T191" s="22">
        <v>134.9</v>
      </c>
      <c r="U191" s="22">
        <v>135</v>
      </c>
      <c r="V191" s="22">
        <v>135</v>
      </c>
      <c r="W191" s="22">
        <v>135</v>
      </c>
    </row>
    <row r="192" spans="19:23" ht="12.95" customHeight="1">
      <c r="S192" s="3" t="s">
        <v>65</v>
      </c>
      <c r="T192" s="22">
        <v>116.2</v>
      </c>
      <c r="U192" s="22">
        <v>116.2</v>
      </c>
      <c r="V192" s="22">
        <v>84.7</v>
      </c>
      <c r="W192" s="22">
        <v>84.7</v>
      </c>
    </row>
    <row r="193" spans="19:23" ht="12.95" customHeight="1">
      <c r="S193" s="3" t="s">
        <v>66</v>
      </c>
      <c r="T193" s="22">
        <v>155.4</v>
      </c>
      <c r="U193" s="22">
        <v>157</v>
      </c>
      <c r="V193" s="22">
        <v>157</v>
      </c>
      <c r="W193" s="22">
        <v>160.9</v>
      </c>
    </row>
    <row r="194" spans="19:23" ht="12.95" customHeight="1">
      <c r="S194" s="3" t="s">
        <v>67</v>
      </c>
      <c r="T194" s="22">
        <v>97.8</v>
      </c>
      <c r="U194" s="22">
        <v>96</v>
      </c>
      <c r="V194" s="22">
        <v>96</v>
      </c>
      <c r="W194" s="22">
        <v>96</v>
      </c>
    </row>
    <row r="195" spans="19:23" ht="12.95" customHeight="1">
      <c r="S195" s="3" t="s">
        <v>68</v>
      </c>
      <c r="T195" s="22">
        <v>54</v>
      </c>
      <c r="U195" s="22">
        <v>58.1</v>
      </c>
      <c r="V195" s="22">
        <v>58.1</v>
      </c>
      <c r="W195" s="22">
        <v>58.1</v>
      </c>
    </row>
    <row r="196" spans="19:23" ht="12.95" customHeight="1">
      <c r="S196" s="3" t="s">
        <v>69</v>
      </c>
      <c r="T196" s="22">
        <v>117</v>
      </c>
      <c r="U196" s="22">
        <v>120.7</v>
      </c>
      <c r="V196" s="22">
        <v>120.7</v>
      </c>
      <c r="W196" s="22">
        <v>120.7</v>
      </c>
    </row>
    <row r="197" spans="19:23" ht="12.95" customHeight="1">
      <c r="S197" s="3" t="s">
        <v>70</v>
      </c>
      <c r="T197" s="22">
        <v>111.7</v>
      </c>
      <c r="U197" s="22">
        <v>111.4</v>
      </c>
      <c r="V197" s="22">
        <v>111.4</v>
      </c>
      <c r="W197" s="22">
        <v>111.4</v>
      </c>
    </row>
    <row r="198" spans="19:23" ht="12.95" customHeight="1">
      <c r="S198" s="3" t="s">
        <v>71</v>
      </c>
      <c r="T198" s="22">
        <v>112.8</v>
      </c>
      <c r="U198" s="22">
        <v>112.6</v>
      </c>
      <c r="V198" s="22">
        <v>112.6</v>
      </c>
      <c r="W198" s="22">
        <v>112.6</v>
      </c>
    </row>
    <row r="199" spans="19:23" ht="12.95" customHeight="1">
      <c r="S199" s="3" t="s">
        <v>72</v>
      </c>
      <c r="T199" s="22">
        <v>144.1</v>
      </c>
      <c r="U199" s="22">
        <v>145.5</v>
      </c>
      <c r="V199" s="22">
        <v>145.5</v>
      </c>
      <c r="W199" s="22">
        <v>145.5</v>
      </c>
    </row>
    <row r="200" spans="19:23" ht="12.95" customHeight="1">
      <c r="S200" s="3"/>
      <c r="T200" s="3"/>
      <c r="U200" s="3"/>
      <c r="V200" s="3"/>
      <c r="W200" s="3"/>
    </row>
    <row r="201" spans="19:23" ht="12.95" customHeight="1">
      <c r="S201" s="20" t="s">
        <v>14</v>
      </c>
      <c r="T201" s="22">
        <v>84.4</v>
      </c>
      <c r="U201" s="22">
        <v>87</v>
      </c>
      <c r="V201" s="22">
        <v>86.5</v>
      </c>
      <c r="W201" s="22">
        <v>86.5</v>
      </c>
    </row>
    <row r="202" spans="19:23" ht="12.95" customHeight="1">
      <c r="S202" s="3" t="s">
        <v>73</v>
      </c>
      <c r="T202" s="22">
        <v>101.5</v>
      </c>
      <c r="U202" s="22">
        <v>120.7</v>
      </c>
      <c r="V202" s="22">
        <v>102.7</v>
      </c>
      <c r="W202" s="22">
        <v>102.7</v>
      </c>
    </row>
    <row r="203" spans="19:23" ht="12.95" customHeight="1">
      <c r="S203" s="3" t="s">
        <v>74</v>
      </c>
      <c r="T203" s="22">
        <v>90.2</v>
      </c>
      <c r="U203" s="22">
        <v>90.2</v>
      </c>
      <c r="V203" s="22">
        <v>90.2</v>
      </c>
      <c r="W203" s="22">
        <v>90.2</v>
      </c>
    </row>
    <row r="204" spans="19:23" ht="12.95" customHeight="1">
      <c r="S204" s="3" t="s">
        <v>75</v>
      </c>
      <c r="T204" s="22">
        <v>91.2</v>
      </c>
      <c r="U204" s="22">
        <v>95.7</v>
      </c>
      <c r="V204" s="22">
        <v>95.7</v>
      </c>
      <c r="W204" s="22">
        <v>95.7</v>
      </c>
    </row>
    <row r="205" spans="19:23" ht="12.95" customHeight="1">
      <c r="S205" s="3" t="s">
        <v>76</v>
      </c>
      <c r="T205" s="22">
        <v>80.099999999999994</v>
      </c>
      <c r="U205" s="22">
        <v>80.099999999999994</v>
      </c>
      <c r="V205" s="22">
        <v>80.099999999999994</v>
      </c>
      <c r="W205" s="22">
        <v>80.099999999999994</v>
      </c>
    </row>
    <row r="206" spans="19:23" ht="12.95" customHeight="1">
      <c r="S206" s="3" t="s">
        <v>77</v>
      </c>
      <c r="T206" s="22">
        <v>38.6</v>
      </c>
      <c r="U206" s="22">
        <v>38.1</v>
      </c>
      <c r="V206" s="22">
        <v>38.1</v>
      </c>
      <c r="W206" s="22">
        <v>38.1</v>
      </c>
    </row>
    <row r="207" spans="19:23" ht="12.95" customHeight="1">
      <c r="S207" s="3" t="s">
        <v>78</v>
      </c>
      <c r="T207" s="22">
        <v>104.8</v>
      </c>
      <c r="U207" s="22">
        <v>102.5</v>
      </c>
      <c r="V207" s="22">
        <v>102.5</v>
      </c>
      <c r="W207" s="22">
        <v>102.5</v>
      </c>
    </row>
    <row r="208" spans="19:23" ht="12.95" customHeight="1">
      <c r="S208" s="3" t="s">
        <v>79</v>
      </c>
      <c r="T208" s="22">
        <v>89.4</v>
      </c>
      <c r="U208" s="22">
        <v>100.3</v>
      </c>
      <c r="V208" s="22">
        <v>95.6</v>
      </c>
      <c r="W208" s="22">
        <v>95.6</v>
      </c>
    </row>
    <row r="209" spans="19:23" ht="12.95" customHeight="1">
      <c r="S209" s="3"/>
      <c r="T209" s="3"/>
      <c r="U209" s="3"/>
      <c r="V209" s="3"/>
      <c r="W209" s="3"/>
    </row>
    <row r="210" spans="19:23" ht="12.95" customHeight="1">
      <c r="S210" s="20" t="s">
        <v>15</v>
      </c>
      <c r="T210" s="22">
        <v>103.9</v>
      </c>
      <c r="U210" s="22">
        <v>100.7</v>
      </c>
      <c r="V210" s="22">
        <v>98.1</v>
      </c>
      <c r="W210" s="22">
        <v>104.9</v>
      </c>
    </row>
    <row r="211" spans="19:23" ht="12.95" customHeight="1">
      <c r="S211" s="3" t="s">
        <v>80</v>
      </c>
      <c r="T211" s="22">
        <v>102</v>
      </c>
      <c r="U211" s="22">
        <v>99.5</v>
      </c>
      <c r="V211" s="22">
        <v>95.2</v>
      </c>
      <c r="W211" s="22">
        <v>106.5</v>
      </c>
    </row>
    <row r="212" spans="19:23" ht="12.95" customHeight="1">
      <c r="S212" s="3" t="s">
        <v>81</v>
      </c>
      <c r="T212" s="22">
        <v>108.3</v>
      </c>
      <c r="U212" s="22">
        <v>98.4</v>
      </c>
      <c r="V212" s="22">
        <v>98.4</v>
      </c>
      <c r="W212" s="22">
        <v>98.4</v>
      </c>
    </row>
    <row r="213" spans="19:23" ht="12.95" customHeight="1">
      <c r="S213" s="3" t="s">
        <v>82</v>
      </c>
      <c r="T213" s="22">
        <v>116.7</v>
      </c>
      <c r="U213" s="22">
        <v>116.7</v>
      </c>
      <c r="V213" s="22">
        <v>116.7</v>
      </c>
      <c r="W213" s="22">
        <v>116.7</v>
      </c>
    </row>
    <row r="214" spans="19:23" ht="12.95" customHeight="1">
      <c r="S214" s="3" t="s">
        <v>83</v>
      </c>
      <c r="T214" s="22">
        <v>94.7</v>
      </c>
      <c r="U214" s="22">
        <v>94.7</v>
      </c>
      <c r="V214" s="22">
        <v>94.7</v>
      </c>
      <c r="W214" s="22">
        <v>94.7</v>
      </c>
    </row>
    <row r="215" spans="19:23" ht="12.95" customHeight="1">
      <c r="S215" s="3"/>
      <c r="T215" s="3"/>
      <c r="U215" s="3"/>
      <c r="V215" s="3"/>
      <c r="W215" s="3"/>
    </row>
    <row r="216" spans="19:23" ht="12.95" customHeight="1">
      <c r="S216" s="20" t="s">
        <v>16</v>
      </c>
      <c r="T216" s="22">
        <v>179.3</v>
      </c>
      <c r="U216" s="22">
        <v>181.2</v>
      </c>
      <c r="V216" s="22">
        <v>185.2</v>
      </c>
      <c r="W216" s="22">
        <v>188</v>
      </c>
    </row>
    <row r="217" spans="19:23" ht="12.95" customHeight="1">
      <c r="S217" s="3" t="s">
        <v>84</v>
      </c>
      <c r="T217" s="22">
        <v>145.4</v>
      </c>
      <c r="U217" s="22">
        <v>160.1</v>
      </c>
      <c r="V217" s="22">
        <v>160.1</v>
      </c>
      <c r="W217" s="22">
        <v>160.1</v>
      </c>
    </row>
    <row r="218" spans="19:23" ht="12.95" customHeight="1">
      <c r="S218" s="3" t="s">
        <v>85</v>
      </c>
      <c r="T218" s="22">
        <v>194.9</v>
      </c>
      <c r="U218" s="22">
        <v>194.9</v>
      </c>
      <c r="V218" s="22">
        <v>194.9</v>
      </c>
      <c r="W218" s="22">
        <v>194.9</v>
      </c>
    </row>
    <row r="219" spans="19:23" ht="12.95" customHeight="1">
      <c r="S219" s="3" t="s">
        <v>86</v>
      </c>
      <c r="T219" s="22">
        <v>157.19999999999999</v>
      </c>
      <c r="U219" s="22">
        <v>157.19999999999999</v>
      </c>
      <c r="V219" s="22">
        <v>157.19999999999999</v>
      </c>
      <c r="W219" s="22">
        <v>157.19999999999999</v>
      </c>
    </row>
    <row r="220" spans="19:23" ht="12.95" customHeight="1">
      <c r="S220" s="3" t="s">
        <v>87</v>
      </c>
      <c r="T220" s="22">
        <v>179.4</v>
      </c>
      <c r="U220" s="22">
        <v>181</v>
      </c>
      <c r="V220" s="22">
        <v>185.8</v>
      </c>
      <c r="W220" s="22">
        <v>189.1</v>
      </c>
    </row>
    <row r="221" spans="19:23" ht="12.95" customHeight="1">
      <c r="S221" s="3"/>
      <c r="T221" s="3"/>
      <c r="U221" s="3"/>
      <c r="V221" s="3"/>
      <c r="W221" s="3"/>
    </row>
    <row r="222" spans="19:23" ht="12.95" customHeight="1">
      <c r="S222" s="20" t="s">
        <v>17</v>
      </c>
      <c r="T222" s="22">
        <v>125.6</v>
      </c>
      <c r="U222" s="22">
        <v>127.5</v>
      </c>
      <c r="V222" s="22">
        <v>127.5</v>
      </c>
      <c r="W222" s="22">
        <v>127.5</v>
      </c>
    </row>
    <row r="223" spans="19:23" ht="12.95" customHeight="1">
      <c r="S223" s="3" t="s">
        <v>88</v>
      </c>
      <c r="T223" s="22">
        <v>123</v>
      </c>
      <c r="U223" s="22">
        <v>124.7</v>
      </c>
      <c r="V223" s="22">
        <v>124.7</v>
      </c>
      <c r="W223" s="22">
        <v>124.7</v>
      </c>
    </row>
    <row r="224" spans="19:23" ht="12.95" customHeight="1">
      <c r="S224" s="3" t="s">
        <v>89</v>
      </c>
      <c r="T224" s="22">
        <v>153.69999999999999</v>
      </c>
      <c r="U224" s="22">
        <v>160.4</v>
      </c>
      <c r="V224" s="22">
        <v>160.4</v>
      </c>
      <c r="W224" s="22">
        <v>160.4</v>
      </c>
    </row>
    <row r="225" spans="19:23" ht="12.95" customHeight="1">
      <c r="S225" s="3" t="s">
        <v>90</v>
      </c>
      <c r="T225" s="22">
        <v>134.4</v>
      </c>
      <c r="U225" s="22">
        <v>134.4</v>
      </c>
      <c r="V225" s="22">
        <v>134.4</v>
      </c>
      <c r="W225" s="22">
        <v>134.4</v>
      </c>
    </row>
    <row r="226" spans="19:23" ht="12.95" customHeight="1">
      <c r="S226" s="3"/>
      <c r="T226" s="3"/>
      <c r="U226" s="3"/>
      <c r="V226" s="3"/>
      <c r="W226" s="3"/>
    </row>
    <row r="227" spans="19:23" ht="12.95" customHeight="1">
      <c r="S227" s="20" t="s">
        <v>18</v>
      </c>
      <c r="T227" s="22">
        <v>109</v>
      </c>
      <c r="U227" s="22">
        <v>114.4</v>
      </c>
      <c r="V227" s="22">
        <v>114.5</v>
      </c>
      <c r="W227" s="22">
        <v>114.5</v>
      </c>
    </row>
    <row r="228" spans="19:23" ht="12.95" customHeight="1">
      <c r="S228" s="3" t="s">
        <v>91</v>
      </c>
      <c r="T228" s="22">
        <v>128.4</v>
      </c>
      <c r="U228" s="22">
        <v>123.4</v>
      </c>
      <c r="V228" s="22">
        <v>123.4</v>
      </c>
      <c r="W228" s="22">
        <v>123.4</v>
      </c>
    </row>
    <row r="229" spans="19:23" ht="12.95" customHeight="1">
      <c r="S229" s="3" t="s">
        <v>92</v>
      </c>
      <c r="T229" s="22">
        <v>116.5</v>
      </c>
      <c r="U229" s="22">
        <v>116.5</v>
      </c>
      <c r="V229" s="22">
        <v>116.8</v>
      </c>
      <c r="W229" s="22">
        <v>116.8</v>
      </c>
    </row>
    <row r="230" spans="19:23" ht="12.95" customHeight="1">
      <c r="S230" s="3" t="s">
        <v>93</v>
      </c>
      <c r="T230" s="22">
        <v>107.2</v>
      </c>
      <c r="U230" s="22">
        <v>111</v>
      </c>
      <c r="V230" s="22">
        <v>111</v>
      </c>
      <c r="W230" s="22">
        <v>110</v>
      </c>
    </row>
    <row r="231" spans="19:23" ht="12.95" customHeight="1">
      <c r="S231" s="3" t="s">
        <v>94</v>
      </c>
      <c r="T231" s="22">
        <v>86.7</v>
      </c>
      <c r="U231" s="22">
        <v>86.7</v>
      </c>
      <c r="V231" s="22">
        <v>86.7</v>
      </c>
      <c r="W231" s="22">
        <v>86.7</v>
      </c>
    </row>
    <row r="232" spans="19:23" ht="12.95" customHeight="1">
      <c r="S232" s="3" t="s">
        <v>95</v>
      </c>
      <c r="T232" s="22">
        <v>118.8</v>
      </c>
      <c r="U232" s="22">
        <v>145.80000000000001</v>
      </c>
      <c r="V232" s="22">
        <v>145.80000000000001</v>
      </c>
      <c r="W232" s="22">
        <v>145.80000000000001</v>
      </c>
    </row>
    <row r="233" spans="19:23" ht="12.95" customHeight="1">
      <c r="S233" s="3"/>
      <c r="T233" s="3"/>
      <c r="U233" s="3"/>
      <c r="V233" s="3"/>
      <c r="W233" s="3"/>
    </row>
    <row r="234" spans="19:23" ht="12.95" customHeight="1">
      <c r="S234" s="20" t="s">
        <v>96</v>
      </c>
      <c r="T234" s="22">
        <v>132.1</v>
      </c>
      <c r="U234" s="22">
        <v>137.4</v>
      </c>
      <c r="V234" s="22">
        <v>137.4</v>
      </c>
      <c r="W234" s="22">
        <v>137.4</v>
      </c>
    </row>
    <row r="235" spans="19:23" ht="12.95" customHeight="1">
      <c r="S235" s="3" t="s">
        <v>97</v>
      </c>
      <c r="T235" s="22">
        <v>246.5</v>
      </c>
      <c r="U235" s="22">
        <v>246.5</v>
      </c>
      <c r="V235" s="22">
        <v>246.5</v>
      </c>
      <c r="W235" s="22">
        <v>246.5</v>
      </c>
    </row>
    <row r="236" spans="19:23" ht="12.95" customHeight="1">
      <c r="S236" s="3" t="s">
        <v>98</v>
      </c>
      <c r="T236" s="22">
        <v>107</v>
      </c>
      <c r="U236" s="22">
        <v>116.7</v>
      </c>
      <c r="V236" s="22">
        <v>116.7</v>
      </c>
      <c r="W236" s="22">
        <v>116.7</v>
      </c>
    </row>
    <row r="237" spans="19:23" ht="12.95" customHeight="1">
      <c r="S237" s="3" t="s">
        <v>99</v>
      </c>
      <c r="T237" s="22">
        <v>133.6</v>
      </c>
      <c r="U237" s="22">
        <v>133.6</v>
      </c>
      <c r="V237" s="22">
        <v>133.6</v>
      </c>
      <c r="W237" s="22">
        <v>133.6</v>
      </c>
    </row>
    <row r="238" spans="19:23" ht="12.95" customHeight="1">
      <c r="S238" s="3" t="s">
        <v>100</v>
      </c>
      <c r="T238" s="22">
        <v>176.7</v>
      </c>
      <c r="U238" s="22">
        <v>176.7</v>
      </c>
      <c r="V238" s="22">
        <v>176.7</v>
      </c>
      <c r="W238" s="22">
        <v>176.7</v>
      </c>
    </row>
    <row r="239" spans="19:23" ht="12.95" customHeight="1">
      <c r="S239" s="3" t="s">
        <v>101</v>
      </c>
      <c r="T239" s="22">
        <v>126.8</v>
      </c>
      <c r="U239" s="22">
        <v>126.8</v>
      </c>
      <c r="V239" s="22">
        <v>126.8</v>
      </c>
      <c r="W239" s="22">
        <v>126.8</v>
      </c>
    </row>
    <row r="240" spans="19:23" ht="12.95" customHeight="1">
      <c r="S240" s="3" t="s">
        <v>102</v>
      </c>
      <c r="T240" s="22">
        <v>128.80000000000001</v>
      </c>
      <c r="U240" s="22">
        <v>128.80000000000001</v>
      </c>
      <c r="V240" s="22">
        <v>128.80000000000001</v>
      </c>
      <c r="W240" s="22">
        <v>128.80000000000001</v>
      </c>
    </row>
    <row r="241" spans="19:23" ht="12.75" customHeight="1">
      <c r="S241" s="23" t="s">
        <v>103</v>
      </c>
      <c r="T241" s="29">
        <v>142.9</v>
      </c>
      <c r="U241" s="29">
        <v>142.9</v>
      </c>
      <c r="V241" s="29">
        <v>142.9</v>
      </c>
      <c r="W241" s="29">
        <v>142.9</v>
      </c>
    </row>
    <row r="242" spans="19:23" ht="26.25" customHeight="1">
      <c r="S242" s="2111" t="s">
        <v>30</v>
      </c>
      <c r="T242" s="2111"/>
      <c r="U242" s="2111"/>
      <c r="V242" s="3"/>
      <c r="W242" s="3"/>
    </row>
    <row r="243" spans="19:23" ht="11.25" customHeight="1">
      <c r="S243" s="30" t="s">
        <v>104</v>
      </c>
      <c r="T243" s="30"/>
      <c r="U243" s="30"/>
      <c r="V243" s="3"/>
      <c r="W243" s="3"/>
    </row>
  </sheetData>
  <mergeCells count="22">
    <mergeCell ref="F1:I1"/>
    <mergeCell ref="B3:E3"/>
    <mergeCell ref="F3:I3"/>
    <mergeCell ref="F32:I32"/>
    <mergeCell ref="B34:E34"/>
    <mergeCell ref="F34:I34"/>
    <mergeCell ref="A3:A4"/>
    <mergeCell ref="A34:A35"/>
    <mergeCell ref="M3:P3"/>
    <mergeCell ref="M85:P85"/>
    <mergeCell ref="L3:L4"/>
    <mergeCell ref="L78:P78"/>
    <mergeCell ref="L85:L86"/>
    <mergeCell ref="S242:U242"/>
    <mergeCell ref="L160:O160"/>
    <mergeCell ref="T3:W3"/>
    <mergeCell ref="T85:W85"/>
    <mergeCell ref="T167:W167"/>
    <mergeCell ref="S160:W160"/>
    <mergeCell ref="S85:S86"/>
    <mergeCell ref="S78:V78"/>
    <mergeCell ref="S167:S16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4436F-B589-4249-8837-1368A7FA569D}">
  <sheetPr>
    <tabColor rgb="FFFFFF00"/>
    <pageSetUpPr fitToPage="1"/>
  </sheetPr>
  <dimension ref="A1:HX580"/>
  <sheetViews>
    <sheetView showGridLines="0" zoomScale="90" zoomScaleNormal="90" workbookViewId="0">
      <selection activeCell="HH88" sqref="HH88"/>
    </sheetView>
  </sheetViews>
  <sheetFormatPr defaultColWidth="8.85546875" defaultRowHeight="14.1" customHeight="1"/>
  <cols>
    <col min="1" max="1" width="47.7109375" style="674" customWidth="1"/>
    <col min="2" max="9" width="14.7109375" style="674" customWidth="1"/>
    <col min="10" max="10" width="40.7109375" style="674" customWidth="1"/>
    <col min="11" max="11" width="15.7109375" style="674" customWidth="1"/>
    <col min="12" max="18" width="14.7109375" style="674" customWidth="1"/>
    <col min="19" max="19" width="24.7109375" style="674" customWidth="1"/>
    <col min="20" max="20" width="14.7109375" style="674" customWidth="1"/>
    <col min="21" max="35" width="8.7109375" style="674" customWidth="1"/>
    <col min="36" max="38" width="8.85546875" style="674"/>
    <col min="39" max="39" width="9.7109375" style="674" customWidth="1"/>
    <col min="40" max="40" width="40.7109375" style="674" customWidth="1"/>
    <col min="41" max="48" width="12.7109375" style="674" customWidth="1"/>
    <col min="49" max="49" width="14.28515625" style="674" customWidth="1"/>
    <col min="50" max="50" width="37.7109375" style="674" customWidth="1"/>
    <col min="51" max="52" width="14.7109375" style="674" customWidth="1"/>
    <col min="53" max="53" width="12.7109375" style="674" customWidth="1"/>
    <col min="54" max="55" width="14.7109375" style="674" customWidth="1"/>
    <col min="56" max="62" width="12.7109375" style="674" customWidth="1"/>
    <col min="63" max="63" width="25.7109375" style="674" customWidth="1"/>
    <col min="64" max="71" width="12.7109375" style="674" customWidth="1"/>
    <col min="72" max="72" width="14.28515625" style="674" customWidth="1"/>
    <col min="73" max="73" width="44.7109375" style="674" customWidth="1"/>
    <col min="74" max="79" width="12.7109375" style="674" customWidth="1"/>
    <col min="80" max="81" width="10.7109375" style="674" customWidth="1"/>
    <col min="82" max="82" width="9.7109375" style="674" customWidth="1"/>
    <col min="83" max="83" width="38.7109375" style="674" customWidth="1"/>
    <col min="84" max="89" width="14.7109375" style="674" customWidth="1"/>
    <col min="90" max="90" width="12.7109375" style="674" customWidth="1"/>
    <col min="91" max="91" width="14.28515625" style="674" customWidth="1"/>
    <col min="92" max="92" width="27.42578125" style="674" customWidth="1"/>
    <col min="93" max="105" width="8.7109375" style="674" customWidth="1"/>
    <col min="106" max="106" width="28.7109375" style="674" customWidth="1"/>
    <col min="107" max="114" width="10.7109375" style="674" customWidth="1"/>
    <col min="115" max="118" width="9.7109375" style="674" customWidth="1"/>
    <col min="119" max="122" width="8.7109375" style="674" customWidth="1"/>
    <col min="123" max="123" width="36.7109375" style="674" customWidth="1"/>
    <col min="124" max="135" width="10.7109375" style="674" customWidth="1"/>
    <col min="136" max="136" width="11.7109375" style="674" customWidth="1"/>
    <col min="137" max="138" width="8.85546875" style="674"/>
    <col min="139" max="139" width="36.7109375" style="674" customWidth="1"/>
    <col min="140" max="140" width="12.7109375" style="674" customWidth="1"/>
    <col min="141" max="141" width="11.7109375" style="674" customWidth="1"/>
    <col min="142" max="145" width="9.7109375" style="674" customWidth="1"/>
    <col min="146" max="146" width="14.7109375" style="674" customWidth="1"/>
    <col min="147" max="147" width="9.7109375" style="674" customWidth="1"/>
    <col min="148" max="148" width="15.7109375" style="674" customWidth="1"/>
    <col min="149" max="149" width="31.42578125" style="674" customWidth="1"/>
    <col min="150" max="150" width="30.7109375" style="674" customWidth="1"/>
    <col min="151" max="156" width="18.7109375" style="674" customWidth="1"/>
    <col min="157" max="158" width="12.7109375" style="674" customWidth="1"/>
    <col min="159" max="159" width="14.7109375" style="674" customWidth="1"/>
    <col min="160" max="160" width="10.7109375" style="674" customWidth="1"/>
    <col min="161" max="161" width="8.7109375" style="674" customWidth="1"/>
    <col min="162" max="162" width="7.7109375" style="674" customWidth="1"/>
    <col min="163" max="163" width="8.7109375" style="674" customWidth="1"/>
    <col min="164" max="164" width="7.7109375" style="674" customWidth="1"/>
    <col min="165" max="165" width="8.7109375" style="674" customWidth="1"/>
    <col min="166" max="166" width="7.7109375" style="674" customWidth="1"/>
    <col min="167" max="167" width="8.7109375" style="674" customWidth="1"/>
    <col min="168" max="168" width="7.7109375" style="674" customWidth="1"/>
    <col min="169" max="169" width="8.7109375" style="674" customWidth="1"/>
    <col min="170" max="171" width="7.7109375" style="674" customWidth="1"/>
    <col min="172" max="173" width="12.7109375" style="674" customWidth="1"/>
    <col min="174" max="174" width="30.7109375" style="674" customWidth="1"/>
    <col min="175" max="175" width="40.7109375" style="674" customWidth="1"/>
    <col min="176" max="181" width="14.7109375" style="674" customWidth="1"/>
    <col min="182" max="184" width="10.7109375" style="674" customWidth="1"/>
    <col min="185" max="185" width="28.7109375" style="674" customWidth="1"/>
    <col min="186" max="192" width="16.7109375" style="674" customWidth="1"/>
    <col min="193" max="193" width="16.42578125" style="674" customWidth="1"/>
    <col min="194" max="194" width="51.7109375" style="674" customWidth="1"/>
    <col min="195" max="200" width="15.7109375" style="674" customWidth="1"/>
    <col min="201" max="202" width="12.7109375" style="674" customWidth="1"/>
    <col min="203" max="203" width="33.140625" style="674" customWidth="1"/>
    <col min="204" max="209" width="14.7109375" style="674" customWidth="1"/>
    <col min="210" max="211" width="15.7109375" style="674" customWidth="1"/>
    <col min="212" max="212" width="13.7109375" style="674" customWidth="1"/>
    <col min="213" max="213" width="12.7109375" style="674" customWidth="1"/>
    <col min="214" max="215" width="8.85546875" style="674"/>
    <col min="216" max="216" width="18.28515625" style="674" customWidth="1"/>
    <col min="217" max="223" width="16.7109375" style="674" customWidth="1"/>
    <col min="224" max="224" width="13.7109375" style="674" customWidth="1"/>
    <col min="225" max="225" width="8.85546875" style="674"/>
    <col min="226" max="226" width="29.7109375" style="674" customWidth="1"/>
    <col min="227" max="232" width="17" style="674" customWidth="1"/>
    <col min="233" max="16384" width="8.85546875" style="674"/>
  </cols>
  <sheetData>
    <row r="1" spans="1:232" ht="14.1" customHeight="1">
      <c r="A1" s="387" t="s">
        <v>3421</v>
      </c>
      <c r="B1" s="387"/>
      <c r="C1" s="387"/>
      <c r="D1" s="387"/>
      <c r="E1" s="387"/>
      <c r="F1" s="387"/>
      <c r="G1" s="387"/>
      <c r="J1" s="675" t="s">
        <v>3422</v>
      </c>
      <c r="K1" s="675"/>
      <c r="L1" s="675"/>
      <c r="M1" s="675"/>
      <c r="N1" s="675"/>
      <c r="O1" s="675"/>
      <c r="P1" s="675"/>
      <c r="Q1" s="676"/>
      <c r="R1" s="677"/>
      <c r="S1" s="398" t="s">
        <v>3423</v>
      </c>
      <c r="U1" s="678"/>
      <c r="V1" s="678"/>
      <c r="W1" s="678"/>
      <c r="X1" s="678"/>
      <c r="Y1" s="678"/>
      <c r="Z1" s="678"/>
      <c r="AA1" s="678"/>
      <c r="AB1" s="678"/>
      <c r="AC1" s="678"/>
      <c r="AD1" s="678"/>
      <c r="AE1" s="678"/>
      <c r="AF1" s="678"/>
      <c r="AG1" s="678"/>
      <c r="AH1" s="678"/>
      <c r="AI1" s="678"/>
      <c r="AN1" s="398" t="s">
        <v>3424</v>
      </c>
      <c r="AO1" s="398"/>
      <c r="AP1" s="398"/>
      <c r="AQ1" s="398"/>
      <c r="AR1" s="398"/>
      <c r="AS1" s="398"/>
      <c r="AT1" s="398"/>
      <c r="AU1" s="398"/>
      <c r="AX1" s="398" t="s">
        <v>3425</v>
      </c>
      <c r="BK1" s="398" t="s">
        <v>3426</v>
      </c>
      <c r="BL1" s="398"/>
      <c r="BM1" s="398"/>
      <c r="BN1" s="398"/>
      <c r="BO1" s="398"/>
      <c r="BP1" s="398"/>
      <c r="BQ1" s="398"/>
      <c r="BR1" s="398"/>
      <c r="BU1" s="387" t="s">
        <v>3427</v>
      </c>
      <c r="BV1" s="387"/>
      <c r="BW1" s="387"/>
      <c r="BX1" s="678"/>
      <c r="BY1" s="678"/>
      <c r="BZ1" s="678"/>
      <c r="CA1" s="678"/>
      <c r="CE1" s="387" t="s">
        <v>3428</v>
      </c>
      <c r="CF1" s="387"/>
      <c r="CG1" s="387"/>
      <c r="CH1" s="387"/>
      <c r="CI1" s="387"/>
      <c r="CJ1" s="387"/>
      <c r="CK1" s="387"/>
      <c r="CL1" s="398"/>
      <c r="CN1" s="387" t="s">
        <v>3429</v>
      </c>
      <c r="CO1" s="387"/>
      <c r="CP1" s="387"/>
      <c r="CQ1" s="398"/>
      <c r="CR1" s="398"/>
      <c r="CS1" s="398"/>
      <c r="CT1" s="398"/>
      <c r="CU1" s="398"/>
      <c r="CV1" s="398"/>
      <c r="CW1" s="398"/>
      <c r="CX1" s="398"/>
      <c r="DB1" s="398" t="s">
        <v>3430</v>
      </c>
      <c r="DC1" s="398"/>
      <c r="DD1" s="398"/>
      <c r="DE1" s="398"/>
      <c r="DF1" s="398"/>
      <c r="DG1" s="398"/>
      <c r="DH1" s="398"/>
      <c r="DM1" s="2147"/>
      <c r="DN1" s="2147"/>
      <c r="DO1" s="2147"/>
      <c r="DP1" s="2147"/>
      <c r="DQ1" s="2147"/>
      <c r="DR1" s="2147"/>
      <c r="DS1" s="680" t="s">
        <v>3431</v>
      </c>
      <c r="DT1" s="398"/>
      <c r="DU1" s="398"/>
      <c r="DV1" s="398"/>
      <c r="DW1" s="398"/>
      <c r="DX1" s="398"/>
      <c r="DY1" s="398"/>
      <c r="DZ1" s="681"/>
      <c r="EA1" s="398"/>
      <c r="EB1" s="398"/>
      <c r="EC1" s="398"/>
      <c r="ED1" s="398"/>
      <c r="EE1" s="398"/>
      <c r="EF1" s="398"/>
      <c r="EI1" s="682" t="s">
        <v>3432</v>
      </c>
      <c r="EJ1" s="683"/>
      <c r="EK1" s="683"/>
      <c r="EL1" s="682"/>
      <c r="EM1" s="682"/>
      <c r="EN1" s="682"/>
      <c r="EO1" s="682"/>
      <c r="EP1" s="678"/>
      <c r="EQ1" s="387"/>
      <c r="ER1" s="398"/>
      <c r="ES1" s="398"/>
      <c r="ET1" s="387" t="s">
        <v>3433</v>
      </c>
      <c r="EU1" s="387"/>
      <c r="EV1" s="387"/>
      <c r="EW1" s="387"/>
      <c r="EX1" s="387"/>
      <c r="EY1" s="387"/>
      <c r="EZ1" s="398"/>
      <c r="FA1" s="398"/>
      <c r="FB1" s="684"/>
      <c r="FC1" s="387" t="s">
        <v>3434</v>
      </c>
      <c r="FE1" s="678"/>
      <c r="FF1" s="678"/>
      <c r="FG1" s="678"/>
      <c r="FH1" s="678"/>
      <c r="FI1" s="678"/>
      <c r="FJ1" s="678"/>
      <c r="FK1" s="678"/>
      <c r="FL1" s="678"/>
      <c r="FM1" s="678"/>
      <c r="FN1" s="678"/>
      <c r="FO1" s="678"/>
      <c r="FP1" s="684"/>
      <c r="FQ1" s="684"/>
      <c r="FR1" s="387" t="s">
        <v>8713</v>
      </c>
      <c r="FS1" s="398"/>
      <c r="FT1" s="398"/>
      <c r="FU1" s="398"/>
      <c r="FV1" s="398"/>
      <c r="FW1" s="398"/>
      <c r="FX1" s="398"/>
      <c r="FY1" s="398"/>
      <c r="FZ1" s="398"/>
      <c r="GA1" s="685"/>
      <c r="GC1" s="387" t="s">
        <v>3435</v>
      </c>
      <c r="GD1" s="387"/>
      <c r="GE1" s="387"/>
      <c r="GF1" s="387"/>
      <c r="GG1" s="686"/>
      <c r="GH1" s="686"/>
      <c r="GI1" s="685"/>
      <c r="GJ1" s="687"/>
      <c r="GL1" s="398" t="s">
        <v>3436</v>
      </c>
      <c r="GM1" s="398"/>
      <c r="GN1" s="398"/>
      <c r="GO1" s="398"/>
      <c r="GP1" s="398"/>
      <c r="GQ1" s="398"/>
      <c r="GR1" s="398"/>
      <c r="GS1" s="571"/>
      <c r="GU1" s="398" t="s">
        <v>3437</v>
      </c>
      <c r="GV1" s="398"/>
      <c r="GW1" s="398"/>
      <c r="GX1" s="398"/>
      <c r="GY1" s="585"/>
      <c r="GZ1" s="585"/>
      <c r="HA1" s="585"/>
      <c r="HB1" s="585"/>
      <c r="HE1" s="398"/>
      <c r="HH1" s="398"/>
      <c r="HI1" s="398"/>
      <c r="HJ1" s="398"/>
      <c r="HQ1" s="398"/>
      <c r="HR1" s="398"/>
      <c r="HS1" s="398"/>
      <c r="HT1" s="398"/>
      <c r="HU1" s="398"/>
      <c r="HV1" s="398"/>
      <c r="HW1" s="398"/>
    </row>
    <row r="2" spans="1:232" ht="14.1" customHeight="1">
      <c r="B2" s="688" t="s">
        <v>3438</v>
      </c>
      <c r="C2" s="688" t="s">
        <v>3439</v>
      </c>
      <c r="D2" s="688" t="s">
        <v>3440</v>
      </c>
      <c r="E2" s="688" t="s">
        <v>3441</v>
      </c>
      <c r="F2" s="688" t="s">
        <v>3442</v>
      </c>
      <c r="G2" s="689" t="s">
        <v>3443</v>
      </c>
      <c r="H2" s="690"/>
      <c r="J2" s="676"/>
      <c r="K2" s="691"/>
      <c r="L2" s="692" t="s">
        <v>3438</v>
      </c>
      <c r="M2" s="692" t="s">
        <v>3439</v>
      </c>
      <c r="N2" s="692" t="s">
        <v>3440</v>
      </c>
      <c r="O2" s="692" t="s">
        <v>3441</v>
      </c>
      <c r="P2" s="693" t="s">
        <v>3442</v>
      </c>
      <c r="Q2" s="694"/>
      <c r="S2" s="695"/>
      <c r="T2" s="696"/>
      <c r="U2" s="697" t="s">
        <v>129</v>
      </c>
      <c r="V2" s="690" t="s">
        <v>3444</v>
      </c>
      <c r="W2" s="697" t="s">
        <v>3445</v>
      </c>
      <c r="X2" s="697" t="s">
        <v>3446</v>
      </c>
      <c r="Y2" s="697" t="s">
        <v>115</v>
      </c>
      <c r="Z2" s="697" t="s">
        <v>116</v>
      </c>
      <c r="AA2" s="697" t="s">
        <v>117</v>
      </c>
      <c r="AB2" s="697" t="s">
        <v>118</v>
      </c>
      <c r="AC2" s="697" t="s">
        <v>3447</v>
      </c>
      <c r="AD2" s="697" t="s">
        <v>3448</v>
      </c>
      <c r="AE2" s="697" t="s">
        <v>3449</v>
      </c>
      <c r="AF2" s="697" t="s">
        <v>3450</v>
      </c>
      <c r="AG2" s="697" t="s">
        <v>3451</v>
      </c>
      <c r="AH2" s="697" t="s">
        <v>3452</v>
      </c>
      <c r="AI2" s="697" t="s">
        <v>3095</v>
      </c>
      <c r="AJ2" s="689" t="s">
        <v>3101</v>
      </c>
      <c r="AN2" s="698"/>
      <c r="AO2" s="699" t="s">
        <v>3438</v>
      </c>
      <c r="AP2" s="699" t="s">
        <v>3439</v>
      </c>
      <c r="AQ2" s="699" t="s">
        <v>3440</v>
      </c>
      <c r="AR2" s="699" t="s">
        <v>3441</v>
      </c>
      <c r="AS2" s="700" t="s">
        <v>3442</v>
      </c>
      <c r="AT2" s="701" t="s">
        <v>3443</v>
      </c>
      <c r="AU2" s="690"/>
      <c r="AV2" s="690"/>
      <c r="AX2" s="387" t="s">
        <v>3453</v>
      </c>
      <c r="BK2" s="398" t="s">
        <v>3454</v>
      </c>
      <c r="BL2" s="398"/>
      <c r="BM2" s="398"/>
      <c r="BN2" s="398"/>
      <c r="BO2" s="398"/>
      <c r="BP2" s="398"/>
      <c r="BQ2" s="398"/>
      <c r="BR2" s="398"/>
      <c r="BT2" s="702"/>
      <c r="BV2" s="2127" t="s">
        <v>3455</v>
      </c>
      <c r="BW2" s="2135"/>
      <c r="BX2" s="2127" t="s">
        <v>3456</v>
      </c>
      <c r="BY2" s="2135"/>
      <c r="BZ2" s="2127" t="s">
        <v>3457</v>
      </c>
      <c r="CA2" s="2148"/>
      <c r="CB2" s="2094"/>
      <c r="CC2" s="2094"/>
      <c r="CD2" s="702"/>
      <c r="CE2" s="398"/>
      <c r="CF2" s="688" t="s">
        <v>3438</v>
      </c>
      <c r="CG2" s="688" t="s">
        <v>3439</v>
      </c>
      <c r="CH2" s="688" t="s">
        <v>3440</v>
      </c>
      <c r="CI2" s="688" t="s">
        <v>3441</v>
      </c>
      <c r="CJ2" s="688" t="s">
        <v>3442</v>
      </c>
      <c r="CK2" s="419" t="s">
        <v>3443</v>
      </c>
      <c r="CL2" s="385"/>
      <c r="CN2" s="680"/>
      <c r="CO2" s="2127" t="s">
        <v>3458</v>
      </c>
      <c r="CP2" s="2136"/>
      <c r="CQ2" s="2127" t="s">
        <v>3459</v>
      </c>
      <c r="CR2" s="2136"/>
      <c r="CS2" s="2127" t="s">
        <v>3460</v>
      </c>
      <c r="CT2" s="2136"/>
      <c r="CU2" s="2127" t="s">
        <v>3461</v>
      </c>
      <c r="CV2" s="2136"/>
      <c r="CW2" s="2127" t="s">
        <v>3462</v>
      </c>
      <c r="CX2" s="2128"/>
      <c r="CY2" s="402"/>
      <c r="CZ2" s="702"/>
      <c r="DA2" s="702"/>
      <c r="DB2" s="695"/>
      <c r="DC2" s="2127" t="s">
        <v>3458</v>
      </c>
      <c r="DD2" s="2135"/>
      <c r="DE2" s="2127" t="s">
        <v>3459</v>
      </c>
      <c r="DF2" s="2136"/>
      <c r="DG2" s="2127" t="s">
        <v>3460</v>
      </c>
      <c r="DH2" s="2136"/>
      <c r="DI2" s="2127" t="s">
        <v>3461</v>
      </c>
      <c r="DJ2" s="2136"/>
      <c r="DK2" s="2127" t="s">
        <v>3462</v>
      </c>
      <c r="DL2" s="2148"/>
      <c r="DM2" s="679"/>
      <c r="DN2" s="679"/>
      <c r="DQ2" s="702"/>
      <c r="DR2" s="702"/>
      <c r="DS2" s="704"/>
      <c r="DT2" s="2127" t="s">
        <v>3458</v>
      </c>
      <c r="DU2" s="2136"/>
      <c r="DV2" s="2127" t="s">
        <v>3459</v>
      </c>
      <c r="DW2" s="2136"/>
      <c r="DX2" s="2127" t="s">
        <v>3460</v>
      </c>
      <c r="DY2" s="2136"/>
      <c r="DZ2" s="2127" t="s">
        <v>3461</v>
      </c>
      <c r="EA2" s="2136"/>
      <c r="EB2" s="2127" t="s">
        <v>3462</v>
      </c>
      <c r="EC2" s="2136"/>
      <c r="ED2" s="2127" t="s">
        <v>3463</v>
      </c>
      <c r="EE2" s="2128"/>
      <c r="EF2" s="402"/>
      <c r="EG2" s="702"/>
      <c r="EI2" s="705"/>
      <c r="EJ2" s="706" t="s">
        <v>3464</v>
      </c>
      <c r="EK2" s="706" t="s">
        <v>385</v>
      </c>
      <c r="EL2" s="2124" t="s">
        <v>3465</v>
      </c>
      <c r="EM2" s="2125"/>
      <c r="EN2" s="2124" t="s">
        <v>3466</v>
      </c>
      <c r="EO2" s="2126"/>
      <c r="EP2" s="2127" t="s">
        <v>3467</v>
      </c>
      <c r="EQ2" s="2128"/>
      <c r="ET2" s="398"/>
      <c r="EU2" s="688" t="s">
        <v>3438</v>
      </c>
      <c r="EV2" s="688" t="s">
        <v>3439</v>
      </c>
      <c r="EW2" s="688" t="s">
        <v>3440</v>
      </c>
      <c r="EX2" s="688" t="s">
        <v>3441</v>
      </c>
      <c r="EY2" s="419" t="s">
        <v>3442</v>
      </c>
      <c r="EZ2" s="385"/>
      <c r="FA2" s="385"/>
      <c r="FB2" s="702"/>
      <c r="FD2" s="696"/>
      <c r="FE2" s="2141" t="s">
        <v>3468</v>
      </c>
      <c r="FF2" s="2143"/>
      <c r="FG2" s="2143"/>
      <c r="FH2" s="2143"/>
      <c r="FI2" s="2143"/>
      <c r="FJ2" s="2143"/>
      <c r="FK2" s="2143"/>
      <c r="FL2" s="2143"/>
      <c r="FM2" s="2143"/>
      <c r="FN2" s="2143"/>
      <c r="FO2" s="2143"/>
      <c r="FP2" s="702"/>
      <c r="FQ2" s="702"/>
      <c r="FR2" s="398"/>
      <c r="FS2" s="708"/>
      <c r="FT2" s="688" t="s">
        <v>3438</v>
      </c>
      <c r="FU2" s="688" t="s">
        <v>3439</v>
      </c>
      <c r="FV2" s="688" t="s">
        <v>3440</v>
      </c>
      <c r="FW2" s="688" t="s">
        <v>3441</v>
      </c>
      <c r="FX2" s="688" t="s">
        <v>3442</v>
      </c>
      <c r="FY2" s="419" t="s">
        <v>3443</v>
      </c>
      <c r="FZ2" s="385"/>
      <c r="GC2" s="398"/>
      <c r="GD2" s="688" t="s">
        <v>3438</v>
      </c>
      <c r="GE2" s="688" t="s">
        <v>3439</v>
      </c>
      <c r="GF2" s="688" t="s">
        <v>3440</v>
      </c>
      <c r="GG2" s="688" t="s">
        <v>3441</v>
      </c>
      <c r="GH2" s="419" t="s">
        <v>3442</v>
      </c>
      <c r="GI2" s="385"/>
      <c r="GJ2" s="385"/>
      <c r="GL2" s="709"/>
      <c r="GM2" s="688" t="s">
        <v>3438</v>
      </c>
      <c r="GN2" s="688" t="s">
        <v>3439</v>
      </c>
      <c r="GO2" s="688" t="s">
        <v>3440</v>
      </c>
      <c r="GP2" s="688" t="s">
        <v>3441</v>
      </c>
      <c r="GQ2" s="419" t="s">
        <v>3442</v>
      </c>
      <c r="GR2" s="385"/>
      <c r="GS2" s="571"/>
      <c r="GU2" s="710" t="s">
        <v>3469</v>
      </c>
      <c r="GV2" s="710"/>
      <c r="GW2" s="710"/>
      <c r="GX2" s="711"/>
      <c r="GY2" s="585"/>
      <c r="GZ2" s="585"/>
      <c r="HA2" s="385"/>
      <c r="HB2" s="585"/>
      <c r="HE2" s="398"/>
      <c r="HG2" s="398"/>
      <c r="HH2" s="398"/>
      <c r="HI2" s="398"/>
      <c r="HJ2" s="398"/>
      <c r="HK2" s="398"/>
      <c r="HL2" s="398"/>
      <c r="HM2" s="398"/>
      <c r="HN2" s="398"/>
      <c r="HQ2" s="398"/>
      <c r="HR2" s="398"/>
      <c r="HS2" s="398"/>
      <c r="HT2" s="398"/>
      <c r="HU2" s="398"/>
      <c r="HV2" s="398"/>
      <c r="HW2" s="398"/>
    </row>
    <row r="3" spans="1:232" ht="14.1" customHeight="1">
      <c r="A3" s="678" t="s">
        <v>3470</v>
      </c>
      <c r="B3" s="712">
        <v>2025</v>
      </c>
      <c r="C3" s="712">
        <v>2024</v>
      </c>
      <c r="D3" s="712">
        <v>2023</v>
      </c>
      <c r="E3" s="712">
        <v>2022</v>
      </c>
      <c r="F3" s="712">
        <v>2021</v>
      </c>
      <c r="G3" s="713">
        <v>2020</v>
      </c>
      <c r="J3" s="714" t="s">
        <v>1648</v>
      </c>
      <c r="K3" s="715" t="s">
        <v>3471</v>
      </c>
      <c r="L3" s="716">
        <v>2025</v>
      </c>
      <c r="M3" s="716">
        <v>2024</v>
      </c>
      <c r="N3" s="716">
        <v>2023</v>
      </c>
      <c r="O3" s="716">
        <v>2022</v>
      </c>
      <c r="P3" s="717">
        <v>2021</v>
      </c>
      <c r="Q3" s="718"/>
      <c r="S3" s="678" t="s">
        <v>3472</v>
      </c>
      <c r="T3" s="719" t="s">
        <v>3473</v>
      </c>
      <c r="U3" s="712" t="s">
        <v>3474</v>
      </c>
      <c r="V3" s="712" t="s">
        <v>3475</v>
      </c>
      <c r="W3" s="712" t="s">
        <v>3476</v>
      </c>
      <c r="X3" s="712" t="s">
        <v>3477</v>
      </c>
      <c r="Y3" s="712" t="s">
        <v>3478</v>
      </c>
      <c r="Z3" s="712" t="s">
        <v>3478</v>
      </c>
      <c r="AA3" s="712" t="s">
        <v>3478</v>
      </c>
      <c r="AB3" s="712" t="s">
        <v>3478</v>
      </c>
      <c r="AC3" s="712" t="s">
        <v>3478</v>
      </c>
      <c r="AD3" s="712" t="s">
        <v>3478</v>
      </c>
      <c r="AE3" s="712" t="s">
        <v>3478</v>
      </c>
      <c r="AF3" s="712" t="s">
        <v>3478</v>
      </c>
      <c r="AG3" s="712" t="s">
        <v>3478</v>
      </c>
      <c r="AH3" s="712" t="s">
        <v>3478</v>
      </c>
      <c r="AI3" s="712" t="s">
        <v>3478</v>
      </c>
      <c r="AJ3" s="713" t="s">
        <v>3478</v>
      </c>
      <c r="AN3" s="720" t="s">
        <v>1648</v>
      </c>
      <c r="AO3" s="721">
        <v>2025</v>
      </c>
      <c r="AP3" s="721">
        <v>2024</v>
      </c>
      <c r="AQ3" s="721">
        <v>2023</v>
      </c>
      <c r="AR3" s="721">
        <v>2022</v>
      </c>
      <c r="AS3" s="721">
        <v>2021</v>
      </c>
      <c r="AT3" s="722">
        <v>2020</v>
      </c>
      <c r="AU3" s="690"/>
      <c r="AV3" s="385"/>
      <c r="AY3" s="2127" t="s">
        <v>3479</v>
      </c>
      <c r="AZ3" s="2128"/>
      <c r="BA3" s="2128"/>
      <c r="BB3" s="2127" t="s">
        <v>3480</v>
      </c>
      <c r="BC3" s="2128"/>
      <c r="BD3" s="2128"/>
      <c r="BE3" s="2127" t="s">
        <v>3481</v>
      </c>
      <c r="BF3" s="2128"/>
      <c r="BG3" s="2128"/>
      <c r="BH3" s="402"/>
      <c r="BI3" s="702"/>
      <c r="BJ3" s="702"/>
      <c r="BK3" s="698"/>
      <c r="BL3" s="699" t="s">
        <v>3438</v>
      </c>
      <c r="BM3" s="699" t="s">
        <v>3439</v>
      </c>
      <c r="BN3" s="699" t="s">
        <v>3440</v>
      </c>
      <c r="BO3" s="699" t="s">
        <v>3441</v>
      </c>
      <c r="BP3" s="700" t="s">
        <v>3442</v>
      </c>
      <c r="BQ3" s="701" t="s">
        <v>3443</v>
      </c>
      <c r="BR3" s="690"/>
      <c r="BS3" s="690"/>
      <c r="BT3" s="690"/>
      <c r="BU3" s="678" t="s">
        <v>3482</v>
      </c>
      <c r="BV3" s="723" t="s">
        <v>3474</v>
      </c>
      <c r="BW3" s="723" t="s">
        <v>1666</v>
      </c>
      <c r="BX3" s="723" t="s">
        <v>3474</v>
      </c>
      <c r="BY3" s="723" t="s">
        <v>1666</v>
      </c>
      <c r="BZ3" s="723" t="s">
        <v>3474</v>
      </c>
      <c r="CA3" s="724" t="s">
        <v>1666</v>
      </c>
      <c r="CB3" s="690"/>
      <c r="CC3" s="690"/>
      <c r="CD3" s="690"/>
      <c r="CE3" s="387" t="s">
        <v>3483</v>
      </c>
      <c r="CF3" s="725">
        <v>2025</v>
      </c>
      <c r="CG3" s="725">
        <v>2024</v>
      </c>
      <c r="CH3" s="725">
        <v>2023</v>
      </c>
      <c r="CI3" s="725">
        <v>2022</v>
      </c>
      <c r="CJ3" s="725">
        <v>2021</v>
      </c>
      <c r="CK3" s="726">
        <v>2020</v>
      </c>
      <c r="CL3" s="398"/>
      <c r="CN3" s="727" t="s">
        <v>1648</v>
      </c>
      <c r="CO3" s="457" t="s">
        <v>3484</v>
      </c>
      <c r="CP3" s="457" t="s">
        <v>3485</v>
      </c>
      <c r="CQ3" s="457" t="s">
        <v>3484</v>
      </c>
      <c r="CR3" s="457" t="s">
        <v>3485</v>
      </c>
      <c r="CS3" s="457" t="s">
        <v>3484</v>
      </c>
      <c r="CT3" s="457" t="s">
        <v>3485</v>
      </c>
      <c r="CU3" s="457" t="s">
        <v>3484</v>
      </c>
      <c r="CV3" s="457" t="s">
        <v>3485</v>
      </c>
      <c r="CW3" s="457" t="s">
        <v>3484</v>
      </c>
      <c r="CX3" s="458" t="s">
        <v>3485</v>
      </c>
      <c r="CY3" s="690"/>
      <c r="CZ3" s="690"/>
      <c r="DA3" s="690"/>
      <c r="DB3" s="387" t="s">
        <v>1648</v>
      </c>
      <c r="DC3" s="712" t="s">
        <v>3484</v>
      </c>
      <c r="DD3" s="712" t="s">
        <v>3485</v>
      </c>
      <c r="DE3" s="457" t="s">
        <v>3484</v>
      </c>
      <c r="DF3" s="457" t="s">
        <v>3485</v>
      </c>
      <c r="DG3" s="457" t="s">
        <v>3484</v>
      </c>
      <c r="DH3" s="457" t="s">
        <v>3485</v>
      </c>
      <c r="DI3" s="457" t="s">
        <v>3484</v>
      </c>
      <c r="DJ3" s="457" t="s">
        <v>3485</v>
      </c>
      <c r="DK3" s="712" t="s">
        <v>3484</v>
      </c>
      <c r="DL3" s="713" t="s">
        <v>3485</v>
      </c>
      <c r="DQ3" s="690"/>
      <c r="DR3" s="690"/>
      <c r="DS3" s="727" t="s">
        <v>3486</v>
      </c>
      <c r="DT3" s="728" t="s">
        <v>3484</v>
      </c>
      <c r="DU3" s="728" t="s">
        <v>3485</v>
      </c>
      <c r="DV3" s="728" t="s">
        <v>3484</v>
      </c>
      <c r="DW3" s="728" t="s">
        <v>3485</v>
      </c>
      <c r="DX3" s="728" t="s">
        <v>3484</v>
      </c>
      <c r="DY3" s="728" t="s">
        <v>3485</v>
      </c>
      <c r="DZ3" s="728" t="s">
        <v>3484</v>
      </c>
      <c r="EA3" s="728" t="s">
        <v>3485</v>
      </c>
      <c r="EB3" s="728" t="s">
        <v>3484</v>
      </c>
      <c r="EC3" s="728" t="s">
        <v>3485</v>
      </c>
      <c r="ED3" s="728" t="s">
        <v>3484</v>
      </c>
      <c r="EE3" s="729" t="s">
        <v>3485</v>
      </c>
      <c r="EF3" s="385"/>
      <c r="EG3" s="690"/>
      <c r="EI3" s="730" t="s">
        <v>3487</v>
      </c>
      <c r="EJ3" s="731" t="s">
        <v>3488</v>
      </c>
      <c r="EK3" s="731" t="s">
        <v>3489</v>
      </c>
      <c r="EL3" s="732" t="s">
        <v>1711</v>
      </c>
      <c r="EM3" s="732" t="s">
        <v>1712</v>
      </c>
      <c r="EN3" s="732" t="s">
        <v>3490</v>
      </c>
      <c r="EO3" s="733" t="s">
        <v>3491</v>
      </c>
      <c r="EP3" s="703" t="s">
        <v>3492</v>
      </c>
      <c r="EQ3" s="703" t="s">
        <v>3493</v>
      </c>
      <c r="ET3" s="387" t="s">
        <v>1648</v>
      </c>
      <c r="EU3" s="725">
        <v>2025</v>
      </c>
      <c r="EV3" s="725">
        <v>2024</v>
      </c>
      <c r="EW3" s="725">
        <v>2023</v>
      </c>
      <c r="EX3" s="725">
        <v>2022</v>
      </c>
      <c r="EY3" s="726">
        <v>2021</v>
      </c>
      <c r="EZ3" s="398"/>
      <c r="FA3" s="398"/>
      <c r="FB3" s="690"/>
      <c r="FD3" s="734"/>
      <c r="FE3" s="2139" t="s">
        <v>3494</v>
      </c>
      <c r="FF3" s="2140"/>
      <c r="FG3" s="2139" t="s">
        <v>3495</v>
      </c>
      <c r="FH3" s="2140"/>
      <c r="FI3" s="2144"/>
      <c r="FJ3" s="2145"/>
      <c r="FK3" s="2139" t="s">
        <v>3496</v>
      </c>
      <c r="FL3" s="2146"/>
      <c r="FM3" s="2139"/>
      <c r="FN3" s="2140"/>
      <c r="FO3" s="736" t="s">
        <v>129</v>
      </c>
      <c r="FP3" s="690"/>
      <c r="FQ3" s="690"/>
      <c r="FR3" s="387" t="s">
        <v>3497</v>
      </c>
      <c r="FS3" s="725" t="s">
        <v>3498</v>
      </c>
      <c r="FT3" s="457">
        <v>2025</v>
      </c>
      <c r="FU3" s="457" t="s">
        <v>3499</v>
      </c>
      <c r="FV3" s="457">
        <v>2023</v>
      </c>
      <c r="FW3" s="457">
        <v>2022</v>
      </c>
      <c r="FX3" s="457">
        <v>2021</v>
      </c>
      <c r="FY3" s="458">
        <v>2020</v>
      </c>
      <c r="FZ3" s="385"/>
      <c r="GC3" s="387" t="s">
        <v>1648</v>
      </c>
      <c r="GD3" s="725">
        <v>2025</v>
      </c>
      <c r="GE3" s="725">
        <v>2024</v>
      </c>
      <c r="GF3" s="725">
        <v>2023</v>
      </c>
      <c r="GG3" s="725">
        <v>2022</v>
      </c>
      <c r="GH3" s="726">
        <v>2021</v>
      </c>
      <c r="GI3" s="398"/>
      <c r="GJ3" s="398"/>
      <c r="GL3" s="387" t="s">
        <v>1648</v>
      </c>
      <c r="GM3" s="457">
        <v>2025</v>
      </c>
      <c r="GN3" s="457">
        <v>2024</v>
      </c>
      <c r="GO3" s="457">
        <v>2023</v>
      </c>
      <c r="GP3" s="457">
        <v>2022</v>
      </c>
      <c r="GQ3" s="458">
        <v>2021</v>
      </c>
      <c r="GR3" s="385"/>
      <c r="GS3" s="571"/>
      <c r="GT3" s="690"/>
      <c r="GU3" s="398"/>
      <c r="GV3" s="688" t="s">
        <v>3438</v>
      </c>
      <c r="GW3" s="688" t="s">
        <v>3439</v>
      </c>
      <c r="GX3" s="688" t="s">
        <v>3440</v>
      </c>
      <c r="GY3" s="688" t="s">
        <v>3441</v>
      </c>
      <c r="GZ3" s="688" t="s">
        <v>3442</v>
      </c>
      <c r="HA3" s="419" t="s">
        <v>3443</v>
      </c>
      <c r="HB3" s="385"/>
      <c r="HE3" s="398"/>
      <c r="HG3" s="398"/>
      <c r="HH3" s="398"/>
      <c r="HI3" s="398"/>
      <c r="HJ3" s="398"/>
      <c r="HK3" s="398"/>
      <c r="HL3" s="398"/>
      <c r="HM3" s="398"/>
      <c r="HN3" s="398"/>
      <c r="HQ3" s="398"/>
      <c r="HR3" s="398"/>
      <c r="HS3" s="398"/>
      <c r="HT3" s="398"/>
      <c r="HU3" s="398"/>
      <c r="HV3" s="398"/>
      <c r="HW3" s="398"/>
    </row>
    <row r="4" spans="1:232" ht="14.1" customHeight="1">
      <c r="A4" s="674" t="s">
        <v>3500</v>
      </c>
      <c r="B4" s="737">
        <f>SUM(B6,B12,B18,B24,B30)</f>
        <v>32061</v>
      </c>
      <c r="C4" s="737">
        <f>SUM(C6,C12,C18,C24,C30)</f>
        <v>32649</v>
      </c>
      <c r="D4" s="737">
        <f>SUM(D6,D12,D18,D24,D30)</f>
        <v>34102</v>
      </c>
      <c r="E4" s="737">
        <f>SUM(E6,E12,E18,E24,E30)</f>
        <v>35102</v>
      </c>
      <c r="F4" s="737">
        <f>SUM(F6,F12,F18,F24,F30)</f>
        <v>35062</v>
      </c>
      <c r="G4" s="737">
        <f t="shared" ref="G4" si="0">SUM(G6,G12,G18,G30)</f>
        <v>36335</v>
      </c>
      <c r="H4" s="738"/>
      <c r="J4" s="676" t="s">
        <v>3501</v>
      </c>
      <c r="K4" s="739"/>
      <c r="L4" s="718">
        <f>SUM(L5,L33,L43)</f>
        <v>22781</v>
      </c>
      <c r="M4" s="718">
        <f>SUM(M5,M33,M43)</f>
        <v>23685</v>
      </c>
      <c r="N4" s="718">
        <f>SUM(N5,N33,N43)</f>
        <v>24982</v>
      </c>
      <c r="O4" s="718">
        <f>SUM(O5,O33,O43)</f>
        <v>25956</v>
      </c>
      <c r="P4" s="718">
        <f>SUM(P5,P33,P43)</f>
        <v>26860</v>
      </c>
      <c r="Q4" s="718"/>
      <c r="R4" s="684"/>
      <c r="S4" s="398" t="s">
        <v>3502</v>
      </c>
      <c r="T4" s="740"/>
      <c r="U4" s="741">
        <f>SUM(U5,U21,U30,U42)</f>
        <v>23413</v>
      </c>
      <c r="V4" s="741">
        <f t="shared" ref="V4:AI4" si="1">SUM(V5,V21,V30,V42)</f>
        <v>470</v>
      </c>
      <c r="W4" s="741">
        <f t="shared" si="1"/>
        <v>162</v>
      </c>
      <c r="X4" s="741">
        <f t="shared" si="1"/>
        <v>1360</v>
      </c>
      <c r="Y4" s="741">
        <f t="shared" si="1"/>
        <v>1542</v>
      </c>
      <c r="Z4" s="741">
        <f t="shared" si="1"/>
        <v>1649</v>
      </c>
      <c r="AA4" s="741">
        <f t="shared" si="1"/>
        <v>1737</v>
      </c>
      <c r="AB4" s="741">
        <f t="shared" si="1"/>
        <v>1664</v>
      </c>
      <c r="AC4" s="741">
        <f t="shared" si="1"/>
        <v>1756</v>
      </c>
      <c r="AD4" s="741">
        <f t="shared" si="1"/>
        <v>1644</v>
      </c>
      <c r="AE4" s="741">
        <f t="shared" si="1"/>
        <v>1678</v>
      </c>
      <c r="AF4" s="741">
        <f t="shared" si="1"/>
        <v>1679</v>
      </c>
      <c r="AG4" s="741">
        <f t="shared" si="1"/>
        <v>2221</v>
      </c>
      <c r="AH4" s="741">
        <f t="shared" si="1"/>
        <v>2147</v>
      </c>
      <c r="AI4" s="741">
        <f t="shared" si="1"/>
        <v>2053</v>
      </c>
      <c r="AJ4" s="741">
        <f>SUM(AJ5,AJ21,AJ30,AJ42)</f>
        <v>1651</v>
      </c>
      <c r="AK4" s="737"/>
      <c r="AL4" s="737"/>
      <c r="AN4" s="398" t="s">
        <v>3503</v>
      </c>
      <c r="AO4" s="737">
        <f t="shared" ref="AO4:AT4" si="2">SUM(AO5+AO11+AO17)</f>
        <v>32061</v>
      </c>
      <c r="AP4" s="515">
        <f t="shared" si="2"/>
        <v>32649</v>
      </c>
      <c r="AQ4" s="515">
        <f t="shared" si="2"/>
        <v>34768</v>
      </c>
      <c r="AR4" s="515">
        <f t="shared" si="2"/>
        <v>35765</v>
      </c>
      <c r="AS4" s="515">
        <f t="shared" si="2"/>
        <v>35699</v>
      </c>
      <c r="AT4" s="515">
        <f t="shared" si="2"/>
        <v>37057</v>
      </c>
      <c r="AU4" s="737"/>
      <c r="AV4" s="737"/>
      <c r="AY4" s="742" t="s">
        <v>3504</v>
      </c>
      <c r="AZ4" s="742" t="s">
        <v>3504</v>
      </c>
      <c r="BA4" s="735" t="s">
        <v>3505</v>
      </c>
      <c r="BB4" s="742" t="s">
        <v>3504</v>
      </c>
      <c r="BC4" s="742" t="s">
        <v>3504</v>
      </c>
      <c r="BD4" s="735" t="s">
        <v>3505</v>
      </c>
      <c r="BE4" s="742" t="s">
        <v>3504</v>
      </c>
      <c r="BF4" s="742" t="s">
        <v>3504</v>
      </c>
      <c r="BG4" s="735" t="s">
        <v>3505</v>
      </c>
      <c r="BH4" s="690"/>
      <c r="BI4" s="690"/>
      <c r="BJ4" s="690"/>
      <c r="BK4" s="720" t="s">
        <v>1810</v>
      </c>
      <c r="BL4" s="721">
        <v>2025</v>
      </c>
      <c r="BM4" s="721">
        <v>2024</v>
      </c>
      <c r="BN4" s="721">
        <v>2023</v>
      </c>
      <c r="BO4" s="721">
        <v>2022</v>
      </c>
      <c r="BP4" s="721">
        <v>2021</v>
      </c>
      <c r="BQ4" s="722">
        <v>2020</v>
      </c>
      <c r="BR4" s="690"/>
      <c r="BT4" s="690"/>
      <c r="BU4" s="674" t="s">
        <v>3017</v>
      </c>
      <c r="BV4" s="737">
        <f>SUM(BV5:BV15)</f>
        <v>15681</v>
      </c>
      <c r="BW4" s="743">
        <f t="shared" ref="BW4:CA4" si="3">SUM(BW5:BW15)</f>
        <v>100</v>
      </c>
      <c r="BX4" s="737">
        <f>SUM(BX5:BX15)</f>
        <v>18068</v>
      </c>
      <c r="BY4" s="743">
        <f t="shared" si="3"/>
        <v>99.999999999999986</v>
      </c>
      <c r="BZ4" s="737">
        <f>SUM(BZ5:BZ15)</f>
        <v>19346</v>
      </c>
      <c r="CA4" s="623">
        <f t="shared" si="3"/>
        <v>100.00000000000001</v>
      </c>
      <c r="CB4" s="737"/>
      <c r="CC4" s="744"/>
      <c r="CD4" s="744"/>
      <c r="CE4" s="398" t="s">
        <v>3506</v>
      </c>
      <c r="CF4" s="515">
        <f>SUM(CF5:CF6)</f>
        <v>3210</v>
      </c>
      <c r="CG4" s="463">
        <f>SUM(CG5:CG6)</f>
        <v>3368</v>
      </c>
      <c r="CH4" s="463">
        <f>SUM(CH5:CH6)</f>
        <v>3649</v>
      </c>
      <c r="CI4" s="463">
        <f t="shared" ref="CI4:CK4" si="4">SUM(CI5:CI6)</f>
        <v>3699</v>
      </c>
      <c r="CJ4" s="463">
        <f t="shared" si="4"/>
        <v>3594</v>
      </c>
      <c r="CK4" s="515">
        <f t="shared" si="4"/>
        <v>3755</v>
      </c>
      <c r="CL4" s="515"/>
      <c r="CN4" s="398" t="s">
        <v>3507</v>
      </c>
      <c r="CO4" s="515">
        <f t="shared" ref="CO4:CT4" si="5">CO6</f>
        <v>2896</v>
      </c>
      <c r="CP4" s="515">
        <f t="shared" si="5"/>
        <v>2693</v>
      </c>
      <c r="CQ4" s="515">
        <f t="shared" si="5"/>
        <v>2896</v>
      </c>
      <c r="CR4" s="515">
        <f t="shared" si="5"/>
        <v>2616</v>
      </c>
      <c r="CS4" s="515">
        <f t="shared" si="5"/>
        <v>2962</v>
      </c>
      <c r="CT4" s="515">
        <f t="shared" si="5"/>
        <v>2682</v>
      </c>
      <c r="CU4" s="515">
        <v>3105</v>
      </c>
      <c r="CV4" s="515">
        <v>2864</v>
      </c>
      <c r="CW4" s="515">
        <v>3449</v>
      </c>
      <c r="CX4" s="515">
        <v>3057</v>
      </c>
      <c r="CY4" s="515"/>
      <c r="CZ4" s="737"/>
      <c r="DA4" s="737"/>
      <c r="DB4" s="674" t="s">
        <v>3017</v>
      </c>
      <c r="DC4" s="737">
        <f t="shared" ref="DC4:DJ4" si="6">DC5+DC28+DC51</f>
        <v>2896</v>
      </c>
      <c r="DD4" s="737">
        <f t="shared" si="6"/>
        <v>2693</v>
      </c>
      <c r="DE4" s="737">
        <f t="shared" si="6"/>
        <v>2896</v>
      </c>
      <c r="DF4" s="737">
        <f t="shared" si="6"/>
        <v>2616</v>
      </c>
      <c r="DG4" s="737">
        <f t="shared" si="6"/>
        <v>2962</v>
      </c>
      <c r="DH4" s="737">
        <f t="shared" si="6"/>
        <v>2682</v>
      </c>
      <c r="DI4" s="737">
        <f t="shared" si="6"/>
        <v>3105</v>
      </c>
      <c r="DJ4" s="737">
        <f t="shared" si="6"/>
        <v>2864</v>
      </c>
      <c r="DK4" s="738">
        <f>SUM(DK5,DK28,DK51,)</f>
        <v>3449</v>
      </c>
      <c r="DL4" s="738">
        <f>SUM(DL5,DL28,DL51,)</f>
        <v>3057</v>
      </c>
      <c r="DQ4" s="737"/>
      <c r="DR4" s="737"/>
      <c r="DS4" s="398" t="s">
        <v>3507</v>
      </c>
      <c r="DT4" s="398">
        <f>SUM(DT5:DT14)</f>
        <v>430</v>
      </c>
      <c r="DU4" s="398">
        <f>SUM(DU5:DU14)</f>
        <v>392</v>
      </c>
      <c r="DV4" s="398">
        <f>SUM(DV5:DV14)</f>
        <v>522</v>
      </c>
      <c r="DW4" s="398">
        <f t="shared" ref="DW4:EA4" si="7">SUM(DW5:DW14)</f>
        <v>439</v>
      </c>
      <c r="DX4" s="398">
        <f t="shared" si="7"/>
        <v>495</v>
      </c>
      <c r="DY4" s="398">
        <f t="shared" si="7"/>
        <v>507</v>
      </c>
      <c r="DZ4" s="398">
        <f t="shared" si="7"/>
        <v>371</v>
      </c>
      <c r="EA4" s="398">
        <f t="shared" si="7"/>
        <v>375</v>
      </c>
      <c r="EB4" s="398">
        <f>SUM(EB5:EB14)</f>
        <v>426</v>
      </c>
      <c r="EC4" s="398">
        <f>SUM(EC5:EC14)</f>
        <v>340</v>
      </c>
      <c r="ED4" s="398">
        <v>456</v>
      </c>
      <c r="EE4" s="398">
        <v>419</v>
      </c>
      <c r="EF4" s="398"/>
      <c r="EI4" s="705" t="s">
        <v>3508</v>
      </c>
      <c r="EJ4" s="745">
        <f>SUM(EJ5:EJ12)</f>
        <v>2896</v>
      </c>
      <c r="EK4" s="746">
        <v>100</v>
      </c>
      <c r="EL4" s="745">
        <f t="shared" ref="EL4:EQ4" si="8">SUM(EL5:EL12)</f>
        <v>1198</v>
      </c>
      <c r="EM4" s="745">
        <f t="shared" si="8"/>
        <v>1698</v>
      </c>
      <c r="EN4" s="745">
        <f t="shared" si="8"/>
        <v>2165</v>
      </c>
      <c r="EO4" s="745">
        <f t="shared" si="8"/>
        <v>731</v>
      </c>
      <c r="EP4" s="745">
        <f t="shared" si="8"/>
        <v>2518</v>
      </c>
      <c r="EQ4" s="745">
        <f t="shared" si="8"/>
        <v>347</v>
      </c>
      <c r="ET4" s="398" t="s">
        <v>3509</v>
      </c>
      <c r="EU4" s="515">
        <f>SUM(EU5:EU6)</f>
        <v>2896</v>
      </c>
      <c r="EV4" s="515">
        <f>SUM(EV5:EV6)</f>
        <v>2896</v>
      </c>
      <c r="EW4" s="515">
        <f>SUM(EW5:EW6)</f>
        <v>2962</v>
      </c>
      <c r="EX4" s="515">
        <f>SUM(EX5:EX6)</f>
        <v>3105</v>
      </c>
      <c r="EY4" s="515">
        <f>SUM(EY5:EY6)</f>
        <v>3449</v>
      </c>
      <c r="EZ4" s="515"/>
      <c r="FA4" s="515"/>
      <c r="FB4" s="690"/>
      <c r="FC4" s="674" t="s">
        <v>3510</v>
      </c>
      <c r="FD4" s="747" t="s">
        <v>129</v>
      </c>
      <c r="FE4" s="2141" t="s">
        <v>3511</v>
      </c>
      <c r="FF4" s="2142"/>
      <c r="FG4" s="2141" t="s">
        <v>3512</v>
      </c>
      <c r="FH4" s="2142"/>
      <c r="FI4" s="2141" t="s">
        <v>3493</v>
      </c>
      <c r="FJ4" s="2142"/>
      <c r="FK4" s="2141" t="s">
        <v>3513</v>
      </c>
      <c r="FL4" s="2143"/>
      <c r="FM4" s="2141" t="s">
        <v>3514</v>
      </c>
      <c r="FN4" s="2142"/>
      <c r="FO4" s="736" t="s">
        <v>3515</v>
      </c>
      <c r="FP4" s="690"/>
      <c r="FQ4" s="690"/>
      <c r="FR4" s="398" t="s">
        <v>3516</v>
      </c>
      <c r="FS4" s="398"/>
      <c r="FT4" s="398">
        <f t="shared" ref="FT4:FY4" si="9">SUM(FT5,FT56)</f>
        <v>577</v>
      </c>
      <c r="FU4" s="398">
        <f t="shared" si="9"/>
        <v>540</v>
      </c>
      <c r="FV4" s="398">
        <f t="shared" si="9"/>
        <v>516</v>
      </c>
      <c r="FW4" s="398">
        <f t="shared" si="9"/>
        <v>571</v>
      </c>
      <c r="FX4" s="398">
        <f t="shared" si="9"/>
        <v>641</v>
      </c>
      <c r="FY4" s="398">
        <f t="shared" si="9"/>
        <v>617</v>
      </c>
      <c r="FZ4" s="398"/>
      <c r="GC4" s="398" t="s">
        <v>3517</v>
      </c>
      <c r="GD4" s="515">
        <f>SUM(GD5:GD7)</f>
        <v>1587</v>
      </c>
      <c r="GE4" s="515">
        <f>SUM(GE5:GE7)</f>
        <v>1533</v>
      </c>
      <c r="GF4" s="515">
        <f>SUM(GF5:GF7)</f>
        <v>1730</v>
      </c>
      <c r="GG4" s="515">
        <f>SUM(GG5:GG7)</f>
        <v>1690</v>
      </c>
      <c r="GH4" s="515">
        <f>SUM(GH5:GH7)</f>
        <v>1796</v>
      </c>
      <c r="GI4" s="515"/>
      <c r="GJ4" s="515"/>
      <c r="GL4" s="398" t="s">
        <v>3518</v>
      </c>
      <c r="GM4" s="515">
        <f>SUM(GM5,GM8,GM13,GM39,GM59)</f>
        <v>1587</v>
      </c>
      <c r="GN4" s="515">
        <f>SUM(GN5,GN8,GN13,GN39,GN59)</f>
        <v>1533</v>
      </c>
      <c r="GO4" s="515">
        <f>SUM(GO5,GO8,GO13,GO39,GO59)</f>
        <v>1730</v>
      </c>
      <c r="GP4" s="515">
        <f>SUM(GP5,GP8,GP13,GP39,GP59)</f>
        <v>1690</v>
      </c>
      <c r="GQ4" s="515">
        <f>SUM(GQ5,GQ8,GQ13,GQ39,GQ59)</f>
        <v>1796</v>
      </c>
      <c r="GR4" s="515"/>
      <c r="GS4" s="571"/>
      <c r="GU4" s="387" t="s">
        <v>3018</v>
      </c>
      <c r="GV4" s="457">
        <v>2025</v>
      </c>
      <c r="GW4" s="457">
        <v>2024</v>
      </c>
      <c r="GX4" s="457">
        <v>2023</v>
      </c>
      <c r="GY4" s="457">
        <v>2022</v>
      </c>
      <c r="GZ4" s="457">
        <v>2021</v>
      </c>
      <c r="HA4" s="458">
        <v>2020</v>
      </c>
      <c r="HB4" s="398"/>
      <c r="HC4" s="398"/>
      <c r="HE4" s="385"/>
      <c r="HF4" s="398"/>
      <c r="HH4" s="398"/>
      <c r="HI4" s="398"/>
      <c r="HJ4" s="398"/>
      <c r="HK4" s="398"/>
      <c r="HL4" s="398"/>
      <c r="HM4" s="398"/>
      <c r="HN4" s="398"/>
      <c r="HO4" s="398"/>
      <c r="HR4" s="398"/>
      <c r="HS4" s="398"/>
      <c r="HT4" s="398"/>
      <c r="HU4" s="398"/>
      <c r="HV4" s="398"/>
      <c r="HW4" s="398"/>
      <c r="HX4" s="398"/>
    </row>
    <row r="5" spans="1:232" ht="14.1" customHeight="1">
      <c r="H5" s="738"/>
      <c r="J5" s="676" t="s">
        <v>3519</v>
      </c>
      <c r="K5" s="748"/>
      <c r="L5" s="749">
        <f>SUM(L6:L31)</f>
        <v>9708</v>
      </c>
      <c r="M5" s="749">
        <f>SUM(M6:M31)</f>
        <v>10062</v>
      </c>
      <c r="N5" s="749">
        <f>SUM(N6:N31)</f>
        <v>10798</v>
      </c>
      <c r="O5" s="749">
        <f>SUM(O6:O31)</f>
        <v>11035</v>
      </c>
      <c r="P5" s="749">
        <f>SUM(P6:P31)</f>
        <v>11554</v>
      </c>
      <c r="Q5" s="718"/>
      <c r="S5" s="398" t="s">
        <v>3520</v>
      </c>
      <c r="T5" s="740"/>
      <c r="U5" s="738">
        <f>SUM(U6:U19)</f>
        <v>9582</v>
      </c>
      <c r="V5" s="738">
        <f>SUM(V6:V19)</f>
        <v>197</v>
      </c>
      <c r="W5" s="738">
        <f>SUM(W6:W19)</f>
        <v>35</v>
      </c>
      <c r="X5" s="738">
        <f>SUM(X6:X19)</f>
        <v>574</v>
      </c>
      <c r="Y5" s="738">
        <f t="shared" ref="Y5:AJ5" si="10">SUM(Y6:Y19)</f>
        <v>675</v>
      </c>
      <c r="Z5" s="738">
        <f t="shared" si="10"/>
        <v>707</v>
      </c>
      <c r="AA5" s="738">
        <f t="shared" si="10"/>
        <v>765</v>
      </c>
      <c r="AB5" s="738">
        <f t="shared" si="10"/>
        <v>741</v>
      </c>
      <c r="AC5" s="738">
        <f t="shared" si="10"/>
        <v>772</v>
      </c>
      <c r="AD5" s="738">
        <f>SUM(AD6:AD19)</f>
        <v>691</v>
      </c>
      <c r="AE5" s="738">
        <f t="shared" si="10"/>
        <v>762</v>
      </c>
      <c r="AF5" s="738">
        <f t="shared" si="10"/>
        <v>724</v>
      </c>
      <c r="AG5" s="738">
        <f t="shared" si="10"/>
        <v>945</v>
      </c>
      <c r="AH5" s="738">
        <f t="shared" si="10"/>
        <v>763</v>
      </c>
      <c r="AI5" s="738">
        <f t="shared" si="10"/>
        <v>700</v>
      </c>
      <c r="AJ5" s="738">
        <f t="shared" si="10"/>
        <v>531</v>
      </c>
      <c r="AN5" s="398" t="s">
        <v>3521</v>
      </c>
      <c r="AO5" s="515">
        <f>SUM(AO6:AO8)</f>
        <v>4472</v>
      </c>
      <c r="AP5" s="515">
        <f>SUM(AP6:AP8)</f>
        <v>4763</v>
      </c>
      <c r="AQ5" s="515">
        <f>SUM(AQ6:AQ8)</f>
        <v>5008</v>
      </c>
      <c r="AR5" s="463">
        <f>SUM(AR6:AR8)</f>
        <v>5012</v>
      </c>
      <c r="AS5" s="463">
        <f>SUM(AS6:AS8)</f>
        <v>4516</v>
      </c>
      <c r="AT5" s="515">
        <v>5966</v>
      </c>
      <c r="AU5" s="515"/>
      <c r="AV5" s="737"/>
      <c r="AX5" s="720" t="s">
        <v>3522</v>
      </c>
      <c r="AY5" s="750" t="s">
        <v>3523</v>
      </c>
      <c r="AZ5" s="750" t="s">
        <v>3524</v>
      </c>
      <c r="BA5" s="707" t="s">
        <v>3525</v>
      </c>
      <c r="BB5" s="750" t="s">
        <v>3523</v>
      </c>
      <c r="BC5" s="750" t="s">
        <v>3524</v>
      </c>
      <c r="BD5" s="707" t="s">
        <v>3525</v>
      </c>
      <c r="BE5" s="750" t="s">
        <v>3523</v>
      </c>
      <c r="BF5" s="750" t="s">
        <v>3524</v>
      </c>
      <c r="BG5" s="707" t="s">
        <v>3525</v>
      </c>
      <c r="BH5" s="690"/>
      <c r="BI5" s="690"/>
      <c r="BJ5" s="690"/>
      <c r="BK5" s="674" t="s">
        <v>3526</v>
      </c>
      <c r="BT5" s="744"/>
      <c r="BU5" s="398" t="s">
        <v>3527</v>
      </c>
      <c r="BV5" s="515">
        <v>122</v>
      </c>
      <c r="BW5" s="751">
        <f>BV5/$BV$4*100</f>
        <v>0.77801160640265288</v>
      </c>
      <c r="BX5" s="515">
        <v>953</v>
      </c>
      <c r="BY5" s="751">
        <f t="shared" ref="BY5:BY14" si="11">BX5/$BX$4*100</f>
        <v>5.2745184857206109</v>
      </c>
      <c r="BZ5" s="515">
        <v>1251</v>
      </c>
      <c r="CA5" s="752">
        <f>BZ5/$BZ$4*100</f>
        <v>6.4664530135428517</v>
      </c>
      <c r="CB5" s="737"/>
      <c r="CC5" s="744"/>
      <c r="CD5" s="744"/>
      <c r="CE5" s="398" t="s">
        <v>3528</v>
      </c>
      <c r="CF5" s="515">
        <v>897</v>
      </c>
      <c r="CG5" s="398">
        <v>937</v>
      </c>
      <c r="CH5" s="515">
        <v>988</v>
      </c>
      <c r="CI5" s="515">
        <v>1024</v>
      </c>
      <c r="CJ5" s="463">
        <v>988</v>
      </c>
      <c r="CK5" s="515">
        <v>1046</v>
      </c>
      <c r="CL5" s="515"/>
      <c r="CN5" s="398"/>
      <c r="CO5" s="398"/>
      <c r="CP5" s="398"/>
      <c r="CQ5" s="398"/>
      <c r="CR5" s="398"/>
      <c r="CS5" s="398"/>
      <c r="CT5" s="398"/>
      <c r="CU5" s="515"/>
      <c r="CV5" s="398"/>
      <c r="CW5" s="398"/>
      <c r="CX5" s="398"/>
      <c r="CY5" s="753"/>
      <c r="DB5" s="398" t="s">
        <v>3529</v>
      </c>
      <c r="DC5" s="515">
        <f t="shared" ref="DC5:DD5" si="12">DC6+DC17</f>
        <v>2518</v>
      </c>
      <c r="DD5" s="515">
        <f t="shared" si="12"/>
        <v>2344</v>
      </c>
      <c r="DE5" s="515">
        <f>DE6+DE17</f>
        <v>2575</v>
      </c>
      <c r="DF5" s="515">
        <f>DF6+DF17</f>
        <v>2312</v>
      </c>
      <c r="DG5" s="515">
        <f t="shared" ref="DG5:DH5" si="13">DG6+DG17</f>
        <v>2624</v>
      </c>
      <c r="DH5" s="515">
        <f t="shared" si="13"/>
        <v>2348</v>
      </c>
      <c r="DI5" s="515">
        <f>DI6+DI17</f>
        <v>2742</v>
      </c>
      <c r="DJ5" s="515">
        <f>DJ6+DJ17</f>
        <v>2530</v>
      </c>
      <c r="DK5" s="754">
        <f>SUM(DK6,DK17)</f>
        <v>3096</v>
      </c>
      <c r="DL5" s="754">
        <f>SUM(DL6,DL17)</f>
        <v>2723</v>
      </c>
      <c r="DS5" s="398" t="s">
        <v>491</v>
      </c>
      <c r="DT5" s="398">
        <v>4</v>
      </c>
      <c r="DU5" s="398">
        <v>4</v>
      </c>
      <c r="DV5" s="398">
        <v>11</v>
      </c>
      <c r="DW5" s="398">
        <v>8</v>
      </c>
      <c r="DX5" s="398">
        <v>11</v>
      </c>
      <c r="DY5" s="398">
        <v>11</v>
      </c>
      <c r="DZ5" s="398">
        <v>11</v>
      </c>
      <c r="EA5" s="398">
        <v>10</v>
      </c>
      <c r="EB5" s="398">
        <v>10</v>
      </c>
      <c r="EC5" s="398">
        <v>10</v>
      </c>
      <c r="ED5" s="705">
        <v>11</v>
      </c>
      <c r="EE5" s="705">
        <v>13</v>
      </c>
      <c r="EF5" s="705"/>
      <c r="EI5" s="705" t="s">
        <v>3530</v>
      </c>
      <c r="EJ5" s="745">
        <f>SUM(EL5:EM5)</f>
        <v>2</v>
      </c>
      <c r="EK5" s="755">
        <f>EJ5/$EJ$4*100</f>
        <v>6.9060773480662974E-2</v>
      </c>
      <c r="EL5" s="745">
        <v>2</v>
      </c>
      <c r="EM5" s="745">
        <v>0</v>
      </c>
      <c r="EN5" s="745">
        <v>2</v>
      </c>
      <c r="EO5" s="745">
        <v>0</v>
      </c>
      <c r="EP5" s="515">
        <v>2</v>
      </c>
      <c r="EQ5" s="515">
        <v>0</v>
      </c>
      <c r="ER5" s="737"/>
      <c r="ET5" s="398" t="s">
        <v>3490</v>
      </c>
      <c r="EU5" s="515">
        <v>2165</v>
      </c>
      <c r="EV5" s="515">
        <v>2052</v>
      </c>
      <c r="EW5" s="515">
        <v>2136</v>
      </c>
      <c r="EX5" s="515">
        <v>2215</v>
      </c>
      <c r="EY5" s="515">
        <v>2523</v>
      </c>
      <c r="EZ5" s="515"/>
      <c r="FA5" s="515"/>
      <c r="FB5" s="737"/>
      <c r="FC5" s="720" t="s">
        <v>3531</v>
      </c>
      <c r="FD5" s="712" t="s">
        <v>3489</v>
      </c>
      <c r="FE5" s="723" t="s">
        <v>1665</v>
      </c>
      <c r="FF5" s="723" t="s">
        <v>3532</v>
      </c>
      <c r="FG5" s="723" t="s">
        <v>1665</v>
      </c>
      <c r="FH5" s="723" t="s">
        <v>3532</v>
      </c>
      <c r="FI5" s="723" t="s">
        <v>1665</v>
      </c>
      <c r="FJ5" s="723" t="s">
        <v>3532</v>
      </c>
      <c r="FK5" s="723" t="s">
        <v>1665</v>
      </c>
      <c r="FL5" s="723" t="s">
        <v>3532</v>
      </c>
      <c r="FM5" s="723" t="s">
        <v>1665</v>
      </c>
      <c r="FN5" s="723" t="s">
        <v>3532</v>
      </c>
      <c r="FO5" s="713"/>
      <c r="FP5" s="737"/>
      <c r="FQ5" s="737"/>
      <c r="FR5" s="398" t="s">
        <v>3533</v>
      </c>
      <c r="FS5" s="398"/>
      <c r="FT5" s="398">
        <f t="shared" ref="FT5:FY5" si="14">SUM(FT9:FT54)</f>
        <v>428</v>
      </c>
      <c r="FU5" s="398">
        <f t="shared" si="14"/>
        <v>428</v>
      </c>
      <c r="FV5" s="398">
        <f t="shared" si="14"/>
        <v>395</v>
      </c>
      <c r="FW5" s="398">
        <f t="shared" si="14"/>
        <v>442</v>
      </c>
      <c r="FX5" s="398">
        <f t="shared" si="14"/>
        <v>506</v>
      </c>
      <c r="FY5" s="398">
        <f t="shared" si="14"/>
        <v>472</v>
      </c>
      <c r="FZ5" s="398"/>
      <c r="GC5" s="398" t="s">
        <v>1712</v>
      </c>
      <c r="GD5" s="398">
        <v>899</v>
      </c>
      <c r="GE5" s="515">
        <v>890</v>
      </c>
      <c r="GF5" s="515">
        <v>962</v>
      </c>
      <c r="GG5" s="515">
        <v>937</v>
      </c>
      <c r="GH5" s="515">
        <v>1025</v>
      </c>
      <c r="GI5" s="515"/>
      <c r="GJ5" s="515"/>
      <c r="GL5" s="756" t="s">
        <v>3534</v>
      </c>
      <c r="GM5" s="398">
        <v>10</v>
      </c>
      <c r="GN5" s="385">
        <v>7</v>
      </c>
      <c r="GO5" s="385">
        <v>9</v>
      </c>
      <c r="GP5" s="385">
        <v>10</v>
      </c>
      <c r="GQ5" s="515">
        <v>22</v>
      </c>
      <c r="GR5" s="757"/>
      <c r="GS5" s="571"/>
      <c r="GT5" s="737"/>
      <c r="GU5" s="398" t="s">
        <v>3535</v>
      </c>
      <c r="GV5" s="515">
        <f>SUM(GV6:GV7)</f>
        <v>1587</v>
      </c>
      <c r="GW5" s="515">
        <f t="shared" ref="GW5:HA5" si="15">SUM(GW6:GW7)</f>
        <v>1533</v>
      </c>
      <c r="GX5" s="515">
        <f t="shared" si="15"/>
        <v>1730</v>
      </c>
      <c r="GY5" s="515">
        <f t="shared" si="15"/>
        <v>1690</v>
      </c>
      <c r="GZ5" s="515">
        <f t="shared" si="15"/>
        <v>1796</v>
      </c>
      <c r="HA5" s="515">
        <f t="shared" si="15"/>
        <v>1979</v>
      </c>
      <c r="HB5" s="737"/>
      <c r="HC5" s="737"/>
      <c r="HE5" s="398"/>
      <c r="HF5" s="398"/>
      <c r="HH5" s="398"/>
      <c r="HI5" s="398"/>
      <c r="HJ5" s="398"/>
      <c r="HK5" s="398"/>
      <c r="HL5" s="398"/>
      <c r="HM5" s="398"/>
      <c r="HN5" s="398"/>
      <c r="HO5" s="398"/>
      <c r="HR5" s="398"/>
      <c r="HS5" s="398"/>
      <c r="HT5" s="398"/>
      <c r="HU5" s="398"/>
      <c r="HV5" s="398"/>
      <c r="HW5" s="398"/>
      <c r="HX5" s="398"/>
    </row>
    <row r="6" spans="1:232" ht="14.1" customHeight="1">
      <c r="A6" s="386" t="s">
        <v>3536</v>
      </c>
      <c r="B6" s="758">
        <f>SUM(B7:B9)</f>
        <v>2431</v>
      </c>
      <c r="C6" s="758">
        <f>SUM(C7:C9)</f>
        <v>2847</v>
      </c>
      <c r="D6" s="758">
        <f>SUM(D7:D9)</f>
        <v>2828</v>
      </c>
      <c r="E6" s="758">
        <f>SUM(E7:E9)</f>
        <v>2974</v>
      </c>
      <c r="F6" s="758">
        <f>SUM(F7:F9)</f>
        <v>2970</v>
      </c>
      <c r="G6" s="754">
        <v>3574</v>
      </c>
      <c r="H6" s="754"/>
      <c r="J6" s="676" t="s">
        <v>3537</v>
      </c>
      <c r="K6" s="759" t="s">
        <v>2185</v>
      </c>
      <c r="L6" s="760">
        <v>355</v>
      </c>
      <c r="M6" s="760">
        <v>369</v>
      </c>
      <c r="N6" s="760">
        <v>448</v>
      </c>
      <c r="O6" s="760">
        <v>465</v>
      </c>
      <c r="P6" s="749">
        <v>490</v>
      </c>
      <c r="Q6" s="718"/>
      <c r="S6" s="386" t="s">
        <v>3538</v>
      </c>
      <c r="T6" s="386" t="s">
        <v>2177</v>
      </c>
      <c r="U6" s="738">
        <f>SUM(V6:AJ6)</f>
        <v>376</v>
      </c>
      <c r="V6" s="737">
        <v>19</v>
      </c>
      <c r="W6" s="738">
        <v>7</v>
      </c>
      <c r="X6" s="738">
        <v>48</v>
      </c>
      <c r="Y6" s="738">
        <v>48</v>
      </c>
      <c r="Z6" s="738">
        <v>62</v>
      </c>
      <c r="AA6" s="738">
        <v>62</v>
      </c>
      <c r="AB6" s="738">
        <v>63</v>
      </c>
      <c r="AC6" s="738">
        <v>67</v>
      </c>
      <c r="AD6" s="757" t="s">
        <v>1627</v>
      </c>
      <c r="AE6" s="757" t="s">
        <v>1627</v>
      </c>
      <c r="AF6" s="757" t="s">
        <v>1627</v>
      </c>
      <c r="AG6" s="757" t="s">
        <v>1627</v>
      </c>
      <c r="AH6" s="757" t="s">
        <v>1627</v>
      </c>
      <c r="AI6" s="757" t="s">
        <v>1627</v>
      </c>
      <c r="AJ6" s="757" t="s">
        <v>1627</v>
      </c>
      <c r="AK6" s="754"/>
      <c r="AL6" s="754"/>
      <c r="AN6" s="674" t="s">
        <v>3539</v>
      </c>
      <c r="AO6" s="737">
        <v>1598</v>
      </c>
      <c r="AP6" s="515">
        <v>1907</v>
      </c>
      <c r="AQ6" s="515">
        <v>1870</v>
      </c>
      <c r="AR6" s="515">
        <v>1948</v>
      </c>
      <c r="AS6" s="463">
        <v>1784</v>
      </c>
      <c r="AT6" s="754" t="s">
        <v>1627</v>
      </c>
      <c r="AU6" s="737"/>
      <c r="AV6" s="754"/>
      <c r="AX6" s="674" t="s">
        <v>3502</v>
      </c>
      <c r="AY6" s="761">
        <f>SUM(AY7:AY9)</f>
        <v>22762</v>
      </c>
      <c r="AZ6" s="761">
        <f>SUM(AZ7:AZ9)</f>
        <v>19989</v>
      </c>
      <c r="BA6" s="744">
        <v>87.8</v>
      </c>
      <c r="BB6" s="761">
        <f>SUM(BB7:BB9)</f>
        <v>23444</v>
      </c>
      <c r="BC6" s="761">
        <v>20636</v>
      </c>
      <c r="BD6" s="744">
        <v>87.7</v>
      </c>
      <c r="BE6" s="761">
        <f>SUM(BE7:BE9)</f>
        <v>24661.699999999997</v>
      </c>
      <c r="BF6" s="761">
        <f>SUM(BF7:BF9)</f>
        <v>21837.3</v>
      </c>
      <c r="BG6" s="744">
        <v>88.6</v>
      </c>
      <c r="BH6" s="744"/>
      <c r="BI6" s="744"/>
      <c r="BJ6" s="744"/>
      <c r="BK6" s="398" t="s">
        <v>3540</v>
      </c>
      <c r="BL6" s="398">
        <v>278.7</v>
      </c>
      <c r="BM6" s="398">
        <v>260.39999999999998</v>
      </c>
      <c r="BN6" s="398">
        <v>222.7</v>
      </c>
      <c r="BO6" s="398">
        <v>229.5</v>
      </c>
      <c r="BP6" s="398">
        <v>244.5</v>
      </c>
      <c r="BQ6" s="762">
        <v>251.5</v>
      </c>
      <c r="BR6" s="398"/>
      <c r="BS6" s="744"/>
      <c r="BT6" s="744"/>
      <c r="BU6" s="674" t="s">
        <v>3541</v>
      </c>
      <c r="BV6" s="737">
        <v>1800</v>
      </c>
      <c r="BW6" s="751">
        <f t="shared" ref="BW6:BW9" si="16">BV6/$BV$4*100</f>
        <v>11.478859766596518</v>
      </c>
      <c r="BX6" s="737">
        <v>1662</v>
      </c>
      <c r="BY6" s="751">
        <f t="shared" si="11"/>
        <v>9.1985831303962797</v>
      </c>
      <c r="BZ6" s="737">
        <v>1615</v>
      </c>
      <c r="CA6" s="752">
        <f>BZ6/$BZ$4*100</f>
        <v>8.3479789103690685</v>
      </c>
      <c r="CB6" s="737"/>
      <c r="CC6" s="744"/>
      <c r="CD6" s="744"/>
      <c r="CE6" s="398" t="s">
        <v>3542</v>
      </c>
      <c r="CF6" s="515">
        <v>2313</v>
      </c>
      <c r="CG6" s="515">
        <v>2431</v>
      </c>
      <c r="CH6" s="515">
        <v>2661</v>
      </c>
      <c r="CI6" s="515">
        <v>2675</v>
      </c>
      <c r="CJ6" s="463">
        <v>2606</v>
      </c>
      <c r="CK6" s="515">
        <v>2709</v>
      </c>
      <c r="CL6" s="515"/>
      <c r="CN6" s="398" t="s">
        <v>3543</v>
      </c>
      <c r="CO6" s="515">
        <f>SUM(CO7:CO8)</f>
        <v>2896</v>
      </c>
      <c r="CP6" s="515">
        <f>SUM(CP7:CP8)</f>
        <v>2693</v>
      </c>
      <c r="CQ6" s="515">
        <f t="shared" ref="CQ6:CX6" si="17">SUM(CQ7:CQ8)</f>
        <v>2896</v>
      </c>
      <c r="CR6" s="515">
        <f t="shared" si="17"/>
        <v>2616</v>
      </c>
      <c r="CS6" s="515">
        <f t="shared" si="17"/>
        <v>2962</v>
      </c>
      <c r="CT6" s="515">
        <f t="shared" si="17"/>
        <v>2682</v>
      </c>
      <c r="CU6" s="515">
        <f t="shared" si="17"/>
        <v>3105</v>
      </c>
      <c r="CV6" s="515">
        <f t="shared" si="17"/>
        <v>2864</v>
      </c>
      <c r="CW6" s="515">
        <f t="shared" si="17"/>
        <v>3449</v>
      </c>
      <c r="CX6" s="515">
        <f t="shared" si="17"/>
        <v>3057</v>
      </c>
      <c r="CY6" s="515"/>
      <c r="CZ6" s="737"/>
      <c r="DA6" s="737"/>
      <c r="DB6" s="740" t="s">
        <v>3544</v>
      </c>
      <c r="DC6" s="738">
        <f>SUM(DC7:DC15)</f>
        <v>1094</v>
      </c>
      <c r="DD6" s="690">
        <f t="shared" ref="DD6:DF6" si="18">SUM(DD7:DD15)</f>
        <v>1014</v>
      </c>
      <c r="DE6" s="738">
        <f t="shared" si="18"/>
        <v>1082</v>
      </c>
      <c r="DF6" s="690">
        <f t="shared" si="18"/>
        <v>1001</v>
      </c>
      <c r="DG6" s="738">
        <f>SUM(DG7:DG15)</f>
        <v>1111</v>
      </c>
      <c r="DH6" s="738">
        <f t="shared" ref="DH6:DI6" si="19">SUM(DH7:DH15)</f>
        <v>998</v>
      </c>
      <c r="DI6" s="738">
        <f t="shared" si="19"/>
        <v>1154</v>
      </c>
      <c r="DJ6" s="738">
        <f>SUM(DJ7:DJ15)</f>
        <v>1054</v>
      </c>
      <c r="DK6" s="738">
        <f t="shared" ref="DK6" si="20">SUM(DK7:DK15)</f>
        <v>1282</v>
      </c>
      <c r="DL6" s="738">
        <f>SUM(DL7:DL15)</f>
        <v>1142</v>
      </c>
      <c r="DQ6" s="737"/>
      <c r="DR6" s="737"/>
      <c r="DS6" s="398" t="s">
        <v>528</v>
      </c>
      <c r="DT6" s="398">
        <v>87</v>
      </c>
      <c r="DU6" s="398">
        <v>89</v>
      </c>
      <c r="DV6" s="398">
        <v>111</v>
      </c>
      <c r="DW6" s="398">
        <v>79</v>
      </c>
      <c r="DX6" s="398">
        <v>91</v>
      </c>
      <c r="DY6" s="398">
        <v>110</v>
      </c>
      <c r="DZ6" s="398">
        <v>73</v>
      </c>
      <c r="EA6" s="398">
        <v>86</v>
      </c>
      <c r="EB6" s="398">
        <v>88</v>
      </c>
      <c r="EC6" s="398">
        <v>78</v>
      </c>
      <c r="ED6" s="705">
        <v>113</v>
      </c>
      <c r="EE6" s="705">
        <v>98</v>
      </c>
      <c r="EF6" s="705"/>
      <c r="EI6" s="705" t="s">
        <v>1693</v>
      </c>
      <c r="EJ6" s="745">
        <f>SUM(EL6:EM6)</f>
        <v>1369</v>
      </c>
      <c r="EK6" s="755">
        <f t="shared" ref="EK6:EK11" si="21">EJ6/$EJ$4*100</f>
        <v>47.27209944751381</v>
      </c>
      <c r="EL6" s="745">
        <v>585</v>
      </c>
      <c r="EM6" s="745">
        <v>784</v>
      </c>
      <c r="EN6" s="745">
        <v>1023</v>
      </c>
      <c r="EO6" s="745">
        <v>346</v>
      </c>
      <c r="EP6" s="515">
        <v>1225</v>
      </c>
      <c r="EQ6" s="515">
        <v>129</v>
      </c>
      <c r="ET6" s="398" t="s">
        <v>3491</v>
      </c>
      <c r="EU6" s="398">
        <v>731</v>
      </c>
      <c r="EV6" s="398">
        <v>844</v>
      </c>
      <c r="EW6" s="515">
        <v>826</v>
      </c>
      <c r="EX6" s="398">
        <v>890</v>
      </c>
      <c r="EY6" s="515">
        <v>926</v>
      </c>
      <c r="EZ6" s="515"/>
      <c r="FA6" s="515"/>
      <c r="FB6" s="737"/>
      <c r="FC6" s="398" t="s">
        <v>3545</v>
      </c>
      <c r="FD6" s="738">
        <v>2896</v>
      </c>
      <c r="FE6" s="738">
        <v>1321</v>
      </c>
      <c r="FF6" s="763">
        <f t="shared" ref="FF6:FF17" si="22">FE6/FD6*100</f>
        <v>45.614640883977906</v>
      </c>
      <c r="FG6" s="738">
        <v>1197</v>
      </c>
      <c r="FH6" s="763">
        <f>FG6/FD6*100</f>
        <v>41.332872928176798</v>
      </c>
      <c r="FI6" s="690">
        <v>347</v>
      </c>
      <c r="FJ6" s="763">
        <f>FI6/FD6*100</f>
        <v>11.982044198895029</v>
      </c>
      <c r="FK6" s="690">
        <v>0</v>
      </c>
      <c r="FL6" s="763">
        <f>FK6/FD6*100</f>
        <v>0</v>
      </c>
      <c r="FM6" s="690">
        <v>31</v>
      </c>
      <c r="FN6" s="763">
        <f>FM6/FD6*100</f>
        <v>1.0704419889502763</v>
      </c>
      <c r="FO6" s="738">
        <v>2982</v>
      </c>
      <c r="FP6" s="737"/>
      <c r="FQ6" s="737"/>
      <c r="FR6" s="398"/>
      <c r="FS6" s="684" t="s">
        <v>3546</v>
      </c>
      <c r="FT6" s="684"/>
      <c r="FU6" s="684"/>
      <c r="FV6" s="684"/>
      <c r="FW6" s="684"/>
      <c r="FX6" s="684"/>
      <c r="FY6" s="684"/>
      <c r="FZ6" s="684"/>
      <c r="GC6" s="398" t="s">
        <v>1711</v>
      </c>
      <c r="GD6" s="398">
        <v>684</v>
      </c>
      <c r="GE6" s="515">
        <v>638</v>
      </c>
      <c r="GF6" s="515">
        <v>753</v>
      </c>
      <c r="GG6" s="515">
        <v>746</v>
      </c>
      <c r="GH6" s="515">
        <v>765</v>
      </c>
      <c r="GI6" s="515"/>
      <c r="GJ6" s="515"/>
      <c r="GL6" s="386" t="s">
        <v>3547</v>
      </c>
      <c r="GM6" s="385">
        <v>10</v>
      </c>
      <c r="GN6" s="385">
        <v>7</v>
      </c>
      <c r="GO6" s="385">
        <v>9</v>
      </c>
      <c r="GP6" s="385">
        <v>10</v>
      </c>
      <c r="GQ6" s="515">
        <v>22</v>
      </c>
      <c r="GR6" s="757"/>
      <c r="GS6" s="571"/>
      <c r="GT6" s="737"/>
      <c r="GU6" s="398" t="s">
        <v>3548</v>
      </c>
      <c r="GV6" s="515">
        <v>693</v>
      </c>
      <c r="GW6" s="515">
        <v>621</v>
      </c>
      <c r="GX6" s="515">
        <v>727</v>
      </c>
      <c r="GY6" s="515">
        <v>710</v>
      </c>
      <c r="GZ6" s="515">
        <v>800</v>
      </c>
      <c r="HA6" s="515">
        <v>942</v>
      </c>
      <c r="HB6" s="737"/>
      <c r="HC6" s="737"/>
      <c r="HE6" s="737"/>
      <c r="HF6" s="398"/>
      <c r="HH6" s="398"/>
      <c r="HI6" s="398"/>
      <c r="HJ6" s="398"/>
      <c r="HK6" s="398"/>
      <c r="HL6" s="398"/>
      <c r="HM6" s="398"/>
      <c r="HN6" s="398"/>
      <c r="HO6" s="398"/>
      <c r="HR6" s="398"/>
      <c r="HS6" s="398"/>
      <c r="HT6" s="398"/>
      <c r="HU6" s="398"/>
      <c r="HV6" s="398"/>
      <c r="HW6" s="398"/>
      <c r="HX6" s="398"/>
    </row>
    <row r="7" spans="1:232" ht="14.1" customHeight="1">
      <c r="A7" s="740" t="s">
        <v>3549</v>
      </c>
      <c r="B7" s="690">
        <f>20+36+71+45+237+176+69+190</f>
        <v>844</v>
      </c>
      <c r="C7" s="738">
        <v>1118</v>
      </c>
      <c r="D7" s="738">
        <v>1101</v>
      </c>
      <c r="E7" s="764">
        <v>1220</v>
      </c>
      <c r="F7" s="764">
        <v>1173</v>
      </c>
      <c r="G7" s="757" t="s">
        <v>546</v>
      </c>
      <c r="H7" s="738"/>
      <c r="J7" s="676" t="s">
        <v>3550</v>
      </c>
      <c r="K7" s="759" t="s">
        <v>2251</v>
      </c>
      <c r="L7" s="690">
        <v>327</v>
      </c>
      <c r="M7" s="760">
        <v>320</v>
      </c>
      <c r="N7" s="760">
        <v>319</v>
      </c>
      <c r="O7" s="760">
        <v>333</v>
      </c>
      <c r="P7" s="749">
        <v>339</v>
      </c>
      <c r="Q7" s="718"/>
      <c r="S7" s="386" t="s">
        <v>3551</v>
      </c>
      <c r="T7" s="386" t="s">
        <v>2177</v>
      </c>
      <c r="U7" s="738">
        <f t="shared" ref="U7" si="23">SUM(V7:AJ7)</f>
        <v>419</v>
      </c>
      <c r="V7" s="757" t="s">
        <v>1627</v>
      </c>
      <c r="W7" s="757" t="s">
        <v>1627</v>
      </c>
      <c r="X7" s="757" t="s">
        <v>1627</v>
      </c>
      <c r="Y7" s="757" t="s">
        <v>1627</v>
      </c>
      <c r="Z7" s="757" t="s">
        <v>1627</v>
      </c>
      <c r="AA7" s="757" t="s">
        <v>1627</v>
      </c>
      <c r="AB7" s="757" t="s">
        <v>1627</v>
      </c>
      <c r="AC7" s="757" t="s">
        <v>1627</v>
      </c>
      <c r="AD7" s="754">
        <v>119</v>
      </c>
      <c r="AE7" s="738">
        <v>158</v>
      </c>
      <c r="AF7" s="738">
        <v>142</v>
      </c>
      <c r="AG7" s="757" t="s">
        <v>1627</v>
      </c>
      <c r="AH7" s="757" t="s">
        <v>1627</v>
      </c>
      <c r="AI7" s="757" t="s">
        <v>1627</v>
      </c>
      <c r="AJ7" s="757" t="s">
        <v>1627</v>
      </c>
      <c r="AK7" s="754"/>
      <c r="AL7" s="754"/>
      <c r="AN7" s="674" t="s">
        <v>3552</v>
      </c>
      <c r="AO7" s="737">
        <v>1069</v>
      </c>
      <c r="AP7" s="515">
        <v>1201</v>
      </c>
      <c r="AQ7" s="515">
        <v>1180</v>
      </c>
      <c r="AR7" s="515">
        <v>1180</v>
      </c>
      <c r="AS7" s="463">
        <v>1129</v>
      </c>
      <c r="AT7" s="754" t="s">
        <v>1627</v>
      </c>
      <c r="AU7" s="737"/>
      <c r="AV7" s="754"/>
      <c r="AX7" s="398" t="s">
        <v>3553</v>
      </c>
      <c r="AY7" s="761">
        <v>10054</v>
      </c>
      <c r="AZ7" s="761">
        <v>8870</v>
      </c>
      <c r="BA7" s="744">
        <v>88.2</v>
      </c>
      <c r="BB7" s="761">
        <v>10223</v>
      </c>
      <c r="BC7" s="761">
        <v>9122</v>
      </c>
      <c r="BD7" s="744">
        <v>89.2</v>
      </c>
      <c r="BE7" s="761">
        <v>10896.8</v>
      </c>
      <c r="BF7" s="761">
        <v>9645.4</v>
      </c>
      <c r="BG7" s="744">
        <v>88.5</v>
      </c>
      <c r="BH7" s="744"/>
      <c r="BI7" s="744"/>
      <c r="BJ7" s="744"/>
      <c r="BK7" s="674" t="s">
        <v>3489</v>
      </c>
      <c r="BL7" s="737">
        <v>23413</v>
      </c>
      <c r="BM7" s="737">
        <v>24322</v>
      </c>
      <c r="BN7" s="737">
        <v>24662</v>
      </c>
      <c r="BO7" s="737">
        <v>26619</v>
      </c>
      <c r="BP7" s="525">
        <v>27497</v>
      </c>
      <c r="BQ7" s="737">
        <v>28812</v>
      </c>
      <c r="BR7" s="737"/>
      <c r="BS7" s="737"/>
      <c r="BT7" s="744"/>
      <c r="BU7" s="398" t="s">
        <v>3554</v>
      </c>
      <c r="BV7" s="515">
        <v>10408</v>
      </c>
      <c r="BW7" s="751">
        <f t="shared" si="16"/>
        <v>66.373318028186972</v>
      </c>
      <c r="BX7" s="515">
        <v>10708</v>
      </c>
      <c r="BY7" s="751">
        <f t="shared" si="11"/>
        <v>59.264998893070619</v>
      </c>
      <c r="BZ7" s="515">
        <v>11546</v>
      </c>
      <c r="CA7" s="752">
        <f>BZ7/$BZ$4*100</f>
        <v>59.681587925152492</v>
      </c>
      <c r="CB7" s="737"/>
      <c r="CC7" s="744"/>
      <c r="CD7" s="744"/>
      <c r="CE7" s="398"/>
      <c r="CF7" s="398"/>
      <c r="CG7" s="398"/>
      <c r="CH7" s="398"/>
      <c r="CI7" s="398"/>
      <c r="CJ7" s="398"/>
      <c r="CK7" s="515"/>
      <c r="CL7" s="515"/>
      <c r="CN7" s="386" t="s">
        <v>3548</v>
      </c>
      <c r="CO7" s="754">
        <v>2165</v>
      </c>
      <c r="CP7" s="515">
        <v>1944</v>
      </c>
      <c r="CQ7" s="754">
        <v>2052</v>
      </c>
      <c r="CR7" s="515">
        <v>1877</v>
      </c>
      <c r="CS7" s="754">
        <v>2136</v>
      </c>
      <c r="CT7" s="515">
        <v>1913</v>
      </c>
      <c r="CU7" s="754">
        <v>2215</v>
      </c>
      <c r="CV7" s="515">
        <v>1973</v>
      </c>
      <c r="CW7" s="754">
        <v>2523</v>
      </c>
      <c r="CX7" s="515">
        <v>2134</v>
      </c>
      <c r="CY7" s="753"/>
      <c r="CZ7" s="737"/>
      <c r="DA7" s="737"/>
      <c r="DB7" s="740" t="s">
        <v>3555</v>
      </c>
      <c r="DC7" s="690">
        <v>128</v>
      </c>
      <c r="DD7" s="690">
        <v>7</v>
      </c>
      <c r="DE7" s="690">
        <v>168</v>
      </c>
      <c r="DF7" s="690">
        <v>97</v>
      </c>
      <c r="DG7" s="690">
        <v>143</v>
      </c>
      <c r="DH7" s="690">
        <v>3</v>
      </c>
      <c r="DI7" s="737">
        <v>128</v>
      </c>
      <c r="DJ7" s="737">
        <v>4</v>
      </c>
      <c r="DK7" s="737">
        <v>152</v>
      </c>
      <c r="DL7" s="737">
        <v>3</v>
      </c>
      <c r="DQ7" s="737"/>
      <c r="DR7" s="737"/>
      <c r="DS7" s="398" t="s">
        <v>3020</v>
      </c>
      <c r="DT7" s="398">
        <v>75</v>
      </c>
      <c r="DU7" s="398">
        <v>74</v>
      </c>
      <c r="DV7" s="398">
        <v>59</v>
      </c>
      <c r="DW7" s="398">
        <v>53</v>
      </c>
      <c r="DX7" s="398">
        <v>69</v>
      </c>
      <c r="DY7" s="398">
        <v>59</v>
      </c>
      <c r="DZ7" s="398">
        <v>73</v>
      </c>
      <c r="EA7" s="398">
        <v>62</v>
      </c>
      <c r="EB7" s="398">
        <v>85</v>
      </c>
      <c r="EC7" s="398">
        <v>67</v>
      </c>
      <c r="ED7" s="705">
        <v>88</v>
      </c>
      <c r="EE7" s="705">
        <v>86</v>
      </c>
      <c r="EF7" s="705"/>
      <c r="EI7" s="705" t="s">
        <v>1701</v>
      </c>
      <c r="EJ7" s="745">
        <f>SUM(EL7:EM7)</f>
        <v>11</v>
      </c>
      <c r="EK7" s="755">
        <f t="shared" si="21"/>
        <v>0.37983425414364641</v>
      </c>
      <c r="EL7" s="745">
        <v>4</v>
      </c>
      <c r="EM7" s="745">
        <v>7</v>
      </c>
      <c r="EN7" s="745">
        <v>9</v>
      </c>
      <c r="EO7" s="745">
        <v>2</v>
      </c>
      <c r="EP7" s="515">
        <v>9</v>
      </c>
      <c r="EQ7" s="515">
        <v>2</v>
      </c>
      <c r="ET7" s="398"/>
      <c r="EU7" s="398"/>
      <c r="EV7" s="398"/>
      <c r="EW7" s="398"/>
      <c r="EX7" s="398"/>
      <c r="EY7" s="398"/>
      <c r="EZ7" s="515"/>
      <c r="FA7" s="515"/>
      <c r="FB7" s="737"/>
      <c r="FC7" s="398" t="s">
        <v>3556</v>
      </c>
      <c r="FD7" s="738">
        <v>2896</v>
      </c>
      <c r="FE7" s="738">
        <v>1375</v>
      </c>
      <c r="FF7" s="765">
        <f t="shared" si="22"/>
        <v>47.479281767955797</v>
      </c>
      <c r="FG7" s="738">
        <v>1198</v>
      </c>
      <c r="FH7" s="765">
        <f>FG7/FD7*100</f>
        <v>41.367403314917127</v>
      </c>
      <c r="FI7" s="690">
        <v>279</v>
      </c>
      <c r="FJ7" s="765">
        <f>FI7/FD7*100</f>
        <v>9.6339779005524857</v>
      </c>
      <c r="FK7" s="690">
        <v>0</v>
      </c>
      <c r="FL7" s="765">
        <v>0</v>
      </c>
      <c r="FM7" s="690">
        <v>44</v>
      </c>
      <c r="FN7" s="765">
        <f t="shared" ref="FN7:FN12" si="24">FM7/FD7*100</f>
        <v>1.5193370165745856</v>
      </c>
      <c r="FO7" s="738">
        <v>2891</v>
      </c>
      <c r="FP7" s="737"/>
      <c r="FQ7" s="737"/>
      <c r="FR7" s="398"/>
      <c r="FS7" s="398" t="s">
        <v>3557</v>
      </c>
      <c r="FT7" s="519" t="s">
        <v>546</v>
      </c>
      <c r="FU7" s="519" t="s">
        <v>546</v>
      </c>
      <c r="FV7" s="519" t="s">
        <v>546</v>
      </c>
      <c r="FW7" s="519" t="s">
        <v>546</v>
      </c>
      <c r="FX7" s="519" t="s">
        <v>546</v>
      </c>
      <c r="FY7" s="519" t="s">
        <v>546</v>
      </c>
      <c r="FZ7" s="519"/>
      <c r="GC7" s="387" t="s">
        <v>3558</v>
      </c>
      <c r="GD7" s="387">
        <v>4</v>
      </c>
      <c r="GE7" s="766">
        <v>5</v>
      </c>
      <c r="GF7" s="766">
        <v>15</v>
      </c>
      <c r="GG7" s="766">
        <v>7</v>
      </c>
      <c r="GH7" s="766">
        <v>6</v>
      </c>
      <c r="GI7" s="515"/>
      <c r="GJ7" s="515"/>
      <c r="GL7" s="398"/>
      <c r="GM7" s="398"/>
      <c r="GN7" s="398"/>
      <c r="GO7" s="398"/>
      <c r="GP7" s="398"/>
      <c r="GQ7" s="515"/>
      <c r="GR7" s="515"/>
      <c r="GS7" s="571"/>
      <c r="GU7" s="398" t="s">
        <v>3559</v>
      </c>
      <c r="GV7" s="515">
        <v>894</v>
      </c>
      <c r="GW7" s="515">
        <v>912</v>
      </c>
      <c r="GX7" s="515">
        <v>1003</v>
      </c>
      <c r="GY7" s="515">
        <v>980</v>
      </c>
      <c r="GZ7" s="515">
        <v>996</v>
      </c>
      <c r="HA7" s="515">
        <v>1037</v>
      </c>
      <c r="HB7" s="737"/>
      <c r="HC7" s="737"/>
      <c r="HE7" s="737"/>
      <c r="HF7" s="398"/>
      <c r="HH7" s="398"/>
      <c r="HI7" s="398"/>
      <c r="HJ7" s="398"/>
      <c r="HK7" s="398"/>
      <c r="HL7" s="398"/>
      <c r="HM7" s="398"/>
      <c r="HN7" s="398"/>
      <c r="HO7" s="398"/>
      <c r="HR7" s="398"/>
      <c r="HS7" s="398"/>
      <c r="HT7" s="398"/>
      <c r="HU7" s="398"/>
      <c r="HV7" s="398"/>
      <c r="HW7" s="398"/>
      <c r="HX7" s="398"/>
    </row>
    <row r="8" spans="1:232" ht="14.1" customHeight="1">
      <c r="A8" s="740" t="s">
        <v>3560</v>
      </c>
      <c r="B8" s="690">
        <v>580</v>
      </c>
      <c r="C8" s="738">
        <v>712</v>
      </c>
      <c r="D8" s="738">
        <v>706</v>
      </c>
      <c r="E8" s="764">
        <v>711</v>
      </c>
      <c r="F8" s="764">
        <v>754</v>
      </c>
      <c r="G8" s="757" t="s">
        <v>546</v>
      </c>
      <c r="H8" s="738"/>
      <c r="J8" s="767" t="s">
        <v>3538</v>
      </c>
      <c r="K8" s="767" t="s">
        <v>2177</v>
      </c>
      <c r="L8" s="760">
        <v>350</v>
      </c>
      <c r="M8" s="768">
        <v>333</v>
      </c>
      <c r="N8" s="768">
        <v>394</v>
      </c>
      <c r="O8" s="768">
        <v>402</v>
      </c>
      <c r="P8" s="769">
        <v>444</v>
      </c>
      <c r="Q8" s="770"/>
      <c r="S8" s="386" t="s">
        <v>3561</v>
      </c>
      <c r="T8" s="386" t="s">
        <v>2177</v>
      </c>
      <c r="U8" s="738">
        <f>SUM(V8:AJ8)</f>
        <v>802</v>
      </c>
      <c r="V8" s="757">
        <v>19</v>
      </c>
      <c r="W8" s="757">
        <v>15</v>
      </c>
      <c r="X8" s="757">
        <v>97</v>
      </c>
      <c r="Y8" s="757">
        <v>110</v>
      </c>
      <c r="Z8" s="757">
        <v>146</v>
      </c>
      <c r="AA8" s="757">
        <v>138</v>
      </c>
      <c r="AB8" s="757">
        <v>153</v>
      </c>
      <c r="AC8" s="757">
        <v>124</v>
      </c>
      <c r="AD8" s="757" t="s">
        <v>1627</v>
      </c>
      <c r="AE8" s="757" t="s">
        <v>1627</v>
      </c>
      <c r="AF8" s="757" t="s">
        <v>1627</v>
      </c>
      <c r="AG8" s="757" t="s">
        <v>1627</v>
      </c>
      <c r="AH8" s="757" t="s">
        <v>1627</v>
      </c>
      <c r="AI8" s="757" t="s">
        <v>1627</v>
      </c>
      <c r="AJ8" s="757" t="s">
        <v>1627</v>
      </c>
      <c r="AK8" s="754"/>
      <c r="AL8" s="754"/>
      <c r="AN8" s="674" t="s">
        <v>3562</v>
      </c>
      <c r="AO8" s="737">
        <v>1805</v>
      </c>
      <c r="AP8" s="515">
        <v>1655</v>
      </c>
      <c r="AQ8" s="515">
        <v>1958</v>
      </c>
      <c r="AR8" s="515">
        <v>1884</v>
      </c>
      <c r="AS8" s="463">
        <v>1603</v>
      </c>
      <c r="AT8" s="754" t="s">
        <v>1627</v>
      </c>
      <c r="AU8" s="737"/>
      <c r="AV8" s="754"/>
      <c r="AX8" s="398" t="s">
        <v>3563</v>
      </c>
      <c r="AY8" s="761">
        <v>4961</v>
      </c>
      <c r="AZ8" s="761">
        <v>4408</v>
      </c>
      <c r="BA8" s="771">
        <v>88.8</v>
      </c>
      <c r="BB8" s="761">
        <v>5094</v>
      </c>
      <c r="BC8" s="761">
        <v>4393</v>
      </c>
      <c r="BD8" s="771">
        <v>86.2</v>
      </c>
      <c r="BE8" s="761">
        <v>5381.6</v>
      </c>
      <c r="BF8" s="761">
        <v>4806</v>
      </c>
      <c r="BG8" s="771">
        <v>89.3</v>
      </c>
      <c r="BH8" s="771"/>
      <c r="BI8" s="744"/>
      <c r="BJ8" s="744"/>
      <c r="BK8" s="674" t="s">
        <v>3564</v>
      </c>
      <c r="BQ8" s="737"/>
      <c r="BS8" s="737"/>
      <c r="BT8" s="744"/>
      <c r="BU8" s="674" t="s">
        <v>3565</v>
      </c>
      <c r="BV8" s="737">
        <v>470</v>
      </c>
      <c r="BW8" s="751">
        <f t="shared" si="16"/>
        <v>2.997257827944646</v>
      </c>
      <c r="BX8" s="737">
        <v>475</v>
      </c>
      <c r="BY8" s="751">
        <f t="shared" si="11"/>
        <v>2.6289572725260126</v>
      </c>
      <c r="BZ8" s="737">
        <v>516</v>
      </c>
      <c r="CA8" s="752">
        <f>BZ8/$BZ$4*100</f>
        <v>2.6672180295668353</v>
      </c>
      <c r="CB8" s="754"/>
      <c r="CC8" s="772"/>
      <c r="CD8" s="744"/>
      <c r="CE8" s="398" t="s">
        <v>3566</v>
      </c>
      <c r="CF8" s="515">
        <f>SUM(CF9:CF15)</f>
        <v>3210</v>
      </c>
      <c r="CG8" s="515">
        <f>SUM(CG9:CG15)</f>
        <v>3368</v>
      </c>
      <c r="CH8" s="515">
        <f>SUM(CH9:CH15)</f>
        <v>3649</v>
      </c>
      <c r="CI8" s="463">
        <f t="shared" ref="CI8:CK8" si="25">SUM(CI9:CI15)</f>
        <v>3699</v>
      </c>
      <c r="CJ8" s="463">
        <f t="shared" si="25"/>
        <v>3594</v>
      </c>
      <c r="CK8" s="515">
        <f t="shared" si="25"/>
        <v>3755</v>
      </c>
      <c r="CL8" s="515"/>
      <c r="CN8" s="386" t="s">
        <v>3559</v>
      </c>
      <c r="CO8" s="754">
        <v>731</v>
      </c>
      <c r="CP8" s="515">
        <v>749</v>
      </c>
      <c r="CQ8" s="754">
        <v>844</v>
      </c>
      <c r="CR8" s="515">
        <v>739</v>
      </c>
      <c r="CS8" s="754">
        <v>826</v>
      </c>
      <c r="CT8" s="515">
        <v>769</v>
      </c>
      <c r="CU8" s="754">
        <v>890</v>
      </c>
      <c r="CV8" s="515">
        <v>891</v>
      </c>
      <c r="CW8" s="754">
        <v>926</v>
      </c>
      <c r="CX8" s="515">
        <v>923</v>
      </c>
      <c r="CY8" s="753"/>
      <c r="CZ8" s="737"/>
      <c r="DA8" s="737"/>
      <c r="DB8" s="740" t="s">
        <v>3567</v>
      </c>
      <c r="DC8" s="690">
        <v>459</v>
      </c>
      <c r="DD8" s="690">
        <v>425</v>
      </c>
      <c r="DE8" s="690">
        <v>466</v>
      </c>
      <c r="DF8" s="690">
        <v>462</v>
      </c>
      <c r="DG8" s="690">
        <v>461</v>
      </c>
      <c r="DH8" s="690">
        <v>447</v>
      </c>
      <c r="DI8" s="737">
        <v>467</v>
      </c>
      <c r="DJ8" s="737">
        <v>424</v>
      </c>
      <c r="DK8" s="737">
        <v>514</v>
      </c>
      <c r="DL8" s="737">
        <v>453</v>
      </c>
      <c r="DQ8" s="737"/>
      <c r="DR8" s="737"/>
      <c r="DS8" s="398" t="s">
        <v>3568</v>
      </c>
      <c r="DT8" s="398">
        <v>8</v>
      </c>
      <c r="DU8" s="398">
        <v>6</v>
      </c>
      <c r="DV8" s="398">
        <v>4</v>
      </c>
      <c r="DW8" s="398">
        <v>1</v>
      </c>
      <c r="DX8" s="398">
        <v>2</v>
      </c>
      <c r="DY8" s="398">
        <v>3</v>
      </c>
      <c r="DZ8" s="398">
        <v>0</v>
      </c>
      <c r="EA8" s="398">
        <v>2</v>
      </c>
      <c r="EB8" s="398">
        <v>2</v>
      </c>
      <c r="EC8" s="398">
        <v>3</v>
      </c>
      <c r="ED8" s="705">
        <v>3</v>
      </c>
      <c r="EE8" s="705">
        <v>3</v>
      </c>
      <c r="EF8" s="705"/>
      <c r="EI8" s="705" t="s">
        <v>3569</v>
      </c>
      <c r="EJ8" s="745">
        <f>SUM(EL8:EM8)</f>
        <v>1255</v>
      </c>
      <c r="EK8" s="755">
        <f t="shared" si="21"/>
        <v>43.335635359116019</v>
      </c>
      <c r="EL8" s="745">
        <v>489</v>
      </c>
      <c r="EM8" s="745">
        <v>766</v>
      </c>
      <c r="EN8" s="745">
        <v>950</v>
      </c>
      <c r="EO8" s="745">
        <v>305</v>
      </c>
      <c r="EP8" s="515">
        <v>1076</v>
      </c>
      <c r="EQ8" s="515">
        <v>170</v>
      </c>
      <c r="ET8" s="398" t="s">
        <v>1711</v>
      </c>
      <c r="EU8" s="515">
        <v>1198</v>
      </c>
      <c r="EV8" s="515">
        <v>1186</v>
      </c>
      <c r="EW8" s="515">
        <v>1235</v>
      </c>
      <c r="EX8" s="515">
        <v>1282</v>
      </c>
      <c r="EY8" s="515">
        <v>1396</v>
      </c>
      <c r="EZ8" s="515"/>
      <c r="FA8" s="515"/>
      <c r="FC8" s="398" t="s">
        <v>3570</v>
      </c>
      <c r="FD8" s="738">
        <v>2962</v>
      </c>
      <c r="FE8" s="738">
        <v>1402</v>
      </c>
      <c r="FF8" s="765">
        <f t="shared" si="22"/>
        <v>47.332883187035783</v>
      </c>
      <c r="FG8" s="738">
        <v>1222</v>
      </c>
      <c r="FH8" s="765">
        <f t="shared" ref="FH8:FH12" si="26">FG8/FD8*100</f>
        <v>41.255908170155301</v>
      </c>
      <c r="FI8" s="690">
        <v>293</v>
      </c>
      <c r="FJ8" s="765">
        <f t="shared" ref="FJ8:FJ12" si="27">FI8/FD8*100</f>
        <v>9.8919648885887916</v>
      </c>
      <c r="FK8" s="690">
        <v>0</v>
      </c>
      <c r="FL8" s="765">
        <v>0</v>
      </c>
      <c r="FM8" s="690">
        <v>45</v>
      </c>
      <c r="FN8" s="765">
        <f t="shared" si="24"/>
        <v>1.5192437542201216</v>
      </c>
      <c r="FO8" s="738">
        <v>2954</v>
      </c>
      <c r="FR8" s="398"/>
      <c r="FS8" s="684" t="s">
        <v>3571</v>
      </c>
      <c r="FT8" s="398">
        <f t="shared" ref="FT8:FY8" si="28">SUM(FT9:FT37,FT40:FT54)</f>
        <v>428</v>
      </c>
      <c r="FU8" s="398">
        <f t="shared" si="28"/>
        <v>428</v>
      </c>
      <c r="FV8" s="398">
        <f t="shared" si="28"/>
        <v>395</v>
      </c>
      <c r="FW8" s="398">
        <f t="shared" si="28"/>
        <v>442</v>
      </c>
      <c r="FX8" s="398">
        <f t="shared" si="28"/>
        <v>506</v>
      </c>
      <c r="FY8" s="398">
        <f t="shared" si="28"/>
        <v>472</v>
      </c>
      <c r="FZ8" s="398"/>
      <c r="GC8" s="386" t="s">
        <v>3572</v>
      </c>
      <c r="GD8" s="386"/>
      <c r="GE8" s="386"/>
      <c r="GF8" s="386"/>
      <c r="GG8" s="386"/>
      <c r="GH8" s="386"/>
      <c r="GI8" s="386"/>
      <c r="GJ8" s="398"/>
      <c r="GL8" s="684" t="s">
        <v>3573</v>
      </c>
      <c r="GM8" s="398">
        <f>SUM(GM9:GM11)</f>
        <v>198</v>
      </c>
      <c r="GN8" s="398">
        <f>SUM(GN9:GN11)</f>
        <v>232</v>
      </c>
      <c r="GO8" s="398">
        <f>SUM(GO9:GO11)</f>
        <v>242</v>
      </c>
      <c r="GP8" s="398">
        <f>SUM(GP9:GP11)</f>
        <v>224</v>
      </c>
      <c r="GQ8" s="398">
        <f>SUM(GQ9:GQ11)</f>
        <v>214</v>
      </c>
      <c r="GR8" s="398"/>
      <c r="GS8" s="571"/>
      <c r="GU8" s="386"/>
      <c r="GV8" s="386"/>
      <c r="GW8" s="386"/>
      <c r="GX8" s="386"/>
      <c r="GY8" s="386"/>
      <c r="GZ8" s="386"/>
      <c r="HA8" s="773"/>
      <c r="HE8" s="737"/>
      <c r="HF8" s="398"/>
      <c r="HH8" s="398"/>
      <c r="HI8" s="398"/>
      <c r="HJ8" s="398"/>
      <c r="HK8" s="398"/>
      <c r="HL8" s="398"/>
      <c r="HM8" s="398"/>
      <c r="HN8" s="398"/>
      <c r="HO8" s="398"/>
      <c r="HR8" s="398"/>
      <c r="HS8" s="398"/>
      <c r="HT8" s="398"/>
      <c r="HU8" s="398"/>
      <c r="HV8" s="398"/>
      <c r="HW8" s="398"/>
      <c r="HX8" s="398"/>
    </row>
    <row r="9" spans="1:232" ht="14.1" customHeight="1">
      <c r="A9" s="740" t="s">
        <v>3574</v>
      </c>
      <c r="B9" s="738">
        <v>1007</v>
      </c>
      <c r="C9" s="738">
        <v>1017</v>
      </c>
      <c r="D9" s="738">
        <v>1021</v>
      </c>
      <c r="E9" s="764">
        <v>1043</v>
      </c>
      <c r="F9" s="764">
        <v>1043</v>
      </c>
      <c r="G9" s="757" t="s">
        <v>546</v>
      </c>
      <c r="H9" s="738"/>
      <c r="J9" s="676" t="s">
        <v>3575</v>
      </c>
      <c r="K9" s="759" t="s">
        <v>2253</v>
      </c>
      <c r="L9" s="760">
        <v>360</v>
      </c>
      <c r="M9" s="760">
        <v>377</v>
      </c>
      <c r="N9" s="760">
        <v>371</v>
      </c>
      <c r="O9" s="760">
        <v>388</v>
      </c>
      <c r="P9" s="749">
        <v>363</v>
      </c>
      <c r="Q9" s="718"/>
      <c r="S9" s="386" t="s">
        <v>3576</v>
      </c>
      <c r="T9" s="386" t="s">
        <v>2177</v>
      </c>
      <c r="U9" s="738">
        <f t="shared" ref="U9:U19" si="29">SUM(V9:AJ9)</f>
        <v>379</v>
      </c>
      <c r="V9" s="737">
        <v>19</v>
      </c>
      <c r="W9" s="738">
        <v>0</v>
      </c>
      <c r="X9" s="738">
        <v>58</v>
      </c>
      <c r="Y9" s="738">
        <v>58</v>
      </c>
      <c r="Z9" s="738">
        <v>66</v>
      </c>
      <c r="AA9" s="738">
        <v>60</v>
      </c>
      <c r="AB9" s="738">
        <v>56</v>
      </c>
      <c r="AC9" s="738">
        <v>62</v>
      </c>
      <c r="AD9" s="757" t="s">
        <v>1627</v>
      </c>
      <c r="AE9" s="757" t="s">
        <v>1627</v>
      </c>
      <c r="AF9" s="757" t="s">
        <v>1627</v>
      </c>
      <c r="AG9" s="757" t="s">
        <v>1627</v>
      </c>
      <c r="AH9" s="757" t="s">
        <v>1627</v>
      </c>
      <c r="AI9" s="757" t="s">
        <v>1627</v>
      </c>
      <c r="AJ9" s="757" t="s">
        <v>1627</v>
      </c>
      <c r="AK9" s="754"/>
      <c r="AL9" s="754"/>
      <c r="AN9" s="674" t="s">
        <v>3577</v>
      </c>
      <c r="AO9" s="674">
        <v>413</v>
      </c>
      <c r="AP9" s="398">
        <v>391</v>
      </c>
      <c r="AQ9" s="398">
        <v>406</v>
      </c>
      <c r="AR9" s="515">
        <v>429</v>
      </c>
      <c r="AS9" s="463">
        <v>410</v>
      </c>
      <c r="AT9" s="754" t="s">
        <v>1627</v>
      </c>
      <c r="AU9" s="737"/>
      <c r="AV9" s="754"/>
      <c r="AX9" s="387" t="s">
        <v>3578</v>
      </c>
      <c r="AY9" s="774">
        <v>7747</v>
      </c>
      <c r="AZ9" s="774">
        <v>6711</v>
      </c>
      <c r="BA9" s="775">
        <v>86.6</v>
      </c>
      <c r="BB9" s="774">
        <v>8127</v>
      </c>
      <c r="BC9" s="774">
        <v>7120</v>
      </c>
      <c r="BD9" s="775">
        <v>87.6</v>
      </c>
      <c r="BE9" s="774">
        <v>8383.2999999999993</v>
      </c>
      <c r="BF9" s="774">
        <v>7385.9</v>
      </c>
      <c r="BG9" s="775">
        <v>88.1</v>
      </c>
      <c r="BH9" s="744"/>
      <c r="BI9" s="744"/>
      <c r="BJ9" s="744"/>
      <c r="BK9" s="387" t="s">
        <v>3579</v>
      </c>
      <c r="BL9" s="766">
        <v>11905</v>
      </c>
      <c r="BM9" s="766">
        <v>10705</v>
      </c>
      <c r="BN9" s="766">
        <v>9029</v>
      </c>
      <c r="BO9" s="766">
        <v>8620</v>
      </c>
      <c r="BP9" s="497">
        <v>8892</v>
      </c>
      <c r="BQ9" s="766">
        <v>8728</v>
      </c>
      <c r="BR9" s="515"/>
      <c r="BS9" s="737"/>
      <c r="BU9" s="398" t="s">
        <v>3580</v>
      </c>
      <c r="BV9" s="515">
        <v>709</v>
      </c>
      <c r="BW9" s="751">
        <f t="shared" si="16"/>
        <v>4.5213953191760723</v>
      </c>
      <c r="BX9" s="515">
        <v>1176</v>
      </c>
      <c r="BY9" s="751">
        <f t="shared" si="11"/>
        <v>6.5087447420854554</v>
      </c>
      <c r="BZ9" s="515">
        <v>1274</v>
      </c>
      <c r="CA9" s="751">
        <f t="shared" ref="CA9:CA15" si="30">BZ9/$BZ$4*100</f>
        <v>6.5853406388917612</v>
      </c>
      <c r="CB9" s="737"/>
      <c r="CC9" s="744"/>
      <c r="CD9" s="744"/>
      <c r="CE9" s="398" t="s">
        <v>3581</v>
      </c>
      <c r="CF9" s="515">
        <v>111</v>
      </c>
      <c r="CG9" s="515">
        <v>131</v>
      </c>
      <c r="CH9" s="515">
        <v>230</v>
      </c>
      <c r="CI9" s="398">
        <v>238</v>
      </c>
      <c r="CJ9" s="463">
        <v>211</v>
      </c>
      <c r="CK9" s="515">
        <v>202</v>
      </c>
      <c r="CL9" s="515"/>
      <c r="CN9" s="398"/>
      <c r="CO9" s="398"/>
      <c r="CP9" s="398"/>
      <c r="CQ9" s="398"/>
      <c r="CR9" s="398"/>
      <c r="CS9" s="398"/>
      <c r="CT9" s="398"/>
      <c r="CU9" s="398"/>
      <c r="CV9" s="398"/>
      <c r="CW9" s="398"/>
      <c r="CX9" s="398"/>
      <c r="CY9" s="753"/>
      <c r="DB9" s="740" t="s">
        <v>3582</v>
      </c>
      <c r="DC9" s="690">
        <v>330</v>
      </c>
      <c r="DD9" s="690">
        <v>390</v>
      </c>
      <c r="DE9" s="690">
        <v>282</v>
      </c>
      <c r="DF9" s="690">
        <v>286</v>
      </c>
      <c r="DG9" s="690">
        <v>334</v>
      </c>
      <c r="DH9" s="690">
        <v>377</v>
      </c>
      <c r="DI9" s="737">
        <v>366</v>
      </c>
      <c r="DJ9" s="737">
        <v>411</v>
      </c>
      <c r="DK9" s="737">
        <v>411</v>
      </c>
      <c r="DL9" s="737">
        <v>456</v>
      </c>
      <c r="DQ9" s="737"/>
      <c r="DR9" s="737"/>
      <c r="DS9" s="398" t="s">
        <v>3583</v>
      </c>
      <c r="DT9" s="398">
        <v>76</v>
      </c>
      <c r="DU9" s="398">
        <v>64</v>
      </c>
      <c r="DV9" s="398">
        <v>148</v>
      </c>
      <c r="DW9" s="398">
        <v>138</v>
      </c>
      <c r="DX9" s="398">
        <v>130</v>
      </c>
      <c r="DY9" s="398">
        <v>139</v>
      </c>
      <c r="DZ9" s="398">
        <v>34</v>
      </c>
      <c r="EA9" s="398">
        <v>48</v>
      </c>
      <c r="EB9" s="398">
        <v>71</v>
      </c>
      <c r="EC9" s="398">
        <v>42</v>
      </c>
      <c r="ED9" s="705">
        <v>54</v>
      </c>
      <c r="EE9" s="705">
        <v>54</v>
      </c>
      <c r="EF9" s="705"/>
      <c r="EI9" s="705" t="s">
        <v>2661</v>
      </c>
      <c r="EJ9" s="745">
        <f t="shared" ref="EJ9" si="31">SUM(EL9:EM9)</f>
        <v>25</v>
      </c>
      <c r="EK9" s="755">
        <f t="shared" si="21"/>
        <v>0.86325966850828739</v>
      </c>
      <c r="EL9" s="745">
        <v>18</v>
      </c>
      <c r="EM9" s="745">
        <v>7</v>
      </c>
      <c r="EN9" s="745">
        <v>15</v>
      </c>
      <c r="EO9" s="745">
        <v>10</v>
      </c>
      <c r="EP9" s="515">
        <v>21</v>
      </c>
      <c r="EQ9" s="515">
        <v>3</v>
      </c>
      <c r="ET9" s="398" t="s">
        <v>1712</v>
      </c>
      <c r="EU9" s="515">
        <v>1698</v>
      </c>
      <c r="EV9" s="515">
        <v>1710</v>
      </c>
      <c r="EW9" s="515">
        <v>1727</v>
      </c>
      <c r="EX9" s="515">
        <v>1823</v>
      </c>
      <c r="EY9" s="515">
        <v>2053</v>
      </c>
      <c r="EZ9" s="515"/>
      <c r="FA9" s="515"/>
      <c r="FB9" s="690"/>
      <c r="FC9" s="398" t="s">
        <v>3584</v>
      </c>
      <c r="FD9" s="738">
        <v>3105</v>
      </c>
      <c r="FE9" s="738">
        <v>1427</v>
      </c>
      <c r="FF9" s="765">
        <f t="shared" si="22"/>
        <v>45.958132045088568</v>
      </c>
      <c r="FG9" s="738">
        <v>1315</v>
      </c>
      <c r="FH9" s="765">
        <f t="shared" si="26"/>
        <v>42.351046698872786</v>
      </c>
      <c r="FI9" s="690">
        <v>338</v>
      </c>
      <c r="FJ9" s="765">
        <f t="shared" si="27"/>
        <v>10.885668276972625</v>
      </c>
      <c r="FK9" s="690">
        <v>0</v>
      </c>
      <c r="FL9" s="765">
        <v>0</v>
      </c>
      <c r="FM9" s="690">
        <v>25</v>
      </c>
      <c r="FN9" s="765">
        <f t="shared" si="24"/>
        <v>0.80515297906602246</v>
      </c>
      <c r="FO9" s="738">
        <v>3094</v>
      </c>
      <c r="FP9" s="690"/>
      <c r="FQ9" s="690"/>
      <c r="FR9" s="398"/>
      <c r="FS9" s="398" t="s">
        <v>3585</v>
      </c>
      <c r="FT9" s="398">
        <v>22</v>
      </c>
      <c r="FU9" s="398">
        <v>25</v>
      </c>
      <c r="FV9" s="398">
        <v>22</v>
      </c>
      <c r="FW9" s="398">
        <v>28</v>
      </c>
      <c r="FX9" s="398">
        <v>21</v>
      </c>
      <c r="FY9" s="398">
        <v>15</v>
      </c>
      <c r="FZ9" s="398"/>
      <c r="GC9" s="398"/>
      <c r="GD9" s="398"/>
      <c r="GE9" s="398"/>
      <c r="GF9" s="398"/>
      <c r="GG9" s="398"/>
      <c r="GH9" s="398"/>
      <c r="GI9" s="398"/>
      <c r="GJ9" s="398"/>
      <c r="GL9" s="386" t="s">
        <v>3586</v>
      </c>
      <c r="GM9" s="385">
        <v>76</v>
      </c>
      <c r="GN9" s="385">
        <v>91</v>
      </c>
      <c r="GO9" s="385">
        <v>81</v>
      </c>
      <c r="GP9" s="385">
        <v>83</v>
      </c>
      <c r="GQ9" s="385">
        <v>83</v>
      </c>
      <c r="GR9" s="385"/>
      <c r="GS9" s="571"/>
      <c r="GU9" s="674" t="s">
        <v>3587</v>
      </c>
      <c r="GV9" s="738">
        <f>SUM(GV10:GV15)</f>
        <v>1587</v>
      </c>
      <c r="GW9" s="738">
        <f t="shared" ref="GW9:HA9" si="32">SUM(GW10:GW15)</f>
        <v>1533</v>
      </c>
      <c r="GX9" s="738">
        <f t="shared" si="32"/>
        <v>1730</v>
      </c>
      <c r="GY9" s="738">
        <f t="shared" si="32"/>
        <v>1690</v>
      </c>
      <c r="GZ9" s="738">
        <f t="shared" si="32"/>
        <v>1796</v>
      </c>
      <c r="HA9" s="737">
        <f t="shared" si="32"/>
        <v>1979</v>
      </c>
      <c r="HB9" s="515"/>
      <c r="HC9" s="515"/>
      <c r="HH9" s="398"/>
      <c r="HI9" s="398"/>
      <c r="HJ9" s="398"/>
      <c r="HK9" s="398"/>
      <c r="HL9" s="398"/>
      <c r="HM9" s="398"/>
      <c r="HN9" s="398"/>
      <c r="HO9" s="398"/>
      <c r="HR9" s="398"/>
      <c r="HS9" s="398"/>
      <c r="HT9" s="398"/>
      <c r="HU9" s="398"/>
      <c r="HV9" s="398"/>
      <c r="HW9" s="398"/>
      <c r="HX9" s="398"/>
    </row>
    <row r="10" spans="1:232" ht="14.1" customHeight="1">
      <c r="A10" s="674" t="s">
        <v>3577</v>
      </c>
      <c r="B10" s="674">
        <v>245</v>
      </c>
      <c r="C10" s="738">
        <f>104+76+73</f>
        <v>253</v>
      </c>
      <c r="D10" s="738">
        <v>244</v>
      </c>
      <c r="E10" s="674">
        <v>264</v>
      </c>
      <c r="F10" s="674">
        <v>255</v>
      </c>
      <c r="G10" s="757" t="s">
        <v>546</v>
      </c>
      <c r="H10" s="738"/>
      <c r="J10" s="676" t="s">
        <v>3588</v>
      </c>
      <c r="K10" s="759" t="s">
        <v>2261</v>
      </c>
      <c r="L10" s="760">
        <v>382</v>
      </c>
      <c r="M10" s="760">
        <v>434</v>
      </c>
      <c r="N10" s="760">
        <v>464</v>
      </c>
      <c r="O10" s="760">
        <v>467</v>
      </c>
      <c r="P10" s="749">
        <v>495</v>
      </c>
      <c r="Q10" s="718"/>
      <c r="S10" s="386" t="s">
        <v>3589</v>
      </c>
      <c r="T10" s="386" t="s">
        <v>2177</v>
      </c>
      <c r="U10" s="738">
        <f t="shared" si="29"/>
        <v>308</v>
      </c>
      <c r="V10" s="776">
        <v>0</v>
      </c>
      <c r="W10" s="738">
        <v>0</v>
      </c>
      <c r="X10" s="738">
        <v>38</v>
      </c>
      <c r="Y10" s="738">
        <v>44</v>
      </c>
      <c r="Z10" s="738">
        <v>45</v>
      </c>
      <c r="AA10" s="738">
        <v>64</v>
      </c>
      <c r="AB10" s="738">
        <v>50</v>
      </c>
      <c r="AC10" s="738">
        <v>67</v>
      </c>
      <c r="AD10" s="757" t="s">
        <v>1627</v>
      </c>
      <c r="AE10" s="757" t="s">
        <v>1627</v>
      </c>
      <c r="AF10" s="757" t="s">
        <v>1627</v>
      </c>
      <c r="AG10" s="757" t="s">
        <v>1627</v>
      </c>
      <c r="AH10" s="757" t="s">
        <v>1627</v>
      </c>
      <c r="AI10" s="757" t="s">
        <v>1627</v>
      </c>
      <c r="AJ10" s="757" t="s">
        <v>1627</v>
      </c>
      <c r="AK10" s="754"/>
      <c r="AL10" s="754"/>
      <c r="AP10" s="398"/>
      <c r="AQ10" s="398"/>
      <c r="AR10" s="684"/>
      <c r="AS10" s="398"/>
      <c r="AT10" s="515"/>
      <c r="AU10" s="737"/>
      <c r="AX10" s="674" t="s">
        <v>3590</v>
      </c>
      <c r="BK10" s="571" t="s">
        <v>3590</v>
      </c>
      <c r="BL10" s="571"/>
      <c r="BM10" s="571"/>
      <c r="BN10" s="571"/>
      <c r="BO10" s="571"/>
      <c r="BP10" s="571"/>
      <c r="BQ10" s="571"/>
      <c r="BU10" s="398" t="s">
        <v>3591</v>
      </c>
      <c r="BV10" s="515">
        <v>766</v>
      </c>
      <c r="BW10" s="751">
        <f>BV10/$BV$4*100</f>
        <v>4.8848925451182961</v>
      </c>
      <c r="BX10" s="515">
        <v>1005</v>
      </c>
      <c r="BY10" s="751">
        <f t="shared" si="11"/>
        <v>5.5623201239760904</v>
      </c>
      <c r="BZ10" s="515">
        <v>1150</v>
      </c>
      <c r="CA10" s="751">
        <f t="shared" si="30"/>
        <v>5.9443812674454666</v>
      </c>
      <c r="CB10" s="737"/>
      <c r="CC10" s="744"/>
      <c r="CD10" s="744"/>
      <c r="CE10" s="398" t="s">
        <v>3592</v>
      </c>
      <c r="CF10" s="515">
        <v>713</v>
      </c>
      <c r="CG10" s="515">
        <v>768</v>
      </c>
      <c r="CH10" s="515">
        <v>849</v>
      </c>
      <c r="CI10" s="398">
        <v>894</v>
      </c>
      <c r="CJ10" s="463">
        <v>841</v>
      </c>
      <c r="CK10" s="515">
        <v>880</v>
      </c>
      <c r="CL10" s="515"/>
      <c r="CN10" s="398" t="s">
        <v>3593</v>
      </c>
      <c r="CO10" s="463">
        <f t="shared" ref="CO10:CT10" si="33">SUM(CO11:CO16)</f>
        <v>2896</v>
      </c>
      <c r="CP10" s="463">
        <f t="shared" si="33"/>
        <v>2693</v>
      </c>
      <c r="CQ10" s="463">
        <f t="shared" si="33"/>
        <v>2896</v>
      </c>
      <c r="CR10" s="463">
        <f t="shared" si="33"/>
        <v>2616</v>
      </c>
      <c r="CS10" s="463">
        <f t="shared" si="33"/>
        <v>2962</v>
      </c>
      <c r="CT10" s="463">
        <f t="shared" si="33"/>
        <v>2682</v>
      </c>
      <c r="CU10" s="463">
        <f t="shared" ref="CU10:CX10" si="34">SUM(CU11:CU16)</f>
        <v>3105</v>
      </c>
      <c r="CV10" s="463">
        <f t="shared" si="34"/>
        <v>2864</v>
      </c>
      <c r="CW10" s="463">
        <f t="shared" si="34"/>
        <v>3449</v>
      </c>
      <c r="CX10" s="463">
        <f t="shared" si="34"/>
        <v>3057</v>
      </c>
      <c r="CY10" s="515"/>
      <c r="CZ10" s="737"/>
      <c r="DA10" s="737"/>
      <c r="DB10" s="740" t="s">
        <v>3594</v>
      </c>
      <c r="DC10" s="690">
        <v>78</v>
      </c>
      <c r="DD10" s="690">
        <v>98</v>
      </c>
      <c r="DE10" s="690">
        <v>76</v>
      </c>
      <c r="DF10" s="690">
        <v>76</v>
      </c>
      <c r="DG10" s="690">
        <v>80</v>
      </c>
      <c r="DH10" s="690">
        <v>82</v>
      </c>
      <c r="DI10" s="737">
        <v>100</v>
      </c>
      <c r="DJ10" s="737">
        <v>112</v>
      </c>
      <c r="DK10" s="737">
        <v>101</v>
      </c>
      <c r="DL10" s="737">
        <v>127</v>
      </c>
      <c r="DQ10" s="737"/>
      <c r="DR10" s="737"/>
      <c r="DS10" s="398" t="s">
        <v>3595</v>
      </c>
      <c r="DT10" s="398">
        <v>4</v>
      </c>
      <c r="DU10" s="398">
        <v>3</v>
      </c>
      <c r="DV10" s="398">
        <v>0</v>
      </c>
      <c r="DW10" s="398">
        <v>0</v>
      </c>
      <c r="DX10" s="398">
        <v>0</v>
      </c>
      <c r="DY10" s="398">
        <v>0</v>
      </c>
      <c r="DZ10" s="398">
        <v>0</v>
      </c>
      <c r="EA10" s="398">
        <v>0</v>
      </c>
      <c r="EB10" s="398">
        <v>0</v>
      </c>
      <c r="EC10" s="398">
        <v>0</v>
      </c>
      <c r="ED10" s="705">
        <v>0</v>
      </c>
      <c r="EE10" s="705">
        <v>0</v>
      </c>
      <c r="EF10" s="705"/>
      <c r="EI10" s="705" t="s">
        <v>1708</v>
      </c>
      <c r="EJ10" s="745">
        <f>SUM(EL10:EM10)</f>
        <v>59</v>
      </c>
      <c r="EK10" s="755">
        <f t="shared" si="21"/>
        <v>2.0372928176795582</v>
      </c>
      <c r="EL10" s="745">
        <v>24</v>
      </c>
      <c r="EM10" s="745">
        <v>35</v>
      </c>
      <c r="EN10" s="745">
        <v>33</v>
      </c>
      <c r="EO10" s="745">
        <v>26</v>
      </c>
      <c r="EP10" s="515">
        <v>37</v>
      </c>
      <c r="EQ10" s="515">
        <v>21</v>
      </c>
      <c r="ET10" s="398"/>
      <c r="EU10" s="398"/>
      <c r="EV10" s="398"/>
      <c r="EW10" s="515"/>
      <c r="EX10" s="398"/>
      <c r="EY10" s="398"/>
      <c r="EZ10" s="515"/>
      <c r="FA10" s="515"/>
      <c r="FB10" s="690"/>
      <c r="FC10" s="398" t="s">
        <v>3596</v>
      </c>
      <c r="FD10" s="738">
        <v>3449</v>
      </c>
      <c r="FE10" s="738">
        <v>1628</v>
      </c>
      <c r="FF10" s="765">
        <f t="shared" si="22"/>
        <v>47.202087561612061</v>
      </c>
      <c r="FG10" s="738">
        <v>1468</v>
      </c>
      <c r="FH10" s="765">
        <f t="shared" si="26"/>
        <v>42.563061757031022</v>
      </c>
      <c r="FI10" s="690">
        <v>331</v>
      </c>
      <c r="FJ10" s="765">
        <f>FI10/FD10*100</f>
        <v>9.5969846332270219</v>
      </c>
      <c r="FK10" s="690">
        <v>0</v>
      </c>
      <c r="FL10" s="765">
        <v>0</v>
      </c>
      <c r="FM10" s="690">
        <v>22</v>
      </c>
      <c r="FN10" s="765">
        <f t="shared" si="24"/>
        <v>0.63786604812989278</v>
      </c>
      <c r="FO10" s="738">
        <v>3509</v>
      </c>
      <c r="FP10" s="690"/>
      <c r="FQ10" s="690"/>
      <c r="FR10" s="398"/>
      <c r="FS10" s="398" t="s">
        <v>3597</v>
      </c>
      <c r="FT10" s="519" t="s">
        <v>546</v>
      </c>
      <c r="FU10" s="519" t="s">
        <v>546</v>
      </c>
      <c r="FV10" s="519" t="s">
        <v>546</v>
      </c>
      <c r="FW10" s="519" t="s">
        <v>546</v>
      </c>
      <c r="FX10" s="519" t="s">
        <v>546</v>
      </c>
      <c r="FY10" s="519" t="s">
        <v>546</v>
      </c>
      <c r="FZ10" s="519"/>
      <c r="GC10" s="398"/>
      <c r="GD10" s="398"/>
      <c r="GE10" s="398"/>
      <c r="GF10" s="398"/>
      <c r="GG10" s="398"/>
      <c r="GH10" s="398"/>
      <c r="GI10" s="398"/>
      <c r="GJ10" s="398"/>
      <c r="GL10" s="386" t="s">
        <v>3184</v>
      </c>
      <c r="GM10" s="398">
        <v>44</v>
      </c>
      <c r="GN10" s="385">
        <v>62</v>
      </c>
      <c r="GO10" s="385">
        <v>77</v>
      </c>
      <c r="GP10" s="385">
        <v>75</v>
      </c>
      <c r="GQ10" s="385">
        <v>70</v>
      </c>
      <c r="GR10" s="385"/>
      <c r="GS10" s="571"/>
      <c r="GU10" s="777" t="s">
        <v>3598</v>
      </c>
      <c r="GV10" s="757">
        <v>1094</v>
      </c>
      <c r="GW10" s="757">
        <v>1092</v>
      </c>
      <c r="GX10" s="757">
        <v>1245</v>
      </c>
      <c r="GY10" s="757">
        <v>1217</v>
      </c>
      <c r="GZ10" s="757">
        <v>1328</v>
      </c>
      <c r="HA10" s="757">
        <v>1442</v>
      </c>
      <c r="HB10" s="515"/>
      <c r="HC10" s="515"/>
      <c r="HH10" s="398"/>
      <c r="HI10" s="398"/>
      <c r="HJ10" s="398"/>
      <c r="HK10" s="398"/>
      <c r="HL10" s="398"/>
      <c r="HM10" s="398"/>
      <c r="HN10" s="398"/>
      <c r="HO10" s="398"/>
      <c r="HR10" s="398"/>
      <c r="HS10" s="398"/>
      <c r="HT10" s="398"/>
      <c r="HU10" s="398"/>
      <c r="HV10" s="398"/>
      <c r="HW10" s="398"/>
      <c r="HX10" s="398"/>
    </row>
    <row r="11" spans="1:232" ht="14.1" customHeight="1">
      <c r="D11" s="738"/>
      <c r="G11" s="738"/>
      <c r="H11" s="738"/>
      <c r="J11" s="676" t="s">
        <v>3599</v>
      </c>
      <c r="K11" s="759" t="s">
        <v>2202</v>
      </c>
      <c r="L11" s="760">
        <v>227</v>
      </c>
      <c r="M11" s="760">
        <v>252</v>
      </c>
      <c r="N11" s="760">
        <v>245</v>
      </c>
      <c r="O11" s="760">
        <v>239</v>
      </c>
      <c r="P11" s="749">
        <v>230</v>
      </c>
      <c r="Q11" s="718"/>
      <c r="S11" s="386" t="s">
        <v>3600</v>
      </c>
      <c r="T11" s="386" t="s">
        <v>2177</v>
      </c>
      <c r="U11" s="738">
        <f t="shared" si="29"/>
        <v>555</v>
      </c>
      <c r="V11" s="737">
        <v>38</v>
      </c>
      <c r="W11" s="738">
        <v>0</v>
      </c>
      <c r="X11" s="738">
        <v>72</v>
      </c>
      <c r="Y11" s="738">
        <v>96</v>
      </c>
      <c r="Z11" s="738">
        <v>77</v>
      </c>
      <c r="AA11" s="738">
        <v>100</v>
      </c>
      <c r="AB11" s="738">
        <v>69</v>
      </c>
      <c r="AC11" s="738">
        <v>103</v>
      </c>
      <c r="AD11" s="757" t="s">
        <v>1627</v>
      </c>
      <c r="AE11" s="757" t="s">
        <v>1627</v>
      </c>
      <c r="AF11" s="757" t="s">
        <v>1627</v>
      </c>
      <c r="AG11" s="757" t="s">
        <v>1627</v>
      </c>
      <c r="AH11" s="757" t="s">
        <v>1627</v>
      </c>
      <c r="AI11" s="757" t="s">
        <v>1627</v>
      </c>
      <c r="AJ11" s="757" t="s">
        <v>1627</v>
      </c>
      <c r="AN11" s="398" t="s">
        <v>3601</v>
      </c>
      <c r="AO11" s="515">
        <f>SUM(AO12:AO14)</f>
        <v>25503</v>
      </c>
      <c r="AP11" s="515">
        <f t="shared" ref="AP11:AT11" si="35">SUM(AP12:AP14)</f>
        <v>25794</v>
      </c>
      <c r="AQ11" s="515">
        <f t="shared" si="35"/>
        <v>27633</v>
      </c>
      <c r="AR11" s="463">
        <f t="shared" si="35"/>
        <v>28544</v>
      </c>
      <c r="AS11" s="463">
        <f t="shared" si="35"/>
        <v>29009</v>
      </c>
      <c r="AT11" s="515">
        <f t="shared" si="35"/>
        <v>28812</v>
      </c>
      <c r="AU11" s="515"/>
      <c r="AV11" s="738"/>
      <c r="AX11" s="778"/>
      <c r="BK11" s="571" t="s">
        <v>3602</v>
      </c>
      <c r="BL11" s="571"/>
      <c r="BM11" s="571"/>
      <c r="BN11" s="571"/>
      <c r="BO11" s="571"/>
      <c r="BP11" s="571"/>
      <c r="BQ11" s="571"/>
      <c r="BU11" s="398" t="s">
        <v>3603</v>
      </c>
      <c r="BV11" s="757" t="s">
        <v>546</v>
      </c>
      <c r="BW11" s="751" t="s">
        <v>546</v>
      </c>
      <c r="BX11" s="757" t="s">
        <v>546</v>
      </c>
      <c r="BY11" s="751" t="s">
        <v>546</v>
      </c>
      <c r="BZ11" s="515">
        <v>1187</v>
      </c>
      <c r="CA11" s="751">
        <f t="shared" si="30"/>
        <v>6.1356352734415385</v>
      </c>
      <c r="CE11" s="515" t="s">
        <v>3604</v>
      </c>
      <c r="CF11" s="515">
        <v>682</v>
      </c>
      <c r="CG11" s="515">
        <v>734</v>
      </c>
      <c r="CH11" s="515">
        <v>819</v>
      </c>
      <c r="CI11" s="398">
        <v>819</v>
      </c>
      <c r="CJ11" s="463">
        <v>830</v>
      </c>
      <c r="CK11" s="515">
        <v>874</v>
      </c>
      <c r="CL11" s="515"/>
      <c r="CN11" s="386" t="s">
        <v>3605</v>
      </c>
      <c r="CO11" s="463">
        <v>836</v>
      </c>
      <c r="CP11" s="463">
        <v>605</v>
      </c>
      <c r="CQ11" s="463">
        <v>908</v>
      </c>
      <c r="CR11" s="463">
        <v>616</v>
      </c>
      <c r="CS11" s="463">
        <v>921</v>
      </c>
      <c r="CT11" s="463">
        <v>654</v>
      </c>
      <c r="CU11" s="463">
        <v>911</v>
      </c>
      <c r="CV11" s="463">
        <v>646</v>
      </c>
      <c r="CW11" s="463">
        <v>1045</v>
      </c>
      <c r="CX11" s="463">
        <v>723</v>
      </c>
      <c r="CY11" s="753"/>
      <c r="CZ11" s="737"/>
      <c r="DA11" s="737"/>
      <c r="DB11" s="740" t="s">
        <v>3606</v>
      </c>
      <c r="DC11" s="690">
        <v>66</v>
      </c>
      <c r="DD11" s="690">
        <v>63</v>
      </c>
      <c r="DE11" s="690">
        <v>64</v>
      </c>
      <c r="DF11" s="690">
        <v>57</v>
      </c>
      <c r="DG11" s="690">
        <v>62</v>
      </c>
      <c r="DH11" s="690">
        <v>59</v>
      </c>
      <c r="DI11" s="737">
        <v>71</v>
      </c>
      <c r="DJ11" s="737">
        <v>75</v>
      </c>
      <c r="DK11" s="737">
        <v>77</v>
      </c>
      <c r="DL11" s="737">
        <v>79</v>
      </c>
      <c r="DQ11" s="737"/>
      <c r="DR11" s="737"/>
      <c r="DS11" s="398" t="s">
        <v>3019</v>
      </c>
      <c r="DT11" s="398">
        <v>68</v>
      </c>
      <c r="DU11" s="398">
        <v>54</v>
      </c>
      <c r="DV11" s="398">
        <v>75</v>
      </c>
      <c r="DW11" s="398">
        <v>67</v>
      </c>
      <c r="DX11" s="398">
        <v>79</v>
      </c>
      <c r="DY11" s="398">
        <v>75</v>
      </c>
      <c r="DZ11" s="398">
        <v>64</v>
      </c>
      <c r="EA11" s="398">
        <v>65</v>
      </c>
      <c r="EB11" s="398">
        <v>67</v>
      </c>
      <c r="EC11" s="398">
        <v>53</v>
      </c>
      <c r="ED11" s="705">
        <v>70</v>
      </c>
      <c r="EE11" s="705">
        <v>70</v>
      </c>
      <c r="EF11" s="705"/>
      <c r="EI11" s="705" t="s">
        <v>3607</v>
      </c>
      <c r="EJ11" s="745">
        <f>SUM(EL11:EM11)</f>
        <v>144</v>
      </c>
      <c r="EK11" s="755">
        <f t="shared" si="21"/>
        <v>4.972375690607735</v>
      </c>
      <c r="EL11" s="745">
        <v>68</v>
      </c>
      <c r="EM11" s="745">
        <v>76</v>
      </c>
      <c r="EN11" s="745">
        <v>103</v>
      </c>
      <c r="EO11" s="745">
        <v>41</v>
      </c>
      <c r="EP11" s="515">
        <v>123</v>
      </c>
      <c r="EQ11" s="515">
        <v>21</v>
      </c>
      <c r="ET11" s="398" t="s">
        <v>3608</v>
      </c>
      <c r="EU11" s="515">
        <v>2982</v>
      </c>
      <c r="EV11" s="515">
        <v>2891</v>
      </c>
      <c r="EW11" s="515">
        <v>2954</v>
      </c>
      <c r="EX11" s="515">
        <v>3094</v>
      </c>
      <c r="EY11" s="515">
        <v>3509</v>
      </c>
      <c r="EZ11" s="515"/>
      <c r="FA11" s="515"/>
      <c r="FC11" s="674" t="s">
        <v>3609</v>
      </c>
      <c r="FD11" s="738">
        <f>SUM(FE11,FG11,FI11,FK11,FM11,)</f>
        <v>3563</v>
      </c>
      <c r="FE11" s="738">
        <v>1666</v>
      </c>
      <c r="FF11" s="765">
        <f t="shared" si="22"/>
        <v>46.758349705304518</v>
      </c>
      <c r="FG11" s="738">
        <v>1503</v>
      </c>
      <c r="FH11" s="765">
        <f t="shared" si="26"/>
        <v>42.183553185517823</v>
      </c>
      <c r="FI11" s="690">
        <v>348</v>
      </c>
      <c r="FJ11" s="765">
        <f t="shared" si="27"/>
        <v>9.7670502385630087</v>
      </c>
      <c r="FK11" s="690">
        <v>0</v>
      </c>
      <c r="FL11" s="765">
        <f>FK11/FD11*100</f>
        <v>0</v>
      </c>
      <c r="FM11" s="690">
        <v>46</v>
      </c>
      <c r="FN11" s="765">
        <f t="shared" si="24"/>
        <v>1.2910468706146505</v>
      </c>
      <c r="FO11" s="738">
        <v>3650</v>
      </c>
      <c r="FR11" s="398"/>
      <c r="FS11" s="398" t="s">
        <v>3610</v>
      </c>
      <c r="FT11" s="398">
        <v>9</v>
      </c>
      <c r="FU11" s="398">
        <v>8</v>
      </c>
      <c r="FV11" s="398">
        <v>9</v>
      </c>
      <c r="FW11" s="398">
        <v>11</v>
      </c>
      <c r="FX11" s="398">
        <v>7</v>
      </c>
      <c r="FY11" s="385">
        <v>6</v>
      </c>
      <c r="FZ11" s="519"/>
      <c r="GC11" s="398"/>
      <c r="GD11" s="398"/>
      <c r="GE11" s="398"/>
      <c r="GF11" s="398"/>
      <c r="GG11" s="398"/>
      <c r="GH11" s="398"/>
      <c r="GI11" s="398"/>
      <c r="GJ11" s="515"/>
      <c r="GL11" s="386" t="s">
        <v>3611</v>
      </c>
      <c r="GM11" s="385">
        <v>78</v>
      </c>
      <c r="GN11" s="385">
        <v>79</v>
      </c>
      <c r="GO11" s="385">
        <v>84</v>
      </c>
      <c r="GP11" s="385">
        <v>66</v>
      </c>
      <c r="GQ11" s="385">
        <v>61</v>
      </c>
      <c r="GR11" s="385"/>
      <c r="GS11" s="571"/>
      <c r="GU11" s="777" t="s">
        <v>3612</v>
      </c>
      <c r="GV11" s="757">
        <v>169</v>
      </c>
      <c r="GW11" s="757">
        <v>184</v>
      </c>
      <c r="GX11" s="757">
        <v>236</v>
      </c>
      <c r="GY11" s="757">
        <v>235</v>
      </c>
      <c r="GZ11" s="757">
        <v>245</v>
      </c>
      <c r="HA11" s="757">
        <v>274</v>
      </c>
      <c r="HB11" s="515"/>
      <c r="HC11" s="515"/>
      <c r="HH11" s="398"/>
      <c r="HI11" s="398"/>
      <c r="HJ11" s="398"/>
      <c r="HK11" s="398"/>
      <c r="HL11" s="398"/>
      <c r="HM11" s="398"/>
      <c r="HN11" s="398"/>
      <c r="HO11" s="398"/>
      <c r="HR11" s="398"/>
      <c r="HS11" s="398"/>
      <c r="HT11" s="398"/>
      <c r="HU11" s="398"/>
      <c r="HV11" s="398"/>
      <c r="HW11" s="398"/>
      <c r="HX11" s="398"/>
    </row>
    <row r="12" spans="1:232" ht="14.1" customHeight="1">
      <c r="A12" s="386" t="s">
        <v>3613</v>
      </c>
      <c r="B12" s="463">
        <f>SUM(B13:B15)</f>
        <v>2086</v>
      </c>
      <c r="C12" s="463">
        <f>SUM(C13:C15)</f>
        <v>2092</v>
      </c>
      <c r="D12" s="463">
        <f>SUM(D13:D15)</f>
        <v>2127</v>
      </c>
      <c r="E12" s="463">
        <f>SUM(E13:E15)</f>
        <v>2209</v>
      </c>
      <c r="F12" s="463">
        <f t="shared" ref="F12:G12" si="36">SUM(F13:F15)</f>
        <v>2174</v>
      </c>
      <c r="G12" s="754">
        <f t="shared" si="36"/>
        <v>2279</v>
      </c>
      <c r="H12" s="754"/>
      <c r="J12" s="676" t="s">
        <v>3614</v>
      </c>
      <c r="K12" s="759" t="s">
        <v>2208</v>
      </c>
      <c r="L12" s="760">
        <v>593</v>
      </c>
      <c r="M12" s="760">
        <v>594</v>
      </c>
      <c r="N12" s="760">
        <v>643</v>
      </c>
      <c r="O12" s="760">
        <v>651</v>
      </c>
      <c r="P12" s="749">
        <v>695</v>
      </c>
      <c r="Q12" s="718"/>
      <c r="S12" s="386" t="s">
        <v>3615</v>
      </c>
      <c r="T12" s="386" t="s">
        <v>2177</v>
      </c>
      <c r="U12" s="738">
        <f t="shared" si="29"/>
        <v>1469</v>
      </c>
      <c r="V12" s="757" t="s">
        <v>1627</v>
      </c>
      <c r="W12" s="757" t="s">
        <v>1627</v>
      </c>
      <c r="X12" s="757" t="s">
        <v>1627</v>
      </c>
      <c r="Y12" s="757" t="s">
        <v>1627</v>
      </c>
      <c r="Z12" s="757" t="s">
        <v>1627</v>
      </c>
      <c r="AA12" s="757" t="s">
        <v>1627</v>
      </c>
      <c r="AB12" s="757" t="s">
        <v>1627</v>
      </c>
      <c r="AC12" s="757" t="s">
        <v>1627</v>
      </c>
      <c r="AD12" s="757" t="s">
        <v>1627</v>
      </c>
      <c r="AE12" s="757" t="s">
        <v>1627</v>
      </c>
      <c r="AF12" s="757" t="s">
        <v>1627</v>
      </c>
      <c r="AG12" s="738">
        <v>417</v>
      </c>
      <c r="AH12" s="738">
        <v>377</v>
      </c>
      <c r="AI12" s="738">
        <v>388</v>
      </c>
      <c r="AJ12" s="738">
        <v>287</v>
      </c>
      <c r="AN12" s="674" t="s">
        <v>3539</v>
      </c>
      <c r="AO12" s="737">
        <v>11098</v>
      </c>
      <c r="AP12" s="515">
        <v>11161</v>
      </c>
      <c r="AQ12" s="515">
        <v>12523</v>
      </c>
      <c r="AR12" s="515">
        <v>12764</v>
      </c>
      <c r="AS12" s="463">
        <v>13278</v>
      </c>
      <c r="AT12" s="754">
        <v>13145</v>
      </c>
      <c r="AU12" s="737"/>
      <c r="AV12" s="738"/>
      <c r="AW12" s="738"/>
      <c r="BK12" s="571" t="s">
        <v>104</v>
      </c>
      <c r="BL12" s="571"/>
      <c r="BM12" s="571"/>
      <c r="BN12" s="571"/>
      <c r="BO12" s="571"/>
      <c r="BP12" s="571"/>
      <c r="BQ12" s="571"/>
      <c r="BR12" s="398"/>
      <c r="BU12" s="398" t="s">
        <v>3616</v>
      </c>
      <c r="BV12" s="757" t="s">
        <v>546</v>
      </c>
      <c r="BW12" s="751" t="s">
        <v>546</v>
      </c>
      <c r="BX12" s="757" t="s">
        <v>546</v>
      </c>
      <c r="BY12" s="751" t="s">
        <v>546</v>
      </c>
      <c r="BZ12" s="515">
        <v>769</v>
      </c>
      <c r="CA12" s="751">
        <f t="shared" si="30"/>
        <v>3.9749819084048386</v>
      </c>
      <c r="CE12" s="398" t="s">
        <v>3617</v>
      </c>
      <c r="CF12" s="515">
        <v>962</v>
      </c>
      <c r="CG12" s="515">
        <v>984</v>
      </c>
      <c r="CH12" s="515">
        <v>1009</v>
      </c>
      <c r="CI12" s="515">
        <v>1038</v>
      </c>
      <c r="CJ12" s="463">
        <v>1025</v>
      </c>
      <c r="CK12" s="515">
        <v>1049</v>
      </c>
      <c r="CL12" s="515"/>
      <c r="CN12" s="386" t="s">
        <v>3618</v>
      </c>
      <c r="CO12" s="463">
        <v>485</v>
      </c>
      <c r="CP12" s="463">
        <v>499</v>
      </c>
      <c r="CQ12" s="463">
        <v>467</v>
      </c>
      <c r="CR12" s="463">
        <v>499</v>
      </c>
      <c r="CS12" s="463">
        <v>481</v>
      </c>
      <c r="CT12" s="463">
        <v>502</v>
      </c>
      <c r="CU12" s="463">
        <v>516</v>
      </c>
      <c r="CV12" s="463">
        <v>537</v>
      </c>
      <c r="CW12" s="463">
        <v>583</v>
      </c>
      <c r="CX12" s="463">
        <v>544</v>
      </c>
      <c r="CY12" s="753"/>
      <c r="CZ12" s="737"/>
      <c r="DA12" s="737"/>
      <c r="DB12" s="740" t="s">
        <v>3619</v>
      </c>
      <c r="DC12" s="690">
        <v>21</v>
      </c>
      <c r="DD12" s="690">
        <v>21</v>
      </c>
      <c r="DE12" s="690">
        <v>17</v>
      </c>
      <c r="DF12" s="690">
        <v>14</v>
      </c>
      <c r="DG12" s="690">
        <v>18</v>
      </c>
      <c r="DH12" s="690">
        <v>20</v>
      </c>
      <c r="DI12" s="737">
        <v>12</v>
      </c>
      <c r="DJ12" s="737">
        <v>17</v>
      </c>
      <c r="DK12" s="737">
        <v>12</v>
      </c>
      <c r="DL12" s="737">
        <v>12</v>
      </c>
      <c r="DQ12" s="737"/>
      <c r="DR12" s="737"/>
      <c r="DS12" s="398" t="s">
        <v>3021</v>
      </c>
      <c r="DT12" s="398">
        <v>68</v>
      </c>
      <c r="DU12" s="398">
        <v>58</v>
      </c>
      <c r="DV12" s="398">
        <v>65</v>
      </c>
      <c r="DW12" s="398">
        <v>54</v>
      </c>
      <c r="DX12" s="398">
        <v>66</v>
      </c>
      <c r="DY12" s="398">
        <v>65</v>
      </c>
      <c r="DZ12" s="398">
        <v>64</v>
      </c>
      <c r="EA12" s="398">
        <v>52</v>
      </c>
      <c r="EB12" s="398">
        <v>50</v>
      </c>
      <c r="EC12" s="398">
        <v>48</v>
      </c>
      <c r="ED12" s="705">
        <v>56</v>
      </c>
      <c r="EE12" s="705">
        <v>46</v>
      </c>
      <c r="EF12" s="705"/>
      <c r="EI12" s="730" t="s">
        <v>3620</v>
      </c>
      <c r="EJ12" s="779">
        <f>SUM(EL12:EM12)</f>
        <v>31</v>
      </c>
      <c r="EK12" s="780">
        <f>EJ12/$EJ$4*100</f>
        <v>1.0704419889502763</v>
      </c>
      <c r="EL12" s="779">
        <v>8</v>
      </c>
      <c r="EM12" s="779">
        <v>23</v>
      </c>
      <c r="EN12" s="779">
        <v>30</v>
      </c>
      <c r="EO12" s="779">
        <v>1</v>
      </c>
      <c r="EP12" s="766">
        <v>25</v>
      </c>
      <c r="EQ12" s="766">
        <v>1</v>
      </c>
      <c r="ET12" s="398"/>
      <c r="EU12" s="398"/>
      <c r="EV12" s="398"/>
      <c r="EW12" s="398"/>
      <c r="EX12" s="398"/>
      <c r="EY12" s="398"/>
      <c r="EZ12" s="515"/>
      <c r="FA12" s="515"/>
      <c r="FB12" s="737"/>
      <c r="FC12" s="674" t="s">
        <v>3621</v>
      </c>
      <c r="FD12" s="738">
        <f>SUM(FE12,FG12,FI12,FK12,FM12)</f>
        <v>3744</v>
      </c>
      <c r="FE12" s="738">
        <v>1825</v>
      </c>
      <c r="FF12" s="765">
        <f t="shared" si="22"/>
        <v>48.744658119658119</v>
      </c>
      <c r="FG12" s="738">
        <v>1550</v>
      </c>
      <c r="FH12" s="765">
        <f t="shared" si="26"/>
        <v>41.399572649572647</v>
      </c>
      <c r="FI12" s="690">
        <v>323</v>
      </c>
      <c r="FJ12" s="765">
        <f t="shared" si="27"/>
        <v>8.6271367521367512</v>
      </c>
      <c r="FK12" s="690">
        <v>0</v>
      </c>
      <c r="FL12" s="765">
        <f>FK12/FD12*100</f>
        <v>0</v>
      </c>
      <c r="FM12" s="690">
        <v>46</v>
      </c>
      <c r="FN12" s="765">
        <f t="shared" si="24"/>
        <v>1.2286324786324787</v>
      </c>
      <c r="FO12" s="738">
        <v>3842</v>
      </c>
      <c r="FP12" s="737"/>
      <c r="FQ12" s="737"/>
      <c r="FR12" s="398"/>
      <c r="FS12" s="398" t="s">
        <v>3622</v>
      </c>
      <c r="FT12" s="398">
        <v>1</v>
      </c>
      <c r="FU12" s="398">
        <v>3</v>
      </c>
      <c r="FV12" s="398">
        <v>2</v>
      </c>
      <c r="FW12" s="398">
        <v>2</v>
      </c>
      <c r="FX12" s="398">
        <v>3</v>
      </c>
      <c r="FY12" s="398">
        <v>4</v>
      </c>
      <c r="FZ12" s="398"/>
      <c r="GC12" s="515"/>
      <c r="GD12" s="515"/>
      <c r="GE12" s="515"/>
      <c r="GF12" s="515"/>
      <c r="GG12" s="515"/>
      <c r="GH12" s="515"/>
      <c r="GI12" s="515"/>
      <c r="GJ12" s="398"/>
      <c r="GL12" s="398"/>
      <c r="GM12" s="398"/>
      <c r="GN12" s="398"/>
      <c r="GO12" s="398"/>
      <c r="GP12" s="398"/>
      <c r="GQ12" s="398"/>
      <c r="GR12" s="398"/>
      <c r="GS12" s="571"/>
      <c r="GU12" s="777" t="s">
        <v>3623</v>
      </c>
      <c r="GV12" s="757">
        <v>193</v>
      </c>
      <c r="GW12" s="757">
        <v>142</v>
      </c>
      <c r="GX12" s="757">
        <v>155</v>
      </c>
      <c r="GY12" s="757">
        <v>141</v>
      </c>
      <c r="GZ12" s="757">
        <v>142</v>
      </c>
      <c r="HA12" s="757">
        <v>157</v>
      </c>
      <c r="HB12" s="515"/>
      <c r="HC12" s="515"/>
      <c r="HH12" s="398"/>
      <c r="HI12" s="398"/>
      <c r="HJ12" s="398"/>
      <c r="HK12" s="398"/>
      <c r="HL12" s="398"/>
      <c r="HM12" s="398"/>
      <c r="HN12" s="398"/>
      <c r="HO12" s="398"/>
      <c r="HR12" s="398"/>
      <c r="HS12" s="398"/>
      <c r="HT12" s="398"/>
      <c r="HU12" s="398"/>
      <c r="HV12" s="398"/>
      <c r="HW12" s="398"/>
      <c r="HX12" s="398"/>
    </row>
    <row r="13" spans="1:232" ht="14.1" customHeight="1">
      <c r="A13" s="740" t="s">
        <v>3549</v>
      </c>
      <c r="B13" s="738">
        <v>1168</v>
      </c>
      <c r="C13" s="738">
        <v>1121</v>
      </c>
      <c r="D13" s="738">
        <v>1155</v>
      </c>
      <c r="E13" s="525">
        <v>1228</v>
      </c>
      <c r="F13" s="525">
        <v>1188</v>
      </c>
      <c r="G13" s="738">
        <v>1330</v>
      </c>
      <c r="H13" s="738"/>
      <c r="J13" s="676" t="s">
        <v>3561</v>
      </c>
      <c r="K13" s="759" t="s">
        <v>2177</v>
      </c>
      <c r="L13" s="760">
        <v>768</v>
      </c>
      <c r="M13" s="760">
        <v>809</v>
      </c>
      <c r="N13" s="760">
        <v>831</v>
      </c>
      <c r="O13" s="760">
        <v>840</v>
      </c>
      <c r="P13" s="749">
        <v>842</v>
      </c>
      <c r="Q13" s="718"/>
      <c r="S13" s="386" t="s">
        <v>3624</v>
      </c>
      <c r="T13" s="386" t="s">
        <v>2177</v>
      </c>
      <c r="U13" s="738">
        <f t="shared" si="29"/>
        <v>540</v>
      </c>
      <c r="V13" s="737">
        <v>32</v>
      </c>
      <c r="W13" s="738">
        <v>0</v>
      </c>
      <c r="X13" s="738">
        <v>65</v>
      </c>
      <c r="Y13" s="738">
        <v>85</v>
      </c>
      <c r="Z13" s="738">
        <v>83</v>
      </c>
      <c r="AA13" s="738">
        <v>83</v>
      </c>
      <c r="AB13" s="738">
        <v>94</v>
      </c>
      <c r="AC13" s="738">
        <v>98</v>
      </c>
      <c r="AD13" s="757" t="s">
        <v>1627</v>
      </c>
      <c r="AE13" s="757" t="s">
        <v>1627</v>
      </c>
      <c r="AF13" s="757" t="s">
        <v>1627</v>
      </c>
      <c r="AG13" s="757" t="s">
        <v>1627</v>
      </c>
      <c r="AH13" s="757" t="s">
        <v>1627</v>
      </c>
      <c r="AI13" s="757" t="s">
        <v>1627</v>
      </c>
      <c r="AJ13" s="757" t="s">
        <v>1627</v>
      </c>
      <c r="AN13" s="674" t="s">
        <v>3552</v>
      </c>
      <c r="AO13" s="737">
        <v>5818</v>
      </c>
      <c r="AP13" s="515">
        <v>5854</v>
      </c>
      <c r="AQ13" s="515">
        <v>6031</v>
      </c>
      <c r="AR13" s="515">
        <v>6440</v>
      </c>
      <c r="AS13" s="463">
        <v>6496</v>
      </c>
      <c r="AT13" s="754">
        <v>6466</v>
      </c>
      <c r="AU13" s="737"/>
      <c r="AV13" s="738"/>
      <c r="AW13" s="738"/>
      <c r="BU13" s="398" t="s">
        <v>3625</v>
      </c>
      <c r="BV13" s="757">
        <v>728</v>
      </c>
      <c r="BW13" s="751">
        <f>BV13/BV4*100</f>
        <v>4.6425610611568144</v>
      </c>
      <c r="BX13" s="757">
        <v>1076</v>
      </c>
      <c r="BY13" s="751">
        <f t="shared" si="11"/>
        <v>5.9552800531326104</v>
      </c>
      <c r="BZ13" s="757" t="s">
        <v>2825</v>
      </c>
      <c r="CA13" s="751" t="s">
        <v>546</v>
      </c>
      <c r="CE13" s="398" t="s">
        <v>3626</v>
      </c>
      <c r="CF13" s="515">
        <v>566</v>
      </c>
      <c r="CG13" s="515">
        <v>576</v>
      </c>
      <c r="CH13" s="515">
        <v>573</v>
      </c>
      <c r="CI13" s="398">
        <v>552</v>
      </c>
      <c r="CJ13" s="463">
        <v>530</v>
      </c>
      <c r="CK13" s="515">
        <v>572</v>
      </c>
      <c r="CL13" s="515"/>
      <c r="CN13" s="386" t="s">
        <v>3627</v>
      </c>
      <c r="CO13" s="463">
        <v>550</v>
      </c>
      <c r="CP13" s="463">
        <v>493</v>
      </c>
      <c r="CQ13" s="463">
        <v>472</v>
      </c>
      <c r="CR13" s="463">
        <v>479</v>
      </c>
      <c r="CS13" s="463">
        <v>515</v>
      </c>
      <c r="CT13" s="463">
        <v>464</v>
      </c>
      <c r="CU13" s="463">
        <v>576</v>
      </c>
      <c r="CV13" s="463">
        <v>532</v>
      </c>
      <c r="CW13" s="463">
        <v>589</v>
      </c>
      <c r="CX13" s="463">
        <v>552</v>
      </c>
      <c r="CY13" s="753"/>
      <c r="CZ13" s="737"/>
      <c r="DA13" s="737"/>
      <c r="DB13" s="740" t="s">
        <v>3628</v>
      </c>
      <c r="DC13" s="690">
        <v>10</v>
      </c>
      <c r="DD13" s="690">
        <v>7</v>
      </c>
      <c r="DE13" s="690">
        <v>8</v>
      </c>
      <c r="DF13" s="690">
        <v>9</v>
      </c>
      <c r="DG13" s="690">
        <v>9</v>
      </c>
      <c r="DH13" s="690">
        <v>9</v>
      </c>
      <c r="DI13" s="737">
        <v>10</v>
      </c>
      <c r="DJ13" s="737">
        <v>10</v>
      </c>
      <c r="DK13" s="737">
        <v>10</v>
      </c>
      <c r="DL13" s="737">
        <v>9</v>
      </c>
      <c r="DQ13" s="737"/>
      <c r="DR13" s="737"/>
      <c r="DS13" s="398" t="s">
        <v>3022</v>
      </c>
      <c r="DT13" s="398">
        <v>6</v>
      </c>
      <c r="DU13" s="398">
        <v>8</v>
      </c>
      <c r="DV13" s="398">
        <v>8</v>
      </c>
      <c r="DW13" s="398">
        <v>6</v>
      </c>
      <c r="DX13" s="398">
        <v>11</v>
      </c>
      <c r="DY13" s="398">
        <v>8</v>
      </c>
      <c r="DZ13" s="398">
        <v>12</v>
      </c>
      <c r="EA13" s="398">
        <v>10</v>
      </c>
      <c r="EB13" s="398">
        <v>13</v>
      </c>
      <c r="EC13" s="398">
        <v>8</v>
      </c>
      <c r="ED13" s="705">
        <v>16</v>
      </c>
      <c r="EE13" s="705">
        <v>10</v>
      </c>
      <c r="EF13" s="705"/>
      <c r="EI13" s="781" t="s">
        <v>3629</v>
      </c>
      <c r="EJ13" s="782"/>
      <c r="EK13" s="783"/>
      <c r="EL13" s="781"/>
      <c r="EM13" s="781"/>
      <c r="EN13" s="781"/>
      <c r="EO13" s="781"/>
      <c r="ET13" s="398" t="s">
        <v>3630</v>
      </c>
      <c r="EU13" s="515">
        <v>34957</v>
      </c>
      <c r="EV13" s="515">
        <v>34160</v>
      </c>
      <c r="EW13" s="515">
        <v>34818</v>
      </c>
      <c r="EX13" s="515">
        <v>36349</v>
      </c>
      <c r="EY13" s="515">
        <v>41395</v>
      </c>
      <c r="EZ13" s="515"/>
      <c r="FA13" s="515"/>
      <c r="FC13" s="674" t="s">
        <v>3631</v>
      </c>
      <c r="FD13" s="738">
        <f>SUM(FE13,FG13,FI13,FK13,FM13,)</f>
        <v>3917</v>
      </c>
      <c r="FE13" s="738">
        <v>1916</v>
      </c>
      <c r="FF13" s="765">
        <f t="shared" si="22"/>
        <v>48.914985958641815</v>
      </c>
      <c r="FG13" s="738">
        <v>1617</v>
      </c>
      <c r="FH13" s="765">
        <f>SUM(FG13/FD13*100)</f>
        <v>41.281593055910136</v>
      </c>
      <c r="FI13" s="690">
        <v>336</v>
      </c>
      <c r="FJ13" s="765">
        <f>SUM(FI13/FD13*100)</f>
        <v>8.5779933622670423</v>
      </c>
      <c r="FK13" s="690">
        <v>0</v>
      </c>
      <c r="FL13" s="765">
        <f>SUM(FK13/FD13*100)</f>
        <v>0</v>
      </c>
      <c r="FM13" s="690">
        <v>48</v>
      </c>
      <c r="FN13" s="765">
        <f>SUM(FM13/FD13*100)</f>
        <v>1.225427623181006</v>
      </c>
      <c r="FO13" s="738">
        <v>3964</v>
      </c>
      <c r="FR13" s="398"/>
      <c r="FS13" s="398" t="s">
        <v>3632</v>
      </c>
      <c r="FT13" s="398">
        <v>35</v>
      </c>
      <c r="FU13" s="398">
        <v>34</v>
      </c>
      <c r="FV13" s="398">
        <v>48</v>
      </c>
      <c r="FW13" s="398">
        <v>33</v>
      </c>
      <c r="FX13" s="398">
        <v>39</v>
      </c>
      <c r="FY13" s="398">
        <v>35</v>
      </c>
      <c r="FZ13" s="398"/>
      <c r="GC13" s="398"/>
      <c r="GD13" s="398"/>
      <c r="GE13" s="398"/>
      <c r="GF13" s="398"/>
      <c r="GG13" s="398"/>
      <c r="GH13" s="398"/>
      <c r="GI13" s="398"/>
      <c r="GJ13" s="398"/>
      <c r="GL13" s="684" t="s">
        <v>3633</v>
      </c>
      <c r="GM13" s="515">
        <f>SUM(GM14:GM37)</f>
        <v>862</v>
      </c>
      <c r="GN13" s="515">
        <f>SUM(GN14:GN37)</f>
        <v>840</v>
      </c>
      <c r="GO13" s="515">
        <f>SUM(GO14:GO37)</f>
        <v>1000</v>
      </c>
      <c r="GP13" s="398">
        <f>SUM(GP14:GP37)</f>
        <v>956</v>
      </c>
      <c r="GQ13" s="398">
        <f>SUM(GQ14:GQ37)</f>
        <v>952</v>
      </c>
      <c r="GR13" s="398"/>
      <c r="GS13" s="571"/>
      <c r="GU13" s="777" t="s">
        <v>3634</v>
      </c>
      <c r="GV13" s="757">
        <v>96</v>
      </c>
      <c r="GW13" s="757">
        <v>81</v>
      </c>
      <c r="GX13" s="757">
        <v>62</v>
      </c>
      <c r="GY13" s="757">
        <v>73</v>
      </c>
      <c r="GZ13" s="757">
        <v>64</v>
      </c>
      <c r="HA13" s="757">
        <v>76</v>
      </c>
      <c r="HB13" s="515"/>
      <c r="HC13" s="515"/>
      <c r="HH13" s="398"/>
      <c r="HI13" s="398"/>
      <c r="HJ13" s="398"/>
      <c r="HK13" s="398"/>
      <c r="HL13" s="398"/>
      <c r="HM13" s="398"/>
      <c r="HN13" s="398"/>
      <c r="HO13" s="398"/>
      <c r="HR13" s="398"/>
      <c r="HS13" s="398"/>
      <c r="HT13" s="398"/>
      <c r="HU13" s="398"/>
      <c r="HV13" s="398"/>
      <c r="HW13" s="398"/>
      <c r="HX13" s="398"/>
    </row>
    <row r="14" spans="1:232" ht="14.1" customHeight="1">
      <c r="A14" s="740" t="s">
        <v>3560</v>
      </c>
      <c r="B14" s="690">
        <v>481</v>
      </c>
      <c r="C14" s="738">
        <v>497</v>
      </c>
      <c r="D14" s="738">
        <v>519</v>
      </c>
      <c r="E14" s="525">
        <v>490</v>
      </c>
      <c r="F14" s="525">
        <v>515</v>
      </c>
      <c r="G14" s="738">
        <v>497</v>
      </c>
      <c r="H14" s="738"/>
      <c r="J14" s="676" t="s">
        <v>3635</v>
      </c>
      <c r="K14" s="759" t="s">
        <v>2198</v>
      </c>
      <c r="L14" s="760">
        <v>202</v>
      </c>
      <c r="M14" s="760">
        <v>233</v>
      </c>
      <c r="N14" s="760">
        <v>272</v>
      </c>
      <c r="O14" s="760">
        <v>294</v>
      </c>
      <c r="P14" s="749">
        <v>319</v>
      </c>
      <c r="Q14" s="718"/>
      <c r="S14" s="386" t="s">
        <v>3636</v>
      </c>
      <c r="T14" s="386" t="s">
        <v>2177</v>
      </c>
      <c r="U14" s="738">
        <f t="shared" si="29"/>
        <v>900</v>
      </c>
      <c r="V14" s="757" t="s">
        <v>1627</v>
      </c>
      <c r="W14" s="757" t="s">
        <v>1627</v>
      </c>
      <c r="X14" s="757" t="s">
        <v>1627</v>
      </c>
      <c r="Y14" s="757" t="s">
        <v>1627</v>
      </c>
      <c r="Z14" s="757" t="s">
        <v>1627</v>
      </c>
      <c r="AA14" s="757" t="s">
        <v>1627</v>
      </c>
      <c r="AB14" s="757" t="s">
        <v>1627</v>
      </c>
      <c r="AC14" s="757" t="s">
        <v>1626</v>
      </c>
      <c r="AD14" s="754">
        <v>297</v>
      </c>
      <c r="AE14" s="754">
        <v>300</v>
      </c>
      <c r="AF14" s="754">
        <v>303</v>
      </c>
      <c r="AG14" s="757" t="s">
        <v>1627</v>
      </c>
      <c r="AH14" s="757" t="s">
        <v>1627</v>
      </c>
      <c r="AI14" s="757" t="s">
        <v>1627</v>
      </c>
      <c r="AJ14" s="757" t="s">
        <v>1627</v>
      </c>
      <c r="AN14" s="674" t="s">
        <v>3562</v>
      </c>
      <c r="AO14" s="737">
        <v>8587</v>
      </c>
      <c r="AP14" s="515">
        <v>8779</v>
      </c>
      <c r="AQ14" s="515">
        <v>9079</v>
      </c>
      <c r="AR14" s="515">
        <v>9340</v>
      </c>
      <c r="AS14" s="463">
        <v>9235</v>
      </c>
      <c r="AT14" s="754">
        <v>9201</v>
      </c>
      <c r="AU14" s="737"/>
      <c r="AV14" s="738"/>
      <c r="AW14" s="398"/>
      <c r="BU14" s="398" t="s">
        <v>3637</v>
      </c>
      <c r="BV14" s="757">
        <v>649</v>
      </c>
      <c r="BW14" s="751">
        <f>BV14/BV4*100</f>
        <v>4.1387666602895221</v>
      </c>
      <c r="BX14" s="757">
        <v>961</v>
      </c>
      <c r="BY14" s="751">
        <f t="shared" si="11"/>
        <v>5.3187956608368383</v>
      </c>
      <c r="BZ14" s="757" t="s">
        <v>2825</v>
      </c>
      <c r="CA14" s="751" t="s">
        <v>546</v>
      </c>
      <c r="CB14" s="744"/>
      <c r="CE14" s="398" t="s">
        <v>3638</v>
      </c>
      <c r="CF14" s="515">
        <v>115</v>
      </c>
      <c r="CG14" s="515">
        <v>118</v>
      </c>
      <c r="CH14" s="515">
        <v>113</v>
      </c>
      <c r="CI14" s="398">
        <v>109</v>
      </c>
      <c r="CJ14" s="463">
        <v>113</v>
      </c>
      <c r="CK14" s="515">
        <v>122</v>
      </c>
      <c r="CL14" s="515"/>
      <c r="CN14" s="386" t="s">
        <v>3639</v>
      </c>
      <c r="CO14" s="463">
        <v>647</v>
      </c>
      <c r="CP14" s="463">
        <v>747</v>
      </c>
      <c r="CQ14" s="463">
        <v>726</v>
      </c>
      <c r="CR14" s="463">
        <v>712</v>
      </c>
      <c r="CS14" s="463">
        <v>706</v>
      </c>
      <c r="CT14" s="463">
        <v>728</v>
      </c>
      <c r="CU14" s="463">
        <v>739</v>
      </c>
      <c r="CV14" s="463">
        <v>815</v>
      </c>
      <c r="CW14" s="463">
        <v>879</v>
      </c>
      <c r="CX14" s="463">
        <v>904</v>
      </c>
      <c r="CY14" s="753"/>
      <c r="CZ14" s="737"/>
      <c r="DA14" s="737"/>
      <c r="DB14" s="740" t="s">
        <v>3640</v>
      </c>
      <c r="DC14" s="690">
        <v>2</v>
      </c>
      <c r="DD14" s="690">
        <v>3</v>
      </c>
      <c r="DE14" s="690">
        <v>1</v>
      </c>
      <c r="DF14" s="690">
        <v>0</v>
      </c>
      <c r="DG14" s="690">
        <v>4</v>
      </c>
      <c r="DH14" s="690">
        <v>1</v>
      </c>
      <c r="DI14" s="737">
        <v>0</v>
      </c>
      <c r="DJ14" s="737">
        <v>1</v>
      </c>
      <c r="DK14" s="737">
        <v>5</v>
      </c>
      <c r="DL14" s="737">
        <v>3</v>
      </c>
      <c r="DQ14" s="737"/>
      <c r="DR14" s="737"/>
      <c r="DS14" s="387" t="s">
        <v>3641</v>
      </c>
      <c r="DT14" s="387">
        <v>34</v>
      </c>
      <c r="DU14" s="387">
        <v>32</v>
      </c>
      <c r="DV14" s="387">
        <v>41</v>
      </c>
      <c r="DW14" s="387">
        <v>33</v>
      </c>
      <c r="DX14" s="387">
        <v>36</v>
      </c>
      <c r="DY14" s="387">
        <v>37</v>
      </c>
      <c r="DZ14" s="387">
        <v>40</v>
      </c>
      <c r="EA14" s="387">
        <v>40</v>
      </c>
      <c r="EB14" s="387">
        <v>40</v>
      </c>
      <c r="EC14" s="387">
        <v>31</v>
      </c>
      <c r="ED14" s="730">
        <v>45</v>
      </c>
      <c r="EE14" s="730">
        <v>39</v>
      </c>
      <c r="EF14" s="705"/>
      <c r="ET14" s="398"/>
      <c r="EU14" s="398"/>
      <c r="EV14" s="398"/>
      <c r="EW14" s="398"/>
      <c r="EX14" s="398"/>
      <c r="EY14" s="398"/>
      <c r="EZ14" s="515"/>
      <c r="FA14" s="515"/>
      <c r="FB14" s="737"/>
      <c r="FC14" s="674" t="s">
        <v>3642</v>
      </c>
      <c r="FD14" s="738">
        <f>SUM(FE14,FG14,FI14,FK14,FM14)</f>
        <v>3875</v>
      </c>
      <c r="FE14" s="738">
        <v>2092</v>
      </c>
      <c r="FF14" s="765">
        <f t="shared" si="22"/>
        <v>53.987096774193546</v>
      </c>
      <c r="FG14" s="738">
        <v>1428</v>
      </c>
      <c r="FH14" s="765">
        <f>FG14/FD14*100</f>
        <v>36.851612903225806</v>
      </c>
      <c r="FI14" s="690">
        <v>313</v>
      </c>
      <c r="FJ14" s="765">
        <f>FI14/FD14*100</f>
        <v>8.0774193548387085</v>
      </c>
      <c r="FK14" s="690">
        <v>0</v>
      </c>
      <c r="FL14" s="765">
        <f>FK14/FD14*100</f>
        <v>0</v>
      </c>
      <c r="FM14" s="690">
        <v>42</v>
      </c>
      <c r="FN14" s="765">
        <f>FM14/FD14*100</f>
        <v>1.0838709677419356</v>
      </c>
      <c r="FO14" s="738">
        <v>3875</v>
      </c>
      <c r="FP14" s="737"/>
      <c r="FQ14" s="737"/>
      <c r="FR14" s="398"/>
      <c r="FS14" s="398" t="s">
        <v>3643</v>
      </c>
      <c r="FT14" s="398">
        <v>75</v>
      </c>
      <c r="FU14" s="398">
        <v>64</v>
      </c>
      <c r="FV14" s="398">
        <v>70</v>
      </c>
      <c r="FW14" s="398">
        <v>84</v>
      </c>
      <c r="FX14" s="398">
        <v>101</v>
      </c>
      <c r="FY14" s="398">
        <v>103</v>
      </c>
      <c r="FZ14" s="398"/>
      <c r="GC14" s="387" t="s">
        <v>3644</v>
      </c>
      <c r="GD14" s="387"/>
      <c r="GE14" s="387"/>
      <c r="GF14" s="387"/>
      <c r="GG14" s="387"/>
      <c r="GH14" s="387"/>
      <c r="GI14" s="398"/>
      <c r="GJ14" s="385"/>
      <c r="GL14" s="386" t="s">
        <v>3585</v>
      </c>
      <c r="GM14" s="385">
        <v>63</v>
      </c>
      <c r="GN14" s="385">
        <v>51</v>
      </c>
      <c r="GO14" s="385">
        <v>56</v>
      </c>
      <c r="GP14" s="385">
        <v>71</v>
      </c>
      <c r="GQ14" s="385">
        <v>65</v>
      </c>
      <c r="GR14" s="385"/>
      <c r="GS14" s="571"/>
      <c r="GU14" s="777" t="s">
        <v>3645</v>
      </c>
      <c r="GV14" s="757">
        <v>35</v>
      </c>
      <c r="GW14" s="757">
        <v>34</v>
      </c>
      <c r="GX14" s="757">
        <v>32</v>
      </c>
      <c r="GY14" s="757">
        <v>24</v>
      </c>
      <c r="GZ14" s="757">
        <v>17</v>
      </c>
      <c r="HA14" s="757">
        <v>30</v>
      </c>
      <c r="HB14" s="515"/>
      <c r="HC14" s="515"/>
      <c r="HH14" s="398"/>
      <c r="HI14" s="398"/>
      <c r="HJ14" s="398"/>
      <c r="HK14" s="398"/>
      <c r="HL14" s="398"/>
      <c r="HM14" s="398"/>
      <c r="HN14" s="398"/>
      <c r="HO14" s="398"/>
      <c r="HR14" s="398"/>
      <c r="HS14" s="398"/>
      <c r="HT14" s="398"/>
      <c r="HU14" s="398"/>
      <c r="HV14" s="398"/>
      <c r="HW14" s="398"/>
      <c r="HX14" s="398"/>
    </row>
    <row r="15" spans="1:232" ht="14.1" customHeight="1">
      <c r="A15" s="740" t="s">
        <v>3574</v>
      </c>
      <c r="B15" s="690">
        <v>437</v>
      </c>
      <c r="C15" s="738">
        <v>474</v>
      </c>
      <c r="D15" s="738">
        <v>453</v>
      </c>
      <c r="E15" s="525">
        <v>491</v>
      </c>
      <c r="F15" s="525">
        <v>471</v>
      </c>
      <c r="G15" s="738">
        <v>452</v>
      </c>
      <c r="H15" s="738"/>
      <c r="J15" s="676" t="s">
        <v>2276</v>
      </c>
      <c r="K15" s="759" t="s">
        <v>2276</v>
      </c>
      <c r="L15" s="760">
        <v>191</v>
      </c>
      <c r="M15" s="760">
        <v>216</v>
      </c>
      <c r="N15" s="760">
        <v>247</v>
      </c>
      <c r="O15" s="760">
        <v>224</v>
      </c>
      <c r="P15" s="749">
        <v>228</v>
      </c>
      <c r="Q15" s="718"/>
      <c r="S15" s="386" t="s">
        <v>3614</v>
      </c>
      <c r="T15" s="386" t="s">
        <v>2208</v>
      </c>
      <c r="U15" s="738">
        <f t="shared" si="29"/>
        <v>628</v>
      </c>
      <c r="V15" s="737">
        <v>35</v>
      </c>
      <c r="W15" s="738">
        <v>0</v>
      </c>
      <c r="X15" s="738">
        <v>82</v>
      </c>
      <c r="Y15" s="738">
        <v>100</v>
      </c>
      <c r="Z15" s="738">
        <v>89</v>
      </c>
      <c r="AA15" s="738">
        <v>105</v>
      </c>
      <c r="AB15" s="738">
        <v>105</v>
      </c>
      <c r="AC15" s="738">
        <v>112</v>
      </c>
      <c r="AD15" s="757" t="s">
        <v>1627</v>
      </c>
      <c r="AE15" s="757" t="s">
        <v>1627</v>
      </c>
      <c r="AF15" s="757" t="s">
        <v>1627</v>
      </c>
      <c r="AG15" s="757" t="s">
        <v>1627</v>
      </c>
      <c r="AH15" s="757" t="s">
        <v>1627</v>
      </c>
      <c r="AI15" s="757" t="s">
        <v>1627</v>
      </c>
      <c r="AJ15" s="757" t="s">
        <v>1627</v>
      </c>
      <c r="AN15" s="674" t="s">
        <v>3577</v>
      </c>
      <c r="AO15" s="737">
        <v>1717</v>
      </c>
      <c r="AP15" s="515">
        <v>1589</v>
      </c>
      <c r="AQ15" s="515">
        <v>1724</v>
      </c>
      <c r="AR15" s="515">
        <v>1656</v>
      </c>
      <c r="AS15" s="463">
        <v>1610</v>
      </c>
      <c r="AT15" s="515">
        <v>1900</v>
      </c>
      <c r="AU15" s="737"/>
      <c r="AV15" s="738"/>
      <c r="AW15" s="398"/>
      <c r="AX15" s="398" t="s">
        <v>3646</v>
      </c>
      <c r="BT15" s="702"/>
      <c r="BU15" s="387" t="s">
        <v>3647</v>
      </c>
      <c r="BV15" s="766">
        <v>29</v>
      </c>
      <c r="BW15" s="784">
        <f>BV15/BV4*100</f>
        <v>0.18493718512849947</v>
      </c>
      <c r="BX15" s="766">
        <v>52</v>
      </c>
      <c r="BY15" s="784">
        <f>BX15/BX4*100</f>
        <v>0.28780163825547933</v>
      </c>
      <c r="BZ15" s="766">
        <v>38</v>
      </c>
      <c r="CA15" s="784">
        <f t="shared" si="30"/>
        <v>0.19642303318515453</v>
      </c>
      <c r="CE15" s="398" t="s">
        <v>3648</v>
      </c>
      <c r="CF15" s="515">
        <v>61</v>
      </c>
      <c r="CG15" s="515">
        <v>57</v>
      </c>
      <c r="CH15" s="515">
        <v>56</v>
      </c>
      <c r="CI15" s="398">
        <v>49</v>
      </c>
      <c r="CJ15" s="463">
        <v>44</v>
      </c>
      <c r="CK15" s="515">
        <v>56</v>
      </c>
      <c r="CL15" s="515"/>
      <c r="CN15" s="386" t="s">
        <v>3649</v>
      </c>
      <c r="CO15" s="463">
        <v>347</v>
      </c>
      <c r="CP15" s="463">
        <v>314</v>
      </c>
      <c r="CQ15" s="463">
        <v>279</v>
      </c>
      <c r="CR15" s="463">
        <v>282</v>
      </c>
      <c r="CS15" s="463">
        <v>293</v>
      </c>
      <c r="CT15" s="463">
        <v>244</v>
      </c>
      <c r="CU15" s="463">
        <v>338</v>
      </c>
      <c r="CV15" s="463">
        <v>293</v>
      </c>
      <c r="CW15" s="463">
        <v>331</v>
      </c>
      <c r="CX15" s="463">
        <v>304</v>
      </c>
      <c r="CY15" s="753"/>
      <c r="CZ15" s="737"/>
      <c r="DA15" s="737"/>
      <c r="DB15" s="740" t="s">
        <v>2597</v>
      </c>
      <c r="DC15" s="690">
        <v>0</v>
      </c>
      <c r="DD15" s="690">
        <v>0</v>
      </c>
      <c r="DE15" s="690">
        <v>0</v>
      </c>
      <c r="DF15" s="690">
        <v>0</v>
      </c>
      <c r="DG15" s="690">
        <v>0</v>
      </c>
      <c r="DH15" s="690">
        <v>0</v>
      </c>
      <c r="DI15" s="738">
        <v>0</v>
      </c>
      <c r="DJ15" s="738">
        <v>0</v>
      </c>
      <c r="DK15" s="738">
        <v>0</v>
      </c>
      <c r="DL15" s="738">
        <v>0</v>
      </c>
      <c r="DQ15" s="737"/>
      <c r="DR15" s="737"/>
      <c r="DS15" s="398" t="s">
        <v>3629</v>
      </c>
      <c r="DT15" s="398"/>
      <c r="DU15" s="398"/>
      <c r="DV15" s="398"/>
      <c r="DW15" s="398"/>
      <c r="DX15" s="398"/>
      <c r="DY15" s="398"/>
      <c r="DZ15" s="398"/>
      <c r="EA15" s="398"/>
      <c r="EB15" s="398"/>
      <c r="EC15" s="398"/>
      <c r="ED15" s="398"/>
      <c r="EE15" s="398"/>
      <c r="EF15" s="398"/>
      <c r="ET15" s="398" t="s">
        <v>3650</v>
      </c>
      <c r="EU15" s="515">
        <f>SUM(EU16:EU17)</f>
        <v>2518</v>
      </c>
      <c r="EV15" s="515">
        <f>SUM(EV16:EV17)</f>
        <v>2573</v>
      </c>
      <c r="EW15" s="515">
        <f>SUM(EW16:EW17)</f>
        <v>2624</v>
      </c>
      <c r="EX15" s="515">
        <f>SUM(EX16:EX17)</f>
        <v>2742</v>
      </c>
      <c r="EY15" s="515">
        <f>SUM(EY16:EY17)</f>
        <v>3096</v>
      </c>
      <c r="EZ15" s="515"/>
      <c r="FA15" s="515"/>
      <c r="FC15" s="674" t="s">
        <v>3651</v>
      </c>
      <c r="FD15" s="738">
        <f>SUM(FE15,FG15,FI15,FK15,FM15)</f>
        <v>3991</v>
      </c>
      <c r="FE15" s="738">
        <v>2109</v>
      </c>
      <c r="FF15" s="765">
        <f t="shared" si="22"/>
        <v>52.84389877223753</v>
      </c>
      <c r="FG15" s="738">
        <v>1537</v>
      </c>
      <c r="FH15" s="765">
        <f>FG15/FD15*100</f>
        <v>38.511651215234281</v>
      </c>
      <c r="FI15" s="690">
        <v>295</v>
      </c>
      <c r="FJ15" s="765">
        <f>FI15/FD15*100</f>
        <v>7.3916311701327997</v>
      </c>
      <c r="FK15" s="690">
        <v>3</v>
      </c>
      <c r="FL15" s="765">
        <f>FK15/FD15*100</f>
        <v>7.5169130543723373E-2</v>
      </c>
      <c r="FM15" s="690">
        <v>47</v>
      </c>
      <c r="FN15" s="765">
        <f>FM15/FD15*100</f>
        <v>1.1776497118516662</v>
      </c>
      <c r="FO15" s="738">
        <v>3972</v>
      </c>
      <c r="FR15" s="398"/>
      <c r="FS15" s="398" t="s">
        <v>3652</v>
      </c>
      <c r="FT15" s="398">
        <v>0</v>
      </c>
      <c r="FU15" s="398">
        <v>0</v>
      </c>
      <c r="FV15" s="398">
        <v>0</v>
      </c>
      <c r="FW15" s="398">
        <v>0</v>
      </c>
      <c r="FX15" s="398">
        <v>0</v>
      </c>
      <c r="FY15" s="398">
        <v>1</v>
      </c>
      <c r="FZ15" s="398"/>
      <c r="GC15" s="398"/>
      <c r="GD15" s="688" t="s">
        <v>3438</v>
      </c>
      <c r="GE15" s="688" t="s">
        <v>3439</v>
      </c>
      <c r="GF15" s="688" t="s">
        <v>3440</v>
      </c>
      <c r="GG15" s="688" t="s">
        <v>3441</v>
      </c>
      <c r="GH15" s="419" t="s">
        <v>3442</v>
      </c>
      <c r="GI15" s="385"/>
      <c r="GJ15" s="385"/>
      <c r="GL15" s="386" t="s">
        <v>3653</v>
      </c>
      <c r="GM15" s="398">
        <v>21</v>
      </c>
      <c r="GN15" s="385">
        <v>21</v>
      </c>
      <c r="GO15" s="385">
        <v>34</v>
      </c>
      <c r="GP15" s="385">
        <v>28</v>
      </c>
      <c r="GQ15" s="385">
        <v>33</v>
      </c>
      <c r="GR15" s="385"/>
      <c r="GS15" s="571"/>
      <c r="GU15" s="785" t="s">
        <v>3558</v>
      </c>
      <c r="GV15" s="786">
        <v>0</v>
      </c>
      <c r="GW15" s="786">
        <v>0</v>
      </c>
      <c r="GX15" s="786">
        <v>0</v>
      </c>
      <c r="GY15" s="786">
        <v>0</v>
      </c>
      <c r="GZ15" s="786">
        <v>0</v>
      </c>
      <c r="HA15" s="786">
        <v>0</v>
      </c>
      <c r="HB15" s="515"/>
      <c r="HC15" s="515"/>
      <c r="HR15" s="398"/>
      <c r="HS15" s="398"/>
      <c r="HT15" s="398"/>
      <c r="HU15" s="398"/>
      <c r="HV15" s="398"/>
      <c r="HW15" s="398"/>
      <c r="HX15" s="398"/>
    </row>
    <row r="16" spans="1:232" ht="14.1" customHeight="1">
      <c r="A16" s="398" t="s">
        <v>3577</v>
      </c>
      <c r="B16" s="398">
        <v>92</v>
      </c>
      <c r="C16" s="754">
        <v>92</v>
      </c>
      <c r="D16" s="754">
        <v>80</v>
      </c>
      <c r="E16" s="515">
        <v>90</v>
      </c>
      <c r="F16" s="515">
        <v>80</v>
      </c>
      <c r="G16" s="754" t="s">
        <v>546</v>
      </c>
      <c r="H16" s="754"/>
      <c r="J16" s="676" t="s">
        <v>3654</v>
      </c>
      <c r="K16" s="759" t="s">
        <v>2177</v>
      </c>
      <c r="L16" s="760">
        <v>360</v>
      </c>
      <c r="M16" s="760">
        <v>361</v>
      </c>
      <c r="N16" s="760">
        <v>413</v>
      </c>
      <c r="O16" s="760">
        <v>462</v>
      </c>
      <c r="P16" s="749">
        <v>500</v>
      </c>
      <c r="Q16" s="718"/>
      <c r="S16" s="386" t="s">
        <v>3655</v>
      </c>
      <c r="T16" s="386" t="s">
        <v>2208</v>
      </c>
      <c r="U16" s="738">
        <f t="shared" si="29"/>
        <v>858</v>
      </c>
      <c r="V16" s="757" t="s">
        <v>1627</v>
      </c>
      <c r="W16" s="757" t="s">
        <v>1627</v>
      </c>
      <c r="X16" s="757" t="s">
        <v>1627</v>
      </c>
      <c r="Y16" s="757" t="s">
        <v>1627</v>
      </c>
      <c r="Z16" s="757" t="s">
        <v>1627</v>
      </c>
      <c r="AA16" s="757" t="s">
        <v>1627</v>
      </c>
      <c r="AB16" s="757" t="s">
        <v>1627</v>
      </c>
      <c r="AC16" s="757" t="s">
        <v>1627</v>
      </c>
      <c r="AD16" s="754">
        <v>275</v>
      </c>
      <c r="AE16" s="754">
        <v>304</v>
      </c>
      <c r="AF16" s="754">
        <v>279</v>
      </c>
      <c r="AG16" s="757" t="s">
        <v>1627</v>
      </c>
      <c r="AH16" s="757" t="s">
        <v>1627</v>
      </c>
      <c r="AI16" s="757" t="s">
        <v>1627</v>
      </c>
      <c r="AJ16" s="757" t="s">
        <v>1627</v>
      </c>
      <c r="AP16" s="398"/>
      <c r="AQ16" s="398"/>
      <c r="AR16" s="398"/>
      <c r="AS16" s="398"/>
      <c r="AT16" s="515"/>
      <c r="AU16" s="737"/>
      <c r="AW16" s="398"/>
      <c r="AX16" s="387" t="s">
        <v>3656</v>
      </c>
      <c r="BI16" s="702"/>
      <c r="BJ16" s="702"/>
      <c r="BK16" s="702"/>
      <c r="BL16" s="702"/>
      <c r="BM16" s="702"/>
      <c r="BN16" s="702"/>
      <c r="BO16" s="702"/>
      <c r="BP16" s="702"/>
      <c r="BQ16" s="702"/>
      <c r="BR16" s="702"/>
      <c r="BS16" s="702"/>
      <c r="BT16" s="690"/>
      <c r="BU16" s="398" t="s">
        <v>3657</v>
      </c>
      <c r="BV16" s="398"/>
      <c r="BW16" s="398"/>
      <c r="CE16" s="398"/>
      <c r="CF16" s="398"/>
      <c r="CG16" s="398"/>
      <c r="CH16" s="398"/>
      <c r="CI16" s="398"/>
      <c r="CJ16" s="398"/>
      <c r="CK16" s="515"/>
      <c r="CL16" s="515"/>
      <c r="CN16" s="384" t="s">
        <v>3658</v>
      </c>
      <c r="CO16" s="497">
        <v>31</v>
      </c>
      <c r="CP16" s="497">
        <v>35</v>
      </c>
      <c r="CQ16" s="497">
        <v>44</v>
      </c>
      <c r="CR16" s="497">
        <v>28</v>
      </c>
      <c r="CS16" s="497">
        <v>46</v>
      </c>
      <c r="CT16" s="497">
        <v>90</v>
      </c>
      <c r="CU16" s="497">
        <v>25</v>
      </c>
      <c r="CV16" s="497">
        <v>41</v>
      </c>
      <c r="CW16" s="497">
        <v>22</v>
      </c>
      <c r="CX16" s="497">
        <v>30</v>
      </c>
      <c r="CY16" s="753"/>
      <c r="CZ16" s="737"/>
      <c r="DA16" s="737"/>
      <c r="DG16" s="737"/>
      <c r="DH16" s="737"/>
      <c r="DI16" s="737"/>
      <c r="DJ16" s="737"/>
      <c r="DK16" s="738"/>
      <c r="DL16" s="738"/>
      <c r="DQ16" s="737"/>
      <c r="DR16" s="737"/>
      <c r="DS16" s="685"/>
      <c r="DT16" s="685"/>
      <c r="DU16" s="685"/>
      <c r="DV16" s="685"/>
      <c r="DW16" s="685"/>
      <c r="DX16" s="685"/>
      <c r="DY16" s="685"/>
      <c r="DZ16" s="685"/>
      <c r="EA16" s="685"/>
      <c r="EB16" s="685"/>
      <c r="EC16" s="685"/>
      <c r="ED16" s="685"/>
      <c r="EE16" s="685"/>
      <c r="EF16" s="685"/>
      <c r="ET16" s="398" t="s">
        <v>3490</v>
      </c>
      <c r="EU16" s="515">
        <v>2002</v>
      </c>
      <c r="EV16" s="515">
        <v>1982</v>
      </c>
      <c r="EW16" s="515">
        <v>2022</v>
      </c>
      <c r="EX16" s="515">
        <v>2085</v>
      </c>
      <c r="EY16" s="515">
        <v>2402</v>
      </c>
      <c r="EZ16" s="515"/>
      <c r="FA16" s="515"/>
      <c r="FB16" s="737"/>
      <c r="FC16" s="674" t="s">
        <v>3659</v>
      </c>
      <c r="FD16" s="737">
        <f>SUM(FE16,FG16,FI16,FK16,FM16)</f>
        <v>3958</v>
      </c>
      <c r="FE16" s="738">
        <v>2086</v>
      </c>
      <c r="FF16" s="765">
        <f t="shared" si="22"/>
        <v>52.703385548256698</v>
      </c>
      <c r="FG16" s="738">
        <v>1521</v>
      </c>
      <c r="FH16" s="765">
        <f>FG16/FD16*100</f>
        <v>38.42849924204144</v>
      </c>
      <c r="FI16" s="690">
        <v>298</v>
      </c>
      <c r="FJ16" s="765">
        <f>FI16/FD16*100</f>
        <v>7.5290550783223846</v>
      </c>
      <c r="FK16" s="690">
        <v>8</v>
      </c>
      <c r="FL16" s="765">
        <f>FK16/FD16*100</f>
        <v>0.20212228398180901</v>
      </c>
      <c r="FM16" s="690">
        <v>45</v>
      </c>
      <c r="FN16" s="765">
        <f>FM16/FD16*100</f>
        <v>1.1369378473976757</v>
      </c>
      <c r="FO16" s="738">
        <v>3958</v>
      </c>
      <c r="FP16" s="737"/>
      <c r="FQ16" s="737"/>
      <c r="FR16" s="398"/>
      <c r="FS16" s="398" t="s">
        <v>3660</v>
      </c>
      <c r="FT16" s="519" t="s">
        <v>546</v>
      </c>
      <c r="FU16" s="519" t="s">
        <v>546</v>
      </c>
      <c r="FV16" s="519" t="s">
        <v>546</v>
      </c>
      <c r="FW16" s="519" t="s">
        <v>546</v>
      </c>
      <c r="FX16" s="519" t="s">
        <v>546</v>
      </c>
      <c r="FY16" s="519" t="s">
        <v>546</v>
      </c>
      <c r="FZ16" s="519"/>
      <c r="GC16" s="387" t="s">
        <v>3661</v>
      </c>
      <c r="GD16" s="725">
        <v>2025</v>
      </c>
      <c r="GE16" s="725">
        <v>2024</v>
      </c>
      <c r="GF16" s="725">
        <v>2023</v>
      </c>
      <c r="GG16" s="725">
        <v>2022</v>
      </c>
      <c r="GH16" s="726">
        <v>2021</v>
      </c>
      <c r="GI16" s="398"/>
      <c r="GJ16" s="515"/>
      <c r="GL16" s="386" t="s">
        <v>3662</v>
      </c>
      <c r="GM16" s="398">
        <v>24</v>
      </c>
      <c r="GN16" s="385">
        <v>15</v>
      </c>
      <c r="GO16" s="385">
        <v>21</v>
      </c>
      <c r="GP16" s="385">
        <v>19</v>
      </c>
      <c r="GQ16" s="385">
        <v>23</v>
      </c>
      <c r="GR16" s="385"/>
      <c r="GS16" s="571"/>
      <c r="GU16" s="386" t="s">
        <v>3572</v>
      </c>
      <c r="GV16" s="386"/>
      <c r="GW16" s="386"/>
      <c r="GX16" s="757"/>
      <c r="GY16" s="757"/>
      <c r="GZ16" s="757"/>
      <c r="HA16" s="585"/>
      <c r="HB16" s="515"/>
      <c r="HC16" s="515" t="s">
        <v>3663</v>
      </c>
      <c r="HR16" s="398"/>
      <c r="HS16" s="398"/>
      <c r="HT16" s="398"/>
      <c r="HU16" s="398"/>
      <c r="HV16" s="398"/>
      <c r="HW16" s="398"/>
      <c r="HX16" s="398"/>
    </row>
    <row r="17" spans="1:232" ht="14.1" customHeight="1">
      <c r="G17" s="738"/>
      <c r="H17" s="738"/>
      <c r="J17" s="676" t="s">
        <v>3664</v>
      </c>
      <c r="K17" s="759" t="s">
        <v>3665</v>
      </c>
      <c r="L17" s="760">
        <v>483</v>
      </c>
      <c r="M17" s="760">
        <v>476</v>
      </c>
      <c r="N17" s="760">
        <v>495</v>
      </c>
      <c r="O17" s="760">
        <v>500</v>
      </c>
      <c r="P17" s="749">
        <v>485</v>
      </c>
      <c r="Q17" s="718"/>
      <c r="S17" s="386" t="s">
        <v>3666</v>
      </c>
      <c r="T17" s="386" t="s">
        <v>2208</v>
      </c>
      <c r="U17" s="738">
        <f t="shared" si="29"/>
        <v>408</v>
      </c>
      <c r="V17" s="737">
        <v>16</v>
      </c>
      <c r="W17" s="738">
        <v>13</v>
      </c>
      <c r="X17" s="738">
        <v>57</v>
      </c>
      <c r="Y17" s="738">
        <v>64</v>
      </c>
      <c r="Z17" s="738">
        <v>56</v>
      </c>
      <c r="AA17" s="738">
        <v>70</v>
      </c>
      <c r="AB17" s="738">
        <v>72</v>
      </c>
      <c r="AC17" s="738">
        <v>60</v>
      </c>
      <c r="AD17" s="757" t="s">
        <v>1627</v>
      </c>
      <c r="AE17" s="757" t="s">
        <v>1627</v>
      </c>
      <c r="AF17" s="757" t="s">
        <v>1627</v>
      </c>
      <c r="AG17" s="757" t="s">
        <v>1627</v>
      </c>
      <c r="AH17" s="757" t="s">
        <v>1627</v>
      </c>
      <c r="AI17" s="757" t="s">
        <v>1627</v>
      </c>
      <c r="AJ17" s="757" t="s">
        <v>1627</v>
      </c>
      <c r="AN17" s="398" t="s">
        <v>3667</v>
      </c>
      <c r="AO17" s="515">
        <f>SUM(AO18:AO20)</f>
        <v>2086</v>
      </c>
      <c r="AP17" s="463">
        <f>SUM(AP18:AP20)</f>
        <v>2092</v>
      </c>
      <c r="AQ17" s="463">
        <f>SUM(AQ18:AQ20)</f>
        <v>2127</v>
      </c>
      <c r="AR17" s="463">
        <f>SUM(AR18:AR20)</f>
        <v>2209</v>
      </c>
      <c r="AS17" s="463">
        <f>SUM(AS18:AS20)</f>
        <v>2174</v>
      </c>
      <c r="AT17" s="754">
        <f t="shared" ref="AT17" si="37">SUM(AT18:AT20)</f>
        <v>2279</v>
      </c>
      <c r="AU17" s="754"/>
      <c r="AV17" s="737"/>
      <c r="AW17" s="398"/>
      <c r="AY17" s="2127" t="s">
        <v>3668</v>
      </c>
      <c r="AZ17" s="2128"/>
      <c r="BA17" s="2128"/>
      <c r="BB17" s="2137" t="s">
        <v>3669</v>
      </c>
      <c r="BC17" s="2138"/>
      <c r="BD17" s="2138"/>
      <c r="BE17" s="2137" t="s">
        <v>3670</v>
      </c>
      <c r="BF17" s="2138"/>
      <c r="BG17" s="2138"/>
      <c r="BH17" s="702"/>
      <c r="BI17" s="690"/>
      <c r="BJ17" s="690"/>
      <c r="BK17" s="690"/>
      <c r="BL17" s="690"/>
      <c r="BM17" s="690"/>
      <c r="BN17" s="690"/>
      <c r="BO17" s="690"/>
      <c r="BP17" s="515"/>
      <c r="BQ17" s="515"/>
      <c r="BR17" s="754"/>
      <c r="BS17" s="690"/>
      <c r="BT17" s="690"/>
      <c r="BU17" s="398" t="s">
        <v>3671</v>
      </c>
      <c r="BY17" s="744"/>
      <c r="BZ17" s="737"/>
      <c r="CE17" s="398" t="s">
        <v>3672</v>
      </c>
      <c r="CF17" s="515">
        <f>SUM(CF18:CF27)</f>
        <v>3210</v>
      </c>
      <c r="CG17" s="515">
        <f>SUM(CG18:CG27)</f>
        <v>3368</v>
      </c>
      <c r="CH17" s="515">
        <f>SUM(CH18:CH27)</f>
        <v>3649</v>
      </c>
      <c r="CI17" s="463">
        <f t="shared" ref="CI17:CK17" si="38">SUM(CI18:CI27)</f>
        <v>3699</v>
      </c>
      <c r="CJ17" s="463">
        <f t="shared" si="38"/>
        <v>3594</v>
      </c>
      <c r="CK17" s="515">
        <f t="shared" si="38"/>
        <v>3755</v>
      </c>
      <c r="CL17" s="515"/>
      <c r="CN17" s="398" t="s">
        <v>3629</v>
      </c>
      <c r="CO17" s="398"/>
      <c r="CP17" s="398"/>
      <c r="CQ17" s="398"/>
      <c r="CR17" s="398"/>
      <c r="CS17" s="398"/>
      <c r="CT17" s="398"/>
      <c r="CU17" s="398"/>
      <c r="CV17" s="398"/>
      <c r="CW17" s="398"/>
      <c r="CX17" s="398"/>
      <c r="DB17" s="740" t="s">
        <v>3673</v>
      </c>
      <c r="DC17" s="738">
        <f t="shared" ref="DC17:DL17" si="39">SUM(DC18:DC26)</f>
        <v>1424</v>
      </c>
      <c r="DD17" s="738">
        <f t="shared" si="39"/>
        <v>1330</v>
      </c>
      <c r="DE17" s="738">
        <f t="shared" si="39"/>
        <v>1493</v>
      </c>
      <c r="DF17" s="738">
        <f t="shared" si="39"/>
        <v>1311</v>
      </c>
      <c r="DG17" s="737">
        <f t="shared" si="39"/>
        <v>1513</v>
      </c>
      <c r="DH17" s="737">
        <f t="shared" si="39"/>
        <v>1350</v>
      </c>
      <c r="DI17" s="737">
        <f t="shared" si="39"/>
        <v>1588</v>
      </c>
      <c r="DJ17" s="737">
        <f t="shared" si="39"/>
        <v>1476</v>
      </c>
      <c r="DK17" s="738">
        <f t="shared" si="39"/>
        <v>1814</v>
      </c>
      <c r="DL17" s="738">
        <f t="shared" si="39"/>
        <v>1581</v>
      </c>
      <c r="DQ17" s="737"/>
      <c r="DR17" s="737"/>
      <c r="EI17" s="682" t="s">
        <v>3674</v>
      </c>
      <c r="EJ17" s="683"/>
      <c r="EK17" s="683"/>
      <c r="EL17" s="682"/>
      <c r="EM17" s="682"/>
      <c r="EN17" s="682"/>
      <c r="EO17" s="682"/>
      <c r="EP17" s="678"/>
      <c r="EQ17" s="387"/>
      <c r="ET17" s="398" t="s">
        <v>3491</v>
      </c>
      <c r="EU17" s="398">
        <v>516</v>
      </c>
      <c r="EV17" s="398">
        <v>591</v>
      </c>
      <c r="EW17" s="515">
        <v>602</v>
      </c>
      <c r="EX17" s="515">
        <v>657</v>
      </c>
      <c r="EY17" s="515">
        <v>694</v>
      </c>
      <c r="EZ17" s="515"/>
      <c r="FA17" s="515"/>
      <c r="FB17" s="737"/>
      <c r="FC17" s="674" t="s">
        <v>3675</v>
      </c>
      <c r="FD17" s="737">
        <f>FE17+FG17+FI17+FK17+FM17</f>
        <v>3836</v>
      </c>
      <c r="FE17" s="737">
        <v>2117</v>
      </c>
      <c r="FF17" s="761">
        <f t="shared" si="22"/>
        <v>55.18769551616267</v>
      </c>
      <c r="FG17" s="737">
        <v>1371</v>
      </c>
      <c r="FH17" s="761">
        <f>FG17/FD17*100</f>
        <v>35.740354535974973</v>
      </c>
      <c r="FI17" s="737">
        <v>304</v>
      </c>
      <c r="FJ17" s="761">
        <f>FI17/FD17*100</f>
        <v>7.9249217935349323</v>
      </c>
      <c r="FK17" s="737">
        <v>13</v>
      </c>
      <c r="FL17" s="761">
        <f>FK17/FD17*100</f>
        <v>0.33889468196037542</v>
      </c>
      <c r="FM17" s="737">
        <v>31</v>
      </c>
      <c r="FN17" s="761">
        <f>FM17/FD17*100</f>
        <v>0.80813347236704902</v>
      </c>
      <c r="FO17" s="737">
        <v>3858</v>
      </c>
      <c r="FP17" s="737"/>
      <c r="FQ17" s="737"/>
      <c r="FR17" s="398"/>
      <c r="FS17" s="398" t="s">
        <v>3676</v>
      </c>
      <c r="FT17" s="398">
        <v>4</v>
      </c>
      <c r="FU17" s="398">
        <v>5</v>
      </c>
      <c r="FV17" s="519">
        <v>10</v>
      </c>
      <c r="FW17" s="519">
        <v>7</v>
      </c>
      <c r="FX17" s="519" t="s">
        <v>546</v>
      </c>
      <c r="FY17" s="519" t="s">
        <v>546</v>
      </c>
      <c r="FZ17" s="398"/>
      <c r="GC17" s="398" t="s">
        <v>3517</v>
      </c>
      <c r="GD17" s="515">
        <f>SUM(GD18:GD22)</f>
        <v>9393</v>
      </c>
      <c r="GE17" s="515">
        <f>SUM(GE18:GE22)</f>
        <v>10278</v>
      </c>
      <c r="GF17" s="515">
        <f>SUM(GF18:GF22)</f>
        <v>14848</v>
      </c>
      <c r="GG17" s="515">
        <f>SUM(GG18:GG22)</f>
        <v>10758</v>
      </c>
      <c r="GH17" s="515">
        <f>SUM(GH18:GH22)</f>
        <v>11517</v>
      </c>
      <c r="GI17" s="515"/>
      <c r="GJ17" s="515"/>
      <c r="GL17" s="386" t="s">
        <v>3677</v>
      </c>
      <c r="GM17" s="398">
        <v>20</v>
      </c>
      <c r="GN17" s="385">
        <v>20</v>
      </c>
      <c r="GO17" s="385">
        <v>20</v>
      </c>
      <c r="GP17" s="385">
        <v>9</v>
      </c>
      <c r="GQ17" s="385">
        <v>18</v>
      </c>
      <c r="GR17" s="385"/>
      <c r="GS17" s="571"/>
      <c r="GU17" s="398"/>
      <c r="GX17" s="386"/>
      <c r="GY17" s="398"/>
      <c r="GZ17" s="515"/>
      <c r="HA17" s="737"/>
      <c r="HB17" s="585"/>
      <c r="HC17" s="585"/>
      <c r="HR17" s="398"/>
      <c r="HS17" s="398"/>
      <c r="HT17" s="398"/>
      <c r="HU17" s="398"/>
      <c r="HV17" s="398"/>
      <c r="HW17" s="398"/>
      <c r="HX17" s="398"/>
    </row>
    <row r="18" spans="1:232" ht="14.1" customHeight="1">
      <c r="A18" s="386" t="s">
        <v>3678</v>
      </c>
      <c r="B18" s="463">
        <f>SUM(B19:B21)</f>
        <v>2041</v>
      </c>
      <c r="C18" s="463">
        <f>SUM(C19:C21)</f>
        <v>1916</v>
      </c>
      <c r="D18" s="463">
        <f>SUM(D19:D21)</f>
        <v>2180</v>
      </c>
      <c r="E18" s="463">
        <f>SUM(E19:E21)</f>
        <v>2038</v>
      </c>
      <c r="F18" s="463">
        <f t="shared" ref="F18:G18" si="40">SUM(F19:F21)</f>
        <v>1546</v>
      </c>
      <c r="G18" s="754">
        <f t="shared" si="40"/>
        <v>2392</v>
      </c>
      <c r="H18" s="754"/>
      <c r="J18" s="676" t="s">
        <v>3679</v>
      </c>
      <c r="K18" s="759" t="s">
        <v>2202</v>
      </c>
      <c r="L18" s="760">
        <v>184</v>
      </c>
      <c r="M18" s="760">
        <v>189</v>
      </c>
      <c r="N18" s="760">
        <v>203</v>
      </c>
      <c r="O18" s="760">
        <v>199</v>
      </c>
      <c r="P18" s="749">
        <v>225</v>
      </c>
      <c r="Q18" s="718"/>
      <c r="S18" s="386" t="s">
        <v>3680</v>
      </c>
      <c r="T18" s="386" t="s">
        <v>2208</v>
      </c>
      <c r="U18" s="738">
        <f t="shared" si="29"/>
        <v>1470</v>
      </c>
      <c r="V18" s="757" t="s">
        <v>1627</v>
      </c>
      <c r="W18" s="757" t="s">
        <v>1627</v>
      </c>
      <c r="X18" s="757" t="s">
        <v>1627</v>
      </c>
      <c r="Y18" s="757" t="s">
        <v>1627</v>
      </c>
      <c r="Z18" s="757" t="s">
        <v>1627</v>
      </c>
      <c r="AA18" s="757" t="s">
        <v>1627</v>
      </c>
      <c r="AB18" s="757" t="s">
        <v>1627</v>
      </c>
      <c r="AC18" s="757" t="s">
        <v>1627</v>
      </c>
      <c r="AD18" s="757" t="s">
        <v>1627</v>
      </c>
      <c r="AE18" s="757" t="s">
        <v>1627</v>
      </c>
      <c r="AF18" s="757" t="s">
        <v>1627</v>
      </c>
      <c r="AG18" s="738">
        <v>528</v>
      </c>
      <c r="AH18" s="738">
        <v>386</v>
      </c>
      <c r="AI18" s="738">
        <v>312</v>
      </c>
      <c r="AJ18" s="738">
        <v>244</v>
      </c>
      <c r="AN18" s="674" t="s">
        <v>3539</v>
      </c>
      <c r="AO18" s="737">
        <v>1168</v>
      </c>
      <c r="AP18" s="515">
        <v>1121</v>
      </c>
      <c r="AQ18" s="515">
        <v>1155</v>
      </c>
      <c r="AR18" s="515">
        <v>1228</v>
      </c>
      <c r="AS18" s="463">
        <v>1188</v>
      </c>
      <c r="AT18" s="754">
        <v>1330</v>
      </c>
      <c r="AU18" s="738"/>
      <c r="AV18" s="738"/>
      <c r="AW18" s="398"/>
      <c r="AY18" s="742" t="s">
        <v>3504</v>
      </c>
      <c r="AZ18" s="742" t="s">
        <v>3504</v>
      </c>
      <c r="BA18" s="735" t="s">
        <v>3505</v>
      </c>
      <c r="BB18" s="735" t="s">
        <v>3504</v>
      </c>
      <c r="BC18" s="735" t="s">
        <v>3504</v>
      </c>
      <c r="BD18" s="735" t="s">
        <v>3505</v>
      </c>
      <c r="BE18" s="735" t="s">
        <v>3504</v>
      </c>
      <c r="BF18" s="735" t="s">
        <v>3504</v>
      </c>
      <c r="BG18" s="735" t="s">
        <v>3505</v>
      </c>
      <c r="BH18" s="690"/>
      <c r="BI18" s="690"/>
      <c r="BJ18" s="690"/>
      <c r="BK18" s="690"/>
      <c r="BL18" s="690"/>
      <c r="BM18" s="690"/>
      <c r="BN18" s="690"/>
      <c r="BO18" s="690"/>
      <c r="BP18" s="690"/>
      <c r="BQ18" s="690"/>
      <c r="BR18" s="690"/>
      <c r="BS18" s="690"/>
      <c r="BT18" s="744"/>
      <c r="CE18" s="398" t="s">
        <v>3681</v>
      </c>
      <c r="CF18" s="515">
        <v>83</v>
      </c>
      <c r="CG18" s="515">
        <v>82</v>
      </c>
      <c r="CH18" s="515">
        <v>86</v>
      </c>
      <c r="CI18" s="398">
        <v>85</v>
      </c>
      <c r="CJ18" s="463">
        <v>81</v>
      </c>
      <c r="CK18" s="754">
        <v>87</v>
      </c>
      <c r="CL18" s="754"/>
      <c r="DB18" s="740" t="s">
        <v>3555</v>
      </c>
      <c r="DC18" s="690">
        <v>181</v>
      </c>
      <c r="DD18" s="690">
        <v>5</v>
      </c>
      <c r="DE18" s="690">
        <v>274</v>
      </c>
      <c r="DF18" s="690">
        <v>166</v>
      </c>
      <c r="DG18" s="690">
        <v>198</v>
      </c>
      <c r="DH18" s="690">
        <v>5</v>
      </c>
      <c r="DI18" s="737">
        <v>190</v>
      </c>
      <c r="DJ18" s="737">
        <v>7</v>
      </c>
      <c r="DK18" s="737">
        <v>211</v>
      </c>
      <c r="DL18" s="737">
        <v>16</v>
      </c>
      <c r="DQ18" s="737"/>
      <c r="DR18" s="737"/>
      <c r="EI18" s="705"/>
      <c r="EJ18" s="706" t="s">
        <v>3464</v>
      </c>
      <c r="EK18" s="706" t="s">
        <v>385</v>
      </c>
      <c r="EL18" s="2124" t="s">
        <v>3465</v>
      </c>
      <c r="EM18" s="2125"/>
      <c r="EN18" s="2124" t="s">
        <v>3466</v>
      </c>
      <c r="EO18" s="2126"/>
      <c r="EP18" s="2127" t="s">
        <v>3467</v>
      </c>
      <c r="EQ18" s="2128"/>
      <c r="ET18" s="398"/>
      <c r="EU18" s="398"/>
      <c r="EV18" s="398"/>
      <c r="EW18" s="398"/>
      <c r="EX18" s="398"/>
      <c r="EY18" s="398"/>
      <c r="EZ18" s="515"/>
      <c r="FA18" s="515"/>
      <c r="FB18" s="737"/>
      <c r="FC18" s="674" t="s">
        <v>3682</v>
      </c>
      <c r="FD18" s="745">
        <v>3702</v>
      </c>
      <c r="FE18" s="789">
        <v>2148</v>
      </c>
      <c r="FF18" s="790">
        <v>58</v>
      </c>
      <c r="FG18" s="789">
        <v>1216</v>
      </c>
      <c r="FH18" s="790">
        <v>33</v>
      </c>
      <c r="FI18" s="791">
        <v>291</v>
      </c>
      <c r="FJ18" s="790">
        <v>8</v>
      </c>
      <c r="FK18" s="791">
        <v>7</v>
      </c>
      <c r="FL18" s="790">
        <v>1.8908698001080498E-3</v>
      </c>
      <c r="FM18" s="791">
        <v>40</v>
      </c>
      <c r="FN18" s="790">
        <v>1</v>
      </c>
      <c r="FO18" s="789">
        <v>3703</v>
      </c>
      <c r="FP18" s="737"/>
      <c r="FQ18" s="737"/>
      <c r="FR18" s="398"/>
      <c r="FS18" s="398" t="s">
        <v>3683</v>
      </c>
      <c r="FT18" s="398">
        <v>2</v>
      </c>
      <c r="FU18" s="398">
        <v>5</v>
      </c>
      <c r="FV18" s="398">
        <v>10</v>
      </c>
      <c r="FW18" s="398">
        <v>9</v>
      </c>
      <c r="FX18" s="398">
        <v>16</v>
      </c>
      <c r="FY18" s="398">
        <v>9</v>
      </c>
      <c r="FZ18" s="519"/>
      <c r="GC18" s="398" t="s">
        <v>3684</v>
      </c>
      <c r="GD18" s="515">
        <v>1587</v>
      </c>
      <c r="GE18" s="515">
        <v>1533</v>
      </c>
      <c r="GF18" s="515">
        <v>1730</v>
      </c>
      <c r="GG18" s="515">
        <v>1690</v>
      </c>
      <c r="GH18" s="515">
        <v>1796</v>
      </c>
      <c r="GI18" s="515"/>
      <c r="GJ18" s="515"/>
      <c r="GL18" s="386" t="s">
        <v>3685</v>
      </c>
      <c r="GM18" s="385">
        <v>26</v>
      </c>
      <c r="GN18" s="385">
        <v>43</v>
      </c>
      <c r="GO18" s="385">
        <v>51</v>
      </c>
      <c r="GP18" s="385">
        <v>59</v>
      </c>
      <c r="GQ18" s="385">
        <v>62</v>
      </c>
      <c r="GR18" s="385"/>
      <c r="GS18" s="571"/>
      <c r="GU18" s="386"/>
      <c r="GV18" s="386"/>
      <c r="GW18" s="386"/>
      <c r="GX18" s="386"/>
      <c r="GY18" s="398"/>
      <c r="GZ18" s="515"/>
      <c r="HA18" s="737"/>
      <c r="HB18" s="737"/>
      <c r="HC18" s="737"/>
      <c r="HR18" s="398"/>
      <c r="HS18" s="398"/>
      <c r="HT18" s="398"/>
      <c r="HU18" s="398"/>
      <c r="HV18" s="398"/>
      <c r="HW18" s="398"/>
      <c r="HX18" s="398"/>
    </row>
    <row r="19" spans="1:232" ht="14.1" customHeight="1">
      <c r="A19" s="740" t="s">
        <v>3549</v>
      </c>
      <c r="B19" s="690">
        <v>754</v>
      </c>
      <c r="C19" s="738">
        <v>789</v>
      </c>
      <c r="D19" s="738">
        <v>769</v>
      </c>
      <c r="E19" s="525">
        <v>728</v>
      </c>
      <c r="F19" s="463">
        <v>611</v>
      </c>
      <c r="G19" s="738">
        <v>1509</v>
      </c>
      <c r="H19" s="738"/>
      <c r="J19" s="676" t="s">
        <v>3686</v>
      </c>
      <c r="K19" s="759" t="s">
        <v>2177</v>
      </c>
      <c r="L19" s="760">
        <v>308</v>
      </c>
      <c r="M19" s="760">
        <v>334</v>
      </c>
      <c r="N19" s="760">
        <v>370</v>
      </c>
      <c r="O19" s="760">
        <v>367</v>
      </c>
      <c r="P19" s="749">
        <v>405</v>
      </c>
      <c r="Q19" s="718"/>
      <c r="S19" s="386" t="s">
        <v>3687</v>
      </c>
      <c r="T19" s="386" t="s">
        <v>2208</v>
      </c>
      <c r="U19" s="738">
        <f t="shared" si="29"/>
        <v>470</v>
      </c>
      <c r="V19" s="737">
        <v>19</v>
      </c>
      <c r="W19" s="776">
        <v>0</v>
      </c>
      <c r="X19" s="776">
        <v>57</v>
      </c>
      <c r="Y19" s="738">
        <v>70</v>
      </c>
      <c r="Z19" s="738">
        <v>83</v>
      </c>
      <c r="AA19" s="738">
        <v>83</v>
      </c>
      <c r="AB19" s="738">
        <v>79</v>
      </c>
      <c r="AC19" s="738">
        <v>79</v>
      </c>
      <c r="AD19" s="757" t="s">
        <v>1627</v>
      </c>
      <c r="AE19" s="757" t="s">
        <v>1627</v>
      </c>
      <c r="AF19" s="757" t="s">
        <v>1627</v>
      </c>
      <c r="AG19" s="757" t="s">
        <v>1627</v>
      </c>
      <c r="AH19" s="757" t="s">
        <v>1627</v>
      </c>
      <c r="AI19" s="757" t="s">
        <v>1627</v>
      </c>
      <c r="AJ19" s="757" t="s">
        <v>1627</v>
      </c>
      <c r="AN19" s="674" t="s">
        <v>3552</v>
      </c>
      <c r="AO19" s="674">
        <v>481</v>
      </c>
      <c r="AP19" s="398">
        <v>497</v>
      </c>
      <c r="AQ19" s="398">
        <v>519</v>
      </c>
      <c r="AR19" s="515">
        <v>490</v>
      </c>
      <c r="AS19" s="463">
        <v>515</v>
      </c>
      <c r="AT19" s="754">
        <v>497</v>
      </c>
      <c r="AU19" s="738"/>
      <c r="AV19" s="738"/>
      <c r="AW19" s="398"/>
      <c r="AX19" s="720" t="s">
        <v>3522</v>
      </c>
      <c r="AY19" s="750" t="s">
        <v>3523</v>
      </c>
      <c r="AZ19" s="750" t="s">
        <v>3524</v>
      </c>
      <c r="BA19" s="707" t="s">
        <v>3525</v>
      </c>
      <c r="BB19" s="707" t="s">
        <v>3523</v>
      </c>
      <c r="BC19" s="707" t="s">
        <v>3524</v>
      </c>
      <c r="BD19" s="707" t="s">
        <v>3525</v>
      </c>
      <c r="BE19" s="707" t="s">
        <v>3523</v>
      </c>
      <c r="BF19" s="707" t="s">
        <v>3524</v>
      </c>
      <c r="BG19" s="707" t="s">
        <v>3525</v>
      </c>
      <c r="BH19" s="690"/>
      <c r="BI19" s="744"/>
      <c r="BJ19" s="744"/>
      <c r="BK19" s="744"/>
      <c r="BL19" s="744"/>
      <c r="BM19" s="744"/>
      <c r="BN19" s="744"/>
      <c r="BO19" s="744"/>
      <c r="BP19" s="744"/>
      <c r="BQ19" s="744"/>
      <c r="BR19" s="744"/>
      <c r="BS19" s="744"/>
      <c r="BT19" s="744"/>
      <c r="CB19" s="2094"/>
      <c r="CC19" s="2094"/>
      <c r="CE19" s="398" t="s">
        <v>3688</v>
      </c>
      <c r="CF19" s="515">
        <v>23</v>
      </c>
      <c r="CG19" s="515">
        <v>23</v>
      </c>
      <c r="CH19" s="515">
        <v>21</v>
      </c>
      <c r="CI19" s="398">
        <v>22</v>
      </c>
      <c r="CJ19" s="463">
        <v>23</v>
      </c>
      <c r="CK19" s="754">
        <v>33</v>
      </c>
      <c r="CL19" s="754"/>
      <c r="DB19" s="740" t="s">
        <v>3567</v>
      </c>
      <c r="DC19" s="690">
        <v>688</v>
      </c>
      <c r="DD19" s="690">
        <v>632</v>
      </c>
      <c r="DE19" s="690">
        <v>653</v>
      </c>
      <c r="DF19" s="690">
        <v>653</v>
      </c>
      <c r="DG19" s="690">
        <v>661</v>
      </c>
      <c r="DH19" s="690">
        <v>637</v>
      </c>
      <c r="DI19" s="737">
        <v>695</v>
      </c>
      <c r="DJ19" s="737">
        <v>600</v>
      </c>
      <c r="DK19" s="737">
        <v>808</v>
      </c>
      <c r="DL19" s="737">
        <v>683</v>
      </c>
      <c r="DQ19" s="737"/>
      <c r="DR19" s="737"/>
      <c r="EI19" s="730" t="s">
        <v>3487</v>
      </c>
      <c r="EJ19" s="731" t="s">
        <v>3488</v>
      </c>
      <c r="EK19" s="731" t="s">
        <v>3489</v>
      </c>
      <c r="EL19" s="732" t="s">
        <v>1711</v>
      </c>
      <c r="EM19" s="732" t="s">
        <v>1712</v>
      </c>
      <c r="EN19" s="732" t="s">
        <v>3490</v>
      </c>
      <c r="EO19" s="733" t="s">
        <v>3491</v>
      </c>
      <c r="EP19" s="703" t="s">
        <v>3492</v>
      </c>
      <c r="EQ19" s="703" t="s">
        <v>3493</v>
      </c>
      <c r="ET19" s="398" t="s">
        <v>1711</v>
      </c>
      <c r="EU19" s="515">
        <v>1094</v>
      </c>
      <c r="EV19" s="515">
        <v>1082</v>
      </c>
      <c r="EW19" s="515">
        <v>1111</v>
      </c>
      <c r="EX19" s="515">
        <v>1154</v>
      </c>
      <c r="EY19" s="515">
        <v>1282</v>
      </c>
      <c r="EZ19" s="515"/>
      <c r="FA19" s="515"/>
      <c r="FC19" s="740" t="s">
        <v>3689</v>
      </c>
      <c r="FD19" s="737">
        <v>3721</v>
      </c>
      <c r="FE19" s="737">
        <v>2111</v>
      </c>
      <c r="FF19" s="744">
        <v>57</v>
      </c>
      <c r="FG19" s="737">
        <v>1206</v>
      </c>
      <c r="FH19" s="744">
        <v>32</v>
      </c>
      <c r="FI19" s="737">
        <v>348</v>
      </c>
      <c r="FJ19" s="744">
        <v>9</v>
      </c>
      <c r="FK19" s="737">
        <v>11</v>
      </c>
      <c r="FL19" s="744">
        <v>0</v>
      </c>
      <c r="FM19" s="737">
        <v>45</v>
      </c>
      <c r="FN19" s="744">
        <v>1</v>
      </c>
      <c r="FO19" s="737">
        <v>3723</v>
      </c>
      <c r="FR19" s="398"/>
      <c r="FS19" s="398" t="s">
        <v>3690</v>
      </c>
      <c r="FT19" s="398">
        <v>30</v>
      </c>
      <c r="FU19" s="398">
        <v>4</v>
      </c>
      <c r="FV19" s="398">
        <v>9</v>
      </c>
      <c r="FW19" s="398">
        <v>19</v>
      </c>
      <c r="FX19" s="519" t="s">
        <v>546</v>
      </c>
      <c r="FY19" s="519" t="s">
        <v>546</v>
      </c>
      <c r="FZ19" s="398"/>
      <c r="GC19" s="398" t="s">
        <v>3691</v>
      </c>
      <c r="GD19" s="515">
        <v>2670</v>
      </c>
      <c r="GE19" s="515">
        <v>2697</v>
      </c>
      <c r="GF19" s="515">
        <v>2467</v>
      </c>
      <c r="GG19" s="515">
        <v>2531</v>
      </c>
      <c r="GH19" s="515">
        <v>2782</v>
      </c>
      <c r="GI19" s="515"/>
      <c r="GJ19" s="515"/>
      <c r="GL19" s="386" t="s">
        <v>3692</v>
      </c>
      <c r="GM19" s="385">
        <v>95</v>
      </c>
      <c r="GN19" s="385">
        <v>121</v>
      </c>
      <c r="GO19" s="385">
        <v>140</v>
      </c>
      <c r="GP19" s="385">
        <v>116</v>
      </c>
      <c r="GQ19" s="385">
        <v>84</v>
      </c>
      <c r="GR19" s="385"/>
      <c r="GS19" s="571"/>
      <c r="GU19" s="398"/>
      <c r="GW19" s="757"/>
      <c r="GX19" s="757"/>
      <c r="GY19" s="737"/>
      <c r="GZ19" s="737"/>
      <c r="HA19" s="737"/>
      <c r="HR19" s="398"/>
      <c r="HS19" s="398"/>
      <c r="HT19" s="398"/>
      <c r="HU19" s="398"/>
      <c r="HV19" s="398"/>
      <c r="HW19" s="398"/>
      <c r="HX19" s="398"/>
    </row>
    <row r="20" spans="1:232" ht="14.1" customHeight="1">
      <c r="A20" s="740" t="s">
        <v>3560</v>
      </c>
      <c r="B20" s="674">
        <v>489</v>
      </c>
      <c r="C20" s="738">
        <v>489</v>
      </c>
      <c r="D20" s="738">
        <v>474</v>
      </c>
      <c r="E20" s="525">
        <v>469</v>
      </c>
      <c r="F20" s="463">
        <v>375</v>
      </c>
      <c r="G20" s="738">
        <v>468</v>
      </c>
      <c r="H20" s="738"/>
      <c r="J20" s="676" t="s">
        <v>3600</v>
      </c>
      <c r="K20" s="759" t="s">
        <v>2177</v>
      </c>
      <c r="L20" s="760">
        <v>517</v>
      </c>
      <c r="M20" s="760">
        <v>505</v>
      </c>
      <c r="N20" s="760">
        <v>566</v>
      </c>
      <c r="O20" s="760">
        <v>585</v>
      </c>
      <c r="P20" s="749">
        <v>575</v>
      </c>
      <c r="Q20" s="718"/>
      <c r="S20" s="398"/>
      <c r="T20" s="740"/>
      <c r="U20" s="738"/>
      <c r="V20" s="737"/>
      <c r="W20" s="738"/>
      <c r="X20" s="738"/>
      <c r="Y20" s="738"/>
      <c r="Z20" s="738"/>
      <c r="AA20" s="738"/>
      <c r="AB20" s="738"/>
      <c r="AC20" s="738"/>
      <c r="AD20" s="754"/>
      <c r="AE20" s="738"/>
      <c r="AF20" s="738"/>
      <c r="AG20" s="738"/>
      <c r="AH20" s="738"/>
      <c r="AI20" s="738"/>
      <c r="AJ20" s="738"/>
      <c r="AN20" s="674" t="s">
        <v>3562</v>
      </c>
      <c r="AO20" s="674">
        <v>437</v>
      </c>
      <c r="AP20" s="398">
        <v>474</v>
      </c>
      <c r="AQ20" s="398">
        <v>453</v>
      </c>
      <c r="AR20" s="515">
        <v>491</v>
      </c>
      <c r="AS20" s="463">
        <v>471</v>
      </c>
      <c r="AT20" s="754">
        <v>452</v>
      </c>
      <c r="AU20" s="738"/>
      <c r="AV20" s="738"/>
      <c r="AW20" s="398"/>
      <c r="AX20" s="674" t="s">
        <v>3502</v>
      </c>
      <c r="AY20" s="761">
        <f>SUM(AY21:AY23)</f>
        <v>25371.4</v>
      </c>
      <c r="AZ20" s="761">
        <f>SUM(AZ21:AZ23)</f>
        <v>21308.100000000002</v>
      </c>
      <c r="BA20" s="744">
        <v>84</v>
      </c>
      <c r="BB20" s="761">
        <v>26293.599999999999</v>
      </c>
      <c r="BC20" s="761">
        <v>25772.2</v>
      </c>
      <c r="BD20" s="744">
        <v>95.3</v>
      </c>
      <c r="BE20" s="761">
        <v>28128.799999999999</v>
      </c>
      <c r="BF20" s="761">
        <v>25772.2</v>
      </c>
      <c r="BG20" s="744">
        <v>91.6</v>
      </c>
      <c r="BH20" s="744"/>
      <c r="BI20" s="744"/>
      <c r="BJ20" s="744"/>
      <c r="BK20" s="744"/>
      <c r="BL20" s="744"/>
      <c r="BM20" s="744"/>
      <c r="BN20" s="744"/>
      <c r="BO20" s="744"/>
      <c r="BP20" s="744"/>
      <c r="BQ20" s="744"/>
      <c r="BR20" s="744"/>
      <c r="BS20" s="744"/>
      <c r="BT20" s="744"/>
      <c r="CB20" s="690"/>
      <c r="CC20" s="690"/>
      <c r="CE20" s="398" t="s">
        <v>3693</v>
      </c>
      <c r="CF20" s="515">
        <v>1856</v>
      </c>
      <c r="CG20" s="515">
        <v>1892</v>
      </c>
      <c r="CH20" s="515">
        <v>2023</v>
      </c>
      <c r="CI20" s="515">
        <v>2040</v>
      </c>
      <c r="CJ20" s="463">
        <v>2055</v>
      </c>
      <c r="CK20" s="515">
        <v>2362</v>
      </c>
      <c r="CL20" s="515"/>
      <c r="DB20" s="740" t="s">
        <v>3582</v>
      </c>
      <c r="DC20" s="690">
        <v>353</v>
      </c>
      <c r="DD20" s="690">
        <v>490</v>
      </c>
      <c r="DE20" s="690">
        <v>361</v>
      </c>
      <c r="DF20" s="690">
        <v>317</v>
      </c>
      <c r="DG20" s="690">
        <v>452</v>
      </c>
      <c r="DH20" s="690">
        <v>504</v>
      </c>
      <c r="DI20" s="737">
        <v>489</v>
      </c>
      <c r="DJ20" s="737">
        <v>590</v>
      </c>
      <c r="DK20" s="737">
        <v>540</v>
      </c>
      <c r="DL20" s="737">
        <v>630</v>
      </c>
      <c r="DQ20" s="737"/>
      <c r="DR20" s="737"/>
      <c r="DS20" s="685"/>
      <c r="DT20" s="685"/>
      <c r="DU20" s="685"/>
      <c r="DV20" s="685"/>
      <c r="DW20" s="685"/>
      <c r="DX20" s="685"/>
      <c r="DY20" s="685"/>
      <c r="DZ20" s="685"/>
      <c r="EA20" s="685"/>
      <c r="EB20" s="685"/>
      <c r="EC20" s="685"/>
      <c r="ED20" s="685"/>
      <c r="EE20" s="685"/>
      <c r="EF20" s="685"/>
      <c r="EI20" s="705" t="s">
        <v>3508</v>
      </c>
      <c r="EJ20" s="745">
        <f>SUM(EJ21:EJ28)</f>
        <v>2896</v>
      </c>
      <c r="EK20" s="746">
        <v>100</v>
      </c>
      <c r="EL20" s="745">
        <f t="shared" ref="EL20:EQ20" si="41">SUM(EL21:EL28)</f>
        <v>1186</v>
      </c>
      <c r="EM20" s="745">
        <f t="shared" si="41"/>
        <v>1710</v>
      </c>
      <c r="EN20" s="745">
        <f t="shared" si="41"/>
        <v>2052</v>
      </c>
      <c r="EO20" s="745">
        <f t="shared" si="41"/>
        <v>844</v>
      </c>
      <c r="EP20" s="745">
        <f t="shared" si="41"/>
        <v>2573</v>
      </c>
      <c r="EQ20" s="745">
        <f t="shared" si="41"/>
        <v>279</v>
      </c>
      <c r="ET20" s="398" t="s">
        <v>1712</v>
      </c>
      <c r="EU20" s="515">
        <v>1424</v>
      </c>
      <c r="EV20" s="515">
        <v>1491</v>
      </c>
      <c r="EW20" s="515">
        <v>1513</v>
      </c>
      <c r="EX20" s="515">
        <v>1588</v>
      </c>
      <c r="EY20" s="515">
        <v>1814</v>
      </c>
      <c r="EZ20" s="515"/>
      <c r="FA20" s="515"/>
      <c r="FB20" s="690"/>
      <c r="FC20" s="740" t="s">
        <v>3694</v>
      </c>
      <c r="FD20" s="737">
        <f>SUM(FE20,FG20,FI20,FK20,FM20)</f>
        <v>3639</v>
      </c>
      <c r="FE20" s="737">
        <v>2060</v>
      </c>
      <c r="FF20" s="744">
        <f>FE20/FD20*100</f>
        <v>56.60895850508382</v>
      </c>
      <c r="FG20" s="737">
        <v>1207</v>
      </c>
      <c r="FH20" s="744">
        <f>FG20/FD20*100</f>
        <v>33.168452871668045</v>
      </c>
      <c r="FI20" s="674">
        <v>328</v>
      </c>
      <c r="FJ20" s="744">
        <f>FI20/FD20*100</f>
        <v>9.0134652377026647</v>
      </c>
      <c r="FK20" s="674">
        <v>11</v>
      </c>
      <c r="FL20" s="744">
        <f>FK20/FD20*100</f>
        <v>0.30228084638636987</v>
      </c>
      <c r="FM20" s="674">
        <v>33</v>
      </c>
      <c r="FN20" s="744">
        <f>FM20/FD20*100</f>
        <v>0.90684253915910962</v>
      </c>
      <c r="FO20" s="737">
        <v>3649</v>
      </c>
      <c r="FP20" s="690"/>
      <c r="FQ20" s="690"/>
      <c r="FR20" s="398"/>
      <c r="FS20" s="398" t="s">
        <v>3695</v>
      </c>
      <c r="FT20" s="398">
        <v>10</v>
      </c>
      <c r="FU20" s="398">
        <v>12</v>
      </c>
      <c r="FV20" s="398">
        <v>17</v>
      </c>
      <c r="FW20" s="398">
        <v>8</v>
      </c>
      <c r="FX20" s="398">
        <v>12</v>
      </c>
      <c r="FY20" s="398">
        <v>15</v>
      </c>
      <c r="FZ20" s="398"/>
      <c r="GC20" s="398" t="s">
        <v>3696</v>
      </c>
      <c r="GD20" s="398">
        <v>577</v>
      </c>
      <c r="GE20" s="515">
        <v>446</v>
      </c>
      <c r="GF20" s="515">
        <v>376</v>
      </c>
      <c r="GG20" s="515">
        <v>418</v>
      </c>
      <c r="GH20" s="515">
        <v>398</v>
      </c>
      <c r="GI20" s="515"/>
      <c r="GJ20" s="754"/>
      <c r="GL20" s="386" t="s">
        <v>3697</v>
      </c>
      <c r="GM20" s="385">
        <v>76</v>
      </c>
      <c r="GN20" s="385">
        <v>93</v>
      </c>
      <c r="GO20" s="385">
        <v>130</v>
      </c>
      <c r="GP20" s="385">
        <v>111</v>
      </c>
      <c r="GQ20" s="385">
        <v>110</v>
      </c>
      <c r="GR20" s="385"/>
      <c r="GS20" s="571"/>
      <c r="GT20" s="519"/>
      <c r="HA20" s="737"/>
      <c r="HD20" s="398"/>
      <c r="HE20" s="702"/>
      <c r="HR20" s="398"/>
      <c r="HS20" s="398"/>
      <c r="HT20" s="398"/>
      <c r="HU20" s="398"/>
      <c r="HV20" s="398"/>
      <c r="HW20" s="398"/>
      <c r="HX20" s="398"/>
    </row>
    <row r="21" spans="1:232" ht="14.1" customHeight="1">
      <c r="A21" s="740" t="s">
        <v>3574</v>
      </c>
      <c r="B21" s="690">
        <v>798</v>
      </c>
      <c r="C21" s="738">
        <v>638</v>
      </c>
      <c r="D21" s="738">
        <v>937</v>
      </c>
      <c r="E21" s="525">
        <v>841</v>
      </c>
      <c r="F21" s="463">
        <v>560</v>
      </c>
      <c r="G21" s="738">
        <v>415</v>
      </c>
      <c r="H21" s="738"/>
      <c r="J21" s="676" t="s">
        <v>3698</v>
      </c>
      <c r="K21" s="759" t="s">
        <v>2209</v>
      </c>
      <c r="L21" s="760">
        <v>492</v>
      </c>
      <c r="M21" s="760">
        <v>496</v>
      </c>
      <c r="N21" s="760">
        <v>484</v>
      </c>
      <c r="O21" s="760">
        <v>511</v>
      </c>
      <c r="P21" s="749">
        <v>545</v>
      </c>
      <c r="Q21" s="718"/>
      <c r="S21" s="398" t="s">
        <v>3699</v>
      </c>
      <c r="T21" s="740"/>
      <c r="U21" s="738">
        <f>SUM(U22:U28)</f>
        <v>3922</v>
      </c>
      <c r="V21" s="738">
        <f>SUM(V22:V28)</f>
        <v>72</v>
      </c>
      <c r="W21" s="738">
        <f t="shared" ref="W21:AJ21" si="42">SUM(W22:W28)</f>
        <v>39</v>
      </c>
      <c r="X21" s="738">
        <f t="shared" si="42"/>
        <v>217</v>
      </c>
      <c r="Y21" s="738">
        <f t="shared" si="42"/>
        <v>249</v>
      </c>
      <c r="Z21" s="738">
        <f t="shared" si="42"/>
        <v>254</v>
      </c>
      <c r="AA21" s="738">
        <f t="shared" si="42"/>
        <v>298</v>
      </c>
      <c r="AB21" s="738">
        <f t="shared" si="42"/>
        <v>245</v>
      </c>
      <c r="AC21" s="738">
        <f t="shared" si="42"/>
        <v>284</v>
      </c>
      <c r="AD21" s="738">
        <f t="shared" si="42"/>
        <v>211</v>
      </c>
      <c r="AE21" s="738">
        <f t="shared" si="42"/>
        <v>199</v>
      </c>
      <c r="AF21" s="738">
        <f t="shared" si="42"/>
        <v>204</v>
      </c>
      <c r="AG21" s="738">
        <f t="shared" si="42"/>
        <v>492</v>
      </c>
      <c r="AH21" s="738">
        <f t="shared" si="42"/>
        <v>461</v>
      </c>
      <c r="AI21" s="738">
        <f t="shared" si="42"/>
        <v>412</v>
      </c>
      <c r="AJ21" s="738">
        <f t="shared" si="42"/>
        <v>285</v>
      </c>
      <c r="AN21" s="678" t="s">
        <v>3577</v>
      </c>
      <c r="AO21" s="678">
        <v>92</v>
      </c>
      <c r="AP21" s="387">
        <v>92</v>
      </c>
      <c r="AQ21" s="387">
        <v>80</v>
      </c>
      <c r="AR21" s="766">
        <v>90</v>
      </c>
      <c r="AS21" s="387">
        <v>80</v>
      </c>
      <c r="AT21" s="792" t="s">
        <v>546</v>
      </c>
      <c r="AU21" s="754"/>
      <c r="AW21" s="398"/>
      <c r="AX21" s="398" t="s">
        <v>3553</v>
      </c>
      <c r="AY21" s="761">
        <v>11125.6</v>
      </c>
      <c r="AZ21" s="761">
        <v>9544.2000000000007</v>
      </c>
      <c r="BA21" s="744">
        <v>85.8</v>
      </c>
      <c r="BB21" s="761">
        <v>11441</v>
      </c>
      <c r="BC21" s="761">
        <v>11064.7</v>
      </c>
      <c r="BD21" s="744">
        <v>96.7</v>
      </c>
      <c r="BE21" s="761">
        <v>12597.8</v>
      </c>
      <c r="BF21" s="761">
        <v>11966.9</v>
      </c>
      <c r="BG21" s="744">
        <v>95</v>
      </c>
      <c r="BH21" s="744"/>
      <c r="BI21" s="744"/>
      <c r="BJ21" s="744"/>
      <c r="BK21" s="744"/>
      <c r="BL21" s="744"/>
      <c r="BM21" s="744"/>
      <c r="BN21" s="744"/>
      <c r="BO21" s="744"/>
      <c r="BP21" s="744"/>
      <c r="BQ21" s="744"/>
      <c r="BR21" s="744"/>
      <c r="BS21" s="744"/>
      <c r="BT21" s="744"/>
      <c r="BU21" s="387" t="s">
        <v>3700</v>
      </c>
      <c r="BV21" s="387"/>
      <c r="BW21" s="387"/>
      <c r="BX21" s="678"/>
      <c r="BY21" s="678"/>
      <c r="BZ21" s="678"/>
      <c r="CA21" s="678"/>
      <c r="CB21" s="737"/>
      <c r="CC21" s="744"/>
      <c r="CE21" s="398" t="s">
        <v>3701</v>
      </c>
      <c r="CF21" s="515">
        <v>38</v>
      </c>
      <c r="CG21" s="515">
        <v>42</v>
      </c>
      <c r="CH21" s="515">
        <v>45</v>
      </c>
      <c r="CI21" s="398">
        <v>45</v>
      </c>
      <c r="CJ21" s="463">
        <v>19</v>
      </c>
      <c r="CK21" s="515">
        <v>28</v>
      </c>
      <c r="CL21" s="515"/>
      <c r="DB21" s="740" t="s">
        <v>3594</v>
      </c>
      <c r="DC21" s="690">
        <v>90</v>
      </c>
      <c r="DD21" s="690">
        <v>91</v>
      </c>
      <c r="DE21" s="690">
        <v>76</v>
      </c>
      <c r="DF21" s="690">
        <v>76</v>
      </c>
      <c r="DG21" s="690">
        <v>97</v>
      </c>
      <c r="DH21" s="690">
        <v>97</v>
      </c>
      <c r="DI21" s="737">
        <v>108</v>
      </c>
      <c r="DJ21" s="737">
        <v>123</v>
      </c>
      <c r="DK21" s="737">
        <v>134</v>
      </c>
      <c r="DL21" s="737">
        <v>139</v>
      </c>
      <c r="DQ21" s="737"/>
      <c r="DR21" s="737"/>
      <c r="DS21" s="685"/>
      <c r="DT21" s="685"/>
      <c r="DU21" s="685"/>
      <c r="DV21" s="685"/>
      <c r="DW21" s="685"/>
      <c r="DX21" s="685"/>
      <c r="DY21" s="685"/>
      <c r="DZ21" s="2130"/>
      <c r="EA21" s="2130"/>
      <c r="EB21" s="2130"/>
      <c r="EC21" s="2130"/>
      <c r="ED21" s="2130"/>
      <c r="EE21" s="2130"/>
      <c r="EF21" s="793"/>
      <c r="EI21" s="705" t="s">
        <v>3530</v>
      </c>
      <c r="EJ21" s="745">
        <f t="shared" ref="EJ21:EJ22" si="43">SUM(EL21:EM21)</f>
        <v>2</v>
      </c>
      <c r="EK21" s="755">
        <f t="shared" ref="EK21:EK28" si="44">EJ21/$EJ$20*100</f>
        <v>6.9060773480662974E-2</v>
      </c>
      <c r="EL21" s="745">
        <v>2</v>
      </c>
      <c r="EM21" s="745">
        <v>0</v>
      </c>
      <c r="EN21" s="745">
        <v>2</v>
      </c>
      <c r="EO21" s="745">
        <v>0</v>
      </c>
      <c r="EP21" s="515">
        <v>2</v>
      </c>
      <c r="EQ21" s="515">
        <v>0</v>
      </c>
      <c r="ET21" s="398"/>
      <c r="EU21" s="398"/>
      <c r="EV21" s="398"/>
      <c r="EW21" s="398"/>
      <c r="EX21" s="398"/>
      <c r="EY21" s="398"/>
      <c r="EZ21" s="515"/>
      <c r="FA21" s="515"/>
      <c r="FB21" s="690"/>
      <c r="FC21" s="740" t="s">
        <v>3702</v>
      </c>
      <c r="FD21" s="737">
        <v>3550</v>
      </c>
      <c r="FE21" s="737">
        <v>2069</v>
      </c>
      <c r="FF21" s="761">
        <v>58</v>
      </c>
      <c r="FG21" s="737">
        <v>1141</v>
      </c>
      <c r="FH21" s="761">
        <v>32</v>
      </c>
      <c r="FI21" s="737">
        <v>272</v>
      </c>
      <c r="FJ21" s="761">
        <v>8</v>
      </c>
      <c r="FK21" s="737">
        <v>14</v>
      </c>
      <c r="FL21" s="761">
        <v>0</v>
      </c>
      <c r="FM21" s="737">
        <v>54</v>
      </c>
      <c r="FN21" s="761">
        <v>2</v>
      </c>
      <c r="FO21" s="737">
        <v>3541</v>
      </c>
      <c r="FP21" s="690"/>
      <c r="FQ21" s="690"/>
      <c r="FR21" s="398"/>
      <c r="FS21" s="398" t="s">
        <v>3703</v>
      </c>
      <c r="FT21" s="398">
        <v>0</v>
      </c>
      <c r="FU21" s="398">
        <v>1</v>
      </c>
      <c r="FV21" s="398">
        <v>3</v>
      </c>
      <c r="FW21" s="398">
        <v>7</v>
      </c>
      <c r="FX21" s="398">
        <v>6</v>
      </c>
      <c r="FY21" s="398">
        <v>8</v>
      </c>
      <c r="FZ21" s="398"/>
      <c r="GC21" s="398" t="s">
        <v>3704</v>
      </c>
      <c r="GD21" s="398">
        <v>141</v>
      </c>
      <c r="GE21" s="515">
        <v>182</v>
      </c>
      <c r="GF21" s="515">
        <v>220</v>
      </c>
      <c r="GG21" s="515">
        <v>232</v>
      </c>
      <c r="GH21" s="515">
        <v>235</v>
      </c>
      <c r="GI21" s="515"/>
      <c r="GJ21" s="515"/>
      <c r="GL21" s="386" t="s">
        <v>3705</v>
      </c>
      <c r="GM21" s="385">
        <v>53</v>
      </c>
      <c r="GN21" s="385">
        <v>48</v>
      </c>
      <c r="GO21" s="385">
        <v>48</v>
      </c>
      <c r="GP21" s="385">
        <v>51</v>
      </c>
      <c r="GQ21" s="385">
        <v>68</v>
      </c>
      <c r="GR21" s="385"/>
      <c r="GS21" s="571"/>
      <c r="GT21" s="519"/>
      <c r="GU21" s="398" t="s">
        <v>3706</v>
      </c>
      <c r="GV21" s="398"/>
      <c r="GW21" s="398"/>
      <c r="GX21" s="398"/>
      <c r="GY21" s="398"/>
      <c r="GZ21" s="398"/>
      <c r="HA21" s="515"/>
      <c r="HB21" s="398"/>
      <c r="HD21" s="385"/>
      <c r="HQ21" s="398"/>
      <c r="HR21" s="398"/>
      <c r="HS21" s="398"/>
      <c r="HT21" s="398"/>
      <c r="HU21" s="398"/>
      <c r="HV21" s="398"/>
      <c r="HW21" s="398"/>
    </row>
    <row r="22" spans="1:232" ht="14.1" customHeight="1">
      <c r="A22" s="398" t="s">
        <v>3577</v>
      </c>
      <c r="B22" s="385">
        <v>168</v>
      </c>
      <c r="C22" s="515">
        <v>138</v>
      </c>
      <c r="D22" s="398">
        <v>162</v>
      </c>
      <c r="E22" s="398">
        <v>165</v>
      </c>
      <c r="F22" s="398">
        <v>155</v>
      </c>
      <c r="G22" s="754">
        <v>86</v>
      </c>
      <c r="H22" s="754"/>
      <c r="J22" s="676" t="s">
        <v>3666</v>
      </c>
      <c r="K22" s="759" t="s">
        <v>2208</v>
      </c>
      <c r="L22" s="760">
        <v>379</v>
      </c>
      <c r="M22" s="760">
        <v>367</v>
      </c>
      <c r="N22" s="760">
        <v>395</v>
      </c>
      <c r="O22" s="760">
        <v>394</v>
      </c>
      <c r="P22" s="749">
        <v>411</v>
      </c>
      <c r="Q22" s="718"/>
      <c r="S22" s="386" t="s">
        <v>3707</v>
      </c>
      <c r="T22" s="386" t="s">
        <v>3708</v>
      </c>
      <c r="U22" s="738">
        <f>SUM(V22:AJ22)</f>
        <v>327</v>
      </c>
      <c r="V22" s="776">
        <v>0</v>
      </c>
      <c r="W22" s="738">
        <v>0</v>
      </c>
      <c r="X22" s="738">
        <v>46</v>
      </c>
      <c r="Y22" s="738">
        <v>58</v>
      </c>
      <c r="Z22" s="738">
        <v>57</v>
      </c>
      <c r="AA22" s="738">
        <v>62</v>
      </c>
      <c r="AB22" s="738">
        <v>42</v>
      </c>
      <c r="AC22" s="738">
        <v>62</v>
      </c>
      <c r="AD22" s="757" t="s">
        <v>1627</v>
      </c>
      <c r="AE22" s="757" t="s">
        <v>1627</v>
      </c>
      <c r="AF22" s="757" t="s">
        <v>1627</v>
      </c>
      <c r="AG22" s="757" t="s">
        <v>1627</v>
      </c>
      <c r="AH22" s="757" t="s">
        <v>1627</v>
      </c>
      <c r="AI22" s="757" t="s">
        <v>1627</v>
      </c>
      <c r="AJ22" s="757" t="s">
        <v>1627</v>
      </c>
      <c r="AN22" s="398" t="s">
        <v>3709</v>
      </c>
      <c r="AO22" s="398"/>
      <c r="AP22" s="398"/>
      <c r="AQ22" s="398"/>
      <c r="AR22" s="398"/>
      <c r="AS22" s="398"/>
      <c r="AT22" s="398"/>
      <c r="AW22" s="398"/>
      <c r="AX22" s="398" t="s">
        <v>3563</v>
      </c>
      <c r="AY22" s="761">
        <v>5505.8</v>
      </c>
      <c r="AZ22" s="761">
        <v>3926.1</v>
      </c>
      <c r="BA22" s="771">
        <v>71.3</v>
      </c>
      <c r="BB22" s="761">
        <v>6052.2</v>
      </c>
      <c r="BC22" s="761">
        <v>5428.3</v>
      </c>
      <c r="BD22" s="771">
        <v>89.7</v>
      </c>
      <c r="BE22" s="761">
        <v>6439.6</v>
      </c>
      <c r="BF22" s="761">
        <v>5957.9</v>
      </c>
      <c r="BG22" s="771">
        <v>92.5</v>
      </c>
      <c r="BH22" s="744"/>
      <c r="BI22" s="744"/>
      <c r="BJ22" s="744"/>
      <c r="BK22" s="744"/>
      <c r="BL22" s="744"/>
      <c r="BM22" s="744"/>
      <c r="BN22" s="744"/>
      <c r="BO22" s="744"/>
      <c r="BP22" s="744"/>
      <c r="BQ22" s="744"/>
      <c r="BR22" s="744"/>
      <c r="BS22" s="744"/>
      <c r="BV22" s="2127" t="s">
        <v>3710</v>
      </c>
      <c r="BW22" s="2135"/>
      <c r="BX22" s="2127" t="s">
        <v>3711</v>
      </c>
      <c r="BY22" s="2136"/>
      <c r="BZ22" s="2127" t="s">
        <v>3712</v>
      </c>
      <c r="CA22" s="2128"/>
      <c r="CB22" s="737"/>
      <c r="CC22" s="744"/>
      <c r="CE22" s="398" t="s">
        <v>3713</v>
      </c>
      <c r="CF22" s="515">
        <v>223</v>
      </c>
      <c r="CG22" s="515">
        <v>228</v>
      </c>
      <c r="CH22" s="515">
        <v>235</v>
      </c>
      <c r="CI22" s="398">
        <v>229</v>
      </c>
      <c r="CJ22" s="463">
        <v>249</v>
      </c>
      <c r="CK22" s="515">
        <v>267</v>
      </c>
      <c r="CL22" s="515"/>
      <c r="CN22" s="387" t="s">
        <v>3714</v>
      </c>
      <c r="CO22" s="387"/>
      <c r="CP22" s="387"/>
      <c r="CQ22" s="387"/>
      <c r="CR22" s="387"/>
      <c r="CS22" s="387"/>
      <c r="CT22" s="387"/>
      <c r="CU22" s="387"/>
      <c r="CV22" s="387"/>
      <c r="CW22" s="387"/>
      <c r="CX22" s="387"/>
      <c r="DB22" s="740" t="s">
        <v>3606</v>
      </c>
      <c r="DC22" s="690">
        <v>77</v>
      </c>
      <c r="DD22" s="690">
        <v>79</v>
      </c>
      <c r="DE22" s="690">
        <v>75</v>
      </c>
      <c r="DF22" s="690">
        <v>65</v>
      </c>
      <c r="DG22" s="690">
        <v>68</v>
      </c>
      <c r="DH22" s="690">
        <v>73</v>
      </c>
      <c r="DI22" s="737">
        <v>66</v>
      </c>
      <c r="DJ22" s="737">
        <v>83</v>
      </c>
      <c r="DK22" s="737">
        <v>76</v>
      </c>
      <c r="DL22" s="737">
        <v>70</v>
      </c>
      <c r="DQ22" s="737"/>
      <c r="DR22" s="737"/>
      <c r="DS22" s="685"/>
      <c r="DT22" s="685"/>
      <c r="DU22" s="685"/>
      <c r="DV22" s="685"/>
      <c r="DW22" s="685"/>
      <c r="DX22" s="685"/>
      <c r="DY22" s="685"/>
      <c r="DZ22" s="794"/>
      <c r="EA22" s="794"/>
      <c r="EB22" s="794"/>
      <c r="EC22" s="794"/>
      <c r="ED22" s="794"/>
      <c r="EE22" s="794"/>
      <c r="EF22" s="794"/>
      <c r="EI22" s="705" t="s">
        <v>1693</v>
      </c>
      <c r="EJ22" s="745">
        <f t="shared" si="43"/>
        <v>1329</v>
      </c>
      <c r="EK22" s="755">
        <f t="shared" si="44"/>
        <v>45.890883977900558</v>
      </c>
      <c r="EL22" s="745">
        <v>581</v>
      </c>
      <c r="EM22" s="745">
        <v>748</v>
      </c>
      <c r="EN22" s="745">
        <v>983</v>
      </c>
      <c r="EO22" s="745">
        <v>346</v>
      </c>
      <c r="EP22" s="515">
        <v>1233</v>
      </c>
      <c r="EQ22" s="515">
        <v>84</v>
      </c>
      <c r="ET22" s="398" t="s">
        <v>3715</v>
      </c>
      <c r="EU22" s="398">
        <f>SUM(EU23:EU24)</f>
        <v>347</v>
      </c>
      <c r="EV22" s="398">
        <f>SUM(EV23:EV24)</f>
        <v>279</v>
      </c>
      <c r="EW22" s="398">
        <f>SUM(EW23:EW24)</f>
        <v>293</v>
      </c>
      <c r="EX22" s="515">
        <f>SUM(EX23:EX24)</f>
        <v>338</v>
      </c>
      <c r="EY22" s="515">
        <f>SUM(EY23:EY24)</f>
        <v>331</v>
      </c>
      <c r="EZ22" s="515"/>
      <c r="FA22" s="515"/>
      <c r="FC22" s="740" t="s">
        <v>3716</v>
      </c>
      <c r="FD22" s="737">
        <v>3387</v>
      </c>
      <c r="FE22" s="737">
        <v>2035</v>
      </c>
      <c r="FF22" s="761">
        <v>60</v>
      </c>
      <c r="FG22" s="737">
        <v>965</v>
      </c>
      <c r="FH22" s="761">
        <v>28</v>
      </c>
      <c r="FI22" s="737">
        <v>293</v>
      </c>
      <c r="FJ22" s="761">
        <v>9</v>
      </c>
      <c r="FK22" s="737">
        <v>23</v>
      </c>
      <c r="FL22" s="761">
        <v>1</v>
      </c>
      <c r="FM22" s="737">
        <v>71</v>
      </c>
      <c r="FN22" s="761">
        <v>2</v>
      </c>
      <c r="FO22" s="737">
        <v>3309</v>
      </c>
      <c r="FR22" s="398"/>
      <c r="FS22" s="398" t="s">
        <v>3692</v>
      </c>
      <c r="FT22" s="398">
        <v>13</v>
      </c>
      <c r="FU22" s="398">
        <v>9</v>
      </c>
      <c r="FV22" s="398">
        <v>6</v>
      </c>
      <c r="FW22" s="398">
        <v>15</v>
      </c>
      <c r="FX22" s="398">
        <v>10</v>
      </c>
      <c r="FY22" s="398">
        <v>9</v>
      </c>
      <c r="FZ22" s="398"/>
      <c r="GC22" s="766" t="s">
        <v>3717</v>
      </c>
      <c r="GD22" s="766">
        <v>4418</v>
      </c>
      <c r="GE22" s="766">
        <v>5420</v>
      </c>
      <c r="GF22" s="766">
        <v>10055</v>
      </c>
      <c r="GG22" s="766">
        <v>5887</v>
      </c>
      <c r="GH22" s="766">
        <v>6306</v>
      </c>
      <c r="GI22" s="515"/>
      <c r="GJ22" s="754"/>
      <c r="GL22" s="386" t="s">
        <v>3718</v>
      </c>
      <c r="GM22" s="398">
        <v>2</v>
      </c>
      <c r="GN22" s="385">
        <v>10</v>
      </c>
      <c r="GO22" s="385">
        <v>3</v>
      </c>
      <c r="GP22" s="385">
        <v>4</v>
      </c>
      <c r="GQ22" s="385">
        <v>1</v>
      </c>
      <c r="GR22" s="385"/>
      <c r="GS22" s="571"/>
      <c r="GU22" s="710" t="s">
        <v>3469</v>
      </c>
      <c r="GV22" s="710"/>
      <c r="GW22" s="710"/>
      <c r="GX22" s="710"/>
      <c r="GY22" s="387"/>
      <c r="GZ22" s="398"/>
      <c r="HA22" s="515"/>
      <c r="HB22" s="398"/>
      <c r="HQ22" s="398"/>
      <c r="HR22" s="398"/>
      <c r="HS22" s="398"/>
      <c r="HT22" s="398"/>
      <c r="HU22" s="398"/>
      <c r="HV22" s="398"/>
      <c r="HW22" s="398"/>
    </row>
    <row r="23" spans="1:232" ht="14.1" customHeight="1">
      <c r="A23" s="398"/>
      <c r="B23" s="398"/>
      <c r="C23" s="515"/>
      <c r="D23" s="398"/>
      <c r="E23" s="398"/>
      <c r="F23" s="398"/>
      <c r="G23" s="754"/>
      <c r="H23" s="690"/>
      <c r="J23" s="676" t="s">
        <v>3719</v>
      </c>
      <c r="K23" s="759" t="s">
        <v>2381</v>
      </c>
      <c r="L23" s="760">
        <v>281</v>
      </c>
      <c r="M23" s="760">
        <v>315</v>
      </c>
      <c r="N23" s="760">
        <v>315</v>
      </c>
      <c r="O23" s="760">
        <v>352</v>
      </c>
      <c r="P23" s="749">
        <v>369</v>
      </c>
      <c r="Q23" s="718"/>
      <c r="S23" s="386" t="s">
        <v>3720</v>
      </c>
      <c r="T23" s="386" t="s">
        <v>2195</v>
      </c>
      <c r="U23" s="738">
        <f t="shared" ref="U23:U28" si="45">SUM(V23:AJ23)</f>
        <v>614</v>
      </c>
      <c r="V23" s="757" t="s">
        <v>1627</v>
      </c>
      <c r="W23" s="757" t="s">
        <v>1627</v>
      </c>
      <c r="X23" s="757" t="s">
        <v>1627</v>
      </c>
      <c r="Y23" s="757" t="s">
        <v>1627</v>
      </c>
      <c r="Z23" s="757" t="s">
        <v>1627</v>
      </c>
      <c r="AA23" s="757" t="s">
        <v>1627</v>
      </c>
      <c r="AB23" s="757" t="s">
        <v>1627</v>
      </c>
      <c r="AC23" s="757" t="s">
        <v>1627</v>
      </c>
      <c r="AD23" s="754">
        <v>211</v>
      </c>
      <c r="AE23" s="738">
        <v>199</v>
      </c>
      <c r="AF23" s="738">
        <v>204</v>
      </c>
      <c r="AG23" s="757" t="s">
        <v>1627</v>
      </c>
      <c r="AH23" s="757" t="s">
        <v>1627</v>
      </c>
      <c r="AI23" s="757" t="s">
        <v>1627</v>
      </c>
      <c r="AJ23" s="757" t="s">
        <v>1627</v>
      </c>
      <c r="AN23" s="398" t="s">
        <v>3721</v>
      </c>
      <c r="AO23" s="398"/>
      <c r="AP23" s="398"/>
      <c r="AQ23" s="398"/>
      <c r="AR23" s="398"/>
      <c r="AS23" s="398"/>
      <c r="AT23" s="398"/>
      <c r="AW23" s="398"/>
      <c r="AX23" s="387" t="s">
        <v>3722</v>
      </c>
      <c r="AY23" s="774">
        <v>8740</v>
      </c>
      <c r="AZ23" s="774">
        <v>7837.8</v>
      </c>
      <c r="BA23" s="775">
        <v>89.7</v>
      </c>
      <c r="BB23" s="774">
        <v>8800.5</v>
      </c>
      <c r="BC23" s="774">
        <v>8572.2000000000007</v>
      </c>
      <c r="BD23" s="775">
        <v>97</v>
      </c>
      <c r="BE23" s="774">
        <v>9091.4</v>
      </c>
      <c r="BF23" s="774">
        <v>7847.4</v>
      </c>
      <c r="BG23" s="775">
        <v>86.3</v>
      </c>
      <c r="BH23" s="744"/>
      <c r="BU23" s="678" t="s">
        <v>3482</v>
      </c>
      <c r="BV23" s="723" t="s">
        <v>3474</v>
      </c>
      <c r="BW23" s="723" t="s">
        <v>1666</v>
      </c>
      <c r="BX23" s="723" t="s">
        <v>3474</v>
      </c>
      <c r="BY23" s="723" t="s">
        <v>1666</v>
      </c>
      <c r="BZ23" s="723" t="s">
        <v>3474</v>
      </c>
      <c r="CA23" s="724" t="s">
        <v>1666</v>
      </c>
      <c r="CB23" s="737"/>
      <c r="CC23" s="744"/>
      <c r="CE23" s="398" t="s">
        <v>3723</v>
      </c>
      <c r="CF23" s="515">
        <v>42</v>
      </c>
      <c r="CG23" s="515">
        <v>45</v>
      </c>
      <c r="CH23" s="515">
        <v>44</v>
      </c>
      <c r="CI23" s="398">
        <v>41</v>
      </c>
      <c r="CJ23" s="463">
        <v>39</v>
      </c>
      <c r="CK23" s="515">
        <v>40</v>
      </c>
      <c r="CL23" s="515"/>
      <c r="CN23" s="680"/>
      <c r="CO23" s="2132" t="s">
        <v>3458</v>
      </c>
      <c r="CP23" s="2133"/>
      <c r="CQ23" s="2132" t="s">
        <v>3459</v>
      </c>
      <c r="CR23" s="2133"/>
      <c r="CS23" s="2132" t="s">
        <v>3460</v>
      </c>
      <c r="CT23" s="2133"/>
      <c r="CU23" s="2132" t="s">
        <v>3461</v>
      </c>
      <c r="CV23" s="2133"/>
      <c r="CW23" s="2132" t="s">
        <v>3462</v>
      </c>
      <c r="CX23" s="2134"/>
      <c r="CY23" s="402"/>
      <c r="DB23" s="740" t="s">
        <v>3619</v>
      </c>
      <c r="DC23" s="690">
        <v>26</v>
      </c>
      <c r="DD23" s="690">
        <v>26</v>
      </c>
      <c r="DE23" s="690">
        <v>33</v>
      </c>
      <c r="DF23" s="690">
        <v>22</v>
      </c>
      <c r="DG23" s="690">
        <v>27</v>
      </c>
      <c r="DH23" s="690">
        <v>28</v>
      </c>
      <c r="DI23" s="737">
        <v>29</v>
      </c>
      <c r="DJ23" s="737">
        <v>51</v>
      </c>
      <c r="DK23" s="737">
        <v>32</v>
      </c>
      <c r="DL23" s="737">
        <v>29</v>
      </c>
      <c r="DQ23" s="737"/>
      <c r="DR23" s="737"/>
      <c r="DS23" s="685"/>
      <c r="DT23" s="685"/>
      <c r="DU23" s="685"/>
      <c r="DV23" s="685"/>
      <c r="DW23" s="685"/>
      <c r="DX23" s="685"/>
      <c r="DY23" s="685"/>
      <c r="DZ23" s="685"/>
      <c r="EA23" s="685"/>
      <c r="EB23" s="685"/>
      <c r="EC23" s="685"/>
      <c r="ED23" s="685"/>
      <c r="EE23" s="685"/>
      <c r="EF23" s="685"/>
      <c r="EI23" s="705" t="s">
        <v>1701</v>
      </c>
      <c r="EJ23" s="745">
        <f>SUM(EL23:EM23)</f>
        <v>11</v>
      </c>
      <c r="EK23" s="755">
        <f t="shared" si="44"/>
        <v>0.37983425414364641</v>
      </c>
      <c r="EL23" s="745">
        <v>4</v>
      </c>
      <c r="EM23" s="745">
        <v>7</v>
      </c>
      <c r="EN23" s="745">
        <v>8</v>
      </c>
      <c r="EO23" s="745">
        <v>3</v>
      </c>
      <c r="EP23" s="515">
        <v>9</v>
      </c>
      <c r="EQ23" s="515">
        <v>2</v>
      </c>
      <c r="ET23" s="398" t="s">
        <v>3490</v>
      </c>
      <c r="EU23" s="398">
        <v>157</v>
      </c>
      <c r="EV23" s="398">
        <v>64</v>
      </c>
      <c r="EW23" s="398">
        <v>99</v>
      </c>
      <c r="EX23" s="398">
        <v>127</v>
      </c>
      <c r="EY23" s="515">
        <v>120</v>
      </c>
      <c r="EZ23" s="515"/>
      <c r="FA23" s="515"/>
      <c r="FB23" s="737"/>
      <c r="FC23" s="740" t="s">
        <v>3724</v>
      </c>
      <c r="FD23" s="737">
        <v>3282</v>
      </c>
      <c r="FE23" s="737">
        <v>1858</v>
      </c>
      <c r="FF23" s="761">
        <v>57</v>
      </c>
      <c r="FG23" s="737">
        <v>1039</v>
      </c>
      <c r="FH23" s="761">
        <v>32</v>
      </c>
      <c r="FI23" s="737">
        <v>262</v>
      </c>
      <c r="FJ23" s="761">
        <v>8</v>
      </c>
      <c r="FK23" s="737">
        <v>23</v>
      </c>
      <c r="FL23" s="761">
        <v>1</v>
      </c>
      <c r="FM23" s="737">
        <v>100</v>
      </c>
      <c r="FN23" s="761">
        <v>3</v>
      </c>
      <c r="FO23" s="737">
        <v>3218</v>
      </c>
      <c r="FP23" s="737"/>
      <c r="FQ23" s="737"/>
      <c r="FR23" s="398"/>
      <c r="FS23" s="398" t="s">
        <v>3725</v>
      </c>
      <c r="FT23" s="385" t="s">
        <v>546</v>
      </c>
      <c r="FU23" s="385" t="s">
        <v>546</v>
      </c>
      <c r="FV23" s="385" t="s">
        <v>546</v>
      </c>
      <c r="FW23" s="385" t="s">
        <v>546</v>
      </c>
      <c r="FX23" s="398">
        <v>2</v>
      </c>
      <c r="FY23" s="398">
        <v>2</v>
      </c>
      <c r="FZ23" s="398"/>
      <c r="GC23" s="386" t="s">
        <v>3572</v>
      </c>
      <c r="GD23" s="386"/>
      <c r="GE23" s="386"/>
      <c r="GF23" s="386"/>
      <c r="GG23" s="386"/>
      <c r="GH23" s="386"/>
      <c r="GI23" s="386"/>
      <c r="GJ23" s="737"/>
      <c r="GL23" s="386" t="s">
        <v>3726</v>
      </c>
      <c r="GM23" s="385">
        <v>0</v>
      </c>
      <c r="GN23" s="385">
        <v>0</v>
      </c>
      <c r="GO23" s="385">
        <v>0</v>
      </c>
      <c r="GP23" s="385">
        <v>0</v>
      </c>
      <c r="GQ23" s="385">
        <v>1</v>
      </c>
      <c r="GR23" s="519"/>
      <c r="GS23" s="571"/>
      <c r="GT23" s="519"/>
      <c r="GU23" s="704"/>
      <c r="GV23" s="688" t="s">
        <v>3438</v>
      </c>
      <c r="GW23" s="688" t="s">
        <v>3439</v>
      </c>
      <c r="GX23" s="688" t="s">
        <v>3440</v>
      </c>
      <c r="GY23" s="688" t="s">
        <v>3441</v>
      </c>
      <c r="GZ23" s="688" t="s">
        <v>3442</v>
      </c>
      <c r="HA23" s="419" t="s">
        <v>3443</v>
      </c>
      <c r="HB23" s="385"/>
      <c r="HD23" s="515"/>
      <c r="HQ23" s="398"/>
      <c r="HR23" s="398"/>
      <c r="HS23" s="398"/>
      <c r="HT23" s="398"/>
      <c r="HU23" s="398"/>
      <c r="HV23" s="398"/>
      <c r="HW23" s="398"/>
    </row>
    <row r="24" spans="1:232" ht="14.1" customHeight="1">
      <c r="A24" s="386" t="s">
        <v>3727</v>
      </c>
      <c r="B24" s="515">
        <f>SUM(B25:B27)</f>
        <v>2722</v>
      </c>
      <c r="C24" s="515">
        <f t="shared" ref="C24:F24" si="46">SUM(C25:C27)</f>
        <v>2109</v>
      </c>
      <c r="D24" s="515">
        <f t="shared" si="46"/>
        <v>1985</v>
      </c>
      <c r="E24" s="515">
        <f t="shared" si="46"/>
        <v>1925</v>
      </c>
      <c r="F24" s="515">
        <f t="shared" si="46"/>
        <v>1512</v>
      </c>
      <c r="G24" s="754" t="s">
        <v>546</v>
      </c>
      <c r="H24" s="754"/>
      <c r="J24" s="676" t="s">
        <v>2353</v>
      </c>
      <c r="K24" s="759" t="s">
        <v>2353</v>
      </c>
      <c r="L24" s="760">
        <v>178</v>
      </c>
      <c r="M24" s="760">
        <v>190</v>
      </c>
      <c r="N24" s="760">
        <v>226</v>
      </c>
      <c r="O24" s="760">
        <v>239</v>
      </c>
      <c r="P24" s="749">
        <v>240</v>
      </c>
      <c r="Q24" s="718"/>
      <c r="S24" s="386" t="s">
        <v>3588</v>
      </c>
      <c r="T24" s="386" t="s">
        <v>3728</v>
      </c>
      <c r="U24" s="738">
        <f t="shared" si="45"/>
        <v>420</v>
      </c>
      <c r="V24" s="737">
        <v>38</v>
      </c>
      <c r="W24" s="776">
        <v>0</v>
      </c>
      <c r="X24" s="776">
        <v>59</v>
      </c>
      <c r="Y24" s="738">
        <v>62</v>
      </c>
      <c r="Z24" s="738">
        <v>52</v>
      </c>
      <c r="AA24" s="738">
        <v>67</v>
      </c>
      <c r="AB24" s="738">
        <v>62</v>
      </c>
      <c r="AC24" s="738">
        <v>80</v>
      </c>
      <c r="AD24" s="757" t="s">
        <v>1627</v>
      </c>
      <c r="AE24" s="757" t="s">
        <v>1627</v>
      </c>
      <c r="AF24" s="757" t="s">
        <v>1627</v>
      </c>
      <c r="AG24" s="757" t="s">
        <v>1627</v>
      </c>
      <c r="AH24" s="757" t="s">
        <v>1627</v>
      </c>
      <c r="AI24" s="757" t="s">
        <v>1627</v>
      </c>
      <c r="AJ24" s="757" t="s">
        <v>1627</v>
      </c>
      <c r="AN24" s="773" t="s">
        <v>3729</v>
      </c>
      <c r="AO24" s="773"/>
      <c r="AP24" s="773"/>
      <c r="AQ24" s="773"/>
      <c r="AR24" s="773"/>
      <c r="AS24" s="773"/>
      <c r="AT24" s="773"/>
      <c r="AW24" s="398"/>
      <c r="AX24" s="674" t="s">
        <v>3730</v>
      </c>
      <c r="BU24" s="674" t="s">
        <v>3017</v>
      </c>
      <c r="BV24" s="737">
        <f>SUM(BV25:BV30)</f>
        <v>21517</v>
      </c>
      <c r="BW24" s="744">
        <v>100</v>
      </c>
      <c r="BX24" s="737">
        <f>SUM(BX25:BX29)</f>
        <v>15967</v>
      </c>
      <c r="BY24" s="744">
        <v>100</v>
      </c>
      <c r="BZ24" s="737">
        <f>SUM(BZ25:BZ29)</f>
        <v>24224</v>
      </c>
      <c r="CA24" s="744">
        <v>100</v>
      </c>
      <c r="CB24" s="737"/>
      <c r="CC24" s="744"/>
      <c r="CE24" s="398" t="s">
        <v>3731</v>
      </c>
      <c r="CF24" s="515">
        <v>157</v>
      </c>
      <c r="CG24" s="515">
        <v>159</v>
      </c>
      <c r="CH24" s="515">
        <v>165</v>
      </c>
      <c r="CI24" s="398">
        <v>161</v>
      </c>
      <c r="CJ24" s="463">
        <v>154</v>
      </c>
      <c r="CK24" s="754">
        <v>164</v>
      </c>
      <c r="CL24" s="754"/>
      <c r="CN24" s="727" t="s">
        <v>3018</v>
      </c>
      <c r="CO24" s="457" t="s">
        <v>3484</v>
      </c>
      <c r="CP24" s="457" t="s">
        <v>3485</v>
      </c>
      <c r="CQ24" s="457" t="s">
        <v>3484</v>
      </c>
      <c r="CR24" s="457" t="s">
        <v>3485</v>
      </c>
      <c r="CS24" s="457" t="s">
        <v>3484</v>
      </c>
      <c r="CT24" s="457" t="s">
        <v>3485</v>
      </c>
      <c r="CU24" s="457" t="s">
        <v>3484</v>
      </c>
      <c r="CV24" s="457" t="s">
        <v>3485</v>
      </c>
      <c r="CW24" s="457" t="s">
        <v>3484</v>
      </c>
      <c r="CX24" s="458" t="s">
        <v>3485</v>
      </c>
      <c r="CY24" s="690"/>
      <c r="DB24" s="740" t="s">
        <v>3628</v>
      </c>
      <c r="DC24" s="690">
        <v>7</v>
      </c>
      <c r="DD24" s="690">
        <v>5</v>
      </c>
      <c r="DE24" s="690">
        <v>18</v>
      </c>
      <c r="DF24" s="690">
        <v>9</v>
      </c>
      <c r="DG24" s="690">
        <v>8</v>
      </c>
      <c r="DH24" s="690">
        <v>4</v>
      </c>
      <c r="DI24" s="737">
        <v>6</v>
      </c>
      <c r="DJ24" s="737">
        <v>18</v>
      </c>
      <c r="DK24" s="737">
        <v>7</v>
      </c>
      <c r="DL24" s="737">
        <v>7</v>
      </c>
      <c r="DQ24" s="737"/>
      <c r="DR24" s="737"/>
      <c r="DS24" s="685"/>
      <c r="DT24" s="685"/>
      <c r="DU24" s="685"/>
      <c r="DV24" s="685"/>
      <c r="DW24" s="685"/>
      <c r="DX24" s="685"/>
      <c r="DY24" s="685"/>
      <c r="DZ24" s="797"/>
      <c r="EA24" s="797"/>
      <c r="EB24" s="798"/>
      <c r="EC24" s="798"/>
      <c r="ED24" s="685"/>
      <c r="EE24" s="685"/>
      <c r="EF24" s="685"/>
      <c r="EI24" s="705" t="s">
        <v>3569</v>
      </c>
      <c r="EJ24" s="745">
        <f>SUM(EL24:EM24)</f>
        <v>1316</v>
      </c>
      <c r="EK24" s="755">
        <f t="shared" si="44"/>
        <v>45.44198895027624</v>
      </c>
      <c r="EL24" s="745">
        <v>492</v>
      </c>
      <c r="EM24" s="745">
        <v>824</v>
      </c>
      <c r="EN24" s="745">
        <v>901</v>
      </c>
      <c r="EO24" s="745">
        <v>415</v>
      </c>
      <c r="EP24" s="515">
        <v>1147</v>
      </c>
      <c r="EQ24" s="515">
        <v>145</v>
      </c>
      <c r="ET24" s="398" t="s">
        <v>3491</v>
      </c>
      <c r="EU24" s="398">
        <v>190</v>
      </c>
      <c r="EV24" s="398">
        <v>215</v>
      </c>
      <c r="EW24" s="398">
        <v>194</v>
      </c>
      <c r="EX24" s="398">
        <v>211</v>
      </c>
      <c r="EY24" s="515">
        <v>211</v>
      </c>
      <c r="EZ24" s="515"/>
      <c r="FA24" s="515"/>
      <c r="FB24" s="737"/>
      <c r="FC24" s="740" t="s">
        <v>3732</v>
      </c>
      <c r="FD24" s="737">
        <v>3176</v>
      </c>
      <c r="FE24" s="737">
        <v>1849</v>
      </c>
      <c r="FF24" s="761">
        <v>58</v>
      </c>
      <c r="FG24" s="737">
        <v>969</v>
      </c>
      <c r="FH24" s="761">
        <v>31</v>
      </c>
      <c r="FI24" s="737">
        <v>253</v>
      </c>
      <c r="FJ24" s="761">
        <v>8</v>
      </c>
      <c r="FK24" s="737">
        <v>32</v>
      </c>
      <c r="FL24" s="761">
        <v>1</v>
      </c>
      <c r="FM24" s="737">
        <v>73</v>
      </c>
      <c r="FN24" s="761">
        <v>2</v>
      </c>
      <c r="FO24" s="737">
        <v>3077</v>
      </c>
      <c r="FP24" s="737"/>
      <c r="FQ24" s="737"/>
      <c r="FR24" s="398"/>
      <c r="FS24" s="398" t="s">
        <v>3733</v>
      </c>
      <c r="FT24" s="398">
        <v>37</v>
      </c>
      <c r="FU24" s="398">
        <v>34</v>
      </c>
      <c r="FV24" s="398">
        <v>32</v>
      </c>
      <c r="FW24" s="398">
        <v>40</v>
      </c>
      <c r="FX24" s="398">
        <v>62</v>
      </c>
      <c r="FY24" s="398">
        <v>34</v>
      </c>
      <c r="FZ24" s="398"/>
      <c r="GH24" s="737"/>
      <c r="GI24" s="737"/>
      <c r="GL24" s="386" t="s">
        <v>3734</v>
      </c>
      <c r="GM24" s="385">
        <v>1</v>
      </c>
      <c r="GN24" s="385">
        <v>1</v>
      </c>
      <c r="GO24" s="385">
        <v>3</v>
      </c>
      <c r="GP24" s="385">
        <v>1</v>
      </c>
      <c r="GQ24" s="385">
        <v>9</v>
      </c>
      <c r="GR24" s="385"/>
      <c r="GS24" s="571"/>
      <c r="GU24" s="720" t="s">
        <v>3735</v>
      </c>
      <c r="GV24" s="712">
        <v>2025</v>
      </c>
      <c r="GW24" s="712">
        <v>2024</v>
      </c>
      <c r="GX24" s="712">
        <v>2023</v>
      </c>
      <c r="GY24" s="712">
        <v>2022</v>
      </c>
      <c r="GZ24" s="712">
        <v>2021</v>
      </c>
      <c r="HA24" s="713">
        <v>2020</v>
      </c>
      <c r="HB24" s="690"/>
      <c r="HD24" s="737"/>
      <c r="HQ24" s="398"/>
      <c r="HR24" s="398"/>
      <c r="HS24" s="398"/>
      <c r="HT24" s="398"/>
      <c r="HU24" s="398"/>
      <c r="HV24" s="398"/>
      <c r="HW24" s="398"/>
    </row>
    <row r="25" spans="1:232" ht="14.1" customHeight="1">
      <c r="A25" s="740" t="s">
        <v>3549</v>
      </c>
      <c r="B25" s="738">
        <v>1390</v>
      </c>
      <c r="C25" s="515">
        <v>1099</v>
      </c>
      <c r="D25" s="515">
        <v>1059</v>
      </c>
      <c r="E25" s="515">
        <v>1066</v>
      </c>
      <c r="F25" s="515">
        <v>1087</v>
      </c>
      <c r="G25" s="754" t="s">
        <v>546</v>
      </c>
      <c r="H25" s="738"/>
      <c r="J25" s="676" t="s">
        <v>3736</v>
      </c>
      <c r="K25" s="759" t="s">
        <v>3737</v>
      </c>
      <c r="L25" s="760">
        <v>338</v>
      </c>
      <c r="M25" s="760">
        <v>347</v>
      </c>
      <c r="N25" s="760">
        <v>374</v>
      </c>
      <c r="O25" s="760">
        <v>408</v>
      </c>
      <c r="P25" s="749">
        <v>432</v>
      </c>
      <c r="Q25" s="718"/>
      <c r="S25" s="386" t="s">
        <v>3738</v>
      </c>
      <c r="T25" s="386" t="s">
        <v>2202</v>
      </c>
      <c r="U25" s="738">
        <f t="shared" si="45"/>
        <v>261</v>
      </c>
      <c r="V25" s="737">
        <v>34</v>
      </c>
      <c r="W25" s="738">
        <v>0</v>
      </c>
      <c r="X25" s="738">
        <v>32</v>
      </c>
      <c r="Y25" s="738">
        <v>25</v>
      </c>
      <c r="Z25" s="738">
        <v>40</v>
      </c>
      <c r="AA25" s="738">
        <v>52</v>
      </c>
      <c r="AB25" s="738">
        <v>37</v>
      </c>
      <c r="AC25" s="738">
        <v>41</v>
      </c>
      <c r="AD25" s="757" t="s">
        <v>1627</v>
      </c>
      <c r="AE25" s="757" t="s">
        <v>1627</v>
      </c>
      <c r="AF25" s="757" t="s">
        <v>1627</v>
      </c>
      <c r="AG25" s="757" t="s">
        <v>1627</v>
      </c>
      <c r="AH25" s="757" t="s">
        <v>1627</v>
      </c>
      <c r="AI25" s="757" t="s">
        <v>1627</v>
      </c>
      <c r="AJ25" s="757" t="s">
        <v>1627</v>
      </c>
      <c r="AN25" s="773" t="s">
        <v>3739</v>
      </c>
      <c r="AO25" s="773"/>
      <c r="AP25" s="773"/>
      <c r="AQ25" s="773"/>
      <c r="AR25" s="773"/>
      <c r="AS25" s="773"/>
      <c r="AT25" s="773"/>
      <c r="AU25" s="773"/>
      <c r="AW25" s="398"/>
      <c r="AX25" s="778"/>
      <c r="BU25" s="398" t="s">
        <v>3527</v>
      </c>
      <c r="BV25" s="515">
        <v>871</v>
      </c>
      <c r="BW25" s="799">
        <f t="shared" ref="BW25:BW30" si="47">BV25/$BV$24*100</f>
        <v>4.0479620764976527</v>
      </c>
      <c r="BX25" s="515">
        <v>1065</v>
      </c>
      <c r="BY25" s="744">
        <f>BX25/$BX$24*100</f>
        <v>6.6700068892089934</v>
      </c>
      <c r="BZ25" s="737">
        <v>1320</v>
      </c>
      <c r="CA25" s="744">
        <f>BZ25/BZ$24*100</f>
        <v>5.4491413474240424</v>
      </c>
      <c r="CB25" s="754"/>
      <c r="CC25" s="772"/>
      <c r="CE25" s="398" t="s">
        <v>3740</v>
      </c>
      <c r="CF25" s="515">
        <v>26</v>
      </c>
      <c r="CG25" s="515">
        <v>31</v>
      </c>
      <c r="CH25" s="515">
        <v>35</v>
      </c>
      <c r="CI25" s="398">
        <v>33</v>
      </c>
      <c r="CJ25" s="463">
        <v>39</v>
      </c>
      <c r="CK25" s="754">
        <v>43</v>
      </c>
      <c r="CL25" s="754"/>
      <c r="CN25" s="398" t="s">
        <v>3017</v>
      </c>
      <c r="CO25" s="515">
        <f t="shared" ref="CO25:CX25" si="48">CO27+CO31+CO35</f>
        <v>2896</v>
      </c>
      <c r="CP25" s="515">
        <f t="shared" si="48"/>
        <v>2693</v>
      </c>
      <c r="CQ25" s="515">
        <f t="shared" si="48"/>
        <v>2896</v>
      </c>
      <c r="CR25" s="515">
        <f t="shared" si="48"/>
        <v>2616</v>
      </c>
      <c r="CS25" s="515">
        <f t="shared" si="48"/>
        <v>2962</v>
      </c>
      <c r="CT25" s="515">
        <f t="shared" si="48"/>
        <v>2682</v>
      </c>
      <c r="CU25" s="515">
        <f t="shared" si="48"/>
        <v>3105</v>
      </c>
      <c r="CV25" s="515">
        <f t="shared" si="48"/>
        <v>2864</v>
      </c>
      <c r="CW25" s="515">
        <f t="shared" si="48"/>
        <v>3449</v>
      </c>
      <c r="CX25" s="515">
        <f t="shared" si="48"/>
        <v>3057</v>
      </c>
      <c r="CY25" s="745"/>
      <c r="DB25" s="740" t="s">
        <v>3640</v>
      </c>
      <c r="DC25" s="690">
        <v>2</v>
      </c>
      <c r="DD25" s="690">
        <v>2</v>
      </c>
      <c r="DE25" s="690">
        <v>3</v>
      </c>
      <c r="DF25" s="690">
        <v>3</v>
      </c>
      <c r="DG25" s="690">
        <v>2</v>
      </c>
      <c r="DH25" s="690">
        <v>2</v>
      </c>
      <c r="DI25" s="737">
        <v>5</v>
      </c>
      <c r="DJ25" s="737">
        <v>4</v>
      </c>
      <c r="DK25" s="737">
        <v>6</v>
      </c>
      <c r="DL25" s="737">
        <v>7</v>
      </c>
      <c r="DQ25" s="737"/>
      <c r="DR25" s="737"/>
      <c r="DS25" s="685"/>
      <c r="DT25" s="685"/>
      <c r="DU25" s="685"/>
      <c r="DV25" s="685"/>
      <c r="DW25" s="685"/>
      <c r="DX25" s="685"/>
      <c r="DY25" s="685"/>
      <c r="DZ25" s="797"/>
      <c r="EA25" s="797"/>
      <c r="EB25" s="798"/>
      <c r="EC25" s="798"/>
      <c r="ED25" s="685"/>
      <c r="EE25" s="685"/>
      <c r="EF25" s="685"/>
      <c r="EI25" s="705" t="s">
        <v>2661</v>
      </c>
      <c r="EJ25" s="745">
        <f t="shared" ref="EJ25:EJ28" si="49">SUM(EL25:EM25)</f>
        <v>22</v>
      </c>
      <c r="EK25" s="755">
        <f t="shared" si="44"/>
        <v>0.75966850828729282</v>
      </c>
      <c r="EL25" s="745">
        <v>12</v>
      </c>
      <c r="EM25" s="745">
        <v>10</v>
      </c>
      <c r="EN25" s="745">
        <v>15</v>
      </c>
      <c r="EO25" s="745">
        <v>7</v>
      </c>
      <c r="EP25" s="515">
        <v>17</v>
      </c>
      <c r="EQ25" s="515">
        <v>5</v>
      </c>
      <c r="ET25" s="398"/>
      <c r="EU25" s="398"/>
      <c r="EV25" s="398"/>
      <c r="EW25" s="398"/>
      <c r="EX25" s="398"/>
      <c r="EY25" s="398"/>
      <c r="EZ25" s="515"/>
      <c r="FA25" s="515"/>
      <c r="FB25" s="737"/>
      <c r="FC25" s="800" t="s">
        <v>3741</v>
      </c>
      <c r="FD25" s="801">
        <v>3034</v>
      </c>
      <c r="FE25" s="801">
        <v>1784</v>
      </c>
      <c r="FF25" s="774">
        <v>59</v>
      </c>
      <c r="FG25" s="801">
        <v>929</v>
      </c>
      <c r="FH25" s="774">
        <v>31</v>
      </c>
      <c r="FI25" s="801">
        <v>214</v>
      </c>
      <c r="FJ25" s="774">
        <v>7</v>
      </c>
      <c r="FK25" s="801">
        <v>46</v>
      </c>
      <c r="FL25" s="774">
        <v>2</v>
      </c>
      <c r="FM25" s="801">
        <v>61</v>
      </c>
      <c r="FN25" s="774">
        <v>2</v>
      </c>
      <c r="FO25" s="801">
        <v>2968</v>
      </c>
      <c r="FP25" s="737"/>
      <c r="FQ25" s="737"/>
      <c r="FR25" s="398"/>
      <c r="FS25" s="398" t="s">
        <v>3742</v>
      </c>
      <c r="FT25" s="398">
        <v>0</v>
      </c>
      <c r="FU25" s="398">
        <v>0</v>
      </c>
      <c r="FV25" s="398">
        <v>0</v>
      </c>
      <c r="FW25" s="398">
        <v>0</v>
      </c>
      <c r="FX25" s="398">
        <v>0</v>
      </c>
      <c r="FY25" s="398">
        <v>2</v>
      </c>
      <c r="FZ25" s="519"/>
      <c r="GL25" s="386" t="s">
        <v>3743</v>
      </c>
      <c r="GM25" s="385">
        <v>0</v>
      </c>
      <c r="GN25" s="385">
        <v>0</v>
      </c>
      <c r="GO25" s="385">
        <v>3</v>
      </c>
      <c r="GP25" s="519">
        <v>0</v>
      </c>
      <c r="GQ25" s="519">
        <v>0</v>
      </c>
      <c r="GR25" s="519"/>
      <c r="GS25" s="571"/>
      <c r="GU25" s="674" t="s">
        <v>3502</v>
      </c>
      <c r="GV25" s="737">
        <f t="shared" ref="GV25:HA25" si="50">SUM(GV26:GV49)</f>
        <v>1587</v>
      </c>
      <c r="GW25" s="737">
        <f t="shared" si="50"/>
        <v>1533</v>
      </c>
      <c r="GX25" s="737">
        <f t="shared" si="50"/>
        <v>1730</v>
      </c>
      <c r="GY25" s="737">
        <f t="shared" si="50"/>
        <v>1690</v>
      </c>
      <c r="GZ25" s="737">
        <f t="shared" si="50"/>
        <v>1796</v>
      </c>
      <c r="HA25" s="737">
        <f t="shared" si="50"/>
        <v>1979</v>
      </c>
      <c r="HB25" s="737"/>
      <c r="HD25" s="737"/>
      <c r="HQ25" s="398"/>
      <c r="HR25" s="398"/>
      <c r="HS25" s="398"/>
      <c r="HT25" s="398"/>
      <c r="HU25" s="398"/>
      <c r="HV25" s="398"/>
      <c r="HW25" s="398"/>
    </row>
    <row r="26" spans="1:232" ht="14.1" customHeight="1">
      <c r="A26" s="740" t="s">
        <v>3560</v>
      </c>
      <c r="B26" s="738">
        <v>817</v>
      </c>
      <c r="C26" s="515">
        <v>643</v>
      </c>
      <c r="D26" s="398">
        <v>576</v>
      </c>
      <c r="E26" s="515">
        <v>592</v>
      </c>
      <c r="F26" s="515">
        <v>234</v>
      </c>
      <c r="G26" s="754" t="s">
        <v>546</v>
      </c>
      <c r="H26" s="738"/>
      <c r="J26" s="676" t="s">
        <v>3744</v>
      </c>
      <c r="K26" s="759" t="s">
        <v>2253</v>
      </c>
      <c r="L26" s="760">
        <v>332</v>
      </c>
      <c r="M26" s="760">
        <v>344</v>
      </c>
      <c r="N26" s="760">
        <v>347</v>
      </c>
      <c r="O26" s="760">
        <v>307</v>
      </c>
      <c r="P26" s="749">
        <v>327</v>
      </c>
      <c r="Q26" s="718"/>
      <c r="S26" s="386" t="s">
        <v>3679</v>
      </c>
      <c r="T26" s="386" t="s">
        <v>2202</v>
      </c>
      <c r="U26" s="738">
        <f t="shared" si="45"/>
        <v>223</v>
      </c>
      <c r="V26" s="776">
        <v>0</v>
      </c>
      <c r="W26" s="776">
        <v>39</v>
      </c>
      <c r="X26" s="776">
        <v>80</v>
      </c>
      <c r="Y26" s="738">
        <v>104</v>
      </c>
      <c r="Z26" s="776">
        <v>0</v>
      </c>
      <c r="AA26" s="776">
        <v>0</v>
      </c>
      <c r="AB26" s="776">
        <v>0</v>
      </c>
      <c r="AC26" s="776">
        <v>0</v>
      </c>
      <c r="AD26" s="757" t="s">
        <v>1627</v>
      </c>
      <c r="AE26" s="757" t="s">
        <v>1627</v>
      </c>
      <c r="AF26" s="757" t="s">
        <v>1627</v>
      </c>
      <c r="AG26" s="757" t="s">
        <v>1627</v>
      </c>
      <c r="AH26" s="757" t="s">
        <v>1627</v>
      </c>
      <c r="AI26" s="757" t="s">
        <v>1627</v>
      </c>
      <c r="AJ26" s="757" t="s">
        <v>1627</v>
      </c>
      <c r="AN26" s="398" t="s">
        <v>3745</v>
      </c>
      <c r="AO26" s="398"/>
      <c r="AP26" s="398"/>
      <c r="AQ26" s="398"/>
      <c r="AR26" s="398"/>
      <c r="AS26" s="398"/>
      <c r="AT26" s="398"/>
      <c r="AU26" s="773"/>
      <c r="AW26" s="398"/>
      <c r="BU26" s="674" t="s">
        <v>3541</v>
      </c>
      <c r="BV26" s="737">
        <v>1666</v>
      </c>
      <c r="BW26" s="799">
        <f t="shared" si="47"/>
        <v>7.7427150625087133</v>
      </c>
      <c r="BX26" s="737">
        <v>1783</v>
      </c>
      <c r="BY26" s="744">
        <f t="shared" ref="BY26:BY27" si="51">BX26/$BX$24*100</f>
        <v>11.166781486816559</v>
      </c>
      <c r="BZ26" s="737">
        <v>1854</v>
      </c>
      <c r="CA26" s="744">
        <f>BZ26/BZ$24*100</f>
        <v>7.6535667107001331</v>
      </c>
      <c r="CB26" s="737"/>
      <c r="CC26" s="744"/>
      <c r="CE26" s="398" t="s">
        <v>3746</v>
      </c>
      <c r="CF26" s="515">
        <v>56</v>
      </c>
      <c r="CG26" s="515">
        <v>60</v>
      </c>
      <c r="CH26" s="515">
        <v>48</v>
      </c>
      <c r="CI26" s="398">
        <v>54</v>
      </c>
      <c r="CJ26" s="463">
        <v>65</v>
      </c>
      <c r="CK26" s="754">
        <v>73</v>
      </c>
      <c r="CL26" s="754"/>
      <c r="CN26" s="398"/>
      <c r="CO26" s="398"/>
      <c r="CP26" s="398"/>
      <c r="CQ26" s="398"/>
      <c r="CR26" s="398"/>
      <c r="CS26" s="398"/>
      <c r="CT26" s="398"/>
      <c r="CU26" s="398"/>
      <c r="CV26" s="398"/>
      <c r="CW26" s="398"/>
      <c r="CX26" s="398"/>
      <c r="CY26" s="745"/>
      <c r="DB26" s="740" t="s">
        <v>2597</v>
      </c>
      <c r="DC26" s="690">
        <v>0</v>
      </c>
      <c r="DD26" s="690">
        <v>0</v>
      </c>
      <c r="DE26" s="690">
        <v>0</v>
      </c>
      <c r="DF26" s="690">
        <v>0</v>
      </c>
      <c r="DG26" s="690">
        <v>0</v>
      </c>
      <c r="DH26" s="690">
        <v>0</v>
      </c>
      <c r="DI26" s="737">
        <v>0</v>
      </c>
      <c r="DJ26" s="737">
        <v>0</v>
      </c>
      <c r="DK26" s="737">
        <v>0</v>
      </c>
      <c r="DL26" s="737">
        <v>0</v>
      </c>
      <c r="DS26" s="685"/>
      <c r="DT26" s="685"/>
      <c r="DU26" s="685"/>
      <c r="DV26" s="685"/>
      <c r="DW26" s="685"/>
      <c r="DX26" s="685"/>
      <c r="DY26" s="685"/>
      <c r="DZ26" s="797"/>
      <c r="EA26" s="797"/>
      <c r="EB26" s="798"/>
      <c r="EC26" s="798"/>
      <c r="ED26" s="685"/>
      <c r="EE26" s="685"/>
      <c r="EF26" s="685"/>
      <c r="EI26" s="705" t="s">
        <v>1708</v>
      </c>
      <c r="EJ26" s="745">
        <f>SUM(EL26:EM26)</f>
        <v>77</v>
      </c>
      <c r="EK26" s="755">
        <f t="shared" si="44"/>
        <v>2.6588397790055249</v>
      </c>
      <c r="EL26" s="745">
        <v>35</v>
      </c>
      <c r="EM26" s="745">
        <v>42</v>
      </c>
      <c r="EN26" s="745">
        <v>40</v>
      </c>
      <c r="EO26" s="745">
        <v>37</v>
      </c>
      <c r="EP26" s="515">
        <v>45</v>
      </c>
      <c r="EQ26" s="515">
        <v>31</v>
      </c>
      <c r="ET26" s="398" t="s">
        <v>1711</v>
      </c>
      <c r="EU26" s="398">
        <v>97</v>
      </c>
      <c r="EV26" s="398">
        <v>86</v>
      </c>
      <c r="EW26" s="398">
        <v>101</v>
      </c>
      <c r="EX26" s="398">
        <v>115</v>
      </c>
      <c r="EY26" s="398">
        <v>103</v>
      </c>
      <c r="EZ26" s="515"/>
      <c r="FA26" s="515"/>
      <c r="FC26" s="674" t="s">
        <v>3629</v>
      </c>
      <c r="FR26" s="398"/>
      <c r="FS26" s="398" t="s">
        <v>3747</v>
      </c>
      <c r="FT26" s="519" t="s">
        <v>546</v>
      </c>
      <c r="FU26" s="519" t="s">
        <v>546</v>
      </c>
      <c r="FV26" s="519" t="s">
        <v>546</v>
      </c>
      <c r="FW26" s="519" t="s">
        <v>546</v>
      </c>
      <c r="FX26" s="519" t="s">
        <v>546</v>
      </c>
      <c r="FY26" s="519" t="s">
        <v>546</v>
      </c>
      <c r="FZ26" s="398"/>
      <c r="GL26" s="386" t="s">
        <v>3748</v>
      </c>
      <c r="GM26" s="398">
        <v>50</v>
      </c>
      <c r="GN26" s="385">
        <v>41</v>
      </c>
      <c r="GO26" s="385">
        <v>58</v>
      </c>
      <c r="GP26" s="385">
        <v>46</v>
      </c>
      <c r="GQ26" s="385">
        <v>43</v>
      </c>
      <c r="GR26" s="385"/>
      <c r="GS26" s="571"/>
      <c r="GU26" s="398" t="s">
        <v>3749</v>
      </c>
      <c r="GV26" s="515">
        <v>3</v>
      </c>
      <c r="GW26" s="515">
        <v>3</v>
      </c>
      <c r="GX26" s="515">
        <v>2</v>
      </c>
      <c r="GY26" s="515">
        <v>4</v>
      </c>
      <c r="GZ26" s="515">
        <v>5</v>
      </c>
      <c r="HA26" s="398">
        <v>9</v>
      </c>
      <c r="HD26" s="737"/>
      <c r="HQ26" s="398"/>
      <c r="HR26" s="398"/>
      <c r="HS26" s="398"/>
      <c r="HT26" s="398"/>
      <c r="HU26" s="398"/>
      <c r="HV26" s="398"/>
      <c r="HW26" s="398"/>
    </row>
    <row r="27" spans="1:232" ht="14.1" customHeight="1">
      <c r="A27" s="740" t="s">
        <v>3574</v>
      </c>
      <c r="B27" s="690">
        <v>515</v>
      </c>
      <c r="C27" s="515">
        <v>367</v>
      </c>
      <c r="D27" s="398">
        <v>350</v>
      </c>
      <c r="E27" s="515">
        <v>267</v>
      </c>
      <c r="F27" s="515">
        <v>191</v>
      </c>
      <c r="G27" s="754" t="s">
        <v>546</v>
      </c>
      <c r="H27" s="738"/>
      <c r="J27" s="676" t="s">
        <v>3750</v>
      </c>
      <c r="K27" s="759" t="s">
        <v>2185</v>
      </c>
      <c r="L27" s="760">
        <v>519</v>
      </c>
      <c r="M27" s="760">
        <v>567</v>
      </c>
      <c r="N27" s="760">
        <v>589</v>
      </c>
      <c r="O27" s="760">
        <v>560</v>
      </c>
      <c r="P27" s="749">
        <v>626</v>
      </c>
      <c r="Q27" s="718"/>
      <c r="S27" s="386" t="s">
        <v>3751</v>
      </c>
      <c r="T27" s="386" t="s">
        <v>2202</v>
      </c>
      <c r="U27" s="738">
        <f t="shared" si="45"/>
        <v>1650</v>
      </c>
      <c r="V27" s="757" t="s">
        <v>1627</v>
      </c>
      <c r="W27" s="757" t="s">
        <v>1627</v>
      </c>
      <c r="X27" s="757" t="s">
        <v>1627</v>
      </c>
      <c r="Y27" s="757" t="s">
        <v>1627</v>
      </c>
      <c r="Z27" s="757" t="s">
        <v>1627</v>
      </c>
      <c r="AA27" s="757" t="s">
        <v>1627</v>
      </c>
      <c r="AB27" s="757" t="s">
        <v>1627</v>
      </c>
      <c r="AC27" s="757" t="s">
        <v>1627</v>
      </c>
      <c r="AD27" s="757" t="s">
        <v>1627</v>
      </c>
      <c r="AE27" s="757" t="s">
        <v>1627</v>
      </c>
      <c r="AF27" s="757" t="s">
        <v>1627</v>
      </c>
      <c r="AG27" s="738">
        <v>492</v>
      </c>
      <c r="AH27" s="738">
        <v>461</v>
      </c>
      <c r="AI27" s="738">
        <v>412</v>
      </c>
      <c r="AJ27" s="738">
        <v>285</v>
      </c>
      <c r="AN27" s="398" t="s">
        <v>3752</v>
      </c>
      <c r="AO27" s="398"/>
      <c r="AP27" s="398"/>
      <c r="AQ27" s="398"/>
      <c r="AR27" s="398"/>
      <c r="AS27" s="398"/>
      <c r="AT27" s="398"/>
      <c r="AU27" s="398"/>
      <c r="AW27" s="398"/>
      <c r="BU27" s="398" t="s">
        <v>3554</v>
      </c>
      <c r="BV27" s="515">
        <v>11315</v>
      </c>
      <c r="BW27" s="799">
        <f t="shared" si="47"/>
        <v>52.586327090207739</v>
      </c>
      <c r="BX27" s="515">
        <v>11453</v>
      </c>
      <c r="BY27" s="744">
        <f t="shared" si="51"/>
        <v>71.72919145738085</v>
      </c>
      <c r="BZ27" s="737">
        <v>18306</v>
      </c>
      <c r="CA27" s="744">
        <f>BZ27/BZ$24*100</f>
        <v>75.569682959048876</v>
      </c>
      <c r="CB27" s="737"/>
      <c r="CC27" s="744"/>
      <c r="CE27" s="398" t="s">
        <v>3753</v>
      </c>
      <c r="CF27" s="515">
        <v>706</v>
      </c>
      <c r="CG27" s="515">
        <v>806</v>
      </c>
      <c r="CH27" s="515">
        <v>947</v>
      </c>
      <c r="CI27" s="398">
        <v>989</v>
      </c>
      <c r="CJ27" s="463">
        <v>870</v>
      </c>
      <c r="CK27" s="515">
        <v>658</v>
      </c>
      <c r="CL27" s="515"/>
      <c r="CN27" s="398" t="s">
        <v>3754</v>
      </c>
      <c r="CO27" s="515">
        <f>SUM(CO28:CO29)</f>
        <v>2518</v>
      </c>
      <c r="CP27" s="515">
        <f>SUM(CP28:CP29)</f>
        <v>2344</v>
      </c>
      <c r="CQ27" s="515">
        <f>SUM(CQ28:CQ29)</f>
        <v>2575</v>
      </c>
      <c r="CR27" s="515">
        <f>SUM(CR28:CR29)</f>
        <v>2312</v>
      </c>
      <c r="CS27" s="515">
        <f t="shared" ref="CS27:CX27" si="52">SUM(CS28:CS29)</f>
        <v>2624</v>
      </c>
      <c r="CT27" s="515">
        <f t="shared" si="52"/>
        <v>2348</v>
      </c>
      <c r="CU27" s="515">
        <f t="shared" si="52"/>
        <v>2742</v>
      </c>
      <c r="CV27" s="515">
        <f t="shared" si="52"/>
        <v>2530</v>
      </c>
      <c r="CW27" s="515">
        <f t="shared" si="52"/>
        <v>3096</v>
      </c>
      <c r="CX27" s="515">
        <f t="shared" si="52"/>
        <v>2723</v>
      </c>
      <c r="CY27" s="745"/>
      <c r="DG27" s="737"/>
      <c r="DH27" s="737"/>
      <c r="DI27" s="737"/>
      <c r="DJ27" s="737"/>
      <c r="DK27" s="738"/>
      <c r="DL27" s="738"/>
      <c r="DQ27" s="737"/>
      <c r="DR27" s="737"/>
      <c r="DS27" s="685"/>
      <c r="DT27" s="685"/>
      <c r="DU27" s="685"/>
      <c r="DV27" s="685"/>
      <c r="DW27" s="685"/>
      <c r="DX27" s="685"/>
      <c r="DY27" s="685"/>
      <c r="DZ27" s="797"/>
      <c r="EA27" s="797"/>
      <c r="EB27" s="798"/>
      <c r="EC27" s="798"/>
      <c r="ED27" s="685"/>
      <c r="EE27" s="685"/>
      <c r="EF27" s="685"/>
      <c r="EI27" s="705" t="s">
        <v>3607</v>
      </c>
      <c r="EJ27" s="745">
        <f>SUM(EL27:EM27)</f>
        <v>116</v>
      </c>
      <c r="EK27" s="755">
        <f t="shared" si="44"/>
        <v>4.0055248618784534</v>
      </c>
      <c r="EL27" s="745">
        <v>59</v>
      </c>
      <c r="EM27" s="745">
        <v>57</v>
      </c>
      <c r="EN27" s="745">
        <v>81</v>
      </c>
      <c r="EO27" s="745">
        <v>35</v>
      </c>
      <c r="EP27" s="515">
        <v>102</v>
      </c>
      <c r="EQ27" s="515">
        <v>11</v>
      </c>
      <c r="ET27" s="398" t="s">
        <v>1712</v>
      </c>
      <c r="EU27" s="398">
        <v>250</v>
      </c>
      <c r="EV27" s="398">
        <v>193</v>
      </c>
      <c r="EW27" s="398">
        <v>192</v>
      </c>
      <c r="EX27" s="398">
        <v>223</v>
      </c>
      <c r="EY27" s="398">
        <v>228</v>
      </c>
      <c r="EZ27" s="515"/>
      <c r="FA27" s="515"/>
      <c r="FB27" s="690"/>
      <c r="FC27" s="674" t="s">
        <v>3755</v>
      </c>
      <c r="FP27" s="690"/>
      <c r="FQ27" s="690"/>
      <c r="FR27" s="398"/>
      <c r="FS27" s="398" t="s">
        <v>3756</v>
      </c>
      <c r="FT27" s="398">
        <v>40</v>
      </c>
      <c r="FU27" s="398">
        <v>26</v>
      </c>
      <c r="FV27" s="398">
        <v>23</v>
      </c>
      <c r="FW27" s="398">
        <v>22</v>
      </c>
      <c r="FX27" s="398">
        <v>29</v>
      </c>
      <c r="FY27" s="398">
        <v>26</v>
      </c>
      <c r="FZ27" s="398"/>
      <c r="GL27" s="386" t="s">
        <v>3757</v>
      </c>
      <c r="GM27" s="398">
        <v>22</v>
      </c>
      <c r="GN27" s="385">
        <v>0</v>
      </c>
      <c r="GO27" s="385">
        <v>0</v>
      </c>
      <c r="GP27" s="385">
        <v>0</v>
      </c>
      <c r="GQ27" s="385">
        <v>0</v>
      </c>
      <c r="GR27" s="385"/>
      <c r="GS27" s="571"/>
      <c r="GT27" s="519"/>
      <c r="GU27" s="398" t="s">
        <v>1693</v>
      </c>
      <c r="GV27" s="515">
        <v>55</v>
      </c>
      <c r="GW27" s="515">
        <v>37</v>
      </c>
      <c r="GX27" s="515">
        <v>5</v>
      </c>
      <c r="GY27" s="515">
        <v>4</v>
      </c>
      <c r="GZ27" s="515">
        <v>4</v>
      </c>
      <c r="HA27" s="398">
        <v>4</v>
      </c>
      <c r="HD27" s="737"/>
      <c r="HQ27" s="398"/>
      <c r="HR27" s="398"/>
      <c r="HS27" s="398"/>
      <c r="HT27" s="398"/>
      <c r="HU27" s="398"/>
      <c r="HV27" s="398"/>
      <c r="HW27" s="398"/>
    </row>
    <row r="28" spans="1:232" ht="14.1" customHeight="1">
      <c r="A28" s="398" t="s">
        <v>3577</v>
      </c>
      <c r="B28" s="398">
        <v>68</v>
      </c>
      <c r="C28" s="515">
        <v>62</v>
      </c>
      <c r="D28" s="398">
        <v>32</v>
      </c>
      <c r="E28" s="398">
        <v>26</v>
      </c>
      <c r="F28" s="398">
        <v>20</v>
      </c>
      <c r="G28" s="754" t="s">
        <v>546</v>
      </c>
      <c r="H28" s="754"/>
      <c r="J28" s="676" t="s">
        <v>2201</v>
      </c>
      <c r="K28" s="759" t="s">
        <v>2201</v>
      </c>
      <c r="L28" s="760">
        <v>196</v>
      </c>
      <c r="M28" s="760">
        <v>202</v>
      </c>
      <c r="N28" s="760">
        <v>222</v>
      </c>
      <c r="O28" s="760">
        <v>244</v>
      </c>
      <c r="P28" s="749">
        <v>265</v>
      </c>
      <c r="Q28" s="718"/>
      <c r="S28" s="386" t="s">
        <v>2202</v>
      </c>
      <c r="T28" s="386" t="s">
        <v>2202</v>
      </c>
      <c r="U28" s="738">
        <f t="shared" si="45"/>
        <v>427</v>
      </c>
      <c r="V28" s="776">
        <v>0</v>
      </c>
      <c r="W28" s="776">
        <v>0</v>
      </c>
      <c r="X28" s="776">
        <v>0</v>
      </c>
      <c r="Y28" s="776">
        <v>0</v>
      </c>
      <c r="Z28" s="738">
        <v>105</v>
      </c>
      <c r="AA28" s="738">
        <v>117</v>
      </c>
      <c r="AB28" s="738">
        <v>104</v>
      </c>
      <c r="AC28" s="738">
        <v>101</v>
      </c>
      <c r="AD28" s="757" t="s">
        <v>1627</v>
      </c>
      <c r="AE28" s="757" t="s">
        <v>1627</v>
      </c>
      <c r="AF28" s="757" t="s">
        <v>1627</v>
      </c>
      <c r="AG28" s="757" t="s">
        <v>1627</v>
      </c>
      <c r="AH28" s="757" t="s">
        <v>1627</v>
      </c>
      <c r="AI28" s="757" t="s">
        <v>1627</v>
      </c>
      <c r="AJ28" s="757" t="s">
        <v>1627</v>
      </c>
      <c r="AN28" s="773" t="s">
        <v>3758</v>
      </c>
      <c r="AO28" s="773"/>
      <c r="AP28" s="773"/>
      <c r="AQ28" s="773"/>
      <c r="AR28" s="773"/>
      <c r="AS28" s="773"/>
      <c r="AT28" s="773"/>
      <c r="AU28" s="398"/>
      <c r="AW28" s="398"/>
      <c r="BU28" s="674" t="s">
        <v>3565</v>
      </c>
      <c r="BV28" s="737">
        <v>534</v>
      </c>
      <c r="BW28" s="799">
        <f t="shared" si="47"/>
        <v>2.4817586094715809</v>
      </c>
      <c r="BX28" s="737">
        <v>572</v>
      </c>
      <c r="BY28" s="744">
        <f>BX28/$BX$24*100</f>
        <v>3.5823886766455812</v>
      </c>
      <c r="BZ28" s="737">
        <v>738</v>
      </c>
      <c r="CA28" s="744">
        <f>BZ28/BZ$24*100</f>
        <v>3.0465653896961693</v>
      </c>
      <c r="CE28" s="398"/>
      <c r="CF28" s="398"/>
      <c r="CG28" s="398"/>
      <c r="CH28" s="398"/>
      <c r="CI28" s="398"/>
      <c r="CJ28" s="398"/>
      <c r="CK28" s="515"/>
      <c r="CL28" s="515"/>
      <c r="CN28" s="398" t="s">
        <v>3039</v>
      </c>
      <c r="CO28" s="515">
        <v>1094</v>
      </c>
      <c r="CP28" s="515">
        <v>1014</v>
      </c>
      <c r="CQ28" s="515">
        <v>1082</v>
      </c>
      <c r="CR28" s="515">
        <v>1001</v>
      </c>
      <c r="CS28" s="515">
        <v>1111</v>
      </c>
      <c r="CT28" s="515">
        <v>998</v>
      </c>
      <c r="CU28" s="515">
        <v>1154</v>
      </c>
      <c r="CV28" s="515">
        <v>1054</v>
      </c>
      <c r="CW28" s="515">
        <v>1282</v>
      </c>
      <c r="CX28" s="515">
        <v>1142</v>
      </c>
      <c r="CY28" s="745"/>
      <c r="DB28" s="398" t="s">
        <v>3759</v>
      </c>
      <c r="DC28" s="398">
        <f>SUM(DC29+DC40)</f>
        <v>347</v>
      </c>
      <c r="DD28" s="398">
        <f>SUM(DD29+DD40)</f>
        <v>314</v>
      </c>
      <c r="DE28" s="398">
        <f>SUM(DE29+DE40)</f>
        <v>279</v>
      </c>
      <c r="DF28" s="398">
        <f>SUM(DF29+DF40)</f>
        <v>282</v>
      </c>
      <c r="DG28" s="515">
        <f>DG29+DG40</f>
        <v>293</v>
      </c>
      <c r="DH28" s="515">
        <f>DH29+DH40</f>
        <v>244</v>
      </c>
      <c r="DI28" s="515">
        <f>DI29+DI40</f>
        <v>338</v>
      </c>
      <c r="DJ28" s="515">
        <f>DJ29+DJ40</f>
        <v>293</v>
      </c>
      <c r="DK28" s="754">
        <f>SUM(DK29,DK40)</f>
        <v>331</v>
      </c>
      <c r="DL28" s="754">
        <f>SUM(DL29,DL40)</f>
        <v>304</v>
      </c>
      <c r="DQ28" s="737"/>
      <c r="DR28" s="737"/>
      <c r="DS28" s="685"/>
      <c r="DT28" s="685"/>
      <c r="DU28" s="685"/>
      <c r="DV28" s="685"/>
      <c r="DW28" s="685"/>
      <c r="DX28" s="685"/>
      <c r="DY28" s="685"/>
      <c r="DZ28" s="797"/>
      <c r="EA28" s="797"/>
      <c r="EB28" s="798"/>
      <c r="EC28" s="798"/>
      <c r="ED28" s="685"/>
      <c r="EE28" s="685"/>
      <c r="EF28" s="685"/>
      <c r="EI28" s="730" t="s">
        <v>3620</v>
      </c>
      <c r="EJ28" s="779">
        <f t="shared" si="49"/>
        <v>23</v>
      </c>
      <c r="EK28" s="780">
        <f t="shared" si="44"/>
        <v>0.79419889502762442</v>
      </c>
      <c r="EL28" s="779">
        <v>1</v>
      </c>
      <c r="EM28" s="779">
        <v>22</v>
      </c>
      <c r="EN28" s="779">
        <v>22</v>
      </c>
      <c r="EO28" s="779">
        <v>1</v>
      </c>
      <c r="EP28" s="766">
        <v>18</v>
      </c>
      <c r="EQ28" s="766">
        <v>1</v>
      </c>
      <c r="ET28" s="398"/>
      <c r="EU28" s="398"/>
      <c r="EV28" s="398"/>
      <c r="EW28" s="398"/>
      <c r="EX28" s="398"/>
      <c r="EY28" s="398"/>
      <c r="EZ28" s="515"/>
      <c r="FA28" s="515"/>
      <c r="FB28" s="690"/>
      <c r="FP28" s="690"/>
      <c r="FQ28" s="690"/>
      <c r="FR28" s="398"/>
      <c r="FS28" s="398" t="s">
        <v>3760</v>
      </c>
      <c r="FT28" s="398">
        <v>0</v>
      </c>
      <c r="FU28" s="398">
        <v>0</v>
      </c>
      <c r="FV28" s="398">
        <v>0</v>
      </c>
      <c r="FW28" s="398">
        <v>0</v>
      </c>
      <c r="FX28" s="398">
        <v>0</v>
      </c>
      <c r="FY28" s="398">
        <v>0</v>
      </c>
      <c r="FZ28" s="398"/>
      <c r="GL28" s="386" t="s">
        <v>3761</v>
      </c>
      <c r="GM28" s="385">
        <v>8</v>
      </c>
      <c r="GN28" s="385">
        <v>11</v>
      </c>
      <c r="GO28" s="385">
        <v>9</v>
      </c>
      <c r="GP28" s="385">
        <v>14</v>
      </c>
      <c r="GQ28" s="385">
        <v>13</v>
      </c>
      <c r="GR28" s="385"/>
      <c r="GS28" s="571"/>
      <c r="GU28" s="398" t="s">
        <v>1694</v>
      </c>
      <c r="GV28" s="515">
        <v>0</v>
      </c>
      <c r="GW28" s="515">
        <v>0</v>
      </c>
      <c r="GX28" s="515">
        <v>1</v>
      </c>
      <c r="GY28" s="515">
        <v>1</v>
      </c>
      <c r="GZ28" s="515">
        <v>1</v>
      </c>
      <c r="HA28" s="398">
        <v>0</v>
      </c>
      <c r="HD28" s="737"/>
    </row>
    <row r="29" spans="1:232" ht="14.1" customHeight="1">
      <c r="G29" s="738"/>
      <c r="H29" s="754"/>
      <c r="J29" s="676" t="s">
        <v>3762</v>
      </c>
      <c r="K29" s="759" t="s">
        <v>2202</v>
      </c>
      <c r="L29" s="760">
        <v>427</v>
      </c>
      <c r="M29" s="760">
        <v>441</v>
      </c>
      <c r="N29" s="760">
        <v>476</v>
      </c>
      <c r="O29" s="760">
        <v>506</v>
      </c>
      <c r="P29" s="749">
        <v>537</v>
      </c>
      <c r="Q29" s="718"/>
      <c r="S29" s="398"/>
      <c r="T29" s="740"/>
      <c r="U29" s="738"/>
      <c r="V29" s="737"/>
      <c r="W29" s="738"/>
      <c r="X29" s="738"/>
      <c r="Y29" s="738"/>
      <c r="Z29" s="738"/>
      <c r="AA29" s="738"/>
      <c r="AB29" s="738"/>
      <c r="AC29" s="738"/>
      <c r="AD29" s="754"/>
      <c r="AE29" s="738"/>
      <c r="AF29" s="738"/>
      <c r="AG29" s="738"/>
      <c r="AH29" s="738"/>
      <c r="AI29" s="738"/>
      <c r="AJ29" s="738"/>
      <c r="AN29" s="398" t="s">
        <v>3763</v>
      </c>
      <c r="AO29" s="398"/>
      <c r="AP29" s="398"/>
      <c r="AQ29" s="398"/>
      <c r="AR29" s="398"/>
      <c r="AS29" s="398"/>
      <c r="AT29" s="398"/>
      <c r="AU29" s="773"/>
      <c r="AW29" s="398"/>
      <c r="BU29" s="398" t="s">
        <v>3764</v>
      </c>
      <c r="BV29" s="515">
        <v>7103</v>
      </c>
      <c r="BW29" s="799">
        <f t="shared" si="47"/>
        <v>33.011107496398196</v>
      </c>
      <c r="BX29" s="515">
        <v>1094</v>
      </c>
      <c r="BY29" s="744">
        <f>BX29/$BX$24*100</f>
        <v>6.8516314899480175</v>
      </c>
      <c r="BZ29" s="737">
        <v>2006</v>
      </c>
      <c r="CA29" s="744">
        <f>BZ29/BZ$24*100</f>
        <v>8.2810435931307804</v>
      </c>
      <c r="CE29" s="398" t="s">
        <v>3765</v>
      </c>
      <c r="CF29" s="515">
        <f>SUM(CF30:CF46)</f>
        <v>3210</v>
      </c>
      <c r="CG29" s="515">
        <f>SUM(CG30:CG46)</f>
        <v>3368</v>
      </c>
      <c r="CH29" s="515">
        <f t="shared" ref="CH29:CK29" si="53">SUM(CH30:CH46)</f>
        <v>3649</v>
      </c>
      <c r="CI29" s="463">
        <f t="shared" si="53"/>
        <v>3699</v>
      </c>
      <c r="CJ29" s="463">
        <f t="shared" si="53"/>
        <v>3594</v>
      </c>
      <c r="CK29" s="515">
        <f t="shared" si="53"/>
        <v>3755</v>
      </c>
      <c r="CL29" s="515"/>
      <c r="CN29" s="398" t="s">
        <v>3046</v>
      </c>
      <c r="CO29" s="515">
        <v>1424</v>
      </c>
      <c r="CP29" s="515">
        <v>1330</v>
      </c>
      <c r="CQ29" s="515">
        <v>1493</v>
      </c>
      <c r="CR29" s="515">
        <v>1311</v>
      </c>
      <c r="CS29" s="515">
        <v>1513</v>
      </c>
      <c r="CT29" s="515">
        <v>1350</v>
      </c>
      <c r="CU29" s="515">
        <v>1588</v>
      </c>
      <c r="CV29" s="515">
        <v>1476</v>
      </c>
      <c r="CW29" s="515">
        <v>1814</v>
      </c>
      <c r="CX29" s="515">
        <v>1581</v>
      </c>
      <c r="CY29" s="802"/>
      <c r="DB29" s="740" t="s">
        <v>3544</v>
      </c>
      <c r="DC29" s="690">
        <f t="shared" ref="DC29:DL29" si="54">SUM(DC30:DC38)</f>
        <v>97</v>
      </c>
      <c r="DD29" s="690">
        <f t="shared" si="54"/>
        <v>97</v>
      </c>
      <c r="DE29" s="690">
        <f t="shared" si="54"/>
        <v>86</v>
      </c>
      <c r="DF29" s="690">
        <f t="shared" si="54"/>
        <v>87</v>
      </c>
      <c r="DG29" s="738">
        <f t="shared" si="54"/>
        <v>101</v>
      </c>
      <c r="DH29" s="737">
        <f t="shared" si="54"/>
        <v>84</v>
      </c>
      <c r="DI29" s="738">
        <f t="shared" si="54"/>
        <v>115</v>
      </c>
      <c r="DJ29" s="737">
        <f t="shared" si="54"/>
        <v>106</v>
      </c>
      <c r="DK29" s="738">
        <f t="shared" si="54"/>
        <v>103</v>
      </c>
      <c r="DL29" s="738">
        <f t="shared" si="54"/>
        <v>104</v>
      </c>
      <c r="DQ29" s="737"/>
      <c r="DR29" s="737"/>
      <c r="DS29" s="685"/>
      <c r="DT29" s="685"/>
      <c r="DU29" s="685"/>
      <c r="DV29" s="685"/>
      <c r="DW29" s="685"/>
      <c r="DX29" s="685"/>
      <c r="DY29" s="685"/>
      <c r="DZ29" s="797"/>
      <c r="EA29" s="797"/>
      <c r="EB29" s="798"/>
      <c r="EC29" s="798"/>
      <c r="ED29" s="685"/>
      <c r="EE29" s="685"/>
      <c r="EF29" s="685"/>
      <c r="EI29" s="781" t="s">
        <v>3629</v>
      </c>
      <c r="EJ29" s="782"/>
      <c r="EK29" s="783"/>
      <c r="EL29" s="781"/>
      <c r="EM29" s="781"/>
      <c r="EN29" s="781"/>
      <c r="EO29" s="781"/>
      <c r="ET29" s="398" t="s">
        <v>3766</v>
      </c>
      <c r="EU29" s="398">
        <f>SUM(EU30:EU31)</f>
        <v>31</v>
      </c>
      <c r="EV29" s="398">
        <f>SUM(EV30:EV31)</f>
        <v>44</v>
      </c>
      <c r="EW29" s="398">
        <f>SUM(EW30:EW31)</f>
        <v>45</v>
      </c>
      <c r="EX29" s="398">
        <f>SUM(EX30:EX31)</f>
        <v>25</v>
      </c>
      <c r="EY29" s="398">
        <f>SUM(EY30:EY31)</f>
        <v>22</v>
      </c>
      <c r="EZ29" s="515"/>
      <c r="FA29" s="515"/>
      <c r="FC29" s="803"/>
      <c r="FD29" s="690"/>
      <c r="FE29" s="690"/>
      <c r="FF29" s="690"/>
      <c r="FG29" s="690"/>
      <c r="FH29" s="690"/>
      <c r="FI29" s="690"/>
      <c r="FJ29" s="690"/>
      <c r="FK29" s="690"/>
      <c r="FL29" s="690"/>
      <c r="FM29" s="690"/>
      <c r="FN29" s="690"/>
      <c r="FO29" s="690"/>
      <c r="FR29" s="398"/>
      <c r="FS29" s="398" t="s">
        <v>3767</v>
      </c>
      <c r="FT29" s="398">
        <v>6</v>
      </c>
      <c r="FU29" s="398">
        <v>16</v>
      </c>
      <c r="FV29" s="398">
        <v>11</v>
      </c>
      <c r="FW29" s="398">
        <v>16</v>
      </c>
      <c r="FX29" s="398">
        <v>16</v>
      </c>
      <c r="FY29" s="398">
        <v>18</v>
      </c>
      <c r="FZ29" s="398"/>
      <c r="GL29" s="386" t="s">
        <v>3768</v>
      </c>
      <c r="GM29" s="398">
        <v>42</v>
      </c>
      <c r="GN29" s="385">
        <v>43</v>
      </c>
      <c r="GO29" s="385">
        <v>50</v>
      </c>
      <c r="GP29" s="385">
        <v>62</v>
      </c>
      <c r="GQ29" s="385">
        <v>55</v>
      </c>
      <c r="GR29" s="385"/>
      <c r="GS29" s="571"/>
      <c r="GU29" s="398" t="s">
        <v>3769</v>
      </c>
      <c r="GV29" s="515">
        <v>12</v>
      </c>
      <c r="GW29" s="515">
        <v>9</v>
      </c>
      <c r="GX29" s="515">
        <v>13</v>
      </c>
      <c r="GY29" s="515">
        <v>11</v>
      </c>
      <c r="GZ29" s="515">
        <v>12</v>
      </c>
      <c r="HA29" s="398">
        <v>17</v>
      </c>
      <c r="HD29" s="737"/>
    </row>
    <row r="30" spans="1:232" ht="14.1" customHeight="1">
      <c r="A30" s="386" t="s">
        <v>3770</v>
      </c>
      <c r="B30" s="463">
        <f>SUM(B31:B33)</f>
        <v>22781</v>
      </c>
      <c r="C30" s="463">
        <f t="shared" ref="C30:G30" si="55">SUM(C31:C33)</f>
        <v>23685</v>
      </c>
      <c r="D30" s="463">
        <f t="shared" si="55"/>
        <v>24982</v>
      </c>
      <c r="E30" s="463">
        <f t="shared" si="55"/>
        <v>25956</v>
      </c>
      <c r="F30" s="463">
        <f t="shared" si="55"/>
        <v>26860</v>
      </c>
      <c r="G30" s="754">
        <f t="shared" si="55"/>
        <v>28090</v>
      </c>
      <c r="H30" s="804"/>
      <c r="J30" s="676" t="s">
        <v>3687</v>
      </c>
      <c r="K30" s="759" t="s">
        <v>2208</v>
      </c>
      <c r="L30" s="760">
        <v>451</v>
      </c>
      <c r="M30" s="760">
        <v>477</v>
      </c>
      <c r="N30" s="760">
        <v>549</v>
      </c>
      <c r="O30" s="760">
        <v>558</v>
      </c>
      <c r="P30" s="749">
        <v>579</v>
      </c>
      <c r="Q30" s="718"/>
      <c r="S30" s="398" t="s">
        <v>3771</v>
      </c>
      <c r="T30" s="740"/>
      <c r="U30" s="738">
        <f>SUM(U31:U40)</f>
        <v>6257</v>
      </c>
      <c r="V30" s="738">
        <f t="shared" ref="V30:AJ30" si="56">SUM(V31:V40)</f>
        <v>105</v>
      </c>
      <c r="W30" s="738">
        <f t="shared" si="56"/>
        <v>49</v>
      </c>
      <c r="X30" s="738">
        <f t="shared" si="56"/>
        <v>341</v>
      </c>
      <c r="Y30" s="738">
        <f t="shared" si="56"/>
        <v>354</v>
      </c>
      <c r="Z30" s="738">
        <f t="shared" si="56"/>
        <v>426</v>
      </c>
      <c r="AA30" s="738">
        <f t="shared" si="56"/>
        <v>400</v>
      </c>
      <c r="AB30" s="738">
        <f t="shared" si="56"/>
        <v>442</v>
      </c>
      <c r="AC30" s="738">
        <f t="shared" si="56"/>
        <v>424</v>
      </c>
      <c r="AD30" s="738">
        <f t="shared" si="56"/>
        <v>499</v>
      </c>
      <c r="AE30" s="738">
        <f t="shared" si="56"/>
        <v>473</v>
      </c>
      <c r="AF30" s="738">
        <f t="shared" si="56"/>
        <v>488</v>
      </c>
      <c r="AG30" s="738">
        <f t="shared" si="56"/>
        <v>526</v>
      </c>
      <c r="AH30" s="738">
        <f t="shared" si="56"/>
        <v>675</v>
      </c>
      <c r="AI30" s="738">
        <f t="shared" si="56"/>
        <v>589</v>
      </c>
      <c r="AJ30" s="738">
        <f t="shared" si="56"/>
        <v>466</v>
      </c>
      <c r="AN30" s="398" t="s">
        <v>3772</v>
      </c>
      <c r="AO30" s="398"/>
      <c r="AP30" s="398"/>
      <c r="AQ30" s="398"/>
      <c r="AR30" s="398"/>
      <c r="AS30" s="398"/>
      <c r="AT30" s="398"/>
      <c r="AU30" s="398"/>
      <c r="AW30" s="398"/>
      <c r="AX30" s="398"/>
      <c r="BU30" s="387" t="s">
        <v>3647</v>
      </c>
      <c r="BV30" s="678">
        <v>28</v>
      </c>
      <c r="BW30" s="805">
        <f t="shared" si="47"/>
        <v>0.13012966491611286</v>
      </c>
      <c r="BX30" s="784" t="s">
        <v>546</v>
      </c>
      <c r="BY30" s="784" t="s">
        <v>546</v>
      </c>
      <c r="BZ30" s="784" t="s">
        <v>546</v>
      </c>
      <c r="CA30" s="784" t="s">
        <v>546</v>
      </c>
      <c r="CE30" s="398" t="s">
        <v>2655</v>
      </c>
      <c r="CF30" s="515">
        <v>8</v>
      </c>
      <c r="CG30" s="515">
        <v>10</v>
      </c>
      <c r="CH30" s="515">
        <v>11</v>
      </c>
      <c r="CI30" s="515">
        <v>11</v>
      </c>
      <c r="CJ30" s="463">
        <v>14</v>
      </c>
      <c r="CK30" s="754">
        <v>17</v>
      </c>
      <c r="CL30" s="754"/>
      <c r="CN30" s="398"/>
      <c r="CO30" s="398"/>
      <c r="CP30" s="398"/>
      <c r="CQ30" s="398"/>
      <c r="CR30" s="398"/>
      <c r="CS30" s="398"/>
      <c r="CT30" s="398"/>
      <c r="CU30" s="398"/>
      <c r="CV30" s="398"/>
      <c r="CW30" s="398"/>
      <c r="CX30" s="398"/>
      <c r="CY30" s="745"/>
      <c r="DB30" s="740" t="s">
        <v>3555</v>
      </c>
      <c r="DC30" s="690">
        <v>0</v>
      </c>
      <c r="DD30" s="690">
        <v>0</v>
      </c>
      <c r="DE30" s="690">
        <v>0</v>
      </c>
      <c r="DF30" s="690">
        <v>0</v>
      </c>
      <c r="DG30" s="690">
        <v>0</v>
      </c>
      <c r="DH30" s="690">
        <v>0</v>
      </c>
      <c r="DI30" s="738">
        <v>0</v>
      </c>
      <c r="DJ30" s="737">
        <v>0</v>
      </c>
      <c r="DK30" s="738">
        <v>0</v>
      </c>
      <c r="DL30" s="737">
        <v>0</v>
      </c>
      <c r="DQ30" s="737"/>
      <c r="DR30" s="737"/>
      <c r="DS30" s="685"/>
      <c r="DT30" s="685"/>
      <c r="DU30" s="685"/>
      <c r="DV30" s="685"/>
      <c r="DW30" s="685"/>
      <c r="DX30" s="685"/>
      <c r="DY30" s="685"/>
      <c r="DZ30" s="797"/>
      <c r="EA30" s="797"/>
      <c r="EB30" s="798"/>
      <c r="EC30" s="798"/>
      <c r="ED30" s="685"/>
      <c r="EE30" s="685"/>
      <c r="EF30" s="685"/>
      <c r="EI30" s="781"/>
      <c r="EJ30" s="782"/>
      <c r="EK30" s="783"/>
      <c r="EL30" s="781"/>
      <c r="EM30" s="781"/>
      <c r="EN30" s="781"/>
      <c r="EO30" s="781"/>
      <c r="ET30" s="398" t="s">
        <v>3490</v>
      </c>
      <c r="EU30" s="398">
        <v>6</v>
      </c>
      <c r="EV30" s="398">
        <v>6</v>
      </c>
      <c r="EW30" s="398">
        <v>15</v>
      </c>
      <c r="EX30" s="398">
        <v>3</v>
      </c>
      <c r="EY30" s="398">
        <v>1</v>
      </c>
      <c r="EZ30" s="515"/>
      <c r="FA30" s="515"/>
      <c r="FB30" s="737"/>
      <c r="FP30" s="737"/>
      <c r="FQ30" s="737"/>
      <c r="FR30" s="398"/>
      <c r="FS30" s="398" t="s">
        <v>3773</v>
      </c>
      <c r="FT30" s="398">
        <v>13</v>
      </c>
      <c r="FU30" s="398">
        <v>5</v>
      </c>
      <c r="FV30" s="398">
        <v>7</v>
      </c>
      <c r="FW30" s="398">
        <v>6</v>
      </c>
      <c r="FX30" s="398">
        <v>8</v>
      </c>
      <c r="FY30" s="398">
        <v>1</v>
      </c>
      <c r="FZ30" s="398"/>
      <c r="GL30" s="386" t="s">
        <v>3774</v>
      </c>
      <c r="GM30" s="398">
        <v>52</v>
      </c>
      <c r="GN30" s="385">
        <v>66</v>
      </c>
      <c r="GO30" s="385">
        <v>75</v>
      </c>
      <c r="GP30" s="385">
        <v>54</v>
      </c>
      <c r="GQ30" s="385">
        <v>14</v>
      </c>
      <c r="GR30" s="385"/>
      <c r="GS30" s="571"/>
      <c r="GT30" s="519"/>
      <c r="GU30" s="398" t="s">
        <v>1704</v>
      </c>
      <c r="GV30" s="515">
        <v>0</v>
      </c>
      <c r="GW30" s="515">
        <v>0</v>
      </c>
      <c r="GX30" s="515">
        <v>1</v>
      </c>
      <c r="GY30" s="515">
        <v>1</v>
      </c>
      <c r="GZ30" s="515">
        <v>0</v>
      </c>
      <c r="HA30" s="398">
        <v>0</v>
      </c>
      <c r="HD30" s="737"/>
    </row>
    <row r="31" spans="1:232" ht="14.1" customHeight="1">
      <c r="A31" s="740" t="s">
        <v>3549</v>
      </c>
      <c r="B31" s="738">
        <v>9708</v>
      </c>
      <c r="C31" s="738">
        <f>10062</f>
        <v>10062</v>
      </c>
      <c r="D31" s="738">
        <v>10798</v>
      </c>
      <c r="E31" s="525">
        <v>11035</v>
      </c>
      <c r="F31" s="525">
        <v>11554</v>
      </c>
      <c r="G31" s="738">
        <v>12423</v>
      </c>
      <c r="H31" s="754"/>
      <c r="J31" s="676" t="s">
        <v>3624</v>
      </c>
      <c r="K31" s="759" t="s">
        <v>2177</v>
      </c>
      <c r="L31" s="760">
        <v>508</v>
      </c>
      <c r="M31" s="760">
        <v>514</v>
      </c>
      <c r="N31" s="760">
        <v>540</v>
      </c>
      <c r="O31" s="760">
        <v>540</v>
      </c>
      <c r="P31" s="749">
        <v>588</v>
      </c>
      <c r="Q31" s="718"/>
      <c r="S31" s="386" t="s">
        <v>3575</v>
      </c>
      <c r="T31" s="386" t="s">
        <v>2253</v>
      </c>
      <c r="U31" s="738">
        <f>SUM(V31:AJ31)</f>
        <v>411</v>
      </c>
      <c r="V31" s="737">
        <v>37</v>
      </c>
      <c r="W31" s="776">
        <v>14</v>
      </c>
      <c r="X31" s="776">
        <v>54</v>
      </c>
      <c r="Y31" s="738">
        <v>62</v>
      </c>
      <c r="Z31" s="738">
        <v>69</v>
      </c>
      <c r="AA31" s="738">
        <v>59</v>
      </c>
      <c r="AB31" s="738">
        <v>59</v>
      </c>
      <c r="AC31" s="738">
        <v>57</v>
      </c>
      <c r="AD31" s="757" t="s">
        <v>1627</v>
      </c>
      <c r="AE31" s="757" t="s">
        <v>1627</v>
      </c>
      <c r="AF31" s="757" t="s">
        <v>1627</v>
      </c>
      <c r="AG31" s="757" t="s">
        <v>1627</v>
      </c>
      <c r="AH31" s="757" t="s">
        <v>1627</v>
      </c>
      <c r="AI31" s="757" t="s">
        <v>1627</v>
      </c>
      <c r="AJ31" s="757" t="s">
        <v>1627</v>
      </c>
      <c r="AN31" s="773" t="s">
        <v>3775</v>
      </c>
      <c r="AO31" s="773"/>
      <c r="AP31" s="773"/>
      <c r="AQ31" s="773"/>
      <c r="AR31" s="773"/>
      <c r="AS31" s="773"/>
      <c r="AT31" s="773"/>
      <c r="AU31" s="398"/>
      <c r="AW31" s="398"/>
      <c r="AX31" s="398"/>
      <c r="BU31" s="398" t="s">
        <v>3657</v>
      </c>
      <c r="BV31" s="398"/>
      <c r="BW31" s="398"/>
      <c r="CE31" s="398" t="s">
        <v>2596</v>
      </c>
      <c r="CF31" s="515">
        <v>7</v>
      </c>
      <c r="CG31" s="515">
        <v>7</v>
      </c>
      <c r="CH31" s="515">
        <v>7</v>
      </c>
      <c r="CI31" s="515">
        <v>7</v>
      </c>
      <c r="CJ31" s="463">
        <v>7</v>
      </c>
      <c r="CK31" s="515">
        <v>6</v>
      </c>
      <c r="CL31" s="515"/>
      <c r="CN31" s="398" t="s">
        <v>3776</v>
      </c>
      <c r="CO31" s="398">
        <f>SUM(CO32:CO33)</f>
        <v>347</v>
      </c>
      <c r="CP31" s="398">
        <f>SUM(CP32:CP33)</f>
        <v>314</v>
      </c>
      <c r="CQ31" s="398">
        <f t="shared" ref="CQ31:CX31" si="57">SUM(CQ32:CQ33)</f>
        <v>279</v>
      </c>
      <c r="CR31" s="398">
        <f t="shared" si="57"/>
        <v>282</v>
      </c>
      <c r="CS31" s="398">
        <f t="shared" si="57"/>
        <v>293</v>
      </c>
      <c r="CT31" s="398">
        <f t="shared" si="57"/>
        <v>244</v>
      </c>
      <c r="CU31" s="398">
        <f t="shared" si="57"/>
        <v>338</v>
      </c>
      <c r="CV31" s="398">
        <f t="shared" si="57"/>
        <v>293</v>
      </c>
      <c r="CW31" s="398">
        <f t="shared" si="57"/>
        <v>331</v>
      </c>
      <c r="CX31" s="398">
        <f t="shared" si="57"/>
        <v>304</v>
      </c>
      <c r="CY31" s="745"/>
      <c r="DB31" s="740" t="s">
        <v>3567</v>
      </c>
      <c r="DC31" s="690">
        <v>0</v>
      </c>
      <c r="DD31" s="690">
        <v>0</v>
      </c>
      <c r="DE31" s="690">
        <v>1</v>
      </c>
      <c r="DF31" s="690">
        <v>0</v>
      </c>
      <c r="DG31" s="690">
        <v>0</v>
      </c>
      <c r="DH31" s="690">
        <v>0</v>
      </c>
      <c r="DI31" s="738">
        <v>0</v>
      </c>
      <c r="DJ31" s="737">
        <v>0</v>
      </c>
      <c r="DK31" s="738">
        <v>0</v>
      </c>
      <c r="DL31" s="737">
        <v>0</v>
      </c>
      <c r="DQ31" s="737"/>
      <c r="DR31" s="737"/>
      <c r="DS31" s="685"/>
      <c r="DT31" s="685"/>
      <c r="DU31" s="685"/>
      <c r="DV31" s="685"/>
      <c r="DW31" s="685"/>
      <c r="DX31" s="685"/>
      <c r="DY31" s="685"/>
      <c r="DZ31" s="797"/>
      <c r="EA31" s="797"/>
      <c r="EB31" s="798"/>
      <c r="EC31" s="798"/>
      <c r="ED31" s="685"/>
      <c r="EE31" s="685"/>
      <c r="EF31" s="685"/>
      <c r="EI31" s="781"/>
      <c r="EJ31" s="782"/>
      <c r="EK31" s="783"/>
      <c r="EL31" s="781"/>
      <c r="EM31" s="781"/>
      <c r="EN31" s="781"/>
      <c r="EO31" s="781"/>
      <c r="ET31" s="398" t="s">
        <v>3491</v>
      </c>
      <c r="EU31" s="398">
        <v>25</v>
      </c>
      <c r="EV31" s="398">
        <v>38</v>
      </c>
      <c r="EW31" s="398">
        <v>30</v>
      </c>
      <c r="EX31" s="398">
        <v>22</v>
      </c>
      <c r="EY31" s="398">
        <v>21</v>
      </c>
      <c r="EZ31" s="515"/>
      <c r="FA31" s="515"/>
      <c r="FB31" s="737"/>
      <c r="FC31" s="737"/>
      <c r="FD31" s="737"/>
      <c r="FE31" s="737"/>
      <c r="FF31" s="737"/>
      <c r="FG31" s="737"/>
      <c r="FH31" s="737"/>
      <c r="FI31" s="737"/>
      <c r="FJ31" s="737"/>
      <c r="FK31" s="737"/>
      <c r="FL31" s="737"/>
      <c r="FM31" s="737"/>
      <c r="FN31" s="737"/>
      <c r="FO31" s="737"/>
      <c r="FP31" s="737"/>
      <c r="FQ31" s="737"/>
      <c r="FR31" s="398"/>
      <c r="FS31" s="398" t="s">
        <v>3777</v>
      </c>
      <c r="FT31" s="398">
        <v>3</v>
      </c>
      <c r="FU31" s="398">
        <v>3</v>
      </c>
      <c r="FV31" s="398">
        <v>1</v>
      </c>
      <c r="FW31" s="398">
        <v>0</v>
      </c>
      <c r="FX31" s="398">
        <v>3</v>
      </c>
      <c r="FY31" s="398">
        <v>2</v>
      </c>
      <c r="FZ31" s="398"/>
      <c r="GJ31" s="806"/>
      <c r="GL31" s="386" t="s">
        <v>3778</v>
      </c>
      <c r="GM31" s="385">
        <v>18</v>
      </c>
      <c r="GN31" s="385">
        <v>13</v>
      </c>
      <c r="GO31" s="385">
        <v>18</v>
      </c>
      <c r="GP31" s="385">
        <v>15</v>
      </c>
      <c r="GQ31" s="385">
        <v>16</v>
      </c>
      <c r="GR31" s="385"/>
      <c r="GS31" s="571"/>
      <c r="GT31" s="519"/>
      <c r="GU31" s="398" t="s">
        <v>1705</v>
      </c>
      <c r="GV31" s="515">
        <v>621</v>
      </c>
      <c r="GW31" s="515">
        <v>610</v>
      </c>
      <c r="GX31" s="515">
        <v>765</v>
      </c>
      <c r="GY31" s="515">
        <v>716</v>
      </c>
      <c r="GZ31" s="515">
        <v>756</v>
      </c>
      <c r="HA31" s="398">
        <v>858</v>
      </c>
      <c r="HD31" s="737"/>
    </row>
    <row r="32" spans="1:232" ht="14.1" customHeight="1">
      <c r="A32" s="740" t="s">
        <v>3560</v>
      </c>
      <c r="B32" s="738">
        <v>5001</v>
      </c>
      <c r="C32" s="738">
        <f>5211</f>
        <v>5211</v>
      </c>
      <c r="D32" s="738">
        <v>5455</v>
      </c>
      <c r="E32" s="525">
        <v>5848</v>
      </c>
      <c r="F32" s="525">
        <v>6262</v>
      </c>
      <c r="G32" s="738">
        <v>6466</v>
      </c>
      <c r="H32" s="804"/>
      <c r="J32" s="676"/>
      <c r="K32" s="759"/>
      <c r="L32" s="759"/>
      <c r="M32" s="759"/>
      <c r="N32" s="759"/>
      <c r="O32" s="759"/>
      <c r="P32" s="759"/>
      <c r="Q32" s="718"/>
      <c r="S32" s="386" t="s">
        <v>3779</v>
      </c>
      <c r="T32" s="386" t="s">
        <v>2253</v>
      </c>
      <c r="U32" s="738">
        <f t="shared" ref="U32:U40" si="58">SUM(V32:AJ32)</f>
        <v>894</v>
      </c>
      <c r="V32" s="757" t="s">
        <v>1627</v>
      </c>
      <c r="W32" s="757" t="s">
        <v>1627</v>
      </c>
      <c r="X32" s="757" t="s">
        <v>1627</v>
      </c>
      <c r="Y32" s="757" t="s">
        <v>1627</v>
      </c>
      <c r="Z32" s="757" t="s">
        <v>1627</v>
      </c>
      <c r="AA32" s="757" t="s">
        <v>1627</v>
      </c>
      <c r="AB32" s="757" t="s">
        <v>1627</v>
      </c>
      <c r="AC32" s="757" t="s">
        <v>1627</v>
      </c>
      <c r="AD32" s="754">
        <v>306</v>
      </c>
      <c r="AE32" s="738">
        <v>271</v>
      </c>
      <c r="AF32" s="738">
        <v>317</v>
      </c>
      <c r="AG32" s="757" t="s">
        <v>1627</v>
      </c>
      <c r="AH32" s="757" t="s">
        <v>1627</v>
      </c>
      <c r="AI32" s="757" t="s">
        <v>1627</v>
      </c>
      <c r="AJ32" s="757" t="s">
        <v>1627</v>
      </c>
      <c r="AN32" s="398" t="s">
        <v>3780</v>
      </c>
      <c r="AO32" s="398"/>
      <c r="AP32" s="398"/>
      <c r="AQ32" s="398"/>
      <c r="AR32" s="398"/>
      <c r="AS32" s="398"/>
      <c r="AT32" s="398"/>
      <c r="AU32" s="773"/>
      <c r="AW32" s="398"/>
      <c r="AY32" s="398"/>
      <c r="AZ32" s="398"/>
      <c r="BA32" s="398"/>
      <c r="BB32" s="398"/>
      <c r="BC32" s="398"/>
      <c r="BD32" s="398"/>
      <c r="BE32" s="398"/>
      <c r="BF32" s="398"/>
      <c r="BG32" s="398"/>
      <c r="BH32" s="702"/>
      <c r="BU32" s="674" t="s">
        <v>3781</v>
      </c>
      <c r="BV32" s="398"/>
      <c r="BW32" s="398"/>
      <c r="CE32" s="398" t="s">
        <v>3782</v>
      </c>
      <c r="CF32" s="515">
        <v>255</v>
      </c>
      <c r="CG32" s="515">
        <v>241</v>
      </c>
      <c r="CH32" s="515">
        <v>256</v>
      </c>
      <c r="CI32" s="515">
        <v>239</v>
      </c>
      <c r="CJ32" s="463">
        <v>196</v>
      </c>
      <c r="CK32" s="515">
        <v>176</v>
      </c>
      <c r="CL32" s="515"/>
      <c r="CN32" s="398" t="s">
        <v>3039</v>
      </c>
      <c r="CO32" s="398">
        <v>97</v>
      </c>
      <c r="CP32" s="398">
        <v>97</v>
      </c>
      <c r="CQ32" s="398">
        <v>86</v>
      </c>
      <c r="CR32" s="398">
        <v>87</v>
      </c>
      <c r="CS32" s="398">
        <v>101</v>
      </c>
      <c r="CT32" s="398">
        <v>84</v>
      </c>
      <c r="CU32" s="398">
        <v>115</v>
      </c>
      <c r="CV32" s="398">
        <v>106</v>
      </c>
      <c r="CW32" s="398">
        <v>103</v>
      </c>
      <c r="CX32" s="398">
        <v>104</v>
      </c>
      <c r="CY32" s="745"/>
      <c r="DB32" s="740" t="s">
        <v>3582</v>
      </c>
      <c r="DC32" s="690">
        <v>21</v>
      </c>
      <c r="DD32" s="690">
        <v>13</v>
      </c>
      <c r="DE32" s="690">
        <v>21</v>
      </c>
      <c r="DF32" s="690">
        <v>19</v>
      </c>
      <c r="DG32" s="690">
        <v>15</v>
      </c>
      <c r="DH32" s="690">
        <v>10</v>
      </c>
      <c r="DI32" s="738">
        <v>22</v>
      </c>
      <c r="DJ32" s="737">
        <v>17</v>
      </c>
      <c r="DK32" s="738">
        <v>22</v>
      </c>
      <c r="DL32" s="737">
        <v>16</v>
      </c>
      <c r="DQ32" s="737"/>
      <c r="DR32" s="737"/>
      <c r="DS32" s="685"/>
      <c r="DT32" s="685"/>
      <c r="DU32" s="685"/>
      <c r="DV32" s="685"/>
      <c r="DW32" s="685"/>
      <c r="DX32" s="685"/>
      <c r="DY32" s="685"/>
      <c r="DZ32" s="797"/>
      <c r="EA32" s="797"/>
      <c r="EB32" s="798"/>
      <c r="EC32" s="798"/>
      <c r="ED32" s="685"/>
      <c r="EE32" s="685"/>
      <c r="EF32" s="685"/>
      <c r="EI32" s="781"/>
      <c r="EJ32" s="782"/>
      <c r="EK32" s="783"/>
      <c r="EL32" s="781"/>
      <c r="EM32" s="781"/>
      <c r="EN32" s="781"/>
      <c r="EO32" s="781"/>
      <c r="ET32" s="398"/>
      <c r="EU32" s="398"/>
      <c r="EV32" s="398"/>
      <c r="EW32" s="398"/>
      <c r="EX32" s="398"/>
      <c r="EY32" s="398"/>
      <c r="EZ32" s="515"/>
      <c r="FA32" s="515"/>
      <c r="FB32" s="737"/>
      <c r="FP32" s="737"/>
      <c r="FQ32" s="737"/>
      <c r="FR32" s="398"/>
      <c r="FS32" s="398" t="s">
        <v>3783</v>
      </c>
      <c r="FT32" s="398">
        <v>2</v>
      </c>
      <c r="FU32" s="398">
        <v>1</v>
      </c>
      <c r="FV32" s="398">
        <v>0</v>
      </c>
      <c r="FW32" s="398">
        <v>1</v>
      </c>
      <c r="FX32" s="398">
        <v>1</v>
      </c>
      <c r="FY32" s="398">
        <v>3</v>
      </c>
      <c r="FZ32" s="398"/>
      <c r="GC32" s="806"/>
      <c r="GD32" s="806"/>
      <c r="GE32" s="806"/>
      <c r="GF32" s="806"/>
      <c r="GG32" s="806"/>
      <c r="GH32" s="806"/>
      <c r="GI32" s="806"/>
      <c r="GJ32" s="806"/>
      <c r="GL32" s="386" t="s">
        <v>3784</v>
      </c>
      <c r="GM32" s="385">
        <v>162</v>
      </c>
      <c r="GN32" s="385">
        <v>115</v>
      </c>
      <c r="GO32" s="385">
        <v>130</v>
      </c>
      <c r="GP32" s="385">
        <v>120</v>
      </c>
      <c r="GQ32" s="385">
        <v>122</v>
      </c>
      <c r="GR32" s="385"/>
      <c r="GS32" s="571"/>
      <c r="GU32" s="398" t="s">
        <v>1695</v>
      </c>
      <c r="GV32" s="515">
        <v>16</v>
      </c>
      <c r="GW32" s="515">
        <v>7</v>
      </c>
      <c r="GX32" s="515">
        <v>8</v>
      </c>
      <c r="GY32" s="515">
        <v>9</v>
      </c>
      <c r="GZ32" s="515">
        <v>13</v>
      </c>
      <c r="HA32" s="398">
        <v>14</v>
      </c>
      <c r="HD32" s="737"/>
    </row>
    <row r="33" spans="1:215" ht="14.1" customHeight="1">
      <c r="A33" s="740" t="s">
        <v>3574</v>
      </c>
      <c r="B33" s="738">
        <v>8072</v>
      </c>
      <c r="C33" s="738">
        <f>8412</f>
        <v>8412</v>
      </c>
      <c r="D33" s="738">
        <v>8729</v>
      </c>
      <c r="E33" s="525">
        <v>9073</v>
      </c>
      <c r="F33" s="525">
        <v>9044</v>
      </c>
      <c r="G33" s="738">
        <v>9201</v>
      </c>
      <c r="H33" s="804"/>
      <c r="J33" s="767" t="s">
        <v>3785</v>
      </c>
      <c r="K33" s="748"/>
      <c r="L33" s="718">
        <f>SUM(L34:L41)</f>
        <v>5001</v>
      </c>
      <c r="M33" s="718">
        <f>SUM(M34:M41)</f>
        <v>5211</v>
      </c>
      <c r="N33" s="718">
        <f>SUM(N34:N41)</f>
        <v>5455</v>
      </c>
      <c r="O33" s="718">
        <f>SUM(O34:O41)</f>
        <v>5848</v>
      </c>
      <c r="P33" s="718">
        <f>SUM(P34:P41)</f>
        <v>6262</v>
      </c>
      <c r="Q33" s="718"/>
      <c r="S33" s="386" t="s">
        <v>3744</v>
      </c>
      <c r="T33" s="386" t="s">
        <v>2253</v>
      </c>
      <c r="U33" s="738">
        <f t="shared" si="58"/>
        <v>352</v>
      </c>
      <c r="V33" s="737">
        <v>20</v>
      </c>
      <c r="W33" s="738">
        <v>0</v>
      </c>
      <c r="X33" s="738">
        <v>59</v>
      </c>
      <c r="Y33" s="738">
        <v>47</v>
      </c>
      <c r="Z33" s="738">
        <v>61</v>
      </c>
      <c r="AA33" s="738">
        <v>52</v>
      </c>
      <c r="AB33" s="738">
        <v>62</v>
      </c>
      <c r="AC33" s="738">
        <v>51</v>
      </c>
      <c r="AD33" s="757" t="s">
        <v>1627</v>
      </c>
      <c r="AE33" s="757" t="s">
        <v>1627</v>
      </c>
      <c r="AF33" s="757" t="s">
        <v>1627</v>
      </c>
      <c r="AG33" s="757" t="s">
        <v>1627</v>
      </c>
      <c r="AH33" s="757" t="s">
        <v>1627</v>
      </c>
      <c r="AI33" s="757" t="s">
        <v>1626</v>
      </c>
      <c r="AJ33" s="757" t="s">
        <v>1627</v>
      </c>
      <c r="AN33" s="773" t="s">
        <v>3786</v>
      </c>
      <c r="AO33" s="773"/>
      <c r="AP33" s="773"/>
      <c r="AQ33" s="773"/>
      <c r="AR33" s="773"/>
      <c r="AS33" s="773"/>
      <c r="AT33" s="807"/>
      <c r="AW33" s="398"/>
      <c r="AY33" s="398"/>
      <c r="AZ33" s="398"/>
      <c r="BA33" s="398"/>
      <c r="BB33" s="398"/>
      <c r="BC33" s="398"/>
      <c r="BD33" s="398"/>
      <c r="BE33" s="690"/>
      <c r="BF33" s="690"/>
      <c r="BG33" s="690"/>
      <c r="BH33" s="690"/>
      <c r="BY33" s="744"/>
      <c r="CE33" s="398" t="s">
        <v>1704</v>
      </c>
      <c r="CF33" s="515">
        <v>3</v>
      </c>
      <c r="CG33" s="515">
        <v>4</v>
      </c>
      <c r="CH33" s="515">
        <v>3</v>
      </c>
      <c r="CI33" s="515">
        <v>2</v>
      </c>
      <c r="CJ33" s="463">
        <v>2</v>
      </c>
      <c r="CK33" s="515">
        <v>2</v>
      </c>
      <c r="CL33" s="515"/>
      <c r="CN33" s="398" t="s">
        <v>3046</v>
      </c>
      <c r="CO33" s="398">
        <v>250</v>
      </c>
      <c r="CP33" s="398">
        <v>217</v>
      </c>
      <c r="CQ33" s="398">
        <v>193</v>
      </c>
      <c r="CR33" s="398">
        <v>195</v>
      </c>
      <c r="CS33" s="398">
        <v>192</v>
      </c>
      <c r="CT33" s="398">
        <v>160</v>
      </c>
      <c r="CU33" s="398">
        <v>223</v>
      </c>
      <c r="CV33" s="398">
        <v>187</v>
      </c>
      <c r="CW33" s="398">
        <v>228</v>
      </c>
      <c r="CX33" s="398">
        <v>200</v>
      </c>
      <c r="CY33" s="802"/>
      <c r="DB33" s="740" t="s">
        <v>3594</v>
      </c>
      <c r="DC33" s="690">
        <v>26</v>
      </c>
      <c r="DD33" s="690">
        <v>21</v>
      </c>
      <c r="DE33" s="690">
        <v>20</v>
      </c>
      <c r="DF33" s="690">
        <v>24</v>
      </c>
      <c r="DG33" s="690">
        <v>34</v>
      </c>
      <c r="DH33" s="690">
        <v>25</v>
      </c>
      <c r="DI33" s="738">
        <v>40</v>
      </c>
      <c r="DJ33" s="737">
        <v>34</v>
      </c>
      <c r="DK33" s="738">
        <v>31</v>
      </c>
      <c r="DL33" s="737">
        <v>35</v>
      </c>
      <c r="DQ33" s="737"/>
      <c r="DR33" s="737"/>
      <c r="DS33" s="685"/>
      <c r="DT33" s="685"/>
      <c r="DU33" s="685"/>
      <c r="DV33" s="685"/>
      <c r="DW33" s="685"/>
      <c r="DX33" s="685"/>
      <c r="DY33" s="685"/>
      <c r="DZ33" s="797"/>
      <c r="EA33" s="797"/>
      <c r="EB33" s="798"/>
      <c r="EC33" s="798"/>
      <c r="ED33" s="685"/>
      <c r="EE33" s="685"/>
      <c r="EF33" s="685"/>
      <c r="EI33" s="682" t="s">
        <v>3787</v>
      </c>
      <c r="EJ33" s="683"/>
      <c r="EK33" s="683"/>
      <c r="EL33" s="682"/>
      <c r="EM33" s="682"/>
      <c r="EN33" s="682"/>
      <c r="EO33" s="682"/>
      <c r="EP33" s="678"/>
      <c r="EQ33" s="387"/>
      <c r="ET33" s="398" t="s">
        <v>1711</v>
      </c>
      <c r="EU33" s="398">
        <v>7</v>
      </c>
      <c r="EV33" s="398">
        <v>18</v>
      </c>
      <c r="EW33" s="398">
        <v>23</v>
      </c>
      <c r="EX33" s="398">
        <v>13</v>
      </c>
      <c r="EY33" s="398">
        <v>11</v>
      </c>
      <c r="EZ33" s="515"/>
      <c r="FA33" s="515"/>
      <c r="FR33" s="398"/>
      <c r="FS33" s="398" t="s">
        <v>3788</v>
      </c>
      <c r="FT33" s="398">
        <v>15</v>
      </c>
      <c r="FU33" s="398">
        <v>41</v>
      </c>
      <c r="FV33" s="398">
        <v>13</v>
      </c>
      <c r="FW33" s="398">
        <v>16</v>
      </c>
      <c r="FX33" s="398">
        <v>16</v>
      </c>
      <c r="FY33" s="398">
        <v>33</v>
      </c>
      <c r="FZ33" s="519"/>
      <c r="GC33" s="806"/>
      <c r="GD33" s="806"/>
      <c r="GE33" s="806"/>
      <c r="GF33" s="806"/>
      <c r="GG33" s="806"/>
      <c r="GH33" s="806"/>
      <c r="GI33" s="806"/>
      <c r="GJ33" s="806"/>
      <c r="GL33" s="386" t="s">
        <v>3789</v>
      </c>
      <c r="GM33" s="385">
        <v>13</v>
      </c>
      <c r="GN33" s="385">
        <v>11</v>
      </c>
      <c r="GO33" s="385">
        <v>13</v>
      </c>
      <c r="GP33" s="385">
        <v>15</v>
      </c>
      <c r="GQ33" s="385">
        <v>9</v>
      </c>
      <c r="GR33" s="385"/>
      <c r="GS33" s="571"/>
      <c r="GU33" s="398" t="s">
        <v>2653</v>
      </c>
      <c r="GV33" s="515">
        <v>85</v>
      </c>
      <c r="GW33" s="515">
        <v>72</v>
      </c>
      <c r="GX33" s="515">
        <v>81</v>
      </c>
      <c r="GY33" s="515">
        <v>71</v>
      </c>
      <c r="GZ33" s="515">
        <v>84</v>
      </c>
      <c r="HA33" s="398">
        <v>120</v>
      </c>
      <c r="HD33" s="737"/>
    </row>
    <row r="34" spans="1:215" ht="14.1" customHeight="1">
      <c r="A34" s="398" t="s">
        <v>3577</v>
      </c>
      <c r="B34" s="515">
        <v>1649</v>
      </c>
      <c r="C34" s="754">
        <v>1527</v>
      </c>
      <c r="D34" s="515">
        <v>1692</v>
      </c>
      <c r="E34" s="463">
        <v>1630</v>
      </c>
      <c r="F34" s="463">
        <v>1590</v>
      </c>
      <c r="G34" s="515">
        <v>1900</v>
      </c>
      <c r="H34" s="738"/>
      <c r="J34" s="676" t="s">
        <v>3790</v>
      </c>
      <c r="K34" s="759" t="s">
        <v>3737</v>
      </c>
      <c r="L34" s="676">
        <v>566</v>
      </c>
      <c r="M34" s="760">
        <v>597</v>
      </c>
      <c r="N34" s="760">
        <v>616</v>
      </c>
      <c r="O34" s="760">
        <v>655</v>
      </c>
      <c r="P34" s="749">
        <v>748</v>
      </c>
      <c r="Q34" s="718"/>
      <c r="S34" s="386" t="s">
        <v>3791</v>
      </c>
      <c r="T34" s="386" t="s">
        <v>2253</v>
      </c>
      <c r="U34" s="738">
        <f t="shared" si="58"/>
        <v>995</v>
      </c>
      <c r="V34" s="757" t="s">
        <v>1627</v>
      </c>
      <c r="W34" s="757" t="s">
        <v>1627</v>
      </c>
      <c r="X34" s="757" t="s">
        <v>1627</v>
      </c>
      <c r="Y34" s="757" t="s">
        <v>1627</v>
      </c>
      <c r="Z34" s="757" t="s">
        <v>1627</v>
      </c>
      <c r="AA34" s="757" t="s">
        <v>1627</v>
      </c>
      <c r="AB34" s="757" t="s">
        <v>1627</v>
      </c>
      <c r="AC34" s="757" t="s">
        <v>1627</v>
      </c>
      <c r="AD34" s="757" t="s">
        <v>1627</v>
      </c>
      <c r="AE34" s="757" t="s">
        <v>1627</v>
      </c>
      <c r="AF34" s="757" t="s">
        <v>1627</v>
      </c>
      <c r="AG34" s="757">
        <v>228</v>
      </c>
      <c r="AH34" s="757">
        <v>348</v>
      </c>
      <c r="AI34" s="757">
        <v>262</v>
      </c>
      <c r="AJ34" s="757">
        <v>157</v>
      </c>
      <c r="AN34" s="398" t="s">
        <v>3792</v>
      </c>
      <c r="AO34" s="398"/>
      <c r="AP34" s="398"/>
      <c r="AQ34" s="398"/>
      <c r="AR34" s="398"/>
      <c r="AS34" s="398"/>
      <c r="AU34" s="807"/>
      <c r="AW34" s="398"/>
      <c r="AY34" s="690"/>
      <c r="AZ34" s="690"/>
      <c r="BA34" s="690"/>
      <c r="BB34" s="690"/>
      <c r="BC34" s="690"/>
      <c r="BD34" s="690"/>
      <c r="BE34" s="690"/>
      <c r="BF34" s="690"/>
      <c r="BG34" s="690"/>
      <c r="BH34" s="690"/>
      <c r="CE34" s="398" t="s">
        <v>3793</v>
      </c>
      <c r="CF34" s="515">
        <v>74</v>
      </c>
      <c r="CG34" s="515">
        <v>81</v>
      </c>
      <c r="CH34" s="515">
        <v>85</v>
      </c>
      <c r="CI34" s="515">
        <v>84</v>
      </c>
      <c r="CJ34" s="463">
        <v>89</v>
      </c>
      <c r="CK34" s="515">
        <v>103</v>
      </c>
      <c r="CL34" s="515"/>
      <c r="CN34" s="398"/>
      <c r="CO34" s="398"/>
      <c r="CP34" s="398"/>
      <c r="CQ34" s="398"/>
      <c r="CR34" s="398"/>
      <c r="CS34" s="398"/>
      <c r="CT34" s="398"/>
      <c r="CU34" s="398"/>
      <c r="CV34" s="398"/>
      <c r="CW34" s="398"/>
      <c r="CX34" s="398"/>
      <c r="CY34" s="745"/>
      <c r="DB34" s="740" t="s">
        <v>3606</v>
      </c>
      <c r="DC34" s="690">
        <v>28</v>
      </c>
      <c r="DD34" s="690">
        <v>33</v>
      </c>
      <c r="DE34" s="690">
        <v>25</v>
      </c>
      <c r="DF34" s="690">
        <v>29</v>
      </c>
      <c r="DG34" s="690">
        <v>30</v>
      </c>
      <c r="DH34" s="690">
        <v>28</v>
      </c>
      <c r="DI34" s="738">
        <v>35</v>
      </c>
      <c r="DJ34" s="737">
        <v>35</v>
      </c>
      <c r="DK34" s="738">
        <v>33</v>
      </c>
      <c r="DL34" s="737">
        <v>35</v>
      </c>
      <c r="DQ34" s="737"/>
      <c r="DR34" s="737"/>
      <c r="DS34" s="685"/>
      <c r="DT34" s="685"/>
      <c r="DU34" s="685"/>
      <c r="DV34" s="685"/>
      <c r="DW34" s="685"/>
      <c r="DX34" s="685"/>
      <c r="DY34" s="685"/>
      <c r="DZ34" s="685"/>
      <c r="EA34" s="685"/>
      <c r="EB34" s="685"/>
      <c r="EC34" s="685"/>
      <c r="ED34" s="685"/>
      <c r="EE34" s="685"/>
      <c r="EF34" s="685"/>
      <c r="EI34" s="705"/>
      <c r="EJ34" s="706" t="s">
        <v>3464</v>
      </c>
      <c r="EK34" s="706" t="s">
        <v>385</v>
      </c>
      <c r="EL34" s="2124" t="s">
        <v>3465</v>
      </c>
      <c r="EM34" s="2125"/>
      <c r="EN34" s="2124" t="s">
        <v>3466</v>
      </c>
      <c r="EO34" s="2126"/>
      <c r="EP34" s="2127" t="s">
        <v>3467</v>
      </c>
      <c r="EQ34" s="2128"/>
      <c r="ET34" s="387" t="s">
        <v>1712</v>
      </c>
      <c r="EU34" s="387">
        <v>24</v>
      </c>
      <c r="EV34" s="387">
        <v>26</v>
      </c>
      <c r="EW34" s="387">
        <v>22</v>
      </c>
      <c r="EX34" s="387">
        <v>12</v>
      </c>
      <c r="EY34" s="387">
        <v>11</v>
      </c>
      <c r="EZ34" s="515"/>
      <c r="FA34" s="515"/>
      <c r="FB34" s="690"/>
      <c r="FP34" s="690"/>
      <c r="FQ34" s="690"/>
      <c r="FR34" s="398"/>
      <c r="FS34" s="398" t="s">
        <v>3794</v>
      </c>
      <c r="FT34" s="519" t="s">
        <v>546</v>
      </c>
      <c r="FU34" s="519" t="s">
        <v>546</v>
      </c>
      <c r="FV34" s="519" t="s">
        <v>546</v>
      </c>
      <c r="FW34" s="519" t="s">
        <v>546</v>
      </c>
      <c r="FX34" s="519" t="s">
        <v>546</v>
      </c>
      <c r="FY34" s="519" t="s">
        <v>546</v>
      </c>
      <c r="FZ34" s="398"/>
      <c r="GC34" s="806"/>
      <c r="GD34" s="806"/>
      <c r="GE34" s="806"/>
      <c r="GF34" s="806"/>
      <c r="GG34" s="806"/>
      <c r="GH34" s="806"/>
      <c r="GI34" s="806"/>
      <c r="GJ34" s="806"/>
      <c r="GL34" s="386" t="s">
        <v>3795</v>
      </c>
      <c r="GM34" s="385">
        <v>30</v>
      </c>
      <c r="GN34" s="385">
        <v>30</v>
      </c>
      <c r="GO34" s="385">
        <v>38</v>
      </c>
      <c r="GP34" s="385">
        <v>34</v>
      </c>
      <c r="GQ34" s="385">
        <v>40</v>
      </c>
      <c r="GR34" s="385"/>
      <c r="GS34" s="571"/>
      <c r="GT34" s="737"/>
      <c r="GU34" s="398" t="s">
        <v>1696</v>
      </c>
      <c r="GV34" s="515">
        <v>549</v>
      </c>
      <c r="GW34" s="515">
        <v>563</v>
      </c>
      <c r="GX34" s="515">
        <v>656</v>
      </c>
      <c r="GY34" s="515">
        <v>695</v>
      </c>
      <c r="GZ34" s="515">
        <v>754</v>
      </c>
      <c r="HA34" s="398">
        <v>783</v>
      </c>
      <c r="HD34" s="737"/>
    </row>
    <row r="35" spans="1:215" ht="14.1" customHeight="1">
      <c r="A35" s="398" t="s">
        <v>3796</v>
      </c>
      <c r="B35" s="515">
        <v>52</v>
      </c>
      <c r="C35" s="515">
        <v>60</v>
      </c>
      <c r="D35" s="515">
        <v>18</v>
      </c>
      <c r="E35" s="463">
        <v>322</v>
      </c>
      <c r="F35" s="463">
        <v>132</v>
      </c>
      <c r="G35" s="515">
        <v>227</v>
      </c>
      <c r="H35" s="754"/>
      <c r="J35" s="676" t="s">
        <v>3551</v>
      </c>
      <c r="K35" s="759" t="s">
        <v>2177</v>
      </c>
      <c r="L35" s="676">
        <v>419</v>
      </c>
      <c r="M35" s="760">
        <v>474</v>
      </c>
      <c r="N35" s="760">
        <v>495</v>
      </c>
      <c r="O35" s="760">
        <v>537</v>
      </c>
      <c r="P35" s="749">
        <v>555</v>
      </c>
      <c r="Q35" s="718"/>
      <c r="S35" s="386" t="s">
        <v>3537</v>
      </c>
      <c r="T35" s="386" t="s">
        <v>2185</v>
      </c>
      <c r="U35" s="738">
        <f t="shared" si="58"/>
        <v>371</v>
      </c>
      <c r="V35" s="737">
        <v>16</v>
      </c>
      <c r="W35" s="738">
        <v>0</v>
      </c>
      <c r="X35" s="738">
        <v>49</v>
      </c>
      <c r="Y35" s="738">
        <v>41</v>
      </c>
      <c r="Z35" s="738">
        <v>65</v>
      </c>
      <c r="AA35" s="738">
        <v>64</v>
      </c>
      <c r="AB35" s="738">
        <v>69</v>
      </c>
      <c r="AC35" s="738">
        <v>67</v>
      </c>
      <c r="AD35" s="757" t="s">
        <v>1627</v>
      </c>
      <c r="AE35" s="757" t="s">
        <v>1627</v>
      </c>
      <c r="AF35" s="757" t="s">
        <v>1627</v>
      </c>
      <c r="AG35" s="757" t="s">
        <v>1627</v>
      </c>
      <c r="AH35" s="757" t="s">
        <v>1627</v>
      </c>
      <c r="AI35" s="757" t="s">
        <v>1627</v>
      </c>
      <c r="AJ35" s="757" t="s">
        <v>1627</v>
      </c>
      <c r="AW35" s="398"/>
      <c r="AY35" s="690"/>
      <c r="AZ35" s="690"/>
      <c r="BA35" s="690"/>
      <c r="BB35" s="690"/>
      <c r="BC35" s="690"/>
      <c r="BD35" s="690"/>
      <c r="BE35" s="737"/>
      <c r="BF35" s="737"/>
      <c r="BG35" s="744"/>
      <c r="BH35" s="744"/>
      <c r="CE35" s="398" t="s">
        <v>1705</v>
      </c>
      <c r="CF35" s="515">
        <v>1802</v>
      </c>
      <c r="CG35" s="515">
        <v>1915</v>
      </c>
      <c r="CH35" s="515">
        <v>2101</v>
      </c>
      <c r="CI35" s="515">
        <v>2183</v>
      </c>
      <c r="CJ35" s="463">
        <v>2168</v>
      </c>
      <c r="CK35" s="515">
        <v>2306</v>
      </c>
      <c r="CL35" s="515"/>
      <c r="CN35" s="398" t="s">
        <v>3797</v>
      </c>
      <c r="CO35" s="398">
        <f>SUM(CO36:CO37)</f>
        <v>31</v>
      </c>
      <c r="CP35" s="398">
        <f>SUM(CP36:CP37)</f>
        <v>35</v>
      </c>
      <c r="CQ35" s="398">
        <f t="shared" ref="CQ35:CX35" si="59">SUM(CQ36:CQ37)</f>
        <v>42</v>
      </c>
      <c r="CR35" s="398">
        <f t="shared" si="59"/>
        <v>22</v>
      </c>
      <c r="CS35" s="398">
        <f t="shared" si="59"/>
        <v>45</v>
      </c>
      <c r="CT35" s="398">
        <f t="shared" si="59"/>
        <v>90</v>
      </c>
      <c r="CU35" s="398">
        <f t="shared" si="59"/>
        <v>25</v>
      </c>
      <c r="CV35" s="398">
        <f t="shared" si="59"/>
        <v>41</v>
      </c>
      <c r="CW35" s="398">
        <f t="shared" si="59"/>
        <v>22</v>
      </c>
      <c r="CX35" s="398">
        <f t="shared" si="59"/>
        <v>30</v>
      </c>
      <c r="CY35" s="745"/>
      <c r="DB35" s="740" t="s">
        <v>3619</v>
      </c>
      <c r="DC35" s="690">
        <v>14</v>
      </c>
      <c r="DD35" s="690">
        <v>17</v>
      </c>
      <c r="DE35" s="690">
        <v>11</v>
      </c>
      <c r="DF35" s="690">
        <v>8</v>
      </c>
      <c r="DG35" s="690">
        <v>10</v>
      </c>
      <c r="DH35" s="690">
        <v>11</v>
      </c>
      <c r="DI35" s="738">
        <v>13</v>
      </c>
      <c r="DJ35" s="737">
        <v>10</v>
      </c>
      <c r="DK35" s="738">
        <v>9</v>
      </c>
      <c r="DL35" s="737">
        <v>9</v>
      </c>
      <c r="DQ35" s="737"/>
      <c r="DR35" s="737"/>
      <c r="DS35" s="685"/>
      <c r="DT35" s="685"/>
      <c r="DU35" s="685"/>
      <c r="DV35" s="685"/>
      <c r="DW35" s="685"/>
      <c r="DX35" s="685"/>
      <c r="DY35" s="685"/>
      <c r="DZ35" s="685"/>
      <c r="EA35" s="685"/>
      <c r="EB35" s="685"/>
      <c r="EC35" s="685"/>
      <c r="ED35" s="685"/>
      <c r="EE35" s="685"/>
      <c r="EF35" s="685"/>
      <c r="EI35" s="730" t="s">
        <v>3487</v>
      </c>
      <c r="EJ35" s="731" t="s">
        <v>3488</v>
      </c>
      <c r="EK35" s="731" t="s">
        <v>3489</v>
      </c>
      <c r="EL35" s="732" t="s">
        <v>1711</v>
      </c>
      <c r="EM35" s="732" t="s">
        <v>1712</v>
      </c>
      <c r="EN35" s="732" t="s">
        <v>3490</v>
      </c>
      <c r="EO35" s="733" t="s">
        <v>3491</v>
      </c>
      <c r="EP35" s="703" t="s">
        <v>3492</v>
      </c>
      <c r="EQ35" s="703" t="s">
        <v>3493</v>
      </c>
      <c r="ET35" s="398" t="s">
        <v>3629</v>
      </c>
      <c r="EU35" s="398"/>
      <c r="EV35" s="398"/>
      <c r="EW35" s="398"/>
      <c r="EX35" s="398"/>
      <c r="EY35" s="398"/>
      <c r="EZ35" s="398"/>
      <c r="FA35" s="398"/>
      <c r="FB35" s="690"/>
      <c r="FP35" s="690"/>
      <c r="FQ35" s="690"/>
      <c r="FR35" s="398"/>
      <c r="FS35" s="398" t="s">
        <v>3798</v>
      </c>
      <c r="FT35" s="398">
        <v>1</v>
      </c>
      <c r="FU35" s="398">
        <v>4</v>
      </c>
      <c r="FV35" s="398">
        <v>3</v>
      </c>
      <c r="FW35" s="398">
        <v>4</v>
      </c>
      <c r="FX35" s="398">
        <v>6</v>
      </c>
      <c r="FY35" s="398">
        <v>5</v>
      </c>
      <c r="FZ35" s="398"/>
      <c r="GC35" s="806"/>
      <c r="GD35" s="806"/>
      <c r="GE35" s="806"/>
      <c r="GF35" s="806"/>
      <c r="GG35" s="806"/>
      <c r="GH35" s="806"/>
      <c r="GI35" s="806"/>
      <c r="GJ35" s="806"/>
      <c r="GL35" s="386" t="s">
        <v>3799</v>
      </c>
      <c r="GM35" s="385">
        <v>5</v>
      </c>
      <c r="GN35" s="385">
        <v>2</v>
      </c>
      <c r="GO35" s="385">
        <v>1</v>
      </c>
      <c r="GP35" s="385">
        <v>1</v>
      </c>
      <c r="GQ35" s="385">
        <v>0</v>
      </c>
      <c r="GR35" s="385"/>
      <c r="GS35" s="571"/>
      <c r="GU35" s="398" t="s">
        <v>3800</v>
      </c>
      <c r="GV35" s="515">
        <v>8</v>
      </c>
      <c r="GW35" s="515">
        <v>4</v>
      </c>
      <c r="GX35" s="515">
        <v>11</v>
      </c>
      <c r="GY35" s="515">
        <v>12</v>
      </c>
      <c r="GZ35" s="515">
        <v>6</v>
      </c>
      <c r="HA35" s="398">
        <v>9</v>
      </c>
      <c r="HD35" s="737"/>
    </row>
    <row r="36" spans="1:215" ht="15" customHeight="1">
      <c r="A36" s="398" t="s">
        <v>3801</v>
      </c>
      <c r="B36" s="771">
        <v>0.6</v>
      </c>
      <c r="C36" s="771">
        <v>0.7</v>
      </c>
      <c r="D36" s="398">
        <v>0.2</v>
      </c>
      <c r="E36" s="398">
        <v>3.6</v>
      </c>
      <c r="F36" s="398">
        <v>1.5</v>
      </c>
      <c r="G36" s="762">
        <v>2.5</v>
      </c>
      <c r="H36" s="754"/>
      <c r="J36" s="676" t="s">
        <v>3655</v>
      </c>
      <c r="K36" s="759" t="s">
        <v>2208</v>
      </c>
      <c r="L36" s="760">
        <v>858</v>
      </c>
      <c r="M36" s="760">
        <v>890</v>
      </c>
      <c r="N36" s="760">
        <v>958</v>
      </c>
      <c r="O36" s="718">
        <v>1029</v>
      </c>
      <c r="P36" s="749">
        <v>1083</v>
      </c>
      <c r="Q36" s="718"/>
      <c r="S36" s="386" t="s">
        <v>3750</v>
      </c>
      <c r="T36" s="386" t="s">
        <v>2185</v>
      </c>
      <c r="U36" s="738">
        <f t="shared" si="58"/>
        <v>571</v>
      </c>
      <c r="V36" s="737">
        <v>32</v>
      </c>
      <c r="W36" s="738">
        <v>20</v>
      </c>
      <c r="X36" s="738">
        <v>66</v>
      </c>
      <c r="Y36" s="738">
        <v>73</v>
      </c>
      <c r="Z36" s="738">
        <v>90</v>
      </c>
      <c r="AA36" s="738">
        <v>102</v>
      </c>
      <c r="AB36" s="738">
        <v>87</v>
      </c>
      <c r="AC36" s="738">
        <v>101</v>
      </c>
      <c r="AD36" s="757" t="s">
        <v>1627</v>
      </c>
      <c r="AE36" s="757" t="s">
        <v>1627</v>
      </c>
      <c r="AF36" s="757" t="s">
        <v>1627</v>
      </c>
      <c r="AG36" s="757" t="s">
        <v>1627</v>
      </c>
      <c r="AH36" s="757" t="s">
        <v>1627</v>
      </c>
      <c r="AI36" s="757" t="s">
        <v>1627</v>
      </c>
      <c r="AJ36" s="757" t="s">
        <v>1627</v>
      </c>
      <c r="AW36" s="398"/>
      <c r="AX36" s="398"/>
      <c r="AY36" s="737"/>
      <c r="AZ36" s="737"/>
      <c r="BA36" s="744"/>
      <c r="BB36" s="737"/>
      <c r="BC36" s="737"/>
      <c r="BD36" s="744"/>
      <c r="BE36" s="737"/>
      <c r="BF36" s="737"/>
      <c r="BG36" s="744"/>
      <c r="BH36" s="744"/>
      <c r="CE36" s="398" t="s">
        <v>1695</v>
      </c>
      <c r="CF36" s="515">
        <v>5</v>
      </c>
      <c r="CG36" s="515">
        <v>5</v>
      </c>
      <c r="CH36" s="515">
        <v>6</v>
      </c>
      <c r="CI36" s="515">
        <v>5</v>
      </c>
      <c r="CJ36" s="463">
        <v>5</v>
      </c>
      <c r="CK36" s="754">
        <v>7</v>
      </c>
      <c r="CL36" s="754"/>
      <c r="CN36" s="398" t="s">
        <v>3039</v>
      </c>
      <c r="CO36" s="398">
        <v>7</v>
      </c>
      <c r="CP36" s="398">
        <v>10</v>
      </c>
      <c r="CQ36" s="398">
        <v>18</v>
      </c>
      <c r="CR36" s="398">
        <v>14</v>
      </c>
      <c r="CS36" s="398">
        <v>23</v>
      </c>
      <c r="CT36" s="398">
        <v>34</v>
      </c>
      <c r="CU36" s="398">
        <v>13</v>
      </c>
      <c r="CV36" s="398">
        <v>21</v>
      </c>
      <c r="CW36" s="398">
        <v>11</v>
      </c>
      <c r="CX36" s="398">
        <v>14</v>
      </c>
      <c r="CY36" s="745"/>
      <c r="DB36" s="740" t="s">
        <v>3628</v>
      </c>
      <c r="DC36" s="690">
        <v>4</v>
      </c>
      <c r="DD36" s="690">
        <v>8</v>
      </c>
      <c r="DE36" s="690">
        <v>4</v>
      </c>
      <c r="DF36" s="690">
        <v>1</v>
      </c>
      <c r="DG36" s="690">
        <v>8</v>
      </c>
      <c r="DH36" s="690">
        <v>5</v>
      </c>
      <c r="DI36" s="738">
        <v>3</v>
      </c>
      <c r="DJ36" s="737">
        <v>8</v>
      </c>
      <c r="DK36" s="738">
        <v>5</v>
      </c>
      <c r="DL36" s="737">
        <v>6</v>
      </c>
      <c r="DQ36" s="737"/>
      <c r="DR36" s="737"/>
      <c r="DZ36" s="2130"/>
      <c r="EA36" s="2130"/>
      <c r="EB36" s="2130"/>
      <c r="EC36" s="2130"/>
      <c r="ED36" s="2130"/>
      <c r="EE36" s="2130"/>
      <c r="EF36" s="793"/>
      <c r="EI36" s="705" t="s">
        <v>3508</v>
      </c>
      <c r="EJ36" s="745">
        <f>SUM(EJ37:EJ44)</f>
        <v>2962</v>
      </c>
      <c r="EK36" s="746">
        <v>100</v>
      </c>
      <c r="EL36" s="745">
        <f t="shared" ref="EL36:EQ36" si="60">SUM(EL37:EL44)</f>
        <v>1235</v>
      </c>
      <c r="EM36" s="745">
        <f t="shared" si="60"/>
        <v>1727</v>
      </c>
      <c r="EN36" s="745">
        <f t="shared" si="60"/>
        <v>2136</v>
      </c>
      <c r="EO36" s="745">
        <f t="shared" si="60"/>
        <v>826</v>
      </c>
      <c r="EP36" s="745">
        <f t="shared" si="60"/>
        <v>2624</v>
      </c>
      <c r="EQ36" s="745">
        <f t="shared" si="60"/>
        <v>293</v>
      </c>
      <c r="ET36" s="398"/>
      <c r="EU36" s="398"/>
      <c r="EV36" s="398"/>
      <c r="EW36" s="398"/>
      <c r="EX36" s="398"/>
      <c r="EY36" s="398"/>
      <c r="FR36" s="398"/>
      <c r="FS36" s="398" t="s">
        <v>3802</v>
      </c>
      <c r="FT36" s="519" t="s">
        <v>546</v>
      </c>
      <c r="FU36" s="519" t="s">
        <v>546</v>
      </c>
      <c r="FV36" s="519" t="s">
        <v>546</v>
      </c>
      <c r="FW36" s="519" t="s">
        <v>546</v>
      </c>
      <c r="FX36" s="519" t="s">
        <v>546</v>
      </c>
      <c r="FY36" s="519" t="s">
        <v>546</v>
      </c>
      <c r="FZ36" s="398"/>
      <c r="GC36" s="806"/>
      <c r="GD36" s="806"/>
      <c r="GE36" s="806"/>
      <c r="GF36" s="806"/>
      <c r="GG36" s="806"/>
      <c r="GH36" s="806"/>
      <c r="GI36" s="806"/>
      <c r="GJ36" s="806"/>
      <c r="GL36" s="386" t="s">
        <v>3803</v>
      </c>
      <c r="GM36" s="385">
        <v>38</v>
      </c>
      <c r="GN36" s="385">
        <v>36</v>
      </c>
      <c r="GO36" s="385">
        <v>35</v>
      </c>
      <c r="GP36" s="385">
        <v>56</v>
      </c>
      <c r="GQ36" s="385">
        <v>88</v>
      </c>
      <c r="GR36" s="385"/>
      <c r="GS36" s="571"/>
      <c r="GT36" s="808"/>
      <c r="GU36" s="398" t="s">
        <v>1697</v>
      </c>
      <c r="GV36" s="515">
        <v>11</v>
      </c>
      <c r="GW36" s="515">
        <v>11</v>
      </c>
      <c r="GX36" s="515">
        <v>16</v>
      </c>
      <c r="GY36" s="515">
        <v>17</v>
      </c>
      <c r="GZ36" s="515">
        <v>8</v>
      </c>
      <c r="HA36" s="398">
        <v>6</v>
      </c>
      <c r="HD36" s="737"/>
    </row>
    <row r="37" spans="1:215" ht="14.1" customHeight="1">
      <c r="A37" s="398" t="s">
        <v>3804</v>
      </c>
      <c r="B37" s="515">
        <v>11905</v>
      </c>
      <c r="C37" s="515">
        <v>10705</v>
      </c>
      <c r="D37" s="515">
        <v>9029</v>
      </c>
      <c r="E37" s="515">
        <v>8620</v>
      </c>
      <c r="F37" s="515">
        <v>8892</v>
      </c>
      <c r="G37" s="515">
        <v>8728</v>
      </c>
      <c r="H37" s="754"/>
      <c r="J37" s="676" t="s">
        <v>2276</v>
      </c>
      <c r="K37" s="759" t="s">
        <v>2276</v>
      </c>
      <c r="L37" s="676">
        <v>415</v>
      </c>
      <c r="M37" s="760">
        <v>477</v>
      </c>
      <c r="N37" s="760">
        <v>495</v>
      </c>
      <c r="O37" s="718">
        <v>493</v>
      </c>
      <c r="P37" s="749">
        <v>524</v>
      </c>
      <c r="Q37" s="718"/>
      <c r="S37" s="386" t="s">
        <v>3805</v>
      </c>
      <c r="T37" s="386" t="s">
        <v>2185</v>
      </c>
      <c r="U37" s="738">
        <f t="shared" si="58"/>
        <v>1261</v>
      </c>
      <c r="V37" s="757" t="s">
        <v>1627</v>
      </c>
      <c r="W37" s="757" t="s">
        <v>1627</v>
      </c>
      <c r="X37" s="757" t="s">
        <v>1627</v>
      </c>
      <c r="Y37" s="757" t="s">
        <v>1627</v>
      </c>
      <c r="Z37" s="757" t="s">
        <v>1627</v>
      </c>
      <c r="AA37" s="757" t="s">
        <v>1627</v>
      </c>
      <c r="AB37" s="757" t="s">
        <v>1627</v>
      </c>
      <c r="AC37" s="757" t="s">
        <v>1627</v>
      </c>
      <c r="AD37" s="757" t="s">
        <v>1627</v>
      </c>
      <c r="AE37" s="757" t="s">
        <v>1627</v>
      </c>
      <c r="AF37" s="757" t="s">
        <v>1627</v>
      </c>
      <c r="AG37" s="757">
        <v>298</v>
      </c>
      <c r="AH37" s="738">
        <v>327</v>
      </c>
      <c r="AI37" s="738">
        <v>327</v>
      </c>
      <c r="AJ37" s="738">
        <v>309</v>
      </c>
      <c r="AW37" s="398"/>
      <c r="AX37" s="398"/>
      <c r="AY37" s="737"/>
      <c r="AZ37" s="737"/>
      <c r="BA37" s="744"/>
      <c r="BB37" s="737"/>
      <c r="BC37" s="737"/>
      <c r="BD37" s="744"/>
      <c r="BE37" s="737"/>
      <c r="BF37" s="737"/>
      <c r="BG37" s="771"/>
      <c r="BH37" s="744"/>
      <c r="CE37" s="398" t="s">
        <v>2653</v>
      </c>
      <c r="CF37" s="515">
        <v>45</v>
      </c>
      <c r="CG37" s="515">
        <v>52</v>
      </c>
      <c r="CH37" s="515">
        <v>63</v>
      </c>
      <c r="CI37" s="515">
        <v>44</v>
      </c>
      <c r="CJ37" s="463">
        <v>36</v>
      </c>
      <c r="CK37" s="754">
        <v>43</v>
      </c>
      <c r="CL37" s="754"/>
      <c r="CN37" s="387" t="s">
        <v>3046</v>
      </c>
      <c r="CO37" s="387">
        <v>24</v>
      </c>
      <c r="CP37" s="387">
        <v>25</v>
      </c>
      <c r="CQ37" s="387">
        <v>24</v>
      </c>
      <c r="CR37" s="387">
        <v>8</v>
      </c>
      <c r="CS37" s="387">
        <v>22</v>
      </c>
      <c r="CT37" s="387">
        <v>56</v>
      </c>
      <c r="CU37" s="387">
        <v>12</v>
      </c>
      <c r="CV37" s="387">
        <v>20</v>
      </c>
      <c r="CW37" s="387">
        <v>11</v>
      </c>
      <c r="CX37" s="387">
        <v>16</v>
      </c>
      <c r="DB37" s="740" t="s">
        <v>3640</v>
      </c>
      <c r="DC37" s="690">
        <v>4</v>
      </c>
      <c r="DD37" s="690">
        <v>5</v>
      </c>
      <c r="DE37" s="690">
        <v>4</v>
      </c>
      <c r="DF37" s="690">
        <v>6</v>
      </c>
      <c r="DG37" s="690">
        <v>4</v>
      </c>
      <c r="DH37" s="690">
        <v>5</v>
      </c>
      <c r="DI37" s="738">
        <v>2</v>
      </c>
      <c r="DJ37" s="737">
        <v>2</v>
      </c>
      <c r="DK37" s="738">
        <v>3</v>
      </c>
      <c r="DL37" s="737">
        <v>3</v>
      </c>
      <c r="DZ37" s="794"/>
      <c r="EA37" s="794"/>
      <c r="EB37" s="794"/>
      <c r="EC37" s="794"/>
      <c r="ED37" s="794"/>
      <c r="EE37" s="794"/>
      <c r="EF37" s="794"/>
      <c r="EI37" s="705" t="s">
        <v>3530</v>
      </c>
      <c r="EJ37" s="745">
        <f>SUM(EL37:EM37)</f>
        <v>1</v>
      </c>
      <c r="EK37" s="755">
        <f t="shared" ref="EK37:EK44" si="61">EJ37/$EJ$36*100</f>
        <v>3.3760972316002703E-2</v>
      </c>
      <c r="EL37" s="745">
        <v>1</v>
      </c>
      <c r="EM37" s="745">
        <v>0</v>
      </c>
      <c r="EN37" s="745">
        <v>1</v>
      </c>
      <c r="EO37" s="745">
        <v>0</v>
      </c>
      <c r="EP37" s="515">
        <v>1</v>
      </c>
      <c r="EQ37" s="515">
        <v>0</v>
      </c>
      <c r="FR37" s="398"/>
      <c r="FS37" s="398" t="s">
        <v>3806</v>
      </c>
      <c r="FT37" s="398">
        <v>0</v>
      </c>
      <c r="FU37" s="398">
        <v>0</v>
      </c>
      <c r="FV37" s="398">
        <v>0</v>
      </c>
      <c r="FW37" s="398">
        <v>0</v>
      </c>
      <c r="FX37" s="398">
        <v>0</v>
      </c>
      <c r="FY37" s="398">
        <v>0</v>
      </c>
      <c r="FZ37" s="809"/>
      <c r="GC37" s="806"/>
      <c r="GD37" s="806"/>
      <c r="GE37" s="806"/>
      <c r="GF37" s="806"/>
      <c r="GG37" s="806"/>
      <c r="GH37" s="806"/>
      <c r="GI37" s="806"/>
      <c r="GJ37" s="810"/>
      <c r="GL37" s="386" t="s">
        <v>3807</v>
      </c>
      <c r="GM37" s="398">
        <v>41</v>
      </c>
      <c r="GN37" s="385">
        <v>49</v>
      </c>
      <c r="GO37" s="385">
        <v>64</v>
      </c>
      <c r="GP37" s="385">
        <v>70</v>
      </c>
      <c r="GQ37" s="385">
        <v>78</v>
      </c>
      <c r="GR37" s="385"/>
      <c r="GS37" s="571"/>
      <c r="GU37" s="398" t="s">
        <v>1698</v>
      </c>
      <c r="GV37" s="515">
        <v>14</v>
      </c>
      <c r="GW37" s="515">
        <v>17</v>
      </c>
      <c r="GX37" s="515">
        <v>18</v>
      </c>
      <c r="GY37" s="515">
        <v>15</v>
      </c>
      <c r="GZ37" s="515">
        <v>16</v>
      </c>
      <c r="HA37" s="398">
        <v>13</v>
      </c>
      <c r="HD37" s="737"/>
    </row>
    <row r="38" spans="1:215" ht="14.1" customHeight="1">
      <c r="A38" s="398" t="s">
        <v>3808</v>
      </c>
      <c r="B38" s="772">
        <v>13.9</v>
      </c>
      <c r="C38" s="771">
        <v>14.1</v>
      </c>
      <c r="D38" s="771">
        <v>14.4</v>
      </c>
      <c r="E38" s="771">
        <v>15</v>
      </c>
      <c r="F38" s="771">
        <v>16</v>
      </c>
      <c r="G38" s="771">
        <v>15.8</v>
      </c>
      <c r="J38" s="759" t="s">
        <v>3809</v>
      </c>
      <c r="K38" s="759" t="s">
        <v>2195</v>
      </c>
      <c r="L38" s="676">
        <v>614</v>
      </c>
      <c r="M38" s="760">
        <v>659</v>
      </c>
      <c r="N38" s="760">
        <v>689</v>
      </c>
      <c r="O38" s="718">
        <v>763</v>
      </c>
      <c r="P38" s="749">
        <v>847</v>
      </c>
      <c r="Q38" s="718"/>
      <c r="S38" s="386" t="s">
        <v>3810</v>
      </c>
      <c r="T38" s="398" t="s">
        <v>3811</v>
      </c>
      <c r="U38" s="738">
        <f t="shared" si="58"/>
        <v>566</v>
      </c>
      <c r="V38" s="757" t="s">
        <v>1627</v>
      </c>
      <c r="W38" s="757" t="s">
        <v>1627</v>
      </c>
      <c r="X38" s="757" t="s">
        <v>1627</v>
      </c>
      <c r="Y38" s="757" t="s">
        <v>1627</v>
      </c>
      <c r="Z38" s="757" t="s">
        <v>1627</v>
      </c>
      <c r="AA38" s="757" t="s">
        <v>1627</v>
      </c>
      <c r="AB38" s="757" t="s">
        <v>1627</v>
      </c>
      <c r="AC38" s="757" t="s">
        <v>1627</v>
      </c>
      <c r="AD38" s="754">
        <v>193</v>
      </c>
      <c r="AE38" s="738">
        <v>202</v>
      </c>
      <c r="AF38" s="738">
        <v>171</v>
      </c>
      <c r="AG38" s="757" t="s">
        <v>1627</v>
      </c>
      <c r="AH38" s="757" t="s">
        <v>1627</v>
      </c>
      <c r="AI38" s="757" t="s">
        <v>1627</v>
      </c>
      <c r="AJ38" s="757" t="s">
        <v>1627</v>
      </c>
      <c r="AW38" s="398"/>
      <c r="AX38" s="398"/>
      <c r="AY38" s="737"/>
      <c r="AZ38" s="737"/>
      <c r="BA38" s="771"/>
      <c r="BB38" s="737"/>
      <c r="BC38" s="737"/>
      <c r="BD38" s="771"/>
      <c r="BE38" s="737"/>
      <c r="BF38" s="737"/>
      <c r="BG38" s="744"/>
      <c r="BH38" s="744"/>
      <c r="CE38" s="398" t="s">
        <v>1696</v>
      </c>
      <c r="CF38" s="515">
        <v>861</v>
      </c>
      <c r="CG38" s="515">
        <v>895</v>
      </c>
      <c r="CH38" s="515">
        <v>942</v>
      </c>
      <c r="CI38" s="515">
        <v>979</v>
      </c>
      <c r="CJ38" s="463">
        <v>946</v>
      </c>
      <c r="CK38" s="515">
        <v>955</v>
      </c>
      <c r="CL38" s="515"/>
      <c r="CN38" s="398" t="s">
        <v>3629</v>
      </c>
      <c r="CO38" s="398"/>
      <c r="CP38" s="398"/>
      <c r="CQ38" s="398"/>
      <c r="CR38" s="398"/>
      <c r="CS38" s="398"/>
      <c r="CT38" s="398"/>
      <c r="CU38" s="398"/>
      <c r="CV38" s="398"/>
      <c r="CW38" s="398"/>
      <c r="CX38" s="398"/>
      <c r="DB38" s="740" t="s">
        <v>2597</v>
      </c>
      <c r="DC38" s="690">
        <v>0</v>
      </c>
      <c r="DD38" s="690">
        <v>0</v>
      </c>
      <c r="DE38" s="690">
        <v>0</v>
      </c>
      <c r="DF38" s="690">
        <v>0</v>
      </c>
      <c r="DG38" s="690">
        <v>0</v>
      </c>
      <c r="DH38" s="690">
        <v>0</v>
      </c>
      <c r="DI38" s="738">
        <v>0</v>
      </c>
      <c r="DJ38" s="737">
        <v>0</v>
      </c>
      <c r="DK38" s="738">
        <v>0</v>
      </c>
      <c r="DL38" s="737">
        <v>0</v>
      </c>
      <c r="DQ38" s="737"/>
      <c r="DR38" s="737"/>
      <c r="DZ38" s="685"/>
      <c r="EA38" s="685"/>
      <c r="EB38" s="685"/>
      <c r="EC38" s="685"/>
      <c r="ED38" s="685"/>
      <c r="EE38" s="685"/>
      <c r="EF38" s="685"/>
      <c r="EI38" s="705" t="s">
        <v>1693</v>
      </c>
      <c r="EJ38" s="745">
        <f t="shared" ref="EJ38" si="62">SUM(EL38:EM38)</f>
        <v>1408</v>
      </c>
      <c r="EK38" s="755">
        <f t="shared" si="61"/>
        <v>47.5354490209318</v>
      </c>
      <c r="EL38" s="745">
        <v>611</v>
      </c>
      <c r="EM38" s="745">
        <v>797</v>
      </c>
      <c r="EN38" s="745">
        <v>1017</v>
      </c>
      <c r="EO38" s="745">
        <v>391</v>
      </c>
      <c r="EP38" s="515">
        <v>1307</v>
      </c>
      <c r="EQ38" s="515">
        <v>89</v>
      </c>
      <c r="FR38" s="398"/>
      <c r="FS38" s="398" t="s">
        <v>3812</v>
      </c>
      <c r="FT38" s="2131" t="s">
        <v>3813</v>
      </c>
      <c r="FU38" s="2131"/>
      <c r="FV38" s="2131"/>
      <c r="FW38" s="2131"/>
      <c r="FX38" s="2131"/>
      <c r="FY38" s="2131"/>
      <c r="FZ38" s="809"/>
      <c r="GC38" s="810"/>
      <c r="GD38" s="810"/>
      <c r="GE38" s="810"/>
      <c r="GF38" s="810"/>
      <c r="GG38" s="810"/>
      <c r="GH38" s="810"/>
      <c r="GI38" s="810"/>
      <c r="GJ38" s="811"/>
      <c r="GL38" s="398"/>
      <c r="GM38" s="398"/>
      <c r="GN38" s="398"/>
      <c r="GO38" s="398"/>
      <c r="GP38" s="398"/>
      <c r="GQ38" s="398"/>
      <c r="GR38" s="398"/>
      <c r="GS38" s="571"/>
      <c r="GT38" s="519"/>
      <c r="GU38" s="398" t="s">
        <v>2654</v>
      </c>
      <c r="GV38" s="515">
        <v>5</v>
      </c>
      <c r="GW38" s="515">
        <v>2</v>
      </c>
      <c r="GX38" s="515">
        <v>2</v>
      </c>
      <c r="GY38" s="515">
        <v>1</v>
      </c>
      <c r="GZ38" s="515">
        <v>2</v>
      </c>
      <c r="HA38" s="398">
        <v>5</v>
      </c>
      <c r="HD38" s="737"/>
    </row>
    <row r="39" spans="1:215" ht="14.1" customHeight="1">
      <c r="A39" s="398" t="s">
        <v>3814</v>
      </c>
      <c r="B39" s="771">
        <v>91.9</v>
      </c>
      <c r="C39" s="771">
        <v>91.3</v>
      </c>
      <c r="D39" s="398">
        <v>90.7</v>
      </c>
      <c r="E39" s="771">
        <v>90</v>
      </c>
      <c r="F39" s="398">
        <v>90.3</v>
      </c>
      <c r="G39" s="762">
        <v>88.9</v>
      </c>
      <c r="J39" s="676" t="s">
        <v>3779</v>
      </c>
      <c r="K39" s="759" t="s">
        <v>2253</v>
      </c>
      <c r="L39" s="760">
        <v>894</v>
      </c>
      <c r="M39" s="760">
        <v>874</v>
      </c>
      <c r="N39" s="760">
        <v>918</v>
      </c>
      <c r="O39" s="718">
        <v>957</v>
      </c>
      <c r="P39" s="749">
        <v>988</v>
      </c>
      <c r="Q39" s="718"/>
      <c r="S39" s="386" t="s">
        <v>3815</v>
      </c>
      <c r="T39" s="386" t="s">
        <v>3811</v>
      </c>
      <c r="U39" s="738">
        <f t="shared" si="58"/>
        <v>338</v>
      </c>
      <c r="V39" s="776">
        <v>0</v>
      </c>
      <c r="W39" s="776">
        <v>0</v>
      </c>
      <c r="X39" s="776">
        <v>43</v>
      </c>
      <c r="Y39" s="738">
        <v>55</v>
      </c>
      <c r="Z39" s="738">
        <v>67</v>
      </c>
      <c r="AA39" s="738">
        <v>43</v>
      </c>
      <c r="AB39" s="738">
        <v>66</v>
      </c>
      <c r="AC39" s="738">
        <v>64</v>
      </c>
      <c r="AD39" s="757" t="s">
        <v>1627</v>
      </c>
      <c r="AE39" s="757" t="s">
        <v>1627</v>
      </c>
      <c r="AF39" s="757" t="s">
        <v>1627</v>
      </c>
      <c r="AG39" s="757" t="s">
        <v>1627</v>
      </c>
      <c r="AH39" s="757" t="s">
        <v>1627</v>
      </c>
      <c r="AI39" s="757" t="s">
        <v>1627</v>
      </c>
      <c r="AJ39" s="757" t="s">
        <v>1627</v>
      </c>
      <c r="AW39" s="398"/>
      <c r="AY39" s="737"/>
      <c r="AZ39" s="737"/>
      <c r="BA39" s="744"/>
      <c r="BB39" s="737"/>
      <c r="BC39" s="737"/>
      <c r="BD39" s="744"/>
      <c r="CE39" s="398" t="s">
        <v>2661</v>
      </c>
      <c r="CF39" s="515">
        <v>7</v>
      </c>
      <c r="CG39" s="515">
        <v>8</v>
      </c>
      <c r="CH39" s="515">
        <v>10</v>
      </c>
      <c r="CI39" s="515">
        <v>10</v>
      </c>
      <c r="CJ39" s="463">
        <v>11</v>
      </c>
      <c r="CK39" s="515">
        <v>12</v>
      </c>
      <c r="CL39" s="515"/>
      <c r="DG39" s="737"/>
      <c r="DH39" s="737"/>
      <c r="DI39" s="737"/>
      <c r="DJ39" s="737"/>
      <c r="DK39" s="738"/>
      <c r="DL39" s="738"/>
      <c r="DQ39" s="737"/>
      <c r="DR39" s="737"/>
      <c r="DZ39" s="685"/>
      <c r="EA39" s="685"/>
      <c r="EB39" s="685"/>
      <c r="EC39" s="685"/>
      <c r="ED39" s="685"/>
      <c r="EE39" s="685"/>
      <c r="EF39" s="685"/>
      <c r="EI39" s="705" t="s">
        <v>1701</v>
      </c>
      <c r="EJ39" s="745">
        <f>SUM(EL39:EM39)</f>
        <v>11</v>
      </c>
      <c r="EK39" s="755">
        <f t="shared" si="61"/>
        <v>0.37137069547602969</v>
      </c>
      <c r="EL39" s="745">
        <v>4</v>
      </c>
      <c r="EM39" s="745">
        <v>7</v>
      </c>
      <c r="EN39" s="745">
        <v>7</v>
      </c>
      <c r="EO39" s="745">
        <v>4</v>
      </c>
      <c r="EP39" s="515">
        <v>9</v>
      </c>
      <c r="EQ39" s="515">
        <v>2</v>
      </c>
      <c r="FR39" s="398"/>
      <c r="FS39" s="398" t="s">
        <v>3816</v>
      </c>
      <c r="FT39" s="2129"/>
      <c r="FU39" s="2129"/>
      <c r="FV39" s="2129"/>
      <c r="FW39" s="2129"/>
      <c r="FX39" s="2129"/>
      <c r="FY39" s="2129"/>
      <c r="FZ39" s="398"/>
      <c r="GC39" s="811"/>
      <c r="GD39" s="811"/>
      <c r="GE39" s="811"/>
      <c r="GF39" s="811"/>
      <c r="GG39" s="811"/>
      <c r="GH39" s="811"/>
      <c r="GI39" s="811"/>
      <c r="GJ39" s="811"/>
      <c r="GL39" s="756" t="s">
        <v>3817</v>
      </c>
      <c r="GM39" s="385">
        <f>SUM(GM40:GM57)</f>
        <v>72</v>
      </c>
      <c r="GN39" s="385">
        <f>SUM(GN40:GN57)</f>
        <v>92</v>
      </c>
      <c r="GO39" s="385">
        <f>SUM(GO40:GO57)</f>
        <v>90</v>
      </c>
      <c r="GP39" s="385">
        <f>SUM(GP40:GP57)</f>
        <v>155</v>
      </c>
      <c r="GQ39" s="385">
        <f>SUM(GQ40:GQ57)</f>
        <v>255</v>
      </c>
      <c r="GR39" s="385"/>
      <c r="GS39" s="571"/>
      <c r="GU39" s="398" t="s">
        <v>2652</v>
      </c>
      <c r="GV39" s="515">
        <v>3</v>
      </c>
      <c r="GW39" s="515">
        <v>7</v>
      </c>
      <c r="GX39" s="515">
        <v>6</v>
      </c>
      <c r="GY39" s="515">
        <v>1</v>
      </c>
      <c r="GZ39" s="515">
        <v>1</v>
      </c>
      <c r="HA39" s="398">
        <v>2</v>
      </c>
      <c r="HD39" s="737"/>
    </row>
    <row r="40" spans="1:215" ht="14.1" customHeight="1">
      <c r="G40" s="737"/>
      <c r="J40" s="676" t="s">
        <v>3818</v>
      </c>
      <c r="K40" s="759" t="s">
        <v>2198</v>
      </c>
      <c r="L40" s="760">
        <v>335</v>
      </c>
      <c r="M40" s="760">
        <v>340</v>
      </c>
      <c r="N40" s="760">
        <v>368</v>
      </c>
      <c r="O40" s="718">
        <v>406</v>
      </c>
      <c r="P40" s="749">
        <v>430</v>
      </c>
      <c r="Q40" s="718"/>
      <c r="S40" s="386" t="s">
        <v>3664</v>
      </c>
      <c r="T40" s="386" t="s">
        <v>3819</v>
      </c>
      <c r="U40" s="738">
        <f t="shared" si="58"/>
        <v>498</v>
      </c>
      <c r="V40" s="776">
        <v>0</v>
      </c>
      <c r="W40" s="776">
        <v>15</v>
      </c>
      <c r="X40" s="776">
        <v>70</v>
      </c>
      <c r="Y40" s="738">
        <v>76</v>
      </c>
      <c r="Z40" s="738">
        <v>74</v>
      </c>
      <c r="AA40" s="738">
        <v>80</v>
      </c>
      <c r="AB40" s="738">
        <v>99</v>
      </c>
      <c r="AC40" s="738">
        <v>84</v>
      </c>
      <c r="AD40" s="757" t="s">
        <v>1627</v>
      </c>
      <c r="AE40" s="757" t="s">
        <v>1627</v>
      </c>
      <c r="AF40" s="757" t="s">
        <v>1627</v>
      </c>
      <c r="AG40" s="757" t="s">
        <v>1627</v>
      </c>
      <c r="AH40" s="757" t="s">
        <v>1627</v>
      </c>
      <c r="AI40" s="757" t="s">
        <v>1627</v>
      </c>
      <c r="AJ40" s="757" t="s">
        <v>1627</v>
      </c>
      <c r="AN40" s="398"/>
      <c r="AO40" s="398"/>
      <c r="AP40" s="398"/>
      <c r="AQ40" s="398"/>
      <c r="AR40" s="398"/>
      <c r="AS40" s="398"/>
      <c r="AT40" s="398"/>
      <c r="AW40" s="398"/>
      <c r="AX40" s="778"/>
      <c r="CE40" s="398" t="s">
        <v>1697</v>
      </c>
      <c r="CF40" s="515">
        <v>14</v>
      </c>
      <c r="CG40" s="515">
        <v>16</v>
      </c>
      <c r="CH40" s="515">
        <v>18</v>
      </c>
      <c r="CI40" s="515">
        <v>20</v>
      </c>
      <c r="CJ40" s="463">
        <v>21</v>
      </c>
      <c r="CK40" s="754">
        <v>21</v>
      </c>
      <c r="CL40" s="754"/>
      <c r="CZ40" s="702"/>
      <c r="DA40" s="702"/>
      <c r="DB40" s="740" t="s">
        <v>3673</v>
      </c>
      <c r="DC40" s="690">
        <f>SUM(DC41:DC49)</f>
        <v>250</v>
      </c>
      <c r="DD40" s="690">
        <f>SUM(DD41:DD49)</f>
        <v>217</v>
      </c>
      <c r="DE40" s="690">
        <f>SUM(DE41:DE49)</f>
        <v>193</v>
      </c>
      <c r="DF40" s="690">
        <f>SUM(DF41:DF49)</f>
        <v>195</v>
      </c>
      <c r="DG40" s="738">
        <f t="shared" ref="DG40:DL40" si="63">SUM(DG41:DG49)</f>
        <v>192</v>
      </c>
      <c r="DH40" s="738">
        <f t="shared" si="63"/>
        <v>160</v>
      </c>
      <c r="DI40" s="738">
        <f t="shared" si="63"/>
        <v>223</v>
      </c>
      <c r="DJ40" s="738">
        <f t="shared" si="63"/>
        <v>187</v>
      </c>
      <c r="DK40" s="738">
        <f t="shared" si="63"/>
        <v>228</v>
      </c>
      <c r="DL40" s="738">
        <f t="shared" si="63"/>
        <v>200</v>
      </c>
      <c r="DQ40" s="737"/>
      <c r="DR40" s="737"/>
      <c r="DZ40" s="685"/>
      <c r="EA40" s="685"/>
      <c r="EB40" s="685"/>
      <c r="EC40" s="685"/>
      <c r="ED40" s="685"/>
      <c r="EE40" s="685"/>
      <c r="EF40" s="685"/>
      <c r="EI40" s="705" t="s">
        <v>3569</v>
      </c>
      <c r="EJ40" s="745">
        <f>SUM(EL40:EM40)</f>
        <v>1320</v>
      </c>
      <c r="EK40" s="755">
        <f t="shared" si="61"/>
        <v>44.564483457123565</v>
      </c>
      <c r="EL40" s="745">
        <v>514</v>
      </c>
      <c r="EM40" s="745">
        <v>806</v>
      </c>
      <c r="EN40" s="745">
        <v>957</v>
      </c>
      <c r="EO40" s="745">
        <v>363</v>
      </c>
      <c r="EP40" s="515">
        <v>1149</v>
      </c>
      <c r="EQ40" s="515">
        <v>160</v>
      </c>
      <c r="ET40" s="398"/>
      <c r="EU40" s="398"/>
      <c r="EV40" s="398"/>
      <c r="EW40" s="398"/>
      <c r="EX40" s="398"/>
      <c r="EY40" s="398"/>
      <c r="EZ40" s="398"/>
      <c r="FA40" s="398"/>
      <c r="FR40" s="402"/>
      <c r="FS40" s="398" t="s">
        <v>3820</v>
      </c>
      <c r="FT40" s="398">
        <v>2</v>
      </c>
      <c r="FU40" s="398">
        <v>8</v>
      </c>
      <c r="FV40" s="398">
        <v>5</v>
      </c>
      <c r="FW40" s="398">
        <v>5</v>
      </c>
      <c r="FX40" s="398">
        <v>12</v>
      </c>
      <c r="FY40" s="398">
        <v>13</v>
      </c>
      <c r="FZ40" s="398"/>
      <c r="GC40" s="811"/>
      <c r="GD40" s="811"/>
      <c r="GE40" s="811"/>
      <c r="GF40" s="811"/>
      <c r="GG40" s="811"/>
      <c r="GH40" s="811"/>
      <c r="GI40" s="811"/>
      <c r="GJ40" s="811"/>
      <c r="GL40" s="386" t="s">
        <v>3821</v>
      </c>
      <c r="GM40" s="385">
        <v>3</v>
      </c>
      <c r="GN40" s="385">
        <v>2</v>
      </c>
      <c r="GO40" s="385">
        <v>7</v>
      </c>
      <c r="GP40" s="385">
        <v>13</v>
      </c>
      <c r="GQ40" s="385">
        <v>12</v>
      </c>
      <c r="GR40" s="385"/>
      <c r="GS40" s="571"/>
      <c r="GU40" s="398" t="s">
        <v>3822</v>
      </c>
      <c r="GV40" s="515">
        <v>55</v>
      </c>
      <c r="GW40" s="515">
        <v>46</v>
      </c>
      <c r="GX40" s="515">
        <v>0</v>
      </c>
      <c r="GY40" s="515">
        <v>0</v>
      </c>
      <c r="GZ40" s="515">
        <v>0</v>
      </c>
      <c r="HA40" s="398">
        <v>0</v>
      </c>
      <c r="HD40" s="737"/>
    </row>
    <row r="41" spans="1:215" ht="14.1" customHeight="1">
      <c r="A41" s="386" t="s">
        <v>3823</v>
      </c>
      <c r="B41" s="463">
        <f>SUM(B42:B43)</f>
        <v>2222</v>
      </c>
      <c r="C41" s="463">
        <f>SUM(C42:C43)</f>
        <v>2072</v>
      </c>
      <c r="D41" s="463">
        <f>SUM(D42:D43)</f>
        <v>2210</v>
      </c>
      <c r="E41" s="463">
        <f>SUM(E42:E43)</f>
        <v>2175</v>
      </c>
      <c r="F41" s="463">
        <f t="shared" ref="F41:G41" si="64">SUM(F42:F43)</f>
        <v>2100</v>
      </c>
      <c r="G41" s="754">
        <f t="shared" si="64"/>
        <v>1986</v>
      </c>
      <c r="J41" s="676" t="s">
        <v>3824</v>
      </c>
      <c r="K41" s="759" t="s">
        <v>2177</v>
      </c>
      <c r="L41" s="676">
        <v>900</v>
      </c>
      <c r="M41" s="760">
        <v>900</v>
      </c>
      <c r="N41" s="760">
        <v>916</v>
      </c>
      <c r="O41" s="718">
        <v>1008</v>
      </c>
      <c r="P41" s="749">
        <v>1087</v>
      </c>
      <c r="Q41" s="718"/>
      <c r="S41" s="398"/>
      <c r="T41" s="740"/>
      <c r="U41" s="738"/>
      <c r="V41" s="737"/>
      <c r="W41" s="738"/>
      <c r="X41" s="738"/>
      <c r="Y41" s="738"/>
      <c r="Z41" s="738"/>
      <c r="AA41" s="738"/>
      <c r="AB41" s="738"/>
      <c r="AC41" s="738"/>
      <c r="AD41" s="754"/>
      <c r="AE41" s="738"/>
      <c r="AF41" s="738"/>
      <c r="AG41" s="738"/>
      <c r="AH41" s="738"/>
      <c r="AI41" s="738"/>
      <c r="AJ41" s="738"/>
      <c r="AU41" s="690"/>
      <c r="CE41" s="398" t="s">
        <v>1698</v>
      </c>
      <c r="CF41" s="515">
        <v>11</v>
      </c>
      <c r="CG41" s="515">
        <v>10</v>
      </c>
      <c r="CH41" s="515">
        <v>13</v>
      </c>
      <c r="CI41" s="515">
        <v>10</v>
      </c>
      <c r="CJ41" s="463">
        <v>10</v>
      </c>
      <c r="CK41" s="754">
        <v>9</v>
      </c>
      <c r="CL41" s="754"/>
      <c r="CN41" s="398"/>
      <c r="CO41" s="398"/>
      <c r="CP41" s="398"/>
      <c r="CY41" s="402"/>
      <c r="CZ41" s="690"/>
      <c r="DA41" s="690"/>
      <c r="DB41" s="740" t="s">
        <v>3555</v>
      </c>
      <c r="DC41" s="690">
        <v>0</v>
      </c>
      <c r="DD41" s="690">
        <v>0</v>
      </c>
      <c r="DE41" s="690">
        <v>0</v>
      </c>
      <c r="DF41" s="690">
        <v>0</v>
      </c>
      <c r="DG41" s="690">
        <v>0</v>
      </c>
      <c r="DH41" s="690">
        <v>0</v>
      </c>
      <c r="DI41" s="738">
        <v>0</v>
      </c>
      <c r="DJ41" s="738">
        <v>0</v>
      </c>
      <c r="DK41" s="738">
        <v>0</v>
      </c>
      <c r="DL41" s="738">
        <v>0</v>
      </c>
      <c r="DQ41" s="737"/>
      <c r="DR41" s="737"/>
      <c r="DZ41" s="685"/>
      <c r="EA41" s="685"/>
      <c r="EB41" s="685"/>
      <c r="EC41" s="685"/>
      <c r="ED41" s="685"/>
      <c r="EE41" s="685"/>
      <c r="EF41" s="685"/>
      <c r="EI41" s="705" t="s">
        <v>2661</v>
      </c>
      <c r="EJ41" s="745">
        <f t="shared" ref="EJ41" si="65">SUM(EL41:EM41)</f>
        <v>21</v>
      </c>
      <c r="EK41" s="755">
        <f t="shared" si="61"/>
        <v>0.70898041863605676</v>
      </c>
      <c r="EL41" s="745">
        <v>10</v>
      </c>
      <c r="EM41" s="745">
        <v>11</v>
      </c>
      <c r="EN41" s="745">
        <v>13</v>
      </c>
      <c r="EO41" s="745">
        <v>8</v>
      </c>
      <c r="EP41" s="515">
        <v>14</v>
      </c>
      <c r="EQ41" s="515">
        <v>5</v>
      </c>
      <c r="ET41" s="398"/>
      <c r="EU41" s="398"/>
      <c r="EV41" s="398"/>
      <c r="EW41" s="398"/>
      <c r="EX41" s="398"/>
      <c r="EY41" s="398"/>
      <c r="EZ41" s="385"/>
      <c r="FA41" s="385"/>
      <c r="FB41" s="385"/>
      <c r="FR41" s="398"/>
      <c r="FS41" s="398" t="s">
        <v>3557</v>
      </c>
      <c r="FT41" s="398">
        <v>32</v>
      </c>
      <c r="FU41" s="398">
        <v>31</v>
      </c>
      <c r="FV41" s="398">
        <v>17</v>
      </c>
      <c r="FW41" s="398">
        <v>32</v>
      </c>
      <c r="FX41" s="398">
        <v>29</v>
      </c>
      <c r="FY41" s="398">
        <v>26</v>
      </c>
      <c r="FZ41" s="398"/>
      <c r="GA41" s="812"/>
      <c r="GC41" s="811"/>
      <c r="GD41" s="811"/>
      <c r="GE41" s="811"/>
      <c r="GF41" s="811"/>
      <c r="GG41" s="811"/>
      <c r="GH41" s="811"/>
      <c r="GI41" s="811"/>
      <c r="GJ41" s="811"/>
      <c r="GK41" s="811"/>
      <c r="GL41" s="386" t="s">
        <v>3825</v>
      </c>
      <c r="GM41" s="385">
        <v>0</v>
      </c>
      <c r="GN41" s="385">
        <v>1</v>
      </c>
      <c r="GO41" s="385">
        <v>2</v>
      </c>
      <c r="GP41" s="385">
        <v>1</v>
      </c>
      <c r="GQ41" s="385">
        <v>2</v>
      </c>
      <c r="GR41" s="385"/>
      <c r="GS41" s="813"/>
      <c r="GU41" s="398" t="s">
        <v>1709</v>
      </c>
      <c r="GV41" s="515">
        <v>11</v>
      </c>
      <c r="GW41" s="515">
        <v>11</v>
      </c>
      <c r="GX41" s="515">
        <v>7</v>
      </c>
      <c r="GY41" s="515">
        <v>4</v>
      </c>
      <c r="GZ41" s="515">
        <v>6</v>
      </c>
      <c r="HA41" s="398">
        <v>11</v>
      </c>
      <c r="HB41" s="737"/>
      <c r="HE41" s="737"/>
    </row>
    <row r="42" spans="1:215" ht="14.1" customHeight="1">
      <c r="A42" s="386" t="s">
        <v>3826</v>
      </c>
      <c r="B42" s="754">
        <f>B10+B16+B22</f>
        <v>505</v>
      </c>
      <c r="C42" s="754">
        <f>C10+C16+C22</f>
        <v>483</v>
      </c>
      <c r="D42" s="754">
        <f>D10+D16+D22</f>
        <v>486</v>
      </c>
      <c r="E42" s="754">
        <f>E10+E16+E22</f>
        <v>519</v>
      </c>
      <c r="F42" s="754">
        <f>F10+F16+F22</f>
        <v>490</v>
      </c>
      <c r="G42" s="754">
        <v>86</v>
      </c>
      <c r="J42" s="676"/>
      <c r="K42" s="759"/>
      <c r="L42" s="759"/>
      <c r="M42" s="759"/>
      <c r="N42" s="759"/>
      <c r="O42" s="759"/>
      <c r="P42" s="759"/>
      <c r="Q42" s="718"/>
      <c r="S42" s="398" t="s">
        <v>3827</v>
      </c>
      <c r="T42" s="740"/>
      <c r="U42" s="754">
        <f>SUM(U43:U52)</f>
        <v>3652</v>
      </c>
      <c r="V42" s="754">
        <f t="shared" ref="V42:AJ42" si="66">SUM(V43:V52)</f>
        <v>96</v>
      </c>
      <c r="W42" s="754">
        <f t="shared" si="66"/>
        <v>39</v>
      </c>
      <c r="X42" s="754">
        <f t="shared" si="66"/>
        <v>228</v>
      </c>
      <c r="Y42" s="754">
        <f t="shared" si="66"/>
        <v>264</v>
      </c>
      <c r="Z42" s="754">
        <f t="shared" si="66"/>
        <v>262</v>
      </c>
      <c r="AA42" s="754">
        <f t="shared" si="66"/>
        <v>274</v>
      </c>
      <c r="AB42" s="754">
        <f t="shared" si="66"/>
        <v>236</v>
      </c>
      <c r="AC42" s="754">
        <f t="shared" si="66"/>
        <v>276</v>
      </c>
      <c r="AD42" s="754">
        <f>SUM(AD43:AD52)</f>
        <v>243</v>
      </c>
      <c r="AE42" s="754">
        <f t="shared" si="66"/>
        <v>244</v>
      </c>
      <c r="AF42" s="754">
        <f t="shared" si="66"/>
        <v>263</v>
      </c>
      <c r="AG42" s="754">
        <f t="shared" si="66"/>
        <v>258</v>
      </c>
      <c r="AH42" s="754">
        <f t="shared" si="66"/>
        <v>248</v>
      </c>
      <c r="AI42" s="754">
        <f t="shared" si="66"/>
        <v>352</v>
      </c>
      <c r="AJ42" s="754">
        <f t="shared" si="66"/>
        <v>369</v>
      </c>
      <c r="AU42" s="690"/>
      <c r="CE42" s="398" t="s">
        <v>2652</v>
      </c>
      <c r="CF42" s="515">
        <v>0</v>
      </c>
      <c r="CG42" s="515">
        <v>1</v>
      </c>
      <c r="CH42" s="515">
        <v>1</v>
      </c>
      <c r="CI42" s="515">
        <v>1</v>
      </c>
      <c r="CJ42" s="463">
        <v>1</v>
      </c>
      <c r="CK42" s="754">
        <v>1</v>
      </c>
      <c r="CL42" s="754"/>
      <c r="CQ42" s="2094"/>
      <c r="CR42" s="2094"/>
      <c r="CS42" s="2094"/>
      <c r="CT42" s="2094"/>
      <c r="CU42" s="2094"/>
      <c r="CV42" s="2094"/>
      <c r="CW42" s="2094"/>
      <c r="CX42" s="2094"/>
      <c r="CY42" s="690"/>
      <c r="CZ42" s="737"/>
      <c r="DA42" s="737"/>
      <c r="DB42" s="740" t="s">
        <v>3567</v>
      </c>
      <c r="DC42" s="690">
        <v>0</v>
      </c>
      <c r="DD42" s="690">
        <v>0</v>
      </c>
      <c r="DE42" s="690">
        <v>1</v>
      </c>
      <c r="DF42" s="690">
        <v>2</v>
      </c>
      <c r="DG42" s="690">
        <v>1</v>
      </c>
      <c r="DH42" s="690">
        <v>0</v>
      </c>
      <c r="DI42" s="738">
        <v>0</v>
      </c>
      <c r="DJ42" s="738">
        <v>0</v>
      </c>
      <c r="DK42" s="738">
        <v>0</v>
      </c>
      <c r="DL42" s="738">
        <v>0</v>
      </c>
      <c r="DQ42" s="737"/>
      <c r="DR42" s="737"/>
      <c r="DZ42" s="685"/>
      <c r="EA42" s="685"/>
      <c r="EB42" s="685"/>
      <c r="EC42" s="685"/>
      <c r="ED42" s="685"/>
      <c r="EE42" s="685"/>
      <c r="EF42" s="685"/>
      <c r="EI42" s="705" t="s">
        <v>1708</v>
      </c>
      <c r="EJ42" s="745">
        <f>SUM(EL42:EM42)</f>
        <v>86</v>
      </c>
      <c r="EK42" s="755">
        <f t="shared" si="61"/>
        <v>2.9034436191762323</v>
      </c>
      <c r="EL42" s="745">
        <v>38</v>
      </c>
      <c r="EM42" s="745">
        <v>48</v>
      </c>
      <c r="EN42" s="745">
        <v>51</v>
      </c>
      <c r="EO42" s="745">
        <v>35</v>
      </c>
      <c r="EP42" s="515">
        <v>50</v>
      </c>
      <c r="EQ42" s="515">
        <v>30</v>
      </c>
      <c r="ET42" s="398"/>
      <c r="EU42" s="398"/>
      <c r="EV42" s="398"/>
      <c r="EW42" s="398"/>
      <c r="EX42" s="398"/>
      <c r="EY42" s="398"/>
      <c r="EZ42" s="385"/>
      <c r="FA42" s="398"/>
      <c r="FB42" s="398"/>
      <c r="FR42" s="398"/>
      <c r="FS42" s="398" t="s">
        <v>3828</v>
      </c>
      <c r="FT42" s="398">
        <v>0</v>
      </c>
      <c r="FU42" s="398">
        <v>0</v>
      </c>
      <c r="FV42" s="398">
        <v>0</v>
      </c>
      <c r="FW42" s="398">
        <v>2</v>
      </c>
      <c r="FX42" s="398">
        <v>1</v>
      </c>
      <c r="FY42" s="398">
        <v>7</v>
      </c>
      <c r="FZ42" s="398"/>
      <c r="GA42" s="812"/>
      <c r="GG42" s="811"/>
      <c r="GH42" s="811"/>
      <c r="GI42" s="811"/>
      <c r="GJ42" s="811"/>
      <c r="GK42" s="811"/>
      <c r="GL42" s="386" t="s">
        <v>3685</v>
      </c>
      <c r="GM42" s="385">
        <v>0</v>
      </c>
      <c r="GN42" s="385">
        <v>0</v>
      </c>
      <c r="GO42" s="385">
        <v>1</v>
      </c>
      <c r="GP42" s="519" t="s">
        <v>546</v>
      </c>
      <c r="GQ42" s="519" t="s">
        <v>546</v>
      </c>
      <c r="GR42" s="385"/>
      <c r="GS42" s="813"/>
      <c r="GU42" s="398" t="s">
        <v>2649</v>
      </c>
      <c r="GV42" s="515">
        <v>32</v>
      </c>
      <c r="GW42" s="515">
        <v>32</v>
      </c>
      <c r="GX42" s="515">
        <v>42</v>
      </c>
      <c r="GY42" s="515">
        <v>31</v>
      </c>
      <c r="GZ42" s="515">
        <v>28</v>
      </c>
      <c r="HA42" s="398">
        <v>31</v>
      </c>
      <c r="HB42" s="737"/>
      <c r="HE42" s="737"/>
    </row>
    <row r="43" spans="1:215" ht="14.1" customHeight="1">
      <c r="A43" s="384" t="s">
        <v>3829</v>
      </c>
      <c r="B43" s="792">
        <f>B28+B34</f>
        <v>1717</v>
      </c>
      <c r="C43" s="792">
        <f>C28+C34</f>
        <v>1589</v>
      </c>
      <c r="D43" s="792">
        <f>D28+D34</f>
        <v>1724</v>
      </c>
      <c r="E43" s="497">
        <f>E28+E34</f>
        <v>1656</v>
      </c>
      <c r="F43" s="497">
        <f>F28+F34</f>
        <v>1610</v>
      </c>
      <c r="G43" s="792">
        <f>G34</f>
        <v>1900</v>
      </c>
      <c r="J43" s="676" t="s">
        <v>3830</v>
      </c>
      <c r="K43" s="748"/>
      <c r="L43" s="718">
        <f>SUM(L44:L50)</f>
        <v>8072</v>
      </c>
      <c r="M43" s="718">
        <f>SUM(M44:M50)</f>
        <v>8412</v>
      </c>
      <c r="N43" s="718">
        <f>SUM(N44:N50)</f>
        <v>8729</v>
      </c>
      <c r="O43" s="718">
        <f>SUM(O44:O50)</f>
        <v>9073</v>
      </c>
      <c r="P43" s="718">
        <f>SUM(P44:P50)</f>
        <v>9044</v>
      </c>
      <c r="Q43" s="718"/>
      <c r="S43" s="386" t="s">
        <v>3719</v>
      </c>
      <c r="T43" s="386" t="s">
        <v>3831</v>
      </c>
      <c r="U43" s="738">
        <f>SUM(V43:AJ43)</f>
        <v>304</v>
      </c>
      <c r="V43" s="737">
        <v>16</v>
      </c>
      <c r="W43" s="738">
        <v>7</v>
      </c>
      <c r="X43" s="738">
        <v>39</v>
      </c>
      <c r="Y43" s="738">
        <v>46</v>
      </c>
      <c r="Z43" s="738">
        <v>49</v>
      </c>
      <c r="AA43" s="738">
        <v>46</v>
      </c>
      <c r="AB43" s="738">
        <v>48</v>
      </c>
      <c r="AC43" s="738">
        <v>53</v>
      </c>
      <c r="AD43" s="757" t="s">
        <v>1627</v>
      </c>
      <c r="AE43" s="757" t="s">
        <v>1627</v>
      </c>
      <c r="AF43" s="757" t="s">
        <v>1627</v>
      </c>
      <c r="AG43" s="757" t="s">
        <v>1627</v>
      </c>
      <c r="AH43" s="757" t="s">
        <v>1627</v>
      </c>
      <c r="AI43" s="757" t="s">
        <v>1627</v>
      </c>
      <c r="AJ43" s="757" t="s">
        <v>1627</v>
      </c>
      <c r="AU43" s="737"/>
      <c r="CE43" s="398" t="s">
        <v>2649</v>
      </c>
      <c r="CF43" s="515">
        <v>29</v>
      </c>
      <c r="CG43" s="515">
        <v>35</v>
      </c>
      <c r="CH43" s="515">
        <v>36</v>
      </c>
      <c r="CI43" s="515">
        <v>38</v>
      </c>
      <c r="CJ43" s="398">
        <v>33</v>
      </c>
      <c r="CK43" s="754">
        <v>30</v>
      </c>
      <c r="CL43" s="754"/>
      <c r="CN43" s="398"/>
      <c r="CO43" s="398"/>
      <c r="CP43" s="398"/>
      <c r="CQ43" s="690"/>
      <c r="CR43" s="690"/>
      <c r="CS43" s="690"/>
      <c r="CT43" s="690"/>
      <c r="CU43" s="690"/>
      <c r="CV43" s="690"/>
      <c r="CW43" s="690"/>
      <c r="CX43" s="690"/>
      <c r="CY43" s="737"/>
      <c r="CZ43" s="737"/>
      <c r="DA43" s="737"/>
      <c r="DB43" s="740" t="s">
        <v>3582</v>
      </c>
      <c r="DC43" s="690">
        <v>55</v>
      </c>
      <c r="DD43" s="690">
        <v>36</v>
      </c>
      <c r="DE43" s="690">
        <v>49</v>
      </c>
      <c r="DF43" s="690">
        <v>51</v>
      </c>
      <c r="DG43" s="690">
        <v>47</v>
      </c>
      <c r="DH43" s="690">
        <v>28</v>
      </c>
      <c r="DI43" s="738">
        <v>54</v>
      </c>
      <c r="DJ43" s="738">
        <v>33</v>
      </c>
      <c r="DK43" s="738">
        <v>63</v>
      </c>
      <c r="DL43" s="738">
        <v>36</v>
      </c>
      <c r="DQ43" s="737"/>
      <c r="DR43" s="737"/>
      <c r="DZ43" s="685"/>
      <c r="EA43" s="685"/>
      <c r="EB43" s="685"/>
      <c r="EC43" s="685"/>
      <c r="ED43" s="685"/>
      <c r="EE43" s="685"/>
      <c r="EF43" s="685"/>
      <c r="EI43" s="705" t="s">
        <v>3607</v>
      </c>
      <c r="EJ43" s="745">
        <f>SUM(EL43:EM43)</f>
        <v>82</v>
      </c>
      <c r="EK43" s="755">
        <f t="shared" si="61"/>
        <v>2.7683997299122214</v>
      </c>
      <c r="EL43" s="745">
        <v>46</v>
      </c>
      <c r="EM43" s="745">
        <v>36</v>
      </c>
      <c r="EN43" s="745">
        <v>63</v>
      </c>
      <c r="EO43" s="745">
        <v>19</v>
      </c>
      <c r="EP43" s="515">
        <v>77</v>
      </c>
      <c r="EQ43" s="515">
        <v>5</v>
      </c>
      <c r="ET43" s="398"/>
      <c r="EU43" s="398"/>
      <c r="EV43" s="398"/>
      <c r="EW43" s="398"/>
      <c r="EX43" s="398"/>
      <c r="EY43" s="398"/>
      <c r="EZ43" s="515"/>
      <c r="FA43" s="515"/>
      <c r="FB43" s="515"/>
      <c r="FP43" s="702"/>
      <c r="FQ43" s="702"/>
      <c r="FR43" s="402"/>
      <c r="FS43" s="398" t="s">
        <v>3832</v>
      </c>
      <c r="FT43" s="398">
        <v>2</v>
      </c>
      <c r="FU43" s="398">
        <v>2</v>
      </c>
      <c r="FV43" s="398">
        <v>0</v>
      </c>
      <c r="FW43" s="398">
        <v>3</v>
      </c>
      <c r="FX43" s="398">
        <v>1</v>
      </c>
      <c r="FY43" s="385">
        <v>4</v>
      </c>
      <c r="FZ43" s="398"/>
      <c r="GA43" s="812"/>
      <c r="GG43" s="811"/>
      <c r="GH43" s="811"/>
      <c r="GI43" s="811"/>
      <c r="GJ43" s="811"/>
      <c r="GK43" s="811"/>
      <c r="GL43" s="386" t="s">
        <v>3692</v>
      </c>
      <c r="GM43" s="385">
        <v>2</v>
      </c>
      <c r="GN43" s="385">
        <v>3</v>
      </c>
      <c r="GO43" s="385">
        <v>2</v>
      </c>
      <c r="GP43" s="385">
        <v>2</v>
      </c>
      <c r="GQ43" s="385">
        <v>8</v>
      </c>
      <c r="GR43" s="385"/>
      <c r="GS43" s="813"/>
      <c r="GU43" s="398" t="s">
        <v>2651</v>
      </c>
      <c r="GV43" s="515">
        <v>18</v>
      </c>
      <c r="GW43" s="515">
        <v>22</v>
      </c>
      <c r="GX43" s="515">
        <v>25</v>
      </c>
      <c r="GY43" s="515">
        <v>23</v>
      </c>
      <c r="GZ43" s="515">
        <v>21</v>
      </c>
      <c r="HA43" s="398">
        <v>31</v>
      </c>
      <c r="HB43" s="515"/>
      <c r="HC43" s="737"/>
      <c r="HF43" s="737"/>
    </row>
    <row r="44" spans="1:215" ht="14.1" customHeight="1">
      <c r="A44" s="398" t="s">
        <v>3833</v>
      </c>
      <c r="B44" s="398"/>
      <c r="C44" s="398"/>
      <c r="D44" s="398"/>
      <c r="E44" s="398"/>
      <c r="F44" s="398"/>
      <c r="G44" s="398"/>
      <c r="J44" s="676" t="s">
        <v>3805</v>
      </c>
      <c r="K44" s="759" t="s">
        <v>2185</v>
      </c>
      <c r="L44" s="718">
        <v>1261</v>
      </c>
      <c r="M44" s="814">
        <v>1368</v>
      </c>
      <c r="N44" s="718">
        <v>1468</v>
      </c>
      <c r="O44" s="718">
        <v>1550</v>
      </c>
      <c r="P44" s="749">
        <v>1522</v>
      </c>
      <c r="Q44" s="718"/>
      <c r="S44" s="386" t="s">
        <v>3818</v>
      </c>
      <c r="T44" s="386" t="s">
        <v>3831</v>
      </c>
      <c r="U44" s="738">
        <f t="shared" ref="U44:U52" si="67">SUM(V44:AJ44)</f>
        <v>335</v>
      </c>
      <c r="V44" s="757" t="s">
        <v>1627</v>
      </c>
      <c r="W44" s="757" t="s">
        <v>1627</v>
      </c>
      <c r="X44" s="757" t="s">
        <v>1627</v>
      </c>
      <c r="Y44" s="757" t="s">
        <v>1627</v>
      </c>
      <c r="Z44" s="757" t="s">
        <v>1627</v>
      </c>
      <c r="AA44" s="757" t="s">
        <v>1627</v>
      </c>
      <c r="AB44" s="757" t="s">
        <v>1627</v>
      </c>
      <c r="AC44" s="757" t="s">
        <v>1627</v>
      </c>
      <c r="AD44" s="757">
        <v>106</v>
      </c>
      <c r="AE44" s="757">
        <v>102</v>
      </c>
      <c r="AF44" s="757">
        <v>127</v>
      </c>
      <c r="AG44" s="757" t="s">
        <v>1627</v>
      </c>
      <c r="AH44" s="757" t="s">
        <v>1627</v>
      </c>
      <c r="AI44" s="757" t="s">
        <v>1627</v>
      </c>
      <c r="AJ44" s="757" t="s">
        <v>1627</v>
      </c>
      <c r="AN44" s="398"/>
      <c r="AO44" s="398"/>
      <c r="AP44" s="398"/>
      <c r="AQ44" s="398"/>
      <c r="AR44" s="398"/>
      <c r="AS44" s="398"/>
      <c r="AT44" s="398"/>
      <c r="AU44" s="737"/>
      <c r="CE44" s="398" t="s">
        <v>2651</v>
      </c>
      <c r="CF44" s="515">
        <v>8</v>
      </c>
      <c r="CG44" s="515">
        <v>7</v>
      </c>
      <c r="CH44" s="515">
        <v>8</v>
      </c>
      <c r="CI44" s="515">
        <v>10</v>
      </c>
      <c r="CJ44" s="398">
        <v>6</v>
      </c>
      <c r="CK44" s="754">
        <v>7</v>
      </c>
      <c r="CL44" s="754"/>
      <c r="CQ44" s="745"/>
      <c r="CR44" s="745"/>
      <c r="CS44" s="737"/>
      <c r="CT44" s="737"/>
      <c r="CU44" s="737"/>
      <c r="CV44" s="737"/>
      <c r="CW44" s="737"/>
      <c r="CX44" s="737"/>
      <c r="CY44" s="737"/>
      <c r="CZ44" s="737"/>
      <c r="DA44" s="737"/>
      <c r="DB44" s="740" t="s">
        <v>3594</v>
      </c>
      <c r="DC44" s="690">
        <v>72</v>
      </c>
      <c r="DD44" s="690">
        <v>59</v>
      </c>
      <c r="DE44" s="690">
        <v>50</v>
      </c>
      <c r="DF44" s="690">
        <v>60</v>
      </c>
      <c r="DG44" s="690">
        <v>54</v>
      </c>
      <c r="DH44" s="690">
        <v>48</v>
      </c>
      <c r="DI44" s="738">
        <v>63</v>
      </c>
      <c r="DJ44" s="738">
        <v>54</v>
      </c>
      <c r="DK44" s="738">
        <v>72</v>
      </c>
      <c r="DL44" s="738">
        <v>74</v>
      </c>
      <c r="DQ44" s="737"/>
      <c r="DR44" s="737"/>
      <c r="DZ44" s="685"/>
      <c r="EA44" s="685"/>
      <c r="EB44" s="685"/>
      <c r="EC44" s="685"/>
      <c r="ED44" s="685"/>
      <c r="EE44" s="685"/>
      <c r="EF44" s="685"/>
      <c r="EI44" s="730" t="s">
        <v>3620</v>
      </c>
      <c r="EJ44" s="779">
        <f t="shared" ref="EJ44" si="68">SUM(EL44:EM44)</f>
        <v>33</v>
      </c>
      <c r="EK44" s="780">
        <f t="shared" si="61"/>
        <v>1.1141120864280891</v>
      </c>
      <c r="EL44" s="779">
        <v>11</v>
      </c>
      <c r="EM44" s="779">
        <v>22</v>
      </c>
      <c r="EN44" s="779">
        <v>27</v>
      </c>
      <c r="EO44" s="779">
        <v>6</v>
      </c>
      <c r="EP44" s="766">
        <v>17</v>
      </c>
      <c r="EQ44" s="766">
        <v>2</v>
      </c>
      <c r="ET44" s="398"/>
      <c r="EU44" s="398"/>
      <c r="EV44" s="398"/>
      <c r="EW44" s="398"/>
      <c r="EX44" s="398"/>
      <c r="EY44" s="398"/>
      <c r="EZ44" s="515"/>
      <c r="FA44" s="515"/>
      <c r="FB44" s="515"/>
      <c r="FP44" s="690"/>
      <c r="FQ44" s="690"/>
      <c r="FR44" s="385"/>
      <c r="FS44" s="398" t="s">
        <v>3834</v>
      </c>
      <c r="FT44" s="398">
        <v>0</v>
      </c>
      <c r="FU44" s="398">
        <v>0</v>
      </c>
      <c r="FV44" s="398">
        <v>0</v>
      </c>
      <c r="FW44" s="398">
        <v>1</v>
      </c>
      <c r="FX44" s="398">
        <v>1</v>
      </c>
      <c r="FY44" s="398">
        <v>1</v>
      </c>
      <c r="FZ44" s="398"/>
      <c r="GA44" s="812"/>
      <c r="GG44" s="811"/>
      <c r="GH44" s="811"/>
      <c r="GI44" s="811"/>
      <c r="GJ44" s="811"/>
      <c r="GK44" s="811"/>
      <c r="GL44" s="386" t="s">
        <v>3835</v>
      </c>
      <c r="GM44" s="385">
        <v>47</v>
      </c>
      <c r="GN44" s="385">
        <v>43</v>
      </c>
      <c r="GO44" s="385">
        <v>32</v>
      </c>
      <c r="GP44" s="385">
        <v>39</v>
      </c>
      <c r="GQ44" s="385">
        <v>29</v>
      </c>
      <c r="GR44" s="385"/>
      <c r="GS44" s="813"/>
      <c r="GU44" s="398" t="s">
        <v>3836</v>
      </c>
      <c r="GV44" s="515">
        <v>0</v>
      </c>
      <c r="GW44" s="515">
        <v>0</v>
      </c>
      <c r="GX44" s="515">
        <v>1</v>
      </c>
      <c r="GY44" s="515">
        <v>0</v>
      </c>
      <c r="GZ44" s="515">
        <v>0</v>
      </c>
      <c r="HA44" s="398">
        <v>1</v>
      </c>
      <c r="HB44" s="515"/>
      <c r="HC44" s="737"/>
    </row>
    <row r="45" spans="1:215" ht="14.1" customHeight="1">
      <c r="A45" s="398" t="s">
        <v>3837</v>
      </c>
      <c r="B45" s="398"/>
      <c r="C45" s="398"/>
      <c r="D45" s="398"/>
      <c r="E45" s="398"/>
      <c r="F45" s="398"/>
      <c r="G45" s="398"/>
      <c r="J45" s="676" t="s">
        <v>3838</v>
      </c>
      <c r="K45" s="759" t="s">
        <v>2198</v>
      </c>
      <c r="L45" s="718">
        <v>173</v>
      </c>
      <c r="M45" s="814">
        <v>123</v>
      </c>
      <c r="N45" s="718">
        <v>139</v>
      </c>
      <c r="O45" s="718">
        <v>137</v>
      </c>
      <c r="P45" s="749">
        <v>135</v>
      </c>
      <c r="Q45" s="718"/>
      <c r="S45" s="386" t="s">
        <v>3839</v>
      </c>
      <c r="T45" s="386" t="s">
        <v>3840</v>
      </c>
      <c r="U45" s="738">
        <f t="shared" si="67"/>
        <v>211</v>
      </c>
      <c r="V45" s="737">
        <v>20</v>
      </c>
      <c r="W45" s="738">
        <v>0</v>
      </c>
      <c r="X45" s="738">
        <v>19</v>
      </c>
      <c r="Y45" s="738">
        <v>29</v>
      </c>
      <c r="Z45" s="738">
        <v>35</v>
      </c>
      <c r="AA45" s="738">
        <v>37</v>
      </c>
      <c r="AB45" s="738">
        <v>34</v>
      </c>
      <c r="AC45" s="738">
        <v>37</v>
      </c>
      <c r="AD45" s="757" t="s">
        <v>1627</v>
      </c>
      <c r="AE45" s="757" t="s">
        <v>1627</v>
      </c>
      <c r="AF45" s="757" t="s">
        <v>1627</v>
      </c>
      <c r="AG45" s="757" t="s">
        <v>1627</v>
      </c>
      <c r="AH45" s="757" t="s">
        <v>1627</v>
      </c>
      <c r="AI45" s="757" t="s">
        <v>1627</v>
      </c>
      <c r="AJ45" s="757" t="s">
        <v>1627</v>
      </c>
      <c r="AU45" s="737"/>
      <c r="CE45" s="398" t="s">
        <v>1709</v>
      </c>
      <c r="CF45" s="515">
        <v>77</v>
      </c>
      <c r="CG45" s="515">
        <v>76</v>
      </c>
      <c r="CH45" s="515">
        <v>85</v>
      </c>
      <c r="CI45" s="515">
        <v>52</v>
      </c>
      <c r="CJ45" s="398">
        <v>45</v>
      </c>
      <c r="CK45" s="754">
        <v>55</v>
      </c>
      <c r="CL45" s="754"/>
      <c r="CN45" s="398"/>
      <c r="CO45" s="398"/>
      <c r="CP45" s="398"/>
      <c r="CQ45" s="745"/>
      <c r="CR45" s="745"/>
      <c r="CS45" s="737"/>
      <c r="CT45" s="737"/>
      <c r="CU45" s="737"/>
      <c r="CV45" s="737"/>
      <c r="CW45" s="737"/>
      <c r="CX45" s="737"/>
      <c r="CY45" s="737"/>
      <c r="CZ45" s="737"/>
      <c r="DA45" s="737"/>
      <c r="DB45" s="740" t="s">
        <v>3606</v>
      </c>
      <c r="DC45" s="690">
        <v>70</v>
      </c>
      <c r="DD45" s="690">
        <v>65</v>
      </c>
      <c r="DE45" s="690">
        <v>52</v>
      </c>
      <c r="DF45" s="690">
        <v>47</v>
      </c>
      <c r="DG45" s="690">
        <v>58</v>
      </c>
      <c r="DH45" s="690">
        <v>51</v>
      </c>
      <c r="DI45" s="738">
        <v>68</v>
      </c>
      <c r="DJ45" s="738">
        <v>66</v>
      </c>
      <c r="DK45" s="738">
        <v>61</v>
      </c>
      <c r="DL45" s="738">
        <v>64</v>
      </c>
      <c r="DQ45" s="737"/>
      <c r="DR45" s="737"/>
      <c r="DZ45" s="685"/>
      <c r="EA45" s="685"/>
      <c r="EB45" s="685"/>
      <c r="EC45" s="685"/>
      <c r="ED45" s="685"/>
      <c r="EE45" s="685"/>
      <c r="EF45" s="685"/>
      <c r="EI45" s="781" t="s">
        <v>3629</v>
      </c>
      <c r="EJ45" s="782"/>
      <c r="EK45" s="783"/>
      <c r="EL45" s="781"/>
      <c r="EM45" s="781"/>
      <c r="EN45" s="781"/>
      <c r="EO45" s="781"/>
      <c r="ET45" s="398"/>
      <c r="EU45" s="398"/>
      <c r="EV45" s="398"/>
      <c r="EW45" s="398"/>
      <c r="EX45" s="398"/>
      <c r="EY45" s="398"/>
      <c r="EZ45" s="515"/>
      <c r="FA45" s="515"/>
      <c r="FB45" s="515"/>
      <c r="FP45" s="690"/>
      <c r="FQ45" s="690"/>
      <c r="FR45" s="385"/>
      <c r="FS45" s="398" t="s">
        <v>3841</v>
      </c>
      <c r="FT45" s="398">
        <v>9</v>
      </c>
      <c r="FU45" s="398">
        <v>4</v>
      </c>
      <c r="FV45" s="398">
        <v>6</v>
      </c>
      <c r="FW45" s="398">
        <v>6</v>
      </c>
      <c r="FX45" s="398">
        <v>4</v>
      </c>
      <c r="FY45" s="398">
        <v>11</v>
      </c>
      <c r="FZ45" s="398"/>
      <c r="GA45" s="812"/>
      <c r="GG45" s="811"/>
      <c r="GH45" s="811"/>
      <c r="GI45" s="811"/>
      <c r="GJ45" s="811"/>
      <c r="GK45" s="811"/>
      <c r="GL45" s="386" t="s">
        <v>3733</v>
      </c>
      <c r="GM45" s="385">
        <v>6</v>
      </c>
      <c r="GN45" s="385">
        <v>19</v>
      </c>
      <c r="GO45" s="385">
        <v>7</v>
      </c>
      <c r="GP45" s="385">
        <v>27</v>
      </c>
      <c r="GQ45" s="385">
        <v>42</v>
      </c>
      <c r="GR45" s="385"/>
      <c r="GS45" s="813"/>
      <c r="GU45" s="398" t="s">
        <v>3842</v>
      </c>
      <c r="GV45" s="515">
        <v>38</v>
      </c>
      <c r="GW45" s="515">
        <v>17</v>
      </c>
      <c r="GX45" s="515">
        <v>9</v>
      </c>
      <c r="GY45" s="515">
        <v>8</v>
      </c>
      <c r="GZ45" s="515">
        <v>0</v>
      </c>
      <c r="HA45" s="398">
        <v>0</v>
      </c>
      <c r="HB45" s="585"/>
      <c r="HC45" s="585"/>
      <c r="HD45" s="585"/>
      <c r="HE45" s="398"/>
      <c r="HF45" s="398"/>
    </row>
    <row r="46" spans="1:215" ht="14.1" customHeight="1">
      <c r="A46" s="398" t="s">
        <v>3843</v>
      </c>
      <c r="B46" s="398"/>
      <c r="C46" s="398"/>
      <c r="D46" s="398"/>
      <c r="E46" s="398"/>
      <c r="F46" s="398"/>
      <c r="G46" s="398"/>
      <c r="J46" s="676" t="s">
        <v>3751</v>
      </c>
      <c r="K46" s="759" t="s">
        <v>2202</v>
      </c>
      <c r="L46" s="718">
        <v>1650</v>
      </c>
      <c r="M46" s="814">
        <v>1689</v>
      </c>
      <c r="N46" s="718">
        <v>1742</v>
      </c>
      <c r="O46" s="718">
        <v>1792</v>
      </c>
      <c r="P46" s="749">
        <v>1770</v>
      </c>
      <c r="Q46" s="718"/>
      <c r="S46" s="386" t="s">
        <v>3844</v>
      </c>
      <c r="T46" s="386" t="s">
        <v>3840</v>
      </c>
      <c r="U46" s="738">
        <f t="shared" si="67"/>
        <v>415</v>
      </c>
      <c r="V46" s="757" t="s">
        <v>1627</v>
      </c>
      <c r="W46" s="757" t="s">
        <v>1627</v>
      </c>
      <c r="X46" s="757" t="s">
        <v>1627</v>
      </c>
      <c r="Y46" s="757" t="s">
        <v>1627</v>
      </c>
      <c r="Z46" s="757" t="s">
        <v>1627</v>
      </c>
      <c r="AA46" s="757" t="s">
        <v>1627</v>
      </c>
      <c r="AB46" s="757" t="s">
        <v>1627</v>
      </c>
      <c r="AC46" s="757" t="s">
        <v>1627</v>
      </c>
      <c r="AD46" s="754">
        <v>137</v>
      </c>
      <c r="AE46" s="738">
        <v>142</v>
      </c>
      <c r="AF46" s="738">
        <v>136</v>
      </c>
      <c r="AG46" s="757" t="s">
        <v>1627</v>
      </c>
      <c r="AH46" s="757" t="s">
        <v>1627</v>
      </c>
      <c r="AI46" s="757" t="s">
        <v>1627</v>
      </c>
      <c r="AJ46" s="757" t="s">
        <v>1627</v>
      </c>
      <c r="AU46" s="737"/>
      <c r="CE46" s="387" t="s">
        <v>1699</v>
      </c>
      <c r="CF46" s="766">
        <v>4</v>
      </c>
      <c r="CG46" s="766">
        <v>5</v>
      </c>
      <c r="CH46" s="766">
        <v>4</v>
      </c>
      <c r="CI46" s="766">
        <v>4</v>
      </c>
      <c r="CJ46" s="387">
        <v>4</v>
      </c>
      <c r="CK46" s="792">
        <v>5</v>
      </c>
      <c r="CL46" s="754"/>
      <c r="CN46" s="398"/>
      <c r="CO46" s="398"/>
      <c r="CP46" s="398"/>
      <c r="CQ46" s="745"/>
      <c r="CR46" s="745"/>
      <c r="CS46" s="737"/>
      <c r="CT46" s="737"/>
      <c r="CU46" s="737"/>
      <c r="CV46" s="737"/>
      <c r="CW46" s="737"/>
      <c r="CX46" s="737"/>
      <c r="CY46" s="737"/>
      <c r="CZ46" s="737"/>
      <c r="DA46" s="737"/>
      <c r="DB46" s="740" t="s">
        <v>3619</v>
      </c>
      <c r="DC46" s="690">
        <v>35</v>
      </c>
      <c r="DD46" s="690">
        <v>37</v>
      </c>
      <c r="DE46" s="690">
        <v>26</v>
      </c>
      <c r="DF46" s="690">
        <v>23</v>
      </c>
      <c r="DG46" s="690">
        <v>23</v>
      </c>
      <c r="DH46" s="690">
        <v>21</v>
      </c>
      <c r="DI46" s="738">
        <v>19</v>
      </c>
      <c r="DJ46" s="738">
        <v>21</v>
      </c>
      <c r="DK46" s="738">
        <v>19</v>
      </c>
      <c r="DL46" s="738">
        <v>16</v>
      </c>
      <c r="DQ46" s="737"/>
      <c r="DR46" s="737"/>
      <c r="DZ46" s="685"/>
      <c r="EA46" s="685"/>
      <c r="EB46" s="685"/>
      <c r="EC46" s="685"/>
      <c r="ED46" s="685"/>
      <c r="EE46" s="685"/>
      <c r="EF46" s="685"/>
      <c r="EI46" s="781"/>
      <c r="EJ46" s="782"/>
      <c r="EK46" s="783"/>
      <c r="EL46" s="781"/>
      <c r="EM46" s="781"/>
      <c r="EN46" s="781"/>
      <c r="EO46" s="781"/>
      <c r="ET46" s="398"/>
      <c r="EU46" s="398"/>
      <c r="EV46" s="398"/>
      <c r="EW46" s="398"/>
      <c r="EX46" s="398"/>
      <c r="EY46" s="398"/>
      <c r="EZ46" s="515"/>
      <c r="FA46" s="515"/>
      <c r="FB46" s="515"/>
      <c r="FP46" s="690"/>
      <c r="FQ46" s="690"/>
      <c r="FR46" s="385"/>
      <c r="FS46" s="398" t="s">
        <v>3845</v>
      </c>
      <c r="FT46" s="398">
        <v>23</v>
      </c>
      <c r="FU46" s="398">
        <v>23</v>
      </c>
      <c r="FV46" s="398">
        <v>17</v>
      </c>
      <c r="FW46" s="398">
        <v>15</v>
      </c>
      <c r="FX46" s="398">
        <v>24</v>
      </c>
      <c r="FY46" s="398">
        <v>18</v>
      </c>
      <c r="FZ46" s="398"/>
      <c r="GA46" s="812"/>
      <c r="GG46" s="811"/>
      <c r="GH46" s="811"/>
      <c r="GI46" s="811"/>
      <c r="GJ46" s="811"/>
      <c r="GK46" s="811"/>
      <c r="GL46" s="386" t="s">
        <v>3705</v>
      </c>
      <c r="GM46" s="385">
        <v>2</v>
      </c>
      <c r="GN46" s="385">
        <v>2</v>
      </c>
      <c r="GO46" s="385">
        <v>4</v>
      </c>
      <c r="GP46" s="385">
        <v>15</v>
      </c>
      <c r="GQ46" s="385">
        <v>27</v>
      </c>
      <c r="GR46" s="385"/>
      <c r="GS46" s="815"/>
      <c r="GU46" s="398" t="s">
        <v>2597</v>
      </c>
      <c r="GV46" s="515">
        <v>17</v>
      </c>
      <c r="GW46" s="515">
        <v>15</v>
      </c>
      <c r="GX46" s="515">
        <v>14</v>
      </c>
      <c r="GY46" s="515">
        <v>19</v>
      </c>
      <c r="GZ46" s="515">
        <v>21</v>
      </c>
      <c r="HA46" s="398">
        <v>1</v>
      </c>
      <c r="HB46" s="585"/>
    </row>
    <row r="47" spans="1:215" ht="14.1" customHeight="1">
      <c r="A47" s="398" t="s">
        <v>3846</v>
      </c>
      <c r="B47" s="398"/>
      <c r="C47" s="398"/>
      <c r="D47" s="398"/>
      <c r="E47" s="398"/>
      <c r="F47" s="398"/>
      <c r="G47" s="398"/>
      <c r="J47" s="676" t="s">
        <v>3847</v>
      </c>
      <c r="K47" s="759" t="s">
        <v>2177</v>
      </c>
      <c r="L47" s="718">
        <v>1469</v>
      </c>
      <c r="M47" s="814">
        <v>1464</v>
      </c>
      <c r="N47" s="718">
        <v>1516</v>
      </c>
      <c r="O47" s="718">
        <v>1578</v>
      </c>
      <c r="P47" s="749">
        <v>1622</v>
      </c>
      <c r="Q47" s="718"/>
      <c r="S47" s="386" t="s">
        <v>3848</v>
      </c>
      <c r="T47" s="386" t="s">
        <v>3849</v>
      </c>
      <c r="U47" s="738">
        <f t="shared" si="67"/>
        <v>197</v>
      </c>
      <c r="V47" s="737">
        <v>19</v>
      </c>
      <c r="W47" s="776">
        <v>0</v>
      </c>
      <c r="X47" s="776">
        <v>28</v>
      </c>
      <c r="Y47" s="738">
        <v>26</v>
      </c>
      <c r="Z47" s="738">
        <v>32</v>
      </c>
      <c r="AA47" s="738">
        <v>29</v>
      </c>
      <c r="AB47" s="738">
        <v>31</v>
      </c>
      <c r="AC47" s="738">
        <v>32</v>
      </c>
      <c r="AD47" s="757" t="s">
        <v>1627</v>
      </c>
      <c r="AE47" s="757" t="s">
        <v>1627</v>
      </c>
      <c r="AF47" s="757" t="s">
        <v>1627</v>
      </c>
      <c r="AG47" s="757" t="s">
        <v>1627</v>
      </c>
      <c r="AH47" s="757" t="s">
        <v>1627</v>
      </c>
      <c r="AI47" s="757" t="s">
        <v>1627</v>
      </c>
      <c r="AJ47" s="757" t="s">
        <v>1627</v>
      </c>
      <c r="AU47" s="737"/>
      <c r="CE47" s="571" t="s">
        <v>3657</v>
      </c>
      <c r="CF47" s="571"/>
      <c r="CG47" s="571"/>
      <c r="CH47" s="571"/>
      <c r="CI47" s="571"/>
      <c r="CJ47" s="571"/>
      <c r="CK47" s="398"/>
      <c r="CL47" s="398"/>
      <c r="CN47" s="398"/>
      <c r="CO47" s="398"/>
      <c r="CP47" s="398"/>
      <c r="CQ47" s="745"/>
      <c r="CR47" s="745"/>
      <c r="CS47" s="737"/>
      <c r="CT47" s="737"/>
      <c r="CU47" s="737"/>
      <c r="CV47" s="737"/>
      <c r="CW47" s="737"/>
      <c r="CX47" s="737"/>
      <c r="CY47" s="737"/>
      <c r="CZ47" s="737"/>
      <c r="DA47" s="737"/>
      <c r="DB47" s="740" t="s">
        <v>3628</v>
      </c>
      <c r="DC47" s="690">
        <v>14</v>
      </c>
      <c r="DD47" s="690">
        <v>14</v>
      </c>
      <c r="DE47" s="690">
        <v>11</v>
      </c>
      <c r="DF47" s="690">
        <v>9</v>
      </c>
      <c r="DG47" s="690">
        <v>7</v>
      </c>
      <c r="DH47" s="690">
        <v>10</v>
      </c>
      <c r="DI47" s="738">
        <v>15</v>
      </c>
      <c r="DJ47" s="738">
        <v>9</v>
      </c>
      <c r="DK47" s="738">
        <v>10</v>
      </c>
      <c r="DL47" s="738">
        <v>9</v>
      </c>
      <c r="DZ47" s="685"/>
      <c r="EA47" s="685"/>
      <c r="EB47" s="685"/>
      <c r="EC47" s="685"/>
      <c r="ED47" s="685"/>
      <c r="EE47" s="685"/>
      <c r="EF47" s="685"/>
      <c r="EI47" s="781"/>
      <c r="EJ47" s="782"/>
      <c r="EK47" s="783"/>
      <c r="EL47" s="781"/>
      <c r="EM47" s="781"/>
      <c r="EN47" s="781"/>
      <c r="EO47" s="781"/>
      <c r="ET47" s="398"/>
      <c r="EU47" s="398"/>
      <c r="EV47" s="398"/>
      <c r="EW47" s="398"/>
      <c r="EX47" s="398"/>
      <c r="EY47" s="398"/>
      <c r="EZ47" s="515"/>
      <c r="FA47" s="515"/>
      <c r="FB47" s="515"/>
      <c r="FP47" s="737"/>
      <c r="FQ47" s="737"/>
      <c r="FR47" s="515"/>
      <c r="FS47" s="398" t="s">
        <v>3850</v>
      </c>
      <c r="FT47" s="398">
        <v>16</v>
      </c>
      <c r="FU47" s="398">
        <v>17</v>
      </c>
      <c r="FV47" s="398">
        <v>16</v>
      </c>
      <c r="FW47" s="398">
        <v>10</v>
      </c>
      <c r="FX47" s="398">
        <v>14</v>
      </c>
      <c r="FY47" s="398">
        <v>10</v>
      </c>
      <c r="FZ47" s="398"/>
      <c r="GA47" s="812"/>
      <c r="GG47" s="811"/>
      <c r="GH47" s="811"/>
      <c r="GI47" s="811"/>
      <c r="GJ47" s="811"/>
      <c r="GK47" s="811"/>
      <c r="GL47" s="386" t="s">
        <v>3184</v>
      </c>
      <c r="GM47" s="385">
        <v>3</v>
      </c>
      <c r="GN47" s="385">
        <v>3</v>
      </c>
      <c r="GO47" s="385">
        <v>5</v>
      </c>
      <c r="GP47" s="385">
        <v>4</v>
      </c>
      <c r="GQ47" s="385">
        <v>16</v>
      </c>
      <c r="GR47" s="385"/>
      <c r="GS47" s="815"/>
      <c r="GU47" s="398" t="s">
        <v>1699</v>
      </c>
      <c r="GV47" s="515">
        <v>1</v>
      </c>
      <c r="GW47" s="515">
        <v>0</v>
      </c>
      <c r="GX47" s="515">
        <v>2</v>
      </c>
      <c r="GY47" s="515">
        <v>2</v>
      </c>
      <c r="GZ47" s="515">
        <v>1</v>
      </c>
      <c r="HA47" s="398">
        <v>3</v>
      </c>
      <c r="HC47" s="398"/>
      <c r="HD47" s="398"/>
      <c r="HE47" s="398"/>
      <c r="HF47" s="808"/>
      <c r="HG47" s="808"/>
    </row>
    <row r="48" spans="1:215" ht="14.1" customHeight="1">
      <c r="A48" s="398" t="s">
        <v>3851</v>
      </c>
      <c r="B48" s="398"/>
      <c r="C48" s="398"/>
      <c r="D48" s="398"/>
      <c r="E48" s="398"/>
      <c r="F48" s="398"/>
      <c r="G48" s="398"/>
      <c r="J48" s="676" t="s">
        <v>3680</v>
      </c>
      <c r="K48" s="759" t="s">
        <v>2208</v>
      </c>
      <c r="L48" s="718">
        <v>1470</v>
      </c>
      <c r="M48" s="814">
        <v>1548</v>
      </c>
      <c r="N48" s="718">
        <v>1617</v>
      </c>
      <c r="O48" s="718">
        <v>1690</v>
      </c>
      <c r="P48" s="749">
        <v>1673</v>
      </c>
      <c r="Q48" s="718"/>
      <c r="S48" s="386" t="s">
        <v>3635</v>
      </c>
      <c r="T48" s="386" t="s">
        <v>3852</v>
      </c>
      <c r="U48" s="738">
        <f t="shared" si="67"/>
        <v>221</v>
      </c>
      <c r="V48" s="738">
        <v>6</v>
      </c>
      <c r="W48" s="738">
        <v>13</v>
      </c>
      <c r="X48" s="738">
        <v>27</v>
      </c>
      <c r="Y48" s="738">
        <v>35</v>
      </c>
      <c r="Z48" s="738">
        <v>37</v>
      </c>
      <c r="AA48" s="738">
        <v>32</v>
      </c>
      <c r="AB48" s="738">
        <v>34</v>
      </c>
      <c r="AC48" s="738">
        <v>37</v>
      </c>
      <c r="AD48" s="757" t="s">
        <v>1627</v>
      </c>
      <c r="AE48" s="757" t="s">
        <v>1627</v>
      </c>
      <c r="AF48" s="757" t="s">
        <v>1627</v>
      </c>
      <c r="AG48" s="757" t="s">
        <v>1627</v>
      </c>
      <c r="AH48" s="757" t="s">
        <v>1627</v>
      </c>
      <c r="AI48" s="757" t="s">
        <v>1627</v>
      </c>
      <c r="AJ48" s="757" t="s">
        <v>1627</v>
      </c>
      <c r="AU48" s="737"/>
      <c r="CE48" s="571" t="s">
        <v>3853</v>
      </c>
      <c r="CF48" s="571"/>
      <c r="CG48" s="571"/>
      <c r="CH48" s="571"/>
      <c r="CI48" s="571"/>
      <c r="CJ48" s="571"/>
      <c r="CK48" s="398"/>
      <c r="CL48" s="398"/>
      <c r="CQ48" s="802"/>
      <c r="CR48" s="802"/>
      <c r="CS48" s="737"/>
      <c r="CT48" s="737"/>
      <c r="CU48" s="737"/>
      <c r="CV48" s="737"/>
      <c r="CW48" s="737"/>
      <c r="CX48" s="737"/>
      <c r="CY48" s="737"/>
      <c r="CZ48" s="737"/>
      <c r="DA48" s="737"/>
      <c r="DB48" s="740" t="s">
        <v>3640</v>
      </c>
      <c r="DC48" s="690">
        <v>4</v>
      </c>
      <c r="DD48" s="690">
        <v>6</v>
      </c>
      <c r="DE48" s="690">
        <v>4</v>
      </c>
      <c r="DF48" s="690">
        <v>3</v>
      </c>
      <c r="DG48" s="690">
        <v>2</v>
      </c>
      <c r="DH48" s="690">
        <v>2</v>
      </c>
      <c r="DI48" s="738">
        <v>4</v>
      </c>
      <c r="DJ48" s="738">
        <v>4</v>
      </c>
      <c r="DK48" s="738">
        <v>3</v>
      </c>
      <c r="DL48" s="738">
        <v>1</v>
      </c>
      <c r="DQ48" s="737"/>
      <c r="DR48" s="737"/>
      <c r="DZ48" s="685"/>
      <c r="EA48" s="685"/>
      <c r="EB48" s="685"/>
      <c r="EC48" s="685"/>
      <c r="ED48" s="685"/>
      <c r="EE48" s="685"/>
      <c r="EF48" s="685"/>
      <c r="EI48" s="781"/>
      <c r="EJ48" s="782"/>
      <c r="EK48" s="783"/>
      <c r="EL48" s="781"/>
      <c r="EM48" s="781"/>
      <c r="EN48" s="781"/>
      <c r="EO48" s="781"/>
      <c r="ET48" s="398"/>
      <c r="EU48" s="398"/>
      <c r="EV48" s="398"/>
      <c r="EW48" s="398"/>
      <c r="EX48" s="398"/>
      <c r="EY48" s="398"/>
      <c r="EZ48" s="515"/>
      <c r="FA48" s="515"/>
      <c r="FB48" s="515"/>
      <c r="FP48" s="737"/>
      <c r="FQ48" s="737"/>
      <c r="FR48" s="515"/>
      <c r="FS48" s="398" t="s">
        <v>3854</v>
      </c>
      <c r="FT48" s="398">
        <v>8</v>
      </c>
      <c r="FU48" s="398">
        <v>19</v>
      </c>
      <c r="FV48" s="398">
        <v>12</v>
      </c>
      <c r="FW48" s="398">
        <v>26</v>
      </c>
      <c r="FX48" s="398">
        <v>25</v>
      </c>
      <c r="FY48" s="398">
        <v>17</v>
      </c>
      <c r="FZ48" s="398"/>
      <c r="GA48" s="812"/>
      <c r="GG48" s="811"/>
      <c r="GH48" s="811"/>
      <c r="GI48" s="811"/>
      <c r="GJ48" s="811"/>
      <c r="GK48" s="811"/>
      <c r="GL48" s="386" t="s">
        <v>3718</v>
      </c>
      <c r="GM48" s="385">
        <v>0</v>
      </c>
      <c r="GN48" s="385">
        <v>2</v>
      </c>
      <c r="GO48" s="385">
        <v>0</v>
      </c>
      <c r="GP48" s="385">
        <v>0</v>
      </c>
      <c r="GQ48" s="385">
        <v>1</v>
      </c>
      <c r="GR48" s="385"/>
      <c r="GS48" s="813"/>
      <c r="GU48" s="398" t="s">
        <v>1708</v>
      </c>
      <c r="GV48" s="515">
        <v>19</v>
      </c>
      <c r="GW48" s="515">
        <v>26</v>
      </c>
      <c r="GX48" s="515">
        <v>27</v>
      </c>
      <c r="GY48" s="515">
        <v>28</v>
      </c>
      <c r="GZ48" s="515">
        <v>37</v>
      </c>
      <c r="HA48" s="398">
        <v>32</v>
      </c>
      <c r="HB48" s="398"/>
      <c r="HF48" s="519"/>
      <c r="HG48" s="519"/>
    </row>
    <row r="49" spans="1:223" ht="14.1" customHeight="1">
      <c r="A49" s="398" t="s">
        <v>3855</v>
      </c>
      <c r="B49" s="398"/>
      <c r="C49" s="398"/>
      <c r="D49" s="398"/>
      <c r="E49" s="398"/>
      <c r="F49" s="398"/>
      <c r="G49" s="398"/>
      <c r="J49" s="676" t="s">
        <v>3856</v>
      </c>
      <c r="K49" s="759" t="s">
        <v>2198</v>
      </c>
      <c r="L49" s="718">
        <v>1054</v>
      </c>
      <c r="M49" s="814">
        <v>1243</v>
      </c>
      <c r="N49" s="718">
        <v>1232</v>
      </c>
      <c r="O49" s="718">
        <v>1283</v>
      </c>
      <c r="P49" s="749">
        <v>1213</v>
      </c>
      <c r="Q49" s="718"/>
      <c r="S49" s="386" t="s">
        <v>3856</v>
      </c>
      <c r="T49" s="386" t="s">
        <v>3852</v>
      </c>
      <c r="U49" s="738">
        <f t="shared" si="67"/>
        <v>1054</v>
      </c>
      <c r="V49" s="757" t="s">
        <v>1627</v>
      </c>
      <c r="W49" s="757" t="s">
        <v>1627</v>
      </c>
      <c r="X49" s="757" t="s">
        <v>1627</v>
      </c>
      <c r="Y49" s="757" t="s">
        <v>1627</v>
      </c>
      <c r="Z49" s="757" t="s">
        <v>1627</v>
      </c>
      <c r="AA49" s="757" t="s">
        <v>1627</v>
      </c>
      <c r="AB49" s="757" t="s">
        <v>1627</v>
      </c>
      <c r="AC49" s="757" t="s">
        <v>1627</v>
      </c>
      <c r="AD49" s="757" t="s">
        <v>1627</v>
      </c>
      <c r="AE49" s="757" t="s">
        <v>1627</v>
      </c>
      <c r="AF49" s="757" t="s">
        <v>1627</v>
      </c>
      <c r="AG49" s="754">
        <v>252</v>
      </c>
      <c r="AH49" s="754">
        <v>217</v>
      </c>
      <c r="AI49" s="738">
        <v>263</v>
      </c>
      <c r="AJ49" s="738">
        <v>322</v>
      </c>
      <c r="CE49" s="571" t="s">
        <v>3857</v>
      </c>
      <c r="CF49" s="571"/>
      <c r="CG49" s="571"/>
      <c r="CH49" s="571"/>
      <c r="CI49" s="571"/>
      <c r="CJ49" s="571"/>
      <c r="CK49" s="398"/>
      <c r="CL49" s="398"/>
      <c r="CN49" s="398"/>
      <c r="CO49" s="398"/>
      <c r="CP49" s="398"/>
      <c r="CQ49" s="745"/>
      <c r="CR49" s="745"/>
      <c r="CS49" s="737"/>
      <c r="CT49" s="737"/>
      <c r="CU49" s="737"/>
      <c r="CV49" s="737"/>
      <c r="CW49" s="737"/>
      <c r="CX49" s="737"/>
      <c r="CY49" s="737"/>
      <c r="CZ49" s="737"/>
      <c r="DA49" s="737"/>
      <c r="DB49" s="386" t="s">
        <v>2597</v>
      </c>
      <c r="DC49" s="385">
        <v>0</v>
      </c>
      <c r="DD49" s="385">
        <v>0</v>
      </c>
      <c r="DE49" s="385">
        <v>0</v>
      </c>
      <c r="DF49" s="385">
        <v>0</v>
      </c>
      <c r="DG49" s="385">
        <v>0</v>
      </c>
      <c r="DH49" s="385">
        <v>0</v>
      </c>
      <c r="DI49" s="754">
        <v>0</v>
      </c>
      <c r="DJ49" s="754">
        <v>0</v>
      </c>
      <c r="DK49" s="754">
        <v>0</v>
      </c>
      <c r="DL49" s="754">
        <v>0</v>
      </c>
      <c r="DQ49" s="737"/>
      <c r="DR49" s="737"/>
      <c r="EI49" s="682" t="s">
        <v>3858</v>
      </c>
      <c r="EJ49" s="683"/>
      <c r="EK49" s="683"/>
      <c r="EL49" s="682"/>
      <c r="EM49" s="682"/>
      <c r="EN49" s="682"/>
      <c r="EO49" s="682"/>
      <c r="EP49" s="678"/>
      <c r="EQ49" s="387"/>
      <c r="ET49" s="398"/>
      <c r="EU49" s="398"/>
      <c r="EV49" s="398"/>
      <c r="EW49" s="398"/>
      <c r="EX49" s="398"/>
      <c r="EY49" s="398"/>
      <c r="EZ49" s="515"/>
      <c r="FA49" s="515"/>
      <c r="FB49" s="515"/>
      <c r="FP49" s="737"/>
      <c r="FQ49" s="737"/>
      <c r="FR49" s="515"/>
      <c r="FS49" s="398" t="s">
        <v>3859</v>
      </c>
      <c r="FT49" s="398">
        <v>0</v>
      </c>
      <c r="FU49" s="398">
        <v>0</v>
      </c>
      <c r="FV49" s="398">
        <v>0</v>
      </c>
      <c r="FW49" s="398">
        <v>1</v>
      </c>
      <c r="FX49" s="398">
        <v>0</v>
      </c>
      <c r="FY49" s="519">
        <v>0</v>
      </c>
      <c r="FZ49" s="398"/>
      <c r="GA49" s="812"/>
      <c r="GG49" s="811"/>
      <c r="GH49" s="811"/>
      <c r="GI49" s="811"/>
      <c r="GJ49" s="811"/>
      <c r="GK49" s="811"/>
      <c r="GL49" s="386" t="s">
        <v>3860</v>
      </c>
      <c r="GM49" s="385">
        <v>0</v>
      </c>
      <c r="GN49" s="385">
        <v>0</v>
      </c>
      <c r="GO49" s="385">
        <v>1</v>
      </c>
      <c r="GP49" s="385">
        <v>3</v>
      </c>
      <c r="GQ49" s="385">
        <v>1</v>
      </c>
      <c r="GR49" s="385"/>
      <c r="GS49" s="813"/>
      <c r="GU49" s="387" t="s">
        <v>2647</v>
      </c>
      <c r="GV49" s="766">
        <v>14</v>
      </c>
      <c r="GW49" s="766">
        <v>22</v>
      </c>
      <c r="GX49" s="766">
        <v>18</v>
      </c>
      <c r="GY49" s="766">
        <v>17</v>
      </c>
      <c r="GZ49" s="766">
        <v>20</v>
      </c>
      <c r="HA49" s="387">
        <v>29</v>
      </c>
      <c r="HC49" s="808"/>
      <c r="HD49" s="808"/>
      <c r="HE49" s="808"/>
    </row>
    <row r="50" spans="1:223" ht="14.1" customHeight="1">
      <c r="A50" s="398" t="s">
        <v>3861</v>
      </c>
      <c r="B50" s="398"/>
      <c r="C50" s="398"/>
      <c r="D50" s="398"/>
      <c r="E50" s="398"/>
      <c r="F50" s="398"/>
      <c r="G50" s="398"/>
      <c r="J50" s="675" t="s">
        <v>3791</v>
      </c>
      <c r="K50" s="816" t="s">
        <v>2253</v>
      </c>
      <c r="L50" s="817">
        <v>995</v>
      </c>
      <c r="M50" s="818">
        <v>977</v>
      </c>
      <c r="N50" s="817">
        <v>1015</v>
      </c>
      <c r="O50" s="817">
        <v>1043</v>
      </c>
      <c r="P50" s="819">
        <v>1109</v>
      </c>
      <c r="Q50" s="718"/>
      <c r="S50" s="386" t="s">
        <v>3698</v>
      </c>
      <c r="T50" s="386" t="s">
        <v>3862</v>
      </c>
      <c r="U50" s="738">
        <f t="shared" si="67"/>
        <v>531</v>
      </c>
      <c r="V50" s="737">
        <v>20</v>
      </c>
      <c r="W50" s="738">
        <v>19</v>
      </c>
      <c r="X50" s="738">
        <v>87</v>
      </c>
      <c r="Y50" s="738">
        <v>92</v>
      </c>
      <c r="Z50" s="738">
        <v>79</v>
      </c>
      <c r="AA50" s="738">
        <v>95</v>
      </c>
      <c r="AB50" s="738">
        <v>63</v>
      </c>
      <c r="AC50" s="738">
        <v>76</v>
      </c>
      <c r="AD50" s="757" t="s">
        <v>1627</v>
      </c>
      <c r="AE50" s="757" t="s">
        <v>1627</v>
      </c>
      <c r="AF50" s="757" t="s">
        <v>1627</v>
      </c>
      <c r="AG50" s="757" t="s">
        <v>1627</v>
      </c>
      <c r="AH50" s="757" t="s">
        <v>1627</v>
      </c>
      <c r="AI50" s="757" t="s">
        <v>1627</v>
      </c>
      <c r="AJ50" s="757" t="s">
        <v>1627</v>
      </c>
      <c r="AN50" s="398"/>
      <c r="AO50" s="398"/>
      <c r="AP50" s="398"/>
      <c r="AQ50" s="398"/>
      <c r="AR50" s="398"/>
      <c r="AS50" s="398"/>
      <c r="AT50" s="398"/>
      <c r="AU50" s="737"/>
      <c r="CE50" s="571" t="s">
        <v>3863</v>
      </c>
      <c r="CF50" s="571"/>
      <c r="CG50" s="571"/>
      <c r="CH50" s="571"/>
      <c r="CI50" s="571"/>
      <c r="CJ50" s="571"/>
      <c r="CK50" s="398"/>
      <c r="CL50" s="398"/>
      <c r="CN50" s="398"/>
      <c r="CO50" s="398"/>
      <c r="CP50" s="398"/>
      <c r="CQ50" s="745"/>
      <c r="CR50" s="745"/>
      <c r="CS50" s="737"/>
      <c r="CT50" s="737"/>
      <c r="CU50" s="737"/>
      <c r="CV50" s="737"/>
      <c r="CW50" s="737"/>
      <c r="CX50" s="737"/>
      <c r="CY50" s="737"/>
      <c r="CZ50" s="737"/>
      <c r="DA50" s="737"/>
      <c r="DG50" s="737"/>
      <c r="DH50" s="737"/>
      <c r="DI50" s="737"/>
      <c r="DJ50" s="737"/>
      <c r="DK50" s="738"/>
      <c r="DL50" s="738"/>
      <c r="DQ50" s="737"/>
      <c r="DR50" s="737"/>
      <c r="EI50" s="705"/>
      <c r="EJ50" s="706" t="s">
        <v>3464</v>
      </c>
      <c r="EK50" s="706" t="s">
        <v>385</v>
      </c>
      <c r="EL50" s="2124" t="s">
        <v>3465</v>
      </c>
      <c r="EM50" s="2125"/>
      <c r="EN50" s="2124" t="s">
        <v>3466</v>
      </c>
      <c r="EO50" s="2126"/>
      <c r="EP50" s="2127" t="s">
        <v>3467</v>
      </c>
      <c r="EQ50" s="2128"/>
      <c r="ET50" s="398"/>
      <c r="EU50" s="398"/>
      <c r="EV50" s="398"/>
      <c r="EW50" s="398"/>
      <c r="EX50" s="398"/>
      <c r="EY50" s="398"/>
      <c r="EZ50" s="515"/>
      <c r="FA50" s="515"/>
      <c r="FB50" s="515"/>
      <c r="FP50" s="737"/>
      <c r="FQ50" s="737"/>
      <c r="FR50" s="515"/>
      <c r="FS50" s="398" t="s">
        <v>3864</v>
      </c>
      <c r="FT50" s="398">
        <v>16</v>
      </c>
      <c r="FU50" s="398">
        <v>20</v>
      </c>
      <c r="FV50" s="398">
        <v>23</v>
      </c>
      <c r="FW50" s="398">
        <v>13</v>
      </c>
      <c r="FX50" s="398">
        <v>29</v>
      </c>
      <c r="FY50" s="398">
        <v>23</v>
      </c>
      <c r="FZ50" s="398"/>
      <c r="GA50" s="812"/>
      <c r="GG50" s="811"/>
      <c r="GH50" s="811"/>
      <c r="GI50" s="811"/>
      <c r="GJ50" s="811"/>
      <c r="GK50" s="811"/>
      <c r="GL50" s="386" t="s">
        <v>3865</v>
      </c>
      <c r="GM50" s="385">
        <v>0</v>
      </c>
      <c r="GN50" s="385">
        <v>2</v>
      </c>
      <c r="GO50" s="385">
        <v>6</v>
      </c>
      <c r="GP50" s="385">
        <v>7</v>
      </c>
      <c r="GQ50" s="385">
        <v>7</v>
      </c>
      <c r="GR50" s="385"/>
      <c r="GS50" s="813"/>
      <c r="GU50" s="386" t="s">
        <v>3572</v>
      </c>
      <c r="GV50" s="386"/>
      <c r="GW50" s="386"/>
      <c r="GX50" s="386"/>
      <c r="GY50" s="398"/>
      <c r="GZ50" s="398"/>
      <c r="HB50" s="808"/>
      <c r="HC50" s="519"/>
      <c r="HD50" s="519"/>
      <c r="HE50" s="519"/>
    </row>
    <row r="51" spans="1:223" ht="14.1" customHeight="1">
      <c r="A51" s="398" t="s">
        <v>3866</v>
      </c>
      <c r="B51" s="398"/>
      <c r="C51" s="398"/>
      <c r="D51" s="398"/>
      <c r="E51" s="398"/>
      <c r="F51" s="398"/>
      <c r="G51" s="398"/>
      <c r="J51" s="676" t="s">
        <v>3867</v>
      </c>
      <c r="K51" s="676"/>
      <c r="L51" s="676"/>
      <c r="M51" s="676"/>
      <c r="N51" s="676"/>
      <c r="O51" s="676"/>
      <c r="P51" s="676"/>
      <c r="Q51" s="676"/>
      <c r="S51" s="386" t="s">
        <v>2201</v>
      </c>
      <c r="T51" s="386" t="s">
        <v>2201</v>
      </c>
      <c r="U51" s="738">
        <f t="shared" si="67"/>
        <v>211</v>
      </c>
      <c r="V51" s="737">
        <v>15</v>
      </c>
      <c r="W51" s="738">
        <v>0</v>
      </c>
      <c r="X51" s="738">
        <v>28</v>
      </c>
      <c r="Y51" s="738">
        <v>36</v>
      </c>
      <c r="Z51" s="738">
        <v>30</v>
      </c>
      <c r="AA51" s="738">
        <v>35</v>
      </c>
      <c r="AB51" s="738">
        <v>26</v>
      </c>
      <c r="AC51" s="738">
        <v>41</v>
      </c>
      <c r="AD51" s="757" t="s">
        <v>1627</v>
      </c>
      <c r="AE51" s="757" t="s">
        <v>1627</v>
      </c>
      <c r="AF51" s="757" t="s">
        <v>1627</v>
      </c>
      <c r="AG51" s="757" t="s">
        <v>1627</v>
      </c>
      <c r="AH51" s="757" t="s">
        <v>1627</v>
      </c>
      <c r="AI51" s="757" t="s">
        <v>1627</v>
      </c>
      <c r="AJ51" s="757" t="s">
        <v>1627</v>
      </c>
      <c r="AU51" s="737"/>
      <c r="CE51" s="571" t="s">
        <v>3868</v>
      </c>
      <c r="CF51" s="571"/>
      <c r="CG51" s="571"/>
      <c r="CH51" s="571"/>
      <c r="CI51" s="571"/>
      <c r="CJ51" s="571"/>
      <c r="CK51" s="398"/>
      <c r="CL51" s="398"/>
      <c r="CN51" s="398"/>
      <c r="CO51" s="398"/>
      <c r="CP51" s="398"/>
      <c r="CQ51" s="745"/>
      <c r="CR51" s="745"/>
      <c r="CS51" s="737"/>
      <c r="CT51" s="737"/>
      <c r="CU51" s="737"/>
      <c r="CV51" s="737"/>
      <c r="CW51" s="737"/>
      <c r="CX51" s="737"/>
      <c r="CY51" s="737"/>
      <c r="CZ51" s="737"/>
      <c r="DA51" s="737"/>
      <c r="DB51" s="398" t="s">
        <v>3869</v>
      </c>
      <c r="DC51" s="398">
        <f t="shared" ref="DC51:DH51" si="69">DC52+DC62</f>
        <v>31</v>
      </c>
      <c r="DD51" s="398">
        <f t="shared" si="69"/>
        <v>35</v>
      </c>
      <c r="DE51" s="398">
        <f t="shared" si="69"/>
        <v>42</v>
      </c>
      <c r="DF51" s="398">
        <f t="shared" si="69"/>
        <v>22</v>
      </c>
      <c r="DG51" s="754">
        <f t="shared" si="69"/>
        <v>45</v>
      </c>
      <c r="DH51" s="754">
        <f t="shared" si="69"/>
        <v>90</v>
      </c>
      <c r="DI51" s="754">
        <f>DI52+DI62</f>
        <v>25</v>
      </c>
      <c r="DJ51" s="754">
        <f>DJ52+DJ62</f>
        <v>41</v>
      </c>
      <c r="DK51" s="754">
        <f>SUM(DK52,DK62)</f>
        <v>22</v>
      </c>
      <c r="DL51" s="754">
        <f>SUM(DL52,DL62)</f>
        <v>30</v>
      </c>
      <c r="DQ51" s="737"/>
      <c r="DR51" s="737"/>
      <c r="EI51" s="730" t="s">
        <v>3487</v>
      </c>
      <c r="EJ51" s="731" t="s">
        <v>3488</v>
      </c>
      <c r="EK51" s="731" t="s">
        <v>3489</v>
      </c>
      <c r="EL51" s="732" t="s">
        <v>1711</v>
      </c>
      <c r="EM51" s="732" t="s">
        <v>1712</v>
      </c>
      <c r="EN51" s="732" t="s">
        <v>3490</v>
      </c>
      <c r="EO51" s="733" t="s">
        <v>3491</v>
      </c>
      <c r="EP51" s="703" t="s">
        <v>3492</v>
      </c>
      <c r="EQ51" s="703" t="s">
        <v>3493</v>
      </c>
      <c r="ET51" s="398"/>
      <c r="EU51" s="398"/>
      <c r="EV51" s="398"/>
      <c r="EW51" s="398"/>
      <c r="EX51" s="398"/>
      <c r="EY51" s="398"/>
      <c r="EZ51" s="515"/>
      <c r="FA51" s="398"/>
      <c r="FB51" s="398"/>
      <c r="FE51" s="702"/>
      <c r="FF51" s="702"/>
      <c r="FG51" s="702"/>
      <c r="FH51" s="702"/>
      <c r="FI51" s="702"/>
      <c r="FJ51" s="702"/>
      <c r="FK51" s="702"/>
      <c r="FL51" s="702"/>
      <c r="FM51" s="702"/>
      <c r="FN51" s="702"/>
      <c r="FO51" s="702"/>
      <c r="FP51" s="737"/>
      <c r="FQ51" s="737"/>
      <c r="FR51" s="515"/>
      <c r="FS51" s="398" t="s">
        <v>3870</v>
      </c>
      <c r="FT51" s="398">
        <v>2</v>
      </c>
      <c r="FU51" s="398">
        <v>4</v>
      </c>
      <c r="FV51" s="398">
        <v>3</v>
      </c>
      <c r="FW51" s="398">
        <v>0</v>
      </c>
      <c r="FX51" s="398">
        <v>4</v>
      </c>
      <c r="FY51" s="398">
        <v>7</v>
      </c>
      <c r="FZ51" s="398"/>
      <c r="GA51" s="812"/>
      <c r="GG51" s="811"/>
      <c r="GH51" s="811"/>
      <c r="GI51" s="811"/>
      <c r="GJ51" s="811"/>
      <c r="GK51" s="811"/>
      <c r="GL51" s="386" t="s">
        <v>3871</v>
      </c>
      <c r="GM51" s="385">
        <v>0</v>
      </c>
      <c r="GN51" s="385">
        <v>0</v>
      </c>
      <c r="GO51" s="385">
        <v>0</v>
      </c>
      <c r="GP51" s="385">
        <v>0</v>
      </c>
      <c r="GQ51" s="385">
        <v>0</v>
      </c>
      <c r="GR51" s="385"/>
      <c r="GS51" s="813"/>
      <c r="GW51" s="386"/>
      <c r="GX51" s="386"/>
      <c r="GY51" s="398"/>
      <c r="GZ51" s="398"/>
      <c r="HB51" s="519"/>
      <c r="HK51" s="398"/>
      <c r="HL51" s="398"/>
      <c r="HM51" s="398"/>
      <c r="HN51" s="398"/>
      <c r="HO51" s="398"/>
    </row>
    <row r="52" spans="1:223" ht="14.1" customHeight="1">
      <c r="A52" s="398" t="s">
        <v>3872</v>
      </c>
      <c r="B52" s="398"/>
      <c r="C52" s="398"/>
      <c r="D52" s="398"/>
      <c r="E52" s="398"/>
      <c r="F52" s="398"/>
      <c r="G52" s="398"/>
      <c r="J52" s="676" t="s">
        <v>3873</v>
      </c>
      <c r="K52" s="676"/>
      <c r="L52" s="676"/>
      <c r="M52" s="676"/>
      <c r="N52" s="676"/>
      <c r="O52" s="676"/>
      <c r="P52" s="676"/>
      <c r="Q52" s="676"/>
      <c r="S52" s="384" t="s">
        <v>3874</v>
      </c>
      <c r="T52" s="384" t="s">
        <v>2198</v>
      </c>
      <c r="U52" s="820">
        <f t="shared" si="67"/>
        <v>173</v>
      </c>
      <c r="V52" s="786" t="s">
        <v>1627</v>
      </c>
      <c r="W52" s="786" t="s">
        <v>1627</v>
      </c>
      <c r="X52" s="786" t="s">
        <v>1627</v>
      </c>
      <c r="Y52" s="786" t="s">
        <v>1627</v>
      </c>
      <c r="Z52" s="786" t="s">
        <v>1627</v>
      </c>
      <c r="AA52" s="786" t="s">
        <v>1627</v>
      </c>
      <c r="AB52" s="786" t="s">
        <v>1627</v>
      </c>
      <c r="AC52" s="786" t="s">
        <v>1627</v>
      </c>
      <c r="AD52" s="786" t="s">
        <v>1627</v>
      </c>
      <c r="AE52" s="786" t="s">
        <v>1627</v>
      </c>
      <c r="AF52" s="786" t="s">
        <v>1627</v>
      </c>
      <c r="AG52" s="801">
        <v>6</v>
      </c>
      <c r="AH52" s="801">
        <v>31</v>
      </c>
      <c r="AI52" s="801">
        <v>89</v>
      </c>
      <c r="AJ52" s="820">
        <v>47</v>
      </c>
      <c r="AU52" s="737"/>
      <c r="CE52" s="571"/>
      <c r="CF52" s="571"/>
      <c r="CG52" s="571"/>
      <c r="CH52" s="571"/>
      <c r="CI52" s="571"/>
      <c r="CJ52" s="571"/>
      <c r="CK52" s="398"/>
      <c r="CL52" s="398"/>
      <c r="CQ52" s="802"/>
      <c r="CR52" s="802"/>
      <c r="CS52" s="737"/>
      <c r="CT52" s="737"/>
      <c r="CU52" s="737"/>
      <c r="CV52" s="737"/>
      <c r="CW52" s="737"/>
      <c r="CX52" s="737"/>
      <c r="CY52" s="737"/>
      <c r="CZ52" s="737"/>
      <c r="DA52" s="737"/>
      <c r="DB52" s="740" t="s">
        <v>3544</v>
      </c>
      <c r="DC52" s="690">
        <f>SUM(DC53:DC60)</f>
        <v>7</v>
      </c>
      <c r="DD52" s="690">
        <f>SUM(DD53:DD60)</f>
        <v>10</v>
      </c>
      <c r="DE52" s="690">
        <f>SUM(DE53:DE60)</f>
        <v>18</v>
      </c>
      <c r="DF52" s="690">
        <f>SUM(DF53:DF60)</f>
        <v>14</v>
      </c>
      <c r="DG52" s="738">
        <f t="shared" ref="DG52:DL52" si="70">SUM(DG53:DG60)</f>
        <v>23</v>
      </c>
      <c r="DH52" s="738">
        <f t="shared" si="70"/>
        <v>34</v>
      </c>
      <c r="DI52" s="738">
        <f t="shared" si="70"/>
        <v>13</v>
      </c>
      <c r="DJ52" s="738">
        <f t="shared" si="70"/>
        <v>21</v>
      </c>
      <c r="DK52" s="738">
        <f t="shared" si="70"/>
        <v>11</v>
      </c>
      <c r="DL52" s="738">
        <f t="shared" si="70"/>
        <v>14</v>
      </c>
      <c r="DQ52" s="737"/>
      <c r="DR52" s="737"/>
      <c r="EI52" s="705" t="s">
        <v>3508</v>
      </c>
      <c r="EJ52" s="745">
        <f>SUM(EJ53:EJ77)</f>
        <v>3105</v>
      </c>
      <c r="EK52" s="746">
        <v>100</v>
      </c>
      <c r="EL52" s="745">
        <f t="shared" ref="EL52:EQ52" si="71">SUM(EL53:EL77)</f>
        <v>1282</v>
      </c>
      <c r="EM52" s="745">
        <f t="shared" si="71"/>
        <v>1823</v>
      </c>
      <c r="EN52" s="745">
        <f t="shared" si="71"/>
        <v>2215</v>
      </c>
      <c r="EO52" s="745">
        <f t="shared" si="71"/>
        <v>890</v>
      </c>
      <c r="EP52" s="745">
        <f t="shared" si="71"/>
        <v>2767</v>
      </c>
      <c r="EQ52" s="745">
        <f t="shared" si="71"/>
        <v>338</v>
      </c>
      <c r="ET52" s="398"/>
      <c r="EU52" s="398"/>
      <c r="EV52" s="398"/>
      <c r="EW52" s="398"/>
      <c r="EX52" s="398"/>
      <c r="EY52" s="398"/>
      <c r="EZ52" s="515"/>
      <c r="FA52" s="515"/>
      <c r="FB52" s="515"/>
      <c r="FE52" s="690"/>
      <c r="FF52" s="690"/>
      <c r="FG52" s="690"/>
      <c r="FH52" s="690"/>
      <c r="FI52" s="690"/>
      <c r="FJ52" s="690"/>
      <c r="FK52" s="690"/>
      <c r="FL52" s="690"/>
      <c r="FM52" s="690"/>
      <c r="FN52" s="690"/>
      <c r="FO52" s="690"/>
      <c r="FP52" s="737"/>
      <c r="FQ52" s="737"/>
      <c r="FR52" s="515"/>
      <c r="FS52" s="398" t="s">
        <v>3541</v>
      </c>
      <c r="FT52" s="398">
        <v>0</v>
      </c>
      <c r="FU52" s="398">
        <v>0</v>
      </c>
      <c r="FV52" s="398">
        <v>0</v>
      </c>
      <c r="FW52" s="398">
        <v>0</v>
      </c>
      <c r="FX52" s="398">
        <v>1</v>
      </c>
      <c r="FY52" s="398">
        <v>3</v>
      </c>
      <c r="FZ52" s="519"/>
      <c r="GA52" s="812"/>
      <c r="GG52" s="811"/>
      <c r="GH52" s="811"/>
      <c r="GI52" s="811"/>
      <c r="GJ52" s="811"/>
      <c r="GK52" s="811"/>
      <c r="GL52" s="386" t="s">
        <v>3774</v>
      </c>
      <c r="GM52" s="385">
        <v>4</v>
      </c>
      <c r="GN52" s="385">
        <v>8</v>
      </c>
      <c r="GO52" s="385">
        <v>11</v>
      </c>
      <c r="GP52" s="385">
        <v>29</v>
      </c>
      <c r="GQ52" s="385">
        <v>90</v>
      </c>
      <c r="GR52" s="385"/>
      <c r="GS52" s="813"/>
      <c r="GU52" s="808"/>
      <c r="GV52" s="808"/>
      <c r="GW52" s="398"/>
      <c r="GX52" s="398"/>
      <c r="GY52" s="398"/>
      <c r="GZ52" s="398"/>
    </row>
    <row r="53" spans="1:223" ht="14.1" customHeight="1">
      <c r="A53" s="398" t="s">
        <v>3875</v>
      </c>
      <c r="B53" s="398"/>
      <c r="C53" s="398"/>
      <c r="D53" s="398"/>
      <c r="E53" s="398"/>
      <c r="F53" s="398"/>
      <c r="G53" s="398"/>
      <c r="J53" s="398" t="s">
        <v>3876</v>
      </c>
      <c r="K53" s="676"/>
      <c r="L53" s="676"/>
      <c r="M53" s="676"/>
      <c r="N53" s="676"/>
      <c r="O53" s="676"/>
      <c r="P53" s="676"/>
      <c r="Q53" s="676"/>
      <c r="S53" s="676" t="s">
        <v>3867</v>
      </c>
      <c r="AU53" s="737"/>
      <c r="CE53" s="571"/>
      <c r="CF53" s="571"/>
      <c r="CG53" s="571"/>
      <c r="CH53" s="571"/>
      <c r="CI53" s="571"/>
      <c r="CJ53" s="571"/>
      <c r="CK53" s="398"/>
      <c r="CL53" s="398"/>
      <c r="CN53" s="398"/>
      <c r="CO53" s="398"/>
      <c r="CP53" s="398"/>
      <c r="CQ53" s="745"/>
      <c r="CR53" s="745"/>
      <c r="CS53" s="737"/>
      <c r="CT53" s="737"/>
      <c r="CU53" s="737"/>
      <c r="CV53" s="737"/>
      <c r="CW53" s="737"/>
      <c r="CX53" s="737"/>
      <c r="CY53" s="737"/>
      <c r="CZ53" s="737"/>
      <c r="DA53" s="737"/>
      <c r="DB53" s="740" t="s">
        <v>3555</v>
      </c>
      <c r="DC53" s="690">
        <v>0</v>
      </c>
      <c r="DD53" s="690">
        <v>0</v>
      </c>
      <c r="DE53" s="690">
        <v>1</v>
      </c>
      <c r="DF53" s="690">
        <v>0</v>
      </c>
      <c r="DG53" s="690">
        <v>0</v>
      </c>
      <c r="DH53" s="690">
        <v>0</v>
      </c>
      <c r="DI53" s="738">
        <v>0</v>
      </c>
      <c r="DJ53" s="738">
        <v>0</v>
      </c>
      <c r="DK53" s="738">
        <v>0</v>
      </c>
      <c r="DL53" s="738">
        <v>0</v>
      </c>
      <c r="DQ53" s="737"/>
      <c r="DR53" s="737"/>
      <c r="EI53" s="705" t="s">
        <v>3877</v>
      </c>
      <c r="EJ53" s="745">
        <v>16</v>
      </c>
      <c r="EK53" s="755">
        <f t="shared" ref="EK53:EK77" si="72">EJ53/$EJ$52*100</f>
        <v>0.5152979066022545</v>
      </c>
      <c r="EL53" s="745">
        <v>3</v>
      </c>
      <c r="EM53" s="745">
        <v>13</v>
      </c>
      <c r="EN53" s="745">
        <v>13</v>
      </c>
      <c r="EO53" s="745">
        <v>3</v>
      </c>
      <c r="EP53" s="737">
        <v>12</v>
      </c>
      <c r="EQ53" s="737">
        <v>4</v>
      </c>
      <c r="ET53" s="398"/>
      <c r="EU53" s="398"/>
      <c r="EV53" s="398"/>
      <c r="EW53" s="398"/>
      <c r="EX53" s="398"/>
      <c r="EY53" s="398"/>
      <c r="EZ53" s="515"/>
      <c r="FA53" s="398"/>
      <c r="FB53" s="398"/>
      <c r="FE53" s="690"/>
      <c r="FF53" s="690"/>
      <c r="FG53" s="690"/>
      <c r="FH53" s="690"/>
      <c r="FI53" s="690"/>
      <c r="FJ53" s="690"/>
      <c r="FK53" s="690"/>
      <c r="FL53" s="690"/>
      <c r="FM53" s="690"/>
      <c r="FN53" s="690"/>
      <c r="FO53" s="690"/>
      <c r="FP53" s="737"/>
      <c r="FQ53" s="737"/>
      <c r="FR53" s="515"/>
      <c r="FS53" s="398" t="s">
        <v>3878</v>
      </c>
      <c r="FT53" s="398">
        <v>0</v>
      </c>
      <c r="FU53" s="398">
        <v>0</v>
      </c>
      <c r="FV53" s="398">
        <v>0</v>
      </c>
      <c r="FW53" s="398">
        <v>0</v>
      </c>
      <c r="FX53" s="398">
        <v>2</v>
      </c>
      <c r="FY53" s="385">
        <v>1</v>
      </c>
      <c r="FZ53" s="398"/>
      <c r="GA53" s="812"/>
      <c r="GG53" s="811"/>
      <c r="GH53" s="811"/>
      <c r="GI53" s="811"/>
      <c r="GJ53" s="811"/>
      <c r="GK53" s="811"/>
      <c r="GL53" s="386" t="s">
        <v>3879</v>
      </c>
      <c r="GM53" s="385">
        <v>0</v>
      </c>
      <c r="GN53" s="385">
        <v>0</v>
      </c>
      <c r="GO53" s="385">
        <v>0</v>
      </c>
      <c r="GP53" s="385">
        <v>0</v>
      </c>
      <c r="GQ53" s="385">
        <v>1</v>
      </c>
      <c r="GR53" s="385"/>
      <c r="GS53" s="813"/>
      <c r="GU53" s="519"/>
      <c r="GV53" s="519"/>
    </row>
    <row r="54" spans="1:223" ht="14.1" customHeight="1">
      <c r="A54" s="821" t="s">
        <v>3880</v>
      </c>
      <c r="B54" s="821"/>
      <c r="C54" s="821"/>
      <c r="D54" s="821"/>
      <c r="E54" s="398"/>
      <c r="F54" s="398"/>
      <c r="G54" s="398"/>
      <c r="J54" s="676" t="s">
        <v>3881</v>
      </c>
      <c r="K54" s="676"/>
      <c r="L54" s="676"/>
      <c r="M54" s="676"/>
      <c r="N54" s="676"/>
      <c r="O54" s="676"/>
      <c r="P54" s="676"/>
      <c r="Q54" s="676"/>
      <c r="S54" s="386" t="s">
        <v>3882</v>
      </c>
      <c r="AU54" s="737"/>
      <c r="CE54" s="571"/>
      <c r="CF54" s="571"/>
      <c r="CG54" s="571"/>
      <c r="CH54" s="571"/>
      <c r="CI54" s="571"/>
      <c r="CJ54" s="571"/>
      <c r="CK54" s="398"/>
      <c r="CL54" s="398"/>
      <c r="CN54" s="398"/>
      <c r="CO54" s="398"/>
      <c r="CP54" s="398"/>
      <c r="CQ54" s="745"/>
      <c r="CR54" s="745"/>
      <c r="CS54" s="737"/>
      <c r="CT54" s="737"/>
      <c r="CU54" s="737"/>
      <c r="CV54" s="737"/>
      <c r="CW54" s="737"/>
      <c r="CX54" s="737"/>
      <c r="CY54" s="737"/>
      <c r="DB54" s="740" t="s">
        <v>3567</v>
      </c>
      <c r="DC54" s="690">
        <v>1</v>
      </c>
      <c r="DD54" s="690">
        <v>1</v>
      </c>
      <c r="DE54" s="690">
        <v>1</v>
      </c>
      <c r="DF54" s="690">
        <v>1</v>
      </c>
      <c r="DG54" s="690">
        <v>4</v>
      </c>
      <c r="DH54" s="690">
        <v>3</v>
      </c>
      <c r="DI54" s="738">
        <v>1</v>
      </c>
      <c r="DJ54" s="738">
        <v>1</v>
      </c>
      <c r="DK54" s="738">
        <v>2</v>
      </c>
      <c r="DL54" s="738">
        <v>2</v>
      </c>
      <c r="DQ54" s="737"/>
      <c r="DR54" s="737"/>
      <c r="EI54" s="705" t="s">
        <v>3883</v>
      </c>
      <c r="EJ54" s="745">
        <v>2</v>
      </c>
      <c r="EK54" s="755">
        <f t="shared" si="72"/>
        <v>6.4412238325281812E-2</v>
      </c>
      <c r="EL54" s="745">
        <v>0</v>
      </c>
      <c r="EM54" s="745">
        <v>2</v>
      </c>
      <c r="EN54" s="745">
        <v>1</v>
      </c>
      <c r="EO54" s="745">
        <v>1</v>
      </c>
      <c r="EP54" s="737">
        <v>1</v>
      </c>
      <c r="EQ54" s="737">
        <v>1</v>
      </c>
      <c r="ET54" s="398"/>
      <c r="EU54" s="398"/>
      <c r="EV54" s="398"/>
      <c r="EW54" s="398"/>
      <c r="EX54" s="398"/>
      <c r="EY54" s="398"/>
      <c r="EZ54" s="515"/>
      <c r="FA54" s="515"/>
      <c r="FB54" s="515"/>
      <c r="FE54" s="690"/>
      <c r="FF54" s="690"/>
      <c r="FG54" s="690"/>
      <c r="FH54" s="690"/>
      <c r="FI54" s="690"/>
      <c r="FJ54" s="690"/>
      <c r="FK54" s="690"/>
      <c r="FL54" s="690"/>
      <c r="FM54" s="690"/>
      <c r="FN54" s="690"/>
      <c r="FO54" s="690"/>
      <c r="FP54" s="737"/>
      <c r="FQ54" s="737"/>
      <c r="FR54" s="515"/>
      <c r="FS54" s="398" t="s">
        <v>3884</v>
      </c>
      <c r="FT54" s="398">
        <v>0</v>
      </c>
      <c r="FU54" s="398">
        <v>0</v>
      </c>
      <c r="FV54" s="398">
        <v>0</v>
      </c>
      <c r="FW54" s="398">
        <v>0</v>
      </c>
      <c r="FX54" s="398">
        <v>1</v>
      </c>
      <c r="FY54" s="398">
        <v>0</v>
      </c>
      <c r="FZ54" s="398"/>
      <c r="GA54" s="812"/>
      <c r="GG54" s="811"/>
      <c r="GH54" s="811"/>
      <c r="GI54" s="811"/>
      <c r="GJ54" s="811"/>
      <c r="GK54" s="811"/>
      <c r="GL54" s="386" t="s">
        <v>3778</v>
      </c>
      <c r="GM54" s="385">
        <v>2</v>
      </c>
      <c r="GN54" s="385">
        <v>2</v>
      </c>
      <c r="GO54" s="385">
        <v>3</v>
      </c>
      <c r="GP54" s="385">
        <v>7</v>
      </c>
      <c r="GQ54" s="385">
        <v>4</v>
      </c>
      <c r="GR54" s="385"/>
      <c r="GS54" s="813"/>
      <c r="GW54" s="808"/>
      <c r="GX54" s="808"/>
      <c r="GY54" s="808"/>
      <c r="GZ54" s="808"/>
      <c r="HF54" s="519"/>
      <c r="HG54" s="519"/>
    </row>
    <row r="55" spans="1:223" ht="14.1" customHeight="1">
      <c r="A55" s="398" t="s">
        <v>3885</v>
      </c>
      <c r="B55" s="398"/>
      <c r="C55" s="821"/>
      <c r="D55" s="821"/>
      <c r="E55" s="398"/>
      <c r="F55" s="398"/>
      <c r="G55" s="398"/>
      <c r="J55" s="676"/>
      <c r="K55" s="398"/>
      <c r="L55" s="398"/>
      <c r="M55" s="398"/>
      <c r="N55" s="398"/>
      <c r="O55" s="398"/>
      <c r="P55" s="398"/>
      <c r="Q55" s="398"/>
      <c r="S55" s="674" t="s">
        <v>3873</v>
      </c>
      <c r="CE55" s="571"/>
      <c r="CF55" s="571"/>
      <c r="CG55" s="571"/>
      <c r="CH55" s="571"/>
      <c r="CI55" s="571"/>
      <c r="CJ55" s="571"/>
      <c r="CN55" s="398"/>
      <c r="CO55" s="398"/>
      <c r="CP55" s="398"/>
      <c r="CQ55" s="745"/>
      <c r="CR55" s="745"/>
      <c r="CS55" s="737"/>
      <c r="CT55" s="737"/>
      <c r="CU55" s="737"/>
      <c r="CV55" s="737"/>
      <c r="CW55" s="737"/>
      <c r="CX55" s="737"/>
      <c r="DB55" s="740" t="s">
        <v>3582</v>
      </c>
      <c r="DC55" s="690">
        <v>4</v>
      </c>
      <c r="DD55" s="690">
        <v>2</v>
      </c>
      <c r="DE55" s="690">
        <v>3</v>
      </c>
      <c r="DF55" s="690">
        <v>7</v>
      </c>
      <c r="DG55" s="690">
        <v>7</v>
      </c>
      <c r="DH55" s="690">
        <v>13</v>
      </c>
      <c r="DI55" s="738">
        <v>2</v>
      </c>
      <c r="DJ55" s="738">
        <v>5</v>
      </c>
      <c r="DK55" s="738">
        <v>3</v>
      </c>
      <c r="DL55" s="738">
        <v>2</v>
      </c>
      <c r="DQ55" s="737"/>
      <c r="DR55" s="737"/>
      <c r="EI55" s="705" t="s">
        <v>3886</v>
      </c>
      <c r="EJ55" s="745">
        <v>41</v>
      </c>
      <c r="EK55" s="755">
        <f t="shared" si="72"/>
        <v>1.3204508856682771</v>
      </c>
      <c r="EL55" s="745">
        <v>17</v>
      </c>
      <c r="EM55" s="745">
        <v>24</v>
      </c>
      <c r="EN55" s="745">
        <v>24</v>
      </c>
      <c r="EO55" s="745">
        <v>17</v>
      </c>
      <c r="EP55" s="737">
        <v>38</v>
      </c>
      <c r="EQ55" s="737">
        <v>3</v>
      </c>
      <c r="ET55" s="398"/>
      <c r="EU55" s="398"/>
      <c r="EV55" s="398"/>
      <c r="EW55" s="398"/>
      <c r="EX55" s="398"/>
      <c r="EY55" s="398"/>
      <c r="EZ55" s="515"/>
      <c r="FA55" s="515"/>
      <c r="FB55" s="515"/>
      <c r="FE55" s="737"/>
      <c r="FF55" s="737"/>
      <c r="FG55" s="737"/>
      <c r="FH55" s="737"/>
      <c r="FI55" s="737"/>
      <c r="FJ55" s="737"/>
      <c r="FK55" s="737"/>
      <c r="FL55" s="737"/>
      <c r="FM55" s="737"/>
      <c r="FN55" s="737"/>
      <c r="FO55" s="737"/>
      <c r="FP55" s="737"/>
      <c r="FQ55" s="737"/>
      <c r="FR55" s="515"/>
      <c r="FS55" s="398"/>
      <c r="FT55" s="398"/>
      <c r="FU55" s="398"/>
      <c r="FV55" s="398"/>
      <c r="FW55" s="398"/>
      <c r="FX55" s="398"/>
      <c r="FY55" s="398"/>
      <c r="FZ55" s="398"/>
      <c r="GA55" s="812"/>
      <c r="GG55" s="811"/>
      <c r="GH55" s="811"/>
      <c r="GI55" s="811"/>
      <c r="GJ55" s="811"/>
      <c r="GK55" s="811"/>
      <c r="GL55" s="386" t="s">
        <v>3887</v>
      </c>
      <c r="GM55" s="385">
        <v>2</v>
      </c>
      <c r="GN55" s="385">
        <v>3</v>
      </c>
      <c r="GO55" s="385">
        <v>7</v>
      </c>
      <c r="GP55" s="385">
        <v>6</v>
      </c>
      <c r="GQ55" s="385">
        <v>9</v>
      </c>
      <c r="GR55" s="385"/>
      <c r="GS55" s="813"/>
      <c r="GW55" s="519"/>
      <c r="GX55" s="519"/>
      <c r="GY55" s="519"/>
      <c r="GZ55" s="519"/>
    </row>
    <row r="56" spans="1:223" ht="14.1" customHeight="1">
      <c r="A56" s="821" t="s">
        <v>3888</v>
      </c>
      <c r="B56" s="398"/>
      <c r="C56" s="821"/>
      <c r="D56" s="821"/>
      <c r="E56" s="398"/>
      <c r="F56" s="398"/>
      <c r="G56" s="398"/>
      <c r="J56" s="676"/>
      <c r="K56" s="398"/>
      <c r="L56" s="398"/>
      <c r="M56" s="398"/>
      <c r="N56" s="398"/>
      <c r="O56" s="398"/>
      <c r="P56" s="398"/>
      <c r="Q56" s="398"/>
      <c r="AN56" s="398"/>
      <c r="AO56" s="398"/>
      <c r="AP56" s="398"/>
      <c r="AQ56" s="398"/>
      <c r="AR56" s="398"/>
      <c r="AS56" s="398"/>
      <c r="AT56" s="398"/>
      <c r="AU56" s="737"/>
      <c r="CE56" s="571"/>
      <c r="CF56" s="571"/>
      <c r="CG56" s="571"/>
      <c r="CH56" s="571"/>
      <c r="CI56" s="571"/>
      <c r="CJ56" s="571"/>
      <c r="DB56" s="740" t="s">
        <v>3594</v>
      </c>
      <c r="DC56" s="690">
        <v>1</v>
      </c>
      <c r="DD56" s="690">
        <v>1</v>
      </c>
      <c r="DE56" s="690">
        <v>4</v>
      </c>
      <c r="DF56" s="690">
        <v>2</v>
      </c>
      <c r="DG56" s="690">
        <v>2</v>
      </c>
      <c r="DH56" s="690">
        <v>6</v>
      </c>
      <c r="DI56" s="738">
        <v>4</v>
      </c>
      <c r="DJ56" s="738">
        <v>4</v>
      </c>
      <c r="DK56" s="738">
        <v>2</v>
      </c>
      <c r="DL56" s="738">
        <v>3</v>
      </c>
      <c r="DQ56" s="737"/>
      <c r="DR56" s="737"/>
      <c r="EI56" s="705" t="s">
        <v>3889</v>
      </c>
      <c r="EJ56" s="745">
        <v>1294</v>
      </c>
      <c r="EK56" s="755">
        <f t="shared" si="72"/>
        <v>41.674718196457327</v>
      </c>
      <c r="EL56" s="745">
        <v>554</v>
      </c>
      <c r="EM56" s="745">
        <v>740</v>
      </c>
      <c r="EN56" s="745">
        <v>947</v>
      </c>
      <c r="EO56" s="745">
        <v>347</v>
      </c>
      <c r="EP56" s="737">
        <v>1205</v>
      </c>
      <c r="EQ56" s="737">
        <v>89</v>
      </c>
      <c r="ET56" s="398"/>
      <c r="EU56" s="398"/>
      <c r="EV56" s="398"/>
      <c r="EW56" s="398"/>
      <c r="EX56" s="398"/>
      <c r="EY56" s="398"/>
      <c r="EZ56" s="515"/>
      <c r="FA56" s="515"/>
      <c r="FB56" s="515"/>
      <c r="FE56" s="737"/>
      <c r="FF56" s="737"/>
      <c r="FG56" s="737"/>
      <c r="FH56" s="737"/>
      <c r="FI56" s="737"/>
      <c r="FJ56" s="737"/>
      <c r="FK56" s="737"/>
      <c r="FL56" s="737"/>
      <c r="FM56" s="737"/>
      <c r="FN56" s="737"/>
      <c r="FO56" s="737"/>
      <c r="FP56" s="737"/>
      <c r="FQ56" s="737"/>
      <c r="FR56" s="515"/>
      <c r="FS56" s="684" t="s">
        <v>3890</v>
      </c>
      <c r="FT56" s="398">
        <f>SUM(FT57:FT80)</f>
        <v>149</v>
      </c>
      <c r="FU56" s="398">
        <f>SUM(FU57:FU80)</f>
        <v>112</v>
      </c>
      <c r="FV56" s="398">
        <f>SUM(FV58:FV80)</f>
        <v>121</v>
      </c>
      <c r="FW56" s="398">
        <f>SUM(FW58:FW80)</f>
        <v>129</v>
      </c>
      <c r="FX56" s="398">
        <f>SUM(FX58:FX80)</f>
        <v>135</v>
      </c>
      <c r="FY56" s="398">
        <f>SUM(FY58:FY80)</f>
        <v>145</v>
      </c>
      <c r="FZ56" s="398"/>
      <c r="GA56" s="812"/>
      <c r="GG56" s="811"/>
      <c r="GH56" s="811"/>
      <c r="GI56" s="811"/>
      <c r="GJ56" s="811"/>
      <c r="GK56" s="811"/>
      <c r="GL56" s="386" t="s">
        <v>3795</v>
      </c>
      <c r="GM56" s="385">
        <v>0</v>
      </c>
      <c r="GN56" s="385">
        <v>1</v>
      </c>
      <c r="GO56" s="385">
        <v>0</v>
      </c>
      <c r="GP56" s="385">
        <v>1</v>
      </c>
      <c r="GQ56" s="385">
        <v>5</v>
      </c>
      <c r="GR56" s="385"/>
      <c r="GS56" s="813"/>
      <c r="HC56" s="519"/>
      <c r="HD56" s="519"/>
      <c r="HE56" s="519"/>
    </row>
    <row r="57" spans="1:223" ht="14.1" customHeight="1">
      <c r="A57" s="398" t="s">
        <v>3891</v>
      </c>
      <c r="C57" s="398"/>
      <c r="D57" s="398"/>
      <c r="E57" s="398"/>
      <c r="F57" s="398"/>
      <c r="G57" s="398"/>
      <c r="AU57" s="737"/>
      <c r="CE57" s="571"/>
      <c r="CF57" s="571"/>
      <c r="CG57" s="571"/>
      <c r="CH57" s="571"/>
      <c r="CI57" s="571"/>
      <c r="CJ57" s="571"/>
      <c r="DB57" s="740" t="s">
        <v>3606</v>
      </c>
      <c r="DC57" s="690">
        <v>0</v>
      </c>
      <c r="DD57" s="690">
        <v>3</v>
      </c>
      <c r="DE57" s="690">
        <v>5</v>
      </c>
      <c r="DF57" s="690">
        <v>3</v>
      </c>
      <c r="DG57" s="690">
        <v>4</v>
      </c>
      <c r="DH57" s="690">
        <v>10</v>
      </c>
      <c r="DI57" s="738">
        <v>2</v>
      </c>
      <c r="DJ57" s="738">
        <v>6</v>
      </c>
      <c r="DK57" s="738">
        <v>4</v>
      </c>
      <c r="DL57" s="738">
        <v>3</v>
      </c>
      <c r="DQ57" s="737"/>
      <c r="DR57" s="737"/>
      <c r="EI57" s="705" t="s">
        <v>3892</v>
      </c>
      <c r="EJ57" s="745">
        <v>5</v>
      </c>
      <c r="EK57" s="755">
        <f t="shared" si="72"/>
        <v>0.1610305958132045</v>
      </c>
      <c r="EL57" s="745">
        <v>3</v>
      </c>
      <c r="EM57" s="745">
        <v>2</v>
      </c>
      <c r="EN57" s="745">
        <v>3</v>
      </c>
      <c r="EO57" s="745">
        <v>2</v>
      </c>
      <c r="EP57" s="737">
        <v>5</v>
      </c>
      <c r="EQ57" s="737">
        <v>0</v>
      </c>
      <c r="ET57" s="398"/>
      <c r="EU57" s="398"/>
      <c r="EV57" s="398"/>
      <c r="EW57" s="398"/>
      <c r="EX57" s="398"/>
      <c r="EY57" s="398"/>
      <c r="EZ57" s="515"/>
      <c r="FA57" s="398"/>
      <c r="FB57" s="398"/>
      <c r="FE57" s="737"/>
      <c r="FF57" s="737"/>
      <c r="FG57" s="737"/>
      <c r="FH57" s="737"/>
      <c r="FI57" s="737"/>
      <c r="FJ57" s="737"/>
      <c r="FK57" s="737"/>
      <c r="FL57" s="737"/>
      <c r="FM57" s="737"/>
      <c r="FN57" s="737"/>
      <c r="FO57" s="737"/>
      <c r="FR57" s="398"/>
      <c r="FS57" s="398" t="s">
        <v>3893</v>
      </c>
      <c r="FT57" s="398">
        <v>8</v>
      </c>
      <c r="FU57" s="519">
        <v>22</v>
      </c>
      <c r="FV57" s="519" t="s">
        <v>546</v>
      </c>
      <c r="FW57" s="519" t="s">
        <v>546</v>
      </c>
      <c r="FX57" s="519" t="s">
        <v>546</v>
      </c>
      <c r="FY57" s="519" t="s">
        <v>546</v>
      </c>
      <c r="FZ57" s="398"/>
      <c r="GA57" s="812"/>
      <c r="GG57" s="811"/>
      <c r="GH57" s="811"/>
      <c r="GI57" s="811"/>
      <c r="GJ57" s="811"/>
      <c r="GK57" s="811"/>
      <c r="GL57" s="386" t="s">
        <v>3894</v>
      </c>
      <c r="GM57" s="385">
        <v>1</v>
      </c>
      <c r="GN57" s="385">
        <v>1</v>
      </c>
      <c r="GO57" s="385">
        <v>2</v>
      </c>
      <c r="GP57" s="385">
        <v>1</v>
      </c>
      <c r="GQ57" s="385">
        <v>1</v>
      </c>
      <c r="GR57" s="385"/>
      <c r="GS57" s="815"/>
      <c r="HB57" s="519"/>
      <c r="HF57" s="515"/>
      <c r="HG57" s="515"/>
    </row>
    <row r="58" spans="1:223" ht="14.1" customHeight="1">
      <c r="A58" s="398" t="s">
        <v>3895</v>
      </c>
      <c r="B58" s="398"/>
      <c r="C58" s="398"/>
      <c r="D58" s="398"/>
      <c r="F58" s="398"/>
      <c r="G58" s="398"/>
      <c r="J58" s="676"/>
      <c r="K58" s="676"/>
      <c r="L58" s="676"/>
      <c r="M58" s="676"/>
      <c r="N58" s="676"/>
      <c r="O58" s="676"/>
      <c r="P58" s="676"/>
      <c r="Q58" s="676"/>
      <c r="AU58" s="737"/>
      <c r="CE58" s="571"/>
      <c r="CF58" s="571"/>
      <c r="CG58" s="571"/>
      <c r="CH58" s="571"/>
      <c r="CI58" s="571"/>
      <c r="CJ58" s="571"/>
      <c r="DB58" s="740" t="s">
        <v>3619</v>
      </c>
      <c r="DC58" s="690">
        <v>0</v>
      </c>
      <c r="DD58" s="690">
        <v>1</v>
      </c>
      <c r="DE58" s="690">
        <v>1</v>
      </c>
      <c r="DF58" s="690">
        <v>0</v>
      </c>
      <c r="DG58" s="690">
        <v>2</v>
      </c>
      <c r="DH58" s="690">
        <v>0</v>
      </c>
      <c r="DI58" s="738">
        <v>1</v>
      </c>
      <c r="DJ58" s="738">
        <v>3</v>
      </c>
      <c r="DK58" s="738">
        <v>0</v>
      </c>
      <c r="DL58" s="738">
        <v>1</v>
      </c>
      <c r="EI58" s="705" t="s">
        <v>3896</v>
      </c>
      <c r="EJ58" s="745">
        <v>34</v>
      </c>
      <c r="EK58" s="755">
        <f t="shared" si="72"/>
        <v>1.0950080515297906</v>
      </c>
      <c r="EL58" s="745">
        <v>15</v>
      </c>
      <c r="EM58" s="745">
        <v>19</v>
      </c>
      <c r="EN58" s="745">
        <v>25</v>
      </c>
      <c r="EO58" s="745">
        <v>9</v>
      </c>
      <c r="EP58" s="737">
        <v>31</v>
      </c>
      <c r="EQ58" s="737">
        <v>3</v>
      </c>
      <c r="ET58" s="398"/>
      <c r="EU58" s="398"/>
      <c r="EV58" s="398"/>
      <c r="EW58" s="398"/>
      <c r="EX58" s="398"/>
      <c r="EY58" s="398"/>
      <c r="EZ58" s="515"/>
      <c r="FA58" s="515"/>
      <c r="FB58" s="515"/>
      <c r="FE58" s="737"/>
      <c r="FF58" s="737"/>
      <c r="FG58" s="737"/>
      <c r="FH58" s="737"/>
      <c r="FI58" s="737"/>
      <c r="FJ58" s="737"/>
      <c r="FK58" s="737"/>
      <c r="FL58" s="737"/>
      <c r="FM58" s="737"/>
      <c r="FN58" s="737"/>
      <c r="FO58" s="737"/>
      <c r="FR58" s="398"/>
      <c r="FS58" s="398" t="s">
        <v>3897</v>
      </c>
      <c r="FT58" s="398">
        <v>2</v>
      </c>
      <c r="FU58" s="398">
        <v>2</v>
      </c>
      <c r="FV58" s="398">
        <v>2</v>
      </c>
      <c r="FW58" s="398">
        <v>1</v>
      </c>
      <c r="FX58" s="398">
        <v>2</v>
      </c>
      <c r="FY58" s="398">
        <v>5</v>
      </c>
      <c r="FZ58" s="398"/>
      <c r="GA58" s="812"/>
      <c r="GG58" s="811"/>
      <c r="GH58" s="811"/>
      <c r="GI58" s="811"/>
      <c r="GJ58" s="811"/>
      <c r="GK58" s="811"/>
      <c r="GL58" s="386"/>
      <c r="GM58" s="386"/>
      <c r="GN58" s="385"/>
      <c r="GO58" s="519"/>
      <c r="GP58" s="519"/>
      <c r="GQ58" s="519"/>
      <c r="GR58" s="519"/>
      <c r="GS58" s="571"/>
    </row>
    <row r="59" spans="1:223" ht="14.1" customHeight="1">
      <c r="A59" s="398" t="s">
        <v>3898</v>
      </c>
      <c r="B59" s="398"/>
      <c r="C59" s="398"/>
      <c r="D59" s="398"/>
      <c r="E59" s="398"/>
      <c r="F59" s="398"/>
      <c r="G59" s="398"/>
      <c r="J59" s="676"/>
      <c r="K59" s="676"/>
      <c r="L59" s="676"/>
      <c r="M59" s="676"/>
      <c r="N59" s="676"/>
      <c r="O59" s="676"/>
      <c r="P59" s="676"/>
      <c r="Q59" s="676"/>
      <c r="S59" s="398" t="s">
        <v>3899</v>
      </c>
      <c r="U59" s="678"/>
      <c r="V59" s="678"/>
      <c r="W59" s="678"/>
      <c r="X59" s="678"/>
      <c r="Y59" s="678"/>
      <c r="Z59" s="678"/>
      <c r="AA59" s="678"/>
      <c r="AB59" s="678"/>
      <c r="AC59" s="678"/>
      <c r="AD59" s="678"/>
      <c r="AE59" s="678"/>
      <c r="AF59" s="678"/>
      <c r="AG59" s="678"/>
      <c r="AH59" s="678"/>
      <c r="AI59" s="678"/>
      <c r="AU59" s="737"/>
      <c r="CE59" s="571"/>
      <c r="CF59" s="571"/>
      <c r="CG59" s="571"/>
      <c r="CH59" s="571"/>
      <c r="CI59" s="571"/>
      <c r="CJ59" s="571"/>
      <c r="DB59" s="740" t="s">
        <v>3628</v>
      </c>
      <c r="DC59" s="690">
        <v>0</v>
      </c>
      <c r="DD59" s="690">
        <v>0</v>
      </c>
      <c r="DE59" s="690">
        <v>1</v>
      </c>
      <c r="DF59" s="690">
        <v>0</v>
      </c>
      <c r="DG59" s="690">
        <v>0</v>
      </c>
      <c r="DH59" s="690">
        <v>2</v>
      </c>
      <c r="DI59" s="738">
        <v>1</v>
      </c>
      <c r="DJ59" s="738">
        <v>0</v>
      </c>
      <c r="DK59" s="738">
        <v>0</v>
      </c>
      <c r="DL59" s="738">
        <v>1</v>
      </c>
      <c r="EI59" s="705" t="s">
        <v>3900</v>
      </c>
      <c r="EJ59" s="745">
        <v>67</v>
      </c>
      <c r="EK59" s="755">
        <f t="shared" si="72"/>
        <v>2.1578099838969402</v>
      </c>
      <c r="EL59" s="745">
        <v>40</v>
      </c>
      <c r="EM59" s="745">
        <v>27</v>
      </c>
      <c r="EN59" s="745">
        <v>48</v>
      </c>
      <c r="EO59" s="745">
        <v>19</v>
      </c>
      <c r="EP59" s="737">
        <v>61</v>
      </c>
      <c r="EQ59" s="737">
        <v>6</v>
      </c>
      <c r="ET59" s="398"/>
      <c r="EU59" s="398"/>
      <c r="EV59" s="398"/>
      <c r="EW59" s="398"/>
      <c r="EX59" s="398"/>
      <c r="EY59" s="398"/>
      <c r="EZ59" s="515"/>
      <c r="FA59" s="515"/>
      <c r="FB59" s="515"/>
      <c r="FE59" s="737"/>
      <c r="FF59" s="737"/>
      <c r="FG59" s="737"/>
      <c r="FH59" s="737"/>
      <c r="FI59" s="737"/>
      <c r="FJ59" s="737"/>
      <c r="FK59" s="737"/>
      <c r="FL59" s="737"/>
      <c r="FM59" s="737"/>
      <c r="FN59" s="737"/>
      <c r="FO59" s="737"/>
      <c r="FR59" s="398"/>
      <c r="FS59" s="398" t="s">
        <v>3901</v>
      </c>
      <c r="FT59" s="398">
        <v>0</v>
      </c>
      <c r="FU59" s="674">
        <v>0</v>
      </c>
      <c r="FV59" s="398">
        <v>0</v>
      </c>
      <c r="FW59" s="398">
        <v>0</v>
      </c>
      <c r="FX59" s="398">
        <v>0</v>
      </c>
      <c r="FY59" s="385">
        <v>0</v>
      </c>
      <c r="FZ59" s="398"/>
      <c r="GA59" s="812"/>
      <c r="GG59" s="811"/>
      <c r="GH59" s="811"/>
      <c r="GI59" s="811"/>
      <c r="GJ59" s="811"/>
      <c r="GK59" s="811"/>
      <c r="GL59" s="756" t="s">
        <v>3902</v>
      </c>
      <c r="GM59" s="385">
        <f>SUM(GM60:GM66)</f>
        <v>445</v>
      </c>
      <c r="GN59" s="385">
        <f>SUM(GN60:GN66)</f>
        <v>362</v>
      </c>
      <c r="GO59" s="385">
        <f>SUM(GO60:GO66)</f>
        <v>389</v>
      </c>
      <c r="GP59" s="385">
        <f>SUM(GP60:GP66)</f>
        <v>345</v>
      </c>
      <c r="GQ59" s="385">
        <f>SUM(GQ60:GQ66)</f>
        <v>353</v>
      </c>
      <c r="GR59" s="385"/>
      <c r="GS59" s="822"/>
      <c r="GU59" s="519"/>
      <c r="GV59" s="519"/>
      <c r="HC59" s="515"/>
      <c r="HD59" s="515"/>
      <c r="HE59" s="515"/>
    </row>
    <row r="60" spans="1:223" ht="14.1" customHeight="1">
      <c r="A60" s="398" t="s">
        <v>3903</v>
      </c>
      <c r="B60" s="398"/>
      <c r="C60" s="398"/>
      <c r="D60" s="398"/>
      <c r="E60" s="398"/>
      <c r="F60" s="398"/>
      <c r="G60" s="398"/>
      <c r="J60" s="676"/>
      <c r="K60" s="677"/>
      <c r="L60" s="677"/>
      <c r="M60" s="677"/>
      <c r="N60" s="677"/>
      <c r="O60" s="677"/>
      <c r="P60" s="677"/>
      <c r="Q60" s="677"/>
      <c r="S60" s="695"/>
      <c r="T60" s="696"/>
      <c r="U60" s="697" t="s">
        <v>129</v>
      </c>
      <c r="V60" s="690" t="s">
        <v>3444</v>
      </c>
      <c r="W60" s="697" t="s">
        <v>3445</v>
      </c>
      <c r="X60" s="697" t="s">
        <v>3446</v>
      </c>
      <c r="Y60" s="697" t="s">
        <v>115</v>
      </c>
      <c r="Z60" s="697" t="s">
        <v>116</v>
      </c>
      <c r="AA60" s="697" t="s">
        <v>117</v>
      </c>
      <c r="AB60" s="697" t="s">
        <v>118</v>
      </c>
      <c r="AC60" s="697" t="s">
        <v>3447</v>
      </c>
      <c r="AD60" s="697" t="s">
        <v>3448</v>
      </c>
      <c r="AE60" s="697" t="s">
        <v>3449</v>
      </c>
      <c r="AF60" s="697" t="s">
        <v>3450</v>
      </c>
      <c r="AG60" s="697" t="s">
        <v>3451</v>
      </c>
      <c r="AH60" s="697" t="s">
        <v>3452</v>
      </c>
      <c r="AI60" s="697" t="s">
        <v>3095</v>
      </c>
      <c r="AJ60" s="689" t="s">
        <v>3101</v>
      </c>
      <c r="CE60" s="571"/>
      <c r="CF60" s="571"/>
      <c r="CG60" s="571"/>
      <c r="CH60" s="571"/>
      <c r="CI60" s="571"/>
      <c r="CJ60" s="571"/>
      <c r="DB60" s="740" t="s">
        <v>3640</v>
      </c>
      <c r="DC60" s="690">
        <v>1</v>
      </c>
      <c r="DD60" s="690">
        <v>2</v>
      </c>
      <c r="DE60" s="690">
        <v>2</v>
      </c>
      <c r="DF60" s="690">
        <v>1</v>
      </c>
      <c r="DG60" s="690">
        <v>4</v>
      </c>
      <c r="DH60" s="690">
        <v>0</v>
      </c>
      <c r="DI60" s="738">
        <v>2</v>
      </c>
      <c r="DJ60" s="738">
        <v>2</v>
      </c>
      <c r="DK60" s="738">
        <v>0</v>
      </c>
      <c r="DL60" s="738">
        <v>2</v>
      </c>
      <c r="DQ60" s="737"/>
      <c r="DR60" s="737"/>
      <c r="EI60" s="705" t="s">
        <v>3904</v>
      </c>
      <c r="EJ60" s="745">
        <v>14</v>
      </c>
      <c r="EK60" s="755">
        <f t="shared" si="72"/>
        <v>0.45088566827697263</v>
      </c>
      <c r="EL60" s="745">
        <v>8</v>
      </c>
      <c r="EM60" s="745">
        <v>6</v>
      </c>
      <c r="EN60" s="745">
        <v>11</v>
      </c>
      <c r="EO60" s="745">
        <v>3</v>
      </c>
      <c r="EP60" s="737">
        <v>12</v>
      </c>
      <c r="EQ60" s="737">
        <v>2</v>
      </c>
      <c r="ET60" s="398"/>
      <c r="EU60" s="398"/>
      <c r="EV60" s="398"/>
      <c r="EW60" s="398"/>
      <c r="EX60" s="398"/>
      <c r="EY60" s="398"/>
      <c r="EZ60" s="515"/>
      <c r="FA60" s="398"/>
      <c r="FB60" s="398"/>
      <c r="FE60" s="737"/>
      <c r="FF60" s="737"/>
      <c r="FG60" s="737"/>
      <c r="FH60" s="737"/>
      <c r="FI60" s="737"/>
      <c r="FJ60" s="737"/>
      <c r="FK60" s="737"/>
      <c r="FL60" s="737"/>
      <c r="FM60" s="737"/>
      <c r="FN60" s="737"/>
      <c r="FO60" s="737"/>
      <c r="FR60" s="398"/>
      <c r="FS60" s="398" t="s">
        <v>3632</v>
      </c>
      <c r="FT60" s="398">
        <v>4</v>
      </c>
      <c r="FU60" s="398">
        <v>11</v>
      </c>
      <c r="FV60" s="398">
        <v>6</v>
      </c>
      <c r="FW60" s="398">
        <v>7</v>
      </c>
      <c r="FX60" s="398">
        <v>6</v>
      </c>
      <c r="FY60" s="398">
        <v>7</v>
      </c>
      <c r="FZ60" s="398"/>
      <c r="GA60" s="812"/>
      <c r="GG60" s="811"/>
      <c r="GH60" s="811"/>
      <c r="GI60" s="811"/>
      <c r="GJ60" s="811"/>
      <c r="GK60" s="811"/>
      <c r="GL60" s="386" t="s">
        <v>3905</v>
      </c>
      <c r="GM60" s="398">
        <v>31</v>
      </c>
      <c r="GN60" s="385">
        <v>28</v>
      </c>
      <c r="GO60" s="385">
        <v>37</v>
      </c>
      <c r="GP60" s="385">
        <v>19</v>
      </c>
      <c r="GQ60" s="385">
        <v>18</v>
      </c>
      <c r="GR60" s="385"/>
      <c r="GS60" s="813"/>
      <c r="HB60" s="515"/>
    </row>
    <row r="61" spans="1:223" ht="14.1" customHeight="1">
      <c r="A61" s="398" t="s">
        <v>3906</v>
      </c>
      <c r="B61" s="398"/>
      <c r="C61" s="398"/>
      <c r="D61" s="398"/>
      <c r="E61" s="398"/>
      <c r="F61" s="398"/>
      <c r="G61" s="398"/>
      <c r="J61" s="760"/>
      <c r="K61" s="760"/>
      <c r="L61" s="760"/>
      <c r="M61" s="760"/>
      <c r="N61" s="760"/>
      <c r="O61" s="760"/>
      <c r="P61" s="760"/>
      <c r="Q61" s="760"/>
      <c r="S61" s="678" t="s">
        <v>3472</v>
      </c>
      <c r="T61" s="719" t="s">
        <v>3473</v>
      </c>
      <c r="U61" s="712" t="s">
        <v>3474</v>
      </c>
      <c r="V61" s="712" t="s">
        <v>3475</v>
      </c>
      <c r="W61" s="712" t="s">
        <v>3476</v>
      </c>
      <c r="X61" s="712" t="s">
        <v>3477</v>
      </c>
      <c r="Y61" s="712" t="s">
        <v>3478</v>
      </c>
      <c r="Z61" s="712" t="s">
        <v>3478</v>
      </c>
      <c r="AA61" s="712" t="s">
        <v>3478</v>
      </c>
      <c r="AB61" s="712" t="s">
        <v>3478</v>
      </c>
      <c r="AC61" s="712" t="s">
        <v>3478</v>
      </c>
      <c r="AD61" s="712" t="s">
        <v>3478</v>
      </c>
      <c r="AE61" s="712" t="s">
        <v>3478</v>
      </c>
      <c r="AF61" s="712" t="s">
        <v>3478</v>
      </c>
      <c r="AG61" s="712" t="s">
        <v>3478</v>
      </c>
      <c r="AH61" s="712" t="s">
        <v>3478</v>
      </c>
      <c r="AI61" s="712" t="s">
        <v>3478</v>
      </c>
      <c r="AJ61" s="713" t="s">
        <v>3478</v>
      </c>
      <c r="AN61" s="398"/>
      <c r="AO61" s="398"/>
      <c r="AP61" s="398"/>
      <c r="AQ61" s="398"/>
      <c r="AR61" s="398"/>
      <c r="AS61" s="398"/>
      <c r="AT61" s="398"/>
      <c r="DG61" s="737"/>
      <c r="DH61" s="737"/>
      <c r="DI61" s="737"/>
      <c r="DJ61" s="737"/>
      <c r="DK61" s="738"/>
      <c r="DL61" s="738"/>
      <c r="DQ61" s="737"/>
      <c r="DR61" s="737"/>
      <c r="EI61" s="705" t="s">
        <v>2595</v>
      </c>
      <c r="EJ61" s="745">
        <v>2</v>
      </c>
      <c r="EK61" s="755">
        <f t="shared" si="72"/>
        <v>6.4412238325281812E-2</v>
      </c>
      <c r="EL61" s="745">
        <v>1</v>
      </c>
      <c r="EM61" s="745">
        <v>1</v>
      </c>
      <c r="EN61" s="745">
        <v>2</v>
      </c>
      <c r="EO61" s="823">
        <v>0</v>
      </c>
      <c r="EP61" s="757">
        <v>2</v>
      </c>
      <c r="EQ61" s="757">
        <v>0</v>
      </c>
      <c r="ET61" s="398"/>
      <c r="EU61" s="398"/>
      <c r="EV61" s="398"/>
      <c r="EW61" s="398"/>
      <c r="EX61" s="398"/>
      <c r="EY61" s="398"/>
      <c r="EZ61" s="515"/>
      <c r="FA61" s="515"/>
      <c r="FB61" s="515"/>
      <c r="FE61" s="737"/>
      <c r="FF61" s="737"/>
      <c r="FG61" s="737"/>
      <c r="FH61" s="737"/>
      <c r="FI61" s="737"/>
      <c r="FJ61" s="737"/>
      <c r="FK61" s="737"/>
      <c r="FL61" s="737"/>
      <c r="FM61" s="737"/>
      <c r="FN61" s="737"/>
      <c r="FO61" s="737"/>
      <c r="FR61" s="398"/>
      <c r="FS61" s="398" t="s">
        <v>3907</v>
      </c>
      <c r="FT61" s="398">
        <v>26</v>
      </c>
      <c r="FU61" s="674">
        <v>1</v>
      </c>
      <c r="FV61" s="398">
        <v>9</v>
      </c>
      <c r="FW61" s="398">
        <v>11</v>
      </c>
      <c r="FX61" s="398">
        <v>13</v>
      </c>
      <c r="FY61" s="398">
        <v>10</v>
      </c>
      <c r="FZ61" s="398"/>
      <c r="GA61" s="812"/>
      <c r="GG61" s="811"/>
      <c r="GH61" s="811"/>
      <c r="GI61" s="811"/>
      <c r="GL61" s="386" t="s">
        <v>3908</v>
      </c>
      <c r="GM61" s="398">
        <v>0</v>
      </c>
      <c r="GN61" s="385">
        <v>0</v>
      </c>
      <c r="GO61" s="385">
        <v>0</v>
      </c>
      <c r="GP61" s="385">
        <v>0</v>
      </c>
      <c r="GQ61" s="385">
        <v>0</v>
      </c>
      <c r="GR61" s="385"/>
      <c r="GS61" s="813"/>
      <c r="GW61" s="519"/>
      <c r="GX61" s="519"/>
      <c r="GY61" s="519"/>
      <c r="GZ61" s="519"/>
    </row>
    <row r="62" spans="1:223" ht="14.1" customHeight="1">
      <c r="A62" s="398" t="s">
        <v>3909</v>
      </c>
      <c r="B62" s="398"/>
      <c r="C62" s="398"/>
      <c r="D62" s="398"/>
      <c r="E62" s="398"/>
      <c r="F62" s="398"/>
      <c r="G62" s="398"/>
      <c r="J62" s="760"/>
      <c r="K62" s="760"/>
      <c r="L62" s="760"/>
      <c r="M62" s="760"/>
      <c r="N62" s="760"/>
      <c r="O62" s="760"/>
      <c r="P62" s="760"/>
      <c r="Q62" s="760"/>
      <c r="S62" s="398" t="s">
        <v>3502</v>
      </c>
      <c r="T62" s="740"/>
      <c r="U62" s="741">
        <f>SUM(U63,U79,U88,U100)</f>
        <v>24322</v>
      </c>
      <c r="V62" s="741">
        <f t="shared" ref="V62:AI62" si="73">SUM(V63,V79,V88,V100)</f>
        <v>475</v>
      </c>
      <c r="W62" s="741">
        <f t="shared" si="73"/>
        <v>162</v>
      </c>
      <c r="X62" s="741">
        <f t="shared" si="73"/>
        <v>1377</v>
      </c>
      <c r="Y62" s="741">
        <f t="shared" si="73"/>
        <v>1640</v>
      </c>
      <c r="Z62" s="741">
        <f t="shared" si="73"/>
        <v>1765</v>
      </c>
      <c r="AA62" s="741">
        <f t="shared" si="73"/>
        <v>1681</v>
      </c>
      <c r="AB62" s="741">
        <f t="shared" si="73"/>
        <v>1808</v>
      </c>
      <c r="AC62" s="741">
        <f t="shared" si="73"/>
        <v>1791</v>
      </c>
      <c r="AD62" s="741">
        <f t="shared" si="73"/>
        <v>1728</v>
      </c>
      <c r="AE62" s="741">
        <f t="shared" si="73"/>
        <v>1704</v>
      </c>
      <c r="AF62" s="741">
        <f t="shared" si="73"/>
        <v>1779</v>
      </c>
      <c r="AG62" s="741">
        <f t="shared" si="73"/>
        <v>2527</v>
      </c>
      <c r="AH62" s="741">
        <f t="shared" si="73"/>
        <v>2271</v>
      </c>
      <c r="AI62" s="741">
        <f t="shared" si="73"/>
        <v>2148</v>
      </c>
      <c r="AJ62" s="741">
        <f>SUM(AJ63,AJ79,AJ88,AJ100)</f>
        <v>1466</v>
      </c>
      <c r="DB62" s="740" t="s">
        <v>3673</v>
      </c>
      <c r="DC62" s="690">
        <f t="shared" ref="DC62:DL62" si="74">SUM(DC63:DC70)</f>
        <v>24</v>
      </c>
      <c r="DD62" s="690">
        <f t="shared" si="74"/>
        <v>25</v>
      </c>
      <c r="DE62" s="690">
        <f t="shared" si="74"/>
        <v>24</v>
      </c>
      <c r="DF62" s="690">
        <f t="shared" si="74"/>
        <v>8</v>
      </c>
      <c r="DG62" s="738">
        <f t="shared" si="74"/>
        <v>22</v>
      </c>
      <c r="DH62" s="738">
        <f t="shared" si="74"/>
        <v>56</v>
      </c>
      <c r="DI62" s="738">
        <f t="shared" si="74"/>
        <v>12</v>
      </c>
      <c r="DJ62" s="738">
        <f t="shared" si="74"/>
        <v>20</v>
      </c>
      <c r="DK62" s="738">
        <f t="shared" si="74"/>
        <v>11</v>
      </c>
      <c r="DL62" s="738">
        <f t="shared" si="74"/>
        <v>16</v>
      </c>
      <c r="DQ62" s="737"/>
      <c r="DR62" s="737"/>
      <c r="EI62" s="705" t="s">
        <v>3910</v>
      </c>
      <c r="EJ62" s="745">
        <v>0</v>
      </c>
      <c r="EK62" s="755">
        <f t="shared" si="72"/>
        <v>0</v>
      </c>
      <c r="EL62" s="745">
        <v>0</v>
      </c>
      <c r="EM62" s="745">
        <v>0</v>
      </c>
      <c r="EN62" s="745">
        <v>0</v>
      </c>
      <c r="EO62" s="745">
        <v>0</v>
      </c>
      <c r="EP62" s="737">
        <v>0</v>
      </c>
      <c r="EQ62" s="737">
        <v>0</v>
      </c>
      <c r="ET62" s="398"/>
      <c r="EU62" s="398"/>
      <c r="EV62" s="398"/>
      <c r="EW62" s="398"/>
      <c r="EX62" s="398"/>
      <c r="EY62" s="398"/>
      <c r="EZ62" s="515"/>
      <c r="FA62" s="515"/>
      <c r="FB62" s="515"/>
      <c r="FE62" s="737"/>
      <c r="FF62" s="737"/>
      <c r="FG62" s="737"/>
      <c r="FH62" s="737"/>
      <c r="FI62" s="737"/>
      <c r="FJ62" s="737"/>
      <c r="FK62" s="737"/>
      <c r="FL62" s="737"/>
      <c r="FM62" s="737"/>
      <c r="FN62" s="737"/>
      <c r="FO62" s="737"/>
      <c r="FR62" s="398"/>
      <c r="FS62" s="398" t="s">
        <v>3911</v>
      </c>
      <c r="FT62" s="398">
        <v>6</v>
      </c>
      <c r="FU62" s="398">
        <v>3</v>
      </c>
      <c r="FV62" s="398">
        <v>0</v>
      </c>
      <c r="FW62" s="398">
        <v>5</v>
      </c>
      <c r="FX62" s="398">
        <v>1</v>
      </c>
      <c r="FY62" s="398">
        <v>2</v>
      </c>
      <c r="FZ62" s="398"/>
      <c r="GA62" s="812"/>
      <c r="GL62" s="386" t="s">
        <v>3912</v>
      </c>
      <c r="GM62" s="398">
        <v>0</v>
      </c>
      <c r="GN62" s="385">
        <v>0</v>
      </c>
      <c r="GO62" s="385">
        <v>0</v>
      </c>
      <c r="GP62" s="385">
        <v>1</v>
      </c>
      <c r="GQ62" s="385">
        <v>3</v>
      </c>
      <c r="GR62" s="385"/>
      <c r="GS62" s="813"/>
      <c r="GU62" s="515"/>
      <c r="GV62" s="515"/>
    </row>
    <row r="63" spans="1:223" ht="14.1" customHeight="1">
      <c r="A63" s="398" t="s">
        <v>3913</v>
      </c>
      <c r="B63" s="398"/>
      <c r="C63" s="398"/>
      <c r="D63" s="398"/>
      <c r="E63" s="398"/>
      <c r="F63" s="398"/>
      <c r="G63" s="398"/>
      <c r="J63" s="737"/>
      <c r="K63" s="737"/>
      <c r="L63" s="737"/>
      <c r="M63" s="737"/>
      <c r="N63" s="737"/>
      <c r="O63" s="737"/>
      <c r="P63" s="737"/>
      <c r="Q63" s="737"/>
      <c r="S63" s="398" t="s">
        <v>3520</v>
      </c>
      <c r="T63" s="740"/>
      <c r="U63" s="738">
        <f>SUM(U64:U77)</f>
        <v>9809</v>
      </c>
      <c r="V63" s="738">
        <f>SUM(V64:V77)</f>
        <v>200</v>
      </c>
      <c r="W63" s="738">
        <f>SUM(W64:W77)</f>
        <v>39</v>
      </c>
      <c r="X63" s="738">
        <f>SUM(X64:X77)</f>
        <v>594</v>
      </c>
      <c r="Y63" s="738">
        <f t="shared" ref="Y63:AJ63" si="75">SUM(Y64:Y77)</f>
        <v>683</v>
      </c>
      <c r="Z63" s="738">
        <f t="shared" si="75"/>
        <v>754</v>
      </c>
      <c r="AA63" s="738">
        <f t="shared" si="75"/>
        <v>725</v>
      </c>
      <c r="AB63" s="738">
        <f t="shared" si="75"/>
        <v>764</v>
      </c>
      <c r="AC63" s="738">
        <f t="shared" si="75"/>
        <v>774</v>
      </c>
      <c r="AD63" s="738">
        <f t="shared" si="75"/>
        <v>761</v>
      </c>
      <c r="AE63" s="738">
        <f t="shared" si="75"/>
        <v>718</v>
      </c>
      <c r="AF63" s="738">
        <f t="shared" si="75"/>
        <v>785</v>
      </c>
      <c r="AG63" s="738">
        <f t="shared" si="75"/>
        <v>1019</v>
      </c>
      <c r="AH63" s="738">
        <f t="shared" si="75"/>
        <v>811</v>
      </c>
      <c r="AI63" s="738">
        <f t="shared" si="75"/>
        <v>676</v>
      </c>
      <c r="AJ63" s="738">
        <f t="shared" si="75"/>
        <v>506</v>
      </c>
      <c r="AN63" s="773"/>
      <c r="AO63" s="773"/>
      <c r="AP63" s="773"/>
      <c r="AQ63" s="773"/>
      <c r="AR63" s="773"/>
      <c r="AS63" s="773"/>
      <c r="AT63" s="773"/>
      <c r="DB63" s="740" t="s">
        <v>3555</v>
      </c>
      <c r="DC63" s="690">
        <v>1</v>
      </c>
      <c r="DD63" s="690">
        <v>0</v>
      </c>
      <c r="DE63" s="690">
        <v>1</v>
      </c>
      <c r="DF63" s="690">
        <v>0</v>
      </c>
      <c r="DG63" s="690">
        <v>0</v>
      </c>
      <c r="DH63" s="690">
        <v>0</v>
      </c>
      <c r="DI63" s="738">
        <v>0</v>
      </c>
      <c r="DJ63" s="738">
        <v>0</v>
      </c>
      <c r="DK63" s="738">
        <v>1</v>
      </c>
      <c r="DL63" s="738">
        <v>0</v>
      </c>
      <c r="DQ63" s="737"/>
      <c r="DR63" s="737"/>
      <c r="EI63" s="705" t="s">
        <v>3914</v>
      </c>
      <c r="EJ63" s="745">
        <v>10</v>
      </c>
      <c r="EK63" s="755">
        <f t="shared" si="72"/>
        <v>0.322061191626409</v>
      </c>
      <c r="EL63" s="745">
        <v>5</v>
      </c>
      <c r="EM63" s="745">
        <v>5</v>
      </c>
      <c r="EN63" s="745">
        <v>7</v>
      </c>
      <c r="EO63" s="745">
        <v>3</v>
      </c>
      <c r="EP63" s="737">
        <v>9</v>
      </c>
      <c r="EQ63" s="737">
        <v>1</v>
      </c>
      <c r="ET63" s="398"/>
      <c r="EU63" s="398"/>
      <c r="EV63" s="398"/>
      <c r="EW63" s="398"/>
      <c r="EX63" s="398"/>
      <c r="EY63" s="398"/>
      <c r="EZ63" s="515"/>
      <c r="FA63" s="515"/>
      <c r="FB63" s="515"/>
      <c r="FE63" s="737"/>
      <c r="FF63" s="737"/>
      <c r="FG63" s="737"/>
      <c r="FH63" s="737"/>
      <c r="FI63" s="737"/>
      <c r="FJ63" s="737"/>
      <c r="FK63" s="737"/>
      <c r="FL63" s="737"/>
      <c r="FM63" s="737"/>
      <c r="FN63" s="737"/>
      <c r="FO63" s="737"/>
      <c r="FR63" s="398"/>
      <c r="FS63" s="398" t="s">
        <v>3915</v>
      </c>
      <c r="FT63" s="398">
        <v>9</v>
      </c>
      <c r="FU63" s="398">
        <v>10</v>
      </c>
      <c r="FV63" s="398">
        <v>8</v>
      </c>
      <c r="FW63" s="398">
        <v>19</v>
      </c>
      <c r="FX63" s="398">
        <v>20</v>
      </c>
      <c r="FY63" s="398">
        <v>12</v>
      </c>
      <c r="FZ63" s="519"/>
      <c r="GA63" s="812"/>
      <c r="GL63" s="386" t="s">
        <v>3916</v>
      </c>
      <c r="GM63" s="385">
        <v>85</v>
      </c>
      <c r="GN63" s="385">
        <v>84</v>
      </c>
      <c r="GO63" s="385">
        <v>100</v>
      </c>
      <c r="GP63" s="385">
        <v>85</v>
      </c>
      <c r="GQ63" s="385">
        <v>93</v>
      </c>
      <c r="GR63" s="385"/>
      <c r="GS63" s="813"/>
    </row>
    <row r="64" spans="1:223" ht="14.1" customHeight="1">
      <c r="A64" s="398" t="s">
        <v>3917</v>
      </c>
      <c r="B64" s="398"/>
      <c r="C64" s="398"/>
      <c r="D64" s="398"/>
      <c r="E64" s="398"/>
      <c r="F64" s="398"/>
      <c r="G64" s="398"/>
      <c r="J64" s="737"/>
      <c r="K64" s="737"/>
      <c r="L64" s="737"/>
      <c r="M64" s="737"/>
      <c r="N64" s="737"/>
      <c r="O64" s="737"/>
      <c r="P64" s="737"/>
      <c r="Q64" s="737"/>
      <c r="S64" s="386" t="s">
        <v>3538</v>
      </c>
      <c r="T64" s="386" t="s">
        <v>2177</v>
      </c>
      <c r="U64" s="738">
        <f>SUM(V64:AJ64)</f>
        <v>364</v>
      </c>
      <c r="V64" s="737">
        <v>19</v>
      </c>
      <c r="W64" s="738">
        <v>12</v>
      </c>
      <c r="X64" s="738">
        <v>45</v>
      </c>
      <c r="Y64" s="738">
        <v>57</v>
      </c>
      <c r="Z64" s="738">
        <v>59</v>
      </c>
      <c r="AA64" s="738">
        <v>61</v>
      </c>
      <c r="AB64" s="738">
        <v>63</v>
      </c>
      <c r="AC64" s="738">
        <v>48</v>
      </c>
      <c r="AD64" s="757" t="s">
        <v>1627</v>
      </c>
      <c r="AE64" s="757" t="s">
        <v>1627</v>
      </c>
      <c r="AF64" s="757" t="s">
        <v>1627</v>
      </c>
      <c r="AG64" s="757" t="s">
        <v>1627</v>
      </c>
      <c r="AH64" s="757" t="s">
        <v>1627</v>
      </c>
      <c r="AI64" s="757" t="s">
        <v>1627</v>
      </c>
      <c r="AJ64" s="757" t="s">
        <v>1627</v>
      </c>
      <c r="AN64" s="773"/>
      <c r="AO64" s="773"/>
      <c r="AP64" s="773"/>
      <c r="AQ64" s="773"/>
      <c r="AR64" s="773"/>
      <c r="AS64" s="773"/>
      <c r="AT64" s="773"/>
      <c r="DB64" s="740" t="s">
        <v>3567</v>
      </c>
      <c r="DC64" s="690">
        <v>2</v>
      </c>
      <c r="DD64" s="690">
        <v>4</v>
      </c>
      <c r="DE64" s="690">
        <v>0</v>
      </c>
      <c r="DF64" s="690">
        <v>0</v>
      </c>
      <c r="DG64" s="690">
        <v>4</v>
      </c>
      <c r="DH64" s="690">
        <v>0</v>
      </c>
      <c r="DI64" s="738">
        <v>2</v>
      </c>
      <c r="DJ64" s="738">
        <v>1</v>
      </c>
      <c r="DK64" s="738">
        <v>1</v>
      </c>
      <c r="DL64" s="738">
        <v>1</v>
      </c>
      <c r="DQ64" s="737"/>
      <c r="DR64" s="737"/>
      <c r="EI64" s="705" t="s">
        <v>3918</v>
      </c>
      <c r="EJ64" s="745">
        <v>13</v>
      </c>
      <c r="EK64" s="755">
        <f t="shared" si="72"/>
        <v>0.41867954911433169</v>
      </c>
      <c r="EL64" s="745">
        <v>7</v>
      </c>
      <c r="EM64" s="745">
        <v>6</v>
      </c>
      <c r="EN64" s="745">
        <v>7</v>
      </c>
      <c r="EO64" s="745">
        <v>6</v>
      </c>
      <c r="EP64" s="737">
        <v>11</v>
      </c>
      <c r="EQ64" s="737">
        <v>2</v>
      </c>
      <c r="ET64" s="398"/>
      <c r="EU64" s="398"/>
      <c r="EV64" s="398"/>
      <c r="EW64" s="398"/>
      <c r="EX64" s="398"/>
      <c r="EY64" s="398"/>
      <c r="EZ64" s="515"/>
      <c r="FA64" s="398"/>
      <c r="FB64" s="398"/>
      <c r="FE64" s="737"/>
      <c r="FF64" s="737"/>
      <c r="FG64" s="737"/>
      <c r="FH64" s="737"/>
      <c r="FI64" s="737"/>
      <c r="FJ64" s="737"/>
      <c r="FK64" s="737"/>
      <c r="FL64" s="737"/>
      <c r="FM64" s="737"/>
      <c r="FN64" s="737"/>
      <c r="FO64" s="737"/>
      <c r="FR64" s="398"/>
      <c r="FS64" s="398" t="s">
        <v>3756</v>
      </c>
      <c r="FT64" s="398">
        <v>1</v>
      </c>
      <c r="FU64" s="398">
        <v>2</v>
      </c>
      <c r="FV64" s="398">
        <v>2</v>
      </c>
      <c r="FW64" s="398">
        <v>4</v>
      </c>
      <c r="FX64" s="398">
        <v>5</v>
      </c>
      <c r="FY64" s="398">
        <v>2</v>
      </c>
      <c r="FZ64" s="398"/>
      <c r="GA64" s="812"/>
      <c r="GL64" s="386" t="s">
        <v>3919</v>
      </c>
      <c r="GM64" s="385">
        <v>68</v>
      </c>
      <c r="GN64" s="385">
        <v>28</v>
      </c>
      <c r="GO64" s="385">
        <v>17</v>
      </c>
      <c r="GP64" s="385">
        <v>4</v>
      </c>
      <c r="GQ64" s="385">
        <v>2</v>
      </c>
      <c r="GR64" s="385"/>
      <c r="GS64" s="813"/>
      <c r="GW64" s="515"/>
      <c r="GX64" s="515"/>
      <c r="GY64" s="515"/>
      <c r="GZ64" s="515"/>
    </row>
    <row r="65" spans="1:201" ht="14.1" customHeight="1">
      <c r="A65" s="398" t="s">
        <v>3920</v>
      </c>
      <c r="B65" s="398"/>
      <c r="C65" s="398"/>
      <c r="D65" s="398"/>
      <c r="E65" s="398"/>
      <c r="F65" s="398"/>
      <c r="G65" s="398"/>
      <c r="J65" s="737"/>
      <c r="K65" s="737"/>
      <c r="L65" s="737"/>
      <c r="M65" s="737"/>
      <c r="N65" s="737"/>
      <c r="O65" s="737"/>
      <c r="P65" s="737"/>
      <c r="Q65" s="737"/>
      <c r="S65" s="386" t="s">
        <v>3551</v>
      </c>
      <c r="T65" s="386" t="s">
        <v>2177</v>
      </c>
      <c r="U65" s="738">
        <f t="shared" ref="U65:U77" si="76">SUM(V65:AJ65)</f>
        <v>474</v>
      </c>
      <c r="V65" s="757" t="s">
        <v>1627</v>
      </c>
      <c r="W65" s="757" t="s">
        <v>1627</v>
      </c>
      <c r="X65" s="757" t="s">
        <v>1627</v>
      </c>
      <c r="Y65" s="757" t="s">
        <v>1627</v>
      </c>
      <c r="Z65" s="757" t="s">
        <v>1627</v>
      </c>
      <c r="AA65" s="757" t="s">
        <v>1627</v>
      </c>
      <c r="AB65" s="757" t="s">
        <v>1627</v>
      </c>
      <c r="AC65" s="757" t="s">
        <v>1627</v>
      </c>
      <c r="AD65" s="754">
        <v>158</v>
      </c>
      <c r="AE65" s="738">
        <v>141</v>
      </c>
      <c r="AF65" s="738">
        <v>175</v>
      </c>
      <c r="AG65" s="757" t="s">
        <v>1627</v>
      </c>
      <c r="AH65" s="757" t="s">
        <v>1627</v>
      </c>
      <c r="AI65" s="757" t="s">
        <v>1627</v>
      </c>
      <c r="AJ65" s="757" t="s">
        <v>1627</v>
      </c>
      <c r="AN65" s="398"/>
      <c r="AO65" s="398"/>
      <c r="AP65" s="398"/>
      <c r="AQ65" s="398"/>
      <c r="AR65" s="398"/>
      <c r="AS65" s="398"/>
      <c r="AT65" s="398"/>
      <c r="DB65" s="386" t="s">
        <v>3582</v>
      </c>
      <c r="DC65" s="690">
        <v>13</v>
      </c>
      <c r="DD65" s="690">
        <v>9</v>
      </c>
      <c r="DE65" s="690">
        <v>6</v>
      </c>
      <c r="DF65" s="690">
        <v>2</v>
      </c>
      <c r="DG65" s="690">
        <v>3</v>
      </c>
      <c r="DH65" s="690">
        <v>12</v>
      </c>
      <c r="DI65" s="738">
        <v>3</v>
      </c>
      <c r="DJ65" s="738">
        <v>3</v>
      </c>
      <c r="DK65" s="738">
        <v>2</v>
      </c>
      <c r="DL65" s="738">
        <v>2</v>
      </c>
      <c r="DQ65" s="737"/>
      <c r="DR65" s="737"/>
      <c r="EI65" s="705" t="s">
        <v>3921</v>
      </c>
      <c r="EJ65" s="745">
        <v>989</v>
      </c>
      <c r="EK65" s="755">
        <f t="shared" si="72"/>
        <v>31.851851851851855</v>
      </c>
      <c r="EL65" s="745">
        <v>377</v>
      </c>
      <c r="EM65" s="745">
        <v>612</v>
      </c>
      <c r="EN65" s="745">
        <v>703</v>
      </c>
      <c r="EO65" s="745">
        <v>286</v>
      </c>
      <c r="EP65" s="737">
        <v>863</v>
      </c>
      <c r="EQ65" s="737">
        <v>126</v>
      </c>
      <c r="ET65" s="398"/>
      <c r="EU65" s="398"/>
      <c r="EV65" s="398"/>
      <c r="EW65" s="398"/>
      <c r="EX65" s="398"/>
      <c r="EY65" s="398"/>
      <c r="EZ65" s="515"/>
      <c r="FA65" s="515"/>
      <c r="FB65" s="515"/>
      <c r="FR65" s="398"/>
      <c r="FS65" s="398" t="s">
        <v>3767</v>
      </c>
      <c r="FT65" s="398">
        <v>1</v>
      </c>
      <c r="FU65" s="398">
        <v>1</v>
      </c>
      <c r="FV65" s="398">
        <v>0</v>
      </c>
      <c r="FW65" s="398">
        <v>3</v>
      </c>
      <c r="FX65" s="398">
        <v>5</v>
      </c>
      <c r="FY65" s="398">
        <v>3</v>
      </c>
      <c r="FZ65" s="519"/>
      <c r="GA65" s="812"/>
      <c r="GL65" s="386" t="s">
        <v>3922</v>
      </c>
      <c r="GM65" s="385">
        <v>177</v>
      </c>
      <c r="GN65" s="385">
        <v>127</v>
      </c>
      <c r="GO65" s="385">
        <v>113</v>
      </c>
      <c r="GP65" s="385">
        <v>121</v>
      </c>
      <c r="GQ65" s="385">
        <v>120</v>
      </c>
      <c r="GR65" s="385"/>
      <c r="GS65" s="813"/>
    </row>
    <row r="66" spans="1:201" ht="14.1" customHeight="1">
      <c r="A66" s="398"/>
      <c r="B66" s="398"/>
      <c r="C66" s="398"/>
      <c r="D66" s="398"/>
      <c r="E66" s="398"/>
      <c r="F66" s="398"/>
      <c r="G66" s="398"/>
      <c r="J66" s="737"/>
      <c r="K66" s="737"/>
      <c r="L66" s="737"/>
      <c r="M66" s="737"/>
      <c r="N66" s="737"/>
      <c r="O66" s="737"/>
      <c r="P66" s="737"/>
      <c r="Q66" s="737"/>
      <c r="S66" s="386" t="s">
        <v>3561</v>
      </c>
      <c r="T66" s="386" t="s">
        <v>2177</v>
      </c>
      <c r="U66" s="738">
        <f>SUM(V66:AJ66)</f>
        <v>843</v>
      </c>
      <c r="V66" s="757">
        <v>19</v>
      </c>
      <c r="W66" s="757">
        <v>15</v>
      </c>
      <c r="X66" s="757">
        <v>107</v>
      </c>
      <c r="Y66" s="757">
        <v>135</v>
      </c>
      <c r="Z66" s="757">
        <v>135</v>
      </c>
      <c r="AA66" s="757">
        <v>147</v>
      </c>
      <c r="AB66" s="757">
        <v>128</v>
      </c>
      <c r="AC66" s="757">
        <v>157</v>
      </c>
      <c r="AD66" s="757" t="s">
        <v>1627</v>
      </c>
      <c r="AE66" s="757" t="s">
        <v>1627</v>
      </c>
      <c r="AF66" s="757" t="s">
        <v>1627</v>
      </c>
      <c r="AG66" s="757" t="s">
        <v>1627</v>
      </c>
      <c r="AH66" s="757" t="s">
        <v>1627</v>
      </c>
      <c r="AI66" s="757" t="s">
        <v>1627</v>
      </c>
      <c r="AJ66" s="757" t="s">
        <v>1627</v>
      </c>
      <c r="AN66" s="773"/>
      <c r="AO66" s="773"/>
      <c r="AP66" s="773"/>
      <c r="AQ66" s="773"/>
      <c r="AR66" s="773"/>
      <c r="AS66" s="773"/>
      <c r="AT66" s="773"/>
      <c r="AU66" s="398"/>
      <c r="DB66" s="386" t="s">
        <v>3594</v>
      </c>
      <c r="DC66" s="690">
        <v>2</v>
      </c>
      <c r="DD66" s="690">
        <v>2</v>
      </c>
      <c r="DE66" s="690">
        <v>4</v>
      </c>
      <c r="DF66" s="690">
        <v>2</v>
      </c>
      <c r="DG66" s="690">
        <v>1</v>
      </c>
      <c r="DH66" s="690">
        <v>6</v>
      </c>
      <c r="DI66" s="738">
        <v>0</v>
      </c>
      <c r="DJ66" s="738">
        <v>1</v>
      </c>
      <c r="DK66" s="738">
        <v>2</v>
      </c>
      <c r="DL66" s="738">
        <v>2</v>
      </c>
      <c r="DQ66" s="737"/>
      <c r="DR66" s="737"/>
      <c r="EI66" s="705" t="s">
        <v>3923</v>
      </c>
      <c r="EJ66" s="745">
        <v>78</v>
      </c>
      <c r="EK66" s="755">
        <f t="shared" si="72"/>
        <v>2.5120772946859904</v>
      </c>
      <c r="EL66" s="745">
        <v>31</v>
      </c>
      <c r="EM66" s="745">
        <v>47</v>
      </c>
      <c r="EN66" s="745">
        <v>49</v>
      </c>
      <c r="EO66" s="745">
        <v>29</v>
      </c>
      <c r="EP66" s="737">
        <v>70</v>
      </c>
      <c r="EQ66" s="737">
        <v>8</v>
      </c>
      <c r="ET66" s="398"/>
      <c r="EU66" s="398"/>
      <c r="EV66" s="398"/>
      <c r="EW66" s="398"/>
      <c r="EX66" s="398"/>
      <c r="EY66" s="398"/>
      <c r="EZ66" s="515"/>
      <c r="FA66" s="398"/>
      <c r="FB66" s="398"/>
      <c r="FR66" s="398"/>
      <c r="FS66" s="398" t="s">
        <v>3924</v>
      </c>
      <c r="FT66" s="398">
        <v>3</v>
      </c>
      <c r="FU66" s="674">
        <v>2</v>
      </c>
      <c r="FV66" s="398">
        <v>4</v>
      </c>
      <c r="FW66" s="398">
        <v>3</v>
      </c>
      <c r="FX66" s="398">
        <v>0</v>
      </c>
      <c r="FY66" s="398">
        <v>8</v>
      </c>
      <c r="FZ66" s="519"/>
      <c r="GA66" s="812"/>
      <c r="GL66" s="384" t="s">
        <v>3925</v>
      </c>
      <c r="GM66" s="824">
        <v>84</v>
      </c>
      <c r="GN66" s="824">
        <v>95</v>
      </c>
      <c r="GO66" s="824">
        <v>122</v>
      </c>
      <c r="GP66" s="824">
        <v>115</v>
      </c>
      <c r="GQ66" s="824">
        <v>117</v>
      </c>
      <c r="GR66" s="385"/>
      <c r="GS66" s="813"/>
    </row>
    <row r="67" spans="1:201" ht="14.1" customHeight="1">
      <c r="A67" s="674" t="s">
        <v>3926</v>
      </c>
      <c r="J67" s="737"/>
      <c r="K67" s="737"/>
      <c r="L67" s="737"/>
      <c r="M67" s="737"/>
      <c r="N67" s="737"/>
      <c r="O67" s="737"/>
      <c r="P67" s="737"/>
      <c r="Q67" s="737"/>
      <c r="S67" s="386" t="s">
        <v>3576</v>
      </c>
      <c r="T67" s="386" t="s">
        <v>2177</v>
      </c>
      <c r="U67" s="738">
        <f t="shared" si="76"/>
        <v>379</v>
      </c>
      <c r="V67" s="737">
        <v>18</v>
      </c>
      <c r="W67" s="738">
        <v>0</v>
      </c>
      <c r="X67" s="738">
        <v>49</v>
      </c>
      <c r="Y67" s="738">
        <v>71</v>
      </c>
      <c r="Z67" s="738">
        <v>63</v>
      </c>
      <c r="AA67" s="738">
        <v>58</v>
      </c>
      <c r="AB67" s="738">
        <v>54</v>
      </c>
      <c r="AC67" s="738">
        <v>66</v>
      </c>
      <c r="AD67" s="757" t="s">
        <v>1627</v>
      </c>
      <c r="AE67" s="757" t="s">
        <v>1627</v>
      </c>
      <c r="AF67" s="757" t="s">
        <v>1627</v>
      </c>
      <c r="AG67" s="757" t="s">
        <v>1627</v>
      </c>
      <c r="AH67" s="757" t="s">
        <v>1627</v>
      </c>
      <c r="AI67" s="757" t="s">
        <v>1627</v>
      </c>
      <c r="AJ67" s="757" t="s">
        <v>1627</v>
      </c>
      <c r="AN67" s="398"/>
      <c r="AO67" s="398"/>
      <c r="AP67" s="398"/>
      <c r="AQ67" s="398"/>
      <c r="AR67" s="398"/>
      <c r="AS67" s="398"/>
      <c r="AT67" s="398"/>
      <c r="AU67" s="773"/>
      <c r="DB67" s="740" t="s">
        <v>3606</v>
      </c>
      <c r="DC67" s="690">
        <v>1</v>
      </c>
      <c r="DD67" s="690">
        <v>3</v>
      </c>
      <c r="DE67" s="690">
        <v>2</v>
      </c>
      <c r="DF67" s="690">
        <v>0</v>
      </c>
      <c r="DG67" s="690">
        <v>4</v>
      </c>
      <c r="DH67" s="690">
        <v>25</v>
      </c>
      <c r="DI67" s="738">
        <v>4</v>
      </c>
      <c r="DJ67" s="738">
        <v>6</v>
      </c>
      <c r="DK67" s="738">
        <v>2</v>
      </c>
      <c r="DL67" s="738">
        <v>4</v>
      </c>
      <c r="DQ67" s="737"/>
      <c r="DR67" s="737"/>
      <c r="EI67" s="705" t="s">
        <v>2661</v>
      </c>
      <c r="EJ67" s="745">
        <v>27</v>
      </c>
      <c r="EK67" s="755">
        <f t="shared" si="72"/>
        <v>0.86956521739130432</v>
      </c>
      <c r="EL67" s="745">
        <v>11</v>
      </c>
      <c r="EM67" s="745">
        <v>16</v>
      </c>
      <c r="EN67" s="745">
        <v>19</v>
      </c>
      <c r="EO67" s="745">
        <v>8</v>
      </c>
      <c r="EP67" s="737">
        <v>20</v>
      </c>
      <c r="EQ67" s="737">
        <v>7</v>
      </c>
      <c r="ET67" s="398"/>
      <c r="EU67" s="398"/>
      <c r="EV67" s="398"/>
      <c r="EW67" s="398"/>
      <c r="EX67" s="398"/>
      <c r="EY67" s="398"/>
      <c r="EZ67" s="515"/>
      <c r="FA67" s="515"/>
      <c r="FB67" s="515"/>
      <c r="FR67" s="398"/>
      <c r="FS67" s="398" t="s">
        <v>3927</v>
      </c>
      <c r="FT67" s="398">
        <v>0</v>
      </c>
      <c r="FU67" s="398">
        <v>2</v>
      </c>
      <c r="FV67" s="398">
        <v>7</v>
      </c>
      <c r="FW67" s="519" t="s">
        <v>546</v>
      </c>
      <c r="FX67" s="519" t="s">
        <v>546</v>
      </c>
      <c r="FY67" s="519" t="s">
        <v>546</v>
      </c>
      <c r="FZ67" s="398"/>
      <c r="GA67" s="812"/>
      <c r="GL67" s="825" t="s">
        <v>3572</v>
      </c>
      <c r="GM67" s="825"/>
      <c r="GN67" s="825"/>
      <c r="GO67" s="825"/>
      <c r="GP67" s="825"/>
      <c r="GQ67" s="825"/>
      <c r="GR67" s="385"/>
      <c r="GS67" s="571"/>
    </row>
    <row r="68" spans="1:201" ht="14.1" customHeight="1">
      <c r="A68" s="674" t="s">
        <v>3928</v>
      </c>
      <c r="H68" s="690"/>
      <c r="J68" s="737"/>
      <c r="K68" s="737"/>
      <c r="L68" s="737"/>
      <c r="M68" s="737"/>
      <c r="N68" s="737"/>
      <c r="O68" s="737"/>
      <c r="P68" s="737"/>
      <c r="Q68" s="737"/>
      <c r="S68" s="386" t="s">
        <v>3589</v>
      </c>
      <c r="T68" s="386" t="s">
        <v>2177</v>
      </c>
      <c r="U68" s="738">
        <f t="shared" si="76"/>
        <v>334</v>
      </c>
      <c r="V68" s="776">
        <v>0</v>
      </c>
      <c r="W68" s="738">
        <v>0</v>
      </c>
      <c r="X68" s="738">
        <v>42</v>
      </c>
      <c r="Y68" s="738">
        <v>46</v>
      </c>
      <c r="Z68" s="738">
        <v>64</v>
      </c>
      <c r="AA68" s="738">
        <v>49</v>
      </c>
      <c r="AB68" s="738">
        <v>69</v>
      </c>
      <c r="AC68" s="738">
        <v>64</v>
      </c>
      <c r="AD68" s="757" t="s">
        <v>1627</v>
      </c>
      <c r="AE68" s="757" t="s">
        <v>1627</v>
      </c>
      <c r="AF68" s="757" t="s">
        <v>1627</v>
      </c>
      <c r="AG68" s="757" t="s">
        <v>1627</v>
      </c>
      <c r="AH68" s="757" t="s">
        <v>1627</v>
      </c>
      <c r="AI68" s="757" t="s">
        <v>1627</v>
      </c>
      <c r="AJ68" s="757" t="s">
        <v>1627</v>
      </c>
      <c r="AN68" s="398"/>
      <c r="AO68" s="398"/>
      <c r="AP68" s="398"/>
      <c r="AQ68" s="398"/>
      <c r="AR68" s="398"/>
      <c r="AS68" s="398"/>
      <c r="AT68" s="398"/>
      <c r="AU68" s="398"/>
      <c r="DB68" s="740" t="s">
        <v>3619</v>
      </c>
      <c r="DC68" s="690">
        <v>0</v>
      </c>
      <c r="DD68" s="690">
        <v>3</v>
      </c>
      <c r="DE68" s="690">
        <v>5</v>
      </c>
      <c r="DF68" s="690">
        <v>0</v>
      </c>
      <c r="DG68" s="690">
        <v>3</v>
      </c>
      <c r="DH68" s="690">
        <v>7</v>
      </c>
      <c r="DI68" s="738">
        <v>2</v>
      </c>
      <c r="DJ68" s="738">
        <v>1</v>
      </c>
      <c r="DK68" s="738">
        <v>0</v>
      </c>
      <c r="DL68" s="738">
        <v>1</v>
      </c>
      <c r="EI68" s="705" t="s">
        <v>3929</v>
      </c>
      <c r="EJ68" s="745">
        <v>64</v>
      </c>
      <c r="EK68" s="755">
        <f t="shared" si="72"/>
        <v>2.061191626409018</v>
      </c>
      <c r="EL68" s="745">
        <v>19</v>
      </c>
      <c r="EM68" s="745">
        <v>45</v>
      </c>
      <c r="EN68" s="745">
        <v>43</v>
      </c>
      <c r="EO68" s="745">
        <v>21</v>
      </c>
      <c r="EP68" s="737">
        <v>57</v>
      </c>
      <c r="EQ68" s="737">
        <v>7</v>
      </c>
      <c r="ET68" s="398"/>
      <c r="EU68" s="398"/>
      <c r="EV68" s="398"/>
      <c r="EW68" s="398"/>
      <c r="EX68" s="398"/>
      <c r="EY68" s="398"/>
      <c r="EZ68" s="515"/>
      <c r="FA68" s="515"/>
      <c r="FB68" s="515"/>
      <c r="FR68" s="398"/>
      <c r="FS68" s="398" t="s">
        <v>3930</v>
      </c>
      <c r="FT68" s="398">
        <v>0</v>
      </c>
      <c r="FU68" s="398">
        <v>0</v>
      </c>
      <c r="FV68" s="398">
        <v>0</v>
      </c>
      <c r="FW68" s="519">
        <v>0</v>
      </c>
      <c r="FX68" s="519">
        <v>0</v>
      </c>
      <c r="FY68" s="519">
        <v>0</v>
      </c>
      <c r="FZ68" s="398"/>
      <c r="GA68" s="812"/>
      <c r="GL68" s="825" t="s">
        <v>3931</v>
      </c>
      <c r="GM68" s="825"/>
      <c r="GN68" s="825"/>
      <c r="GO68" s="825"/>
      <c r="GP68" s="825"/>
      <c r="GQ68" s="825"/>
      <c r="GR68" s="385"/>
      <c r="GS68" s="571"/>
    </row>
    <row r="69" spans="1:201" ht="14.1" customHeight="1">
      <c r="A69" s="821" t="s">
        <v>8712</v>
      </c>
      <c r="B69" s="821"/>
      <c r="C69" s="826"/>
      <c r="D69" s="826"/>
      <c r="H69" s="737"/>
      <c r="J69" s="737"/>
      <c r="K69" s="737"/>
      <c r="L69" s="737"/>
      <c r="M69" s="737"/>
      <c r="N69" s="737"/>
      <c r="O69" s="737"/>
      <c r="P69" s="737"/>
      <c r="Q69" s="737"/>
      <c r="S69" s="386" t="s">
        <v>3600</v>
      </c>
      <c r="T69" s="386" t="s">
        <v>2177</v>
      </c>
      <c r="U69" s="738">
        <f t="shared" si="76"/>
        <v>545</v>
      </c>
      <c r="V69" s="737">
        <v>40</v>
      </c>
      <c r="W69" s="738">
        <v>0</v>
      </c>
      <c r="X69" s="738">
        <v>84</v>
      </c>
      <c r="Y69" s="738">
        <v>71</v>
      </c>
      <c r="Z69" s="738">
        <v>99</v>
      </c>
      <c r="AA69" s="738">
        <v>69</v>
      </c>
      <c r="AB69" s="738">
        <v>101</v>
      </c>
      <c r="AC69" s="738">
        <v>81</v>
      </c>
      <c r="AD69" s="757" t="s">
        <v>1627</v>
      </c>
      <c r="AE69" s="757" t="s">
        <v>1627</v>
      </c>
      <c r="AF69" s="757" t="s">
        <v>1627</v>
      </c>
      <c r="AG69" s="757" t="s">
        <v>1627</v>
      </c>
      <c r="AH69" s="757" t="s">
        <v>1627</v>
      </c>
      <c r="AI69" s="757" t="s">
        <v>1627</v>
      </c>
      <c r="AJ69" s="757" t="s">
        <v>1627</v>
      </c>
      <c r="AN69" s="398"/>
      <c r="AO69" s="398"/>
      <c r="AP69" s="398"/>
      <c r="AQ69" s="398"/>
      <c r="AR69" s="398"/>
      <c r="AS69" s="398"/>
      <c r="AT69" s="398"/>
      <c r="AU69" s="398"/>
      <c r="DB69" s="740" t="s">
        <v>3628</v>
      </c>
      <c r="DC69" s="690">
        <v>2</v>
      </c>
      <c r="DD69" s="690">
        <v>1</v>
      </c>
      <c r="DE69" s="690">
        <v>4</v>
      </c>
      <c r="DF69" s="690">
        <v>2</v>
      </c>
      <c r="DG69" s="690">
        <v>3</v>
      </c>
      <c r="DH69" s="690">
        <v>4</v>
      </c>
      <c r="DI69" s="738">
        <v>1</v>
      </c>
      <c r="DJ69" s="738">
        <v>6</v>
      </c>
      <c r="DK69" s="738">
        <v>2</v>
      </c>
      <c r="DL69" s="738">
        <v>4</v>
      </c>
      <c r="EI69" s="705" t="s">
        <v>3932</v>
      </c>
      <c r="EJ69" s="745">
        <v>12</v>
      </c>
      <c r="EK69" s="755">
        <f t="shared" si="72"/>
        <v>0.38647342995169082</v>
      </c>
      <c r="EL69" s="745">
        <v>4</v>
      </c>
      <c r="EM69" s="745">
        <v>8</v>
      </c>
      <c r="EN69" s="745">
        <v>9</v>
      </c>
      <c r="EO69" s="745">
        <v>3</v>
      </c>
      <c r="EP69" s="737">
        <v>10</v>
      </c>
      <c r="EQ69" s="737">
        <v>2</v>
      </c>
      <c r="ET69" s="398"/>
      <c r="EU69" s="398"/>
      <c r="EV69" s="398"/>
      <c r="EW69" s="398"/>
      <c r="EX69" s="398"/>
      <c r="EY69" s="398"/>
      <c r="EZ69" s="515"/>
      <c r="FA69" s="515"/>
      <c r="FB69" s="515"/>
      <c r="FR69" s="398"/>
      <c r="FS69" s="398" t="s">
        <v>3933</v>
      </c>
      <c r="FT69" s="398">
        <v>13</v>
      </c>
      <c r="FU69" s="398">
        <v>5</v>
      </c>
      <c r="FV69" s="398">
        <v>0</v>
      </c>
      <c r="FW69" s="398">
        <v>0</v>
      </c>
      <c r="FX69" s="398">
        <v>3</v>
      </c>
      <c r="FY69" s="398">
        <v>1</v>
      </c>
      <c r="FZ69" s="398"/>
      <c r="GA69" s="812"/>
      <c r="GL69" s="825" t="s">
        <v>3934</v>
      </c>
      <c r="GM69" s="825"/>
      <c r="GN69" s="825"/>
      <c r="GO69" s="825"/>
      <c r="GP69" s="825"/>
      <c r="GQ69" s="825"/>
      <c r="GR69" s="385"/>
      <c r="GS69" s="571"/>
    </row>
    <row r="70" spans="1:201" ht="14.1" customHeight="1">
      <c r="A70" s="386" t="s">
        <v>3935</v>
      </c>
      <c r="B70" s="386"/>
      <c r="C70" s="386"/>
      <c r="D70" s="386"/>
      <c r="E70" s="827"/>
      <c r="F70" s="827"/>
      <c r="G70" s="827"/>
      <c r="H70" s="737"/>
      <c r="J70" s="737"/>
      <c r="K70" s="737"/>
      <c r="L70" s="737"/>
      <c r="M70" s="737"/>
      <c r="N70" s="737"/>
      <c r="O70" s="737"/>
      <c r="P70" s="737"/>
      <c r="Q70" s="737"/>
      <c r="S70" s="386" t="s">
        <v>3615</v>
      </c>
      <c r="T70" s="386" t="s">
        <v>2177</v>
      </c>
      <c r="U70" s="738">
        <f t="shared" si="76"/>
        <v>1464</v>
      </c>
      <c r="V70" s="757" t="s">
        <v>1627</v>
      </c>
      <c r="W70" s="757" t="s">
        <v>1627</v>
      </c>
      <c r="X70" s="757" t="s">
        <v>1627</v>
      </c>
      <c r="Y70" s="757" t="s">
        <v>1627</v>
      </c>
      <c r="Z70" s="757" t="s">
        <v>1627</v>
      </c>
      <c r="AA70" s="757" t="s">
        <v>1627</v>
      </c>
      <c r="AB70" s="757" t="s">
        <v>1627</v>
      </c>
      <c r="AC70" s="757" t="s">
        <v>1627</v>
      </c>
      <c r="AD70" s="757" t="s">
        <v>1627</v>
      </c>
      <c r="AE70" s="757" t="s">
        <v>1627</v>
      </c>
      <c r="AF70" s="757" t="s">
        <v>1627</v>
      </c>
      <c r="AG70" s="738">
        <v>392</v>
      </c>
      <c r="AH70" s="738">
        <v>416</v>
      </c>
      <c r="AI70" s="738">
        <v>362</v>
      </c>
      <c r="AJ70" s="738">
        <v>294</v>
      </c>
      <c r="AN70" s="398"/>
      <c r="AO70" s="398"/>
      <c r="AP70" s="398"/>
      <c r="AQ70" s="398"/>
      <c r="AR70" s="398"/>
      <c r="AS70" s="398"/>
      <c r="AT70" s="398"/>
      <c r="AU70" s="398"/>
      <c r="DB70" s="800" t="s">
        <v>3640</v>
      </c>
      <c r="DC70" s="722">
        <v>3</v>
      </c>
      <c r="DD70" s="722">
        <v>3</v>
      </c>
      <c r="DE70" s="722">
        <v>2</v>
      </c>
      <c r="DF70" s="722">
        <v>2</v>
      </c>
      <c r="DG70" s="722">
        <v>4</v>
      </c>
      <c r="DH70" s="722">
        <v>2</v>
      </c>
      <c r="DI70" s="820">
        <v>0</v>
      </c>
      <c r="DJ70" s="820">
        <v>2</v>
      </c>
      <c r="DK70" s="820">
        <v>1</v>
      </c>
      <c r="DL70" s="820">
        <v>2</v>
      </c>
      <c r="EI70" s="705" t="s">
        <v>3936</v>
      </c>
      <c r="EJ70" s="745">
        <v>11</v>
      </c>
      <c r="EK70" s="755">
        <f t="shared" si="72"/>
        <v>0.35426731078904994</v>
      </c>
      <c r="EL70" s="745">
        <v>3</v>
      </c>
      <c r="EM70" s="745">
        <v>8</v>
      </c>
      <c r="EN70" s="745">
        <v>6</v>
      </c>
      <c r="EO70" s="745">
        <v>5</v>
      </c>
      <c r="EP70" s="737">
        <v>10</v>
      </c>
      <c r="EQ70" s="737">
        <v>1</v>
      </c>
      <c r="ET70" s="398"/>
      <c r="EU70" s="398"/>
      <c r="EV70" s="398"/>
      <c r="EW70" s="398"/>
      <c r="EX70" s="398"/>
      <c r="EY70" s="398"/>
      <c r="EZ70" s="515"/>
      <c r="FA70" s="398"/>
      <c r="FB70" s="398"/>
      <c r="FR70" s="398"/>
      <c r="FS70" s="398" t="s">
        <v>3850</v>
      </c>
      <c r="FT70" s="398">
        <v>33</v>
      </c>
      <c r="FU70" s="398">
        <v>14</v>
      </c>
      <c r="FV70" s="398">
        <v>40</v>
      </c>
      <c r="FW70" s="398">
        <v>26</v>
      </c>
      <c r="FX70" s="398">
        <v>28</v>
      </c>
      <c r="FY70" s="398">
        <v>44</v>
      </c>
      <c r="FZ70" s="398"/>
      <c r="GA70" s="812"/>
      <c r="GL70" s="825" t="s">
        <v>3937</v>
      </c>
      <c r="GM70" s="825"/>
      <c r="GN70" s="825"/>
      <c r="GO70" s="825"/>
      <c r="GP70" s="825"/>
      <c r="GQ70" s="825"/>
      <c r="GR70" s="385"/>
      <c r="GS70" s="571"/>
    </row>
    <row r="71" spans="1:201" ht="14.1" customHeight="1">
      <c r="H71" s="737"/>
      <c r="J71" s="737"/>
      <c r="K71" s="737"/>
      <c r="L71" s="737"/>
      <c r="M71" s="737"/>
      <c r="N71" s="737"/>
      <c r="O71" s="737"/>
      <c r="P71" s="737"/>
      <c r="Q71" s="737"/>
      <c r="S71" s="386" t="s">
        <v>3624</v>
      </c>
      <c r="T71" s="386" t="s">
        <v>2177</v>
      </c>
      <c r="U71" s="738">
        <f t="shared" si="76"/>
        <v>553</v>
      </c>
      <c r="V71" s="737">
        <v>39</v>
      </c>
      <c r="W71" s="738">
        <v>0</v>
      </c>
      <c r="X71" s="738">
        <v>69</v>
      </c>
      <c r="Y71" s="738">
        <v>84</v>
      </c>
      <c r="Z71" s="738">
        <v>80</v>
      </c>
      <c r="AA71" s="738">
        <v>86</v>
      </c>
      <c r="AB71" s="738">
        <v>95</v>
      </c>
      <c r="AC71" s="738">
        <v>100</v>
      </c>
      <c r="AD71" s="757" t="s">
        <v>1627</v>
      </c>
      <c r="AE71" s="757" t="s">
        <v>1627</v>
      </c>
      <c r="AF71" s="757" t="s">
        <v>1627</v>
      </c>
      <c r="AG71" s="757" t="s">
        <v>1627</v>
      </c>
      <c r="AH71" s="757" t="s">
        <v>1627</v>
      </c>
      <c r="AI71" s="757" t="s">
        <v>1627</v>
      </c>
      <c r="AJ71" s="757" t="s">
        <v>1627</v>
      </c>
      <c r="AN71" s="398"/>
      <c r="AO71" s="398"/>
      <c r="AP71" s="398"/>
      <c r="AQ71" s="398"/>
      <c r="AR71" s="398"/>
      <c r="AS71" s="398"/>
      <c r="AT71" s="398"/>
      <c r="AU71" s="398"/>
      <c r="DB71" s="674" t="s">
        <v>3938</v>
      </c>
      <c r="DO71" s="811"/>
      <c r="DP71" s="811"/>
      <c r="DQ71" s="811"/>
      <c r="DR71" s="811"/>
      <c r="DS71" s="811"/>
      <c r="DT71" s="811"/>
      <c r="DU71" s="811"/>
      <c r="DV71" s="811"/>
      <c r="DW71" s="811"/>
      <c r="DX71" s="811"/>
      <c r="DY71" s="811"/>
      <c r="DZ71" s="811"/>
      <c r="EA71" s="811"/>
      <c r="EI71" s="705" t="s">
        <v>3939</v>
      </c>
      <c r="EJ71" s="745">
        <v>73</v>
      </c>
      <c r="EK71" s="755">
        <f t="shared" si="72"/>
        <v>2.3510466988727856</v>
      </c>
      <c r="EL71" s="745">
        <v>28</v>
      </c>
      <c r="EM71" s="745">
        <v>45</v>
      </c>
      <c r="EN71" s="745">
        <v>54</v>
      </c>
      <c r="EO71" s="745">
        <v>19</v>
      </c>
      <c r="EP71" s="737">
        <v>67</v>
      </c>
      <c r="EQ71" s="737">
        <v>6</v>
      </c>
      <c r="ET71" s="398"/>
      <c r="EU71" s="398"/>
      <c r="EV71" s="398"/>
      <c r="EW71" s="398"/>
      <c r="EX71" s="398"/>
      <c r="EY71" s="398"/>
      <c r="EZ71" s="515"/>
      <c r="FA71" s="515"/>
      <c r="FB71" s="515"/>
      <c r="FR71" s="398"/>
      <c r="FS71" s="398" t="s">
        <v>3940</v>
      </c>
      <c r="FT71" s="398">
        <v>24</v>
      </c>
      <c r="FU71" s="398">
        <v>15</v>
      </c>
      <c r="FV71" s="398">
        <v>21</v>
      </c>
      <c r="FW71" s="398">
        <v>16</v>
      </c>
      <c r="FX71" s="398">
        <v>24</v>
      </c>
      <c r="FY71" s="398">
        <v>22</v>
      </c>
      <c r="FZ71" s="398"/>
      <c r="GA71" s="812"/>
      <c r="GL71" s="825"/>
      <c r="GM71" s="825"/>
      <c r="GN71" s="825"/>
      <c r="GO71" s="825"/>
      <c r="GP71" s="825"/>
      <c r="GQ71" s="825"/>
      <c r="GR71" s="825"/>
      <c r="GS71" s="571"/>
    </row>
    <row r="72" spans="1:201" ht="14.1" customHeight="1">
      <c r="H72" s="737"/>
      <c r="J72" s="754"/>
      <c r="K72" s="776"/>
      <c r="L72" s="776"/>
      <c r="M72" s="776"/>
      <c r="N72" s="776"/>
      <c r="O72" s="776"/>
      <c r="P72" s="776"/>
      <c r="Q72" s="776"/>
      <c r="S72" s="386" t="s">
        <v>3636</v>
      </c>
      <c r="T72" s="386" t="s">
        <v>2177</v>
      </c>
      <c r="U72" s="738">
        <f t="shared" si="76"/>
        <v>900</v>
      </c>
      <c r="V72" s="757" t="s">
        <v>1627</v>
      </c>
      <c r="W72" s="757" t="s">
        <v>1627</v>
      </c>
      <c r="X72" s="757" t="s">
        <v>1627</v>
      </c>
      <c r="Y72" s="757" t="s">
        <v>1627</v>
      </c>
      <c r="Z72" s="757" t="s">
        <v>1627</v>
      </c>
      <c r="AA72" s="757" t="s">
        <v>1627</v>
      </c>
      <c r="AB72" s="757" t="s">
        <v>1627</v>
      </c>
      <c r="AC72" s="757" t="s">
        <v>1627</v>
      </c>
      <c r="AD72" s="754">
        <v>306</v>
      </c>
      <c r="AE72" s="754">
        <v>296</v>
      </c>
      <c r="AF72" s="754">
        <v>298</v>
      </c>
      <c r="AG72" s="757" t="s">
        <v>1627</v>
      </c>
      <c r="AH72" s="757" t="s">
        <v>1627</v>
      </c>
      <c r="AI72" s="757" t="s">
        <v>1627</v>
      </c>
      <c r="AJ72" s="757" t="s">
        <v>1627</v>
      </c>
      <c r="AN72" s="398"/>
      <c r="AO72" s="398"/>
      <c r="AP72" s="398"/>
      <c r="AQ72" s="398"/>
      <c r="AR72" s="398"/>
      <c r="AS72" s="398"/>
      <c r="AT72" s="398"/>
      <c r="AU72" s="398"/>
      <c r="DO72" s="828"/>
      <c r="DP72" s="828"/>
      <c r="DQ72" s="828"/>
      <c r="DR72" s="828"/>
      <c r="DS72" s="828"/>
      <c r="DT72" s="828"/>
      <c r="DU72" s="828"/>
      <c r="DV72" s="828"/>
      <c r="DW72" s="828"/>
      <c r="DX72" s="828"/>
      <c r="DY72" s="828"/>
      <c r="DZ72" s="828"/>
      <c r="EA72" s="828"/>
      <c r="EI72" s="705" t="s">
        <v>3941</v>
      </c>
      <c r="EJ72" s="745">
        <v>73</v>
      </c>
      <c r="EK72" s="755">
        <f t="shared" si="72"/>
        <v>2.3510466988727856</v>
      </c>
      <c r="EL72" s="745">
        <v>33</v>
      </c>
      <c r="EM72" s="745">
        <v>40</v>
      </c>
      <c r="EN72" s="745">
        <v>46</v>
      </c>
      <c r="EO72" s="745">
        <v>27</v>
      </c>
      <c r="EP72" s="737">
        <v>52</v>
      </c>
      <c r="EQ72" s="737">
        <v>21</v>
      </c>
      <c r="ET72" s="398"/>
      <c r="EU72" s="398"/>
      <c r="EV72" s="398"/>
      <c r="EW72" s="398"/>
      <c r="EX72" s="398"/>
      <c r="EY72" s="398"/>
      <c r="EZ72" s="515"/>
      <c r="FA72" s="398"/>
      <c r="FB72" s="398"/>
      <c r="FR72" s="398"/>
      <c r="FS72" s="398" t="s">
        <v>3942</v>
      </c>
      <c r="FT72" s="398">
        <v>0</v>
      </c>
      <c r="FU72" s="398">
        <v>0</v>
      </c>
      <c r="FV72" s="398">
        <v>0</v>
      </c>
      <c r="FW72" s="398">
        <v>0</v>
      </c>
      <c r="FX72" s="398">
        <v>0</v>
      </c>
      <c r="FY72" s="398">
        <v>1</v>
      </c>
      <c r="FZ72" s="519"/>
      <c r="GA72" s="812"/>
      <c r="GL72" s="825"/>
      <c r="GM72" s="825"/>
      <c r="GN72" s="825"/>
      <c r="GO72" s="825"/>
      <c r="GP72" s="825"/>
      <c r="GQ72" s="825"/>
      <c r="GR72" s="825"/>
      <c r="GS72" s="571"/>
    </row>
    <row r="73" spans="1:201" ht="15.6" customHeight="1">
      <c r="A73" s="827"/>
      <c r="B73" s="827"/>
      <c r="C73" s="827"/>
      <c r="D73" s="827"/>
      <c r="H73" s="690"/>
      <c r="J73" s="737"/>
      <c r="K73" s="737"/>
      <c r="L73" s="737"/>
      <c r="M73" s="737"/>
      <c r="N73" s="737"/>
      <c r="O73" s="737"/>
      <c r="P73" s="737"/>
      <c r="Q73" s="737"/>
      <c r="S73" s="386" t="s">
        <v>3614</v>
      </c>
      <c r="T73" s="386" t="s">
        <v>2208</v>
      </c>
      <c r="U73" s="738">
        <f t="shared" si="76"/>
        <v>626</v>
      </c>
      <c r="V73" s="737">
        <v>32</v>
      </c>
      <c r="W73" s="738">
        <v>0</v>
      </c>
      <c r="X73" s="738">
        <v>85</v>
      </c>
      <c r="Y73" s="738">
        <v>91</v>
      </c>
      <c r="Z73" s="738">
        <v>105</v>
      </c>
      <c r="AA73" s="738">
        <v>104</v>
      </c>
      <c r="AB73" s="738">
        <v>108</v>
      </c>
      <c r="AC73" s="738">
        <v>101</v>
      </c>
      <c r="AD73" s="757" t="s">
        <v>1627</v>
      </c>
      <c r="AE73" s="757" t="s">
        <v>1627</v>
      </c>
      <c r="AF73" s="757" t="s">
        <v>1627</v>
      </c>
      <c r="AG73" s="757" t="s">
        <v>1627</v>
      </c>
      <c r="AH73" s="757" t="s">
        <v>1627</v>
      </c>
      <c r="AI73" s="757" t="s">
        <v>1627</v>
      </c>
      <c r="AJ73" s="757" t="s">
        <v>1627</v>
      </c>
      <c r="AN73" s="398"/>
      <c r="AO73" s="398"/>
      <c r="AP73" s="398"/>
      <c r="AQ73" s="398"/>
      <c r="AR73" s="398"/>
      <c r="AS73" s="398"/>
      <c r="AT73" s="398"/>
      <c r="AU73" s="398"/>
      <c r="DM73" s="2122"/>
      <c r="DN73" s="2122"/>
      <c r="DO73" s="829"/>
      <c r="DP73" s="829"/>
      <c r="DQ73" s="829"/>
      <c r="DR73" s="829"/>
      <c r="DS73" s="829"/>
      <c r="DT73" s="829"/>
      <c r="DU73" s="829"/>
      <c r="DV73" s="829"/>
      <c r="DW73" s="829"/>
      <c r="DX73" s="829"/>
      <c r="DY73" s="829"/>
      <c r="DZ73" s="829"/>
      <c r="EA73" s="829"/>
      <c r="EI73" s="705" t="s">
        <v>3943</v>
      </c>
      <c r="EJ73" s="745">
        <v>64</v>
      </c>
      <c r="EK73" s="755">
        <f t="shared" si="72"/>
        <v>2.061191626409018</v>
      </c>
      <c r="EL73" s="745">
        <v>27</v>
      </c>
      <c r="EM73" s="745">
        <v>37</v>
      </c>
      <c r="EN73" s="745">
        <v>48</v>
      </c>
      <c r="EO73" s="745">
        <v>16</v>
      </c>
      <c r="EP73" s="737">
        <v>57</v>
      </c>
      <c r="EQ73" s="737">
        <v>7</v>
      </c>
      <c r="ET73" s="398"/>
      <c r="EU73" s="398"/>
      <c r="EV73" s="398"/>
      <c r="EW73" s="398"/>
      <c r="EX73" s="398"/>
      <c r="EY73" s="398"/>
      <c r="EZ73" s="398"/>
      <c r="FA73" s="398"/>
      <c r="FR73" s="398"/>
      <c r="FS73" s="398" t="s">
        <v>3944</v>
      </c>
      <c r="FT73" s="398">
        <v>0</v>
      </c>
      <c r="FU73" s="398">
        <v>0</v>
      </c>
      <c r="FV73" s="398">
        <v>0</v>
      </c>
      <c r="FW73" s="398">
        <v>0</v>
      </c>
      <c r="FX73" s="398">
        <v>0</v>
      </c>
      <c r="FY73" s="385">
        <v>0</v>
      </c>
      <c r="FZ73" s="809"/>
      <c r="GL73" s="825"/>
      <c r="GM73" s="825"/>
      <c r="GN73" s="825"/>
      <c r="GO73" s="825"/>
      <c r="GP73" s="825"/>
      <c r="GQ73" s="825"/>
      <c r="GR73" s="825"/>
      <c r="GS73" s="571"/>
    </row>
    <row r="74" spans="1:201" ht="14.1" customHeight="1">
      <c r="H74" s="385"/>
      <c r="J74" s="737"/>
      <c r="K74" s="737"/>
      <c r="L74" s="737"/>
      <c r="M74" s="737"/>
      <c r="N74" s="737"/>
      <c r="O74" s="737"/>
      <c r="P74" s="737"/>
      <c r="Q74" s="737"/>
      <c r="S74" s="386" t="s">
        <v>3655</v>
      </c>
      <c r="T74" s="386" t="s">
        <v>2208</v>
      </c>
      <c r="U74" s="738">
        <f t="shared" si="76"/>
        <v>890</v>
      </c>
      <c r="V74" s="757" t="s">
        <v>1627</v>
      </c>
      <c r="W74" s="757" t="s">
        <v>1627</v>
      </c>
      <c r="X74" s="757" t="s">
        <v>1627</v>
      </c>
      <c r="Y74" s="757" t="s">
        <v>1627</v>
      </c>
      <c r="Z74" s="757" t="s">
        <v>1627</v>
      </c>
      <c r="AA74" s="757" t="s">
        <v>1627</v>
      </c>
      <c r="AB74" s="757" t="s">
        <v>1627</v>
      </c>
      <c r="AC74" s="757" t="s">
        <v>1627</v>
      </c>
      <c r="AD74" s="754">
        <v>297</v>
      </c>
      <c r="AE74" s="754">
        <v>281</v>
      </c>
      <c r="AF74" s="754">
        <v>312</v>
      </c>
      <c r="AG74" s="757" t="s">
        <v>1627</v>
      </c>
      <c r="AH74" s="757" t="s">
        <v>1627</v>
      </c>
      <c r="AI74" s="757" t="s">
        <v>1627</v>
      </c>
      <c r="AJ74" s="757" t="s">
        <v>1627</v>
      </c>
      <c r="AN74" s="773"/>
      <c r="AO74" s="773"/>
      <c r="AP74" s="773"/>
      <c r="AQ74" s="773"/>
      <c r="AR74" s="773"/>
      <c r="AS74" s="773"/>
      <c r="AT74" s="773"/>
      <c r="AU74" s="398"/>
      <c r="DM74" s="690"/>
      <c r="DN74" s="690"/>
      <c r="DO74" s="806"/>
      <c r="DP74" s="806"/>
      <c r="DQ74" s="806"/>
      <c r="DR74" s="806"/>
      <c r="DS74" s="806"/>
      <c r="DT74" s="806"/>
      <c r="DU74" s="806"/>
      <c r="DV74" s="806"/>
      <c r="DW74" s="806"/>
      <c r="DX74" s="806"/>
      <c r="DY74" s="806"/>
      <c r="DZ74" s="806"/>
      <c r="EA74" s="806"/>
      <c r="EI74" s="705" t="s">
        <v>1709</v>
      </c>
      <c r="EJ74" s="745">
        <v>76</v>
      </c>
      <c r="EK74" s="755">
        <f t="shared" si="72"/>
        <v>2.4476650563607083</v>
      </c>
      <c r="EL74" s="745">
        <v>38</v>
      </c>
      <c r="EM74" s="745">
        <v>38</v>
      </c>
      <c r="EN74" s="745">
        <v>50</v>
      </c>
      <c r="EO74" s="745">
        <v>26</v>
      </c>
      <c r="EP74" s="515">
        <v>71</v>
      </c>
      <c r="EQ74" s="515">
        <v>5</v>
      </c>
      <c r="ET74" s="398"/>
      <c r="EU74" s="398"/>
      <c r="EV74" s="398"/>
      <c r="EW74" s="398"/>
      <c r="EX74" s="398"/>
      <c r="EY74" s="398"/>
      <c r="FS74" s="398" t="s">
        <v>3945</v>
      </c>
      <c r="FT74" s="398">
        <v>0</v>
      </c>
      <c r="FU74" s="398">
        <v>0</v>
      </c>
      <c r="FV74" s="398">
        <v>4</v>
      </c>
      <c r="FW74" s="398">
        <v>0</v>
      </c>
      <c r="FX74" s="398">
        <v>4</v>
      </c>
      <c r="FY74" s="385">
        <v>12</v>
      </c>
      <c r="FZ74" s="398"/>
      <c r="GL74" s="825"/>
      <c r="GM74" s="825"/>
      <c r="GN74" s="825"/>
      <c r="GO74" s="825"/>
      <c r="GP74" s="825"/>
      <c r="GQ74" s="825"/>
      <c r="GR74" s="825"/>
      <c r="GS74" s="571"/>
    </row>
    <row r="75" spans="1:201" ht="14.1" customHeight="1">
      <c r="A75" s="827"/>
      <c r="B75" s="827"/>
      <c r="C75" s="827"/>
      <c r="D75" s="827"/>
      <c r="E75" s="827"/>
      <c r="F75" s="827"/>
      <c r="G75" s="827"/>
      <c r="H75" s="737"/>
      <c r="J75" s="737"/>
      <c r="K75" s="737"/>
      <c r="L75" s="737"/>
      <c r="M75" s="737"/>
      <c r="N75" s="737"/>
      <c r="O75" s="737"/>
      <c r="P75" s="737"/>
      <c r="Q75" s="737"/>
      <c r="S75" s="386" t="s">
        <v>3666</v>
      </c>
      <c r="T75" s="386" t="s">
        <v>2208</v>
      </c>
      <c r="U75" s="738">
        <f t="shared" si="76"/>
        <v>396</v>
      </c>
      <c r="V75" s="737">
        <v>17</v>
      </c>
      <c r="W75" s="738">
        <v>12</v>
      </c>
      <c r="X75" s="738">
        <v>58</v>
      </c>
      <c r="Y75" s="738">
        <v>47</v>
      </c>
      <c r="Z75" s="738">
        <v>68</v>
      </c>
      <c r="AA75" s="738">
        <v>68</v>
      </c>
      <c r="AB75" s="738">
        <v>67</v>
      </c>
      <c r="AC75" s="738">
        <v>59</v>
      </c>
      <c r="AD75" s="757" t="s">
        <v>1627</v>
      </c>
      <c r="AE75" s="757" t="s">
        <v>1627</v>
      </c>
      <c r="AF75" s="757" t="s">
        <v>1627</v>
      </c>
      <c r="AG75" s="757" t="s">
        <v>1627</v>
      </c>
      <c r="AH75" s="757" t="s">
        <v>1627</v>
      </c>
      <c r="AI75" s="757" t="s">
        <v>1627</v>
      </c>
      <c r="AJ75" s="757" t="s">
        <v>1627</v>
      </c>
      <c r="AN75" s="398"/>
      <c r="AO75" s="398"/>
      <c r="AP75" s="398"/>
      <c r="AQ75" s="398"/>
      <c r="AR75" s="398"/>
      <c r="AS75" s="398"/>
      <c r="AT75" s="398"/>
      <c r="AU75" s="773"/>
      <c r="DM75" s="737"/>
      <c r="DN75" s="737"/>
      <c r="DO75" s="806"/>
      <c r="DP75" s="806"/>
      <c r="DQ75" s="806"/>
      <c r="DR75" s="806"/>
      <c r="DS75" s="806"/>
      <c r="DT75" s="806"/>
      <c r="DU75" s="806"/>
      <c r="DV75" s="806"/>
      <c r="DW75" s="806"/>
      <c r="DX75" s="806"/>
      <c r="DY75" s="806"/>
      <c r="DZ75" s="806"/>
      <c r="EA75" s="806"/>
      <c r="EI75" s="705" t="s">
        <v>3946</v>
      </c>
      <c r="EJ75" s="745">
        <v>40</v>
      </c>
      <c r="EK75" s="755">
        <f t="shared" si="72"/>
        <v>1.288244766505636</v>
      </c>
      <c r="EL75" s="745">
        <v>16</v>
      </c>
      <c r="EM75" s="745">
        <v>24</v>
      </c>
      <c r="EN75" s="745">
        <v>30</v>
      </c>
      <c r="EO75" s="745">
        <v>10</v>
      </c>
      <c r="EP75" s="515">
        <v>37</v>
      </c>
      <c r="EQ75" s="515">
        <v>3</v>
      </c>
      <c r="FS75" s="398" t="s">
        <v>3947</v>
      </c>
      <c r="FT75" s="398">
        <v>8</v>
      </c>
      <c r="FU75" s="398">
        <v>18</v>
      </c>
      <c r="FV75" s="398">
        <v>16</v>
      </c>
      <c r="FW75" s="398">
        <v>20</v>
      </c>
      <c r="FX75" s="398">
        <v>8</v>
      </c>
      <c r="FY75" s="385">
        <v>9</v>
      </c>
      <c r="FZ75" s="398"/>
      <c r="GA75" s="685"/>
      <c r="GL75" s="825"/>
      <c r="GM75" s="825"/>
      <c r="GN75" s="825"/>
      <c r="GO75" s="825"/>
      <c r="GP75" s="825"/>
      <c r="GQ75" s="825"/>
      <c r="GR75" s="825"/>
      <c r="GS75" s="571"/>
    </row>
    <row r="76" spans="1:201" ht="14.1" customHeight="1">
      <c r="H76" s="737"/>
      <c r="J76" s="754"/>
      <c r="K76" s="776"/>
      <c r="L76" s="776"/>
      <c r="M76" s="776"/>
      <c r="N76" s="776"/>
      <c r="O76" s="776"/>
      <c r="P76" s="776"/>
      <c r="Q76" s="776"/>
      <c r="S76" s="386" t="s">
        <v>3680</v>
      </c>
      <c r="T76" s="386" t="s">
        <v>2208</v>
      </c>
      <c r="U76" s="738">
        <f t="shared" si="76"/>
        <v>1548</v>
      </c>
      <c r="V76" s="757" t="s">
        <v>1627</v>
      </c>
      <c r="W76" s="757" t="s">
        <v>1627</v>
      </c>
      <c r="X76" s="757" t="s">
        <v>1627</v>
      </c>
      <c r="Y76" s="757" t="s">
        <v>1627</v>
      </c>
      <c r="Z76" s="757" t="s">
        <v>1627</v>
      </c>
      <c r="AA76" s="757" t="s">
        <v>1627</v>
      </c>
      <c r="AB76" s="757" t="s">
        <v>1627</v>
      </c>
      <c r="AC76" s="757" t="s">
        <v>1627</v>
      </c>
      <c r="AD76" s="757" t="s">
        <v>1627</v>
      </c>
      <c r="AE76" s="757" t="s">
        <v>1627</v>
      </c>
      <c r="AF76" s="757" t="s">
        <v>1627</v>
      </c>
      <c r="AG76" s="738">
        <v>627</v>
      </c>
      <c r="AH76" s="738">
        <v>395</v>
      </c>
      <c r="AI76" s="738">
        <v>314</v>
      </c>
      <c r="AJ76" s="738">
        <v>212</v>
      </c>
      <c r="AN76" s="807"/>
      <c r="AO76" s="807"/>
      <c r="AP76" s="807"/>
      <c r="AQ76" s="807"/>
      <c r="AR76" s="807"/>
      <c r="AS76" s="807"/>
      <c r="AT76" s="807"/>
      <c r="DB76" s="398"/>
      <c r="DC76" s="398"/>
      <c r="DD76" s="398"/>
      <c r="DE76" s="398"/>
      <c r="DF76" s="398"/>
      <c r="DG76" s="398"/>
      <c r="DH76" s="398"/>
      <c r="DM76" s="737"/>
      <c r="DN76" s="737"/>
      <c r="DO76" s="806"/>
      <c r="DP76" s="806"/>
      <c r="DQ76" s="806"/>
      <c r="DR76" s="806"/>
      <c r="DS76" s="806"/>
      <c r="DT76" s="806"/>
      <c r="DU76" s="806"/>
      <c r="DV76" s="806"/>
      <c r="DW76" s="806"/>
      <c r="DX76" s="806"/>
      <c r="DY76" s="806"/>
      <c r="DZ76" s="806"/>
      <c r="EA76" s="806"/>
      <c r="EI76" s="705" t="s">
        <v>3948</v>
      </c>
      <c r="EJ76" s="745">
        <v>89</v>
      </c>
      <c r="EK76" s="755">
        <f t="shared" si="72"/>
        <v>2.8663446054750406</v>
      </c>
      <c r="EL76" s="745">
        <v>38</v>
      </c>
      <c r="EM76" s="745">
        <v>51</v>
      </c>
      <c r="EN76" s="745">
        <v>60</v>
      </c>
      <c r="EO76" s="745">
        <v>29</v>
      </c>
      <c r="EP76" s="737">
        <v>56</v>
      </c>
      <c r="EQ76" s="737">
        <v>33</v>
      </c>
      <c r="FS76" s="398" t="s">
        <v>3949</v>
      </c>
      <c r="FT76" s="2123" t="s">
        <v>3950</v>
      </c>
      <c r="FU76" s="2123"/>
      <c r="FV76" s="2123"/>
      <c r="FW76" s="2123"/>
      <c r="FX76" s="2123"/>
      <c r="FY76" s="2123"/>
      <c r="FZ76" s="519"/>
      <c r="GA76" s="685"/>
      <c r="GL76" s="825"/>
      <c r="GM76" s="825"/>
      <c r="GN76" s="825"/>
      <c r="GO76" s="825"/>
      <c r="GP76" s="825"/>
      <c r="GQ76" s="825"/>
      <c r="GR76" s="825"/>
      <c r="GS76" s="571"/>
    </row>
    <row r="77" spans="1:201" ht="14.1" customHeight="1">
      <c r="A77" s="827"/>
      <c r="B77" s="827"/>
      <c r="C77" s="827"/>
      <c r="D77" s="827"/>
      <c r="E77" s="827"/>
      <c r="F77" s="827"/>
      <c r="G77" s="827"/>
      <c r="H77" s="737"/>
      <c r="J77" s="737"/>
      <c r="K77" s="737"/>
      <c r="L77" s="737"/>
      <c r="M77" s="737"/>
      <c r="N77" s="737"/>
      <c r="O77" s="737"/>
      <c r="P77" s="737"/>
      <c r="Q77" s="737"/>
      <c r="S77" s="386" t="s">
        <v>3687</v>
      </c>
      <c r="T77" s="386" t="s">
        <v>2208</v>
      </c>
      <c r="U77" s="738">
        <f t="shared" si="76"/>
        <v>493</v>
      </c>
      <c r="V77" s="737">
        <v>16</v>
      </c>
      <c r="W77" s="776">
        <v>0</v>
      </c>
      <c r="X77" s="776">
        <v>55</v>
      </c>
      <c r="Y77" s="738">
        <v>81</v>
      </c>
      <c r="Z77" s="738">
        <v>81</v>
      </c>
      <c r="AA77" s="738">
        <v>83</v>
      </c>
      <c r="AB77" s="738">
        <v>79</v>
      </c>
      <c r="AC77" s="738">
        <v>98</v>
      </c>
      <c r="AD77" s="757" t="s">
        <v>1627</v>
      </c>
      <c r="AE77" s="757" t="s">
        <v>1627</v>
      </c>
      <c r="AF77" s="757" t="s">
        <v>1627</v>
      </c>
      <c r="AG77" s="757" t="s">
        <v>1627</v>
      </c>
      <c r="AH77" s="757" t="s">
        <v>1627</v>
      </c>
      <c r="AI77" s="757" t="s">
        <v>1627</v>
      </c>
      <c r="AJ77" s="757" t="s">
        <v>1627</v>
      </c>
      <c r="DI77" s="2122"/>
      <c r="DJ77" s="2122"/>
      <c r="DK77" s="2122"/>
      <c r="DL77" s="2122"/>
      <c r="DM77" s="737"/>
      <c r="DN77" s="737"/>
      <c r="DO77" s="811"/>
      <c r="DP77" s="811"/>
      <c r="DQ77" s="811"/>
      <c r="DR77" s="811"/>
      <c r="DS77" s="811"/>
      <c r="DT77" s="811"/>
      <c r="DU77" s="811"/>
      <c r="DV77" s="811"/>
      <c r="DW77" s="811"/>
      <c r="DX77" s="811"/>
      <c r="DY77" s="811"/>
      <c r="DZ77" s="811"/>
      <c r="EA77" s="811"/>
      <c r="EI77" s="730" t="s">
        <v>3558</v>
      </c>
      <c r="EJ77" s="779">
        <v>11</v>
      </c>
      <c r="EK77" s="780">
        <f t="shared" si="72"/>
        <v>0.35426731078904994</v>
      </c>
      <c r="EL77" s="779">
        <v>4</v>
      </c>
      <c r="EM77" s="779">
        <v>7</v>
      </c>
      <c r="EN77" s="779">
        <v>10</v>
      </c>
      <c r="EO77" s="779">
        <v>1</v>
      </c>
      <c r="EP77" s="801">
        <v>10</v>
      </c>
      <c r="EQ77" s="801">
        <v>1</v>
      </c>
      <c r="FR77" s="382"/>
      <c r="FS77" s="398" t="s">
        <v>3541</v>
      </c>
      <c r="FT77" s="398">
        <v>0</v>
      </c>
      <c r="FU77" s="398">
        <v>0</v>
      </c>
      <c r="FV77" s="398">
        <v>0</v>
      </c>
      <c r="FW77" s="398">
        <v>9</v>
      </c>
      <c r="FX77" s="398">
        <v>9</v>
      </c>
      <c r="FY77" s="398">
        <v>0</v>
      </c>
      <c r="FZ77" s="385"/>
      <c r="GA77" s="685"/>
      <c r="GL77" s="825"/>
      <c r="GM77" s="825"/>
      <c r="GN77" s="825"/>
      <c r="GO77" s="825"/>
      <c r="GP77" s="825"/>
      <c r="GQ77" s="825"/>
      <c r="GR77" s="825"/>
      <c r="GS77" s="571"/>
    </row>
    <row r="78" spans="1:201" ht="14.1" customHeight="1">
      <c r="A78" s="827"/>
      <c r="B78" s="827"/>
      <c r="C78" s="827"/>
      <c r="D78" s="827"/>
      <c r="E78" s="827"/>
      <c r="F78" s="827"/>
      <c r="G78" s="827"/>
      <c r="H78" s="737"/>
      <c r="J78" s="737"/>
      <c r="K78" s="737"/>
      <c r="L78" s="737"/>
      <c r="M78" s="737"/>
      <c r="N78" s="737"/>
      <c r="O78" s="737"/>
      <c r="P78" s="737"/>
      <c r="Q78" s="737"/>
      <c r="S78" s="398"/>
      <c r="T78" s="740"/>
      <c r="U78" s="738"/>
      <c r="V78" s="737"/>
      <c r="W78" s="738"/>
      <c r="X78" s="738"/>
      <c r="Y78" s="738"/>
      <c r="Z78" s="738"/>
      <c r="AA78" s="738"/>
      <c r="AB78" s="738"/>
      <c r="AC78" s="738"/>
      <c r="AD78" s="754"/>
      <c r="AE78" s="738"/>
      <c r="AF78" s="738"/>
      <c r="AG78" s="738"/>
      <c r="AH78" s="738"/>
      <c r="AI78" s="738"/>
      <c r="AJ78" s="738"/>
      <c r="CZ78" s="702"/>
      <c r="DA78" s="702"/>
      <c r="DB78" s="398"/>
      <c r="DC78" s="398"/>
      <c r="DD78" s="398"/>
      <c r="DE78" s="398"/>
      <c r="DF78" s="398"/>
      <c r="DG78" s="398"/>
      <c r="DH78" s="398"/>
      <c r="DI78" s="690"/>
      <c r="DJ78" s="690"/>
      <c r="DK78" s="690"/>
      <c r="DL78" s="690"/>
      <c r="DM78" s="737"/>
      <c r="DN78" s="737"/>
      <c r="DO78" s="811"/>
      <c r="DP78" s="811"/>
      <c r="DQ78" s="811"/>
      <c r="DR78" s="811"/>
      <c r="DS78" s="811"/>
      <c r="DT78" s="811"/>
      <c r="DU78" s="811"/>
      <c r="DV78" s="811"/>
      <c r="DW78" s="811"/>
      <c r="DX78" s="811"/>
      <c r="DY78" s="811"/>
      <c r="DZ78" s="811"/>
      <c r="EA78" s="811"/>
      <c r="EB78" s="702"/>
      <c r="EC78" s="702"/>
      <c r="ED78" s="702"/>
      <c r="EE78" s="702"/>
      <c r="EF78" s="702"/>
      <c r="EI78" s="781" t="s">
        <v>3629</v>
      </c>
      <c r="EJ78" s="782"/>
      <c r="EK78" s="783"/>
      <c r="EL78" s="781"/>
      <c r="EM78" s="781"/>
      <c r="EN78" s="781"/>
      <c r="EO78" s="781"/>
      <c r="FR78" s="398"/>
      <c r="FS78" s="398" t="s">
        <v>3951</v>
      </c>
      <c r="FT78" s="398"/>
      <c r="FU78" s="398"/>
      <c r="FV78" s="398"/>
      <c r="FW78" s="398"/>
      <c r="FX78" s="398"/>
      <c r="FY78" s="398"/>
      <c r="FZ78" s="398"/>
      <c r="GA78" s="685"/>
      <c r="GL78" s="571"/>
      <c r="GM78" s="571"/>
      <c r="GN78" s="571"/>
      <c r="GO78" s="571"/>
      <c r="GP78" s="571"/>
      <c r="GQ78" s="571"/>
      <c r="GR78" s="825"/>
      <c r="GS78" s="571"/>
    </row>
    <row r="79" spans="1:201" ht="14.1" customHeight="1">
      <c r="A79" s="1850"/>
      <c r="B79" s="1850"/>
      <c r="C79" s="1850"/>
      <c r="D79" s="1850"/>
      <c r="E79" s="830"/>
      <c r="F79" s="830"/>
      <c r="G79" s="830"/>
      <c r="H79" s="737"/>
      <c r="J79" s="737"/>
      <c r="K79" s="737"/>
      <c r="L79" s="737"/>
      <c r="M79" s="737"/>
      <c r="N79" s="737"/>
      <c r="O79" s="737"/>
      <c r="P79" s="737"/>
      <c r="Q79" s="737"/>
      <c r="S79" s="398" t="s">
        <v>3699</v>
      </c>
      <c r="T79" s="740"/>
      <c r="U79" s="738">
        <f>SUM(U80:U86)</f>
        <v>4092</v>
      </c>
      <c r="V79" s="738">
        <f>SUM(V80:V86)</f>
        <v>68</v>
      </c>
      <c r="W79" s="738">
        <f t="shared" ref="W79:AJ79" si="77">SUM(W80:W86)</f>
        <v>40</v>
      </c>
      <c r="X79" s="738">
        <f t="shared" si="77"/>
        <v>213</v>
      </c>
      <c r="Y79" s="738">
        <f t="shared" si="77"/>
        <v>267</v>
      </c>
      <c r="Z79" s="738">
        <f t="shared" si="77"/>
        <v>305</v>
      </c>
      <c r="AA79" s="738">
        <f t="shared" si="77"/>
        <v>256</v>
      </c>
      <c r="AB79" s="738">
        <f t="shared" si="77"/>
        <v>309</v>
      </c>
      <c r="AC79" s="738">
        <f t="shared" si="77"/>
        <v>286</v>
      </c>
      <c r="AD79" s="738">
        <f t="shared" si="77"/>
        <v>219</v>
      </c>
      <c r="AE79" s="738">
        <f t="shared" si="77"/>
        <v>215</v>
      </c>
      <c r="AF79" s="738">
        <f t="shared" si="77"/>
        <v>225</v>
      </c>
      <c r="AG79" s="738">
        <f t="shared" si="77"/>
        <v>537</v>
      </c>
      <c r="AH79" s="738">
        <f t="shared" si="77"/>
        <v>470</v>
      </c>
      <c r="AI79" s="738">
        <f t="shared" si="77"/>
        <v>497</v>
      </c>
      <c r="AJ79" s="738">
        <f t="shared" si="77"/>
        <v>185</v>
      </c>
      <c r="CZ79" s="690"/>
      <c r="DA79" s="690"/>
      <c r="DI79" s="737"/>
      <c r="DJ79" s="737"/>
      <c r="DK79" s="737"/>
      <c r="DL79" s="737"/>
      <c r="DM79" s="737"/>
      <c r="DN79" s="737"/>
      <c r="DO79" s="811"/>
      <c r="DP79" s="811"/>
      <c r="DQ79" s="811"/>
      <c r="DR79" s="811"/>
      <c r="DS79" s="811"/>
      <c r="DT79" s="811"/>
      <c r="DU79" s="811"/>
      <c r="DV79" s="811"/>
      <c r="DW79" s="811"/>
      <c r="DX79" s="811"/>
      <c r="DY79" s="811"/>
      <c r="DZ79" s="811"/>
      <c r="EA79" s="811"/>
      <c r="EB79" s="690"/>
      <c r="EC79" s="690"/>
      <c r="ED79" s="690"/>
      <c r="EE79" s="690"/>
      <c r="EF79" s="690"/>
      <c r="FS79" s="398" t="s">
        <v>3952</v>
      </c>
      <c r="FT79" s="398">
        <v>1</v>
      </c>
      <c r="FU79" s="398">
        <v>4</v>
      </c>
      <c r="FV79" s="398">
        <v>2</v>
      </c>
      <c r="FW79" s="398">
        <v>2</v>
      </c>
      <c r="FX79" s="398">
        <v>0</v>
      </c>
      <c r="FY79" s="398">
        <v>3</v>
      </c>
      <c r="FZ79" s="398"/>
      <c r="GA79" s="685"/>
      <c r="GL79" s="571"/>
      <c r="GM79" s="571"/>
      <c r="GN79" s="571"/>
      <c r="GO79" s="571"/>
      <c r="GP79" s="571"/>
      <c r="GQ79" s="571"/>
      <c r="GR79" s="825"/>
      <c r="GS79" s="571"/>
    </row>
    <row r="80" spans="1:201" ht="14.1" customHeight="1">
      <c r="A80" s="740"/>
      <c r="B80" s="740"/>
      <c r="C80" s="740"/>
      <c r="D80" s="740"/>
      <c r="E80" s="740"/>
      <c r="F80" s="740"/>
      <c r="G80" s="740"/>
      <c r="H80" s="737"/>
      <c r="J80" s="737"/>
      <c r="K80" s="737"/>
      <c r="L80" s="737"/>
      <c r="M80" s="737"/>
      <c r="N80" s="737"/>
      <c r="O80" s="737"/>
      <c r="P80" s="737"/>
      <c r="Q80" s="737"/>
      <c r="S80" s="386" t="s">
        <v>3707</v>
      </c>
      <c r="T80" s="386" t="s">
        <v>3708</v>
      </c>
      <c r="U80" s="738">
        <f>SUM(V80:AJ80)</f>
        <v>320</v>
      </c>
      <c r="V80" s="776">
        <v>0</v>
      </c>
      <c r="W80" s="738">
        <v>0</v>
      </c>
      <c r="X80" s="738">
        <v>44</v>
      </c>
      <c r="Y80" s="738">
        <v>52</v>
      </c>
      <c r="Z80" s="738">
        <v>60</v>
      </c>
      <c r="AA80" s="738">
        <v>43</v>
      </c>
      <c r="AB80" s="738">
        <v>63</v>
      </c>
      <c r="AC80" s="738">
        <v>58</v>
      </c>
      <c r="AD80" s="757" t="s">
        <v>1627</v>
      </c>
      <c r="AE80" s="757" t="s">
        <v>1627</v>
      </c>
      <c r="AF80" s="757" t="s">
        <v>1627</v>
      </c>
      <c r="AG80" s="757" t="s">
        <v>1627</v>
      </c>
      <c r="AH80" s="757" t="s">
        <v>1627</v>
      </c>
      <c r="AI80" s="757" t="s">
        <v>1627</v>
      </c>
      <c r="AJ80" s="757" t="s">
        <v>1627</v>
      </c>
      <c r="CZ80" s="737"/>
      <c r="DA80" s="737"/>
      <c r="DB80" s="398"/>
      <c r="DC80" s="398"/>
      <c r="DD80" s="398"/>
      <c r="DE80" s="398"/>
      <c r="DF80" s="398"/>
      <c r="DG80" s="398"/>
      <c r="DH80" s="398"/>
      <c r="DI80" s="737"/>
      <c r="DJ80" s="737"/>
      <c r="DK80" s="737"/>
      <c r="DL80" s="737"/>
      <c r="DM80" s="737"/>
      <c r="DN80" s="737"/>
      <c r="DO80" s="811"/>
      <c r="DP80" s="811"/>
      <c r="DQ80" s="811"/>
      <c r="DR80" s="811"/>
      <c r="DS80" s="811"/>
      <c r="DT80" s="811"/>
      <c r="DU80" s="811"/>
      <c r="DV80" s="811"/>
      <c r="DW80" s="811"/>
      <c r="DX80" s="811"/>
      <c r="DY80" s="811"/>
      <c r="DZ80" s="811"/>
      <c r="EA80" s="811"/>
      <c r="EB80" s="737"/>
      <c r="EC80" s="737"/>
      <c r="ED80" s="737"/>
      <c r="EE80" s="737"/>
      <c r="EF80" s="737"/>
      <c r="FS80" s="387" t="s">
        <v>3953</v>
      </c>
      <c r="FT80" s="387">
        <v>10</v>
      </c>
      <c r="FU80" s="387">
        <v>0</v>
      </c>
      <c r="FV80" s="387">
        <v>0</v>
      </c>
      <c r="FW80" s="387">
        <v>3</v>
      </c>
      <c r="FX80" s="387">
        <v>7</v>
      </c>
      <c r="FY80" s="387">
        <v>4</v>
      </c>
      <c r="FZ80" s="398"/>
      <c r="GL80" s="571"/>
      <c r="GM80" s="571"/>
      <c r="GN80" s="571"/>
      <c r="GO80" s="571"/>
      <c r="GP80" s="571"/>
      <c r="GQ80" s="571"/>
      <c r="GR80" s="825"/>
      <c r="GS80" s="571"/>
    </row>
    <row r="81" spans="1:209" ht="14.1" customHeight="1">
      <c r="A81" s="398"/>
      <c r="B81" s="398"/>
      <c r="C81" s="398"/>
      <c r="D81" s="398"/>
      <c r="E81" s="398"/>
      <c r="F81" s="398"/>
      <c r="G81" s="398"/>
      <c r="H81" s="737"/>
      <c r="J81" s="737"/>
      <c r="K81" s="737"/>
      <c r="L81" s="737"/>
      <c r="M81" s="737"/>
      <c r="N81" s="737"/>
      <c r="O81" s="737"/>
      <c r="P81" s="737"/>
      <c r="Q81" s="737"/>
      <c r="S81" s="386" t="s">
        <v>3720</v>
      </c>
      <c r="T81" s="386" t="s">
        <v>2195</v>
      </c>
      <c r="U81" s="738">
        <f t="shared" ref="U81:U86" si="78">SUM(V81:AJ81)</f>
        <v>659</v>
      </c>
      <c r="V81" s="757" t="s">
        <v>1627</v>
      </c>
      <c r="W81" s="757" t="s">
        <v>1627</v>
      </c>
      <c r="X81" s="757" t="s">
        <v>1627</v>
      </c>
      <c r="Y81" s="757" t="s">
        <v>1627</v>
      </c>
      <c r="Z81" s="757" t="s">
        <v>1627</v>
      </c>
      <c r="AA81" s="757" t="s">
        <v>1627</v>
      </c>
      <c r="AB81" s="757" t="s">
        <v>1627</v>
      </c>
      <c r="AC81" s="757" t="s">
        <v>1627</v>
      </c>
      <c r="AD81" s="754">
        <v>219</v>
      </c>
      <c r="AE81" s="738">
        <v>215</v>
      </c>
      <c r="AF81" s="738">
        <v>225</v>
      </c>
      <c r="AG81" s="757" t="s">
        <v>1627</v>
      </c>
      <c r="AH81" s="757" t="s">
        <v>1627</v>
      </c>
      <c r="AI81" s="757" t="s">
        <v>1627</v>
      </c>
      <c r="AJ81" s="757" t="s">
        <v>1627</v>
      </c>
      <c r="DB81" s="740"/>
      <c r="DC81" s="740"/>
      <c r="DD81" s="740"/>
      <c r="DE81" s="740"/>
      <c r="DF81" s="740"/>
      <c r="DG81" s="740"/>
      <c r="DH81" s="740"/>
      <c r="DI81" s="737"/>
      <c r="DJ81" s="737"/>
      <c r="DK81" s="737"/>
      <c r="DL81" s="737"/>
      <c r="DM81" s="737"/>
      <c r="DN81" s="737"/>
      <c r="DO81" s="811"/>
      <c r="DP81" s="811"/>
      <c r="DQ81" s="811"/>
      <c r="DR81" s="811"/>
      <c r="DS81" s="811"/>
      <c r="DT81" s="811"/>
      <c r="DU81" s="811"/>
      <c r="DV81" s="811"/>
      <c r="DW81" s="811"/>
      <c r="DX81" s="811"/>
      <c r="DY81" s="811"/>
      <c r="DZ81" s="811"/>
      <c r="EA81" s="811"/>
      <c r="FS81" s="398" t="s">
        <v>3629</v>
      </c>
      <c r="FT81" s="398"/>
      <c r="FU81" s="398"/>
      <c r="FV81" s="398"/>
      <c r="FW81" s="398"/>
      <c r="FX81" s="398"/>
      <c r="FY81" s="398"/>
      <c r="FZ81" s="398"/>
      <c r="GL81" s="571"/>
      <c r="GM81" s="571"/>
      <c r="GN81" s="571"/>
      <c r="GO81" s="571"/>
      <c r="GP81" s="571"/>
      <c r="GQ81" s="571"/>
      <c r="GR81" s="825"/>
      <c r="GS81" s="571"/>
    </row>
    <row r="82" spans="1:209" ht="14.1" customHeight="1">
      <c r="H82" s="737"/>
      <c r="J82" s="737"/>
      <c r="K82" s="737"/>
      <c r="L82" s="737"/>
      <c r="M82" s="737"/>
      <c r="N82" s="737"/>
      <c r="O82" s="737"/>
      <c r="P82" s="737"/>
      <c r="Q82" s="737"/>
      <c r="S82" s="386" t="s">
        <v>3588</v>
      </c>
      <c r="T82" s="386" t="s">
        <v>3728</v>
      </c>
      <c r="U82" s="738">
        <f t="shared" si="78"/>
        <v>474</v>
      </c>
      <c r="V82" s="737">
        <v>40</v>
      </c>
      <c r="W82" s="776">
        <v>0</v>
      </c>
      <c r="X82" s="776">
        <v>62</v>
      </c>
      <c r="Y82" s="738">
        <v>62</v>
      </c>
      <c r="Z82" s="738">
        <v>78</v>
      </c>
      <c r="AA82" s="738">
        <v>70</v>
      </c>
      <c r="AB82" s="738">
        <v>95</v>
      </c>
      <c r="AC82" s="738">
        <v>67</v>
      </c>
      <c r="AD82" s="757" t="s">
        <v>1627</v>
      </c>
      <c r="AE82" s="757" t="s">
        <v>1627</v>
      </c>
      <c r="AF82" s="757" t="s">
        <v>1627</v>
      </c>
      <c r="AG82" s="757" t="s">
        <v>1627</v>
      </c>
      <c r="AH82" s="757" t="s">
        <v>1627</v>
      </c>
      <c r="AI82" s="757" t="s">
        <v>1627</v>
      </c>
      <c r="AJ82" s="757" t="s">
        <v>1627</v>
      </c>
      <c r="CZ82" s="737"/>
      <c r="DA82" s="737"/>
      <c r="DB82" s="740"/>
      <c r="DC82" s="740"/>
      <c r="DD82" s="740"/>
      <c r="DE82" s="740"/>
      <c r="DF82" s="740"/>
      <c r="DG82" s="740"/>
      <c r="DH82" s="740"/>
      <c r="DI82" s="737"/>
      <c r="DJ82" s="737"/>
      <c r="DK82" s="737"/>
      <c r="DL82" s="737"/>
      <c r="DM82" s="737"/>
      <c r="DN82" s="737"/>
      <c r="DO82" s="811"/>
      <c r="DP82" s="811"/>
      <c r="DQ82" s="811"/>
      <c r="DR82" s="811"/>
      <c r="DS82" s="811"/>
      <c r="DT82" s="811"/>
      <c r="DU82" s="811"/>
      <c r="DV82" s="811"/>
      <c r="DW82" s="811"/>
      <c r="DX82" s="811"/>
      <c r="DY82" s="811"/>
      <c r="DZ82" s="811"/>
      <c r="EA82" s="811"/>
      <c r="EB82" s="737"/>
      <c r="EC82" s="737"/>
      <c r="ED82" s="737"/>
      <c r="EE82" s="737"/>
      <c r="EF82" s="737"/>
      <c r="EI82" s="682" t="s">
        <v>3954</v>
      </c>
      <c r="EJ82" s="683"/>
      <c r="EK82" s="683"/>
      <c r="EL82" s="682"/>
      <c r="EM82" s="682"/>
      <c r="EN82" s="682"/>
      <c r="EO82" s="682"/>
      <c r="EP82" s="678"/>
      <c r="EQ82" s="387"/>
      <c r="FS82" s="398" t="s">
        <v>3955</v>
      </c>
      <c r="FT82" s="398"/>
      <c r="FU82" s="398"/>
      <c r="FV82" s="398"/>
      <c r="FW82" s="398"/>
      <c r="FX82" s="398"/>
      <c r="FY82" s="398"/>
      <c r="FZ82" s="812"/>
      <c r="GL82" s="571"/>
      <c r="GM82" s="571"/>
      <c r="GN82" s="571"/>
      <c r="GO82" s="571"/>
      <c r="GP82" s="571"/>
      <c r="GQ82" s="571"/>
      <c r="GR82" s="571"/>
      <c r="GS82" s="571"/>
    </row>
    <row r="83" spans="1:209" ht="14.1" customHeight="1">
      <c r="A83" s="386"/>
      <c r="B83" s="386"/>
      <c r="C83" s="386"/>
      <c r="D83" s="386"/>
      <c r="E83" s="386"/>
      <c r="F83" s="386"/>
      <c r="G83" s="386"/>
      <c r="H83" s="737"/>
      <c r="J83" s="737"/>
      <c r="K83" s="737"/>
      <c r="L83" s="737"/>
      <c r="M83" s="737"/>
      <c r="N83" s="737"/>
      <c r="O83" s="737"/>
      <c r="P83" s="737"/>
      <c r="Q83" s="737"/>
      <c r="S83" s="386" t="s">
        <v>3738</v>
      </c>
      <c r="T83" s="386" t="s">
        <v>2202</v>
      </c>
      <c r="U83" s="738">
        <f t="shared" si="78"/>
        <v>280</v>
      </c>
      <c r="V83" s="737">
        <v>28</v>
      </c>
      <c r="W83" s="738">
        <v>0</v>
      </c>
      <c r="X83" s="738">
        <v>27</v>
      </c>
      <c r="Y83" s="738">
        <v>44</v>
      </c>
      <c r="Z83" s="738">
        <v>55</v>
      </c>
      <c r="AA83" s="738">
        <v>36</v>
      </c>
      <c r="AB83" s="738">
        <v>41</v>
      </c>
      <c r="AC83" s="738">
        <v>49</v>
      </c>
      <c r="AD83" s="757" t="s">
        <v>1627</v>
      </c>
      <c r="AE83" s="757" t="s">
        <v>1627</v>
      </c>
      <c r="AF83" s="757" t="s">
        <v>1627</v>
      </c>
      <c r="AG83" s="757" t="s">
        <v>1627</v>
      </c>
      <c r="AH83" s="757" t="s">
        <v>1627</v>
      </c>
      <c r="AI83" s="757" t="s">
        <v>1627</v>
      </c>
      <c r="AJ83" s="757" t="s">
        <v>1627</v>
      </c>
      <c r="CZ83" s="737"/>
      <c r="DA83" s="737"/>
      <c r="DB83" s="740"/>
      <c r="DC83" s="740"/>
      <c r="DD83" s="740"/>
      <c r="DE83" s="740"/>
      <c r="DF83" s="740"/>
      <c r="DG83" s="740"/>
      <c r="DH83" s="740"/>
      <c r="DI83" s="737"/>
      <c r="DJ83" s="737"/>
      <c r="DK83" s="737"/>
      <c r="DL83" s="737"/>
      <c r="DM83" s="737"/>
      <c r="DN83" s="737"/>
      <c r="DO83" s="811"/>
      <c r="DP83" s="811"/>
      <c r="DQ83" s="811"/>
      <c r="DR83" s="811"/>
      <c r="DS83" s="811"/>
      <c r="DT83" s="811"/>
      <c r="DU83" s="811"/>
      <c r="DV83" s="811"/>
      <c r="DW83" s="811"/>
      <c r="DX83" s="811"/>
      <c r="DY83" s="811"/>
      <c r="DZ83" s="811"/>
      <c r="EA83" s="811"/>
      <c r="EB83" s="737"/>
      <c r="EC83" s="737"/>
      <c r="ED83" s="737"/>
      <c r="EE83" s="737"/>
      <c r="EF83" s="737"/>
      <c r="EI83" s="705"/>
      <c r="EJ83" s="706" t="s">
        <v>3464</v>
      </c>
      <c r="EK83" s="706" t="s">
        <v>385</v>
      </c>
      <c r="EL83" s="2124" t="s">
        <v>3465</v>
      </c>
      <c r="EM83" s="2125"/>
      <c r="EN83" s="2124" t="s">
        <v>3466</v>
      </c>
      <c r="EO83" s="2126"/>
      <c r="EP83" s="2127" t="s">
        <v>3467</v>
      </c>
      <c r="EQ83" s="2128"/>
      <c r="FR83" s="398"/>
      <c r="FT83" s="398"/>
      <c r="FU83" s="398"/>
      <c r="FV83" s="398"/>
      <c r="FW83" s="398"/>
      <c r="FX83" s="398"/>
      <c r="FY83" s="398"/>
      <c r="GL83" s="571"/>
      <c r="GM83" s="571"/>
      <c r="GN83" s="571"/>
      <c r="GO83" s="571"/>
      <c r="GP83" s="571"/>
      <c r="GQ83" s="571"/>
      <c r="GR83" s="571"/>
      <c r="GS83" s="571"/>
    </row>
    <row r="84" spans="1:209" ht="14.1" customHeight="1">
      <c r="A84" s="740"/>
      <c r="B84" s="740"/>
      <c r="C84" s="740"/>
      <c r="D84" s="740"/>
      <c r="E84" s="740"/>
      <c r="F84" s="740"/>
      <c r="G84" s="740"/>
      <c r="H84" s="737"/>
      <c r="J84" s="754"/>
      <c r="K84" s="776"/>
      <c r="L84" s="776"/>
      <c r="M84" s="776"/>
      <c r="N84" s="776"/>
      <c r="O84" s="776"/>
      <c r="P84" s="776"/>
      <c r="Q84" s="776"/>
      <c r="S84" s="386" t="s">
        <v>3679</v>
      </c>
      <c r="T84" s="386" t="s">
        <v>2202</v>
      </c>
      <c r="U84" s="738">
        <f t="shared" si="78"/>
        <v>229</v>
      </c>
      <c r="V84" s="776">
        <v>0</v>
      </c>
      <c r="W84" s="776">
        <v>40</v>
      </c>
      <c r="X84" s="776">
        <v>80</v>
      </c>
      <c r="Y84" s="738">
        <v>109</v>
      </c>
      <c r="Z84" s="776">
        <v>0</v>
      </c>
      <c r="AA84" s="776">
        <v>0</v>
      </c>
      <c r="AB84" s="776">
        <v>0</v>
      </c>
      <c r="AC84" s="776">
        <v>0</v>
      </c>
      <c r="AD84" s="757" t="s">
        <v>1627</v>
      </c>
      <c r="AE84" s="757" t="s">
        <v>1627</v>
      </c>
      <c r="AF84" s="757" t="s">
        <v>1627</v>
      </c>
      <c r="AG84" s="757" t="s">
        <v>1627</v>
      </c>
      <c r="AH84" s="757" t="s">
        <v>1627</v>
      </c>
      <c r="AI84" s="757" t="s">
        <v>1627</v>
      </c>
      <c r="AJ84" s="757" t="s">
        <v>1627</v>
      </c>
      <c r="CZ84" s="737"/>
      <c r="DA84" s="737"/>
      <c r="DB84" s="740"/>
      <c r="DC84" s="740"/>
      <c r="DD84" s="740"/>
      <c r="DE84" s="740"/>
      <c r="DF84" s="740"/>
      <c r="DG84" s="740"/>
      <c r="DH84" s="740"/>
      <c r="DI84" s="737"/>
      <c r="DJ84" s="737"/>
      <c r="DK84" s="737"/>
      <c r="DL84" s="737"/>
      <c r="DM84" s="737"/>
      <c r="DN84" s="737"/>
      <c r="DO84" s="811"/>
      <c r="DP84" s="811"/>
      <c r="DQ84" s="811"/>
      <c r="DR84" s="811"/>
      <c r="DS84" s="811"/>
      <c r="DT84" s="811"/>
      <c r="DU84" s="811"/>
      <c r="DV84" s="811"/>
      <c r="DW84" s="811"/>
      <c r="DX84" s="811"/>
      <c r="DY84" s="811"/>
      <c r="DZ84" s="811"/>
      <c r="EA84" s="811"/>
      <c r="EB84" s="737"/>
      <c r="EC84" s="737"/>
      <c r="ED84" s="737"/>
      <c r="EE84" s="737"/>
      <c r="EF84" s="737"/>
      <c r="EI84" s="730" t="s">
        <v>3487</v>
      </c>
      <c r="EJ84" s="731" t="s">
        <v>3488</v>
      </c>
      <c r="EK84" s="731" t="s">
        <v>3489</v>
      </c>
      <c r="EL84" s="732" t="s">
        <v>1711</v>
      </c>
      <c r="EM84" s="732" t="s">
        <v>1712</v>
      </c>
      <c r="EN84" s="732" t="s">
        <v>3490</v>
      </c>
      <c r="EO84" s="733" t="s">
        <v>3491</v>
      </c>
      <c r="EP84" s="703" t="s">
        <v>3492</v>
      </c>
      <c r="EQ84" s="703" t="s">
        <v>3493</v>
      </c>
      <c r="FS84" s="398"/>
      <c r="FT84" s="398"/>
      <c r="FU84" s="398"/>
      <c r="FV84" s="398"/>
      <c r="FW84" s="398"/>
      <c r="FX84" s="398"/>
      <c r="FY84" s="398"/>
      <c r="GL84" s="571"/>
      <c r="GM84" s="571"/>
      <c r="GN84" s="571"/>
      <c r="GO84" s="571"/>
      <c r="GP84" s="571"/>
      <c r="GQ84" s="571"/>
      <c r="GR84" s="571"/>
      <c r="GS84" s="571"/>
      <c r="HA84" s="385"/>
    </row>
    <row r="85" spans="1:209" ht="14.1" customHeight="1">
      <c r="A85" s="740"/>
      <c r="B85" s="740"/>
      <c r="C85" s="740"/>
      <c r="D85" s="740"/>
      <c r="E85" s="740"/>
      <c r="F85" s="740"/>
      <c r="G85" s="740"/>
      <c r="H85" s="737"/>
      <c r="J85" s="737"/>
      <c r="K85" s="737"/>
      <c r="L85" s="737"/>
      <c r="M85" s="737"/>
      <c r="N85" s="737"/>
      <c r="O85" s="737"/>
      <c r="P85" s="737"/>
      <c r="Q85" s="737"/>
      <c r="S85" s="386" t="s">
        <v>3751</v>
      </c>
      <c r="T85" s="386" t="s">
        <v>2202</v>
      </c>
      <c r="U85" s="738">
        <f t="shared" si="78"/>
        <v>1689</v>
      </c>
      <c r="V85" s="757" t="s">
        <v>1627</v>
      </c>
      <c r="W85" s="757" t="s">
        <v>1627</v>
      </c>
      <c r="X85" s="757" t="s">
        <v>1627</v>
      </c>
      <c r="Y85" s="757" t="s">
        <v>1627</v>
      </c>
      <c r="Z85" s="757" t="s">
        <v>1627</v>
      </c>
      <c r="AA85" s="757" t="s">
        <v>1627</v>
      </c>
      <c r="AB85" s="757" t="s">
        <v>1627</v>
      </c>
      <c r="AC85" s="757" t="s">
        <v>1627</v>
      </c>
      <c r="AD85" s="757" t="s">
        <v>1627</v>
      </c>
      <c r="AE85" s="757" t="s">
        <v>1627</v>
      </c>
      <c r="AF85" s="757" t="s">
        <v>1627</v>
      </c>
      <c r="AG85" s="738">
        <v>537</v>
      </c>
      <c r="AH85" s="738">
        <v>470</v>
      </c>
      <c r="AI85" s="738">
        <v>497</v>
      </c>
      <c r="AJ85" s="738">
        <v>185</v>
      </c>
      <c r="CZ85" s="737"/>
      <c r="DA85" s="737"/>
      <c r="DB85" s="740"/>
      <c r="DC85" s="740"/>
      <c r="DD85" s="740"/>
      <c r="DE85" s="740"/>
      <c r="DF85" s="740"/>
      <c r="DG85" s="740"/>
      <c r="DH85" s="740"/>
      <c r="DI85" s="737"/>
      <c r="DJ85" s="737"/>
      <c r="DK85" s="737"/>
      <c r="DL85" s="737"/>
      <c r="DM85" s="737"/>
      <c r="DN85" s="737"/>
      <c r="DO85" s="811"/>
      <c r="DP85" s="811"/>
      <c r="DQ85" s="811"/>
      <c r="DR85" s="811"/>
      <c r="DS85" s="811"/>
      <c r="DT85" s="811"/>
      <c r="DU85" s="811"/>
      <c r="DV85" s="811"/>
      <c r="DW85" s="811"/>
      <c r="DX85" s="811"/>
      <c r="DY85" s="811"/>
      <c r="DZ85" s="811"/>
      <c r="EA85" s="811"/>
      <c r="EB85" s="737"/>
      <c r="EC85" s="737"/>
      <c r="ED85" s="737"/>
      <c r="EE85" s="737"/>
      <c r="EF85" s="737"/>
      <c r="EI85" s="705" t="s">
        <v>3508</v>
      </c>
      <c r="EJ85" s="745">
        <f>SUM(EJ86:EJ110)</f>
        <v>3449</v>
      </c>
      <c r="EK85" s="746">
        <v>100</v>
      </c>
      <c r="EL85" s="745">
        <f t="shared" ref="EL85:EQ85" si="79">SUM(EL86:EL110)</f>
        <v>1396</v>
      </c>
      <c r="EM85" s="745">
        <f t="shared" si="79"/>
        <v>2053</v>
      </c>
      <c r="EN85" s="745">
        <f t="shared" si="79"/>
        <v>2523</v>
      </c>
      <c r="EO85" s="745">
        <f t="shared" si="79"/>
        <v>926</v>
      </c>
      <c r="EP85" s="745">
        <f t="shared" si="79"/>
        <v>3118</v>
      </c>
      <c r="EQ85" s="745">
        <f t="shared" si="79"/>
        <v>331</v>
      </c>
      <c r="FS85" s="812"/>
      <c r="FT85" s="812"/>
      <c r="FU85" s="812"/>
      <c r="FV85" s="812"/>
      <c r="FW85" s="812"/>
      <c r="FX85" s="812"/>
      <c r="FY85" s="812"/>
      <c r="GL85" s="571"/>
      <c r="GM85" s="571"/>
      <c r="GN85" s="571"/>
      <c r="GO85" s="571"/>
      <c r="GP85" s="571"/>
      <c r="GQ85" s="571"/>
      <c r="GR85" s="571"/>
      <c r="GS85" s="571"/>
      <c r="HA85" s="398"/>
    </row>
    <row r="86" spans="1:209" ht="14.1" customHeight="1">
      <c r="A86" s="740"/>
      <c r="B86" s="740"/>
      <c r="C86" s="740"/>
      <c r="D86" s="740"/>
      <c r="E86" s="740"/>
      <c r="F86" s="740"/>
      <c r="G86" s="740"/>
      <c r="H86" s="737"/>
      <c r="J86" s="737"/>
      <c r="K86" s="737"/>
      <c r="L86" s="737"/>
      <c r="M86" s="737"/>
      <c r="N86" s="737"/>
      <c r="O86" s="737"/>
      <c r="P86" s="737"/>
      <c r="Q86" s="737"/>
      <c r="S86" s="386" t="s">
        <v>2202</v>
      </c>
      <c r="T86" s="386" t="s">
        <v>2202</v>
      </c>
      <c r="U86" s="738">
        <f t="shared" si="78"/>
        <v>441</v>
      </c>
      <c r="V86" s="776">
        <v>0</v>
      </c>
      <c r="W86" s="776">
        <v>0</v>
      </c>
      <c r="X86" s="776">
        <v>0</v>
      </c>
      <c r="Y86" s="776">
        <v>0</v>
      </c>
      <c r="Z86" s="738">
        <v>112</v>
      </c>
      <c r="AA86" s="738">
        <v>107</v>
      </c>
      <c r="AB86" s="738">
        <v>110</v>
      </c>
      <c r="AC86" s="738">
        <v>112</v>
      </c>
      <c r="AD86" s="757" t="s">
        <v>1627</v>
      </c>
      <c r="AE86" s="757" t="s">
        <v>1627</v>
      </c>
      <c r="AF86" s="757" t="s">
        <v>1627</v>
      </c>
      <c r="AG86" s="757" t="s">
        <v>1627</v>
      </c>
      <c r="AH86" s="757" t="s">
        <v>1627</v>
      </c>
      <c r="AI86" s="757" t="s">
        <v>1627</v>
      </c>
      <c r="AJ86" s="757" t="s">
        <v>1627</v>
      </c>
      <c r="CZ86" s="737"/>
      <c r="DA86" s="737"/>
      <c r="DB86" s="740"/>
      <c r="DC86" s="740"/>
      <c r="DD86" s="740"/>
      <c r="DE86" s="740"/>
      <c r="DF86" s="740"/>
      <c r="DG86" s="740"/>
      <c r="DH86" s="740"/>
      <c r="DI86" s="737"/>
      <c r="DJ86" s="737"/>
      <c r="DK86" s="737"/>
      <c r="DL86" s="737"/>
      <c r="DM86" s="737"/>
      <c r="DN86" s="737"/>
      <c r="DO86" s="811"/>
      <c r="DP86" s="811"/>
      <c r="DQ86" s="811"/>
      <c r="DR86" s="811"/>
      <c r="DS86" s="811"/>
      <c r="DT86" s="811"/>
      <c r="DU86" s="811"/>
      <c r="DV86" s="811"/>
      <c r="DW86" s="811"/>
      <c r="DX86" s="811"/>
      <c r="DY86" s="811"/>
      <c r="DZ86" s="811"/>
      <c r="EA86" s="811"/>
      <c r="EB86" s="737"/>
      <c r="EC86" s="737"/>
      <c r="ED86" s="737"/>
      <c r="EE86" s="737"/>
      <c r="EF86" s="737"/>
      <c r="EI86" s="705" t="s">
        <v>3877</v>
      </c>
      <c r="EJ86" s="745">
        <v>20</v>
      </c>
      <c r="EK86" s="755">
        <f t="shared" ref="EK86:EK110" si="80">EJ86/$EJ$85*100</f>
        <v>0.5798782255726298</v>
      </c>
      <c r="EL86" s="745">
        <v>5</v>
      </c>
      <c r="EM86" s="745">
        <v>15</v>
      </c>
      <c r="EN86" s="745">
        <v>16</v>
      </c>
      <c r="EO86" s="745">
        <v>4</v>
      </c>
      <c r="EP86" s="737">
        <v>16</v>
      </c>
      <c r="EQ86" s="737">
        <v>4</v>
      </c>
      <c r="FZ86" s="812"/>
      <c r="GL86" s="571"/>
      <c r="GM86" s="571"/>
      <c r="GN86" s="571"/>
      <c r="GO86" s="571"/>
      <c r="GP86" s="571"/>
      <c r="GQ86" s="571"/>
      <c r="GR86" s="571"/>
      <c r="GS86" s="571"/>
      <c r="HA86" s="737"/>
    </row>
    <row r="87" spans="1:209" ht="14.1" customHeight="1">
      <c r="H87" s="737"/>
      <c r="J87" s="737"/>
      <c r="K87" s="737"/>
      <c r="L87" s="737"/>
      <c r="M87" s="737"/>
      <c r="N87" s="737"/>
      <c r="O87" s="737"/>
      <c r="P87" s="737"/>
      <c r="Q87" s="737"/>
      <c r="S87" s="398"/>
      <c r="T87" s="740"/>
      <c r="U87" s="738"/>
      <c r="V87" s="737"/>
      <c r="W87" s="738"/>
      <c r="X87" s="738"/>
      <c r="Y87" s="738"/>
      <c r="Z87" s="738"/>
      <c r="AA87" s="738"/>
      <c r="AB87" s="738"/>
      <c r="AC87" s="738"/>
      <c r="AD87" s="754"/>
      <c r="AE87" s="738"/>
      <c r="AF87" s="738"/>
      <c r="AG87" s="738"/>
      <c r="AH87" s="738"/>
      <c r="AI87" s="738"/>
      <c r="AJ87" s="738"/>
      <c r="CZ87" s="737"/>
      <c r="DA87" s="737"/>
      <c r="DB87" s="740"/>
      <c r="DC87" s="740"/>
      <c r="DD87" s="740"/>
      <c r="DE87" s="740"/>
      <c r="DF87" s="740"/>
      <c r="DG87" s="740"/>
      <c r="DH87" s="740"/>
      <c r="DI87" s="737"/>
      <c r="DJ87" s="737"/>
      <c r="DK87" s="737"/>
      <c r="DL87" s="737"/>
      <c r="DM87" s="737"/>
      <c r="DN87" s="737"/>
      <c r="DO87" s="811"/>
      <c r="DP87" s="811"/>
      <c r="DQ87" s="811"/>
      <c r="DR87" s="811"/>
      <c r="DS87" s="811"/>
      <c r="DT87" s="811"/>
      <c r="DU87" s="811"/>
      <c r="DV87" s="811"/>
      <c r="DW87" s="811"/>
      <c r="DX87" s="811"/>
      <c r="DY87" s="811"/>
      <c r="DZ87" s="811"/>
      <c r="EA87" s="811"/>
      <c r="EB87" s="737"/>
      <c r="EC87" s="737"/>
      <c r="ED87" s="737"/>
      <c r="EE87" s="737"/>
      <c r="EF87" s="737"/>
      <c r="EI87" s="705" t="s">
        <v>3883</v>
      </c>
      <c r="EJ87" s="745">
        <v>4</v>
      </c>
      <c r="EK87" s="755">
        <f t="shared" si="80"/>
        <v>0.11597564511452595</v>
      </c>
      <c r="EL87" s="745">
        <v>3</v>
      </c>
      <c r="EM87" s="745">
        <v>1</v>
      </c>
      <c r="EN87" s="745">
        <v>4</v>
      </c>
      <c r="EO87" s="745">
        <v>0</v>
      </c>
      <c r="EP87" s="737">
        <v>4</v>
      </c>
      <c r="EQ87" s="737">
        <v>0</v>
      </c>
      <c r="FR87" s="812"/>
      <c r="FZ87" s="831"/>
      <c r="GL87" s="571"/>
      <c r="GM87" s="571"/>
      <c r="GN87" s="571"/>
      <c r="GO87" s="571"/>
      <c r="GP87" s="571"/>
      <c r="GQ87" s="571"/>
      <c r="GR87" s="571"/>
      <c r="GS87" s="571"/>
      <c r="HA87" s="737"/>
    </row>
    <row r="88" spans="1:209" ht="14.1" customHeight="1">
      <c r="H88" s="737"/>
      <c r="J88" s="737"/>
      <c r="K88" s="737"/>
      <c r="L88" s="737"/>
      <c r="M88" s="737"/>
      <c r="N88" s="737"/>
      <c r="O88" s="737"/>
      <c r="P88" s="737"/>
      <c r="Q88" s="737"/>
      <c r="S88" s="398" t="s">
        <v>3771</v>
      </c>
      <c r="T88" s="740"/>
      <c r="U88" s="738">
        <f>SUM(U89:U98)</f>
        <v>6449</v>
      </c>
      <c r="V88" s="738">
        <f t="shared" ref="V88:AJ88" si="81">SUM(V89:V98)</f>
        <v>107</v>
      </c>
      <c r="W88" s="738">
        <f t="shared" si="81"/>
        <v>46</v>
      </c>
      <c r="X88" s="738">
        <f t="shared" si="81"/>
        <v>317</v>
      </c>
      <c r="Y88" s="738">
        <f t="shared" si="81"/>
        <v>416</v>
      </c>
      <c r="Z88" s="738">
        <f t="shared" si="81"/>
        <v>411</v>
      </c>
      <c r="AA88" s="738">
        <f t="shared" si="81"/>
        <v>448</v>
      </c>
      <c r="AB88" s="738">
        <f t="shared" si="81"/>
        <v>448</v>
      </c>
      <c r="AC88" s="738">
        <f t="shared" si="81"/>
        <v>440</v>
      </c>
      <c r="AD88" s="738">
        <f t="shared" si="81"/>
        <v>495</v>
      </c>
      <c r="AE88" s="738">
        <f t="shared" si="81"/>
        <v>485</v>
      </c>
      <c r="AF88" s="738">
        <f t="shared" si="81"/>
        <v>491</v>
      </c>
      <c r="AG88" s="738">
        <f t="shared" si="81"/>
        <v>714</v>
      </c>
      <c r="AH88" s="738">
        <f t="shared" si="81"/>
        <v>663</v>
      </c>
      <c r="AI88" s="738">
        <f t="shared" si="81"/>
        <v>578</v>
      </c>
      <c r="AJ88" s="738">
        <f t="shared" si="81"/>
        <v>390</v>
      </c>
      <c r="CZ88" s="737"/>
      <c r="DA88" s="737"/>
      <c r="DB88" s="740"/>
      <c r="DC88" s="740"/>
      <c r="DD88" s="740"/>
      <c r="DE88" s="740"/>
      <c r="DF88" s="740"/>
      <c r="DG88" s="740"/>
      <c r="DH88" s="740"/>
      <c r="DI88" s="737"/>
      <c r="DJ88" s="737"/>
      <c r="DK88" s="737"/>
      <c r="DL88" s="737"/>
      <c r="DM88" s="737"/>
      <c r="DN88" s="737"/>
      <c r="EB88" s="737"/>
      <c r="EC88" s="737"/>
      <c r="ED88" s="737"/>
      <c r="EE88" s="737"/>
      <c r="EF88" s="737"/>
      <c r="EI88" s="705" t="s">
        <v>3886</v>
      </c>
      <c r="EJ88" s="745">
        <v>45</v>
      </c>
      <c r="EK88" s="755">
        <f t="shared" si="80"/>
        <v>1.3047260075384168</v>
      </c>
      <c r="EL88" s="745">
        <v>19</v>
      </c>
      <c r="EM88" s="745">
        <v>26</v>
      </c>
      <c r="EN88" s="745">
        <v>25</v>
      </c>
      <c r="EO88" s="745">
        <v>20</v>
      </c>
      <c r="EP88" s="737">
        <v>43</v>
      </c>
      <c r="EQ88" s="737">
        <v>2</v>
      </c>
      <c r="FR88" s="812"/>
      <c r="FZ88" s="831"/>
      <c r="GL88" s="571"/>
      <c r="GM88" s="571"/>
      <c r="GN88" s="571"/>
      <c r="GO88" s="571"/>
      <c r="GP88" s="571"/>
      <c r="GQ88" s="571"/>
      <c r="GR88" s="571"/>
      <c r="GS88" s="571"/>
      <c r="HA88" s="737"/>
    </row>
    <row r="89" spans="1:209" ht="14.1" customHeight="1">
      <c r="A89" s="386"/>
      <c r="B89" s="386"/>
      <c r="C89" s="386"/>
      <c r="D89" s="386"/>
      <c r="E89" s="386"/>
      <c r="F89" s="386"/>
      <c r="G89" s="386"/>
      <c r="H89" s="737"/>
      <c r="J89" s="737"/>
      <c r="K89" s="737"/>
      <c r="L89" s="737"/>
      <c r="M89" s="737"/>
      <c r="N89" s="737"/>
      <c r="O89" s="737"/>
      <c r="P89" s="737"/>
      <c r="Q89" s="737"/>
      <c r="S89" s="386" t="s">
        <v>3575</v>
      </c>
      <c r="T89" s="386" t="s">
        <v>2253</v>
      </c>
      <c r="U89" s="738">
        <f>SUM(V89:AJ89)</f>
        <v>420</v>
      </c>
      <c r="V89" s="737">
        <v>29</v>
      </c>
      <c r="W89" s="776">
        <v>14</v>
      </c>
      <c r="X89" s="776">
        <v>56</v>
      </c>
      <c r="Y89" s="738">
        <v>64</v>
      </c>
      <c r="Z89" s="738">
        <v>60</v>
      </c>
      <c r="AA89" s="738">
        <v>67</v>
      </c>
      <c r="AB89" s="738">
        <v>57</v>
      </c>
      <c r="AC89" s="738">
        <v>73</v>
      </c>
      <c r="AD89" s="757" t="s">
        <v>1627</v>
      </c>
      <c r="AE89" s="757" t="s">
        <v>1627</v>
      </c>
      <c r="AF89" s="757" t="s">
        <v>1627</v>
      </c>
      <c r="AG89" s="757" t="s">
        <v>1627</v>
      </c>
      <c r="AH89" s="757" t="s">
        <v>1627</v>
      </c>
      <c r="AI89" s="757" t="s">
        <v>1627</v>
      </c>
      <c r="AJ89" s="757" t="s">
        <v>1627</v>
      </c>
      <c r="CZ89" s="737"/>
      <c r="DA89" s="737"/>
      <c r="DB89" s="740"/>
      <c r="DC89" s="740"/>
      <c r="DD89" s="740"/>
      <c r="DE89" s="740"/>
      <c r="DF89" s="740"/>
      <c r="DG89" s="740"/>
      <c r="DH89" s="740"/>
      <c r="DI89" s="737"/>
      <c r="DJ89" s="737"/>
      <c r="DK89" s="737"/>
      <c r="DL89" s="737"/>
      <c r="DM89" s="737"/>
      <c r="DN89" s="737"/>
      <c r="EB89" s="737"/>
      <c r="EC89" s="737"/>
      <c r="ED89" s="737"/>
      <c r="EE89" s="737"/>
      <c r="EF89" s="737"/>
      <c r="EI89" s="705" t="s">
        <v>3889</v>
      </c>
      <c r="EJ89" s="745">
        <v>1419</v>
      </c>
      <c r="EK89" s="755">
        <f t="shared" si="80"/>
        <v>41.142360104378078</v>
      </c>
      <c r="EL89" s="745">
        <v>606</v>
      </c>
      <c r="EM89" s="745">
        <v>813</v>
      </c>
      <c r="EN89" s="745">
        <v>1087</v>
      </c>
      <c r="EO89" s="745">
        <v>332</v>
      </c>
      <c r="EP89" s="737">
        <v>1330</v>
      </c>
      <c r="EQ89" s="737">
        <v>89</v>
      </c>
      <c r="FR89" s="812"/>
      <c r="FS89" s="812"/>
      <c r="FT89" s="812"/>
      <c r="FU89" s="812"/>
      <c r="FV89" s="812"/>
      <c r="FW89" s="812"/>
      <c r="FX89" s="812"/>
      <c r="FY89" s="812"/>
      <c r="FZ89" s="812"/>
      <c r="GL89" s="571"/>
      <c r="GM89" s="571"/>
      <c r="GN89" s="571"/>
      <c r="GO89" s="571"/>
      <c r="GP89" s="571"/>
      <c r="GQ89" s="571"/>
      <c r="GR89" s="571"/>
      <c r="GS89" s="571"/>
    </row>
    <row r="90" spans="1:209" ht="14.1" customHeight="1">
      <c r="A90" s="740"/>
      <c r="B90" s="740"/>
      <c r="C90" s="740"/>
      <c r="D90" s="740"/>
      <c r="E90" s="740"/>
      <c r="F90" s="740"/>
      <c r="G90" s="740"/>
      <c r="H90" s="737"/>
      <c r="J90" s="737"/>
      <c r="K90" s="737"/>
      <c r="L90" s="737"/>
      <c r="M90" s="737"/>
      <c r="N90" s="737"/>
      <c r="O90" s="737"/>
      <c r="P90" s="737"/>
      <c r="Q90" s="737"/>
      <c r="S90" s="386" t="s">
        <v>3779</v>
      </c>
      <c r="T90" s="386" t="s">
        <v>2253</v>
      </c>
      <c r="U90" s="738">
        <f t="shared" ref="U90:U98" si="82">SUM(V90:AJ90)</f>
        <v>874</v>
      </c>
      <c r="V90" s="757" t="s">
        <v>1627</v>
      </c>
      <c r="W90" s="757" t="s">
        <v>1627</v>
      </c>
      <c r="X90" s="757" t="s">
        <v>1627</v>
      </c>
      <c r="Y90" s="757" t="s">
        <v>1627</v>
      </c>
      <c r="Z90" s="757" t="s">
        <v>1627</v>
      </c>
      <c r="AA90" s="757" t="s">
        <v>1627</v>
      </c>
      <c r="AB90" s="757" t="s">
        <v>1627</v>
      </c>
      <c r="AC90" s="757" t="s">
        <v>1627</v>
      </c>
      <c r="AD90" s="754">
        <v>282</v>
      </c>
      <c r="AE90" s="738">
        <v>305</v>
      </c>
      <c r="AF90" s="738">
        <v>287</v>
      </c>
      <c r="AG90" s="757" t="s">
        <v>1627</v>
      </c>
      <c r="AH90" s="757" t="s">
        <v>1627</v>
      </c>
      <c r="AI90" s="757" t="s">
        <v>1627</v>
      </c>
      <c r="AJ90" s="757" t="s">
        <v>1627</v>
      </c>
      <c r="CZ90" s="737"/>
      <c r="DA90" s="737"/>
      <c r="DI90" s="737"/>
      <c r="DJ90" s="737"/>
      <c r="DK90" s="737"/>
      <c r="DL90" s="737"/>
      <c r="DM90" s="737"/>
      <c r="DN90" s="737"/>
      <c r="EB90" s="737"/>
      <c r="EC90" s="737"/>
      <c r="ED90" s="737"/>
      <c r="EE90" s="737"/>
      <c r="EF90" s="737"/>
      <c r="EI90" s="705" t="s">
        <v>3892</v>
      </c>
      <c r="EJ90" s="745">
        <v>5</v>
      </c>
      <c r="EK90" s="755">
        <f t="shared" si="80"/>
        <v>0.14496955639315745</v>
      </c>
      <c r="EL90" s="745">
        <v>4</v>
      </c>
      <c r="EM90" s="745">
        <v>1</v>
      </c>
      <c r="EN90" s="745">
        <v>3</v>
      </c>
      <c r="EO90" s="745">
        <v>2</v>
      </c>
      <c r="EP90" s="737">
        <v>5</v>
      </c>
      <c r="EQ90" s="737">
        <v>0</v>
      </c>
      <c r="FR90" s="812"/>
      <c r="FS90" s="812"/>
      <c r="FT90" s="812"/>
      <c r="FU90" s="812"/>
      <c r="FV90" s="812"/>
      <c r="FW90" s="812"/>
      <c r="FX90" s="812"/>
      <c r="FY90" s="812"/>
      <c r="FZ90" s="812"/>
      <c r="GL90" s="571"/>
      <c r="GM90" s="571"/>
      <c r="GN90" s="571"/>
      <c r="GO90" s="571"/>
      <c r="GP90" s="571"/>
      <c r="GQ90" s="571"/>
      <c r="GR90" s="571"/>
      <c r="GS90" s="571"/>
    </row>
    <row r="91" spans="1:209" ht="14.1" customHeight="1">
      <c r="A91" s="740"/>
      <c r="B91" s="740"/>
      <c r="C91" s="740"/>
      <c r="D91" s="740"/>
      <c r="E91" s="740"/>
      <c r="F91" s="740"/>
      <c r="G91" s="740"/>
      <c r="H91" s="737"/>
      <c r="J91" s="737"/>
      <c r="K91" s="737"/>
      <c r="L91" s="737"/>
      <c r="M91" s="737"/>
      <c r="N91" s="737"/>
      <c r="O91" s="737"/>
      <c r="P91" s="737"/>
      <c r="Q91" s="737"/>
      <c r="S91" s="386" t="s">
        <v>3744</v>
      </c>
      <c r="T91" s="386" t="s">
        <v>2253</v>
      </c>
      <c r="U91" s="738">
        <f t="shared" si="82"/>
        <v>364</v>
      </c>
      <c r="V91" s="737">
        <v>20</v>
      </c>
      <c r="W91" s="738">
        <v>0</v>
      </c>
      <c r="X91" s="738">
        <v>56</v>
      </c>
      <c r="Y91" s="738">
        <v>57</v>
      </c>
      <c r="Z91" s="738">
        <v>55</v>
      </c>
      <c r="AA91" s="738">
        <v>65</v>
      </c>
      <c r="AB91" s="738">
        <v>63</v>
      </c>
      <c r="AC91" s="738">
        <v>48</v>
      </c>
      <c r="AD91" s="757" t="s">
        <v>1627</v>
      </c>
      <c r="AE91" s="757" t="s">
        <v>1627</v>
      </c>
      <c r="AF91" s="757" t="s">
        <v>1627</v>
      </c>
      <c r="AG91" s="757" t="s">
        <v>1627</v>
      </c>
      <c r="AH91" s="757" t="s">
        <v>1627</v>
      </c>
      <c r="AI91" s="757" t="s">
        <v>1627</v>
      </c>
      <c r="AJ91" s="757" t="s">
        <v>1627</v>
      </c>
      <c r="CZ91" s="737"/>
      <c r="DA91" s="737"/>
      <c r="DB91" s="740"/>
      <c r="DC91" s="740"/>
      <c r="DD91" s="740"/>
      <c r="DE91" s="740"/>
      <c r="DF91" s="740"/>
      <c r="DG91" s="740"/>
      <c r="DH91" s="740"/>
      <c r="DI91" s="737"/>
      <c r="DJ91" s="737"/>
      <c r="DK91" s="737"/>
      <c r="DL91" s="737"/>
      <c r="DM91" s="737"/>
      <c r="DN91" s="737"/>
      <c r="EB91" s="737"/>
      <c r="EC91" s="737"/>
      <c r="ED91" s="737"/>
      <c r="EE91" s="737"/>
      <c r="EF91" s="737"/>
      <c r="EI91" s="705" t="s">
        <v>3896</v>
      </c>
      <c r="EJ91" s="745">
        <v>32</v>
      </c>
      <c r="EK91" s="755">
        <f t="shared" si="80"/>
        <v>0.92780516091620757</v>
      </c>
      <c r="EL91" s="745">
        <v>15</v>
      </c>
      <c r="EM91" s="745">
        <v>17</v>
      </c>
      <c r="EN91" s="745">
        <v>22</v>
      </c>
      <c r="EO91" s="745">
        <v>10</v>
      </c>
      <c r="EP91" s="737">
        <v>29</v>
      </c>
      <c r="EQ91" s="737">
        <v>3</v>
      </c>
      <c r="FR91" s="812"/>
      <c r="FS91" s="812"/>
      <c r="FT91" s="812"/>
      <c r="FU91" s="812"/>
      <c r="FV91" s="812"/>
      <c r="FW91" s="812"/>
      <c r="FX91" s="812"/>
      <c r="FY91" s="812"/>
      <c r="FZ91" s="812"/>
      <c r="GR91" s="571"/>
      <c r="GS91" s="571"/>
    </row>
    <row r="92" spans="1:209" ht="14.1" customHeight="1">
      <c r="A92" s="740"/>
      <c r="B92" s="740"/>
      <c r="C92" s="740"/>
      <c r="D92" s="740"/>
      <c r="E92" s="740"/>
      <c r="F92" s="740"/>
      <c r="G92" s="740"/>
      <c r="H92" s="737"/>
      <c r="J92" s="737"/>
      <c r="K92" s="737"/>
      <c r="L92" s="737"/>
      <c r="M92" s="737"/>
      <c r="N92" s="737"/>
      <c r="O92" s="737"/>
      <c r="P92" s="737"/>
      <c r="Q92" s="737"/>
      <c r="S92" s="386" t="s">
        <v>3791</v>
      </c>
      <c r="T92" s="386" t="s">
        <v>2253</v>
      </c>
      <c r="U92" s="738">
        <f t="shared" si="82"/>
        <v>977</v>
      </c>
      <c r="V92" s="757" t="s">
        <v>1627</v>
      </c>
      <c r="W92" s="757" t="s">
        <v>1627</v>
      </c>
      <c r="X92" s="757" t="s">
        <v>1627</v>
      </c>
      <c r="Y92" s="757" t="s">
        <v>1627</v>
      </c>
      <c r="Z92" s="757" t="s">
        <v>1627</v>
      </c>
      <c r="AA92" s="757" t="s">
        <v>1627</v>
      </c>
      <c r="AB92" s="757" t="s">
        <v>1627</v>
      </c>
      <c r="AC92" s="757" t="s">
        <v>1627</v>
      </c>
      <c r="AD92" s="757" t="s">
        <v>1627</v>
      </c>
      <c r="AE92" s="757" t="s">
        <v>1627</v>
      </c>
      <c r="AF92" s="757" t="s">
        <v>1627</v>
      </c>
      <c r="AG92" s="757">
        <v>387</v>
      </c>
      <c r="AH92" s="757">
        <v>275</v>
      </c>
      <c r="AI92" s="757">
        <v>186</v>
      </c>
      <c r="AJ92" s="757">
        <v>129</v>
      </c>
      <c r="CZ92" s="737"/>
      <c r="DA92" s="737"/>
      <c r="DB92" s="740"/>
      <c r="DC92" s="740"/>
      <c r="DD92" s="740"/>
      <c r="DE92" s="740"/>
      <c r="DF92" s="740"/>
      <c r="DG92" s="740"/>
      <c r="DH92" s="740"/>
      <c r="DI92" s="737"/>
      <c r="DJ92" s="737"/>
      <c r="DK92" s="737"/>
      <c r="DL92" s="737"/>
      <c r="DM92" s="737"/>
      <c r="DN92" s="737"/>
      <c r="EB92" s="737"/>
      <c r="EC92" s="737"/>
      <c r="ED92" s="737"/>
      <c r="EE92" s="737"/>
      <c r="EF92" s="737"/>
      <c r="EI92" s="705" t="s">
        <v>3900</v>
      </c>
      <c r="EJ92" s="745">
        <v>67</v>
      </c>
      <c r="EK92" s="755">
        <f t="shared" si="80"/>
        <v>1.9425920556683098</v>
      </c>
      <c r="EL92" s="745">
        <v>35</v>
      </c>
      <c r="EM92" s="745">
        <v>32</v>
      </c>
      <c r="EN92" s="745">
        <v>51</v>
      </c>
      <c r="EO92" s="745">
        <v>16</v>
      </c>
      <c r="EP92" s="737">
        <v>64</v>
      </c>
      <c r="EQ92" s="737">
        <v>3</v>
      </c>
      <c r="FR92" s="812"/>
      <c r="FS92" s="812"/>
      <c r="FT92" s="812"/>
      <c r="FU92" s="812"/>
      <c r="FV92" s="812"/>
      <c r="FW92" s="812"/>
      <c r="FX92" s="812"/>
      <c r="FY92" s="812"/>
      <c r="FZ92" s="812"/>
      <c r="GR92" s="571"/>
      <c r="GS92" s="571"/>
    </row>
    <row r="93" spans="1:209" ht="14.1" customHeight="1">
      <c r="H93" s="737"/>
      <c r="J93" s="737"/>
      <c r="K93" s="737"/>
      <c r="L93" s="737"/>
      <c r="M93" s="737"/>
      <c r="N93" s="737"/>
      <c r="O93" s="737"/>
      <c r="P93" s="737"/>
      <c r="Q93" s="737"/>
      <c r="S93" s="386" t="s">
        <v>3537</v>
      </c>
      <c r="T93" s="386" t="s">
        <v>2185</v>
      </c>
      <c r="U93" s="738">
        <f t="shared" si="82"/>
        <v>388</v>
      </c>
      <c r="V93" s="737">
        <v>19</v>
      </c>
      <c r="W93" s="738">
        <v>0</v>
      </c>
      <c r="X93" s="738">
        <v>36</v>
      </c>
      <c r="Y93" s="738">
        <v>63</v>
      </c>
      <c r="Z93" s="738">
        <v>56</v>
      </c>
      <c r="AA93" s="738">
        <v>75</v>
      </c>
      <c r="AB93" s="738">
        <v>69</v>
      </c>
      <c r="AC93" s="738">
        <v>70</v>
      </c>
      <c r="AD93" s="757" t="s">
        <v>1627</v>
      </c>
      <c r="AE93" s="757" t="s">
        <v>1627</v>
      </c>
      <c r="AF93" s="757" t="s">
        <v>1627</v>
      </c>
      <c r="AG93" s="757" t="s">
        <v>1627</v>
      </c>
      <c r="AH93" s="757" t="s">
        <v>1627</v>
      </c>
      <c r="AI93" s="757" t="s">
        <v>1627</v>
      </c>
      <c r="AJ93" s="757" t="s">
        <v>1627</v>
      </c>
      <c r="CZ93" s="737"/>
      <c r="DA93" s="737"/>
      <c r="DB93" s="740"/>
      <c r="DC93" s="740"/>
      <c r="DD93" s="740"/>
      <c r="DE93" s="740"/>
      <c r="DF93" s="740"/>
      <c r="DG93" s="740"/>
      <c r="DH93" s="740"/>
      <c r="DI93" s="737"/>
      <c r="DJ93" s="737"/>
      <c r="DK93" s="737"/>
      <c r="DL93" s="737"/>
      <c r="DM93" s="737"/>
      <c r="DN93" s="737"/>
      <c r="DO93" s="702"/>
      <c r="DP93" s="702"/>
      <c r="DQ93" s="702"/>
      <c r="DR93" s="702"/>
      <c r="DS93" s="702"/>
      <c r="DT93" s="702"/>
      <c r="DU93" s="702"/>
      <c r="DV93" s="702"/>
      <c r="DW93" s="702"/>
      <c r="DX93" s="702"/>
      <c r="DY93" s="702"/>
      <c r="DZ93" s="702"/>
      <c r="EA93" s="702"/>
      <c r="EB93" s="737"/>
      <c r="EC93" s="737"/>
      <c r="ED93" s="737"/>
      <c r="EE93" s="737"/>
      <c r="EF93" s="737"/>
      <c r="EI93" s="705" t="s">
        <v>3904</v>
      </c>
      <c r="EJ93" s="745">
        <v>22</v>
      </c>
      <c r="EK93" s="755">
        <f t="shared" si="80"/>
        <v>0.63786604812989278</v>
      </c>
      <c r="EL93" s="745">
        <v>9</v>
      </c>
      <c r="EM93" s="745">
        <v>13</v>
      </c>
      <c r="EN93" s="745">
        <v>16</v>
      </c>
      <c r="EO93" s="745">
        <v>6</v>
      </c>
      <c r="EP93" s="737">
        <v>21</v>
      </c>
      <c r="EQ93" s="737">
        <v>1</v>
      </c>
      <c r="FR93" s="812"/>
      <c r="FS93" s="812"/>
      <c r="FT93" s="812"/>
      <c r="FU93" s="812"/>
      <c r="FV93" s="812"/>
      <c r="FW93" s="812"/>
      <c r="FX93" s="812"/>
      <c r="FY93" s="812"/>
      <c r="FZ93" s="812"/>
      <c r="GR93" s="571"/>
    </row>
    <row r="94" spans="1:209" ht="14.1" customHeight="1">
      <c r="H94" s="737"/>
      <c r="J94" s="737"/>
      <c r="K94" s="737"/>
      <c r="L94" s="737"/>
      <c r="M94" s="737"/>
      <c r="N94" s="737"/>
      <c r="O94" s="737"/>
      <c r="P94" s="737"/>
      <c r="Q94" s="737"/>
      <c r="S94" s="386" t="s">
        <v>3750</v>
      </c>
      <c r="T94" s="386" t="s">
        <v>2185</v>
      </c>
      <c r="U94" s="738">
        <f t="shared" si="82"/>
        <v>625</v>
      </c>
      <c r="V94" s="737">
        <v>39</v>
      </c>
      <c r="W94" s="738">
        <v>19</v>
      </c>
      <c r="X94" s="738">
        <v>65</v>
      </c>
      <c r="Y94" s="738">
        <v>96</v>
      </c>
      <c r="Z94" s="738">
        <v>112</v>
      </c>
      <c r="AA94" s="738">
        <v>91</v>
      </c>
      <c r="AB94" s="738">
        <v>110</v>
      </c>
      <c r="AC94" s="738">
        <v>93</v>
      </c>
      <c r="AD94" s="757" t="s">
        <v>1627</v>
      </c>
      <c r="AE94" s="757" t="s">
        <v>1627</v>
      </c>
      <c r="AF94" s="757" t="s">
        <v>1627</v>
      </c>
      <c r="AG94" s="757" t="s">
        <v>1627</v>
      </c>
      <c r="AH94" s="757" t="s">
        <v>1627</v>
      </c>
      <c r="AI94" s="757" t="s">
        <v>1627</v>
      </c>
      <c r="AJ94" s="757" t="s">
        <v>1627</v>
      </c>
      <c r="CZ94" s="737"/>
      <c r="DA94" s="737"/>
      <c r="DB94" s="740"/>
      <c r="DC94" s="740"/>
      <c r="DD94" s="740"/>
      <c r="DE94" s="740"/>
      <c r="DF94" s="740"/>
      <c r="DG94" s="740"/>
      <c r="DH94" s="740"/>
      <c r="DI94" s="737"/>
      <c r="DJ94" s="737"/>
      <c r="DK94" s="737"/>
      <c r="DL94" s="737"/>
      <c r="DM94" s="737"/>
      <c r="DN94" s="737"/>
      <c r="DO94" s="690"/>
      <c r="DP94" s="690"/>
      <c r="DQ94" s="690"/>
      <c r="DR94" s="690"/>
      <c r="DS94" s="690"/>
      <c r="DT94" s="690"/>
      <c r="DU94" s="690"/>
      <c r="DV94" s="690"/>
      <c r="DW94" s="690"/>
      <c r="DX94" s="690"/>
      <c r="DY94" s="690"/>
      <c r="DZ94" s="690"/>
      <c r="EA94" s="690"/>
      <c r="EB94" s="737"/>
      <c r="EC94" s="737"/>
      <c r="ED94" s="737"/>
      <c r="EE94" s="737"/>
      <c r="EF94" s="737"/>
      <c r="EI94" s="705" t="s">
        <v>2595</v>
      </c>
      <c r="EJ94" s="745">
        <v>2</v>
      </c>
      <c r="EK94" s="755">
        <f t="shared" si="80"/>
        <v>5.7987822557262973E-2</v>
      </c>
      <c r="EL94" s="745">
        <v>1</v>
      </c>
      <c r="EM94" s="745">
        <v>1</v>
      </c>
      <c r="EN94" s="745">
        <v>2</v>
      </c>
      <c r="EO94" s="823">
        <v>0</v>
      </c>
      <c r="EP94" s="757">
        <v>2</v>
      </c>
      <c r="EQ94" s="757">
        <v>0</v>
      </c>
      <c r="FR94" s="812"/>
      <c r="FS94" s="832"/>
      <c r="FT94" s="832"/>
      <c r="FU94" s="832"/>
      <c r="FV94" s="832"/>
      <c r="FW94" s="832"/>
      <c r="FX94" s="832"/>
      <c r="FY94" s="832"/>
      <c r="FZ94" s="812"/>
      <c r="GR94" s="571"/>
    </row>
    <row r="95" spans="1:209" ht="14.1" customHeight="1">
      <c r="A95" s="386"/>
      <c r="B95" s="386"/>
      <c r="C95" s="386"/>
      <c r="D95" s="386"/>
      <c r="E95" s="386"/>
      <c r="F95" s="386"/>
      <c r="G95" s="386"/>
      <c r="H95" s="737"/>
      <c r="J95" s="737"/>
      <c r="K95" s="737"/>
      <c r="L95" s="737"/>
      <c r="M95" s="737"/>
      <c r="N95" s="737"/>
      <c r="O95" s="737"/>
      <c r="P95" s="737"/>
      <c r="Q95" s="737"/>
      <c r="S95" s="386" t="s">
        <v>3805</v>
      </c>
      <c r="T95" s="386" t="s">
        <v>2185</v>
      </c>
      <c r="U95" s="738">
        <f t="shared" si="82"/>
        <v>1368</v>
      </c>
      <c r="V95" s="757" t="s">
        <v>1627</v>
      </c>
      <c r="W95" s="757" t="s">
        <v>1627</v>
      </c>
      <c r="X95" s="757" t="s">
        <v>1627</v>
      </c>
      <c r="Y95" s="757" t="s">
        <v>1627</v>
      </c>
      <c r="Z95" s="757" t="s">
        <v>1627</v>
      </c>
      <c r="AA95" s="757" t="s">
        <v>1627</v>
      </c>
      <c r="AB95" s="757" t="s">
        <v>1627</v>
      </c>
      <c r="AC95" s="757" t="s">
        <v>1627</v>
      </c>
      <c r="AD95" s="757" t="s">
        <v>1627</v>
      </c>
      <c r="AE95" s="757" t="s">
        <v>1627</v>
      </c>
      <c r="AF95" s="757" t="s">
        <v>1627</v>
      </c>
      <c r="AG95" s="757">
        <v>327</v>
      </c>
      <c r="AH95" s="738">
        <v>388</v>
      </c>
      <c r="AI95" s="738">
        <v>392</v>
      </c>
      <c r="AJ95" s="738">
        <v>261</v>
      </c>
      <c r="CZ95" s="737"/>
      <c r="DA95" s="737"/>
      <c r="DB95" s="740"/>
      <c r="DC95" s="740"/>
      <c r="DD95" s="740"/>
      <c r="DE95" s="740"/>
      <c r="DF95" s="740"/>
      <c r="DG95" s="740"/>
      <c r="DH95" s="740"/>
      <c r="DI95" s="737"/>
      <c r="DJ95" s="737"/>
      <c r="DK95" s="737"/>
      <c r="DL95" s="737"/>
      <c r="DM95" s="737"/>
      <c r="DN95" s="737"/>
      <c r="EB95" s="737"/>
      <c r="EC95" s="737"/>
      <c r="ED95" s="737"/>
      <c r="EE95" s="737"/>
      <c r="EF95" s="737"/>
      <c r="EI95" s="705" t="s">
        <v>3910</v>
      </c>
      <c r="EJ95" s="745">
        <v>0</v>
      </c>
      <c r="EK95" s="755">
        <f t="shared" si="80"/>
        <v>0</v>
      </c>
      <c r="EL95" s="745">
        <v>0</v>
      </c>
      <c r="EM95" s="745">
        <v>0</v>
      </c>
      <c r="EN95" s="745">
        <v>0</v>
      </c>
      <c r="EO95" s="745">
        <v>0</v>
      </c>
      <c r="EP95" s="737">
        <v>0</v>
      </c>
      <c r="EQ95" s="737">
        <v>0</v>
      </c>
      <c r="FR95" s="812"/>
      <c r="FS95" s="812"/>
      <c r="FT95" s="812"/>
      <c r="FU95" s="812"/>
      <c r="FV95" s="812"/>
      <c r="FW95" s="812"/>
      <c r="FX95" s="812"/>
      <c r="FY95" s="812"/>
      <c r="FZ95" s="812"/>
    </row>
    <row r="96" spans="1:209" ht="14.1" customHeight="1">
      <c r="A96" s="740"/>
      <c r="B96" s="740"/>
      <c r="C96" s="740"/>
      <c r="D96" s="740"/>
      <c r="E96" s="740"/>
      <c r="F96" s="740"/>
      <c r="G96" s="740"/>
      <c r="H96" s="737"/>
      <c r="J96" s="737"/>
      <c r="K96" s="737"/>
      <c r="L96" s="737"/>
      <c r="M96" s="737"/>
      <c r="N96" s="737"/>
      <c r="O96" s="737"/>
      <c r="P96" s="737"/>
      <c r="Q96" s="737"/>
      <c r="S96" s="386" t="s">
        <v>3810</v>
      </c>
      <c r="T96" s="398" t="s">
        <v>3811</v>
      </c>
      <c r="U96" s="738">
        <f t="shared" si="82"/>
        <v>597</v>
      </c>
      <c r="V96" s="757" t="s">
        <v>1627</v>
      </c>
      <c r="W96" s="757" t="s">
        <v>1627</v>
      </c>
      <c r="X96" s="757" t="s">
        <v>1627</v>
      </c>
      <c r="Y96" s="757" t="s">
        <v>1627</v>
      </c>
      <c r="Z96" s="757" t="s">
        <v>1627</v>
      </c>
      <c r="AA96" s="757" t="s">
        <v>1627</v>
      </c>
      <c r="AB96" s="757" t="s">
        <v>1627</v>
      </c>
      <c r="AC96" s="757" t="s">
        <v>1627</v>
      </c>
      <c r="AD96" s="754">
        <v>213</v>
      </c>
      <c r="AE96" s="738">
        <v>180</v>
      </c>
      <c r="AF96" s="738">
        <v>204</v>
      </c>
      <c r="AG96" s="757" t="s">
        <v>1627</v>
      </c>
      <c r="AH96" s="757" t="s">
        <v>1627</v>
      </c>
      <c r="AI96" s="757" t="s">
        <v>1627</v>
      </c>
      <c r="AJ96" s="757" t="s">
        <v>1627</v>
      </c>
      <c r="CZ96" s="737"/>
      <c r="DA96" s="737"/>
      <c r="DB96" s="740"/>
      <c r="DC96" s="740"/>
      <c r="DD96" s="740"/>
      <c r="DE96" s="740"/>
      <c r="DF96" s="740"/>
      <c r="DG96" s="740"/>
      <c r="DH96" s="740"/>
      <c r="DI96" s="737"/>
      <c r="DJ96" s="737"/>
      <c r="DK96" s="737"/>
      <c r="DL96" s="737"/>
      <c r="DM96" s="737"/>
      <c r="DN96" s="737"/>
      <c r="EB96" s="737"/>
      <c r="EC96" s="737"/>
      <c r="ED96" s="737"/>
      <c r="EE96" s="737"/>
      <c r="EF96" s="737"/>
      <c r="EI96" s="705" t="s">
        <v>3914</v>
      </c>
      <c r="EJ96" s="745">
        <v>9</v>
      </c>
      <c r="EK96" s="755">
        <f t="shared" si="80"/>
        <v>0.26094520150768341</v>
      </c>
      <c r="EL96" s="745">
        <v>4</v>
      </c>
      <c r="EM96" s="745">
        <v>5</v>
      </c>
      <c r="EN96" s="745">
        <v>7</v>
      </c>
      <c r="EO96" s="745">
        <v>2</v>
      </c>
      <c r="EP96" s="737">
        <v>8</v>
      </c>
      <c r="EQ96" s="737">
        <v>1</v>
      </c>
      <c r="FB96" s="833"/>
      <c r="FP96" s="833"/>
      <c r="FQ96" s="833"/>
      <c r="FR96" s="812"/>
      <c r="FS96" s="832"/>
      <c r="FT96" s="832"/>
      <c r="FU96" s="832"/>
      <c r="FV96" s="832"/>
      <c r="FW96" s="832"/>
      <c r="FX96" s="832"/>
      <c r="FY96" s="832"/>
      <c r="FZ96" s="812"/>
    </row>
    <row r="97" spans="1:213" ht="14.1" customHeight="1">
      <c r="A97" s="740"/>
      <c r="B97" s="740"/>
      <c r="C97" s="740"/>
      <c r="D97" s="740"/>
      <c r="E97" s="740"/>
      <c r="F97" s="740"/>
      <c r="G97" s="740"/>
      <c r="H97" s="737"/>
      <c r="J97" s="737"/>
      <c r="K97" s="737"/>
      <c r="L97" s="737"/>
      <c r="M97" s="737"/>
      <c r="N97" s="737"/>
      <c r="O97" s="737"/>
      <c r="P97" s="737"/>
      <c r="Q97" s="737"/>
      <c r="S97" s="386" t="s">
        <v>3815</v>
      </c>
      <c r="T97" s="386" t="s">
        <v>3811</v>
      </c>
      <c r="U97" s="738">
        <f t="shared" si="82"/>
        <v>347</v>
      </c>
      <c r="V97" s="776">
        <v>0</v>
      </c>
      <c r="W97" s="776">
        <v>0</v>
      </c>
      <c r="X97" s="776">
        <v>41</v>
      </c>
      <c r="Y97" s="738">
        <v>66</v>
      </c>
      <c r="Z97" s="738">
        <v>45</v>
      </c>
      <c r="AA97" s="738">
        <v>59</v>
      </c>
      <c r="AB97" s="738">
        <v>68</v>
      </c>
      <c r="AC97" s="738">
        <v>68</v>
      </c>
      <c r="AD97" s="757" t="s">
        <v>1627</v>
      </c>
      <c r="AE97" s="757" t="s">
        <v>1627</v>
      </c>
      <c r="AF97" s="757" t="s">
        <v>1627</v>
      </c>
      <c r="AG97" s="757" t="s">
        <v>1627</v>
      </c>
      <c r="AH97" s="757" t="s">
        <v>1627</v>
      </c>
      <c r="AI97" s="757" t="s">
        <v>1627</v>
      </c>
      <c r="AJ97" s="757" t="s">
        <v>1627</v>
      </c>
      <c r="CZ97" s="737"/>
      <c r="DA97" s="737"/>
      <c r="DB97" s="740"/>
      <c r="DC97" s="740"/>
      <c r="DD97" s="740"/>
      <c r="DE97" s="740"/>
      <c r="DF97" s="740"/>
      <c r="DG97" s="740"/>
      <c r="DH97" s="740"/>
      <c r="DI97" s="737"/>
      <c r="DJ97" s="737"/>
      <c r="DK97" s="737"/>
      <c r="DL97" s="737"/>
      <c r="DM97" s="737"/>
      <c r="DN97" s="737"/>
      <c r="EB97" s="737"/>
      <c r="EC97" s="737"/>
      <c r="ED97" s="737"/>
      <c r="EE97" s="737"/>
      <c r="EF97" s="737"/>
      <c r="EI97" s="705" t="s">
        <v>3918</v>
      </c>
      <c r="EJ97" s="745">
        <v>16</v>
      </c>
      <c r="EK97" s="755">
        <f t="shared" si="80"/>
        <v>0.46390258045810379</v>
      </c>
      <c r="EL97" s="745">
        <v>9</v>
      </c>
      <c r="EM97" s="745">
        <v>7</v>
      </c>
      <c r="EN97" s="745">
        <v>13</v>
      </c>
      <c r="EO97" s="745">
        <v>3</v>
      </c>
      <c r="EP97" s="737">
        <v>14</v>
      </c>
      <c r="EQ97" s="737">
        <v>2</v>
      </c>
      <c r="FB97" s="833"/>
      <c r="FP97" s="833"/>
      <c r="FQ97" s="833"/>
      <c r="FR97" s="812"/>
      <c r="FS97" s="812"/>
      <c r="FT97" s="812"/>
      <c r="FU97" s="812"/>
      <c r="FV97" s="812"/>
      <c r="FW97" s="812"/>
      <c r="FX97" s="812"/>
      <c r="FY97" s="812"/>
      <c r="FZ97" s="812"/>
      <c r="GS97" s="737"/>
    </row>
    <row r="98" spans="1:213" ht="14.1" customHeight="1">
      <c r="A98" s="740"/>
      <c r="B98" s="740"/>
      <c r="C98" s="740"/>
      <c r="D98" s="740"/>
      <c r="E98" s="740"/>
      <c r="F98" s="740"/>
      <c r="G98" s="740"/>
      <c r="H98" s="737"/>
      <c r="J98" s="737"/>
      <c r="K98" s="737"/>
      <c r="L98" s="737"/>
      <c r="M98" s="737"/>
      <c r="N98" s="737"/>
      <c r="O98" s="737"/>
      <c r="P98" s="737"/>
      <c r="Q98" s="737"/>
      <c r="S98" s="386" t="s">
        <v>3664</v>
      </c>
      <c r="T98" s="386" t="s">
        <v>3819</v>
      </c>
      <c r="U98" s="738">
        <f t="shared" si="82"/>
        <v>489</v>
      </c>
      <c r="V98" s="776">
        <v>0</v>
      </c>
      <c r="W98" s="776">
        <v>13</v>
      </c>
      <c r="X98" s="776">
        <v>63</v>
      </c>
      <c r="Y98" s="738">
        <v>70</v>
      </c>
      <c r="Z98" s="738">
        <v>83</v>
      </c>
      <c r="AA98" s="738">
        <v>91</v>
      </c>
      <c r="AB98" s="738">
        <v>81</v>
      </c>
      <c r="AC98" s="738">
        <v>88</v>
      </c>
      <c r="AD98" s="757" t="s">
        <v>1627</v>
      </c>
      <c r="AE98" s="757" t="s">
        <v>1627</v>
      </c>
      <c r="AF98" s="757" t="s">
        <v>1627</v>
      </c>
      <c r="AG98" s="757" t="s">
        <v>1627</v>
      </c>
      <c r="AH98" s="757" t="s">
        <v>1627</v>
      </c>
      <c r="AI98" s="757" t="s">
        <v>1627</v>
      </c>
      <c r="AJ98" s="757" t="s">
        <v>1627</v>
      </c>
      <c r="CZ98" s="737"/>
      <c r="DA98" s="737"/>
      <c r="DB98" s="740"/>
      <c r="DC98" s="740"/>
      <c r="DD98" s="740"/>
      <c r="DE98" s="740"/>
      <c r="DF98" s="740"/>
      <c r="DG98" s="740"/>
      <c r="DH98" s="740"/>
      <c r="DI98" s="737"/>
      <c r="DJ98" s="737"/>
      <c r="DK98" s="737"/>
      <c r="DL98" s="737"/>
      <c r="DM98" s="737"/>
      <c r="DN98" s="737"/>
      <c r="EB98" s="737"/>
      <c r="EC98" s="737"/>
      <c r="ED98" s="737"/>
      <c r="EE98" s="737"/>
      <c r="EF98" s="737"/>
      <c r="EI98" s="705" t="s">
        <v>3921</v>
      </c>
      <c r="EJ98" s="745">
        <v>1115</v>
      </c>
      <c r="EK98" s="755">
        <f t="shared" si="80"/>
        <v>32.328211075674105</v>
      </c>
      <c r="EL98" s="745">
        <v>405</v>
      </c>
      <c r="EM98" s="745">
        <v>710</v>
      </c>
      <c r="EN98" s="745">
        <v>786</v>
      </c>
      <c r="EO98" s="745">
        <v>329</v>
      </c>
      <c r="EP98" s="737">
        <v>985</v>
      </c>
      <c r="EQ98" s="737">
        <v>130</v>
      </c>
      <c r="FB98" s="833"/>
      <c r="FP98" s="833"/>
      <c r="FQ98" s="833"/>
      <c r="FR98" s="812"/>
      <c r="FS98" s="812"/>
      <c r="FT98" s="812"/>
      <c r="FU98" s="812"/>
      <c r="FV98" s="812"/>
      <c r="FW98" s="812"/>
      <c r="FX98" s="812"/>
      <c r="FY98" s="812"/>
      <c r="FZ98" s="812"/>
      <c r="GL98" s="398"/>
      <c r="GM98" s="398"/>
      <c r="GN98" s="398"/>
      <c r="GO98" s="398"/>
      <c r="GP98" s="398"/>
      <c r="GQ98" s="398"/>
      <c r="HD98" s="385"/>
      <c r="HE98" s="385"/>
    </row>
    <row r="99" spans="1:213" ht="14.1" customHeight="1">
      <c r="A99" s="398"/>
      <c r="B99" s="398"/>
      <c r="C99" s="398"/>
      <c r="D99" s="398"/>
      <c r="E99" s="398"/>
      <c r="F99" s="398"/>
      <c r="G99" s="398"/>
      <c r="H99" s="757"/>
      <c r="J99" s="737"/>
      <c r="K99" s="737"/>
      <c r="L99" s="737"/>
      <c r="M99" s="737"/>
      <c r="N99" s="737"/>
      <c r="O99" s="737"/>
      <c r="P99" s="737"/>
      <c r="Q99" s="737"/>
      <c r="S99" s="398"/>
      <c r="T99" s="740"/>
      <c r="U99" s="738"/>
      <c r="V99" s="737"/>
      <c r="W99" s="738"/>
      <c r="X99" s="738"/>
      <c r="Y99" s="738"/>
      <c r="Z99" s="738"/>
      <c r="AA99" s="738"/>
      <c r="AB99" s="738"/>
      <c r="AC99" s="738"/>
      <c r="AD99" s="754"/>
      <c r="AE99" s="738"/>
      <c r="AF99" s="738"/>
      <c r="AG99" s="738"/>
      <c r="AH99" s="738"/>
      <c r="AI99" s="738"/>
      <c r="AJ99" s="738"/>
      <c r="CZ99" s="737"/>
      <c r="DA99" s="737"/>
      <c r="DB99" s="740"/>
      <c r="DC99" s="740"/>
      <c r="DD99" s="740"/>
      <c r="DE99" s="740"/>
      <c r="DF99" s="740"/>
      <c r="DG99" s="740"/>
      <c r="DH99" s="740"/>
      <c r="DI99" s="737"/>
      <c r="DJ99" s="737"/>
      <c r="DK99" s="737"/>
      <c r="DL99" s="737"/>
      <c r="DM99" s="737"/>
      <c r="DN99" s="737"/>
      <c r="EB99" s="737"/>
      <c r="EC99" s="737"/>
      <c r="ED99" s="737"/>
      <c r="EE99" s="737"/>
      <c r="EF99" s="737"/>
      <c r="EI99" s="705" t="s">
        <v>3923</v>
      </c>
      <c r="EJ99" s="745">
        <v>119</v>
      </c>
      <c r="EK99" s="755">
        <f t="shared" si="80"/>
        <v>3.4502754421571469</v>
      </c>
      <c r="EL99" s="745">
        <v>45</v>
      </c>
      <c r="EM99" s="745">
        <v>74</v>
      </c>
      <c r="EN99" s="745">
        <v>75</v>
      </c>
      <c r="EO99" s="745">
        <v>44</v>
      </c>
      <c r="EP99" s="737">
        <v>109</v>
      </c>
      <c r="EQ99" s="737">
        <v>10</v>
      </c>
      <c r="FB99" s="833"/>
      <c r="FP99" s="833"/>
      <c r="FQ99" s="833"/>
      <c r="FR99" s="812"/>
      <c r="FS99" s="812"/>
      <c r="FT99" s="812"/>
      <c r="FU99" s="812"/>
      <c r="FV99" s="812"/>
      <c r="FW99" s="812"/>
      <c r="FX99" s="812"/>
      <c r="FY99" s="812"/>
      <c r="FZ99" s="812"/>
      <c r="GL99" s="398"/>
      <c r="GM99" s="398"/>
      <c r="GN99" s="398"/>
      <c r="GO99" s="398"/>
      <c r="GP99" s="398"/>
      <c r="GQ99" s="398"/>
      <c r="HD99" s="398"/>
      <c r="HE99" s="398"/>
    </row>
    <row r="100" spans="1:213" ht="14.1" customHeight="1">
      <c r="A100" s="398"/>
      <c r="B100" s="398"/>
      <c r="C100" s="398"/>
      <c r="D100" s="398"/>
      <c r="E100" s="398"/>
      <c r="F100" s="398"/>
      <c r="G100" s="398"/>
      <c r="H100" s="519"/>
      <c r="J100" s="737"/>
      <c r="K100" s="737"/>
      <c r="L100" s="737"/>
      <c r="M100" s="737"/>
      <c r="N100" s="737"/>
      <c r="O100" s="737"/>
      <c r="P100" s="737"/>
      <c r="Q100" s="737"/>
      <c r="S100" s="398" t="s">
        <v>3827</v>
      </c>
      <c r="T100" s="740"/>
      <c r="U100" s="754">
        <f>SUM(U101:U110)</f>
        <v>3972</v>
      </c>
      <c r="V100" s="754">
        <f t="shared" ref="V100:AJ100" si="83">SUM(V101:V110)</f>
        <v>100</v>
      </c>
      <c r="W100" s="754">
        <f t="shared" si="83"/>
        <v>37</v>
      </c>
      <c r="X100" s="754">
        <f t="shared" si="83"/>
        <v>253</v>
      </c>
      <c r="Y100" s="754">
        <f t="shared" si="83"/>
        <v>274</v>
      </c>
      <c r="Z100" s="754">
        <f t="shared" si="83"/>
        <v>295</v>
      </c>
      <c r="AA100" s="754">
        <f t="shared" si="83"/>
        <v>252</v>
      </c>
      <c r="AB100" s="754">
        <f t="shared" si="83"/>
        <v>287</v>
      </c>
      <c r="AC100" s="754">
        <f t="shared" si="83"/>
        <v>291</v>
      </c>
      <c r="AD100" s="754">
        <f t="shared" si="83"/>
        <v>253</v>
      </c>
      <c r="AE100" s="754">
        <f t="shared" si="83"/>
        <v>286</v>
      </c>
      <c r="AF100" s="754">
        <f t="shared" si="83"/>
        <v>278</v>
      </c>
      <c r="AG100" s="754">
        <f t="shared" si="83"/>
        <v>257</v>
      </c>
      <c r="AH100" s="754">
        <f t="shared" si="83"/>
        <v>327</v>
      </c>
      <c r="AI100" s="754">
        <f t="shared" si="83"/>
        <v>397</v>
      </c>
      <c r="AJ100" s="754">
        <f t="shared" si="83"/>
        <v>385</v>
      </c>
      <c r="CZ100" s="737"/>
      <c r="DA100" s="737"/>
      <c r="DM100" s="737"/>
      <c r="DN100" s="737"/>
      <c r="EB100" s="737"/>
      <c r="EC100" s="737"/>
      <c r="ED100" s="737"/>
      <c r="EE100" s="737"/>
      <c r="EF100" s="737"/>
      <c r="EI100" s="705" t="s">
        <v>2661</v>
      </c>
      <c r="EJ100" s="745">
        <v>24</v>
      </c>
      <c r="EK100" s="755">
        <f t="shared" si="80"/>
        <v>0.69585387068715576</v>
      </c>
      <c r="EL100" s="745">
        <v>7</v>
      </c>
      <c r="EM100" s="745">
        <v>17</v>
      </c>
      <c r="EN100" s="745">
        <v>16</v>
      </c>
      <c r="EO100" s="745">
        <v>8</v>
      </c>
      <c r="EP100" s="737">
        <v>20</v>
      </c>
      <c r="EQ100" s="737">
        <v>4</v>
      </c>
      <c r="FB100" s="833"/>
      <c r="FP100" s="833"/>
      <c r="FQ100" s="833"/>
      <c r="FR100" s="812"/>
      <c r="FS100" s="812"/>
      <c r="FT100" s="812"/>
      <c r="FU100" s="812"/>
      <c r="FV100" s="812"/>
      <c r="FW100" s="812"/>
      <c r="FX100" s="812"/>
      <c r="FY100" s="812"/>
      <c r="FZ100" s="812"/>
      <c r="GL100" s="398"/>
      <c r="GM100" s="398"/>
      <c r="GN100" s="398"/>
      <c r="GO100" s="398"/>
      <c r="GP100" s="398"/>
      <c r="GQ100" s="398"/>
      <c r="HA100" s="702"/>
      <c r="HB100" s="385"/>
      <c r="HC100" s="385"/>
      <c r="HD100" s="737"/>
      <c r="HE100" s="737"/>
    </row>
    <row r="101" spans="1:213" ht="14.1" customHeight="1">
      <c r="A101" s="398"/>
      <c r="B101" s="398"/>
      <c r="C101" s="398"/>
      <c r="D101" s="398"/>
      <c r="E101" s="398"/>
      <c r="F101" s="398"/>
      <c r="G101" s="398"/>
      <c r="H101" s="519"/>
      <c r="J101" s="737"/>
      <c r="K101" s="737"/>
      <c r="L101" s="737"/>
      <c r="M101" s="737"/>
      <c r="N101" s="737"/>
      <c r="O101" s="737"/>
      <c r="P101" s="737"/>
      <c r="Q101" s="737"/>
      <c r="S101" s="386" t="s">
        <v>3719</v>
      </c>
      <c r="T101" s="386" t="s">
        <v>3831</v>
      </c>
      <c r="U101" s="738">
        <f>SUM(V101:AJ101)</f>
        <v>342</v>
      </c>
      <c r="V101" s="737">
        <v>17</v>
      </c>
      <c r="W101" s="738">
        <v>10</v>
      </c>
      <c r="X101" s="738">
        <v>48</v>
      </c>
      <c r="Y101" s="738">
        <v>60</v>
      </c>
      <c r="Z101" s="738">
        <v>53</v>
      </c>
      <c r="AA101" s="738">
        <v>51</v>
      </c>
      <c r="AB101" s="738">
        <v>58</v>
      </c>
      <c r="AC101" s="738">
        <v>45</v>
      </c>
      <c r="AD101" s="757" t="s">
        <v>1627</v>
      </c>
      <c r="AE101" s="757" t="s">
        <v>1627</v>
      </c>
      <c r="AF101" s="757" t="s">
        <v>1627</v>
      </c>
      <c r="AG101" s="757" t="s">
        <v>1627</v>
      </c>
      <c r="AH101" s="757" t="s">
        <v>1627</v>
      </c>
      <c r="AI101" s="757" t="s">
        <v>1627</v>
      </c>
      <c r="AJ101" s="757" t="s">
        <v>1627</v>
      </c>
      <c r="CZ101" s="737"/>
      <c r="DA101" s="737"/>
      <c r="DB101" s="398"/>
      <c r="DC101" s="398"/>
      <c r="DD101" s="398"/>
      <c r="DE101" s="398"/>
      <c r="DF101" s="398"/>
      <c r="DG101" s="398"/>
      <c r="DH101" s="398"/>
      <c r="DI101" s="737"/>
      <c r="DJ101" s="737"/>
      <c r="DK101" s="737"/>
      <c r="DL101" s="737"/>
      <c r="DM101" s="737"/>
      <c r="DN101" s="737"/>
      <c r="EB101" s="737"/>
      <c r="EC101" s="737"/>
      <c r="ED101" s="737"/>
      <c r="EE101" s="737"/>
      <c r="EF101" s="737"/>
      <c r="EI101" s="705" t="s">
        <v>3929</v>
      </c>
      <c r="EJ101" s="745">
        <v>67</v>
      </c>
      <c r="EK101" s="755">
        <f t="shared" si="80"/>
        <v>1.9425920556683098</v>
      </c>
      <c r="EL101" s="745">
        <v>20</v>
      </c>
      <c r="EM101" s="745">
        <v>47</v>
      </c>
      <c r="EN101" s="745">
        <v>52</v>
      </c>
      <c r="EO101" s="745">
        <v>15</v>
      </c>
      <c r="EP101" s="737">
        <v>62</v>
      </c>
      <c r="EQ101" s="737">
        <v>5</v>
      </c>
      <c r="FB101" s="833"/>
      <c r="FP101" s="833"/>
      <c r="FQ101" s="833"/>
      <c r="FR101" s="812"/>
      <c r="FS101" s="812"/>
      <c r="FT101" s="812"/>
      <c r="FU101" s="812"/>
      <c r="FV101" s="812"/>
      <c r="FW101" s="812"/>
      <c r="FX101" s="812"/>
      <c r="FY101" s="812"/>
      <c r="FZ101" s="812"/>
      <c r="GL101" s="398"/>
      <c r="GM101" s="398"/>
      <c r="GN101" s="398"/>
      <c r="GO101" s="398"/>
      <c r="GP101" s="398"/>
      <c r="GQ101" s="398"/>
      <c r="HA101" s="385"/>
      <c r="HB101" s="398"/>
      <c r="HC101" s="398"/>
      <c r="HD101" s="737"/>
      <c r="HE101" s="737"/>
    </row>
    <row r="102" spans="1:213" ht="14.1" customHeight="1">
      <c r="A102" s="398"/>
      <c r="B102" s="398"/>
      <c r="C102" s="398"/>
      <c r="D102" s="398"/>
      <c r="E102" s="398"/>
      <c r="F102" s="398"/>
      <c r="G102" s="398"/>
      <c r="H102" s="757"/>
      <c r="J102" s="737"/>
      <c r="K102" s="737"/>
      <c r="L102" s="737"/>
      <c r="M102" s="737"/>
      <c r="N102" s="737"/>
      <c r="O102" s="737"/>
      <c r="P102" s="737"/>
      <c r="Q102" s="737"/>
      <c r="S102" s="386" t="s">
        <v>3818</v>
      </c>
      <c r="T102" s="386" t="s">
        <v>3831</v>
      </c>
      <c r="U102" s="738">
        <f t="shared" ref="U102:U110" si="84">SUM(V102:AJ102)</f>
        <v>340</v>
      </c>
      <c r="V102" s="757" t="s">
        <v>1627</v>
      </c>
      <c r="W102" s="757" t="s">
        <v>1627</v>
      </c>
      <c r="X102" s="757" t="s">
        <v>1627</v>
      </c>
      <c r="Y102" s="757" t="s">
        <v>1627</v>
      </c>
      <c r="Z102" s="757" t="s">
        <v>1627</v>
      </c>
      <c r="AA102" s="757" t="s">
        <v>1627</v>
      </c>
      <c r="AB102" s="757" t="s">
        <v>1627</v>
      </c>
      <c r="AC102" s="757" t="s">
        <v>1627</v>
      </c>
      <c r="AD102" s="757">
        <v>103</v>
      </c>
      <c r="AE102" s="757">
        <v>128</v>
      </c>
      <c r="AF102" s="757">
        <v>109</v>
      </c>
      <c r="AG102" s="757" t="s">
        <v>1627</v>
      </c>
      <c r="AH102" s="757" t="s">
        <v>1627</v>
      </c>
      <c r="AI102" s="757" t="s">
        <v>1627</v>
      </c>
      <c r="AJ102" s="757" t="s">
        <v>1627</v>
      </c>
      <c r="DB102" s="740"/>
      <c r="DC102" s="740"/>
      <c r="DD102" s="740"/>
      <c r="DE102" s="740"/>
      <c r="DF102" s="740"/>
      <c r="DG102" s="740"/>
      <c r="DH102" s="740"/>
      <c r="DI102" s="737"/>
      <c r="DJ102" s="737"/>
      <c r="DK102" s="737"/>
      <c r="DL102" s="737"/>
      <c r="DM102" s="737"/>
      <c r="DN102" s="737"/>
      <c r="EI102" s="705" t="s">
        <v>3932</v>
      </c>
      <c r="EJ102" s="745">
        <v>13</v>
      </c>
      <c r="EK102" s="755">
        <f t="shared" si="80"/>
        <v>0.37692084662220937</v>
      </c>
      <c r="EL102" s="745">
        <v>3</v>
      </c>
      <c r="EM102" s="745">
        <v>10</v>
      </c>
      <c r="EN102" s="745">
        <v>11</v>
      </c>
      <c r="EO102" s="745">
        <v>2</v>
      </c>
      <c r="EP102" s="737">
        <v>10</v>
      </c>
      <c r="EQ102" s="737">
        <v>3</v>
      </c>
      <c r="FR102" s="812"/>
      <c r="FS102" s="812"/>
      <c r="FT102" s="812"/>
      <c r="FU102" s="812"/>
      <c r="FV102" s="812"/>
      <c r="FW102" s="812"/>
      <c r="FX102" s="812"/>
      <c r="FY102" s="812"/>
      <c r="FZ102" s="812"/>
      <c r="GL102" s="684"/>
      <c r="GM102" s="684"/>
      <c r="GN102" s="684"/>
      <c r="GO102" s="684"/>
      <c r="GP102" s="684"/>
      <c r="GQ102" s="684"/>
      <c r="GR102" s="398"/>
      <c r="HB102" s="737"/>
      <c r="HC102" s="737"/>
      <c r="HD102" s="737"/>
      <c r="HE102" s="737"/>
    </row>
    <row r="103" spans="1:213" ht="14.1" customHeight="1">
      <c r="A103" s="398"/>
      <c r="B103" s="398"/>
      <c r="C103" s="398"/>
      <c r="D103" s="398"/>
      <c r="E103" s="398"/>
      <c r="F103" s="398"/>
      <c r="G103" s="398"/>
      <c r="H103" s="519"/>
      <c r="J103" s="737"/>
      <c r="K103" s="737"/>
      <c r="L103" s="737"/>
      <c r="M103" s="737"/>
      <c r="N103" s="737"/>
      <c r="O103" s="737"/>
      <c r="P103" s="737"/>
      <c r="Q103" s="737"/>
      <c r="S103" s="386" t="s">
        <v>3839</v>
      </c>
      <c r="T103" s="386" t="s">
        <v>3840</v>
      </c>
      <c r="U103" s="738">
        <f t="shared" si="84"/>
        <v>216</v>
      </c>
      <c r="V103" s="737">
        <v>0</v>
      </c>
      <c r="W103" s="738">
        <v>0</v>
      </c>
      <c r="X103" s="738">
        <v>27</v>
      </c>
      <c r="Y103" s="738">
        <v>35</v>
      </c>
      <c r="Z103" s="738">
        <v>40</v>
      </c>
      <c r="AA103" s="738">
        <v>37</v>
      </c>
      <c r="AB103" s="738">
        <v>43</v>
      </c>
      <c r="AC103" s="738">
        <v>34</v>
      </c>
      <c r="AD103" s="757" t="s">
        <v>1627</v>
      </c>
      <c r="AE103" s="757" t="s">
        <v>1627</v>
      </c>
      <c r="AF103" s="757" t="s">
        <v>1627</v>
      </c>
      <c r="AG103" s="757" t="s">
        <v>1627</v>
      </c>
      <c r="AH103" s="757" t="s">
        <v>1627</v>
      </c>
      <c r="AI103" s="757" t="s">
        <v>1627</v>
      </c>
      <c r="AJ103" s="757" t="s">
        <v>1627</v>
      </c>
      <c r="CZ103" s="737"/>
      <c r="DA103" s="737"/>
      <c r="DB103" s="740"/>
      <c r="DC103" s="740"/>
      <c r="DD103" s="740"/>
      <c r="DE103" s="740"/>
      <c r="DF103" s="740"/>
      <c r="DG103" s="740"/>
      <c r="DH103" s="740"/>
      <c r="DI103" s="737"/>
      <c r="DJ103" s="737"/>
      <c r="DK103" s="737"/>
      <c r="DL103" s="737"/>
      <c r="DM103" s="737"/>
      <c r="DN103" s="737"/>
      <c r="EB103" s="737"/>
      <c r="EC103" s="737"/>
      <c r="ED103" s="737"/>
      <c r="EE103" s="737"/>
      <c r="EF103" s="737"/>
      <c r="EI103" s="705" t="s">
        <v>3936</v>
      </c>
      <c r="EJ103" s="745">
        <v>10</v>
      </c>
      <c r="EK103" s="755">
        <f t="shared" si="80"/>
        <v>0.2899391127863149</v>
      </c>
      <c r="EL103" s="745">
        <v>3</v>
      </c>
      <c r="EM103" s="745">
        <v>7</v>
      </c>
      <c r="EN103" s="745">
        <v>5</v>
      </c>
      <c r="EO103" s="745">
        <v>5</v>
      </c>
      <c r="EP103" s="737">
        <v>9</v>
      </c>
      <c r="EQ103" s="737">
        <v>1</v>
      </c>
      <c r="FR103" s="812"/>
      <c r="FS103" s="812"/>
      <c r="FT103" s="812"/>
      <c r="FU103" s="812"/>
      <c r="FV103" s="812"/>
      <c r="FW103" s="812"/>
      <c r="FX103" s="812"/>
      <c r="FY103" s="812"/>
      <c r="FZ103" s="812"/>
      <c r="GL103" s="386"/>
      <c r="GM103" s="386"/>
      <c r="GN103" s="386"/>
      <c r="GO103" s="386"/>
      <c r="GP103" s="386"/>
      <c r="GQ103" s="386"/>
      <c r="GR103" s="398"/>
      <c r="HA103" s="515"/>
      <c r="HB103" s="737"/>
      <c r="HC103" s="737"/>
    </row>
    <row r="104" spans="1:213" ht="14.1" customHeight="1">
      <c r="A104" s="398"/>
      <c r="B104" s="398"/>
      <c r="C104" s="398"/>
      <c r="D104" s="398"/>
      <c r="E104" s="398"/>
      <c r="F104" s="398"/>
      <c r="G104" s="398"/>
      <c r="H104" s="834"/>
      <c r="J104" s="737"/>
      <c r="K104" s="737"/>
      <c r="L104" s="737"/>
      <c r="M104" s="737"/>
      <c r="N104" s="737"/>
      <c r="O104" s="737"/>
      <c r="P104" s="737"/>
      <c r="Q104" s="737"/>
      <c r="S104" s="386" t="s">
        <v>3844</v>
      </c>
      <c r="T104" s="386" t="s">
        <v>3840</v>
      </c>
      <c r="U104" s="738">
        <f t="shared" si="84"/>
        <v>477</v>
      </c>
      <c r="V104" s="757" t="s">
        <v>1627</v>
      </c>
      <c r="W104" s="757" t="s">
        <v>1627</v>
      </c>
      <c r="X104" s="757" t="s">
        <v>1627</v>
      </c>
      <c r="Y104" s="757" t="s">
        <v>1627</v>
      </c>
      <c r="Z104" s="757" t="s">
        <v>1627</v>
      </c>
      <c r="AA104" s="757" t="s">
        <v>1627</v>
      </c>
      <c r="AB104" s="757" t="s">
        <v>1627</v>
      </c>
      <c r="AC104" s="757" t="s">
        <v>1627</v>
      </c>
      <c r="AD104" s="754">
        <v>150</v>
      </c>
      <c r="AE104" s="738">
        <v>158</v>
      </c>
      <c r="AF104" s="738">
        <v>169</v>
      </c>
      <c r="AG104" s="757" t="s">
        <v>1627</v>
      </c>
      <c r="AH104" s="757" t="s">
        <v>1627</v>
      </c>
      <c r="AI104" s="757" t="s">
        <v>1627</v>
      </c>
      <c r="AJ104" s="757" t="s">
        <v>1627</v>
      </c>
      <c r="CZ104" s="737"/>
      <c r="DA104" s="737"/>
      <c r="DB104" s="740"/>
      <c r="DC104" s="740"/>
      <c r="DD104" s="740"/>
      <c r="DE104" s="740"/>
      <c r="DF104" s="740"/>
      <c r="DG104" s="740"/>
      <c r="DH104" s="740"/>
      <c r="DI104" s="737"/>
      <c r="DJ104" s="737"/>
      <c r="DK104" s="737"/>
      <c r="DL104" s="737"/>
      <c r="DM104" s="737"/>
      <c r="DN104" s="737"/>
      <c r="EB104" s="737"/>
      <c r="EC104" s="737"/>
      <c r="ED104" s="737"/>
      <c r="EE104" s="737"/>
      <c r="EF104" s="737"/>
      <c r="EI104" s="705" t="s">
        <v>3939</v>
      </c>
      <c r="EJ104" s="745">
        <v>88</v>
      </c>
      <c r="EK104" s="755">
        <f t="shared" si="80"/>
        <v>2.5514641925195711</v>
      </c>
      <c r="EL104" s="745">
        <v>31</v>
      </c>
      <c r="EM104" s="745">
        <v>57</v>
      </c>
      <c r="EN104" s="745">
        <v>68</v>
      </c>
      <c r="EO104" s="745">
        <v>20</v>
      </c>
      <c r="EP104" s="737">
        <v>78</v>
      </c>
      <c r="EQ104" s="737">
        <v>10</v>
      </c>
      <c r="FC104" s="833"/>
      <c r="FD104" s="833"/>
      <c r="FE104" s="833"/>
      <c r="FF104" s="833"/>
      <c r="FG104" s="833"/>
      <c r="FH104" s="833"/>
      <c r="FI104" s="833"/>
      <c r="FJ104" s="833"/>
      <c r="FK104" s="833"/>
      <c r="FL104" s="833"/>
      <c r="FM104" s="833"/>
      <c r="FN104" s="833"/>
      <c r="FO104" s="833"/>
      <c r="FR104" s="812"/>
      <c r="FS104" s="812"/>
      <c r="FT104" s="812"/>
      <c r="FU104" s="812"/>
      <c r="FV104" s="812"/>
      <c r="FW104" s="812"/>
      <c r="FX104" s="812"/>
      <c r="FY104" s="812"/>
      <c r="FZ104" s="812"/>
      <c r="GL104" s="386"/>
      <c r="GM104" s="386"/>
      <c r="GN104" s="386"/>
      <c r="GO104" s="386"/>
      <c r="GP104" s="386"/>
      <c r="GQ104" s="386"/>
      <c r="GR104" s="398"/>
      <c r="HA104" s="737"/>
      <c r="HB104" s="737"/>
      <c r="HC104" s="737"/>
    </row>
    <row r="105" spans="1:213" ht="14.1" customHeight="1">
      <c r="J105" s="737"/>
      <c r="K105" s="737"/>
      <c r="L105" s="737"/>
      <c r="M105" s="737"/>
      <c r="N105" s="737"/>
      <c r="O105" s="737"/>
      <c r="P105" s="737"/>
      <c r="Q105" s="737"/>
      <c r="S105" s="386" t="s">
        <v>3848</v>
      </c>
      <c r="T105" s="386" t="s">
        <v>3849</v>
      </c>
      <c r="U105" s="738">
        <f t="shared" si="84"/>
        <v>207</v>
      </c>
      <c r="V105" s="737">
        <v>17</v>
      </c>
      <c r="W105" s="776">
        <v>0</v>
      </c>
      <c r="X105" s="776">
        <v>25</v>
      </c>
      <c r="Y105" s="738">
        <v>28</v>
      </c>
      <c r="Z105" s="738">
        <v>31</v>
      </c>
      <c r="AA105" s="738">
        <v>35</v>
      </c>
      <c r="AB105" s="738">
        <v>33</v>
      </c>
      <c r="AC105" s="738">
        <v>38</v>
      </c>
      <c r="AD105" s="757" t="s">
        <v>1627</v>
      </c>
      <c r="AE105" s="757" t="s">
        <v>1627</v>
      </c>
      <c r="AF105" s="757" t="s">
        <v>1627</v>
      </c>
      <c r="AG105" s="757" t="s">
        <v>1627</v>
      </c>
      <c r="AH105" s="757" t="s">
        <v>1627</v>
      </c>
      <c r="AI105" s="757" t="s">
        <v>1627</v>
      </c>
      <c r="AJ105" s="757" t="s">
        <v>1627</v>
      </c>
      <c r="CZ105" s="737"/>
      <c r="DA105" s="737"/>
      <c r="DB105" s="740"/>
      <c r="DC105" s="740"/>
      <c r="DD105" s="740"/>
      <c r="DE105" s="740"/>
      <c r="DF105" s="740"/>
      <c r="DG105" s="740"/>
      <c r="DH105" s="740"/>
      <c r="DI105" s="737"/>
      <c r="DJ105" s="737"/>
      <c r="DK105" s="737"/>
      <c r="DL105" s="737"/>
      <c r="DM105" s="737"/>
      <c r="DN105" s="737"/>
      <c r="EB105" s="737"/>
      <c r="EC105" s="737"/>
      <c r="ED105" s="737"/>
      <c r="EE105" s="737"/>
      <c r="EF105" s="737"/>
      <c r="EI105" s="705" t="s">
        <v>3941</v>
      </c>
      <c r="EJ105" s="745">
        <v>85</v>
      </c>
      <c r="EK105" s="755">
        <f t="shared" si="80"/>
        <v>2.4644824586836767</v>
      </c>
      <c r="EL105" s="745">
        <v>39</v>
      </c>
      <c r="EM105" s="745">
        <v>46</v>
      </c>
      <c r="EN105" s="745">
        <v>65</v>
      </c>
      <c r="EO105" s="745">
        <v>20</v>
      </c>
      <c r="EP105" s="737">
        <v>62</v>
      </c>
      <c r="EQ105" s="737">
        <v>23</v>
      </c>
      <c r="FC105" s="833"/>
      <c r="FD105" s="833"/>
      <c r="FE105" s="833"/>
      <c r="FF105" s="833"/>
      <c r="FG105" s="833"/>
      <c r="FH105" s="833"/>
      <c r="FI105" s="833"/>
      <c r="FJ105" s="833"/>
      <c r="FK105" s="833"/>
      <c r="FL105" s="833"/>
      <c r="FM105" s="833"/>
      <c r="FN105" s="833"/>
      <c r="FO105" s="833"/>
      <c r="FR105" s="812"/>
      <c r="FS105" s="812"/>
      <c r="FT105" s="812"/>
      <c r="FU105" s="812"/>
      <c r="FV105" s="812"/>
      <c r="FW105" s="812"/>
      <c r="FX105" s="812"/>
      <c r="FY105" s="812"/>
      <c r="FZ105" s="812"/>
      <c r="GL105" s="386"/>
      <c r="GM105" s="386"/>
      <c r="GN105" s="386"/>
      <c r="GO105" s="386"/>
      <c r="GP105" s="386"/>
      <c r="GQ105" s="386"/>
      <c r="GR105" s="398"/>
      <c r="HA105" s="737"/>
    </row>
    <row r="106" spans="1:213" ht="14.1" customHeight="1">
      <c r="A106" s="386"/>
      <c r="B106" s="386"/>
      <c r="C106" s="386"/>
      <c r="D106" s="386"/>
      <c r="E106" s="386"/>
      <c r="F106" s="386"/>
      <c r="G106" s="386"/>
      <c r="H106" s="737"/>
      <c r="J106" s="737"/>
      <c r="K106" s="737"/>
      <c r="L106" s="737"/>
      <c r="M106" s="737"/>
      <c r="N106" s="737"/>
      <c r="O106" s="737"/>
      <c r="P106" s="737"/>
      <c r="Q106" s="737"/>
      <c r="S106" s="386" t="s">
        <v>3635</v>
      </c>
      <c r="T106" s="386" t="s">
        <v>3852</v>
      </c>
      <c r="U106" s="738">
        <f t="shared" si="84"/>
        <v>276</v>
      </c>
      <c r="V106" s="738">
        <v>30</v>
      </c>
      <c r="W106" s="738">
        <v>13</v>
      </c>
      <c r="X106" s="738">
        <v>32</v>
      </c>
      <c r="Y106" s="738">
        <v>35</v>
      </c>
      <c r="Z106" s="738">
        <v>37</v>
      </c>
      <c r="AA106" s="738">
        <v>40</v>
      </c>
      <c r="AB106" s="738">
        <v>35</v>
      </c>
      <c r="AC106" s="738">
        <v>54</v>
      </c>
      <c r="AD106" s="757" t="s">
        <v>1627</v>
      </c>
      <c r="AE106" s="757" t="s">
        <v>1627</v>
      </c>
      <c r="AF106" s="757" t="s">
        <v>1627</v>
      </c>
      <c r="AG106" s="757" t="s">
        <v>1627</v>
      </c>
      <c r="AH106" s="757" t="s">
        <v>1627</v>
      </c>
      <c r="AI106" s="757" t="s">
        <v>1627</v>
      </c>
      <c r="AJ106" s="757" t="s">
        <v>1627</v>
      </c>
      <c r="CZ106" s="737"/>
      <c r="DA106" s="737"/>
      <c r="DB106" s="740"/>
      <c r="DC106" s="740"/>
      <c r="DD106" s="740"/>
      <c r="DE106" s="740"/>
      <c r="DF106" s="740"/>
      <c r="DG106" s="740"/>
      <c r="DH106" s="740"/>
      <c r="DI106" s="737"/>
      <c r="DJ106" s="737"/>
      <c r="DK106" s="737"/>
      <c r="DL106" s="737"/>
      <c r="DM106" s="737"/>
      <c r="DN106" s="737"/>
      <c r="EB106" s="737"/>
      <c r="EC106" s="737"/>
      <c r="ED106" s="737"/>
      <c r="EE106" s="737"/>
      <c r="EF106" s="737"/>
      <c r="EI106" s="705" t="s">
        <v>3943</v>
      </c>
      <c r="EJ106" s="745">
        <v>50</v>
      </c>
      <c r="EK106" s="755">
        <f t="shared" si="80"/>
        <v>1.4496955639315743</v>
      </c>
      <c r="EL106" s="745">
        <v>25</v>
      </c>
      <c r="EM106" s="745">
        <v>25</v>
      </c>
      <c r="EN106" s="745">
        <v>37</v>
      </c>
      <c r="EO106" s="745">
        <v>13</v>
      </c>
      <c r="EP106" s="737">
        <v>43</v>
      </c>
      <c r="EQ106" s="737">
        <v>7</v>
      </c>
      <c r="FC106" s="833"/>
      <c r="FD106" s="833"/>
      <c r="FE106" s="833"/>
      <c r="FF106" s="833"/>
      <c r="FG106" s="833"/>
      <c r="FH106" s="833"/>
      <c r="FI106" s="833"/>
      <c r="FJ106" s="833"/>
      <c r="FK106" s="833"/>
      <c r="FL106" s="833"/>
      <c r="FM106" s="833"/>
      <c r="FN106" s="833"/>
      <c r="FO106" s="833"/>
      <c r="FR106" s="812"/>
      <c r="FS106" s="812"/>
      <c r="FT106" s="812"/>
      <c r="FU106" s="812"/>
      <c r="FV106" s="812"/>
      <c r="FW106" s="812"/>
      <c r="FX106" s="812"/>
      <c r="FY106" s="812"/>
      <c r="FZ106" s="812"/>
      <c r="GL106" s="398"/>
      <c r="GM106" s="398"/>
      <c r="GN106" s="398"/>
      <c r="GO106" s="398"/>
      <c r="GP106" s="398"/>
      <c r="GQ106" s="398"/>
      <c r="GR106" s="684"/>
      <c r="GU106" s="385"/>
      <c r="GV106" s="385"/>
      <c r="GW106" s="385"/>
      <c r="GX106" s="385"/>
      <c r="GY106" s="385"/>
      <c r="GZ106" s="385"/>
      <c r="HA106" s="737"/>
    </row>
    <row r="107" spans="1:213" ht="14.1" customHeight="1">
      <c r="A107" s="386"/>
      <c r="B107" s="386"/>
      <c r="C107" s="386"/>
      <c r="D107" s="386"/>
      <c r="E107" s="386"/>
      <c r="F107" s="386"/>
      <c r="G107" s="386"/>
      <c r="H107" s="737"/>
      <c r="J107" s="737"/>
      <c r="K107" s="737"/>
      <c r="L107" s="737"/>
      <c r="M107" s="737"/>
      <c r="N107" s="737"/>
      <c r="O107" s="737"/>
      <c r="P107" s="737"/>
      <c r="Q107" s="737"/>
      <c r="S107" s="386" t="s">
        <v>3856</v>
      </c>
      <c r="T107" s="386" t="s">
        <v>3852</v>
      </c>
      <c r="U107" s="738">
        <f t="shared" si="84"/>
        <v>1243</v>
      </c>
      <c r="V107" s="757" t="s">
        <v>1627</v>
      </c>
      <c r="W107" s="757" t="s">
        <v>1627</v>
      </c>
      <c r="X107" s="757" t="s">
        <v>1627</v>
      </c>
      <c r="Y107" s="757" t="s">
        <v>1627</v>
      </c>
      <c r="Z107" s="757" t="s">
        <v>1627</v>
      </c>
      <c r="AA107" s="757" t="s">
        <v>1627</v>
      </c>
      <c r="AB107" s="757" t="s">
        <v>1627</v>
      </c>
      <c r="AC107" s="757" t="s">
        <v>1627</v>
      </c>
      <c r="AD107" s="757" t="s">
        <v>1627</v>
      </c>
      <c r="AE107" s="757" t="s">
        <v>1627</v>
      </c>
      <c r="AF107" s="757" t="s">
        <v>1627</v>
      </c>
      <c r="AG107" s="754">
        <v>252</v>
      </c>
      <c r="AH107" s="754">
        <v>304</v>
      </c>
      <c r="AI107" s="738">
        <v>344</v>
      </c>
      <c r="AJ107" s="738">
        <v>343</v>
      </c>
      <c r="CZ107" s="737"/>
      <c r="DA107" s="737"/>
      <c r="DB107" s="740"/>
      <c r="DC107" s="740"/>
      <c r="DD107" s="740"/>
      <c r="DE107" s="740"/>
      <c r="DF107" s="740"/>
      <c r="DG107" s="740"/>
      <c r="DH107" s="740"/>
      <c r="DI107" s="737"/>
      <c r="DJ107" s="737"/>
      <c r="DK107" s="737"/>
      <c r="DL107" s="737"/>
      <c r="EB107" s="737"/>
      <c r="EC107" s="737"/>
      <c r="ED107" s="737"/>
      <c r="EE107" s="737"/>
      <c r="EF107" s="737"/>
      <c r="EI107" s="705" t="s">
        <v>1709</v>
      </c>
      <c r="EJ107" s="745">
        <v>95</v>
      </c>
      <c r="EK107" s="755">
        <f t="shared" si="80"/>
        <v>2.7544215714699916</v>
      </c>
      <c r="EL107" s="745">
        <v>49</v>
      </c>
      <c r="EM107" s="745">
        <v>46</v>
      </c>
      <c r="EN107" s="745">
        <v>75</v>
      </c>
      <c r="EO107" s="745">
        <v>20</v>
      </c>
      <c r="EP107" s="515">
        <v>91</v>
      </c>
      <c r="EQ107" s="515">
        <v>4</v>
      </c>
      <c r="FC107" s="833"/>
      <c r="FD107" s="833"/>
      <c r="FE107" s="833"/>
      <c r="FF107" s="833"/>
      <c r="FG107" s="833"/>
      <c r="FH107" s="833"/>
      <c r="FI107" s="833"/>
      <c r="FJ107" s="833"/>
      <c r="FK107" s="833"/>
      <c r="FL107" s="833"/>
      <c r="FM107" s="833"/>
      <c r="FN107" s="833"/>
      <c r="FO107" s="833"/>
      <c r="FR107" s="812"/>
      <c r="FS107" s="812"/>
      <c r="FT107" s="812"/>
      <c r="FU107" s="812"/>
      <c r="FV107" s="812"/>
      <c r="FW107" s="812"/>
      <c r="FX107" s="812"/>
      <c r="FY107" s="812"/>
      <c r="FZ107" s="812"/>
      <c r="GL107" s="684"/>
      <c r="GM107" s="684"/>
      <c r="GN107" s="684"/>
      <c r="GO107" s="684"/>
      <c r="GP107" s="684"/>
      <c r="GQ107" s="684"/>
      <c r="GR107" s="386"/>
      <c r="GU107" s="398"/>
      <c r="GV107" s="398"/>
      <c r="GW107" s="398"/>
      <c r="GX107" s="398"/>
      <c r="GY107" s="398"/>
      <c r="GZ107" s="398"/>
      <c r="HA107" s="737"/>
    </row>
    <row r="108" spans="1:213" ht="14.1" customHeight="1">
      <c r="A108" s="386"/>
      <c r="B108" s="386"/>
      <c r="C108" s="386"/>
      <c r="D108" s="386"/>
      <c r="E108" s="386"/>
      <c r="F108" s="386"/>
      <c r="G108" s="386"/>
      <c r="H108" s="754"/>
      <c r="J108" s="737"/>
      <c r="K108" s="737"/>
      <c r="L108" s="737"/>
      <c r="M108" s="737"/>
      <c r="N108" s="737"/>
      <c r="O108" s="737"/>
      <c r="P108" s="737"/>
      <c r="Q108" s="737"/>
      <c r="S108" s="386" t="s">
        <v>3698</v>
      </c>
      <c r="T108" s="386" t="s">
        <v>3862</v>
      </c>
      <c r="U108" s="738">
        <f t="shared" si="84"/>
        <v>530</v>
      </c>
      <c r="V108" s="737">
        <v>20</v>
      </c>
      <c r="W108" s="738">
        <v>14</v>
      </c>
      <c r="X108" s="738">
        <v>83</v>
      </c>
      <c r="Y108" s="738">
        <v>83</v>
      </c>
      <c r="Z108" s="738">
        <v>99</v>
      </c>
      <c r="AA108" s="738">
        <v>67</v>
      </c>
      <c r="AB108" s="738">
        <v>79</v>
      </c>
      <c r="AC108" s="738">
        <v>85</v>
      </c>
      <c r="AD108" s="757" t="s">
        <v>1627</v>
      </c>
      <c r="AE108" s="757" t="s">
        <v>1627</v>
      </c>
      <c r="AF108" s="757" t="s">
        <v>1627</v>
      </c>
      <c r="AG108" s="757" t="s">
        <v>1627</v>
      </c>
      <c r="AH108" s="757" t="s">
        <v>1627</v>
      </c>
      <c r="AI108" s="757" t="s">
        <v>1627</v>
      </c>
      <c r="AJ108" s="757" t="s">
        <v>1627</v>
      </c>
      <c r="CZ108" s="737"/>
      <c r="DA108" s="737"/>
      <c r="DB108" s="740"/>
      <c r="DC108" s="740"/>
      <c r="DD108" s="740"/>
      <c r="DE108" s="740"/>
      <c r="DF108" s="740"/>
      <c r="DG108" s="740"/>
      <c r="DH108" s="740"/>
      <c r="DI108" s="737"/>
      <c r="DJ108" s="737"/>
      <c r="DK108" s="737"/>
      <c r="DL108" s="737"/>
      <c r="DM108" s="737"/>
      <c r="DN108" s="737"/>
      <c r="EB108" s="737"/>
      <c r="EC108" s="737"/>
      <c r="ED108" s="737"/>
      <c r="EE108" s="737"/>
      <c r="EF108" s="737"/>
      <c r="EI108" s="705" t="s">
        <v>3946</v>
      </c>
      <c r="EJ108" s="745">
        <v>42</v>
      </c>
      <c r="EK108" s="755">
        <f t="shared" si="80"/>
        <v>1.2177442737025224</v>
      </c>
      <c r="EL108" s="745">
        <v>14</v>
      </c>
      <c r="EM108" s="745">
        <v>28</v>
      </c>
      <c r="EN108" s="745">
        <v>29</v>
      </c>
      <c r="EO108" s="745">
        <v>13</v>
      </c>
      <c r="EP108" s="515">
        <v>35</v>
      </c>
      <c r="EQ108" s="515">
        <v>7</v>
      </c>
      <c r="FC108" s="833"/>
      <c r="FD108" s="833"/>
      <c r="FE108" s="833"/>
      <c r="FF108" s="833"/>
      <c r="FG108" s="833"/>
      <c r="FH108" s="833"/>
      <c r="FI108" s="833"/>
      <c r="FJ108" s="833"/>
      <c r="FK108" s="833"/>
      <c r="FL108" s="833"/>
      <c r="FM108" s="833"/>
      <c r="FN108" s="833"/>
      <c r="FO108" s="833"/>
      <c r="FR108" s="812"/>
      <c r="FS108" s="812"/>
      <c r="FT108" s="812"/>
      <c r="FU108" s="812"/>
      <c r="FV108" s="812"/>
      <c r="FW108" s="812"/>
      <c r="FX108" s="812"/>
      <c r="FY108" s="812"/>
      <c r="FZ108" s="812"/>
      <c r="GL108" s="386"/>
      <c r="GM108" s="386"/>
      <c r="GN108" s="386"/>
      <c r="GO108" s="386"/>
      <c r="GP108" s="386"/>
      <c r="GQ108" s="386"/>
      <c r="GR108" s="386"/>
      <c r="GU108" s="737"/>
      <c r="GV108" s="737"/>
      <c r="GW108" s="737"/>
      <c r="GX108" s="737"/>
      <c r="GY108" s="737"/>
      <c r="GZ108" s="737"/>
      <c r="HA108" s="737"/>
    </row>
    <row r="109" spans="1:213" ht="14.1" customHeight="1">
      <c r="J109" s="737"/>
      <c r="K109" s="737"/>
      <c r="L109" s="737"/>
      <c r="M109" s="737"/>
      <c r="N109" s="737"/>
      <c r="O109" s="737"/>
      <c r="P109" s="737"/>
      <c r="Q109" s="737"/>
      <c r="S109" s="386" t="s">
        <v>2201</v>
      </c>
      <c r="T109" s="386" t="s">
        <v>2201</v>
      </c>
      <c r="U109" s="738">
        <f t="shared" si="84"/>
        <v>218</v>
      </c>
      <c r="V109" s="737">
        <v>16</v>
      </c>
      <c r="W109" s="738">
        <v>0</v>
      </c>
      <c r="X109" s="738">
        <v>38</v>
      </c>
      <c r="Y109" s="738">
        <v>33</v>
      </c>
      <c r="Z109" s="738">
        <v>35</v>
      </c>
      <c r="AA109" s="738">
        <v>22</v>
      </c>
      <c r="AB109" s="738">
        <v>39</v>
      </c>
      <c r="AC109" s="738">
        <v>35</v>
      </c>
      <c r="AD109" s="757" t="s">
        <v>1627</v>
      </c>
      <c r="AE109" s="757" t="s">
        <v>1627</v>
      </c>
      <c r="AF109" s="757" t="s">
        <v>1627</v>
      </c>
      <c r="AG109" s="757" t="s">
        <v>1627</v>
      </c>
      <c r="AH109" s="757" t="s">
        <v>1627</v>
      </c>
      <c r="AI109" s="757" t="s">
        <v>1627</v>
      </c>
      <c r="AJ109" s="757" t="s">
        <v>1627</v>
      </c>
      <c r="CZ109" s="737"/>
      <c r="DA109" s="737"/>
      <c r="DB109" s="740"/>
      <c r="DC109" s="740"/>
      <c r="DD109" s="740"/>
      <c r="DE109" s="740"/>
      <c r="DF109" s="740"/>
      <c r="DG109" s="740"/>
      <c r="DH109" s="740"/>
      <c r="DI109" s="737"/>
      <c r="DJ109" s="737"/>
      <c r="DK109" s="737"/>
      <c r="DL109" s="737"/>
      <c r="DM109" s="737"/>
      <c r="DN109" s="737"/>
      <c r="EB109" s="737"/>
      <c r="EC109" s="737"/>
      <c r="ED109" s="737"/>
      <c r="EE109" s="737"/>
      <c r="EF109" s="737"/>
      <c r="EI109" s="705" t="s">
        <v>3948</v>
      </c>
      <c r="EJ109" s="745">
        <v>94</v>
      </c>
      <c r="EK109" s="755">
        <f t="shared" si="80"/>
        <v>2.7254276601913601</v>
      </c>
      <c r="EL109" s="745">
        <v>42</v>
      </c>
      <c r="EM109" s="745">
        <v>52</v>
      </c>
      <c r="EN109" s="745">
        <v>55</v>
      </c>
      <c r="EO109" s="745">
        <v>39</v>
      </c>
      <c r="EP109" s="737">
        <v>74</v>
      </c>
      <c r="EQ109" s="737">
        <v>20</v>
      </c>
      <c r="FC109" s="833"/>
      <c r="FD109" s="833"/>
      <c r="FE109" s="833"/>
      <c r="FF109" s="833"/>
      <c r="FG109" s="833"/>
      <c r="FH109" s="833"/>
      <c r="FI109" s="833"/>
      <c r="FJ109" s="833"/>
      <c r="FK109" s="833"/>
      <c r="FL109" s="833"/>
      <c r="FM109" s="833"/>
      <c r="FN109" s="833"/>
      <c r="FO109" s="833"/>
      <c r="FR109" s="812"/>
      <c r="FS109" s="812"/>
      <c r="FT109" s="812"/>
      <c r="FU109" s="812"/>
      <c r="FV109" s="812"/>
      <c r="FW109" s="812"/>
      <c r="FX109" s="812"/>
      <c r="FY109" s="812"/>
      <c r="FZ109" s="812"/>
      <c r="GL109" s="386"/>
      <c r="GM109" s="386"/>
      <c r="GN109" s="386"/>
      <c r="GO109" s="386"/>
      <c r="GP109" s="386"/>
      <c r="GQ109" s="386"/>
      <c r="GR109" s="386"/>
      <c r="GU109" s="737"/>
      <c r="GV109" s="737"/>
      <c r="GW109" s="737"/>
      <c r="GX109" s="737"/>
      <c r="GY109" s="737"/>
      <c r="GZ109" s="737"/>
      <c r="HA109" s="737"/>
    </row>
    <row r="110" spans="1:213" ht="14.1" customHeight="1">
      <c r="J110" s="737"/>
      <c r="K110" s="737"/>
      <c r="L110" s="737"/>
      <c r="M110" s="737"/>
      <c r="N110" s="737"/>
      <c r="O110" s="737"/>
      <c r="P110" s="737"/>
      <c r="Q110" s="737"/>
      <c r="S110" s="384" t="s">
        <v>3874</v>
      </c>
      <c r="T110" s="384" t="s">
        <v>2198</v>
      </c>
      <c r="U110" s="820">
        <f t="shared" si="84"/>
        <v>123</v>
      </c>
      <c r="V110" s="786" t="s">
        <v>1627</v>
      </c>
      <c r="W110" s="786" t="s">
        <v>1627</v>
      </c>
      <c r="X110" s="786" t="s">
        <v>1627</v>
      </c>
      <c r="Y110" s="786" t="s">
        <v>1627</v>
      </c>
      <c r="Z110" s="786" t="s">
        <v>1627</v>
      </c>
      <c r="AA110" s="786" t="s">
        <v>1627</v>
      </c>
      <c r="AB110" s="786" t="s">
        <v>1627</v>
      </c>
      <c r="AC110" s="786" t="s">
        <v>1627</v>
      </c>
      <c r="AD110" s="786" t="s">
        <v>1627</v>
      </c>
      <c r="AE110" s="786" t="s">
        <v>1627</v>
      </c>
      <c r="AF110" s="786" t="s">
        <v>1627</v>
      </c>
      <c r="AG110" s="801">
        <v>5</v>
      </c>
      <c r="AH110" s="801">
        <v>23</v>
      </c>
      <c r="AI110" s="801">
        <v>53</v>
      </c>
      <c r="AJ110" s="820">
        <v>42</v>
      </c>
      <c r="CZ110" s="737"/>
      <c r="DA110" s="737"/>
      <c r="DB110" s="740"/>
      <c r="DC110" s="740"/>
      <c r="DD110" s="740"/>
      <c r="DE110" s="740"/>
      <c r="DF110" s="740"/>
      <c r="DG110" s="740"/>
      <c r="DH110" s="740"/>
      <c r="DI110" s="737"/>
      <c r="DJ110" s="737"/>
      <c r="DK110" s="737"/>
      <c r="DL110" s="737"/>
      <c r="DM110" s="737"/>
      <c r="DN110" s="737"/>
      <c r="EB110" s="737"/>
      <c r="EC110" s="737"/>
      <c r="ED110" s="737"/>
      <c r="EE110" s="737"/>
      <c r="EF110" s="737"/>
      <c r="EI110" s="730" t="s">
        <v>3558</v>
      </c>
      <c r="EJ110" s="779">
        <v>6</v>
      </c>
      <c r="EK110" s="780">
        <f t="shared" si="80"/>
        <v>0.17396346767178894</v>
      </c>
      <c r="EL110" s="779">
        <v>3</v>
      </c>
      <c r="EM110" s="779">
        <v>3</v>
      </c>
      <c r="EN110" s="779">
        <v>3</v>
      </c>
      <c r="EO110" s="779">
        <v>3</v>
      </c>
      <c r="EP110" s="801">
        <v>4</v>
      </c>
      <c r="EQ110" s="801">
        <v>2</v>
      </c>
      <c r="FR110" s="812"/>
      <c r="FS110" s="812"/>
      <c r="FT110" s="812"/>
      <c r="FU110" s="812"/>
      <c r="FV110" s="812"/>
      <c r="FW110" s="812"/>
      <c r="FX110" s="812"/>
      <c r="FY110" s="812"/>
      <c r="FZ110" s="812"/>
      <c r="GL110" s="386"/>
      <c r="GM110" s="386"/>
      <c r="GN110" s="386"/>
      <c r="GO110" s="386"/>
      <c r="GP110" s="386"/>
      <c r="GQ110" s="386"/>
      <c r="GR110" s="398"/>
      <c r="GU110" s="737"/>
      <c r="GV110" s="737"/>
      <c r="GW110" s="737"/>
      <c r="GX110" s="737"/>
      <c r="GY110" s="737"/>
      <c r="GZ110" s="737"/>
      <c r="HA110" s="737"/>
    </row>
    <row r="111" spans="1:213" ht="14.1" customHeight="1">
      <c r="A111" s="386"/>
      <c r="B111" s="386"/>
      <c r="C111" s="386"/>
      <c r="D111" s="386"/>
      <c r="E111" s="386"/>
      <c r="F111" s="386"/>
      <c r="G111" s="386"/>
      <c r="J111" s="737"/>
      <c r="K111" s="754"/>
      <c r="L111" s="754"/>
      <c r="M111" s="754"/>
      <c r="N111" s="754"/>
      <c r="O111" s="754"/>
      <c r="P111" s="754"/>
      <c r="Q111" s="754"/>
      <c r="S111" s="676" t="s">
        <v>3867</v>
      </c>
      <c r="CZ111" s="737"/>
      <c r="DA111" s="737"/>
      <c r="DM111" s="737"/>
      <c r="DN111" s="737"/>
      <c r="EB111" s="737"/>
      <c r="EC111" s="737"/>
      <c r="ED111" s="737"/>
      <c r="EE111" s="737"/>
      <c r="EF111" s="737"/>
      <c r="EI111" s="781" t="s">
        <v>3629</v>
      </c>
      <c r="EJ111" s="782"/>
      <c r="EK111" s="783"/>
      <c r="EL111" s="781"/>
      <c r="EM111" s="781"/>
      <c r="EN111" s="781"/>
      <c r="EO111" s="781"/>
      <c r="FR111" s="812"/>
      <c r="FS111" s="812"/>
      <c r="FT111" s="812"/>
      <c r="FU111" s="812"/>
      <c r="FV111" s="812"/>
      <c r="FW111" s="812"/>
      <c r="FX111" s="812"/>
      <c r="FY111" s="812"/>
      <c r="FZ111" s="812"/>
      <c r="GL111" s="386"/>
      <c r="GM111" s="386"/>
      <c r="GN111" s="386"/>
      <c r="GO111" s="386"/>
      <c r="GP111" s="386"/>
      <c r="GQ111" s="386"/>
      <c r="GR111" s="684"/>
      <c r="HA111" s="737"/>
    </row>
    <row r="112" spans="1:213" ht="14.1" customHeight="1">
      <c r="A112" s="386"/>
      <c r="B112" s="386"/>
      <c r="C112" s="386"/>
      <c r="D112" s="386"/>
      <c r="E112" s="386"/>
      <c r="F112" s="386"/>
      <c r="G112" s="386"/>
      <c r="J112" s="737"/>
      <c r="K112" s="737"/>
      <c r="L112" s="737"/>
      <c r="M112" s="737"/>
      <c r="N112" s="737"/>
      <c r="O112" s="737"/>
      <c r="P112" s="737"/>
      <c r="Q112" s="737"/>
      <c r="S112" s="386" t="s">
        <v>3882</v>
      </c>
      <c r="CZ112" s="737"/>
      <c r="DA112" s="737"/>
      <c r="DB112" s="740"/>
      <c r="DC112" s="740"/>
      <c r="DD112" s="740"/>
      <c r="DE112" s="740"/>
      <c r="DF112" s="740"/>
      <c r="DG112" s="740"/>
      <c r="DH112" s="740"/>
      <c r="DI112" s="737"/>
      <c r="DJ112" s="737"/>
      <c r="DK112" s="737"/>
      <c r="DL112" s="737"/>
      <c r="DM112" s="737"/>
      <c r="DN112" s="737"/>
      <c r="EB112" s="737"/>
      <c r="EC112" s="737"/>
      <c r="ED112" s="737"/>
      <c r="EE112" s="737"/>
      <c r="EF112" s="737"/>
      <c r="EI112" s="705"/>
      <c r="EJ112" s="745"/>
      <c r="EK112" s="755"/>
      <c r="EL112" s="745"/>
      <c r="EM112" s="745"/>
      <c r="EN112" s="745"/>
      <c r="EO112" s="745"/>
      <c r="EP112" s="737"/>
      <c r="EQ112" s="737"/>
      <c r="FR112" s="812"/>
      <c r="FS112" s="812"/>
      <c r="FT112" s="812"/>
      <c r="FU112" s="812"/>
      <c r="FV112" s="812"/>
      <c r="FW112" s="812"/>
      <c r="FX112" s="812"/>
      <c r="FY112" s="812"/>
      <c r="FZ112" s="812"/>
      <c r="GL112" s="386"/>
      <c r="GM112" s="386"/>
      <c r="GN112" s="386"/>
      <c r="GO112" s="386"/>
      <c r="GP112" s="386"/>
      <c r="GQ112" s="386"/>
      <c r="GR112" s="386"/>
      <c r="HA112" s="737"/>
    </row>
    <row r="113" spans="1:215" ht="14.1" customHeight="1">
      <c r="A113" s="398"/>
      <c r="B113" s="398"/>
      <c r="C113" s="398"/>
      <c r="D113" s="398"/>
      <c r="E113" s="398"/>
      <c r="F113" s="398"/>
      <c r="G113" s="398"/>
      <c r="J113" s="676"/>
      <c r="K113" s="676"/>
      <c r="L113" s="676"/>
      <c r="M113" s="676"/>
      <c r="N113" s="676"/>
      <c r="O113" s="676"/>
      <c r="P113" s="676"/>
      <c r="Q113" s="676"/>
      <c r="S113" s="674" t="s">
        <v>3873</v>
      </c>
      <c r="DB113" s="740"/>
      <c r="DC113" s="740"/>
      <c r="DD113" s="740"/>
      <c r="DE113" s="740"/>
      <c r="DF113" s="740"/>
      <c r="DG113" s="740"/>
      <c r="DH113" s="740"/>
      <c r="DI113" s="737"/>
      <c r="DJ113" s="737"/>
      <c r="DK113" s="737"/>
      <c r="DL113" s="737"/>
      <c r="DM113" s="737"/>
      <c r="DN113" s="737"/>
      <c r="EI113" s="705"/>
      <c r="EJ113" s="745"/>
      <c r="EK113" s="755"/>
      <c r="EL113" s="745"/>
      <c r="EM113" s="745"/>
      <c r="EN113" s="745"/>
      <c r="EO113" s="745"/>
      <c r="EP113" s="737"/>
      <c r="EQ113" s="737"/>
      <c r="FR113" s="812"/>
      <c r="FS113" s="812"/>
      <c r="FT113" s="812"/>
      <c r="FU113" s="812"/>
      <c r="FV113" s="812"/>
      <c r="FW113" s="812"/>
      <c r="FX113" s="812"/>
      <c r="FY113" s="812"/>
      <c r="FZ113" s="812"/>
      <c r="GL113" s="386"/>
      <c r="GM113" s="386"/>
      <c r="GN113" s="386"/>
      <c r="GO113" s="386"/>
      <c r="GP113" s="386"/>
      <c r="GQ113" s="386"/>
      <c r="GR113" s="386"/>
      <c r="HA113" s="737"/>
    </row>
    <row r="114" spans="1:215" ht="14.1" customHeight="1">
      <c r="A114" s="398"/>
      <c r="B114" s="398"/>
      <c r="C114" s="398"/>
      <c r="D114" s="398"/>
      <c r="E114" s="398"/>
      <c r="F114" s="398"/>
      <c r="G114" s="398"/>
      <c r="J114" s="676"/>
      <c r="K114" s="676"/>
      <c r="L114" s="676"/>
      <c r="M114" s="676"/>
      <c r="N114" s="676"/>
      <c r="O114" s="676"/>
      <c r="P114" s="676"/>
      <c r="Q114" s="676"/>
      <c r="CZ114" s="737"/>
      <c r="DA114" s="737"/>
      <c r="DB114" s="740"/>
      <c r="DC114" s="740"/>
      <c r="DD114" s="740"/>
      <c r="DE114" s="740"/>
      <c r="DF114" s="740"/>
      <c r="DG114" s="740"/>
      <c r="DH114" s="740"/>
      <c r="DI114" s="737"/>
      <c r="DJ114" s="737"/>
      <c r="DK114" s="737"/>
      <c r="DL114" s="737"/>
      <c r="DM114" s="737"/>
      <c r="DN114" s="737"/>
      <c r="EB114" s="737"/>
      <c r="EC114" s="737"/>
      <c r="ED114" s="737"/>
      <c r="EE114" s="737"/>
      <c r="EF114" s="737"/>
      <c r="EI114" s="705"/>
      <c r="EJ114" s="745"/>
      <c r="EK114" s="755"/>
      <c r="EL114" s="745"/>
      <c r="EM114" s="745"/>
      <c r="EN114" s="745"/>
      <c r="EO114" s="745"/>
      <c r="EP114" s="737"/>
      <c r="EQ114" s="737"/>
      <c r="FR114" s="812"/>
      <c r="FS114" s="812"/>
      <c r="FT114" s="812"/>
      <c r="FU114" s="812"/>
      <c r="FV114" s="812"/>
      <c r="FW114" s="812"/>
      <c r="FX114" s="812"/>
      <c r="FY114" s="812"/>
      <c r="FZ114" s="812"/>
      <c r="GL114" s="386"/>
      <c r="GM114" s="386"/>
      <c r="GN114" s="386"/>
      <c r="GO114" s="386"/>
      <c r="GP114" s="386"/>
      <c r="GQ114" s="386"/>
      <c r="GR114" s="386"/>
      <c r="HA114" s="737"/>
      <c r="HD114" s="702"/>
      <c r="HE114" s="702"/>
    </row>
    <row r="115" spans="1:215" ht="14.1" customHeight="1">
      <c r="A115" s="398"/>
      <c r="B115" s="398"/>
      <c r="C115" s="398"/>
      <c r="D115" s="398"/>
      <c r="E115" s="398"/>
      <c r="F115" s="398"/>
      <c r="G115" s="398"/>
      <c r="J115" s="676"/>
      <c r="K115" s="676"/>
      <c r="L115" s="676"/>
      <c r="M115" s="676"/>
      <c r="N115" s="676"/>
      <c r="O115" s="676"/>
      <c r="P115" s="676"/>
      <c r="Q115" s="676"/>
      <c r="CZ115" s="737"/>
      <c r="DA115" s="737"/>
      <c r="DB115" s="740"/>
      <c r="DC115" s="740"/>
      <c r="DD115" s="740"/>
      <c r="DE115" s="740"/>
      <c r="DF115" s="740"/>
      <c r="DG115" s="740"/>
      <c r="DH115" s="740"/>
      <c r="DI115" s="737"/>
      <c r="DJ115" s="737"/>
      <c r="DK115" s="737"/>
      <c r="DL115" s="737"/>
      <c r="DM115" s="737"/>
      <c r="DN115" s="737"/>
      <c r="EB115" s="737"/>
      <c r="EC115" s="737"/>
      <c r="ED115" s="737"/>
      <c r="EE115" s="737"/>
      <c r="EF115" s="737"/>
      <c r="EI115" s="781"/>
      <c r="EJ115" s="835"/>
      <c r="EK115" s="835"/>
      <c r="EL115" s="781"/>
      <c r="EM115" s="781"/>
      <c r="EN115" s="781"/>
      <c r="EO115" s="781"/>
      <c r="EQ115" s="398"/>
      <c r="FR115" s="812"/>
      <c r="FS115" s="812"/>
      <c r="FT115" s="812"/>
      <c r="FU115" s="812"/>
      <c r="FV115" s="812"/>
      <c r="FW115" s="812"/>
      <c r="FX115" s="812"/>
      <c r="FY115" s="812"/>
      <c r="FZ115" s="812"/>
      <c r="GL115" s="386"/>
      <c r="GM115" s="386"/>
      <c r="GN115" s="386"/>
      <c r="GO115" s="386"/>
      <c r="GP115" s="386"/>
      <c r="GQ115" s="386"/>
      <c r="GR115" s="386"/>
      <c r="HA115" s="737"/>
      <c r="HD115" s="385"/>
      <c r="HE115" s="385"/>
    </row>
    <row r="116" spans="1:215" ht="14.1" customHeight="1">
      <c r="A116" s="398"/>
      <c r="B116" s="398"/>
      <c r="C116" s="398"/>
      <c r="D116" s="398"/>
      <c r="E116" s="398"/>
      <c r="F116" s="398"/>
      <c r="G116" s="398"/>
      <c r="J116" s="676"/>
      <c r="K116" s="676"/>
      <c r="L116" s="676"/>
      <c r="M116" s="676"/>
      <c r="N116" s="676"/>
      <c r="O116" s="676"/>
      <c r="P116" s="676"/>
      <c r="Q116" s="676"/>
      <c r="CZ116" s="737"/>
      <c r="DA116" s="737"/>
      <c r="DB116" s="740"/>
      <c r="DC116" s="740"/>
      <c r="DD116" s="740"/>
      <c r="DE116" s="740"/>
      <c r="DF116" s="740"/>
      <c r="DG116" s="740"/>
      <c r="DH116" s="740"/>
      <c r="DI116" s="737"/>
      <c r="DJ116" s="737"/>
      <c r="DK116" s="737"/>
      <c r="DL116" s="737"/>
      <c r="DM116" s="737"/>
      <c r="DN116" s="737"/>
      <c r="EB116" s="737"/>
      <c r="EC116" s="737"/>
      <c r="ED116" s="737"/>
      <c r="EE116" s="737"/>
      <c r="EF116" s="737"/>
      <c r="EI116" s="705"/>
      <c r="EJ116" s="791"/>
      <c r="EK116" s="791"/>
      <c r="EL116" s="2121"/>
      <c r="EM116" s="2121"/>
      <c r="EN116" s="2121"/>
      <c r="EO116" s="2121"/>
      <c r="EP116" s="2094"/>
      <c r="EQ116" s="2094"/>
      <c r="FR116" s="812"/>
      <c r="FS116" s="812"/>
      <c r="FT116" s="812"/>
      <c r="FU116" s="812"/>
      <c r="FV116" s="812"/>
      <c r="FW116" s="812"/>
      <c r="FX116" s="812"/>
      <c r="FY116" s="812"/>
      <c r="FZ116" s="812"/>
      <c r="GL116" s="386"/>
      <c r="GM116" s="386"/>
      <c r="GN116" s="386"/>
      <c r="GO116" s="386"/>
      <c r="GP116" s="386"/>
      <c r="GQ116" s="386"/>
      <c r="GR116" s="386"/>
      <c r="HA116" s="737"/>
      <c r="HB116" s="702"/>
      <c r="HC116" s="702"/>
    </row>
    <row r="117" spans="1:215" ht="14.1" customHeight="1">
      <c r="A117" s="398"/>
      <c r="B117" s="398"/>
      <c r="C117" s="398"/>
      <c r="D117" s="398"/>
      <c r="E117" s="398"/>
      <c r="F117" s="398"/>
      <c r="G117" s="398"/>
      <c r="J117" s="676"/>
      <c r="K117" s="676"/>
      <c r="L117" s="676"/>
      <c r="M117" s="676"/>
      <c r="N117" s="676"/>
      <c r="O117" s="676"/>
      <c r="P117" s="676"/>
      <c r="Q117" s="676"/>
      <c r="S117" s="398" t="s">
        <v>3956</v>
      </c>
      <c r="U117" s="678"/>
      <c r="V117" s="678"/>
      <c r="W117" s="678"/>
      <c r="X117" s="678"/>
      <c r="Y117" s="678"/>
      <c r="Z117" s="678"/>
      <c r="AA117" s="678"/>
      <c r="AB117" s="678"/>
      <c r="AC117" s="678"/>
      <c r="AD117" s="678"/>
      <c r="AE117" s="678"/>
      <c r="AF117" s="678"/>
      <c r="AG117" s="678"/>
      <c r="AH117" s="678"/>
      <c r="AI117" s="678"/>
      <c r="CZ117" s="737"/>
      <c r="DA117" s="737"/>
      <c r="DB117" s="740"/>
      <c r="DC117" s="740"/>
      <c r="DD117" s="740"/>
      <c r="DE117" s="740"/>
      <c r="DF117" s="740"/>
      <c r="DG117" s="740"/>
      <c r="DH117" s="740"/>
      <c r="DI117" s="737"/>
      <c r="DJ117" s="737"/>
      <c r="DK117" s="737"/>
      <c r="DL117" s="737"/>
      <c r="DM117" s="737"/>
      <c r="DN117" s="737"/>
      <c r="EB117" s="737"/>
      <c r="EC117" s="737"/>
      <c r="ED117" s="737"/>
      <c r="EE117" s="737"/>
      <c r="EF117" s="737"/>
      <c r="EI117" s="705"/>
      <c r="EJ117" s="791"/>
      <c r="EK117" s="791"/>
      <c r="EL117" s="791"/>
      <c r="EM117" s="791"/>
      <c r="EN117" s="791"/>
      <c r="EO117" s="791"/>
      <c r="EP117" s="402"/>
      <c r="EQ117" s="402"/>
      <c r="FR117" s="812"/>
      <c r="FS117" s="812"/>
      <c r="FT117" s="812"/>
      <c r="FU117" s="812"/>
      <c r="FV117" s="812"/>
      <c r="FW117" s="812"/>
      <c r="FX117" s="812"/>
      <c r="FY117" s="812"/>
      <c r="FZ117" s="812"/>
      <c r="GL117" s="386"/>
      <c r="GM117" s="386"/>
      <c r="GN117" s="386"/>
      <c r="GO117" s="386"/>
      <c r="GP117" s="386"/>
      <c r="GQ117" s="386"/>
      <c r="GR117" s="386"/>
      <c r="HA117" s="737"/>
      <c r="HB117" s="385"/>
      <c r="HC117" s="385"/>
      <c r="HD117" s="515"/>
      <c r="HE117" s="515"/>
    </row>
    <row r="118" spans="1:215" ht="14.1" customHeight="1">
      <c r="A118" s="398"/>
      <c r="B118" s="398"/>
      <c r="C118" s="398"/>
      <c r="D118" s="398"/>
      <c r="E118" s="398"/>
      <c r="F118" s="398"/>
      <c r="G118" s="398"/>
      <c r="J118" s="676"/>
      <c r="K118" s="676"/>
      <c r="L118" s="676"/>
      <c r="M118" s="676"/>
      <c r="N118" s="676"/>
      <c r="O118" s="676"/>
      <c r="P118" s="676"/>
      <c r="Q118" s="676"/>
      <c r="S118" s="695"/>
      <c r="T118" s="696"/>
      <c r="U118" s="697" t="s">
        <v>129</v>
      </c>
      <c r="V118" s="690" t="s">
        <v>3444</v>
      </c>
      <c r="W118" s="697" t="s">
        <v>3445</v>
      </c>
      <c r="X118" s="697" t="s">
        <v>3446</v>
      </c>
      <c r="Y118" s="697" t="s">
        <v>115</v>
      </c>
      <c r="Z118" s="697" t="s">
        <v>116</v>
      </c>
      <c r="AA118" s="697" t="s">
        <v>117</v>
      </c>
      <c r="AB118" s="697" t="s">
        <v>118</v>
      </c>
      <c r="AC118" s="697" t="s">
        <v>3447</v>
      </c>
      <c r="AD118" s="697" t="s">
        <v>3448</v>
      </c>
      <c r="AE118" s="697" t="s">
        <v>3449</v>
      </c>
      <c r="AF118" s="697" t="s">
        <v>3450</v>
      </c>
      <c r="AG118" s="697" t="s">
        <v>3451</v>
      </c>
      <c r="AH118" s="697" t="s">
        <v>3452</v>
      </c>
      <c r="AI118" s="697" t="s">
        <v>3095</v>
      </c>
      <c r="AJ118" s="689" t="s">
        <v>3101</v>
      </c>
      <c r="CZ118" s="737"/>
      <c r="DA118" s="737"/>
      <c r="DB118" s="740"/>
      <c r="DC118" s="740"/>
      <c r="DD118" s="740"/>
      <c r="DE118" s="740"/>
      <c r="DF118" s="740"/>
      <c r="DG118" s="740"/>
      <c r="DH118" s="740"/>
      <c r="DI118" s="737"/>
      <c r="DJ118" s="737"/>
      <c r="DK118" s="737"/>
      <c r="DL118" s="737"/>
      <c r="DM118" s="737"/>
      <c r="DN118" s="737"/>
      <c r="EB118" s="737"/>
      <c r="EC118" s="737"/>
      <c r="ED118" s="737"/>
      <c r="EE118" s="737"/>
      <c r="EF118" s="737"/>
      <c r="EI118" s="705"/>
      <c r="EJ118" s="745"/>
      <c r="EK118" s="836"/>
      <c r="EL118" s="745"/>
      <c r="EM118" s="745"/>
      <c r="EN118" s="745"/>
      <c r="EO118" s="745"/>
      <c r="EP118" s="745"/>
      <c r="EQ118" s="745"/>
      <c r="FR118" s="812"/>
      <c r="FS118" s="812"/>
      <c r="FT118" s="812"/>
      <c r="FU118" s="812"/>
      <c r="FV118" s="812"/>
      <c r="FW118" s="812"/>
      <c r="FX118" s="812"/>
      <c r="FY118" s="812"/>
      <c r="FZ118" s="812"/>
      <c r="GL118" s="386"/>
      <c r="GM118" s="386"/>
      <c r="GN118" s="386"/>
      <c r="GO118" s="386"/>
      <c r="GP118" s="386"/>
      <c r="GQ118" s="386"/>
      <c r="GR118" s="386"/>
      <c r="HA118" s="737"/>
      <c r="HD118" s="737"/>
      <c r="HE118" s="737"/>
    </row>
    <row r="119" spans="1:215" ht="14.1" customHeight="1">
      <c r="A119" s="398"/>
      <c r="B119" s="398"/>
      <c r="C119" s="398"/>
      <c r="D119" s="398"/>
      <c r="E119" s="398"/>
      <c r="F119" s="398"/>
      <c r="G119" s="398"/>
      <c r="J119" s="676"/>
      <c r="K119" s="676"/>
      <c r="L119" s="676"/>
      <c r="M119" s="676"/>
      <c r="N119" s="676"/>
      <c r="O119" s="676"/>
      <c r="P119" s="676"/>
      <c r="Q119" s="676"/>
      <c r="S119" s="678" t="s">
        <v>3472</v>
      </c>
      <c r="T119" s="719" t="s">
        <v>3473</v>
      </c>
      <c r="U119" s="712" t="s">
        <v>3474</v>
      </c>
      <c r="V119" s="712" t="s">
        <v>3475</v>
      </c>
      <c r="W119" s="712" t="s">
        <v>3476</v>
      </c>
      <c r="X119" s="712" t="s">
        <v>3477</v>
      </c>
      <c r="Y119" s="712" t="s">
        <v>3478</v>
      </c>
      <c r="Z119" s="712" t="s">
        <v>3478</v>
      </c>
      <c r="AA119" s="712" t="s">
        <v>3478</v>
      </c>
      <c r="AB119" s="712" t="s">
        <v>3478</v>
      </c>
      <c r="AC119" s="712" t="s">
        <v>3478</v>
      </c>
      <c r="AD119" s="712" t="s">
        <v>3478</v>
      </c>
      <c r="AE119" s="712" t="s">
        <v>3478</v>
      </c>
      <c r="AF119" s="712" t="s">
        <v>3478</v>
      </c>
      <c r="AG119" s="712" t="s">
        <v>3478</v>
      </c>
      <c r="AH119" s="712" t="s">
        <v>3478</v>
      </c>
      <c r="AI119" s="712" t="s">
        <v>3478</v>
      </c>
      <c r="AJ119" s="713" t="s">
        <v>3478</v>
      </c>
      <c r="CZ119" s="737"/>
      <c r="DA119" s="737"/>
      <c r="DB119" s="740"/>
      <c r="DC119" s="740"/>
      <c r="DD119" s="740"/>
      <c r="DE119" s="740"/>
      <c r="DF119" s="740"/>
      <c r="DG119" s="740"/>
      <c r="DH119" s="740"/>
      <c r="DI119" s="737"/>
      <c r="DJ119" s="737"/>
      <c r="DK119" s="737"/>
      <c r="DL119" s="737"/>
      <c r="DM119" s="737"/>
      <c r="DN119" s="737"/>
      <c r="EB119" s="737"/>
      <c r="EC119" s="737"/>
      <c r="ED119" s="737"/>
      <c r="EE119" s="737"/>
      <c r="EF119" s="737"/>
      <c r="EI119" s="705"/>
      <c r="EJ119" s="745"/>
      <c r="EK119" s="755"/>
      <c r="EL119" s="745"/>
      <c r="EM119" s="745"/>
      <c r="EN119" s="745"/>
      <c r="EO119" s="745"/>
      <c r="EP119" s="737"/>
      <c r="EQ119" s="737"/>
      <c r="FR119" s="812"/>
      <c r="FS119" s="812"/>
      <c r="FT119" s="812"/>
      <c r="FU119" s="812"/>
      <c r="FV119" s="812"/>
      <c r="FW119" s="812"/>
      <c r="FX119" s="812"/>
      <c r="FY119" s="812"/>
      <c r="FZ119" s="812"/>
      <c r="GL119" s="386"/>
      <c r="GM119" s="386"/>
      <c r="GN119" s="386"/>
      <c r="GO119" s="386"/>
      <c r="GP119" s="386"/>
      <c r="GQ119" s="386"/>
      <c r="GR119" s="386"/>
      <c r="HA119" s="737"/>
      <c r="HB119" s="515"/>
      <c r="HC119" s="515"/>
      <c r="HD119" s="737"/>
      <c r="HE119" s="737"/>
    </row>
    <row r="120" spans="1:215" ht="14.1" customHeight="1">
      <c r="A120" s="398"/>
      <c r="B120" s="398"/>
      <c r="C120" s="398"/>
      <c r="D120" s="398"/>
      <c r="E120" s="398"/>
      <c r="F120" s="398"/>
      <c r="G120" s="398"/>
      <c r="J120" s="676"/>
      <c r="K120" s="676"/>
      <c r="L120" s="676"/>
      <c r="M120" s="676"/>
      <c r="N120" s="676"/>
      <c r="O120" s="676"/>
      <c r="P120" s="676"/>
      <c r="Q120" s="676"/>
      <c r="R120" s="737"/>
      <c r="S120" s="398" t="s">
        <v>3502</v>
      </c>
      <c r="T120" s="740"/>
      <c r="U120" s="741">
        <f t="shared" ref="U120:AJ120" si="85">SUM(U121,U137,U146,U158)</f>
        <v>25648</v>
      </c>
      <c r="V120" s="741">
        <f t="shared" si="85"/>
        <v>516</v>
      </c>
      <c r="W120" s="741">
        <f t="shared" si="85"/>
        <v>150</v>
      </c>
      <c r="X120" s="741">
        <f t="shared" si="85"/>
        <v>1522</v>
      </c>
      <c r="Y120" s="741">
        <f t="shared" si="85"/>
        <v>1847</v>
      </c>
      <c r="Z120" s="741">
        <f t="shared" si="85"/>
        <v>1728</v>
      </c>
      <c r="AA120" s="741">
        <f t="shared" si="85"/>
        <v>1894</v>
      </c>
      <c r="AB120" s="741">
        <f t="shared" si="85"/>
        <v>1872</v>
      </c>
      <c r="AC120" s="741">
        <f t="shared" si="85"/>
        <v>1935</v>
      </c>
      <c r="AD120" s="741">
        <f t="shared" si="85"/>
        <v>1787</v>
      </c>
      <c r="AE120" s="741">
        <f t="shared" si="85"/>
        <v>1855</v>
      </c>
      <c r="AF120" s="741">
        <f t="shared" si="85"/>
        <v>1813</v>
      </c>
      <c r="AG120" s="741">
        <f t="shared" si="85"/>
        <v>2676</v>
      </c>
      <c r="AH120" s="741">
        <f t="shared" si="85"/>
        <v>2491</v>
      </c>
      <c r="AI120" s="741">
        <f t="shared" si="85"/>
        <v>1964</v>
      </c>
      <c r="AJ120" s="741">
        <f t="shared" si="85"/>
        <v>1598</v>
      </c>
      <c r="CZ120" s="737"/>
      <c r="DA120" s="737"/>
      <c r="DB120" s="740"/>
      <c r="DC120" s="740"/>
      <c r="DD120" s="740"/>
      <c r="DE120" s="740"/>
      <c r="DF120" s="740"/>
      <c r="DG120" s="740"/>
      <c r="DH120" s="740"/>
      <c r="DI120" s="737"/>
      <c r="DJ120" s="737"/>
      <c r="DK120" s="737"/>
      <c r="DL120" s="737"/>
      <c r="DM120" s="737"/>
      <c r="DN120" s="737"/>
      <c r="EB120" s="737"/>
      <c r="EC120" s="737"/>
      <c r="ED120" s="737"/>
      <c r="EE120" s="737"/>
      <c r="EF120" s="737"/>
      <c r="EI120" s="705"/>
      <c r="EJ120" s="745"/>
      <c r="EK120" s="755"/>
      <c r="EL120" s="745"/>
      <c r="EM120" s="745"/>
      <c r="EN120" s="745"/>
      <c r="EO120" s="745"/>
      <c r="EP120" s="737"/>
      <c r="EQ120" s="737"/>
      <c r="FR120" s="812"/>
      <c r="FS120" s="812"/>
      <c r="FT120" s="812"/>
      <c r="FU120" s="812"/>
      <c r="FV120" s="812"/>
      <c r="FW120" s="812"/>
      <c r="FX120" s="812"/>
      <c r="FY120" s="812"/>
      <c r="FZ120" s="812"/>
      <c r="GL120" s="386"/>
      <c r="GM120" s="386"/>
      <c r="GN120" s="386"/>
      <c r="GO120" s="386"/>
      <c r="GP120" s="386"/>
      <c r="GQ120" s="386"/>
      <c r="GR120" s="386"/>
      <c r="HA120" s="737"/>
      <c r="HB120" s="737"/>
      <c r="HC120" s="737"/>
      <c r="HD120" s="737"/>
      <c r="HE120" s="737"/>
    </row>
    <row r="121" spans="1:215" ht="14.1" customHeight="1">
      <c r="A121" s="398"/>
      <c r="B121" s="398"/>
      <c r="C121" s="398"/>
      <c r="D121" s="398"/>
      <c r="E121" s="398"/>
      <c r="F121" s="398"/>
      <c r="G121" s="398"/>
      <c r="J121" s="676"/>
      <c r="K121" s="676"/>
      <c r="L121" s="676"/>
      <c r="M121" s="676"/>
      <c r="N121" s="676"/>
      <c r="O121" s="676"/>
      <c r="P121" s="676"/>
      <c r="Q121" s="676"/>
      <c r="S121" s="398" t="s">
        <v>3520</v>
      </c>
      <c r="T121" s="740"/>
      <c r="U121" s="738">
        <f t="shared" ref="U121:AJ121" si="86">SUM(U122:U135)</f>
        <v>10451</v>
      </c>
      <c r="V121" s="738">
        <f t="shared" si="86"/>
        <v>210</v>
      </c>
      <c r="W121" s="738">
        <f t="shared" si="86"/>
        <v>38</v>
      </c>
      <c r="X121" s="738">
        <f t="shared" si="86"/>
        <v>651</v>
      </c>
      <c r="Y121" s="738">
        <f t="shared" si="86"/>
        <v>794</v>
      </c>
      <c r="Z121" s="738">
        <f t="shared" si="86"/>
        <v>740</v>
      </c>
      <c r="AA121" s="738">
        <f t="shared" si="86"/>
        <v>823</v>
      </c>
      <c r="AB121" s="738">
        <f t="shared" si="86"/>
        <v>813</v>
      </c>
      <c r="AC121" s="738">
        <f t="shared" si="86"/>
        <v>880</v>
      </c>
      <c r="AD121" s="738">
        <f t="shared" si="86"/>
        <v>748</v>
      </c>
      <c r="AE121" s="738">
        <f t="shared" si="86"/>
        <v>804</v>
      </c>
      <c r="AF121" s="738">
        <f t="shared" si="86"/>
        <v>817</v>
      </c>
      <c r="AG121" s="738">
        <f t="shared" si="86"/>
        <v>1042</v>
      </c>
      <c r="AH121" s="738">
        <f t="shared" si="86"/>
        <v>872</v>
      </c>
      <c r="AI121" s="738">
        <f t="shared" si="86"/>
        <v>679</v>
      </c>
      <c r="AJ121" s="738">
        <f t="shared" si="86"/>
        <v>540</v>
      </c>
      <c r="CZ121" s="737"/>
      <c r="DA121" s="737"/>
      <c r="DM121" s="737"/>
      <c r="DN121" s="737"/>
      <c r="EB121" s="737"/>
      <c r="EC121" s="737"/>
      <c r="ED121" s="737"/>
      <c r="EE121" s="737"/>
      <c r="EF121" s="737"/>
      <c r="EI121" s="705"/>
      <c r="EJ121" s="745"/>
      <c r="EK121" s="755"/>
      <c r="EL121" s="745"/>
      <c r="EM121" s="745"/>
      <c r="EN121" s="745"/>
      <c r="EO121" s="745"/>
      <c r="EP121" s="737"/>
      <c r="EQ121" s="737"/>
      <c r="FR121" s="812"/>
      <c r="FS121" s="812"/>
      <c r="FT121" s="812"/>
      <c r="FU121" s="812"/>
      <c r="FV121" s="812"/>
      <c r="FW121" s="812"/>
      <c r="FX121" s="812"/>
      <c r="FY121" s="812"/>
      <c r="FZ121" s="837"/>
      <c r="GL121" s="386"/>
      <c r="GM121" s="386"/>
      <c r="GN121" s="386"/>
      <c r="GO121" s="386"/>
      <c r="GP121" s="386"/>
      <c r="GQ121" s="386"/>
      <c r="GR121" s="386"/>
      <c r="HA121" s="737"/>
      <c r="HB121" s="737"/>
      <c r="HC121" s="737"/>
      <c r="HD121" s="737"/>
      <c r="HE121" s="737"/>
    </row>
    <row r="122" spans="1:215" ht="14.1" customHeight="1">
      <c r="A122" s="398"/>
      <c r="B122" s="398"/>
      <c r="C122" s="398"/>
      <c r="D122" s="398"/>
      <c r="E122" s="398"/>
      <c r="F122" s="398"/>
      <c r="G122" s="398"/>
      <c r="J122" s="676"/>
      <c r="K122" s="676"/>
      <c r="L122" s="676"/>
      <c r="M122" s="676"/>
      <c r="N122" s="676"/>
      <c r="O122" s="676"/>
      <c r="P122" s="676"/>
      <c r="Q122" s="676"/>
      <c r="S122" s="386" t="s">
        <v>3538</v>
      </c>
      <c r="T122" s="386" t="s">
        <v>2177</v>
      </c>
      <c r="U122" s="738">
        <f>SUM(V122:AJ122)</f>
        <v>421</v>
      </c>
      <c r="V122" s="737">
        <v>19</v>
      </c>
      <c r="W122" s="738">
        <v>8</v>
      </c>
      <c r="X122" s="738">
        <v>59</v>
      </c>
      <c r="Y122" s="738">
        <v>64</v>
      </c>
      <c r="Z122" s="738">
        <v>66</v>
      </c>
      <c r="AA122" s="738">
        <v>74</v>
      </c>
      <c r="AB122" s="738">
        <v>54</v>
      </c>
      <c r="AC122" s="738">
        <v>77</v>
      </c>
      <c r="AD122" s="757" t="s">
        <v>1627</v>
      </c>
      <c r="AE122" s="757" t="s">
        <v>1627</v>
      </c>
      <c r="AF122" s="757" t="s">
        <v>1627</v>
      </c>
      <c r="AG122" s="757" t="s">
        <v>1627</v>
      </c>
      <c r="AH122" s="757" t="s">
        <v>1627</v>
      </c>
      <c r="AI122" s="757" t="s">
        <v>1627</v>
      </c>
      <c r="AJ122" s="757" t="s">
        <v>1627</v>
      </c>
      <c r="CZ122" s="737"/>
      <c r="DA122" s="737"/>
      <c r="DB122" s="398"/>
      <c r="DC122" s="398"/>
      <c r="DD122" s="398"/>
      <c r="DE122" s="398"/>
      <c r="DF122" s="398"/>
      <c r="DG122" s="398"/>
      <c r="DH122" s="398"/>
      <c r="DI122" s="737"/>
      <c r="DJ122" s="737"/>
      <c r="DK122" s="737"/>
      <c r="DL122" s="737"/>
      <c r="DM122" s="737"/>
      <c r="DN122" s="737"/>
      <c r="EB122" s="737"/>
      <c r="EC122" s="737"/>
      <c r="ED122" s="737"/>
      <c r="EE122" s="737"/>
      <c r="EF122" s="737"/>
      <c r="EI122" s="705"/>
      <c r="EJ122" s="745"/>
      <c r="EK122" s="755"/>
      <c r="EL122" s="745"/>
      <c r="EM122" s="745"/>
      <c r="EN122" s="745"/>
      <c r="EO122" s="745"/>
      <c r="EP122" s="737"/>
      <c r="EQ122" s="737"/>
      <c r="FR122" s="812"/>
      <c r="FS122" s="812"/>
      <c r="FT122" s="812"/>
      <c r="FU122" s="812"/>
      <c r="FV122" s="812"/>
      <c r="FW122" s="812"/>
      <c r="FX122" s="812"/>
      <c r="FY122" s="812"/>
      <c r="FZ122" s="837"/>
      <c r="GL122" s="386"/>
      <c r="GM122" s="386"/>
      <c r="GN122" s="386"/>
      <c r="GO122" s="386"/>
      <c r="GP122" s="386"/>
      <c r="GQ122" s="386"/>
      <c r="GR122" s="386"/>
      <c r="GU122" s="702"/>
      <c r="GV122" s="702"/>
      <c r="GW122" s="702"/>
      <c r="GX122" s="702"/>
      <c r="GY122" s="702"/>
      <c r="GZ122" s="702"/>
      <c r="HA122" s="737"/>
      <c r="HB122" s="737"/>
      <c r="HC122" s="737"/>
      <c r="HD122" s="737"/>
      <c r="HE122" s="737"/>
      <c r="HF122" s="398"/>
      <c r="HG122" s="398"/>
    </row>
    <row r="123" spans="1:215" ht="14.1" customHeight="1">
      <c r="A123" s="398"/>
      <c r="B123" s="398"/>
      <c r="C123" s="398"/>
      <c r="D123" s="398"/>
      <c r="E123" s="398"/>
      <c r="F123" s="398"/>
      <c r="G123" s="398"/>
      <c r="J123" s="676"/>
      <c r="K123" s="676"/>
      <c r="L123" s="676"/>
      <c r="M123" s="676"/>
      <c r="N123" s="676"/>
      <c r="O123" s="676"/>
      <c r="P123" s="676"/>
      <c r="Q123" s="676"/>
      <c r="S123" s="386" t="s">
        <v>3551</v>
      </c>
      <c r="T123" s="386" t="s">
        <v>2177</v>
      </c>
      <c r="U123" s="738">
        <f>SUM(V123:AJ123)</f>
        <v>495</v>
      </c>
      <c r="V123" s="757" t="s">
        <v>1627</v>
      </c>
      <c r="W123" s="757" t="s">
        <v>1627</v>
      </c>
      <c r="X123" s="757" t="s">
        <v>1627</v>
      </c>
      <c r="Y123" s="757" t="s">
        <v>1627</v>
      </c>
      <c r="Z123" s="757" t="s">
        <v>1627</v>
      </c>
      <c r="AA123" s="757" t="s">
        <v>1627</v>
      </c>
      <c r="AB123" s="757" t="s">
        <v>1627</v>
      </c>
      <c r="AC123" s="757" t="s">
        <v>1627</v>
      </c>
      <c r="AD123" s="757">
        <v>152</v>
      </c>
      <c r="AE123" s="757">
        <v>177</v>
      </c>
      <c r="AF123" s="757">
        <v>166</v>
      </c>
      <c r="AG123" s="757" t="s">
        <v>1627</v>
      </c>
      <c r="AH123" s="757" t="s">
        <v>1627</v>
      </c>
      <c r="AI123" s="757" t="s">
        <v>1627</v>
      </c>
      <c r="AJ123" s="757" t="s">
        <v>1627</v>
      </c>
      <c r="DB123" s="740"/>
      <c r="DC123" s="740"/>
      <c r="DD123" s="740"/>
      <c r="DE123" s="740"/>
      <c r="DF123" s="740"/>
      <c r="DG123" s="740"/>
      <c r="DH123" s="740"/>
      <c r="DI123" s="737"/>
      <c r="DJ123" s="737"/>
      <c r="DK123" s="737"/>
      <c r="DL123" s="737"/>
      <c r="DM123" s="737"/>
      <c r="DN123" s="737"/>
      <c r="EI123" s="705"/>
      <c r="EJ123" s="745"/>
      <c r="EK123" s="755"/>
      <c r="EL123" s="745"/>
      <c r="EM123" s="745"/>
      <c r="EN123" s="745"/>
      <c r="EO123" s="745"/>
      <c r="EP123" s="737"/>
      <c r="EQ123" s="737"/>
      <c r="ER123" s="402"/>
      <c r="ES123" s="402"/>
      <c r="FR123" s="812"/>
      <c r="FS123" s="812"/>
      <c r="FT123" s="812"/>
      <c r="FU123" s="812"/>
      <c r="FV123" s="812"/>
      <c r="FW123" s="812"/>
      <c r="FX123" s="812"/>
      <c r="FY123" s="812"/>
      <c r="FZ123" s="812"/>
      <c r="GL123" s="386"/>
      <c r="GM123" s="386"/>
      <c r="GN123" s="386"/>
      <c r="GO123" s="386"/>
      <c r="GP123" s="386"/>
      <c r="GQ123" s="386"/>
      <c r="GR123" s="386"/>
      <c r="GU123" s="385"/>
      <c r="GV123" s="385"/>
      <c r="GW123" s="385"/>
      <c r="GX123" s="385"/>
      <c r="GY123" s="385"/>
      <c r="GZ123" s="385"/>
      <c r="HA123" s="737"/>
      <c r="HB123" s="737"/>
      <c r="HC123" s="737"/>
      <c r="HD123" s="737"/>
      <c r="HE123" s="737"/>
      <c r="HF123" s="398"/>
      <c r="HG123" s="398"/>
    </row>
    <row r="124" spans="1:215" ht="14.1" customHeight="1">
      <c r="A124" s="398"/>
      <c r="B124" s="398"/>
      <c r="C124" s="398"/>
      <c r="D124" s="398"/>
      <c r="E124" s="398"/>
      <c r="F124" s="398"/>
      <c r="G124" s="398"/>
      <c r="J124" s="676"/>
      <c r="K124" s="676"/>
      <c r="L124" s="676"/>
      <c r="M124" s="676"/>
      <c r="N124" s="676"/>
      <c r="O124" s="676"/>
      <c r="P124" s="676"/>
      <c r="Q124" s="676"/>
      <c r="S124" s="386" t="s">
        <v>3561</v>
      </c>
      <c r="T124" s="386" t="s">
        <v>2177</v>
      </c>
      <c r="U124" s="738">
        <f t="shared" ref="U124:U135" si="87">SUM(V124:AJ124)</f>
        <v>869</v>
      </c>
      <c r="V124" s="737">
        <v>20</v>
      </c>
      <c r="W124" s="738">
        <v>18</v>
      </c>
      <c r="X124" s="738">
        <v>121</v>
      </c>
      <c r="Y124" s="738">
        <v>129</v>
      </c>
      <c r="Z124" s="738">
        <v>142</v>
      </c>
      <c r="AA124" s="738">
        <v>136</v>
      </c>
      <c r="AB124" s="738">
        <v>163</v>
      </c>
      <c r="AC124" s="738">
        <v>140</v>
      </c>
      <c r="AD124" s="757" t="s">
        <v>1627</v>
      </c>
      <c r="AE124" s="757" t="s">
        <v>1627</v>
      </c>
      <c r="AF124" s="757" t="s">
        <v>1627</v>
      </c>
      <c r="AG124" s="757" t="s">
        <v>1627</v>
      </c>
      <c r="AH124" s="757" t="s">
        <v>1627</v>
      </c>
      <c r="AI124" s="757" t="s">
        <v>1627</v>
      </c>
      <c r="AJ124" s="757" t="s">
        <v>1627</v>
      </c>
      <c r="CZ124" s="737"/>
      <c r="DA124" s="737"/>
      <c r="DB124" s="740"/>
      <c r="DC124" s="740"/>
      <c r="DD124" s="740"/>
      <c r="DE124" s="740"/>
      <c r="DF124" s="740"/>
      <c r="DG124" s="740"/>
      <c r="DH124" s="740"/>
      <c r="DI124" s="737"/>
      <c r="DJ124" s="737"/>
      <c r="DK124" s="737"/>
      <c r="DL124" s="737"/>
      <c r="DM124" s="737"/>
      <c r="DN124" s="737"/>
      <c r="EB124" s="737"/>
      <c r="EC124" s="737"/>
      <c r="ED124" s="737"/>
      <c r="EE124" s="737"/>
      <c r="EF124" s="737"/>
      <c r="EI124" s="705"/>
      <c r="EJ124" s="745"/>
      <c r="EK124" s="755"/>
      <c r="EL124" s="745"/>
      <c r="EM124" s="745"/>
      <c r="EN124" s="745"/>
      <c r="EO124" s="745"/>
      <c r="EP124" s="737"/>
      <c r="EQ124" s="737"/>
      <c r="FR124" s="812"/>
      <c r="FS124" s="812"/>
      <c r="FT124" s="812"/>
      <c r="FU124" s="812"/>
      <c r="FV124" s="812"/>
      <c r="FW124" s="812"/>
      <c r="FX124" s="812"/>
      <c r="FY124" s="812"/>
      <c r="FZ124" s="812"/>
      <c r="GL124" s="386"/>
      <c r="GM124" s="386"/>
      <c r="GN124" s="386"/>
      <c r="GO124" s="386"/>
      <c r="GP124" s="386"/>
      <c r="GQ124" s="386"/>
      <c r="GR124" s="386"/>
      <c r="HB124" s="737"/>
      <c r="HC124" s="737"/>
      <c r="HD124" s="737"/>
      <c r="HE124" s="737"/>
      <c r="HF124" s="398"/>
      <c r="HG124" s="398"/>
    </row>
    <row r="125" spans="1:215" ht="14.1" customHeight="1">
      <c r="A125" s="398"/>
      <c r="B125" s="398"/>
      <c r="C125" s="398"/>
      <c r="D125" s="398"/>
      <c r="E125" s="398"/>
      <c r="F125" s="398"/>
      <c r="G125" s="398"/>
      <c r="J125" s="676"/>
      <c r="K125" s="676"/>
      <c r="L125" s="676"/>
      <c r="M125" s="676"/>
      <c r="N125" s="676"/>
      <c r="O125" s="676"/>
      <c r="P125" s="676"/>
      <c r="Q125" s="676"/>
      <c r="S125" s="386" t="s">
        <v>3576</v>
      </c>
      <c r="T125" s="386" t="s">
        <v>2177</v>
      </c>
      <c r="U125" s="738">
        <f t="shared" si="87"/>
        <v>433</v>
      </c>
      <c r="V125" s="737">
        <v>20</v>
      </c>
      <c r="W125" s="738">
        <v>0</v>
      </c>
      <c r="X125" s="738">
        <v>57</v>
      </c>
      <c r="Y125" s="738">
        <v>75</v>
      </c>
      <c r="Z125" s="738">
        <v>55</v>
      </c>
      <c r="AA125" s="738">
        <v>68</v>
      </c>
      <c r="AB125" s="738">
        <v>64</v>
      </c>
      <c r="AC125" s="738">
        <v>94</v>
      </c>
      <c r="AD125" s="757" t="s">
        <v>1627</v>
      </c>
      <c r="AE125" s="757" t="s">
        <v>1627</v>
      </c>
      <c r="AF125" s="757" t="s">
        <v>1627</v>
      </c>
      <c r="AG125" s="757" t="s">
        <v>1627</v>
      </c>
      <c r="AH125" s="757" t="s">
        <v>1627</v>
      </c>
      <c r="AI125" s="757" t="s">
        <v>1627</v>
      </c>
      <c r="AJ125" s="757" t="s">
        <v>1627</v>
      </c>
      <c r="CZ125" s="737"/>
      <c r="DA125" s="737"/>
      <c r="DB125" s="740"/>
      <c r="DC125" s="740"/>
      <c r="DD125" s="740"/>
      <c r="DE125" s="740"/>
      <c r="DF125" s="740"/>
      <c r="DG125" s="740"/>
      <c r="DH125" s="740"/>
      <c r="DI125" s="737"/>
      <c r="DJ125" s="737"/>
      <c r="DK125" s="737"/>
      <c r="DL125" s="737"/>
      <c r="DM125" s="737"/>
      <c r="DN125" s="737"/>
      <c r="EB125" s="737"/>
      <c r="EC125" s="737"/>
      <c r="ED125" s="737"/>
      <c r="EE125" s="737"/>
      <c r="EF125" s="737"/>
      <c r="EI125" s="705"/>
      <c r="EJ125" s="745"/>
      <c r="EK125" s="755"/>
      <c r="EL125" s="745"/>
      <c r="EM125" s="745"/>
      <c r="EN125" s="745"/>
      <c r="EO125" s="745"/>
      <c r="EP125" s="737"/>
      <c r="EQ125" s="737"/>
      <c r="FR125" s="812"/>
      <c r="FS125" s="812"/>
      <c r="FT125" s="812"/>
      <c r="FU125" s="812"/>
      <c r="FV125" s="812"/>
      <c r="FW125" s="812"/>
      <c r="FX125" s="812"/>
      <c r="FY125" s="812"/>
      <c r="FZ125" s="812"/>
      <c r="GL125" s="386"/>
      <c r="GM125" s="386"/>
      <c r="GN125" s="386"/>
      <c r="GO125" s="386"/>
      <c r="GP125" s="386"/>
      <c r="GQ125" s="386"/>
      <c r="GR125" s="386"/>
      <c r="GU125" s="515"/>
      <c r="GV125" s="515"/>
      <c r="GW125" s="515"/>
      <c r="GX125" s="515"/>
      <c r="GY125" s="515"/>
      <c r="GZ125" s="515"/>
      <c r="HA125" s="398"/>
      <c r="HB125" s="737"/>
      <c r="HC125" s="737"/>
      <c r="HD125" s="737"/>
      <c r="HE125" s="737"/>
      <c r="HF125" s="398"/>
      <c r="HG125" s="398"/>
    </row>
    <row r="126" spans="1:215" ht="14.1" customHeight="1">
      <c r="A126" s="398"/>
      <c r="B126" s="398"/>
      <c r="C126" s="398"/>
      <c r="D126" s="398"/>
      <c r="E126" s="398"/>
      <c r="F126" s="398"/>
      <c r="G126" s="398"/>
      <c r="J126" s="676"/>
      <c r="K126" s="676"/>
      <c r="L126" s="676"/>
      <c r="M126" s="676"/>
      <c r="N126" s="676"/>
      <c r="O126" s="676"/>
      <c r="P126" s="676"/>
      <c r="Q126" s="676"/>
      <c r="S126" s="386" t="s">
        <v>3589</v>
      </c>
      <c r="T126" s="386" t="s">
        <v>2177</v>
      </c>
      <c r="U126" s="738">
        <f t="shared" si="87"/>
        <v>370</v>
      </c>
      <c r="V126" s="776">
        <v>0</v>
      </c>
      <c r="W126" s="738">
        <v>0</v>
      </c>
      <c r="X126" s="738">
        <v>45</v>
      </c>
      <c r="Y126" s="738">
        <v>68</v>
      </c>
      <c r="Z126" s="738">
        <v>52</v>
      </c>
      <c r="AA126" s="738">
        <v>70</v>
      </c>
      <c r="AB126" s="738">
        <v>66</v>
      </c>
      <c r="AC126" s="738">
        <v>69</v>
      </c>
      <c r="AD126" s="757" t="s">
        <v>1627</v>
      </c>
      <c r="AE126" s="757" t="s">
        <v>1627</v>
      </c>
      <c r="AF126" s="757" t="s">
        <v>1627</v>
      </c>
      <c r="AG126" s="757" t="s">
        <v>1627</v>
      </c>
      <c r="AH126" s="757" t="s">
        <v>1627</v>
      </c>
      <c r="AI126" s="757" t="s">
        <v>1627</v>
      </c>
      <c r="AJ126" s="757" t="s">
        <v>1627</v>
      </c>
      <c r="CZ126" s="737"/>
      <c r="DA126" s="737"/>
      <c r="DB126" s="740"/>
      <c r="DC126" s="740"/>
      <c r="DD126" s="740"/>
      <c r="DE126" s="740"/>
      <c r="DF126" s="740"/>
      <c r="DG126" s="740"/>
      <c r="DH126" s="740"/>
      <c r="DI126" s="737"/>
      <c r="DJ126" s="737"/>
      <c r="DK126" s="737"/>
      <c r="DL126" s="737"/>
      <c r="DM126" s="737"/>
      <c r="DN126" s="737"/>
      <c r="EB126" s="737"/>
      <c r="EC126" s="737"/>
      <c r="ED126" s="737"/>
      <c r="EE126" s="737"/>
      <c r="EF126" s="737"/>
      <c r="EI126" s="705"/>
      <c r="EJ126" s="745"/>
      <c r="EK126" s="755"/>
      <c r="EL126" s="745"/>
      <c r="EM126" s="745"/>
      <c r="EN126" s="745"/>
      <c r="EO126" s="745"/>
      <c r="EP126" s="737"/>
      <c r="EQ126" s="737"/>
      <c r="FR126" s="838"/>
      <c r="FS126" s="812"/>
      <c r="FT126" s="812"/>
      <c r="FU126" s="812"/>
      <c r="FV126" s="812"/>
      <c r="FW126" s="812"/>
      <c r="FX126" s="812"/>
      <c r="FY126" s="812"/>
      <c r="FZ126" s="812"/>
      <c r="GL126" s="386"/>
      <c r="GM126" s="386"/>
      <c r="GN126" s="386"/>
      <c r="GO126" s="386"/>
      <c r="GP126" s="386"/>
      <c r="GQ126" s="386"/>
      <c r="GR126" s="386"/>
      <c r="GU126" s="737"/>
      <c r="GV126" s="737"/>
      <c r="GW126" s="737"/>
      <c r="GX126" s="737"/>
      <c r="GY126" s="737"/>
      <c r="GZ126" s="737"/>
      <c r="HA126" s="398"/>
      <c r="HB126" s="737"/>
      <c r="HC126" s="737"/>
      <c r="HD126" s="737"/>
      <c r="HE126" s="737"/>
      <c r="HF126" s="398"/>
      <c r="HG126" s="398"/>
    </row>
    <row r="127" spans="1:215" ht="14.1" customHeight="1">
      <c r="A127" s="398"/>
      <c r="B127" s="398"/>
      <c r="C127" s="398"/>
      <c r="D127" s="398"/>
      <c r="E127" s="398"/>
      <c r="F127" s="398"/>
      <c r="G127" s="398"/>
      <c r="I127" s="690"/>
      <c r="J127" s="676"/>
      <c r="K127" s="676"/>
      <c r="L127" s="676"/>
      <c r="M127" s="676"/>
      <c r="N127" s="676"/>
      <c r="O127" s="676"/>
      <c r="P127" s="676"/>
      <c r="Q127" s="676"/>
      <c r="S127" s="386" t="s">
        <v>3600</v>
      </c>
      <c r="T127" s="386" t="s">
        <v>2177</v>
      </c>
      <c r="U127" s="738">
        <f t="shared" si="87"/>
        <v>624</v>
      </c>
      <c r="V127" s="737">
        <v>58</v>
      </c>
      <c r="W127" s="738">
        <v>0</v>
      </c>
      <c r="X127" s="738">
        <v>83</v>
      </c>
      <c r="Y127" s="738">
        <v>108</v>
      </c>
      <c r="Z127" s="738">
        <v>79</v>
      </c>
      <c r="AA127" s="738">
        <v>118</v>
      </c>
      <c r="AB127" s="738">
        <v>85</v>
      </c>
      <c r="AC127" s="738">
        <v>93</v>
      </c>
      <c r="AD127" s="757" t="s">
        <v>1627</v>
      </c>
      <c r="AE127" s="757" t="s">
        <v>1627</v>
      </c>
      <c r="AF127" s="757" t="s">
        <v>1627</v>
      </c>
      <c r="AG127" s="757" t="s">
        <v>1627</v>
      </c>
      <c r="AH127" s="757" t="s">
        <v>1627</v>
      </c>
      <c r="AI127" s="757" t="s">
        <v>1627</v>
      </c>
      <c r="AJ127" s="757" t="s">
        <v>1627</v>
      </c>
      <c r="CZ127" s="737"/>
      <c r="DA127" s="737"/>
      <c r="DB127" s="740"/>
      <c r="DC127" s="740"/>
      <c r="DD127" s="740"/>
      <c r="DE127" s="740"/>
      <c r="DF127" s="740"/>
      <c r="DG127" s="740"/>
      <c r="DH127" s="740"/>
      <c r="DI127" s="737"/>
      <c r="DJ127" s="737"/>
      <c r="DK127" s="737"/>
      <c r="DL127" s="737"/>
      <c r="DM127" s="737"/>
      <c r="DN127" s="737"/>
      <c r="EB127" s="737"/>
      <c r="EC127" s="737"/>
      <c r="ED127" s="737"/>
      <c r="EE127" s="737"/>
      <c r="EF127" s="737"/>
      <c r="EI127" s="705"/>
      <c r="EJ127" s="745"/>
      <c r="EK127" s="755"/>
      <c r="EL127" s="745"/>
      <c r="EM127" s="745"/>
      <c r="EN127" s="745"/>
      <c r="EO127" s="745"/>
      <c r="EP127" s="737"/>
      <c r="EQ127" s="737"/>
      <c r="ER127" s="737"/>
      <c r="FR127" s="838"/>
      <c r="FS127" s="812"/>
      <c r="FT127" s="812"/>
      <c r="FU127" s="812"/>
      <c r="FV127" s="812"/>
      <c r="FW127" s="812"/>
      <c r="FX127" s="812"/>
      <c r="FY127" s="812"/>
      <c r="FZ127" s="812"/>
      <c r="GL127" s="386"/>
      <c r="GM127" s="386"/>
      <c r="GN127" s="386"/>
      <c r="GO127" s="386"/>
      <c r="GP127" s="386"/>
      <c r="GQ127" s="386"/>
      <c r="GR127" s="386"/>
      <c r="GU127" s="737"/>
      <c r="GV127" s="737"/>
      <c r="GW127" s="737"/>
      <c r="GX127" s="737"/>
      <c r="GY127" s="737"/>
      <c r="GZ127" s="737"/>
      <c r="HA127" s="398"/>
      <c r="HB127" s="737"/>
      <c r="HC127" s="737"/>
      <c r="HD127" s="737"/>
      <c r="HE127" s="737"/>
      <c r="HF127" s="398"/>
      <c r="HG127" s="398"/>
    </row>
    <row r="128" spans="1:215" ht="14.1" customHeight="1">
      <c r="I128" s="690"/>
      <c r="J128" s="676"/>
      <c r="K128" s="676"/>
      <c r="L128" s="676"/>
      <c r="M128" s="676"/>
      <c r="N128" s="676"/>
      <c r="O128" s="676"/>
      <c r="P128" s="676"/>
      <c r="Q128" s="676"/>
      <c r="S128" s="386" t="s">
        <v>3615</v>
      </c>
      <c r="T128" s="386" t="s">
        <v>2177</v>
      </c>
      <c r="U128" s="738">
        <f t="shared" si="87"/>
        <v>1516</v>
      </c>
      <c r="V128" s="757" t="s">
        <v>1627</v>
      </c>
      <c r="W128" s="757" t="s">
        <v>1627</v>
      </c>
      <c r="X128" s="757" t="s">
        <v>1627</v>
      </c>
      <c r="Y128" s="757" t="s">
        <v>1627</v>
      </c>
      <c r="Z128" s="757" t="s">
        <v>1627</v>
      </c>
      <c r="AA128" s="757" t="s">
        <v>1627</v>
      </c>
      <c r="AB128" s="757" t="s">
        <v>1627</v>
      </c>
      <c r="AC128" s="757" t="s">
        <v>1627</v>
      </c>
      <c r="AD128" s="757" t="s">
        <v>1627</v>
      </c>
      <c r="AE128" s="757" t="s">
        <v>1627</v>
      </c>
      <c r="AF128" s="757" t="s">
        <v>1627</v>
      </c>
      <c r="AG128" s="738">
        <v>388</v>
      </c>
      <c r="AH128" s="738">
        <v>457</v>
      </c>
      <c r="AI128" s="738">
        <v>361</v>
      </c>
      <c r="AJ128" s="738">
        <v>310</v>
      </c>
      <c r="CZ128" s="737"/>
      <c r="DA128" s="737"/>
      <c r="DB128" s="740"/>
      <c r="DC128" s="740"/>
      <c r="DD128" s="740"/>
      <c r="DE128" s="740"/>
      <c r="DF128" s="740"/>
      <c r="DG128" s="740"/>
      <c r="DH128" s="740"/>
      <c r="DI128" s="737"/>
      <c r="DJ128" s="737"/>
      <c r="DK128" s="737"/>
      <c r="DL128" s="737"/>
      <c r="DM128" s="737"/>
      <c r="DN128" s="737"/>
      <c r="EB128" s="737"/>
      <c r="EC128" s="737"/>
      <c r="ED128" s="737"/>
      <c r="EE128" s="737"/>
      <c r="EF128" s="737"/>
      <c r="EI128" s="705"/>
      <c r="EJ128" s="745"/>
      <c r="EK128" s="755"/>
      <c r="EL128" s="745"/>
      <c r="EM128" s="745"/>
      <c r="EN128" s="745"/>
      <c r="EO128" s="745"/>
      <c r="EP128" s="737"/>
      <c r="EQ128" s="737"/>
      <c r="FR128" s="812"/>
      <c r="FS128" s="812"/>
      <c r="FT128" s="812"/>
      <c r="FU128" s="812"/>
      <c r="FV128" s="812"/>
      <c r="FW128" s="812"/>
      <c r="FX128" s="812"/>
      <c r="FY128" s="812"/>
      <c r="FZ128" s="812"/>
      <c r="GL128" s="386"/>
      <c r="GM128" s="386"/>
      <c r="GN128" s="386"/>
      <c r="GO128" s="386"/>
      <c r="GP128" s="386"/>
      <c r="GQ128" s="386"/>
      <c r="GR128" s="386"/>
      <c r="GU128" s="737"/>
      <c r="GV128" s="737"/>
      <c r="GW128" s="737"/>
      <c r="GX128" s="737"/>
      <c r="GY128" s="737"/>
      <c r="GZ128" s="737"/>
      <c r="HA128" s="398"/>
      <c r="HB128" s="737"/>
      <c r="HC128" s="737"/>
      <c r="HD128" s="737"/>
      <c r="HE128" s="737"/>
      <c r="HF128" s="398"/>
      <c r="HG128" s="398"/>
    </row>
    <row r="129" spans="9:215" ht="14.1" customHeight="1">
      <c r="I129" s="737"/>
      <c r="J129" s="676"/>
      <c r="K129" s="676"/>
      <c r="L129" s="676"/>
      <c r="M129" s="676"/>
      <c r="N129" s="676"/>
      <c r="O129" s="676"/>
      <c r="P129" s="676"/>
      <c r="Q129" s="676"/>
      <c r="S129" s="386" t="s">
        <v>3624</v>
      </c>
      <c r="T129" s="386" t="s">
        <v>2177</v>
      </c>
      <c r="U129" s="738">
        <f t="shared" si="87"/>
        <v>560</v>
      </c>
      <c r="V129" s="737">
        <v>20</v>
      </c>
      <c r="W129" s="738">
        <v>0</v>
      </c>
      <c r="X129" s="738">
        <v>84</v>
      </c>
      <c r="Y129" s="738">
        <v>71</v>
      </c>
      <c r="Z129" s="738">
        <v>82</v>
      </c>
      <c r="AA129" s="738">
        <v>95</v>
      </c>
      <c r="AB129" s="738">
        <v>101</v>
      </c>
      <c r="AC129" s="738">
        <v>107</v>
      </c>
      <c r="AD129" s="757" t="s">
        <v>1627</v>
      </c>
      <c r="AE129" s="757" t="s">
        <v>1627</v>
      </c>
      <c r="AF129" s="757" t="s">
        <v>1627</v>
      </c>
      <c r="AG129" s="757" t="s">
        <v>1627</v>
      </c>
      <c r="AH129" s="757" t="s">
        <v>1627</v>
      </c>
      <c r="AI129" s="757" t="s">
        <v>1627</v>
      </c>
      <c r="AJ129" s="757" t="s">
        <v>1627</v>
      </c>
      <c r="CZ129" s="737"/>
      <c r="DA129" s="737"/>
      <c r="DB129" s="740"/>
      <c r="DC129" s="740"/>
      <c r="DD129" s="740"/>
      <c r="DE129" s="740"/>
      <c r="DF129" s="740"/>
      <c r="DG129" s="740"/>
      <c r="DH129" s="740"/>
      <c r="DI129" s="737"/>
      <c r="DJ129" s="737"/>
      <c r="DK129" s="737"/>
      <c r="DL129" s="737"/>
      <c r="DM129" s="737"/>
      <c r="DN129" s="737"/>
      <c r="EB129" s="737"/>
      <c r="EC129" s="737"/>
      <c r="ED129" s="737"/>
      <c r="EE129" s="737"/>
      <c r="EF129" s="737"/>
      <c r="EI129" s="705"/>
      <c r="EJ129" s="745"/>
      <c r="EK129" s="755"/>
      <c r="EL129" s="745"/>
      <c r="EM129" s="745"/>
      <c r="EN129" s="745"/>
      <c r="EO129" s="745"/>
      <c r="EP129" s="737"/>
      <c r="EQ129" s="737"/>
      <c r="FR129" s="812"/>
      <c r="FS129" s="812"/>
      <c r="FT129" s="812"/>
      <c r="FU129" s="812"/>
      <c r="FV129" s="812"/>
      <c r="FW129" s="812"/>
      <c r="FX129" s="812"/>
      <c r="FY129" s="812"/>
      <c r="FZ129" s="812"/>
      <c r="GL129" s="386"/>
      <c r="GM129" s="386"/>
      <c r="GN129" s="386"/>
      <c r="GO129" s="386"/>
      <c r="GP129" s="386"/>
      <c r="GQ129" s="386"/>
      <c r="GR129" s="386"/>
      <c r="GU129" s="737"/>
      <c r="GV129" s="737"/>
      <c r="GW129" s="737"/>
      <c r="GX129" s="737"/>
      <c r="GY129" s="737"/>
      <c r="GZ129" s="737"/>
      <c r="HA129" s="398"/>
      <c r="HB129" s="737"/>
      <c r="HC129" s="737"/>
      <c r="HD129" s="737"/>
      <c r="HE129" s="737"/>
      <c r="HF129" s="398"/>
      <c r="HG129" s="398"/>
    </row>
    <row r="130" spans="9:215" ht="14.1" customHeight="1">
      <c r="J130" s="676"/>
      <c r="K130" s="676"/>
      <c r="L130" s="676"/>
      <c r="M130" s="676"/>
      <c r="N130" s="676"/>
      <c r="O130" s="676"/>
      <c r="P130" s="676"/>
      <c r="Q130" s="676"/>
      <c r="S130" s="386" t="s">
        <v>3636</v>
      </c>
      <c r="T130" s="386" t="s">
        <v>2177</v>
      </c>
      <c r="U130" s="738">
        <f t="shared" si="87"/>
        <v>916</v>
      </c>
      <c r="V130" s="757" t="s">
        <v>1627</v>
      </c>
      <c r="W130" s="757" t="s">
        <v>1627</v>
      </c>
      <c r="X130" s="757" t="s">
        <v>1627</v>
      </c>
      <c r="Y130" s="757" t="s">
        <v>1627</v>
      </c>
      <c r="Z130" s="757" t="s">
        <v>1627</v>
      </c>
      <c r="AA130" s="757" t="s">
        <v>1627</v>
      </c>
      <c r="AB130" s="757" t="s">
        <v>1627</v>
      </c>
      <c r="AC130" s="757" t="s">
        <v>1627</v>
      </c>
      <c r="AD130" s="754">
        <v>304</v>
      </c>
      <c r="AE130" s="754">
        <v>302</v>
      </c>
      <c r="AF130" s="754">
        <v>310</v>
      </c>
      <c r="AG130" s="757" t="s">
        <v>1627</v>
      </c>
      <c r="AH130" s="757" t="s">
        <v>1627</v>
      </c>
      <c r="AI130" s="757" t="s">
        <v>1627</v>
      </c>
      <c r="AJ130" s="757" t="s">
        <v>1627</v>
      </c>
      <c r="CZ130" s="737"/>
      <c r="DA130" s="737"/>
      <c r="DB130" s="740"/>
      <c r="DC130" s="740"/>
      <c r="DD130" s="740"/>
      <c r="DE130" s="740"/>
      <c r="DF130" s="740"/>
      <c r="DG130" s="740"/>
      <c r="DH130" s="740"/>
      <c r="DI130" s="737"/>
      <c r="DJ130" s="737"/>
      <c r="DK130" s="737"/>
      <c r="DL130" s="737"/>
      <c r="DM130" s="737"/>
      <c r="DN130" s="737"/>
      <c r="EB130" s="737"/>
      <c r="EC130" s="737"/>
      <c r="ED130" s="737"/>
      <c r="EE130" s="737"/>
      <c r="EF130" s="737"/>
      <c r="EI130" s="705"/>
      <c r="EJ130" s="745"/>
      <c r="EK130" s="755"/>
      <c r="EL130" s="745"/>
      <c r="EM130" s="745"/>
      <c r="EN130" s="745"/>
      <c r="EO130" s="745"/>
      <c r="EP130" s="737"/>
      <c r="EQ130" s="737"/>
      <c r="FR130" s="812"/>
      <c r="FS130" s="812"/>
      <c r="FT130" s="812"/>
      <c r="FU130" s="812"/>
      <c r="FV130" s="812"/>
      <c r="FW130" s="812"/>
      <c r="FX130" s="812"/>
      <c r="FY130" s="812"/>
      <c r="FZ130" s="812"/>
      <c r="GL130" s="386"/>
      <c r="GM130" s="386"/>
      <c r="GN130" s="386"/>
      <c r="GO130" s="386"/>
      <c r="GP130" s="386"/>
      <c r="GQ130" s="386"/>
      <c r="GR130" s="386"/>
      <c r="GU130" s="737"/>
      <c r="GV130" s="737"/>
      <c r="GW130" s="737"/>
      <c r="GX130" s="737"/>
      <c r="GY130" s="737"/>
      <c r="GZ130" s="737"/>
      <c r="HB130" s="737"/>
      <c r="HC130" s="737"/>
      <c r="HD130" s="737"/>
      <c r="HE130" s="737"/>
      <c r="HF130" s="398"/>
      <c r="HG130" s="398"/>
    </row>
    <row r="131" spans="9:215" ht="14.1" customHeight="1">
      <c r="I131" s="737"/>
      <c r="J131" s="676"/>
      <c r="K131" s="676"/>
      <c r="L131" s="676"/>
      <c r="M131" s="676"/>
      <c r="N131" s="676"/>
      <c r="O131" s="676"/>
      <c r="P131" s="676"/>
      <c r="Q131" s="676"/>
      <c r="S131" s="386" t="s">
        <v>3614</v>
      </c>
      <c r="T131" s="386" t="s">
        <v>2208</v>
      </c>
      <c r="U131" s="738">
        <f t="shared" si="87"/>
        <v>678</v>
      </c>
      <c r="V131" s="737">
        <v>35</v>
      </c>
      <c r="W131" s="738">
        <v>0</v>
      </c>
      <c r="X131" s="738">
        <v>85</v>
      </c>
      <c r="Y131" s="738">
        <v>114</v>
      </c>
      <c r="Z131" s="738">
        <v>111</v>
      </c>
      <c r="AA131" s="738">
        <v>107</v>
      </c>
      <c r="AB131" s="738">
        <v>109</v>
      </c>
      <c r="AC131" s="738">
        <v>117</v>
      </c>
      <c r="AD131" s="757" t="s">
        <v>1627</v>
      </c>
      <c r="AE131" s="757" t="s">
        <v>1627</v>
      </c>
      <c r="AF131" s="757" t="s">
        <v>1627</v>
      </c>
      <c r="AG131" s="757" t="s">
        <v>1627</v>
      </c>
      <c r="AH131" s="757" t="s">
        <v>1627</v>
      </c>
      <c r="AI131" s="757" t="s">
        <v>1627</v>
      </c>
      <c r="AJ131" s="757" t="s">
        <v>1627</v>
      </c>
      <c r="CZ131" s="737"/>
      <c r="DA131" s="737"/>
      <c r="DB131" s="740"/>
      <c r="DC131" s="740"/>
      <c r="DD131" s="740"/>
      <c r="DE131" s="740"/>
      <c r="DF131" s="740"/>
      <c r="DG131" s="740"/>
      <c r="DH131" s="740"/>
      <c r="DI131" s="737"/>
      <c r="DJ131" s="737"/>
      <c r="DK131" s="737"/>
      <c r="DL131" s="737"/>
      <c r="DM131" s="737"/>
      <c r="DN131" s="737"/>
      <c r="EB131" s="737"/>
      <c r="EC131" s="737"/>
      <c r="ED131" s="737"/>
      <c r="EE131" s="737"/>
      <c r="EF131" s="737"/>
      <c r="EI131" s="705"/>
      <c r="EJ131" s="745"/>
      <c r="EK131" s="755"/>
      <c r="EL131" s="745"/>
      <c r="EM131" s="745"/>
      <c r="EN131" s="745"/>
      <c r="EO131" s="745"/>
      <c r="EP131" s="737"/>
      <c r="EQ131" s="737"/>
      <c r="FR131" s="812"/>
      <c r="FS131" s="812"/>
      <c r="FT131" s="812"/>
      <c r="FU131" s="812"/>
      <c r="FV131" s="812"/>
      <c r="FW131" s="812"/>
      <c r="FX131" s="812"/>
      <c r="FY131" s="812"/>
      <c r="FZ131" s="812"/>
      <c r="GL131" s="398"/>
      <c r="GM131" s="398"/>
      <c r="GN131" s="398"/>
      <c r="GO131" s="398"/>
      <c r="GP131" s="398"/>
      <c r="GQ131" s="398"/>
      <c r="GR131" s="386"/>
      <c r="GU131" s="737"/>
      <c r="GV131" s="737"/>
      <c r="GW131" s="737"/>
      <c r="GX131" s="737"/>
      <c r="GY131" s="737"/>
      <c r="GZ131" s="737"/>
      <c r="HB131" s="737"/>
      <c r="HC131" s="737"/>
      <c r="HD131" s="737"/>
      <c r="HE131" s="737"/>
      <c r="HF131" s="398"/>
      <c r="HG131" s="398"/>
    </row>
    <row r="132" spans="9:215" ht="14.1" customHeight="1">
      <c r="I132" s="737"/>
      <c r="J132" s="676"/>
      <c r="K132" s="676"/>
      <c r="L132" s="676"/>
      <c r="M132" s="676"/>
      <c r="N132" s="676"/>
      <c r="O132" s="676"/>
      <c r="P132" s="676"/>
      <c r="Q132" s="676"/>
      <c r="S132" s="386" t="s">
        <v>3655</v>
      </c>
      <c r="T132" s="386" t="s">
        <v>2208</v>
      </c>
      <c r="U132" s="738">
        <f t="shared" si="87"/>
        <v>958</v>
      </c>
      <c r="V132" s="757" t="s">
        <v>1627</v>
      </c>
      <c r="W132" s="757" t="s">
        <v>1627</v>
      </c>
      <c r="X132" s="757" t="s">
        <v>1627</v>
      </c>
      <c r="Y132" s="757" t="s">
        <v>1627</v>
      </c>
      <c r="Z132" s="757" t="s">
        <v>1627</v>
      </c>
      <c r="AA132" s="757" t="s">
        <v>1627</v>
      </c>
      <c r="AB132" s="757" t="s">
        <v>1627</v>
      </c>
      <c r="AC132" s="757" t="s">
        <v>1627</v>
      </c>
      <c r="AD132" s="754">
        <v>292</v>
      </c>
      <c r="AE132" s="754">
        <v>325</v>
      </c>
      <c r="AF132" s="754">
        <v>341</v>
      </c>
      <c r="AG132" s="757" t="s">
        <v>1627</v>
      </c>
      <c r="AH132" s="757" t="s">
        <v>1627</v>
      </c>
      <c r="AI132" s="757" t="s">
        <v>1627</v>
      </c>
      <c r="AJ132" s="757" t="s">
        <v>1627</v>
      </c>
      <c r="CZ132" s="737"/>
      <c r="DA132" s="737"/>
      <c r="DM132" s="737"/>
      <c r="DN132" s="737"/>
      <c r="EB132" s="737"/>
      <c r="EC132" s="737"/>
      <c r="ED132" s="737"/>
      <c r="EE132" s="737"/>
      <c r="EF132" s="737"/>
      <c r="EI132" s="705"/>
      <c r="EJ132" s="745"/>
      <c r="EK132" s="755"/>
      <c r="EL132" s="745"/>
      <c r="EM132" s="745"/>
      <c r="EN132" s="745"/>
      <c r="EO132" s="745"/>
      <c r="EP132" s="737"/>
      <c r="EQ132" s="737"/>
      <c r="FR132" s="812"/>
      <c r="FS132" s="812"/>
      <c r="FT132" s="812"/>
      <c r="FU132" s="812"/>
      <c r="FV132" s="812"/>
      <c r="FW132" s="812"/>
      <c r="FX132" s="812"/>
      <c r="FY132" s="812"/>
      <c r="FZ132" s="812"/>
      <c r="GL132" s="398"/>
      <c r="GM132" s="398"/>
      <c r="GN132" s="398"/>
      <c r="GO132" s="398"/>
      <c r="GP132" s="398"/>
      <c r="GQ132" s="398"/>
      <c r="GR132" s="386"/>
      <c r="GU132" s="737"/>
      <c r="GV132" s="737"/>
      <c r="GW132" s="737"/>
      <c r="GX132" s="737"/>
      <c r="GY132" s="737"/>
      <c r="GZ132" s="737"/>
      <c r="HB132" s="737"/>
      <c r="HC132" s="737"/>
      <c r="HD132" s="737"/>
      <c r="HE132" s="737"/>
      <c r="HF132" s="398"/>
      <c r="HG132" s="398"/>
    </row>
    <row r="133" spans="9:215" ht="14.1" customHeight="1">
      <c r="I133" s="737"/>
      <c r="J133" s="676"/>
      <c r="K133" s="676"/>
      <c r="L133" s="676"/>
      <c r="M133" s="676"/>
      <c r="N133" s="676"/>
      <c r="O133" s="676"/>
      <c r="P133" s="676"/>
      <c r="Q133" s="676"/>
      <c r="S133" s="386" t="s">
        <v>3666</v>
      </c>
      <c r="T133" s="386" t="s">
        <v>2208</v>
      </c>
      <c r="U133" s="738">
        <f t="shared" si="87"/>
        <v>427</v>
      </c>
      <c r="V133" s="737">
        <v>20</v>
      </c>
      <c r="W133" s="738">
        <v>12</v>
      </c>
      <c r="X133" s="738">
        <v>44</v>
      </c>
      <c r="Y133" s="738">
        <v>73</v>
      </c>
      <c r="Z133" s="738">
        <v>71</v>
      </c>
      <c r="AA133" s="738">
        <v>71</v>
      </c>
      <c r="AB133" s="738">
        <v>63</v>
      </c>
      <c r="AC133" s="738">
        <v>73</v>
      </c>
      <c r="AD133" s="757" t="s">
        <v>1627</v>
      </c>
      <c r="AE133" s="757" t="s">
        <v>1627</v>
      </c>
      <c r="AF133" s="757" t="s">
        <v>1627</v>
      </c>
      <c r="AG133" s="757" t="s">
        <v>1627</v>
      </c>
      <c r="AH133" s="757" t="s">
        <v>1627</v>
      </c>
      <c r="AI133" s="757" t="s">
        <v>1627</v>
      </c>
      <c r="AJ133" s="757" t="s">
        <v>1627</v>
      </c>
      <c r="CZ133" s="737"/>
      <c r="DA133" s="737"/>
      <c r="DB133" s="740"/>
      <c r="DC133" s="740"/>
      <c r="DD133" s="740"/>
      <c r="DE133" s="740"/>
      <c r="DF133" s="740"/>
      <c r="DG133" s="740"/>
      <c r="DH133" s="740"/>
      <c r="DI133" s="737"/>
      <c r="DJ133" s="737"/>
      <c r="DK133" s="737"/>
      <c r="DL133" s="737"/>
      <c r="DM133" s="737"/>
      <c r="DN133" s="737"/>
      <c r="EB133" s="737"/>
      <c r="EC133" s="737"/>
      <c r="ED133" s="737"/>
      <c r="EE133" s="737"/>
      <c r="EF133" s="737"/>
      <c r="EI133" s="705"/>
      <c r="EJ133" s="745"/>
      <c r="EK133" s="755"/>
      <c r="EL133" s="745"/>
      <c r="EM133" s="745"/>
      <c r="EN133" s="745"/>
      <c r="EO133" s="745"/>
      <c r="EP133" s="737"/>
      <c r="EQ133" s="737"/>
      <c r="FR133" s="812"/>
      <c r="FS133" s="812"/>
      <c r="FT133" s="812"/>
      <c r="FU133" s="812"/>
      <c r="FV133" s="812"/>
      <c r="FW133" s="812"/>
      <c r="FX133" s="812"/>
      <c r="FY133" s="812"/>
      <c r="FZ133" s="812"/>
      <c r="GL133" s="756"/>
      <c r="GM133" s="756"/>
      <c r="GN133" s="756"/>
      <c r="GO133" s="756"/>
      <c r="GP133" s="756"/>
      <c r="GQ133" s="756"/>
      <c r="GR133" s="386"/>
      <c r="GU133" s="737"/>
      <c r="GV133" s="737"/>
      <c r="GW133" s="737"/>
      <c r="GX133" s="737"/>
      <c r="GY133" s="737"/>
      <c r="GZ133" s="737"/>
      <c r="HB133" s="737"/>
      <c r="HC133" s="737"/>
      <c r="HD133" s="737"/>
      <c r="HE133" s="737"/>
      <c r="HF133" s="398"/>
      <c r="HG133" s="398"/>
    </row>
    <row r="134" spans="9:215" ht="14.1" customHeight="1">
      <c r="I134" s="737"/>
      <c r="J134" s="676"/>
      <c r="K134" s="676"/>
      <c r="L134" s="676"/>
      <c r="M134" s="676"/>
      <c r="N134" s="676"/>
      <c r="O134" s="676"/>
      <c r="P134" s="676"/>
      <c r="Q134" s="676"/>
      <c r="S134" s="386" t="s">
        <v>3680</v>
      </c>
      <c r="T134" s="386" t="s">
        <v>2208</v>
      </c>
      <c r="U134" s="738">
        <f t="shared" si="87"/>
        <v>1617</v>
      </c>
      <c r="V134" s="757" t="s">
        <v>1627</v>
      </c>
      <c r="W134" s="757" t="s">
        <v>1627</v>
      </c>
      <c r="X134" s="757" t="s">
        <v>1627</v>
      </c>
      <c r="Y134" s="757" t="s">
        <v>1627</v>
      </c>
      <c r="Z134" s="757" t="s">
        <v>1627</v>
      </c>
      <c r="AA134" s="757" t="s">
        <v>1627</v>
      </c>
      <c r="AB134" s="757" t="s">
        <v>1627</v>
      </c>
      <c r="AC134" s="757" t="s">
        <v>1627</v>
      </c>
      <c r="AD134" s="757" t="s">
        <v>1627</v>
      </c>
      <c r="AE134" s="757" t="s">
        <v>1627</v>
      </c>
      <c r="AF134" s="757" t="s">
        <v>1627</v>
      </c>
      <c r="AG134" s="738">
        <v>654</v>
      </c>
      <c r="AH134" s="738">
        <v>415</v>
      </c>
      <c r="AI134" s="738">
        <v>318</v>
      </c>
      <c r="AJ134" s="738">
        <v>230</v>
      </c>
      <c r="DB134" s="740"/>
      <c r="DC134" s="740"/>
      <c r="DD134" s="740"/>
      <c r="DE134" s="740"/>
      <c r="DF134" s="740"/>
      <c r="DG134" s="740"/>
      <c r="DH134" s="740"/>
      <c r="DI134" s="737"/>
      <c r="DJ134" s="737"/>
      <c r="DK134" s="737"/>
      <c r="DL134" s="737"/>
      <c r="DM134" s="737"/>
      <c r="DN134" s="737"/>
      <c r="EI134" s="705"/>
      <c r="EJ134" s="745"/>
      <c r="EK134" s="755"/>
      <c r="EL134" s="745"/>
      <c r="EM134" s="745"/>
      <c r="EN134" s="745"/>
      <c r="EO134" s="745"/>
      <c r="EP134" s="737"/>
      <c r="EQ134" s="737"/>
      <c r="FR134" s="812"/>
      <c r="FS134" s="812"/>
      <c r="FT134" s="812"/>
      <c r="FU134" s="812"/>
      <c r="FV134" s="812"/>
      <c r="FW134" s="812"/>
      <c r="FX134" s="812"/>
      <c r="FY134" s="812"/>
      <c r="FZ134" s="812"/>
      <c r="GL134" s="386"/>
      <c r="GM134" s="386"/>
      <c r="GN134" s="386"/>
      <c r="GO134" s="386"/>
      <c r="GP134" s="386"/>
      <c r="GQ134" s="386"/>
      <c r="GR134" s="386"/>
      <c r="GU134" s="737"/>
      <c r="GV134" s="737"/>
      <c r="GW134" s="737"/>
      <c r="GX134" s="737"/>
      <c r="GY134" s="737"/>
      <c r="GZ134" s="737"/>
      <c r="HB134" s="737"/>
      <c r="HC134" s="737"/>
      <c r="HD134" s="737"/>
      <c r="HE134" s="737"/>
      <c r="HF134" s="398"/>
      <c r="HG134" s="398"/>
    </row>
    <row r="135" spans="9:215" ht="14.1" customHeight="1">
      <c r="I135" s="737"/>
      <c r="J135" s="676"/>
      <c r="K135" s="676"/>
      <c r="L135" s="676"/>
      <c r="M135" s="676"/>
      <c r="N135" s="676"/>
      <c r="O135" s="676"/>
      <c r="P135" s="676"/>
      <c r="Q135" s="676"/>
      <c r="S135" s="386" t="s">
        <v>3687</v>
      </c>
      <c r="T135" s="386" t="s">
        <v>2208</v>
      </c>
      <c r="U135" s="738">
        <f t="shared" si="87"/>
        <v>567</v>
      </c>
      <c r="V135" s="737">
        <v>18</v>
      </c>
      <c r="W135" s="776">
        <v>0</v>
      </c>
      <c r="X135" s="776">
        <v>73</v>
      </c>
      <c r="Y135" s="738">
        <v>92</v>
      </c>
      <c r="Z135" s="738">
        <v>82</v>
      </c>
      <c r="AA135" s="738">
        <v>84</v>
      </c>
      <c r="AB135" s="738">
        <v>108</v>
      </c>
      <c r="AC135" s="738">
        <v>110</v>
      </c>
      <c r="AD135" s="757" t="s">
        <v>1627</v>
      </c>
      <c r="AE135" s="757" t="s">
        <v>1627</v>
      </c>
      <c r="AF135" s="757" t="s">
        <v>1627</v>
      </c>
      <c r="AG135" s="757" t="s">
        <v>1627</v>
      </c>
      <c r="AH135" s="757" t="s">
        <v>1627</v>
      </c>
      <c r="AI135" s="757" t="s">
        <v>1627</v>
      </c>
      <c r="AJ135" s="757" t="s">
        <v>1627</v>
      </c>
      <c r="DB135" s="740"/>
      <c r="DC135" s="740"/>
      <c r="DD135" s="740"/>
      <c r="DE135" s="740"/>
      <c r="DF135" s="740"/>
      <c r="DG135" s="740"/>
      <c r="DH135" s="740"/>
      <c r="DI135" s="737"/>
      <c r="DJ135" s="737"/>
      <c r="DK135" s="737"/>
      <c r="DL135" s="737"/>
      <c r="DM135" s="737"/>
      <c r="DN135" s="737"/>
      <c r="EI135" s="705"/>
      <c r="EJ135" s="745"/>
      <c r="EK135" s="755"/>
      <c r="EL135" s="745"/>
      <c r="EM135" s="745"/>
      <c r="EN135" s="745"/>
      <c r="EO135" s="745"/>
      <c r="EP135" s="737"/>
      <c r="EQ135" s="737"/>
      <c r="FR135" s="812"/>
      <c r="FS135" s="812"/>
      <c r="FT135" s="812"/>
      <c r="FU135" s="812"/>
      <c r="FV135" s="812"/>
      <c r="FW135" s="812"/>
      <c r="FX135" s="812"/>
      <c r="FY135" s="812"/>
      <c r="FZ135" s="812"/>
      <c r="GL135" s="386"/>
      <c r="GM135" s="386"/>
      <c r="GN135" s="386"/>
      <c r="GO135" s="386"/>
      <c r="GP135" s="386"/>
      <c r="GQ135" s="386"/>
      <c r="GR135" s="398"/>
      <c r="GU135" s="737"/>
      <c r="GV135" s="737"/>
      <c r="GW135" s="737"/>
      <c r="GX135" s="737"/>
      <c r="GY135" s="737"/>
      <c r="GZ135" s="737"/>
      <c r="HB135" s="737"/>
      <c r="HC135" s="737"/>
      <c r="HD135" s="737"/>
      <c r="HE135" s="737"/>
      <c r="HF135" s="398"/>
      <c r="HG135" s="398"/>
    </row>
    <row r="136" spans="9:215" ht="14.1" customHeight="1">
      <c r="J136" s="676"/>
      <c r="K136" s="676"/>
      <c r="L136" s="676"/>
      <c r="M136" s="676"/>
      <c r="N136" s="676"/>
      <c r="O136" s="676"/>
      <c r="P136" s="676"/>
      <c r="Q136" s="676"/>
      <c r="S136" s="398"/>
      <c r="T136" s="740"/>
      <c r="U136" s="738"/>
      <c r="V136" s="737"/>
      <c r="W136" s="738"/>
      <c r="X136" s="738"/>
      <c r="Y136" s="738"/>
      <c r="Z136" s="738"/>
      <c r="AA136" s="738"/>
      <c r="AB136" s="738"/>
      <c r="AC136" s="738"/>
      <c r="AD136" s="754"/>
      <c r="AE136" s="738"/>
      <c r="AF136" s="738"/>
      <c r="AG136" s="738"/>
      <c r="AH136" s="738"/>
      <c r="AI136" s="738"/>
      <c r="AJ136" s="738"/>
      <c r="CZ136" s="737"/>
      <c r="DA136" s="737"/>
      <c r="DB136" s="740"/>
      <c r="DC136" s="740"/>
      <c r="DD136" s="740"/>
      <c r="DE136" s="740"/>
      <c r="DF136" s="740"/>
      <c r="DG136" s="740"/>
      <c r="DH136" s="740"/>
      <c r="DI136" s="737"/>
      <c r="DJ136" s="737"/>
      <c r="DK136" s="737"/>
      <c r="DL136" s="737"/>
      <c r="DM136" s="737"/>
      <c r="DN136" s="737"/>
      <c r="EB136" s="737"/>
      <c r="EC136" s="737"/>
      <c r="ED136" s="737"/>
      <c r="EE136" s="737"/>
      <c r="EF136" s="737"/>
      <c r="EI136" s="705"/>
      <c r="EJ136" s="745"/>
      <c r="EK136" s="755"/>
      <c r="EL136" s="745"/>
      <c r="EM136" s="745"/>
      <c r="EN136" s="745"/>
      <c r="EO136" s="745"/>
      <c r="EP136" s="737"/>
      <c r="EQ136" s="737"/>
      <c r="FR136" s="812"/>
      <c r="FS136" s="812"/>
      <c r="FT136" s="812"/>
      <c r="FU136" s="812"/>
      <c r="FV136" s="812"/>
      <c r="FW136" s="812"/>
      <c r="FX136" s="812"/>
      <c r="FY136" s="812"/>
      <c r="FZ136" s="812"/>
      <c r="GL136" s="386"/>
      <c r="GM136" s="386"/>
      <c r="GN136" s="386"/>
      <c r="GO136" s="386"/>
      <c r="GP136" s="386"/>
      <c r="GQ136" s="386"/>
      <c r="GR136" s="398"/>
      <c r="GU136" s="737"/>
      <c r="GV136" s="737"/>
      <c r="GW136" s="737"/>
      <c r="GX136" s="737"/>
      <c r="GY136" s="737"/>
      <c r="GZ136" s="737"/>
      <c r="HB136" s="737"/>
      <c r="HC136" s="737"/>
      <c r="HD136" s="737"/>
      <c r="HE136" s="737"/>
      <c r="HF136" s="398"/>
      <c r="HG136" s="398"/>
    </row>
    <row r="137" spans="9:215" ht="14.1" customHeight="1">
      <c r="I137" s="737"/>
      <c r="J137" s="676"/>
      <c r="K137" s="676"/>
      <c r="L137" s="676"/>
      <c r="M137" s="676"/>
      <c r="N137" s="676"/>
      <c r="O137" s="676"/>
      <c r="P137" s="676"/>
      <c r="Q137" s="676"/>
      <c r="S137" s="398" t="s">
        <v>3699</v>
      </c>
      <c r="T137" s="740"/>
      <c r="U137" s="738">
        <f>SUM(U138:U144)</f>
        <v>4250</v>
      </c>
      <c r="V137" s="738">
        <f>SUM(V138:V144)</f>
        <v>74</v>
      </c>
      <c r="W137" s="738">
        <f t="shared" ref="W137:AJ137" si="88">SUM(W138:W144)</f>
        <v>38</v>
      </c>
      <c r="X137" s="738">
        <f t="shared" si="88"/>
        <v>213</v>
      </c>
      <c r="Y137" s="738">
        <f t="shared" si="88"/>
        <v>313</v>
      </c>
      <c r="Z137" s="738">
        <f t="shared" si="88"/>
        <v>267</v>
      </c>
      <c r="AA137" s="738">
        <f t="shared" si="88"/>
        <v>319</v>
      </c>
      <c r="AB137" s="738">
        <f t="shared" si="88"/>
        <v>299</v>
      </c>
      <c r="AC137" s="738">
        <f t="shared" si="88"/>
        <v>296</v>
      </c>
      <c r="AD137" s="738">
        <f t="shared" si="88"/>
        <v>221</v>
      </c>
      <c r="AE137" s="738">
        <f t="shared" si="88"/>
        <v>240</v>
      </c>
      <c r="AF137" s="738">
        <f t="shared" si="88"/>
        <v>228</v>
      </c>
      <c r="AG137" s="738">
        <f t="shared" si="88"/>
        <v>631</v>
      </c>
      <c r="AH137" s="738">
        <f t="shared" si="88"/>
        <v>469</v>
      </c>
      <c r="AI137" s="738">
        <f t="shared" si="88"/>
        <v>349</v>
      </c>
      <c r="AJ137" s="738">
        <f t="shared" si="88"/>
        <v>293</v>
      </c>
      <c r="CZ137" s="737"/>
      <c r="DA137" s="737"/>
      <c r="DB137" s="740"/>
      <c r="DC137" s="740"/>
      <c r="DD137" s="740"/>
      <c r="DE137" s="740"/>
      <c r="DF137" s="740"/>
      <c r="DG137" s="740"/>
      <c r="DH137" s="740"/>
      <c r="DI137" s="737"/>
      <c r="DJ137" s="737"/>
      <c r="DK137" s="737"/>
      <c r="DL137" s="737"/>
      <c r="DM137" s="737"/>
      <c r="DN137" s="737"/>
      <c r="EB137" s="737"/>
      <c r="EC137" s="737"/>
      <c r="ED137" s="737"/>
      <c r="EE137" s="737"/>
      <c r="EF137" s="737"/>
      <c r="EI137" s="705"/>
      <c r="EJ137" s="745"/>
      <c r="EK137" s="755"/>
      <c r="EL137" s="745"/>
      <c r="EM137" s="745"/>
      <c r="EN137" s="745"/>
      <c r="EO137" s="745"/>
      <c r="EP137" s="737"/>
      <c r="EQ137" s="737"/>
      <c r="FR137" s="812"/>
      <c r="FS137" s="812"/>
      <c r="FT137" s="812"/>
      <c r="FU137" s="812"/>
      <c r="FV137" s="812"/>
      <c r="FW137" s="812"/>
      <c r="FX137" s="812"/>
      <c r="FY137" s="812"/>
      <c r="FZ137" s="812"/>
      <c r="GL137" s="386"/>
      <c r="GM137" s="386"/>
      <c r="GN137" s="386"/>
      <c r="GO137" s="386"/>
      <c r="GP137" s="386"/>
      <c r="GQ137" s="386"/>
      <c r="GR137" s="756"/>
      <c r="GU137" s="737"/>
      <c r="GV137" s="737"/>
      <c r="GW137" s="737"/>
      <c r="GX137" s="737"/>
      <c r="GY137" s="737"/>
      <c r="GZ137" s="737"/>
      <c r="HB137" s="737"/>
      <c r="HC137" s="737"/>
      <c r="HD137" s="737"/>
      <c r="HE137" s="737"/>
      <c r="HF137" s="398"/>
      <c r="HG137" s="398"/>
    </row>
    <row r="138" spans="9:215" ht="14.1" customHeight="1">
      <c r="I138" s="737"/>
      <c r="J138" s="676"/>
      <c r="K138" s="676"/>
      <c r="L138" s="676"/>
      <c r="M138" s="676"/>
      <c r="N138" s="676"/>
      <c r="O138" s="676"/>
      <c r="P138" s="676"/>
      <c r="Q138" s="676"/>
      <c r="S138" s="386" t="s">
        <v>3707</v>
      </c>
      <c r="T138" s="386" t="s">
        <v>3708</v>
      </c>
      <c r="U138" s="738">
        <f>SUM(V138:AJ138)</f>
        <v>319</v>
      </c>
      <c r="V138" s="776">
        <v>0</v>
      </c>
      <c r="W138" s="738">
        <v>0</v>
      </c>
      <c r="X138" s="738">
        <v>36</v>
      </c>
      <c r="Y138" s="738">
        <v>54</v>
      </c>
      <c r="Z138" s="738">
        <v>48</v>
      </c>
      <c r="AA138" s="738">
        <v>68</v>
      </c>
      <c r="AB138" s="738">
        <v>58</v>
      </c>
      <c r="AC138" s="738">
        <v>55</v>
      </c>
      <c r="AD138" s="757" t="s">
        <v>1627</v>
      </c>
      <c r="AE138" s="757" t="s">
        <v>1627</v>
      </c>
      <c r="AF138" s="757" t="s">
        <v>1627</v>
      </c>
      <c r="AG138" s="757" t="s">
        <v>1627</v>
      </c>
      <c r="AH138" s="757" t="s">
        <v>1627</v>
      </c>
      <c r="AI138" s="757" t="s">
        <v>1627</v>
      </c>
      <c r="AJ138" s="757" t="s">
        <v>1627</v>
      </c>
      <c r="CZ138" s="737"/>
      <c r="DA138" s="737"/>
      <c r="DB138" s="740"/>
      <c r="DC138" s="740"/>
      <c r="DD138" s="740"/>
      <c r="DE138" s="740"/>
      <c r="DF138" s="740"/>
      <c r="DG138" s="740"/>
      <c r="DH138" s="740"/>
      <c r="DI138" s="737"/>
      <c r="DJ138" s="737"/>
      <c r="DK138" s="737"/>
      <c r="DL138" s="737"/>
      <c r="EB138" s="737"/>
      <c r="EC138" s="737"/>
      <c r="ED138" s="737"/>
      <c r="EE138" s="737"/>
      <c r="EF138" s="737"/>
      <c r="EI138" s="705"/>
      <c r="EJ138" s="745"/>
      <c r="EK138" s="755"/>
      <c r="EL138" s="745"/>
      <c r="EM138" s="745"/>
      <c r="EN138" s="745"/>
      <c r="EO138" s="745"/>
      <c r="EP138" s="737"/>
      <c r="EQ138" s="737"/>
      <c r="FR138" s="812"/>
      <c r="FS138" s="812"/>
      <c r="FT138" s="812"/>
      <c r="FU138" s="812"/>
      <c r="FV138" s="812"/>
      <c r="FW138" s="812"/>
      <c r="FX138" s="812"/>
      <c r="FY138" s="812"/>
      <c r="FZ138" s="812"/>
      <c r="GL138" s="386"/>
      <c r="GM138" s="386"/>
      <c r="GN138" s="386"/>
      <c r="GO138" s="386"/>
      <c r="GP138" s="386"/>
      <c r="GQ138" s="386"/>
      <c r="GR138" s="386"/>
      <c r="GU138" s="737"/>
      <c r="GV138" s="737"/>
      <c r="GW138" s="737"/>
      <c r="GX138" s="737"/>
      <c r="GY138" s="737"/>
      <c r="GZ138" s="737"/>
      <c r="HB138" s="737"/>
      <c r="HC138" s="737"/>
      <c r="HF138" s="398"/>
      <c r="HG138" s="398"/>
    </row>
    <row r="139" spans="9:215" ht="14.1" customHeight="1">
      <c r="I139" s="737"/>
      <c r="J139" s="676"/>
      <c r="K139" s="676"/>
      <c r="L139" s="676"/>
      <c r="M139" s="676"/>
      <c r="N139" s="676"/>
      <c r="O139" s="676"/>
      <c r="P139" s="676"/>
      <c r="Q139" s="676"/>
      <c r="S139" s="386" t="s">
        <v>3720</v>
      </c>
      <c r="T139" s="386" t="s">
        <v>2195</v>
      </c>
      <c r="U139" s="738">
        <f t="shared" ref="U139:U144" si="89">SUM(V139:AJ139)</f>
        <v>689</v>
      </c>
      <c r="V139" s="757" t="s">
        <v>1627</v>
      </c>
      <c r="W139" s="757" t="s">
        <v>1627</v>
      </c>
      <c r="X139" s="757" t="s">
        <v>1627</v>
      </c>
      <c r="Y139" s="757" t="s">
        <v>1627</v>
      </c>
      <c r="Z139" s="757" t="s">
        <v>1627</v>
      </c>
      <c r="AA139" s="757" t="s">
        <v>1627</v>
      </c>
      <c r="AB139" s="757" t="s">
        <v>1627</v>
      </c>
      <c r="AC139" s="757" t="s">
        <v>1627</v>
      </c>
      <c r="AD139" s="754">
        <v>221</v>
      </c>
      <c r="AE139" s="738">
        <v>240</v>
      </c>
      <c r="AF139" s="738">
        <v>228</v>
      </c>
      <c r="AG139" s="757" t="s">
        <v>1627</v>
      </c>
      <c r="AH139" s="757" t="s">
        <v>1627</v>
      </c>
      <c r="AI139" s="757" t="s">
        <v>1627</v>
      </c>
      <c r="AJ139" s="757" t="s">
        <v>1627</v>
      </c>
      <c r="CZ139" s="737"/>
      <c r="DA139" s="737"/>
      <c r="DB139" s="740"/>
      <c r="DC139" s="740"/>
      <c r="DD139" s="740"/>
      <c r="DE139" s="740"/>
      <c r="DF139" s="740"/>
      <c r="DG139" s="740"/>
      <c r="DH139" s="740"/>
      <c r="DI139" s="737"/>
      <c r="DJ139" s="737"/>
      <c r="DK139" s="737"/>
      <c r="DL139" s="737"/>
      <c r="EB139" s="737"/>
      <c r="EC139" s="737"/>
      <c r="ED139" s="737"/>
      <c r="EE139" s="737"/>
      <c r="EF139" s="737"/>
      <c r="EI139" s="705"/>
      <c r="EJ139" s="745"/>
      <c r="EK139" s="755"/>
      <c r="EL139" s="745"/>
      <c r="EM139" s="745"/>
      <c r="EN139" s="745"/>
      <c r="EO139" s="745"/>
      <c r="EP139" s="737"/>
      <c r="EQ139" s="737"/>
      <c r="FR139" s="812"/>
      <c r="FS139" s="812"/>
      <c r="FT139" s="812"/>
      <c r="FU139" s="812"/>
      <c r="FV139" s="812"/>
      <c r="FW139" s="812"/>
      <c r="FX139" s="812"/>
      <c r="FY139" s="812"/>
      <c r="FZ139" s="812"/>
      <c r="GL139" s="386"/>
      <c r="GM139" s="386"/>
      <c r="GN139" s="386"/>
      <c r="GO139" s="386"/>
      <c r="GP139" s="386"/>
      <c r="GQ139" s="386"/>
      <c r="GR139" s="386"/>
      <c r="GU139" s="737"/>
      <c r="GV139" s="737"/>
      <c r="GW139" s="737"/>
      <c r="GX139" s="737"/>
      <c r="GY139" s="737"/>
      <c r="GZ139" s="737"/>
      <c r="HB139" s="737"/>
      <c r="HC139" s="737"/>
      <c r="HD139" s="398"/>
      <c r="HE139" s="398"/>
      <c r="HF139" s="398"/>
      <c r="HG139" s="398"/>
    </row>
    <row r="140" spans="9:215" ht="14.1" customHeight="1">
      <c r="I140" s="737"/>
      <c r="J140" s="676"/>
      <c r="K140" s="676"/>
      <c r="L140" s="676"/>
      <c r="M140" s="676"/>
      <c r="N140" s="676"/>
      <c r="O140" s="676"/>
      <c r="P140" s="676"/>
      <c r="Q140" s="676"/>
      <c r="S140" s="386" t="s">
        <v>3588</v>
      </c>
      <c r="T140" s="386" t="s">
        <v>3728</v>
      </c>
      <c r="U140" s="738">
        <f t="shared" si="89"/>
        <v>498</v>
      </c>
      <c r="V140" s="737">
        <v>34</v>
      </c>
      <c r="W140" s="776">
        <v>0</v>
      </c>
      <c r="X140" s="776">
        <v>59</v>
      </c>
      <c r="Y140" s="738">
        <v>84</v>
      </c>
      <c r="Z140" s="738">
        <v>72</v>
      </c>
      <c r="AA140" s="738">
        <v>97</v>
      </c>
      <c r="AB140" s="738">
        <v>72</v>
      </c>
      <c r="AC140" s="738">
        <v>80</v>
      </c>
      <c r="AD140" s="757" t="s">
        <v>1627</v>
      </c>
      <c r="AE140" s="757" t="s">
        <v>1627</v>
      </c>
      <c r="AF140" s="757" t="s">
        <v>1627</v>
      </c>
      <c r="AG140" s="757" t="s">
        <v>1627</v>
      </c>
      <c r="AH140" s="757" t="s">
        <v>1627</v>
      </c>
      <c r="AI140" s="757" t="s">
        <v>1627</v>
      </c>
      <c r="AJ140" s="757" t="s">
        <v>1627</v>
      </c>
      <c r="CZ140" s="737"/>
      <c r="DA140" s="737"/>
      <c r="DB140" s="740"/>
      <c r="DC140" s="740"/>
      <c r="DD140" s="740"/>
      <c r="DE140" s="740"/>
      <c r="DF140" s="740"/>
      <c r="DG140" s="740"/>
      <c r="DH140" s="740"/>
      <c r="DI140" s="737"/>
      <c r="DJ140" s="737"/>
      <c r="DK140" s="737"/>
      <c r="DL140" s="737"/>
      <c r="EB140" s="737"/>
      <c r="EC140" s="737"/>
      <c r="ED140" s="737"/>
      <c r="EE140" s="737"/>
      <c r="EF140" s="737"/>
      <c r="EI140" s="705"/>
      <c r="EJ140" s="745"/>
      <c r="EK140" s="755"/>
      <c r="EL140" s="745"/>
      <c r="EM140" s="745"/>
      <c r="EN140" s="745"/>
      <c r="EO140" s="745"/>
      <c r="EP140" s="515"/>
      <c r="EQ140" s="515"/>
      <c r="FR140" s="812"/>
      <c r="FS140" s="812"/>
      <c r="FT140" s="812"/>
      <c r="FU140" s="812"/>
      <c r="FV140" s="812"/>
      <c r="FW140" s="812"/>
      <c r="FX140" s="812"/>
      <c r="FY140" s="812"/>
      <c r="FZ140" s="812"/>
      <c r="GL140" s="386"/>
      <c r="GM140" s="386"/>
      <c r="GN140" s="386"/>
      <c r="GO140" s="386"/>
      <c r="GP140" s="386"/>
      <c r="GQ140" s="386"/>
      <c r="GR140" s="386"/>
      <c r="GS140" s="398"/>
      <c r="GT140" s="398"/>
      <c r="GU140" s="737"/>
      <c r="GV140" s="737"/>
      <c r="GW140" s="737"/>
      <c r="GX140" s="737"/>
      <c r="GY140" s="737"/>
      <c r="GZ140" s="737"/>
      <c r="HD140" s="398"/>
      <c r="HE140" s="398"/>
      <c r="HF140" s="398"/>
      <c r="HG140" s="398"/>
    </row>
    <row r="141" spans="9:215" ht="14.1" customHeight="1">
      <c r="I141" s="737"/>
      <c r="J141" s="676"/>
      <c r="K141" s="676"/>
      <c r="L141" s="676"/>
      <c r="M141" s="676"/>
      <c r="N141" s="676"/>
      <c r="O141" s="676"/>
      <c r="P141" s="676"/>
      <c r="Q141" s="676"/>
      <c r="S141" s="386" t="s">
        <v>3738</v>
      </c>
      <c r="T141" s="386" t="s">
        <v>2202</v>
      </c>
      <c r="U141" s="738">
        <f t="shared" si="89"/>
        <v>285</v>
      </c>
      <c r="V141" s="737">
        <v>40</v>
      </c>
      <c r="W141" s="738">
        <v>0</v>
      </c>
      <c r="X141" s="738">
        <v>34</v>
      </c>
      <c r="Y141" s="738">
        <v>56</v>
      </c>
      <c r="Z141" s="738">
        <v>36</v>
      </c>
      <c r="AA141" s="738">
        <v>36</v>
      </c>
      <c r="AB141" s="738">
        <v>50</v>
      </c>
      <c r="AC141" s="738">
        <v>33</v>
      </c>
      <c r="AD141" s="757" t="s">
        <v>1627</v>
      </c>
      <c r="AE141" s="757" t="s">
        <v>1627</v>
      </c>
      <c r="AF141" s="757" t="s">
        <v>1627</v>
      </c>
      <c r="AG141" s="757" t="s">
        <v>1627</v>
      </c>
      <c r="AH141" s="757" t="s">
        <v>1627</v>
      </c>
      <c r="AI141" s="757" t="s">
        <v>1627</v>
      </c>
      <c r="AJ141" s="757" t="s">
        <v>1627</v>
      </c>
      <c r="CZ141" s="737"/>
      <c r="DA141" s="737"/>
      <c r="DB141" s="740"/>
      <c r="DC141" s="740"/>
      <c r="DD141" s="740"/>
      <c r="DE141" s="740"/>
      <c r="DF141" s="740"/>
      <c r="DG141" s="740"/>
      <c r="DH141" s="740"/>
      <c r="DI141" s="737"/>
      <c r="DJ141" s="737"/>
      <c r="DK141" s="737"/>
      <c r="DL141" s="737"/>
      <c r="EB141" s="737"/>
      <c r="EC141" s="737"/>
      <c r="ED141" s="737"/>
      <c r="EE141" s="737"/>
      <c r="EF141" s="737"/>
      <c r="EI141" s="705"/>
      <c r="EJ141" s="745"/>
      <c r="EK141" s="755"/>
      <c r="EL141" s="745"/>
      <c r="EM141" s="745"/>
      <c r="EN141" s="745"/>
      <c r="EO141" s="745"/>
      <c r="EP141" s="515"/>
      <c r="EQ141" s="515"/>
      <c r="FR141" s="812"/>
      <c r="FS141" s="812"/>
      <c r="FT141" s="812"/>
      <c r="FU141" s="812"/>
      <c r="FV141" s="812"/>
      <c r="FW141" s="812"/>
      <c r="FX141" s="812"/>
      <c r="FY141" s="812"/>
      <c r="FZ141" s="812"/>
      <c r="GL141" s="386"/>
      <c r="GM141" s="386"/>
      <c r="GN141" s="386"/>
      <c r="GO141" s="386"/>
      <c r="GP141" s="386"/>
      <c r="GQ141" s="386"/>
      <c r="GR141" s="386"/>
      <c r="GS141" s="398"/>
      <c r="GT141" s="398"/>
      <c r="GU141" s="737"/>
      <c r="GV141" s="737"/>
      <c r="GW141" s="737"/>
      <c r="GX141" s="737"/>
      <c r="GY141" s="737"/>
      <c r="GZ141" s="737"/>
      <c r="HB141" s="398"/>
      <c r="HC141" s="398"/>
      <c r="HD141" s="398"/>
      <c r="HE141" s="398"/>
      <c r="HF141" s="398"/>
      <c r="HG141" s="398"/>
    </row>
    <row r="142" spans="9:215" ht="14.1" customHeight="1">
      <c r="J142" s="676"/>
      <c r="K142" s="676"/>
      <c r="L142" s="676"/>
      <c r="M142" s="676"/>
      <c r="N142" s="676"/>
      <c r="O142" s="676"/>
      <c r="P142" s="676"/>
      <c r="Q142" s="676"/>
      <c r="S142" s="386" t="s">
        <v>3679</v>
      </c>
      <c r="T142" s="386" t="s">
        <v>2202</v>
      </c>
      <c r="U142" s="738">
        <f t="shared" si="89"/>
        <v>241</v>
      </c>
      <c r="V142" s="776">
        <v>0</v>
      </c>
      <c r="W142" s="776">
        <v>38</v>
      </c>
      <c r="X142" s="776">
        <v>84</v>
      </c>
      <c r="Y142" s="738">
        <v>119</v>
      </c>
      <c r="Z142" s="776">
        <v>0</v>
      </c>
      <c r="AA142" s="776">
        <v>0</v>
      </c>
      <c r="AB142" s="776">
        <v>0</v>
      </c>
      <c r="AC142" s="776">
        <v>0</v>
      </c>
      <c r="AD142" s="757" t="s">
        <v>1627</v>
      </c>
      <c r="AE142" s="757" t="s">
        <v>1627</v>
      </c>
      <c r="AF142" s="757" t="s">
        <v>1627</v>
      </c>
      <c r="AG142" s="757" t="s">
        <v>1627</v>
      </c>
      <c r="AH142" s="757" t="s">
        <v>1627</v>
      </c>
      <c r="AI142" s="757" t="s">
        <v>1627</v>
      </c>
      <c r="AJ142" s="757" t="s">
        <v>1627</v>
      </c>
      <c r="CZ142" s="737"/>
      <c r="DA142" s="737"/>
      <c r="EB142" s="737"/>
      <c r="EC142" s="737"/>
      <c r="ED142" s="737"/>
      <c r="EE142" s="737"/>
      <c r="EF142" s="737"/>
      <c r="EI142" s="705"/>
      <c r="EJ142" s="745"/>
      <c r="EK142" s="755"/>
      <c r="EL142" s="745"/>
      <c r="EM142" s="745"/>
      <c r="EN142" s="745"/>
      <c r="EO142" s="745"/>
      <c r="EP142" s="737"/>
      <c r="EQ142" s="737"/>
      <c r="FR142" s="812"/>
      <c r="FS142" s="812"/>
      <c r="FT142" s="812"/>
      <c r="FU142" s="812"/>
      <c r="FV142" s="812"/>
      <c r="FW142" s="812"/>
      <c r="FX142" s="812"/>
      <c r="FY142" s="812"/>
      <c r="FZ142" s="812"/>
      <c r="GL142" s="386"/>
      <c r="GM142" s="386"/>
      <c r="GN142" s="386"/>
      <c r="GO142" s="386"/>
      <c r="GP142" s="386"/>
      <c r="GQ142" s="386"/>
      <c r="GR142" s="386"/>
      <c r="GS142" s="398"/>
      <c r="GT142" s="398"/>
      <c r="GU142" s="737"/>
      <c r="GV142" s="737"/>
      <c r="GW142" s="737"/>
      <c r="GX142" s="737"/>
      <c r="GY142" s="737"/>
      <c r="GZ142" s="737"/>
      <c r="HB142" s="398"/>
      <c r="HC142" s="398"/>
      <c r="HD142" s="398"/>
      <c r="HE142" s="398"/>
      <c r="HF142" s="398"/>
      <c r="HG142" s="398"/>
    </row>
    <row r="143" spans="9:215" ht="14.1" customHeight="1">
      <c r="I143" s="737"/>
      <c r="J143" s="676"/>
      <c r="K143" s="676"/>
      <c r="L143" s="676"/>
      <c r="M143" s="676"/>
      <c r="N143" s="676"/>
      <c r="O143" s="676"/>
      <c r="P143" s="676"/>
      <c r="Q143" s="676"/>
      <c r="S143" s="386" t="s">
        <v>3751</v>
      </c>
      <c r="T143" s="386" t="s">
        <v>2202</v>
      </c>
      <c r="U143" s="738">
        <f t="shared" si="89"/>
        <v>1742</v>
      </c>
      <c r="V143" s="757" t="s">
        <v>1627</v>
      </c>
      <c r="W143" s="757" t="s">
        <v>1627</v>
      </c>
      <c r="X143" s="757" t="s">
        <v>1627</v>
      </c>
      <c r="Y143" s="757" t="s">
        <v>1627</v>
      </c>
      <c r="Z143" s="757" t="s">
        <v>1627</v>
      </c>
      <c r="AA143" s="757" t="s">
        <v>1627</v>
      </c>
      <c r="AB143" s="757" t="s">
        <v>1627</v>
      </c>
      <c r="AC143" s="757" t="s">
        <v>1627</v>
      </c>
      <c r="AD143" s="757" t="s">
        <v>1627</v>
      </c>
      <c r="AE143" s="757" t="s">
        <v>1627</v>
      </c>
      <c r="AF143" s="757" t="s">
        <v>1627</v>
      </c>
      <c r="AG143" s="738">
        <v>631</v>
      </c>
      <c r="AH143" s="738">
        <v>469</v>
      </c>
      <c r="AI143" s="738">
        <v>349</v>
      </c>
      <c r="AJ143" s="738">
        <v>293</v>
      </c>
      <c r="CZ143" s="737"/>
      <c r="DA143" s="737"/>
      <c r="EB143" s="737"/>
      <c r="EC143" s="737"/>
      <c r="ED143" s="737"/>
      <c r="EE143" s="737"/>
      <c r="EF143" s="737"/>
      <c r="EI143" s="781"/>
      <c r="EJ143" s="782"/>
      <c r="EK143" s="783"/>
      <c r="EL143" s="781"/>
      <c r="EM143" s="781"/>
      <c r="EN143" s="781"/>
      <c r="EO143" s="781"/>
      <c r="FR143" s="839"/>
      <c r="FS143" s="812"/>
      <c r="FT143" s="812"/>
      <c r="FU143" s="812"/>
      <c r="FV143" s="812"/>
      <c r="FW143" s="812"/>
      <c r="FX143" s="812"/>
      <c r="FY143" s="812"/>
      <c r="FZ143" s="812"/>
      <c r="GL143" s="386"/>
      <c r="GM143" s="386"/>
      <c r="GN143" s="386"/>
      <c r="GO143" s="386"/>
      <c r="GP143" s="386"/>
      <c r="GQ143" s="386"/>
      <c r="GR143" s="386"/>
      <c r="GS143" s="398"/>
      <c r="GT143" s="398"/>
      <c r="GU143" s="737"/>
      <c r="GV143" s="737"/>
      <c r="GW143" s="737"/>
      <c r="GX143" s="737"/>
      <c r="GY143" s="737"/>
      <c r="GZ143" s="737"/>
      <c r="HB143" s="398"/>
      <c r="HC143" s="398"/>
      <c r="HD143" s="398"/>
      <c r="HE143" s="398"/>
      <c r="HF143" s="398"/>
      <c r="HG143" s="398"/>
    </row>
    <row r="144" spans="9:215" ht="14.1" customHeight="1">
      <c r="I144" s="737"/>
      <c r="J144" s="676"/>
      <c r="K144" s="676"/>
      <c r="L144" s="676"/>
      <c r="M144" s="676"/>
      <c r="N144" s="676"/>
      <c r="O144" s="676"/>
      <c r="P144" s="676"/>
      <c r="Q144" s="676"/>
      <c r="S144" s="386" t="s">
        <v>2202</v>
      </c>
      <c r="T144" s="386" t="s">
        <v>2202</v>
      </c>
      <c r="U144" s="738">
        <f t="shared" si="89"/>
        <v>476</v>
      </c>
      <c r="V144" s="776">
        <v>0</v>
      </c>
      <c r="W144" s="776">
        <v>0</v>
      </c>
      <c r="X144" s="776">
        <v>0</v>
      </c>
      <c r="Y144" s="776">
        <v>0</v>
      </c>
      <c r="Z144" s="738">
        <v>111</v>
      </c>
      <c r="AA144" s="738">
        <v>118</v>
      </c>
      <c r="AB144" s="738">
        <v>119</v>
      </c>
      <c r="AC144" s="738">
        <v>128</v>
      </c>
      <c r="AD144" s="757" t="s">
        <v>1627</v>
      </c>
      <c r="AE144" s="757" t="s">
        <v>1627</v>
      </c>
      <c r="AF144" s="757" t="s">
        <v>1627</v>
      </c>
      <c r="AG144" s="757" t="s">
        <v>1627</v>
      </c>
      <c r="AH144" s="757" t="s">
        <v>1627</v>
      </c>
      <c r="AI144" s="757" t="s">
        <v>1627</v>
      </c>
      <c r="AJ144" s="757" t="s">
        <v>1627</v>
      </c>
      <c r="CZ144" s="737"/>
      <c r="DA144" s="737"/>
      <c r="EB144" s="737"/>
      <c r="EC144" s="737"/>
      <c r="ED144" s="737"/>
      <c r="EE144" s="737"/>
      <c r="EF144" s="737"/>
      <c r="EI144" s="781"/>
      <c r="EJ144" s="782"/>
      <c r="EK144" s="783"/>
      <c r="EL144" s="781"/>
      <c r="EM144" s="781"/>
      <c r="EN144" s="781"/>
      <c r="EO144" s="781"/>
      <c r="FR144" s="812"/>
      <c r="FS144" s="812"/>
      <c r="FT144" s="812"/>
      <c r="FU144" s="812"/>
      <c r="FV144" s="812"/>
      <c r="FW144" s="812"/>
      <c r="FX144" s="812"/>
      <c r="FY144" s="812"/>
      <c r="FZ144" s="812"/>
      <c r="GL144" s="386"/>
      <c r="GM144" s="386"/>
      <c r="GN144" s="386"/>
      <c r="GO144" s="386"/>
      <c r="GP144" s="386"/>
      <c r="GQ144" s="386"/>
      <c r="GR144" s="386"/>
      <c r="GU144" s="737"/>
      <c r="GV144" s="737"/>
      <c r="GW144" s="737"/>
      <c r="GX144" s="737"/>
      <c r="GY144" s="737"/>
      <c r="GZ144" s="737"/>
      <c r="HB144" s="398"/>
      <c r="HC144" s="398"/>
      <c r="HF144" s="398"/>
      <c r="HG144" s="398"/>
    </row>
    <row r="145" spans="9:215" ht="14.1" customHeight="1">
      <c r="I145" s="737"/>
      <c r="J145" s="676"/>
      <c r="K145" s="676"/>
      <c r="L145" s="676"/>
      <c r="M145" s="676"/>
      <c r="N145" s="676"/>
      <c r="O145" s="676"/>
      <c r="P145" s="676"/>
      <c r="Q145" s="676"/>
      <c r="S145" s="398"/>
      <c r="T145" s="740"/>
      <c r="U145" s="738"/>
      <c r="V145" s="737"/>
      <c r="W145" s="738"/>
      <c r="X145" s="738"/>
      <c r="Y145" s="738"/>
      <c r="Z145" s="738"/>
      <c r="AA145" s="738"/>
      <c r="AB145" s="738"/>
      <c r="AC145" s="738"/>
      <c r="AD145" s="754"/>
      <c r="AE145" s="738"/>
      <c r="AF145" s="738"/>
      <c r="AG145" s="738"/>
      <c r="AH145" s="738"/>
      <c r="AI145" s="738"/>
      <c r="AJ145" s="738"/>
      <c r="EI145" s="781"/>
      <c r="EJ145" s="782"/>
      <c r="EK145" s="783"/>
      <c r="EL145" s="781"/>
      <c r="EM145" s="781"/>
      <c r="EN145" s="781"/>
      <c r="EO145" s="781"/>
      <c r="FR145" s="838"/>
      <c r="FS145" s="832"/>
      <c r="FT145" s="832"/>
      <c r="FU145" s="832"/>
      <c r="FV145" s="832"/>
      <c r="FW145" s="832"/>
      <c r="FX145" s="832"/>
      <c r="FY145" s="832"/>
      <c r="FZ145" s="812"/>
      <c r="GL145" s="386"/>
      <c r="GM145" s="386"/>
      <c r="GN145" s="386"/>
      <c r="GO145" s="386"/>
      <c r="GP145" s="386"/>
      <c r="GQ145" s="386"/>
      <c r="GR145" s="386"/>
      <c r="GU145" s="737"/>
      <c r="GV145" s="737"/>
      <c r="GW145" s="737"/>
      <c r="GX145" s="737"/>
      <c r="GY145" s="737"/>
      <c r="GZ145" s="737"/>
      <c r="HB145" s="398"/>
      <c r="HC145" s="398"/>
      <c r="HF145" s="398"/>
      <c r="HG145" s="398"/>
    </row>
    <row r="146" spans="9:215" ht="14.1" customHeight="1">
      <c r="I146" s="737"/>
      <c r="J146" s="676"/>
      <c r="K146" s="676"/>
      <c r="L146" s="676"/>
      <c r="M146" s="676"/>
      <c r="N146" s="676"/>
      <c r="O146" s="676"/>
      <c r="P146" s="676"/>
      <c r="Q146" s="676"/>
      <c r="S146" s="398" t="s">
        <v>3771</v>
      </c>
      <c r="T146" s="740"/>
      <c r="U146" s="738">
        <f>SUM(U147:U156)</f>
        <v>6788</v>
      </c>
      <c r="V146" s="738">
        <f t="shared" ref="V146:AJ146" si="90">SUM(V147:V156)</f>
        <v>118</v>
      </c>
      <c r="W146" s="738">
        <f t="shared" si="90"/>
        <v>29</v>
      </c>
      <c r="X146" s="738">
        <f t="shared" si="90"/>
        <v>401</v>
      </c>
      <c r="Y146" s="738">
        <f t="shared" si="90"/>
        <v>425</v>
      </c>
      <c r="Z146" s="738">
        <f t="shared" si="90"/>
        <v>447</v>
      </c>
      <c r="AA146" s="738">
        <f t="shared" si="90"/>
        <v>447</v>
      </c>
      <c r="AB146" s="738">
        <f t="shared" si="90"/>
        <v>457</v>
      </c>
      <c r="AC146" s="738">
        <f t="shared" si="90"/>
        <v>447</v>
      </c>
      <c r="AD146" s="738">
        <f t="shared" si="90"/>
        <v>505</v>
      </c>
      <c r="AE146" s="738">
        <f t="shared" si="90"/>
        <v>510</v>
      </c>
      <c r="AF146" s="738">
        <f t="shared" si="90"/>
        <v>519</v>
      </c>
      <c r="AG146" s="738">
        <f t="shared" si="90"/>
        <v>697</v>
      </c>
      <c r="AH146" s="738">
        <f t="shared" si="90"/>
        <v>781</v>
      </c>
      <c r="AI146" s="738">
        <f t="shared" si="90"/>
        <v>555</v>
      </c>
      <c r="AJ146" s="738">
        <f t="shared" si="90"/>
        <v>450</v>
      </c>
      <c r="EI146" s="781"/>
      <c r="EJ146" s="782"/>
      <c r="EK146" s="783"/>
      <c r="EL146" s="781"/>
      <c r="EM146" s="781"/>
      <c r="EN146" s="781"/>
      <c r="EO146" s="781"/>
      <c r="FR146" s="812"/>
      <c r="FS146" s="812"/>
      <c r="FT146" s="812"/>
      <c r="FU146" s="812"/>
      <c r="FV146" s="812"/>
      <c r="FW146" s="812"/>
      <c r="FX146" s="812"/>
      <c r="FY146" s="812"/>
      <c r="FZ146" s="812"/>
      <c r="GL146" s="386"/>
      <c r="GM146" s="386"/>
      <c r="GN146" s="386"/>
      <c r="GO146" s="386"/>
      <c r="GP146" s="386"/>
      <c r="GQ146" s="386"/>
      <c r="GR146" s="386"/>
    </row>
    <row r="147" spans="9:215" ht="14.1" customHeight="1">
      <c r="I147" s="737"/>
      <c r="J147" s="676"/>
      <c r="K147" s="676"/>
      <c r="L147" s="676"/>
      <c r="M147" s="676"/>
      <c r="N147" s="676"/>
      <c r="O147" s="676"/>
      <c r="P147" s="676"/>
      <c r="Q147" s="676"/>
      <c r="S147" s="386" t="s">
        <v>3575</v>
      </c>
      <c r="T147" s="386" t="s">
        <v>2253</v>
      </c>
      <c r="U147" s="738">
        <f>SUM(V147:AJ147)</f>
        <v>410</v>
      </c>
      <c r="V147" s="737">
        <v>39</v>
      </c>
      <c r="W147" s="776">
        <v>0</v>
      </c>
      <c r="X147" s="776">
        <v>64</v>
      </c>
      <c r="Y147" s="738">
        <v>55</v>
      </c>
      <c r="Z147" s="738">
        <v>66</v>
      </c>
      <c r="AA147" s="738">
        <v>54</v>
      </c>
      <c r="AB147" s="738">
        <v>68</v>
      </c>
      <c r="AC147" s="738">
        <v>64</v>
      </c>
      <c r="AD147" s="757" t="s">
        <v>1627</v>
      </c>
      <c r="AE147" s="757" t="s">
        <v>1627</v>
      </c>
      <c r="AF147" s="757" t="s">
        <v>1627</v>
      </c>
      <c r="AG147" s="757" t="s">
        <v>1627</v>
      </c>
      <c r="AH147" s="757" t="s">
        <v>1627</v>
      </c>
      <c r="AI147" s="757" t="s">
        <v>1627</v>
      </c>
      <c r="AJ147" s="757" t="s">
        <v>1627</v>
      </c>
      <c r="EI147" s="781"/>
      <c r="EJ147" s="782"/>
      <c r="EK147" s="783"/>
      <c r="EL147" s="781"/>
      <c r="EM147" s="781"/>
      <c r="EN147" s="781"/>
      <c r="EO147" s="781"/>
      <c r="FR147" s="812"/>
      <c r="FS147" s="812"/>
      <c r="FT147" s="812"/>
      <c r="FU147" s="812"/>
      <c r="FV147" s="812"/>
      <c r="FW147" s="812"/>
      <c r="FX147" s="812"/>
      <c r="FY147" s="812"/>
      <c r="FZ147" s="812"/>
      <c r="GL147" s="386"/>
      <c r="GM147" s="386"/>
      <c r="GN147" s="386"/>
      <c r="GO147" s="386"/>
      <c r="GP147" s="386"/>
      <c r="GQ147" s="386"/>
      <c r="GR147" s="386"/>
      <c r="GU147" s="398"/>
      <c r="GV147" s="398"/>
      <c r="GW147" s="398"/>
      <c r="GX147" s="398"/>
      <c r="GY147" s="398"/>
      <c r="GZ147" s="398"/>
    </row>
    <row r="148" spans="9:215" ht="14.1" customHeight="1">
      <c r="J148" s="676"/>
      <c r="K148" s="676"/>
      <c r="L148" s="676"/>
      <c r="M148" s="676"/>
      <c r="N148" s="676"/>
      <c r="O148" s="676"/>
      <c r="P148" s="676"/>
      <c r="Q148" s="676"/>
      <c r="S148" s="386" t="s">
        <v>3779</v>
      </c>
      <c r="T148" s="386" t="s">
        <v>2253</v>
      </c>
      <c r="U148" s="738">
        <f t="shared" ref="U148:U156" si="91">SUM(V148:AJ148)</f>
        <v>918</v>
      </c>
      <c r="V148" s="757" t="s">
        <v>1627</v>
      </c>
      <c r="W148" s="757" t="s">
        <v>1627</v>
      </c>
      <c r="X148" s="757" t="s">
        <v>1627</v>
      </c>
      <c r="Y148" s="757" t="s">
        <v>1627</v>
      </c>
      <c r="Z148" s="757" t="s">
        <v>1627</v>
      </c>
      <c r="AA148" s="757" t="s">
        <v>1627</v>
      </c>
      <c r="AB148" s="757" t="s">
        <v>1627</v>
      </c>
      <c r="AC148" s="757" t="s">
        <v>1627</v>
      </c>
      <c r="AD148" s="754">
        <v>317</v>
      </c>
      <c r="AE148" s="738">
        <v>293</v>
      </c>
      <c r="AF148" s="738">
        <v>308</v>
      </c>
      <c r="AG148" s="757" t="s">
        <v>1627</v>
      </c>
      <c r="AH148" s="757" t="s">
        <v>1627</v>
      </c>
      <c r="AI148" s="757" t="s">
        <v>1627</v>
      </c>
      <c r="AJ148" s="757" t="s">
        <v>1627</v>
      </c>
      <c r="EI148" s="781"/>
      <c r="EJ148" s="835"/>
      <c r="EK148" s="835"/>
      <c r="EL148" s="781"/>
      <c r="EM148" s="781"/>
      <c r="EN148" s="781"/>
      <c r="EO148" s="781"/>
      <c r="EQ148" s="398"/>
      <c r="FR148" s="812"/>
      <c r="FS148" s="812"/>
      <c r="FT148" s="812"/>
      <c r="FU148" s="812"/>
      <c r="FV148" s="812"/>
      <c r="FW148" s="812"/>
      <c r="FX148" s="812"/>
      <c r="FY148" s="812"/>
      <c r="FZ148" s="812"/>
      <c r="GL148" s="386"/>
      <c r="GM148" s="386"/>
      <c r="GN148" s="386"/>
      <c r="GO148" s="386"/>
      <c r="GP148" s="386"/>
      <c r="GQ148" s="386"/>
      <c r="GR148" s="386"/>
      <c r="GU148" s="398"/>
      <c r="GV148" s="398"/>
      <c r="GW148" s="398"/>
      <c r="GX148" s="398"/>
      <c r="GY148" s="398"/>
      <c r="GZ148" s="398"/>
      <c r="HF148" s="398"/>
    </row>
    <row r="149" spans="9:215" ht="14.1" customHeight="1">
      <c r="I149" s="737"/>
      <c r="J149" s="676"/>
      <c r="K149" s="676"/>
      <c r="L149" s="676"/>
      <c r="M149" s="676"/>
      <c r="N149" s="676"/>
      <c r="O149" s="676"/>
      <c r="P149" s="676"/>
      <c r="Q149" s="676"/>
      <c r="S149" s="386" t="s">
        <v>3744</v>
      </c>
      <c r="T149" s="386" t="s">
        <v>2253</v>
      </c>
      <c r="U149" s="738">
        <f t="shared" si="91"/>
        <v>367</v>
      </c>
      <c r="V149" s="737">
        <v>20</v>
      </c>
      <c r="W149" s="738">
        <v>0</v>
      </c>
      <c r="X149" s="738">
        <v>57</v>
      </c>
      <c r="Y149" s="738">
        <v>56</v>
      </c>
      <c r="Z149" s="738">
        <v>66</v>
      </c>
      <c r="AA149" s="738">
        <v>63</v>
      </c>
      <c r="AB149" s="738">
        <v>51</v>
      </c>
      <c r="AC149" s="738">
        <v>54</v>
      </c>
      <c r="AD149" s="757" t="s">
        <v>1627</v>
      </c>
      <c r="AE149" s="757" t="s">
        <v>1627</v>
      </c>
      <c r="AF149" s="757" t="s">
        <v>1627</v>
      </c>
      <c r="AG149" s="757" t="s">
        <v>1627</v>
      </c>
      <c r="AH149" s="757" t="s">
        <v>1627</v>
      </c>
      <c r="AI149" s="757" t="s">
        <v>1627</v>
      </c>
      <c r="AJ149" s="757" t="s">
        <v>1627</v>
      </c>
      <c r="EI149" s="705"/>
      <c r="EJ149" s="791"/>
      <c r="EK149" s="791"/>
      <c r="EL149" s="2121"/>
      <c r="EM149" s="2121"/>
      <c r="EN149" s="2121"/>
      <c r="EO149" s="2121"/>
      <c r="EP149" s="2094"/>
      <c r="EQ149" s="2094"/>
      <c r="FR149" s="812"/>
      <c r="FS149" s="812"/>
      <c r="FT149" s="812"/>
      <c r="FU149" s="812"/>
      <c r="FV149" s="812"/>
      <c r="FW149" s="812"/>
      <c r="FX149" s="812"/>
      <c r="FY149" s="812"/>
      <c r="FZ149" s="812"/>
      <c r="GL149" s="386"/>
      <c r="GM149" s="386"/>
      <c r="GN149" s="386"/>
      <c r="GO149" s="386"/>
      <c r="GP149" s="386"/>
      <c r="GQ149" s="386"/>
      <c r="GR149" s="386"/>
      <c r="GU149" s="398"/>
      <c r="GV149" s="398"/>
      <c r="GW149" s="398"/>
      <c r="GX149" s="398"/>
      <c r="GY149" s="398"/>
      <c r="GZ149" s="398"/>
      <c r="HF149" s="385"/>
    </row>
    <row r="150" spans="9:215" ht="14.1" customHeight="1">
      <c r="I150" s="737"/>
      <c r="J150" s="676"/>
      <c r="K150" s="676"/>
      <c r="L150" s="676"/>
      <c r="M150" s="676"/>
      <c r="N150" s="676"/>
      <c r="O150" s="676"/>
      <c r="P150" s="676"/>
      <c r="Q150" s="676"/>
      <c r="S150" s="386" t="s">
        <v>3791</v>
      </c>
      <c r="T150" s="386" t="s">
        <v>2253</v>
      </c>
      <c r="U150" s="738">
        <f t="shared" si="91"/>
        <v>1015</v>
      </c>
      <c r="V150" s="757" t="s">
        <v>1627</v>
      </c>
      <c r="W150" s="757" t="s">
        <v>1627</v>
      </c>
      <c r="X150" s="757" t="s">
        <v>1627</v>
      </c>
      <c r="Y150" s="757" t="s">
        <v>1627</v>
      </c>
      <c r="Z150" s="757" t="s">
        <v>1627</v>
      </c>
      <c r="AA150" s="757" t="s">
        <v>1627</v>
      </c>
      <c r="AB150" s="757" t="s">
        <v>1627</v>
      </c>
      <c r="AC150" s="757" t="s">
        <v>1627</v>
      </c>
      <c r="AD150" s="757" t="s">
        <v>1627</v>
      </c>
      <c r="AE150" s="757" t="s">
        <v>1627</v>
      </c>
      <c r="AF150" s="757" t="s">
        <v>1627</v>
      </c>
      <c r="AG150" s="757">
        <v>289</v>
      </c>
      <c r="AH150" s="757">
        <v>304</v>
      </c>
      <c r="AI150" s="757">
        <v>249</v>
      </c>
      <c r="AJ150" s="757">
        <v>173</v>
      </c>
      <c r="EI150" s="705"/>
      <c r="EJ150" s="791"/>
      <c r="EK150" s="791"/>
      <c r="EL150" s="791"/>
      <c r="EM150" s="791"/>
      <c r="EN150" s="791"/>
      <c r="EO150" s="791"/>
      <c r="EP150" s="402"/>
      <c r="EQ150" s="402"/>
      <c r="FR150" s="812"/>
      <c r="FS150" s="812"/>
      <c r="FT150" s="812"/>
      <c r="FU150" s="812"/>
      <c r="FV150" s="812"/>
      <c r="FW150" s="812"/>
      <c r="FX150" s="812"/>
      <c r="FY150" s="812"/>
      <c r="FZ150" s="812"/>
      <c r="GL150" s="386"/>
      <c r="GM150" s="386"/>
      <c r="GN150" s="386"/>
      <c r="GO150" s="386"/>
      <c r="GP150" s="386"/>
      <c r="GQ150" s="386"/>
      <c r="GR150" s="386"/>
      <c r="GU150" s="398"/>
      <c r="GV150" s="398"/>
      <c r="GW150" s="398"/>
      <c r="GX150" s="398"/>
      <c r="GY150" s="398"/>
      <c r="GZ150" s="398"/>
      <c r="HF150" s="515"/>
    </row>
    <row r="151" spans="9:215" ht="14.1" customHeight="1">
      <c r="I151" s="737"/>
      <c r="J151" s="676"/>
      <c r="K151" s="676"/>
      <c r="L151" s="676"/>
      <c r="M151" s="676"/>
      <c r="N151" s="676"/>
      <c r="O151" s="676"/>
      <c r="P151" s="676"/>
      <c r="Q151" s="676"/>
      <c r="S151" s="386" t="s">
        <v>3537</v>
      </c>
      <c r="T151" s="386" t="s">
        <v>2185</v>
      </c>
      <c r="U151" s="738">
        <f t="shared" si="91"/>
        <v>467</v>
      </c>
      <c r="V151" s="737">
        <v>19</v>
      </c>
      <c r="W151" s="738">
        <v>0</v>
      </c>
      <c r="X151" s="738">
        <v>67</v>
      </c>
      <c r="Y151" s="738">
        <v>67</v>
      </c>
      <c r="Z151" s="738">
        <v>79</v>
      </c>
      <c r="AA151" s="738">
        <v>81</v>
      </c>
      <c r="AB151" s="738">
        <v>76</v>
      </c>
      <c r="AC151" s="738">
        <v>78</v>
      </c>
      <c r="AD151" s="757" t="s">
        <v>1627</v>
      </c>
      <c r="AE151" s="757" t="s">
        <v>1627</v>
      </c>
      <c r="AF151" s="757" t="s">
        <v>1627</v>
      </c>
      <c r="AG151" s="757" t="s">
        <v>1627</v>
      </c>
      <c r="AH151" s="757" t="s">
        <v>1627</v>
      </c>
      <c r="AI151" s="757" t="s">
        <v>1627</v>
      </c>
      <c r="AJ151" s="757" t="s">
        <v>1627</v>
      </c>
      <c r="EI151" s="705"/>
      <c r="EJ151" s="745"/>
      <c r="EK151" s="836"/>
      <c r="EL151" s="745"/>
      <c r="EM151" s="745"/>
      <c r="EN151" s="745"/>
      <c r="EO151" s="745"/>
      <c r="EP151" s="745"/>
      <c r="EQ151" s="745"/>
      <c r="FR151" s="812"/>
      <c r="FS151" s="812"/>
      <c r="FT151" s="812"/>
      <c r="FU151" s="812"/>
      <c r="FV151" s="812"/>
      <c r="FW151" s="812"/>
      <c r="FX151" s="812"/>
      <c r="FY151" s="812"/>
      <c r="FZ151" s="812"/>
      <c r="GL151" s="386"/>
      <c r="GM151" s="386"/>
      <c r="GN151" s="386"/>
      <c r="GO151" s="386"/>
      <c r="GP151" s="386"/>
      <c r="GQ151" s="386"/>
      <c r="GR151" s="386"/>
      <c r="GU151" s="398"/>
      <c r="GV151" s="398"/>
      <c r="GW151" s="398"/>
      <c r="GX151" s="398"/>
      <c r="GY151" s="398"/>
      <c r="GZ151" s="398"/>
    </row>
    <row r="152" spans="9:215" ht="14.1" customHeight="1">
      <c r="I152" s="737"/>
      <c r="J152" s="676"/>
      <c r="K152" s="676"/>
      <c r="L152" s="676"/>
      <c r="M152" s="676"/>
      <c r="N152" s="676"/>
      <c r="O152" s="676"/>
      <c r="P152" s="676"/>
      <c r="Q152" s="676"/>
      <c r="S152" s="386" t="s">
        <v>3750</v>
      </c>
      <c r="T152" s="386" t="s">
        <v>2185</v>
      </c>
      <c r="U152" s="738">
        <f t="shared" si="91"/>
        <v>648</v>
      </c>
      <c r="V152" s="737">
        <v>40</v>
      </c>
      <c r="W152" s="738">
        <v>19</v>
      </c>
      <c r="X152" s="738">
        <v>94</v>
      </c>
      <c r="Y152" s="738">
        <v>116</v>
      </c>
      <c r="Z152" s="738">
        <v>89</v>
      </c>
      <c r="AA152" s="738">
        <v>95</v>
      </c>
      <c r="AB152" s="738">
        <v>94</v>
      </c>
      <c r="AC152" s="738">
        <v>101</v>
      </c>
      <c r="AD152" s="757" t="s">
        <v>1627</v>
      </c>
      <c r="AE152" s="757" t="s">
        <v>1627</v>
      </c>
      <c r="AF152" s="757" t="s">
        <v>1627</v>
      </c>
      <c r="AG152" s="757" t="s">
        <v>1627</v>
      </c>
      <c r="AH152" s="757" t="s">
        <v>1627</v>
      </c>
      <c r="AI152" s="757" t="s">
        <v>1627</v>
      </c>
      <c r="AJ152" s="757" t="s">
        <v>1627</v>
      </c>
      <c r="EI152" s="705"/>
      <c r="EJ152" s="745"/>
      <c r="EK152" s="755"/>
      <c r="EL152" s="745"/>
      <c r="EM152" s="745"/>
      <c r="EN152" s="745"/>
      <c r="EO152" s="745"/>
      <c r="EP152" s="737"/>
      <c r="EQ152" s="737"/>
      <c r="FR152" s="812"/>
      <c r="FS152" s="812"/>
      <c r="FT152" s="812"/>
      <c r="FU152" s="812"/>
      <c r="FV152" s="812"/>
      <c r="FW152" s="812"/>
      <c r="FX152" s="812"/>
      <c r="FY152" s="812"/>
      <c r="FZ152" s="812"/>
      <c r="GL152" s="398"/>
      <c r="GM152" s="398"/>
      <c r="GN152" s="398"/>
      <c r="GO152" s="398"/>
      <c r="GP152" s="398"/>
      <c r="GQ152" s="398"/>
      <c r="GR152" s="386"/>
    </row>
    <row r="153" spans="9:215" ht="14.1" customHeight="1">
      <c r="I153" s="737"/>
      <c r="J153" s="676"/>
      <c r="K153" s="676"/>
      <c r="L153" s="676"/>
      <c r="M153" s="676"/>
      <c r="N153" s="676"/>
      <c r="O153" s="676"/>
      <c r="P153" s="676"/>
      <c r="Q153" s="676"/>
      <c r="S153" s="386" t="s">
        <v>3805</v>
      </c>
      <c r="T153" s="386" t="s">
        <v>2185</v>
      </c>
      <c r="U153" s="738">
        <f t="shared" si="91"/>
        <v>1468</v>
      </c>
      <c r="V153" s="757" t="s">
        <v>1627</v>
      </c>
      <c r="W153" s="757" t="s">
        <v>1627</v>
      </c>
      <c r="X153" s="757" t="s">
        <v>1627</v>
      </c>
      <c r="Y153" s="757" t="s">
        <v>1627</v>
      </c>
      <c r="Z153" s="757" t="s">
        <v>1627</v>
      </c>
      <c r="AA153" s="757" t="s">
        <v>1627</v>
      </c>
      <c r="AB153" s="757" t="s">
        <v>1627</v>
      </c>
      <c r="AC153" s="757" t="s">
        <v>1627</v>
      </c>
      <c r="AD153" s="757" t="s">
        <v>1627</v>
      </c>
      <c r="AE153" s="757" t="s">
        <v>1627</v>
      </c>
      <c r="AF153" s="757" t="s">
        <v>1627</v>
      </c>
      <c r="AG153" s="757">
        <v>408</v>
      </c>
      <c r="AH153" s="738">
        <v>477</v>
      </c>
      <c r="AI153" s="738">
        <v>306</v>
      </c>
      <c r="AJ153" s="738">
        <v>277</v>
      </c>
      <c r="EI153" s="705"/>
      <c r="EJ153" s="745"/>
      <c r="EK153" s="755"/>
      <c r="EL153" s="745"/>
      <c r="EM153" s="745"/>
      <c r="EN153" s="745"/>
      <c r="EO153" s="745"/>
      <c r="EP153" s="737"/>
      <c r="EQ153" s="737"/>
      <c r="FR153" s="812"/>
      <c r="FS153" s="812"/>
      <c r="FT153" s="812"/>
      <c r="FU153" s="812"/>
      <c r="FV153" s="812"/>
      <c r="FW153" s="812"/>
      <c r="FX153" s="812"/>
      <c r="FY153" s="812"/>
      <c r="FZ153" s="812"/>
      <c r="GL153" s="756"/>
      <c r="GM153" s="756"/>
      <c r="GN153" s="756"/>
      <c r="GO153" s="756"/>
      <c r="GP153" s="756"/>
      <c r="GQ153" s="756"/>
      <c r="GR153" s="386"/>
    </row>
    <row r="154" spans="9:215" ht="14.1" customHeight="1">
      <c r="I154" s="737"/>
      <c r="J154" s="676"/>
      <c r="K154" s="676"/>
      <c r="L154" s="676"/>
      <c r="M154" s="676"/>
      <c r="N154" s="676"/>
      <c r="O154" s="676"/>
      <c r="P154" s="676"/>
      <c r="Q154" s="676"/>
      <c r="S154" s="386" t="s">
        <v>3810</v>
      </c>
      <c r="T154" s="398" t="s">
        <v>3811</v>
      </c>
      <c r="U154" s="738">
        <f t="shared" si="91"/>
        <v>616</v>
      </c>
      <c r="V154" s="757" t="s">
        <v>1627</v>
      </c>
      <c r="W154" s="757" t="s">
        <v>1627</v>
      </c>
      <c r="X154" s="757" t="s">
        <v>1627</v>
      </c>
      <c r="Y154" s="757" t="s">
        <v>1627</v>
      </c>
      <c r="Z154" s="757" t="s">
        <v>1627</v>
      </c>
      <c r="AA154" s="757" t="s">
        <v>1627</v>
      </c>
      <c r="AB154" s="757" t="s">
        <v>1627</v>
      </c>
      <c r="AC154" s="757" t="s">
        <v>1627</v>
      </c>
      <c r="AD154" s="754">
        <v>188</v>
      </c>
      <c r="AE154" s="738">
        <v>217</v>
      </c>
      <c r="AF154" s="738">
        <v>211</v>
      </c>
      <c r="AG154" s="757" t="s">
        <v>1627</v>
      </c>
      <c r="AH154" s="757" t="s">
        <v>1627</v>
      </c>
      <c r="AI154" s="757" t="s">
        <v>1627</v>
      </c>
      <c r="AJ154" s="757" t="s">
        <v>1627</v>
      </c>
      <c r="EI154" s="705"/>
      <c r="EJ154" s="745"/>
      <c r="EK154" s="755"/>
      <c r="EL154" s="745"/>
      <c r="EM154" s="745"/>
      <c r="EN154" s="745"/>
      <c r="EO154" s="745"/>
      <c r="EP154" s="737"/>
      <c r="EQ154" s="737"/>
      <c r="FR154" s="812"/>
      <c r="FS154" s="812"/>
      <c r="FT154" s="812"/>
      <c r="FU154" s="812"/>
      <c r="FV154" s="812"/>
      <c r="FW154" s="812"/>
      <c r="FX154" s="812"/>
      <c r="FY154" s="812"/>
      <c r="FZ154" s="812"/>
      <c r="GL154" s="386"/>
      <c r="GM154" s="386"/>
      <c r="GN154" s="386"/>
      <c r="GO154" s="386"/>
      <c r="GP154" s="386"/>
      <c r="GQ154" s="386"/>
      <c r="GR154" s="386"/>
    </row>
    <row r="155" spans="9:215" ht="14.1" customHeight="1">
      <c r="I155" s="761"/>
      <c r="J155" s="676"/>
      <c r="K155" s="676"/>
      <c r="L155" s="676"/>
      <c r="M155" s="676"/>
      <c r="N155" s="676"/>
      <c r="O155" s="676"/>
      <c r="P155" s="676"/>
      <c r="Q155" s="676"/>
      <c r="S155" s="386" t="s">
        <v>3815</v>
      </c>
      <c r="T155" s="386" t="s">
        <v>3811</v>
      </c>
      <c r="U155" s="738">
        <f t="shared" si="91"/>
        <v>374</v>
      </c>
      <c r="V155" s="776">
        <v>0</v>
      </c>
      <c r="W155" s="776">
        <v>0</v>
      </c>
      <c r="X155" s="776">
        <v>53</v>
      </c>
      <c r="Y155" s="738">
        <v>49</v>
      </c>
      <c r="Z155" s="738">
        <v>61</v>
      </c>
      <c r="AA155" s="738">
        <v>69</v>
      </c>
      <c r="AB155" s="738">
        <v>75</v>
      </c>
      <c r="AC155" s="738">
        <v>67</v>
      </c>
      <c r="AD155" s="757" t="s">
        <v>1627</v>
      </c>
      <c r="AE155" s="757" t="s">
        <v>1627</v>
      </c>
      <c r="AF155" s="757" t="s">
        <v>1627</v>
      </c>
      <c r="AG155" s="757" t="s">
        <v>1627</v>
      </c>
      <c r="AH155" s="757" t="s">
        <v>1627</v>
      </c>
      <c r="AI155" s="757" t="s">
        <v>1627</v>
      </c>
      <c r="AJ155" s="757" t="s">
        <v>1627</v>
      </c>
      <c r="EI155" s="705"/>
      <c r="EJ155" s="745"/>
      <c r="EK155" s="755"/>
      <c r="EL155" s="745"/>
      <c r="EM155" s="745"/>
      <c r="EN155" s="745"/>
      <c r="EO155" s="745"/>
      <c r="EP155" s="737"/>
      <c r="EQ155" s="737"/>
      <c r="FR155" s="812"/>
      <c r="FS155" s="812"/>
      <c r="FT155" s="812"/>
      <c r="FU155" s="812"/>
      <c r="FV155" s="812"/>
      <c r="FW155" s="812"/>
      <c r="FX155" s="812"/>
      <c r="FY155" s="812"/>
      <c r="FZ155" s="812"/>
      <c r="GL155" s="386"/>
      <c r="GM155" s="386"/>
      <c r="GN155" s="386"/>
      <c r="GO155" s="386"/>
      <c r="GP155" s="386"/>
      <c r="GQ155" s="386"/>
      <c r="GR155" s="386"/>
    </row>
    <row r="156" spans="9:215" ht="14.1" customHeight="1">
      <c r="I156" s="737"/>
      <c r="J156" s="676"/>
      <c r="K156" s="676"/>
      <c r="L156" s="676"/>
      <c r="M156" s="676"/>
      <c r="N156" s="676"/>
      <c r="O156" s="676"/>
      <c r="P156" s="676"/>
      <c r="Q156" s="676"/>
      <c r="S156" s="386" t="s">
        <v>3664</v>
      </c>
      <c r="T156" s="386" t="s">
        <v>3819</v>
      </c>
      <c r="U156" s="738">
        <f t="shared" si="91"/>
        <v>505</v>
      </c>
      <c r="V156" s="776">
        <v>0</v>
      </c>
      <c r="W156" s="776">
        <v>10</v>
      </c>
      <c r="X156" s="776">
        <v>66</v>
      </c>
      <c r="Y156" s="738">
        <v>82</v>
      </c>
      <c r="Z156" s="738">
        <v>86</v>
      </c>
      <c r="AA156" s="738">
        <v>85</v>
      </c>
      <c r="AB156" s="738">
        <v>93</v>
      </c>
      <c r="AC156" s="738">
        <v>83</v>
      </c>
      <c r="AD156" s="757" t="s">
        <v>1627</v>
      </c>
      <c r="AE156" s="757" t="s">
        <v>1627</v>
      </c>
      <c r="AF156" s="757" t="s">
        <v>1627</v>
      </c>
      <c r="AG156" s="757" t="s">
        <v>1627</v>
      </c>
      <c r="AH156" s="757" t="s">
        <v>1627</v>
      </c>
      <c r="AI156" s="757" t="s">
        <v>1627</v>
      </c>
      <c r="AJ156" s="757" t="s">
        <v>1627</v>
      </c>
      <c r="EI156" s="705"/>
      <c r="EJ156" s="745"/>
      <c r="EK156" s="755"/>
      <c r="EL156" s="745"/>
      <c r="EM156" s="745"/>
      <c r="EN156" s="745"/>
      <c r="EO156" s="745"/>
      <c r="EP156" s="737"/>
      <c r="EQ156" s="737"/>
      <c r="FR156" s="812"/>
      <c r="FS156" s="812"/>
      <c r="FT156" s="812"/>
      <c r="FU156" s="812"/>
      <c r="FV156" s="812"/>
      <c r="FW156" s="812"/>
      <c r="FX156" s="812"/>
      <c r="FY156" s="812"/>
      <c r="FZ156" s="812"/>
      <c r="GL156" s="386"/>
      <c r="GM156" s="386"/>
      <c r="GN156" s="386"/>
      <c r="GO156" s="386"/>
      <c r="GP156" s="386"/>
      <c r="GQ156" s="386"/>
      <c r="GR156" s="398"/>
    </row>
    <row r="157" spans="9:215" ht="14.1" customHeight="1">
      <c r="I157" s="761"/>
      <c r="J157" s="676"/>
      <c r="K157" s="676"/>
      <c r="L157" s="676"/>
      <c r="M157" s="676"/>
      <c r="N157" s="676"/>
      <c r="O157" s="676"/>
      <c r="P157" s="676"/>
      <c r="Q157" s="676"/>
      <c r="S157" s="398"/>
      <c r="T157" s="740"/>
      <c r="U157" s="738"/>
      <c r="V157" s="737"/>
      <c r="W157" s="738"/>
      <c r="X157" s="738"/>
      <c r="Y157" s="738"/>
      <c r="Z157" s="738"/>
      <c r="AA157" s="738"/>
      <c r="AB157" s="738"/>
      <c r="AC157" s="738"/>
      <c r="AD157" s="754"/>
      <c r="AE157" s="738"/>
      <c r="AF157" s="738"/>
      <c r="AG157" s="738"/>
      <c r="AH157" s="738"/>
      <c r="AI157" s="738"/>
      <c r="AJ157" s="738"/>
      <c r="EI157" s="705"/>
      <c r="EJ157" s="745"/>
      <c r="EK157" s="755"/>
      <c r="EL157" s="745"/>
      <c r="EM157" s="745"/>
      <c r="EN157" s="745"/>
      <c r="EO157" s="745"/>
      <c r="EP157" s="737"/>
      <c r="EQ157" s="737"/>
      <c r="FR157" s="812"/>
      <c r="FS157" s="812"/>
      <c r="FT157" s="812"/>
      <c r="FU157" s="812"/>
      <c r="FV157" s="812"/>
      <c r="FW157" s="812"/>
      <c r="FX157" s="812"/>
      <c r="FY157" s="812"/>
      <c r="FZ157" s="812"/>
      <c r="GL157" s="386"/>
      <c r="GM157" s="386"/>
      <c r="GN157" s="386"/>
      <c r="GO157" s="386"/>
      <c r="GP157" s="386"/>
      <c r="GQ157" s="386"/>
      <c r="GR157" s="756"/>
    </row>
    <row r="158" spans="9:215" ht="14.1" customHeight="1">
      <c r="I158" s="761"/>
      <c r="J158" s="676"/>
      <c r="K158" s="676"/>
      <c r="L158" s="676"/>
      <c r="M158" s="676"/>
      <c r="N158" s="676"/>
      <c r="O158" s="676"/>
      <c r="P158" s="676"/>
      <c r="Q158" s="676"/>
      <c r="S158" s="398" t="s">
        <v>3827</v>
      </c>
      <c r="T158" s="740"/>
      <c r="U158" s="754">
        <f>SUM(U159:U168)</f>
        <v>4159</v>
      </c>
      <c r="V158" s="754">
        <f t="shared" ref="V158:AJ158" si="92">SUM(V159:V168)</f>
        <v>114</v>
      </c>
      <c r="W158" s="754">
        <f t="shared" si="92"/>
        <v>45</v>
      </c>
      <c r="X158" s="754">
        <f t="shared" si="92"/>
        <v>257</v>
      </c>
      <c r="Y158" s="754">
        <f t="shared" si="92"/>
        <v>315</v>
      </c>
      <c r="Z158" s="754">
        <f t="shared" si="92"/>
        <v>274</v>
      </c>
      <c r="AA158" s="754">
        <f t="shared" si="92"/>
        <v>305</v>
      </c>
      <c r="AB158" s="754">
        <f t="shared" si="92"/>
        <v>303</v>
      </c>
      <c r="AC158" s="754">
        <f t="shared" si="92"/>
        <v>312</v>
      </c>
      <c r="AD158" s="754">
        <f t="shared" si="92"/>
        <v>313</v>
      </c>
      <c r="AE158" s="754">
        <f t="shared" si="92"/>
        <v>301</v>
      </c>
      <c r="AF158" s="754">
        <f t="shared" si="92"/>
        <v>249</v>
      </c>
      <c r="AG158" s="754">
        <f t="shared" si="92"/>
        <v>306</v>
      </c>
      <c r="AH158" s="754">
        <f t="shared" si="92"/>
        <v>369</v>
      </c>
      <c r="AI158" s="754">
        <f t="shared" si="92"/>
        <v>381</v>
      </c>
      <c r="AJ158" s="754">
        <f t="shared" si="92"/>
        <v>315</v>
      </c>
      <c r="EI158" s="705"/>
      <c r="EJ158" s="745"/>
      <c r="EK158" s="755"/>
      <c r="EL158" s="745"/>
      <c r="EM158" s="745"/>
      <c r="EN158" s="745"/>
      <c r="EO158" s="745"/>
      <c r="EP158" s="737"/>
      <c r="EQ158" s="737"/>
      <c r="FR158" s="812"/>
      <c r="FS158" s="812"/>
      <c r="FT158" s="812"/>
      <c r="FU158" s="812"/>
      <c r="FV158" s="812"/>
      <c r="FW158" s="812"/>
      <c r="FX158" s="812"/>
      <c r="FY158" s="812"/>
      <c r="FZ158" s="812"/>
      <c r="GL158" s="386"/>
      <c r="GM158" s="386"/>
      <c r="GN158" s="386"/>
      <c r="GO158" s="386"/>
      <c r="GP158" s="386"/>
      <c r="GQ158" s="386"/>
      <c r="GR158" s="386"/>
    </row>
    <row r="159" spans="9:215" ht="14.1" customHeight="1">
      <c r="J159" s="676"/>
      <c r="K159" s="676"/>
      <c r="L159" s="676"/>
      <c r="M159" s="676"/>
      <c r="N159" s="676"/>
      <c r="O159" s="676"/>
      <c r="P159" s="676"/>
      <c r="Q159" s="676"/>
      <c r="S159" s="386" t="s">
        <v>3719</v>
      </c>
      <c r="T159" s="386" t="s">
        <v>3831</v>
      </c>
      <c r="U159" s="738">
        <f>SUM(V159:AJ159)</f>
        <v>351</v>
      </c>
      <c r="V159" s="737">
        <v>19</v>
      </c>
      <c r="W159" s="738">
        <v>17</v>
      </c>
      <c r="X159" s="738">
        <v>58</v>
      </c>
      <c r="Y159" s="738">
        <v>58</v>
      </c>
      <c r="Z159" s="738">
        <v>50</v>
      </c>
      <c r="AA159" s="738">
        <v>58</v>
      </c>
      <c r="AB159" s="738">
        <v>46</v>
      </c>
      <c r="AC159" s="738">
        <v>45</v>
      </c>
      <c r="AD159" s="757" t="s">
        <v>1627</v>
      </c>
      <c r="AE159" s="757" t="s">
        <v>1627</v>
      </c>
      <c r="AF159" s="757" t="s">
        <v>1627</v>
      </c>
      <c r="AG159" s="757" t="s">
        <v>1627</v>
      </c>
      <c r="AH159" s="757" t="s">
        <v>1627</v>
      </c>
      <c r="AI159" s="757" t="s">
        <v>1627</v>
      </c>
      <c r="AJ159" s="757" t="s">
        <v>1627</v>
      </c>
      <c r="EI159" s="705"/>
      <c r="EJ159" s="745"/>
      <c r="EK159" s="755"/>
      <c r="EL159" s="745"/>
      <c r="EM159" s="745"/>
      <c r="EN159" s="745"/>
      <c r="EO159" s="745"/>
      <c r="EP159" s="737"/>
      <c r="EQ159" s="737"/>
      <c r="FR159" s="812"/>
      <c r="FS159" s="812"/>
      <c r="FT159" s="812"/>
      <c r="FU159" s="812"/>
      <c r="FV159" s="812"/>
      <c r="FW159" s="812"/>
      <c r="FX159" s="812"/>
      <c r="FY159" s="812"/>
      <c r="FZ159" s="812"/>
      <c r="GL159" s="386"/>
      <c r="GM159" s="386"/>
      <c r="GN159" s="386"/>
      <c r="GO159" s="386"/>
      <c r="GP159" s="386"/>
      <c r="GQ159" s="386"/>
      <c r="GR159" s="386"/>
    </row>
    <row r="160" spans="9:215" ht="14.1" customHeight="1">
      <c r="I160" s="737"/>
      <c r="J160" s="676"/>
      <c r="K160" s="676"/>
      <c r="L160" s="676"/>
      <c r="M160" s="676"/>
      <c r="N160" s="676"/>
      <c r="O160" s="676"/>
      <c r="P160" s="676"/>
      <c r="Q160" s="676"/>
      <c r="S160" s="386" t="s">
        <v>3818</v>
      </c>
      <c r="T160" s="386" t="s">
        <v>3831</v>
      </c>
      <c r="U160" s="738">
        <f t="shared" ref="U160:U168" si="93">SUM(V160:AJ160)</f>
        <v>368</v>
      </c>
      <c r="V160" s="757" t="s">
        <v>1627</v>
      </c>
      <c r="W160" s="757" t="s">
        <v>1627</v>
      </c>
      <c r="X160" s="757" t="s">
        <v>1627</v>
      </c>
      <c r="Y160" s="757" t="s">
        <v>1627</v>
      </c>
      <c r="Z160" s="757" t="s">
        <v>1627</v>
      </c>
      <c r="AA160" s="757" t="s">
        <v>1627</v>
      </c>
      <c r="AB160" s="757" t="s">
        <v>1627</v>
      </c>
      <c r="AC160" s="757" t="s">
        <v>1627</v>
      </c>
      <c r="AD160" s="757">
        <v>137</v>
      </c>
      <c r="AE160" s="757">
        <v>121</v>
      </c>
      <c r="AF160" s="757">
        <v>110</v>
      </c>
      <c r="AG160" s="757" t="s">
        <v>1627</v>
      </c>
      <c r="AH160" s="757" t="s">
        <v>1627</v>
      </c>
      <c r="AI160" s="757" t="s">
        <v>1627</v>
      </c>
      <c r="AJ160" s="757" t="s">
        <v>1627</v>
      </c>
      <c r="EI160" s="705"/>
      <c r="EJ160" s="745"/>
      <c r="EK160" s="755"/>
      <c r="EL160" s="745"/>
      <c r="EM160" s="745"/>
      <c r="EN160" s="745"/>
      <c r="EO160" s="745"/>
      <c r="EP160" s="737"/>
      <c r="EQ160" s="737"/>
      <c r="FR160" s="812"/>
      <c r="FS160" s="839"/>
      <c r="FT160" s="839"/>
      <c r="FU160" s="839"/>
      <c r="FV160" s="839"/>
      <c r="FW160" s="839"/>
      <c r="FX160" s="839"/>
      <c r="FY160" s="839"/>
      <c r="FZ160" s="812"/>
      <c r="GL160" s="825"/>
      <c r="GM160" s="825"/>
      <c r="GN160" s="825"/>
      <c r="GO160" s="825"/>
      <c r="GP160" s="825"/>
      <c r="GQ160" s="825"/>
      <c r="GR160" s="386"/>
    </row>
    <row r="161" spans="9:209" ht="14.1" customHeight="1">
      <c r="I161" s="737"/>
      <c r="J161" s="676"/>
      <c r="K161" s="676"/>
      <c r="L161" s="676"/>
      <c r="M161" s="676"/>
      <c r="N161" s="676"/>
      <c r="O161" s="676"/>
      <c r="P161" s="676"/>
      <c r="Q161" s="676"/>
      <c r="S161" s="386" t="s">
        <v>3839</v>
      </c>
      <c r="T161" s="386" t="s">
        <v>3840</v>
      </c>
      <c r="U161" s="738">
        <f t="shared" si="93"/>
        <v>267</v>
      </c>
      <c r="V161" s="737">
        <v>20</v>
      </c>
      <c r="W161" s="738">
        <v>0</v>
      </c>
      <c r="X161" s="738">
        <v>37</v>
      </c>
      <c r="Y161" s="738">
        <v>38</v>
      </c>
      <c r="Z161" s="738">
        <v>46</v>
      </c>
      <c r="AA161" s="738">
        <v>50</v>
      </c>
      <c r="AB161" s="738">
        <v>38</v>
      </c>
      <c r="AC161" s="738">
        <v>38</v>
      </c>
      <c r="AD161" s="757" t="s">
        <v>1627</v>
      </c>
      <c r="AE161" s="757" t="s">
        <v>1627</v>
      </c>
      <c r="AF161" s="757" t="s">
        <v>1627</v>
      </c>
      <c r="AG161" s="757" t="s">
        <v>1627</v>
      </c>
      <c r="AH161" s="757" t="s">
        <v>1627</v>
      </c>
      <c r="AI161" s="757" t="s">
        <v>1627</v>
      </c>
      <c r="AJ161" s="757" t="s">
        <v>1627</v>
      </c>
      <c r="EI161" s="705"/>
      <c r="EJ161" s="745"/>
      <c r="EK161" s="755"/>
      <c r="EL161" s="745"/>
      <c r="EM161" s="745"/>
      <c r="EN161" s="745"/>
      <c r="EO161" s="745"/>
      <c r="EP161" s="737"/>
      <c r="EQ161" s="737"/>
      <c r="FR161" s="812"/>
      <c r="FS161" s="812"/>
      <c r="FT161" s="812"/>
      <c r="FU161" s="812"/>
      <c r="FV161" s="812"/>
      <c r="FW161" s="812"/>
      <c r="FX161" s="812"/>
      <c r="FY161" s="812"/>
      <c r="FZ161" s="812"/>
      <c r="GL161" s="825"/>
      <c r="GM161" s="825"/>
      <c r="GN161" s="825"/>
      <c r="GO161" s="825"/>
      <c r="GP161" s="825"/>
      <c r="GQ161" s="825"/>
      <c r="GR161" s="386"/>
    </row>
    <row r="162" spans="9:209" ht="14.1" customHeight="1">
      <c r="I162" s="737"/>
      <c r="J162" s="676"/>
      <c r="K162" s="676"/>
      <c r="L162" s="676"/>
      <c r="M162" s="676"/>
      <c r="N162" s="676"/>
      <c r="O162" s="676"/>
      <c r="P162" s="676"/>
      <c r="Q162" s="676"/>
      <c r="S162" s="386" t="s">
        <v>3844</v>
      </c>
      <c r="T162" s="386" t="s">
        <v>3840</v>
      </c>
      <c r="U162" s="738">
        <f t="shared" si="93"/>
        <v>495</v>
      </c>
      <c r="V162" s="757" t="s">
        <v>1627</v>
      </c>
      <c r="W162" s="757" t="s">
        <v>1627</v>
      </c>
      <c r="X162" s="757" t="s">
        <v>1627</v>
      </c>
      <c r="Y162" s="757" t="s">
        <v>1627</v>
      </c>
      <c r="Z162" s="757" t="s">
        <v>1627</v>
      </c>
      <c r="AA162" s="757" t="s">
        <v>1627</v>
      </c>
      <c r="AB162" s="757" t="s">
        <v>1627</v>
      </c>
      <c r="AC162" s="757" t="s">
        <v>1627</v>
      </c>
      <c r="AD162" s="754">
        <v>176</v>
      </c>
      <c r="AE162" s="738">
        <v>180</v>
      </c>
      <c r="AF162" s="738">
        <v>139</v>
      </c>
      <c r="AG162" s="757" t="s">
        <v>1627</v>
      </c>
      <c r="AH162" s="757" t="s">
        <v>1627</v>
      </c>
      <c r="AI162" s="757" t="s">
        <v>1627</v>
      </c>
      <c r="AJ162" s="757" t="s">
        <v>1627</v>
      </c>
      <c r="EI162" s="705"/>
      <c r="EJ162" s="745"/>
      <c r="EK162" s="755"/>
      <c r="EL162" s="745"/>
      <c r="EM162" s="745"/>
      <c r="EN162" s="745"/>
      <c r="EO162" s="745"/>
      <c r="EP162" s="737"/>
      <c r="EQ162" s="737"/>
      <c r="FR162" s="812"/>
      <c r="FS162" s="812"/>
      <c r="FT162" s="812"/>
      <c r="FU162" s="812"/>
      <c r="FV162" s="812"/>
      <c r="FW162" s="812"/>
      <c r="FX162" s="812"/>
      <c r="FY162" s="812"/>
      <c r="FZ162" s="812"/>
      <c r="GL162" s="825"/>
      <c r="GM162" s="825"/>
      <c r="GN162" s="825"/>
      <c r="GO162" s="825"/>
      <c r="GP162" s="825"/>
      <c r="GQ162" s="825"/>
      <c r="GR162" s="386"/>
    </row>
    <row r="163" spans="9:209" ht="14.1" customHeight="1">
      <c r="J163" s="676"/>
      <c r="K163" s="676"/>
      <c r="L163" s="676"/>
      <c r="M163" s="676"/>
      <c r="N163" s="676"/>
      <c r="O163" s="676"/>
      <c r="P163" s="676"/>
      <c r="Q163" s="676"/>
      <c r="S163" s="386" t="s">
        <v>3848</v>
      </c>
      <c r="T163" s="386" t="s">
        <v>3849</v>
      </c>
      <c r="U163" s="738">
        <f t="shared" si="93"/>
        <v>245</v>
      </c>
      <c r="V163" s="737">
        <v>19</v>
      </c>
      <c r="W163" s="776">
        <v>0</v>
      </c>
      <c r="X163" s="776">
        <v>28</v>
      </c>
      <c r="Y163" s="738">
        <v>39</v>
      </c>
      <c r="Z163" s="738">
        <v>36</v>
      </c>
      <c r="AA163" s="738">
        <v>36</v>
      </c>
      <c r="AB163" s="738">
        <v>48</v>
      </c>
      <c r="AC163" s="738">
        <v>39</v>
      </c>
      <c r="AD163" s="757" t="s">
        <v>1627</v>
      </c>
      <c r="AE163" s="757" t="s">
        <v>1627</v>
      </c>
      <c r="AF163" s="757" t="s">
        <v>1627</v>
      </c>
      <c r="AG163" s="757" t="s">
        <v>1627</v>
      </c>
      <c r="AH163" s="757" t="s">
        <v>1627</v>
      </c>
      <c r="AI163" s="757" t="s">
        <v>1627</v>
      </c>
      <c r="AJ163" s="757" t="s">
        <v>1627</v>
      </c>
      <c r="EI163" s="705"/>
      <c r="EJ163" s="745"/>
      <c r="EK163" s="755"/>
      <c r="EL163" s="745"/>
      <c r="EM163" s="745"/>
      <c r="EN163" s="745"/>
      <c r="EO163" s="745"/>
      <c r="EP163" s="737"/>
      <c r="EQ163" s="737"/>
      <c r="FR163" s="812"/>
      <c r="FS163" s="812"/>
      <c r="FT163" s="812"/>
      <c r="FU163" s="812"/>
      <c r="FV163" s="812"/>
      <c r="FW163" s="812"/>
      <c r="FX163" s="812"/>
      <c r="FY163" s="812"/>
      <c r="FZ163" s="812"/>
      <c r="GL163" s="825"/>
      <c r="GM163" s="825"/>
      <c r="GN163" s="825"/>
      <c r="GO163" s="825"/>
      <c r="GP163" s="825"/>
      <c r="GQ163" s="825"/>
      <c r="GR163" s="386"/>
    </row>
    <row r="164" spans="9:209" ht="14.1" customHeight="1">
      <c r="J164" s="676"/>
      <c r="K164" s="676"/>
      <c r="L164" s="676"/>
      <c r="M164" s="676"/>
      <c r="N164" s="676"/>
      <c r="O164" s="676"/>
      <c r="P164" s="676"/>
      <c r="Q164" s="676"/>
      <c r="S164" s="386" t="s">
        <v>3635</v>
      </c>
      <c r="T164" s="386" t="s">
        <v>3852</v>
      </c>
      <c r="U164" s="738">
        <f t="shared" si="93"/>
        <v>304</v>
      </c>
      <c r="V164" s="738">
        <v>18</v>
      </c>
      <c r="W164" s="738">
        <v>14</v>
      </c>
      <c r="X164" s="738">
        <v>36</v>
      </c>
      <c r="Y164" s="738">
        <v>41</v>
      </c>
      <c r="Z164" s="738">
        <v>46</v>
      </c>
      <c r="AA164" s="738">
        <v>37</v>
      </c>
      <c r="AB164" s="738">
        <v>51</v>
      </c>
      <c r="AC164" s="738">
        <v>61</v>
      </c>
      <c r="AD164" s="757" t="s">
        <v>1627</v>
      </c>
      <c r="AE164" s="757" t="s">
        <v>1627</v>
      </c>
      <c r="AF164" s="757" t="s">
        <v>1627</v>
      </c>
      <c r="AG164" s="757" t="s">
        <v>1627</v>
      </c>
      <c r="AH164" s="757" t="s">
        <v>1627</v>
      </c>
      <c r="AI164" s="757" t="s">
        <v>1627</v>
      </c>
      <c r="AJ164" s="757" t="s">
        <v>1627</v>
      </c>
      <c r="EI164" s="705"/>
      <c r="EJ164" s="745"/>
      <c r="EK164" s="755"/>
      <c r="EL164" s="745"/>
      <c r="EM164" s="745"/>
      <c r="EN164" s="745"/>
      <c r="EO164" s="745"/>
      <c r="EP164" s="737"/>
      <c r="EQ164" s="737"/>
      <c r="FR164" s="812"/>
      <c r="FS164" s="812"/>
      <c r="FT164" s="812"/>
      <c r="FU164" s="812"/>
      <c r="FV164" s="812"/>
      <c r="FW164" s="812"/>
      <c r="FX164" s="812"/>
      <c r="FY164" s="812"/>
      <c r="FZ164" s="812"/>
      <c r="GL164" s="825"/>
      <c r="GM164" s="825"/>
      <c r="GN164" s="825"/>
      <c r="GO164" s="825"/>
      <c r="GP164" s="825"/>
      <c r="GQ164" s="825"/>
      <c r="GR164" s="825"/>
    </row>
    <row r="165" spans="9:209" ht="14.1" customHeight="1">
      <c r="J165" s="676"/>
      <c r="K165" s="676"/>
      <c r="L165" s="676"/>
      <c r="M165" s="676"/>
      <c r="N165" s="676"/>
      <c r="O165" s="676"/>
      <c r="P165" s="676"/>
      <c r="Q165" s="676"/>
      <c r="S165" s="386" t="s">
        <v>3856</v>
      </c>
      <c r="T165" s="386" t="s">
        <v>3852</v>
      </c>
      <c r="U165" s="738">
        <f t="shared" si="93"/>
        <v>1232</v>
      </c>
      <c r="V165" s="757" t="s">
        <v>1627</v>
      </c>
      <c r="W165" s="757" t="s">
        <v>1627</v>
      </c>
      <c r="X165" s="757" t="s">
        <v>1627</v>
      </c>
      <c r="Y165" s="757" t="s">
        <v>1627</v>
      </c>
      <c r="Z165" s="757" t="s">
        <v>1627</v>
      </c>
      <c r="AA165" s="757" t="s">
        <v>1627</v>
      </c>
      <c r="AB165" s="757" t="s">
        <v>1627</v>
      </c>
      <c r="AC165" s="757" t="s">
        <v>1627</v>
      </c>
      <c r="AD165" s="757" t="s">
        <v>1627</v>
      </c>
      <c r="AE165" s="757" t="s">
        <v>1627</v>
      </c>
      <c r="AF165" s="757" t="s">
        <v>1627</v>
      </c>
      <c r="AG165" s="754">
        <v>304</v>
      </c>
      <c r="AH165" s="754">
        <v>350</v>
      </c>
      <c r="AI165" s="738">
        <v>315</v>
      </c>
      <c r="AJ165" s="738">
        <v>263</v>
      </c>
      <c r="EI165" s="705"/>
      <c r="EJ165" s="745"/>
      <c r="EK165" s="755"/>
      <c r="EL165" s="745"/>
      <c r="EM165" s="745"/>
      <c r="EN165" s="745"/>
      <c r="EO165" s="745"/>
      <c r="EP165" s="737"/>
      <c r="EQ165" s="737"/>
      <c r="FR165" s="812"/>
      <c r="FS165" s="812"/>
      <c r="FT165" s="812"/>
      <c r="FU165" s="812"/>
      <c r="FV165" s="812"/>
      <c r="FW165" s="812"/>
      <c r="FX165" s="812"/>
      <c r="FY165" s="812"/>
      <c r="FZ165" s="812"/>
      <c r="GL165" s="825"/>
      <c r="GM165" s="825"/>
      <c r="GN165" s="825"/>
      <c r="GO165" s="825"/>
      <c r="GP165" s="825"/>
      <c r="GQ165" s="825"/>
      <c r="GR165" s="825"/>
      <c r="HA165" s="398"/>
    </row>
    <row r="166" spans="9:209" ht="14.1" customHeight="1">
      <c r="J166" s="676"/>
      <c r="K166" s="676"/>
      <c r="L166" s="676"/>
      <c r="M166" s="676"/>
      <c r="N166" s="676"/>
      <c r="O166" s="676"/>
      <c r="P166" s="676"/>
      <c r="Q166" s="676"/>
      <c r="S166" s="386" t="s">
        <v>3698</v>
      </c>
      <c r="T166" s="386" t="s">
        <v>3862</v>
      </c>
      <c r="U166" s="738">
        <f t="shared" si="93"/>
        <v>517</v>
      </c>
      <c r="V166" s="737">
        <v>19</v>
      </c>
      <c r="W166" s="738">
        <v>14</v>
      </c>
      <c r="X166" s="738">
        <v>62</v>
      </c>
      <c r="Y166" s="738">
        <v>104</v>
      </c>
      <c r="Z166" s="738">
        <v>70</v>
      </c>
      <c r="AA166" s="738">
        <v>85</v>
      </c>
      <c r="AB166" s="738">
        <v>85</v>
      </c>
      <c r="AC166" s="738">
        <v>78</v>
      </c>
      <c r="AD166" s="757" t="s">
        <v>1627</v>
      </c>
      <c r="AE166" s="757" t="s">
        <v>1627</v>
      </c>
      <c r="AF166" s="757" t="s">
        <v>1627</v>
      </c>
      <c r="AG166" s="757" t="s">
        <v>1627</v>
      </c>
      <c r="AH166" s="757" t="s">
        <v>1627</v>
      </c>
      <c r="AI166" s="757" t="s">
        <v>1627</v>
      </c>
      <c r="AJ166" s="757" t="s">
        <v>1627</v>
      </c>
      <c r="EI166" s="705"/>
      <c r="EJ166" s="745"/>
      <c r="EK166" s="755"/>
      <c r="EL166" s="745"/>
      <c r="EM166" s="745"/>
      <c r="EN166" s="745"/>
      <c r="EO166" s="745"/>
      <c r="EP166" s="737"/>
      <c r="EQ166" s="737"/>
      <c r="FR166" s="812"/>
      <c r="FS166" s="812"/>
      <c r="FT166" s="812"/>
      <c r="FU166" s="812"/>
      <c r="FV166" s="812"/>
      <c r="FW166" s="812"/>
      <c r="FX166" s="812"/>
      <c r="FY166" s="812"/>
      <c r="GL166" s="825"/>
      <c r="GM166" s="825"/>
      <c r="GN166" s="825"/>
      <c r="GO166" s="825"/>
      <c r="GP166" s="825"/>
      <c r="GQ166" s="825"/>
      <c r="GR166" s="825"/>
      <c r="HA166" s="398"/>
    </row>
    <row r="167" spans="9:209" ht="14.1" customHeight="1">
      <c r="J167" s="676"/>
      <c r="K167" s="676"/>
      <c r="L167" s="676"/>
      <c r="M167" s="676"/>
      <c r="N167" s="676"/>
      <c r="O167" s="676"/>
      <c r="P167" s="676"/>
      <c r="Q167" s="676"/>
      <c r="S167" s="386" t="s">
        <v>2201</v>
      </c>
      <c r="T167" s="386" t="s">
        <v>2201</v>
      </c>
      <c r="U167" s="738">
        <f t="shared" si="93"/>
        <v>241</v>
      </c>
      <c r="V167" s="737">
        <v>19</v>
      </c>
      <c r="W167" s="738">
        <v>0</v>
      </c>
      <c r="X167" s="738">
        <v>36</v>
      </c>
      <c r="Y167" s="738">
        <v>35</v>
      </c>
      <c r="Z167" s="738">
        <v>26</v>
      </c>
      <c r="AA167" s="738">
        <v>39</v>
      </c>
      <c r="AB167" s="738">
        <v>35</v>
      </c>
      <c r="AC167" s="738">
        <v>51</v>
      </c>
      <c r="AD167" s="757" t="s">
        <v>1627</v>
      </c>
      <c r="AE167" s="757" t="s">
        <v>1627</v>
      </c>
      <c r="AF167" s="757" t="s">
        <v>1627</v>
      </c>
      <c r="AG167" s="757" t="s">
        <v>1627</v>
      </c>
      <c r="AH167" s="757" t="s">
        <v>1627</v>
      </c>
      <c r="AI167" s="757" t="s">
        <v>1627</v>
      </c>
      <c r="AJ167" s="757" t="s">
        <v>1627</v>
      </c>
      <c r="EI167" s="705"/>
      <c r="EJ167" s="745"/>
      <c r="EK167" s="755"/>
      <c r="EL167" s="745"/>
      <c r="EM167" s="745"/>
      <c r="EN167" s="745"/>
      <c r="EO167" s="745"/>
      <c r="EP167" s="737"/>
      <c r="EQ167" s="737"/>
      <c r="FS167" s="812"/>
      <c r="FT167" s="812"/>
      <c r="FU167" s="812"/>
      <c r="FV167" s="812"/>
      <c r="FW167" s="812"/>
      <c r="FX167" s="812"/>
      <c r="FY167" s="812"/>
      <c r="GL167" s="825"/>
      <c r="GM167" s="825"/>
      <c r="GN167" s="825"/>
      <c r="GO167" s="825"/>
      <c r="GP167" s="825"/>
      <c r="GQ167" s="825"/>
      <c r="GR167" s="825"/>
      <c r="HA167" s="398"/>
    </row>
    <row r="168" spans="9:209" ht="14.1" customHeight="1">
      <c r="J168" s="676"/>
      <c r="K168" s="676"/>
      <c r="L168" s="676"/>
      <c r="M168" s="676"/>
      <c r="N168" s="676"/>
      <c r="O168" s="676"/>
      <c r="P168" s="676"/>
      <c r="Q168" s="676"/>
      <c r="S168" s="384" t="s">
        <v>3874</v>
      </c>
      <c r="T168" s="384" t="s">
        <v>2198</v>
      </c>
      <c r="U168" s="820">
        <f t="shared" si="93"/>
        <v>139</v>
      </c>
      <c r="V168" s="786" t="s">
        <v>1627</v>
      </c>
      <c r="W168" s="786" t="s">
        <v>1627</v>
      </c>
      <c r="X168" s="786" t="s">
        <v>1627</v>
      </c>
      <c r="Y168" s="786" t="s">
        <v>1627</v>
      </c>
      <c r="Z168" s="786" t="s">
        <v>1627</v>
      </c>
      <c r="AA168" s="786" t="s">
        <v>1627</v>
      </c>
      <c r="AB168" s="786" t="s">
        <v>1627</v>
      </c>
      <c r="AC168" s="786" t="s">
        <v>1627</v>
      </c>
      <c r="AD168" s="786" t="s">
        <v>1627</v>
      </c>
      <c r="AE168" s="786" t="s">
        <v>1627</v>
      </c>
      <c r="AF168" s="786" t="s">
        <v>1627</v>
      </c>
      <c r="AG168" s="801">
        <v>2</v>
      </c>
      <c r="AH168" s="801">
        <v>19</v>
      </c>
      <c r="AI168" s="801">
        <v>66</v>
      </c>
      <c r="AJ168" s="820">
        <v>52</v>
      </c>
      <c r="EI168" s="705"/>
      <c r="EJ168" s="745"/>
      <c r="EK168" s="755"/>
      <c r="EL168" s="745"/>
      <c r="EM168" s="745"/>
      <c r="EN168" s="745"/>
      <c r="EO168" s="745"/>
      <c r="EP168" s="737"/>
      <c r="EQ168" s="737"/>
      <c r="FS168" s="812"/>
      <c r="FT168" s="812"/>
      <c r="FU168" s="812"/>
      <c r="FV168" s="812"/>
      <c r="FW168" s="812"/>
      <c r="FX168" s="812"/>
      <c r="FY168" s="812"/>
      <c r="GL168" s="825"/>
      <c r="GM168" s="825"/>
      <c r="GN168" s="825"/>
      <c r="GO168" s="825"/>
      <c r="GP168" s="825"/>
      <c r="GQ168" s="825"/>
      <c r="GR168" s="825"/>
      <c r="HA168" s="398"/>
    </row>
    <row r="169" spans="9:209" ht="14.1" customHeight="1">
      <c r="J169" s="676"/>
      <c r="K169" s="676"/>
      <c r="L169" s="676"/>
      <c r="M169" s="676"/>
      <c r="N169" s="676"/>
      <c r="O169" s="676"/>
      <c r="P169" s="676"/>
      <c r="Q169" s="676"/>
      <c r="S169" s="676" t="s">
        <v>3867</v>
      </c>
      <c r="EI169" s="705"/>
      <c r="EJ169" s="745"/>
      <c r="EK169" s="755"/>
      <c r="EL169" s="745"/>
      <c r="EM169" s="745"/>
      <c r="EN169" s="745"/>
      <c r="EO169" s="745"/>
      <c r="EP169" s="737"/>
      <c r="EQ169" s="737"/>
      <c r="GL169" s="825"/>
      <c r="GM169" s="825"/>
      <c r="GN169" s="825"/>
      <c r="GO169" s="825"/>
      <c r="GP169" s="825"/>
      <c r="GQ169" s="825"/>
      <c r="GR169" s="825"/>
      <c r="HA169" s="398"/>
    </row>
    <row r="170" spans="9:209" ht="14.1" customHeight="1">
      <c r="J170" s="676"/>
      <c r="K170" s="676"/>
      <c r="L170" s="676"/>
      <c r="M170" s="676"/>
      <c r="N170" s="676"/>
      <c r="O170" s="676"/>
      <c r="P170" s="676"/>
      <c r="Q170" s="676"/>
      <c r="S170" s="386" t="s">
        <v>3882</v>
      </c>
      <c r="EI170" s="705"/>
      <c r="EJ170" s="745"/>
      <c r="EK170" s="755"/>
      <c r="EL170" s="745"/>
      <c r="EM170" s="745"/>
      <c r="EN170" s="745"/>
      <c r="EO170" s="745"/>
      <c r="EP170" s="737"/>
      <c r="EQ170" s="737"/>
      <c r="GL170" s="571"/>
      <c r="GM170" s="571"/>
      <c r="GN170" s="571"/>
      <c r="GO170" s="571"/>
      <c r="GP170" s="571"/>
      <c r="GQ170" s="571"/>
      <c r="GR170" s="825"/>
      <c r="HA170" s="398"/>
    </row>
    <row r="171" spans="9:209" ht="14.1" customHeight="1">
      <c r="J171" s="676"/>
      <c r="K171" s="676"/>
      <c r="L171" s="676"/>
      <c r="M171" s="676"/>
      <c r="N171" s="676"/>
      <c r="O171" s="676"/>
      <c r="P171" s="676"/>
      <c r="Q171" s="676"/>
      <c r="S171" s="674" t="s">
        <v>3873</v>
      </c>
      <c r="EI171" s="705"/>
      <c r="EJ171" s="745"/>
      <c r="EK171" s="755"/>
      <c r="EL171" s="745"/>
      <c r="EM171" s="745"/>
      <c r="EN171" s="745"/>
      <c r="EO171" s="745"/>
      <c r="EP171" s="737"/>
      <c r="EQ171" s="737"/>
      <c r="GL171" s="571"/>
      <c r="GM171" s="571"/>
      <c r="GN171" s="571"/>
      <c r="GO171" s="571"/>
      <c r="GP171" s="571"/>
      <c r="GQ171" s="571"/>
      <c r="GR171" s="825"/>
      <c r="HA171" s="398"/>
    </row>
    <row r="172" spans="9:209" ht="14.1" customHeight="1">
      <c r="J172" s="676"/>
      <c r="K172" s="676"/>
      <c r="L172" s="676"/>
      <c r="M172" s="676"/>
      <c r="N172" s="676"/>
      <c r="O172" s="676"/>
      <c r="P172" s="676"/>
      <c r="Q172" s="676"/>
      <c r="EI172" s="705"/>
      <c r="EJ172" s="745"/>
      <c r="EK172" s="755"/>
      <c r="EL172" s="745"/>
      <c r="EM172" s="745"/>
      <c r="EN172" s="745"/>
      <c r="EO172" s="745"/>
      <c r="EP172" s="737"/>
      <c r="EQ172" s="737"/>
      <c r="GL172" s="571"/>
      <c r="GM172" s="571"/>
      <c r="GN172" s="571"/>
      <c r="GO172" s="571"/>
      <c r="GP172" s="571"/>
      <c r="GQ172" s="571"/>
      <c r="GR172" s="825"/>
      <c r="HA172" s="398"/>
    </row>
    <row r="173" spans="9:209" ht="14.1" customHeight="1">
      <c r="J173" s="676"/>
      <c r="K173" s="676"/>
      <c r="L173" s="676"/>
      <c r="M173" s="676"/>
      <c r="N173" s="676"/>
      <c r="O173" s="676"/>
      <c r="P173" s="676"/>
      <c r="Q173" s="676"/>
      <c r="EI173" s="705"/>
      <c r="EJ173" s="745"/>
      <c r="EK173" s="755"/>
      <c r="EL173" s="745"/>
      <c r="EM173" s="745"/>
      <c r="EN173" s="745"/>
      <c r="EO173" s="745"/>
      <c r="EP173" s="737"/>
      <c r="EQ173" s="737"/>
      <c r="GL173" s="571"/>
      <c r="GM173" s="571"/>
      <c r="GN173" s="571"/>
      <c r="GO173" s="571"/>
      <c r="GP173" s="571"/>
      <c r="GQ173" s="571"/>
      <c r="GR173" s="825"/>
      <c r="HA173" s="398"/>
    </row>
    <row r="174" spans="9:209" ht="14.1" customHeight="1">
      <c r="J174" s="676"/>
      <c r="K174" s="676"/>
      <c r="L174" s="676"/>
      <c r="M174" s="676"/>
      <c r="N174" s="676"/>
      <c r="O174" s="676"/>
      <c r="P174" s="676"/>
      <c r="Q174" s="676"/>
      <c r="EI174" s="705"/>
      <c r="EJ174" s="745"/>
      <c r="EK174" s="755"/>
      <c r="EL174" s="745"/>
      <c r="EM174" s="745"/>
      <c r="EN174" s="745"/>
      <c r="EO174" s="745"/>
      <c r="EP174" s="515"/>
      <c r="EQ174" s="515"/>
      <c r="GL174" s="571"/>
      <c r="GM174" s="571"/>
      <c r="GN174" s="571"/>
      <c r="GO174" s="571"/>
      <c r="GP174" s="571"/>
      <c r="GQ174" s="571"/>
      <c r="GR174" s="571"/>
      <c r="HA174" s="398"/>
    </row>
    <row r="175" spans="9:209" ht="14.1" customHeight="1">
      <c r="J175" s="676"/>
      <c r="K175" s="676"/>
      <c r="L175" s="676"/>
      <c r="M175" s="676"/>
      <c r="N175" s="676"/>
      <c r="O175" s="676"/>
      <c r="P175" s="676"/>
      <c r="Q175" s="676"/>
      <c r="S175" s="398" t="s">
        <v>3957</v>
      </c>
      <c r="U175" s="678"/>
      <c r="V175" s="678"/>
      <c r="W175" s="678"/>
      <c r="X175" s="678"/>
      <c r="Y175" s="678"/>
      <c r="Z175" s="678"/>
      <c r="AA175" s="678"/>
      <c r="AB175" s="678"/>
      <c r="AC175" s="678"/>
      <c r="AD175" s="678"/>
      <c r="AE175" s="678"/>
      <c r="AF175" s="678"/>
      <c r="AG175" s="678"/>
      <c r="AH175" s="678"/>
      <c r="AI175" s="678"/>
      <c r="EI175" s="705"/>
      <c r="EJ175" s="745"/>
      <c r="EK175" s="755"/>
      <c r="EL175" s="745"/>
      <c r="EM175" s="745"/>
      <c r="EN175" s="745"/>
      <c r="EO175" s="745"/>
      <c r="EP175" s="515"/>
      <c r="EQ175" s="515"/>
      <c r="GL175" s="571"/>
      <c r="GM175" s="571"/>
      <c r="GN175" s="571"/>
      <c r="GO175" s="571"/>
      <c r="GP175" s="571"/>
      <c r="GQ175" s="571"/>
      <c r="GR175" s="571"/>
      <c r="HA175" s="398"/>
    </row>
    <row r="176" spans="9:209" ht="14.1" customHeight="1">
      <c r="J176" s="676"/>
      <c r="K176" s="676"/>
      <c r="L176" s="676"/>
      <c r="M176" s="676"/>
      <c r="N176" s="676"/>
      <c r="O176" s="676"/>
      <c r="P176" s="676"/>
      <c r="Q176" s="676"/>
      <c r="S176" s="695"/>
      <c r="T176" s="696"/>
      <c r="U176" s="697" t="s">
        <v>129</v>
      </c>
      <c r="V176" s="690" t="s">
        <v>3444</v>
      </c>
      <c r="W176" s="697" t="s">
        <v>3445</v>
      </c>
      <c r="X176" s="697" t="s">
        <v>3446</v>
      </c>
      <c r="Y176" s="697" t="s">
        <v>115</v>
      </c>
      <c r="Z176" s="697" t="s">
        <v>116</v>
      </c>
      <c r="AA176" s="697" t="s">
        <v>117</v>
      </c>
      <c r="AB176" s="697" t="s">
        <v>118</v>
      </c>
      <c r="AC176" s="697" t="s">
        <v>3447</v>
      </c>
      <c r="AD176" s="697" t="s">
        <v>3448</v>
      </c>
      <c r="AE176" s="697" t="s">
        <v>3449</v>
      </c>
      <c r="AF176" s="697" t="s">
        <v>3450</v>
      </c>
      <c r="AG176" s="697" t="s">
        <v>3451</v>
      </c>
      <c r="AH176" s="697" t="s">
        <v>3452</v>
      </c>
      <c r="AI176" s="697" t="s">
        <v>3095</v>
      </c>
      <c r="AJ176" s="689" t="s">
        <v>3101</v>
      </c>
      <c r="EI176" s="705"/>
      <c r="EJ176" s="745"/>
      <c r="EK176" s="755"/>
      <c r="EL176" s="745"/>
      <c r="EM176" s="745"/>
      <c r="EN176" s="745"/>
      <c r="EO176" s="745"/>
      <c r="EP176" s="737"/>
      <c r="EQ176" s="737"/>
      <c r="GL176" s="571"/>
      <c r="GM176" s="571"/>
      <c r="GN176" s="571"/>
      <c r="GO176" s="571"/>
      <c r="GP176" s="571"/>
      <c r="GQ176" s="571"/>
      <c r="GR176" s="571"/>
      <c r="HA176" s="398"/>
    </row>
    <row r="177" spans="1:213" ht="14.1" customHeight="1">
      <c r="J177" s="676"/>
      <c r="K177" s="676"/>
      <c r="L177" s="676"/>
      <c r="M177" s="676"/>
      <c r="N177" s="676"/>
      <c r="O177" s="676"/>
      <c r="P177" s="676"/>
      <c r="Q177" s="676"/>
      <c r="S177" s="678" t="s">
        <v>3472</v>
      </c>
      <c r="T177" s="719" t="s">
        <v>3473</v>
      </c>
      <c r="U177" s="712" t="s">
        <v>3474</v>
      </c>
      <c r="V177" s="712" t="s">
        <v>3475</v>
      </c>
      <c r="W177" s="712" t="s">
        <v>3476</v>
      </c>
      <c r="X177" s="712" t="s">
        <v>3477</v>
      </c>
      <c r="Y177" s="712" t="s">
        <v>3478</v>
      </c>
      <c r="Z177" s="712" t="s">
        <v>3478</v>
      </c>
      <c r="AA177" s="712" t="s">
        <v>3478</v>
      </c>
      <c r="AB177" s="712" t="s">
        <v>3478</v>
      </c>
      <c r="AC177" s="712" t="s">
        <v>3478</v>
      </c>
      <c r="AD177" s="712" t="s">
        <v>3478</v>
      </c>
      <c r="AE177" s="712" t="s">
        <v>3478</v>
      </c>
      <c r="AF177" s="712" t="s">
        <v>3478</v>
      </c>
      <c r="AG177" s="712" t="s">
        <v>3478</v>
      </c>
      <c r="AH177" s="712" t="s">
        <v>3478</v>
      </c>
      <c r="AI177" s="712" t="s">
        <v>3478</v>
      </c>
      <c r="AJ177" s="713" t="s">
        <v>3478</v>
      </c>
      <c r="EI177" s="781"/>
      <c r="EJ177" s="782"/>
      <c r="EK177" s="783"/>
      <c r="EL177" s="781"/>
      <c r="EM177" s="781"/>
      <c r="EN177" s="781"/>
      <c r="EO177" s="781"/>
      <c r="GL177" s="571"/>
      <c r="GM177" s="571"/>
      <c r="GN177" s="571"/>
      <c r="GO177" s="571"/>
      <c r="GP177" s="571"/>
      <c r="GQ177" s="571"/>
      <c r="GR177" s="571"/>
      <c r="HA177" s="398"/>
    </row>
    <row r="178" spans="1:213" ht="14.1" customHeight="1">
      <c r="J178" s="676"/>
      <c r="K178" s="676"/>
      <c r="L178" s="676"/>
      <c r="M178" s="676"/>
      <c r="N178" s="676"/>
      <c r="O178" s="676"/>
      <c r="P178" s="676"/>
      <c r="Q178" s="676"/>
      <c r="S178" s="398" t="s">
        <v>3502</v>
      </c>
      <c r="T178" s="740"/>
      <c r="U178" s="741">
        <f t="shared" ref="U178:AJ178" si="94">SUM(U179,U195,U204,U216)</f>
        <v>26619</v>
      </c>
      <c r="V178" s="741">
        <f t="shared" si="94"/>
        <v>518</v>
      </c>
      <c r="W178" s="741">
        <f t="shared" si="94"/>
        <v>145</v>
      </c>
      <c r="X178" s="741">
        <f t="shared" si="94"/>
        <v>1543</v>
      </c>
      <c r="Y178" s="741">
        <f t="shared" si="94"/>
        <v>1677</v>
      </c>
      <c r="Z178" s="741">
        <f t="shared" si="94"/>
        <v>1935</v>
      </c>
      <c r="AA178" s="741">
        <f t="shared" si="94"/>
        <v>1948</v>
      </c>
      <c r="AB178" s="741">
        <f t="shared" si="94"/>
        <v>1992</v>
      </c>
      <c r="AC178" s="741">
        <f t="shared" si="94"/>
        <v>1940</v>
      </c>
      <c r="AD178" s="741">
        <f t="shared" si="94"/>
        <v>1894</v>
      </c>
      <c r="AE178" s="741">
        <f t="shared" si="94"/>
        <v>1887</v>
      </c>
      <c r="AF178" s="741">
        <f t="shared" si="94"/>
        <v>2067</v>
      </c>
      <c r="AG178" s="741">
        <f t="shared" si="94"/>
        <v>2996</v>
      </c>
      <c r="AH178" s="741">
        <f t="shared" si="94"/>
        <v>2203</v>
      </c>
      <c r="AI178" s="741">
        <f t="shared" si="94"/>
        <v>2102</v>
      </c>
      <c r="AJ178" s="741">
        <f t="shared" si="94"/>
        <v>1772</v>
      </c>
      <c r="AL178" s="737"/>
      <c r="EI178" s="781"/>
      <c r="EJ178" s="782"/>
      <c r="EK178" s="783"/>
      <c r="EL178" s="781"/>
      <c r="EM178" s="781"/>
      <c r="EN178" s="781"/>
      <c r="EO178" s="781"/>
      <c r="GL178" s="571"/>
      <c r="GM178" s="571"/>
      <c r="GN178" s="571"/>
      <c r="GO178" s="571"/>
      <c r="GP178" s="571"/>
      <c r="GQ178" s="571"/>
      <c r="GR178" s="571"/>
      <c r="HA178" s="398"/>
    </row>
    <row r="179" spans="1:213" ht="14.1" customHeight="1">
      <c r="J179" s="676"/>
      <c r="K179" s="676"/>
      <c r="L179" s="676"/>
      <c r="M179" s="676"/>
      <c r="N179" s="676"/>
      <c r="O179" s="676"/>
      <c r="P179" s="676"/>
      <c r="Q179" s="676"/>
      <c r="R179" s="737"/>
      <c r="S179" s="398" t="s">
        <v>3520</v>
      </c>
      <c r="T179" s="740"/>
      <c r="U179" s="738">
        <f>SUM(U180:U193)</f>
        <v>10900</v>
      </c>
      <c r="V179" s="738">
        <f>SUM(V180:V193)</f>
        <v>217</v>
      </c>
      <c r="W179" s="738">
        <f>SUM(W180:W193)</f>
        <v>42</v>
      </c>
      <c r="X179" s="738">
        <f t="shared" ref="X179:AJ179" si="95">SUM(X180:X193)</f>
        <v>693</v>
      </c>
      <c r="Y179" s="738">
        <f t="shared" si="95"/>
        <v>711</v>
      </c>
      <c r="Z179" s="738">
        <f t="shared" si="95"/>
        <v>823</v>
      </c>
      <c r="AA179" s="738">
        <f t="shared" si="95"/>
        <v>844</v>
      </c>
      <c r="AB179" s="738">
        <f t="shared" si="95"/>
        <v>889</v>
      </c>
      <c r="AC179" s="738">
        <f t="shared" si="95"/>
        <v>839</v>
      </c>
      <c r="AD179" s="738">
        <f t="shared" si="95"/>
        <v>827</v>
      </c>
      <c r="AE179" s="738">
        <f t="shared" si="95"/>
        <v>829</v>
      </c>
      <c r="AF179" s="738">
        <f t="shared" si="95"/>
        <v>918</v>
      </c>
      <c r="AG179" s="738">
        <f t="shared" si="95"/>
        <v>1241</v>
      </c>
      <c r="AH179" s="738">
        <f t="shared" si="95"/>
        <v>815</v>
      </c>
      <c r="AI179" s="738">
        <f t="shared" si="95"/>
        <v>632</v>
      </c>
      <c r="AJ179" s="738">
        <f t="shared" si="95"/>
        <v>580</v>
      </c>
      <c r="EI179" s="781"/>
      <c r="EJ179" s="782"/>
      <c r="EK179" s="783"/>
      <c r="EL179" s="781"/>
      <c r="EM179" s="781"/>
      <c r="EN179" s="781"/>
      <c r="EO179" s="781"/>
      <c r="GL179" s="571"/>
      <c r="GM179" s="571"/>
      <c r="GN179" s="571"/>
      <c r="GO179" s="571"/>
      <c r="GP179" s="571"/>
      <c r="GQ179" s="571"/>
      <c r="GR179" s="571"/>
      <c r="GS179" s="398"/>
      <c r="GT179" s="398"/>
      <c r="HA179" s="398"/>
      <c r="HD179" s="398"/>
      <c r="HE179" s="398"/>
    </row>
    <row r="180" spans="1:213" ht="14.1" customHeight="1">
      <c r="J180" s="676"/>
      <c r="K180" s="676"/>
      <c r="L180" s="676"/>
      <c r="M180" s="676"/>
      <c r="N180" s="676"/>
      <c r="O180" s="676"/>
      <c r="P180" s="676"/>
      <c r="Q180" s="676"/>
      <c r="S180" s="386" t="s">
        <v>3538</v>
      </c>
      <c r="T180" s="386" t="s">
        <v>2177</v>
      </c>
      <c r="U180" s="738">
        <f>SUM(V180:AJ180)</f>
        <v>433</v>
      </c>
      <c r="V180" s="737">
        <v>20</v>
      </c>
      <c r="W180" s="738">
        <v>11</v>
      </c>
      <c r="X180" s="738">
        <v>60</v>
      </c>
      <c r="Y180" s="738">
        <v>59</v>
      </c>
      <c r="Z180" s="738">
        <v>77</v>
      </c>
      <c r="AA180" s="738">
        <v>55</v>
      </c>
      <c r="AB180" s="738">
        <v>82</v>
      </c>
      <c r="AC180" s="738">
        <v>69</v>
      </c>
      <c r="AD180" s="754" t="s">
        <v>1627</v>
      </c>
      <c r="AE180" s="754" t="s">
        <v>1627</v>
      </c>
      <c r="AF180" s="754" t="s">
        <v>1627</v>
      </c>
      <c r="AG180" s="754" t="s">
        <v>1627</v>
      </c>
      <c r="AH180" s="754" t="s">
        <v>1627</v>
      </c>
      <c r="AI180" s="754" t="s">
        <v>1627</v>
      </c>
      <c r="AJ180" s="754" t="s">
        <v>1627</v>
      </c>
      <c r="EI180" s="781"/>
      <c r="EJ180" s="782"/>
      <c r="EK180" s="783"/>
      <c r="EL180" s="781"/>
      <c r="EM180" s="781"/>
      <c r="EN180" s="781"/>
      <c r="EO180" s="781"/>
      <c r="GL180" s="571"/>
      <c r="GM180" s="571"/>
      <c r="GN180" s="571"/>
      <c r="GO180" s="571"/>
      <c r="GP180" s="571"/>
      <c r="GQ180" s="571"/>
      <c r="GR180" s="571"/>
      <c r="GS180" s="398"/>
      <c r="GT180" s="398"/>
      <c r="HA180" s="398"/>
      <c r="HD180" s="398"/>
      <c r="HE180" s="398"/>
    </row>
    <row r="181" spans="1:213" ht="14.1" customHeight="1">
      <c r="H181" s="398"/>
      <c r="I181" s="398"/>
      <c r="J181" s="676"/>
      <c r="K181" s="676"/>
      <c r="L181" s="676"/>
      <c r="M181" s="676"/>
      <c r="N181" s="676"/>
      <c r="O181" s="676"/>
      <c r="P181" s="676"/>
      <c r="Q181" s="676"/>
      <c r="R181" s="737"/>
      <c r="S181" s="386" t="s">
        <v>3551</v>
      </c>
      <c r="T181" s="386" t="s">
        <v>2177</v>
      </c>
      <c r="U181" s="738">
        <f t="shared" ref="U181:U193" si="96">SUM(V181:AJ181)</f>
        <v>537</v>
      </c>
      <c r="V181" s="754" t="s">
        <v>1627</v>
      </c>
      <c r="W181" s="754" t="s">
        <v>1627</v>
      </c>
      <c r="X181" s="754" t="s">
        <v>1627</v>
      </c>
      <c r="Y181" s="754" t="s">
        <v>1627</v>
      </c>
      <c r="Z181" s="754" t="s">
        <v>1627</v>
      </c>
      <c r="AA181" s="754" t="s">
        <v>1627</v>
      </c>
      <c r="AB181" s="754" t="s">
        <v>1627</v>
      </c>
      <c r="AC181" s="754" t="s">
        <v>1627</v>
      </c>
      <c r="AD181" s="754">
        <v>186</v>
      </c>
      <c r="AE181" s="738">
        <v>168</v>
      </c>
      <c r="AF181" s="738">
        <v>183</v>
      </c>
      <c r="AG181" s="754" t="s">
        <v>1627</v>
      </c>
      <c r="AH181" s="754" t="s">
        <v>1627</v>
      </c>
      <c r="AI181" s="754" t="s">
        <v>1627</v>
      </c>
      <c r="AJ181" s="754" t="s">
        <v>1627</v>
      </c>
      <c r="EI181" s="781"/>
      <c r="EJ181" s="782"/>
      <c r="EK181" s="783"/>
      <c r="EL181" s="781"/>
      <c r="EM181" s="781"/>
      <c r="EN181" s="781"/>
      <c r="EO181" s="781"/>
      <c r="GL181" s="571"/>
      <c r="GM181" s="571"/>
      <c r="GN181" s="571"/>
      <c r="GO181" s="571"/>
      <c r="GP181" s="571"/>
      <c r="GQ181" s="571"/>
      <c r="GR181" s="571"/>
      <c r="GS181" s="398"/>
      <c r="GT181" s="398"/>
      <c r="HA181" s="398"/>
      <c r="HB181" s="398"/>
      <c r="HC181" s="398"/>
      <c r="HD181" s="398"/>
      <c r="HE181" s="398"/>
    </row>
    <row r="182" spans="1:213" ht="14.1" customHeight="1">
      <c r="H182" s="398"/>
      <c r="I182" s="398"/>
      <c r="J182" s="676"/>
      <c r="K182" s="676"/>
      <c r="L182" s="676"/>
      <c r="M182" s="676"/>
      <c r="N182" s="676"/>
      <c r="O182" s="676"/>
      <c r="P182" s="676"/>
      <c r="Q182" s="676"/>
      <c r="S182" s="386" t="s">
        <v>3561</v>
      </c>
      <c r="T182" s="386" t="s">
        <v>2177</v>
      </c>
      <c r="U182" s="738">
        <f t="shared" si="96"/>
        <v>877</v>
      </c>
      <c r="V182" s="737">
        <v>20</v>
      </c>
      <c r="W182" s="738">
        <v>17</v>
      </c>
      <c r="X182" s="738">
        <v>115</v>
      </c>
      <c r="Y182" s="738">
        <v>133</v>
      </c>
      <c r="Z182" s="738">
        <v>134</v>
      </c>
      <c r="AA182" s="738">
        <v>167</v>
      </c>
      <c r="AB182" s="738">
        <v>140</v>
      </c>
      <c r="AC182" s="738">
        <v>151</v>
      </c>
      <c r="AD182" s="754" t="s">
        <v>1627</v>
      </c>
      <c r="AE182" s="754" t="s">
        <v>1627</v>
      </c>
      <c r="AF182" s="754" t="s">
        <v>1627</v>
      </c>
      <c r="AG182" s="754" t="s">
        <v>1627</v>
      </c>
      <c r="AH182" s="754" t="s">
        <v>1627</v>
      </c>
      <c r="AI182" s="754" t="s">
        <v>1627</v>
      </c>
      <c r="AJ182" s="754" t="s">
        <v>1627</v>
      </c>
      <c r="EI182" s="781"/>
      <c r="EJ182" s="835"/>
      <c r="EK182" s="835"/>
      <c r="EL182" s="781"/>
      <c r="EM182" s="781"/>
      <c r="EN182" s="781"/>
      <c r="EO182" s="781"/>
      <c r="EQ182" s="398"/>
      <c r="GL182" s="571"/>
      <c r="GM182" s="571"/>
      <c r="GN182" s="571"/>
      <c r="GO182" s="571"/>
      <c r="GP182" s="571"/>
      <c r="GQ182" s="571"/>
      <c r="GR182" s="571"/>
      <c r="GS182" s="398"/>
      <c r="GT182" s="398"/>
      <c r="HA182" s="398"/>
      <c r="HB182" s="398"/>
      <c r="HC182" s="398"/>
      <c r="HD182" s="398"/>
      <c r="HE182" s="398"/>
    </row>
    <row r="183" spans="1:213" ht="14.1" customHeight="1">
      <c r="H183" s="398"/>
      <c r="I183" s="398"/>
      <c r="J183" s="676"/>
      <c r="K183" s="676"/>
      <c r="L183" s="676"/>
      <c r="M183" s="676"/>
      <c r="N183" s="676"/>
      <c r="O183" s="676"/>
      <c r="P183" s="676"/>
      <c r="Q183" s="676"/>
      <c r="S183" s="386" t="s">
        <v>3576</v>
      </c>
      <c r="T183" s="386" t="s">
        <v>2177</v>
      </c>
      <c r="U183" s="738">
        <f t="shared" si="96"/>
        <v>482</v>
      </c>
      <c r="V183" s="737">
        <v>20</v>
      </c>
      <c r="W183" s="738">
        <v>0</v>
      </c>
      <c r="X183" s="738">
        <v>62</v>
      </c>
      <c r="Y183" s="738">
        <v>64</v>
      </c>
      <c r="Z183" s="738">
        <v>77</v>
      </c>
      <c r="AA183" s="738">
        <v>68</v>
      </c>
      <c r="AB183" s="738">
        <v>95</v>
      </c>
      <c r="AC183" s="738">
        <v>96</v>
      </c>
      <c r="AD183" s="754" t="s">
        <v>1627</v>
      </c>
      <c r="AE183" s="754" t="s">
        <v>1627</v>
      </c>
      <c r="AF183" s="754" t="s">
        <v>1627</v>
      </c>
      <c r="AG183" s="754" t="s">
        <v>1627</v>
      </c>
      <c r="AH183" s="754" t="s">
        <v>1627</v>
      </c>
      <c r="AI183" s="754" t="s">
        <v>1627</v>
      </c>
      <c r="AJ183" s="754" t="s">
        <v>1627</v>
      </c>
      <c r="EI183" s="705"/>
      <c r="EJ183" s="791"/>
      <c r="EK183" s="791"/>
      <c r="EL183" s="2121"/>
      <c r="EM183" s="2121"/>
      <c r="EN183" s="2121"/>
      <c r="EO183" s="2121"/>
      <c r="EP183" s="2094"/>
      <c r="EQ183" s="2094"/>
      <c r="GL183" s="398"/>
      <c r="GM183" s="398"/>
      <c r="GN183" s="398"/>
      <c r="GO183" s="398"/>
      <c r="GP183" s="398"/>
      <c r="GQ183" s="398"/>
      <c r="GR183" s="571"/>
      <c r="GS183" s="398"/>
      <c r="GT183" s="398"/>
      <c r="HA183" s="398"/>
      <c r="HB183" s="398"/>
      <c r="HC183" s="398"/>
      <c r="HD183" s="398"/>
      <c r="HE183" s="398"/>
    </row>
    <row r="184" spans="1:213" ht="14.1" customHeight="1">
      <c r="H184" s="398"/>
      <c r="I184" s="398"/>
      <c r="J184" s="676"/>
      <c r="K184" s="676"/>
      <c r="L184" s="676"/>
      <c r="M184" s="676"/>
      <c r="N184" s="676"/>
      <c r="O184" s="676"/>
      <c r="P184" s="676"/>
      <c r="Q184" s="676"/>
      <c r="S184" s="386" t="s">
        <v>3589</v>
      </c>
      <c r="T184" s="386" t="s">
        <v>2177</v>
      </c>
      <c r="U184" s="738">
        <f t="shared" si="96"/>
        <v>367</v>
      </c>
      <c r="V184" s="776">
        <v>0</v>
      </c>
      <c r="W184" s="738">
        <v>0</v>
      </c>
      <c r="X184" s="738">
        <v>60</v>
      </c>
      <c r="Y184" s="738">
        <v>44</v>
      </c>
      <c r="Z184" s="738">
        <v>60</v>
      </c>
      <c r="AA184" s="738">
        <v>64</v>
      </c>
      <c r="AB184" s="738">
        <v>65</v>
      </c>
      <c r="AC184" s="738">
        <v>74</v>
      </c>
      <c r="AD184" s="754" t="s">
        <v>1627</v>
      </c>
      <c r="AE184" s="754" t="s">
        <v>1627</v>
      </c>
      <c r="AF184" s="754" t="s">
        <v>1627</v>
      </c>
      <c r="AG184" s="754" t="s">
        <v>1627</v>
      </c>
      <c r="AH184" s="754" t="s">
        <v>1627</v>
      </c>
      <c r="AI184" s="754" t="s">
        <v>1627</v>
      </c>
      <c r="AJ184" s="754" t="s">
        <v>1627</v>
      </c>
      <c r="EI184" s="705"/>
      <c r="EJ184" s="791"/>
      <c r="EK184" s="791"/>
      <c r="EL184" s="791"/>
      <c r="EM184" s="791"/>
      <c r="EN184" s="791"/>
      <c r="EO184" s="791"/>
      <c r="EP184" s="402"/>
      <c r="EQ184" s="402"/>
      <c r="GL184" s="398"/>
      <c r="GM184" s="398"/>
      <c r="GN184" s="398"/>
      <c r="GO184" s="398"/>
      <c r="GP184" s="398"/>
      <c r="GQ184" s="398"/>
      <c r="GR184" s="571"/>
      <c r="GS184" s="398"/>
      <c r="GT184" s="398"/>
      <c r="HA184" s="398"/>
      <c r="HB184" s="398"/>
      <c r="HC184" s="398"/>
      <c r="HD184" s="398"/>
      <c r="HE184" s="398"/>
    </row>
    <row r="185" spans="1:213" ht="14.1" customHeight="1">
      <c r="H185" s="398"/>
      <c r="I185" s="398"/>
      <c r="J185" s="676"/>
      <c r="K185" s="676"/>
      <c r="L185" s="676"/>
      <c r="M185" s="676"/>
      <c r="N185" s="676"/>
      <c r="O185" s="676"/>
      <c r="P185" s="676"/>
      <c r="Q185" s="676"/>
      <c r="S185" s="386" t="s">
        <v>3600</v>
      </c>
      <c r="T185" s="386" t="s">
        <v>2177</v>
      </c>
      <c r="U185" s="738">
        <f t="shared" si="96"/>
        <v>625</v>
      </c>
      <c r="V185" s="737">
        <v>40</v>
      </c>
      <c r="W185" s="738">
        <v>0</v>
      </c>
      <c r="X185" s="738">
        <v>102</v>
      </c>
      <c r="Y185" s="738">
        <v>80</v>
      </c>
      <c r="Z185" s="738">
        <v>113</v>
      </c>
      <c r="AA185" s="738">
        <v>102</v>
      </c>
      <c r="AB185" s="738">
        <v>93</v>
      </c>
      <c r="AC185" s="738">
        <v>95</v>
      </c>
      <c r="AD185" s="754" t="s">
        <v>1627</v>
      </c>
      <c r="AE185" s="754" t="s">
        <v>1627</v>
      </c>
      <c r="AF185" s="754" t="s">
        <v>1627</v>
      </c>
      <c r="AG185" s="754" t="s">
        <v>1627</v>
      </c>
      <c r="AH185" s="754" t="s">
        <v>1627</v>
      </c>
      <c r="AI185" s="754" t="s">
        <v>1627</v>
      </c>
      <c r="AJ185" s="754" t="s">
        <v>1627</v>
      </c>
      <c r="EI185" s="705"/>
      <c r="EJ185" s="745"/>
      <c r="EK185" s="836"/>
      <c r="EL185" s="745"/>
      <c r="EM185" s="745"/>
      <c r="EN185" s="745"/>
      <c r="EO185" s="745"/>
      <c r="EP185" s="745"/>
      <c r="EQ185" s="745"/>
      <c r="GL185" s="398"/>
      <c r="GM185" s="398"/>
      <c r="GN185" s="398"/>
      <c r="GO185" s="398"/>
      <c r="GP185" s="398"/>
      <c r="GQ185" s="398"/>
      <c r="GR185" s="571"/>
      <c r="GS185" s="398"/>
      <c r="GT185" s="398"/>
      <c r="HA185" s="398"/>
      <c r="HB185" s="398"/>
      <c r="HC185" s="398"/>
      <c r="HD185" s="398"/>
      <c r="HE185" s="398"/>
    </row>
    <row r="186" spans="1:213" ht="14.1" customHeight="1">
      <c r="H186" s="398"/>
      <c r="I186" s="398"/>
      <c r="J186" s="676"/>
      <c r="K186" s="676"/>
      <c r="L186" s="676"/>
      <c r="M186" s="676"/>
      <c r="N186" s="676"/>
      <c r="O186" s="676"/>
      <c r="P186" s="676"/>
      <c r="Q186" s="676"/>
      <c r="S186" s="386" t="s">
        <v>3615</v>
      </c>
      <c r="T186" s="386" t="s">
        <v>2177</v>
      </c>
      <c r="U186" s="738">
        <f t="shared" si="96"/>
        <v>1578</v>
      </c>
      <c r="V186" s="754" t="s">
        <v>1627</v>
      </c>
      <c r="W186" s="754" t="s">
        <v>1627</v>
      </c>
      <c r="X186" s="754" t="s">
        <v>1627</v>
      </c>
      <c r="Y186" s="754" t="s">
        <v>1627</v>
      </c>
      <c r="Z186" s="754" t="s">
        <v>1627</v>
      </c>
      <c r="AA186" s="754" t="s">
        <v>1627</v>
      </c>
      <c r="AB186" s="754" t="s">
        <v>1627</v>
      </c>
      <c r="AC186" s="754" t="s">
        <v>1627</v>
      </c>
      <c r="AD186" s="754" t="s">
        <v>1627</v>
      </c>
      <c r="AE186" s="754" t="s">
        <v>1627</v>
      </c>
      <c r="AF186" s="754" t="s">
        <v>1627</v>
      </c>
      <c r="AG186" s="738">
        <v>563</v>
      </c>
      <c r="AH186" s="738">
        <v>388</v>
      </c>
      <c r="AI186" s="738">
        <v>328</v>
      </c>
      <c r="AJ186" s="738">
        <v>299</v>
      </c>
      <c r="EI186" s="705"/>
      <c r="EJ186" s="745"/>
      <c r="EK186" s="755"/>
      <c r="EL186" s="745"/>
      <c r="EM186" s="745"/>
      <c r="EN186" s="745"/>
      <c r="EO186" s="745"/>
      <c r="EP186" s="737"/>
      <c r="EQ186" s="737"/>
      <c r="GL186" s="398"/>
      <c r="GM186" s="398"/>
      <c r="GN186" s="398"/>
      <c r="GO186" s="398"/>
      <c r="GP186" s="398"/>
      <c r="GQ186" s="398"/>
      <c r="GR186" s="571"/>
      <c r="GS186" s="398"/>
      <c r="GT186" s="398"/>
      <c r="HA186" s="398"/>
      <c r="HB186" s="398"/>
      <c r="HC186" s="398"/>
      <c r="HD186" s="398"/>
      <c r="HE186" s="398"/>
    </row>
    <row r="187" spans="1:213" ht="14.1" customHeight="1">
      <c r="H187" s="398"/>
      <c r="I187" s="398"/>
      <c r="J187" s="676"/>
      <c r="K187" s="676"/>
      <c r="L187" s="676"/>
      <c r="M187" s="676"/>
      <c r="N187" s="676"/>
      <c r="O187" s="676"/>
      <c r="P187" s="676"/>
      <c r="Q187" s="676"/>
      <c r="S187" s="386" t="s">
        <v>3624</v>
      </c>
      <c r="T187" s="386" t="s">
        <v>2177</v>
      </c>
      <c r="U187" s="738">
        <f t="shared" si="96"/>
        <v>579</v>
      </c>
      <c r="V187" s="737">
        <v>39</v>
      </c>
      <c r="W187" s="738">
        <v>0</v>
      </c>
      <c r="X187" s="738">
        <v>69</v>
      </c>
      <c r="Y187" s="738">
        <v>84</v>
      </c>
      <c r="Z187" s="738">
        <v>98</v>
      </c>
      <c r="AA187" s="738">
        <v>99</v>
      </c>
      <c r="AB187" s="738">
        <v>111</v>
      </c>
      <c r="AC187" s="738">
        <v>79</v>
      </c>
      <c r="AD187" s="754" t="s">
        <v>1627</v>
      </c>
      <c r="AE187" s="754" t="s">
        <v>1627</v>
      </c>
      <c r="AF187" s="754" t="s">
        <v>1627</v>
      </c>
      <c r="AG187" s="754" t="s">
        <v>1627</v>
      </c>
      <c r="AH187" s="754" t="s">
        <v>1627</v>
      </c>
      <c r="AI187" s="754" t="s">
        <v>1627</v>
      </c>
      <c r="AJ187" s="754" t="s">
        <v>1627</v>
      </c>
      <c r="EI187" s="705"/>
      <c r="EJ187" s="745"/>
      <c r="EK187" s="755"/>
      <c r="EL187" s="745"/>
      <c r="EM187" s="745"/>
      <c r="EN187" s="745"/>
      <c r="EO187" s="745"/>
      <c r="EP187" s="737"/>
      <c r="EQ187" s="737"/>
      <c r="GL187" s="398"/>
      <c r="GM187" s="398"/>
      <c r="GN187" s="398"/>
      <c r="GO187" s="398"/>
      <c r="GP187" s="398"/>
      <c r="GQ187" s="398"/>
      <c r="GR187" s="398"/>
      <c r="GS187" s="398"/>
      <c r="GT187" s="398"/>
      <c r="GU187" s="398"/>
      <c r="GV187" s="398"/>
      <c r="GW187" s="398"/>
      <c r="GX187" s="398"/>
      <c r="GY187" s="398"/>
      <c r="GZ187" s="398"/>
      <c r="HA187" s="398"/>
      <c r="HB187" s="398"/>
      <c r="HC187" s="398"/>
      <c r="HD187" s="398"/>
      <c r="HE187" s="398"/>
    </row>
    <row r="188" spans="1:213" ht="14.1" customHeight="1">
      <c r="H188" s="398"/>
      <c r="I188" s="398"/>
      <c r="J188" s="676"/>
      <c r="K188" s="676"/>
      <c r="L188" s="676"/>
      <c r="M188" s="676"/>
      <c r="N188" s="676"/>
      <c r="O188" s="676"/>
      <c r="P188" s="676"/>
      <c r="Q188" s="676"/>
      <c r="S188" s="386" t="s">
        <v>3636</v>
      </c>
      <c r="T188" s="386" t="s">
        <v>2177</v>
      </c>
      <c r="U188" s="738">
        <f t="shared" si="96"/>
        <v>1008</v>
      </c>
      <c r="V188" s="754" t="s">
        <v>1627</v>
      </c>
      <c r="W188" s="754" t="s">
        <v>1627</v>
      </c>
      <c r="X188" s="754" t="s">
        <v>1627</v>
      </c>
      <c r="Y188" s="754" t="s">
        <v>1627</v>
      </c>
      <c r="Z188" s="754" t="s">
        <v>1627</v>
      </c>
      <c r="AA188" s="754" t="s">
        <v>1627</v>
      </c>
      <c r="AB188" s="754" t="s">
        <v>1627</v>
      </c>
      <c r="AC188" s="754" t="s">
        <v>1627</v>
      </c>
      <c r="AD188" s="754">
        <v>311</v>
      </c>
      <c r="AE188" s="754">
        <v>326</v>
      </c>
      <c r="AF188" s="754">
        <v>371</v>
      </c>
      <c r="AG188" s="754" t="s">
        <v>1627</v>
      </c>
      <c r="AH188" s="754" t="s">
        <v>1627</v>
      </c>
      <c r="AI188" s="754" t="s">
        <v>1627</v>
      </c>
      <c r="AJ188" s="754" t="s">
        <v>1627</v>
      </c>
      <c r="EI188" s="705"/>
      <c r="EJ188" s="745"/>
      <c r="EK188" s="755"/>
      <c r="EL188" s="745"/>
      <c r="EM188" s="745"/>
      <c r="EN188" s="745"/>
      <c r="EO188" s="745"/>
      <c r="EP188" s="737"/>
      <c r="EQ188" s="737"/>
      <c r="GL188" s="398"/>
      <c r="GM188" s="398"/>
      <c r="GN188" s="398"/>
      <c r="GO188" s="398"/>
      <c r="GP188" s="398"/>
      <c r="GQ188" s="398"/>
      <c r="GR188" s="398"/>
      <c r="GS188" s="398"/>
      <c r="GT188" s="398"/>
      <c r="GU188" s="398"/>
      <c r="GV188" s="398"/>
      <c r="GW188" s="398"/>
      <c r="GX188" s="398"/>
      <c r="GY188" s="398"/>
      <c r="GZ188" s="398"/>
      <c r="HA188" s="398"/>
      <c r="HB188" s="398"/>
      <c r="HC188" s="398"/>
      <c r="HD188" s="398"/>
      <c r="HE188" s="398"/>
    </row>
    <row r="189" spans="1:213" ht="14.1" customHeight="1">
      <c r="A189" s="398"/>
      <c r="B189" s="398"/>
      <c r="C189" s="398"/>
      <c r="D189" s="398"/>
      <c r="E189" s="398"/>
      <c r="F189" s="398"/>
      <c r="G189" s="398"/>
      <c r="H189" s="398"/>
      <c r="I189" s="398"/>
      <c r="J189" s="676"/>
      <c r="K189" s="676"/>
      <c r="L189" s="676"/>
      <c r="M189" s="676"/>
      <c r="N189" s="676"/>
      <c r="O189" s="676"/>
      <c r="P189" s="676"/>
      <c r="Q189" s="676"/>
      <c r="S189" s="386" t="s">
        <v>3614</v>
      </c>
      <c r="T189" s="386" t="s">
        <v>2208</v>
      </c>
      <c r="U189" s="738">
        <f t="shared" si="96"/>
        <v>689</v>
      </c>
      <c r="V189" s="737">
        <v>38</v>
      </c>
      <c r="W189" s="738">
        <v>0</v>
      </c>
      <c r="X189" s="738">
        <v>94</v>
      </c>
      <c r="Y189" s="738">
        <v>104</v>
      </c>
      <c r="Z189" s="738">
        <v>106</v>
      </c>
      <c r="AA189" s="738">
        <v>113</v>
      </c>
      <c r="AB189" s="738">
        <v>114</v>
      </c>
      <c r="AC189" s="738">
        <v>120</v>
      </c>
      <c r="AD189" s="754" t="s">
        <v>1627</v>
      </c>
      <c r="AE189" s="754" t="s">
        <v>1627</v>
      </c>
      <c r="AF189" s="754" t="s">
        <v>1627</v>
      </c>
      <c r="AG189" s="754" t="s">
        <v>1627</v>
      </c>
      <c r="AH189" s="754" t="s">
        <v>1627</v>
      </c>
      <c r="AI189" s="754" t="s">
        <v>1627</v>
      </c>
      <c r="AJ189" s="754" t="s">
        <v>1627</v>
      </c>
      <c r="EI189" s="705"/>
      <c r="EJ189" s="745"/>
      <c r="EK189" s="755"/>
      <c r="EL189" s="745"/>
      <c r="EM189" s="745"/>
      <c r="EN189" s="745"/>
      <c r="EO189" s="745"/>
      <c r="EP189" s="737"/>
      <c r="EQ189" s="737"/>
      <c r="GL189" s="398"/>
      <c r="GM189" s="398"/>
      <c r="GN189" s="398"/>
      <c r="GO189" s="398"/>
      <c r="GP189" s="398"/>
      <c r="GQ189" s="398"/>
      <c r="GR189" s="398"/>
      <c r="GS189" s="398"/>
      <c r="GT189" s="398"/>
      <c r="GU189" s="398"/>
      <c r="GV189" s="398"/>
      <c r="GW189" s="398"/>
      <c r="GX189" s="398"/>
      <c r="GY189" s="398"/>
      <c r="GZ189" s="398"/>
      <c r="HA189" s="398"/>
      <c r="HB189" s="398"/>
      <c r="HC189" s="398"/>
      <c r="HD189" s="398"/>
      <c r="HE189" s="398"/>
    </row>
    <row r="190" spans="1:213" ht="14.1" customHeight="1">
      <c r="A190" s="398"/>
      <c r="B190" s="398"/>
      <c r="C190" s="398"/>
      <c r="D190" s="398"/>
      <c r="E190" s="398"/>
      <c r="F190" s="398"/>
      <c r="G190" s="398"/>
      <c r="H190" s="398"/>
      <c r="I190" s="398"/>
      <c r="J190" s="676"/>
      <c r="K190" s="676"/>
      <c r="L190" s="676"/>
      <c r="M190" s="676"/>
      <c r="N190" s="676"/>
      <c r="O190" s="676"/>
      <c r="P190" s="676"/>
      <c r="Q190" s="676"/>
      <c r="S190" s="386" t="s">
        <v>3655</v>
      </c>
      <c r="T190" s="386" t="s">
        <v>2208</v>
      </c>
      <c r="U190" s="738">
        <f t="shared" si="96"/>
        <v>1029</v>
      </c>
      <c r="V190" s="754" t="s">
        <v>1627</v>
      </c>
      <c r="W190" s="754" t="s">
        <v>1627</v>
      </c>
      <c r="X190" s="754" t="s">
        <v>1627</v>
      </c>
      <c r="Y190" s="754" t="s">
        <v>1627</v>
      </c>
      <c r="Z190" s="754" t="s">
        <v>1627</v>
      </c>
      <c r="AA190" s="754" t="s">
        <v>1627</v>
      </c>
      <c r="AB190" s="754" t="s">
        <v>1627</v>
      </c>
      <c r="AC190" s="754" t="s">
        <v>1627</v>
      </c>
      <c r="AD190" s="754">
        <v>330</v>
      </c>
      <c r="AE190" s="754">
        <v>335</v>
      </c>
      <c r="AF190" s="754">
        <v>364</v>
      </c>
      <c r="AG190" s="754" t="s">
        <v>1627</v>
      </c>
      <c r="AH190" s="754" t="s">
        <v>1627</v>
      </c>
      <c r="AI190" s="754" t="s">
        <v>1627</v>
      </c>
      <c r="AJ190" s="754" t="s">
        <v>1627</v>
      </c>
      <c r="EI190" s="705"/>
      <c r="EJ190" s="745"/>
      <c r="EK190" s="755"/>
      <c r="EL190" s="745"/>
      <c r="EM190" s="745"/>
      <c r="EN190" s="745"/>
      <c r="EO190" s="745"/>
      <c r="EP190" s="737"/>
      <c r="EQ190" s="737"/>
      <c r="GL190" s="398"/>
      <c r="GM190" s="398"/>
      <c r="GN190" s="398"/>
      <c r="GO190" s="398"/>
      <c r="GP190" s="398"/>
      <c r="GQ190" s="398"/>
      <c r="GR190" s="398"/>
      <c r="GS190" s="398"/>
      <c r="GT190" s="398"/>
      <c r="GU190" s="398"/>
      <c r="GV190" s="398"/>
      <c r="GW190" s="398"/>
      <c r="GX190" s="398"/>
      <c r="GY190" s="398"/>
      <c r="GZ190" s="398"/>
      <c r="HA190" s="398"/>
      <c r="HB190" s="398"/>
      <c r="HC190" s="398"/>
      <c r="HD190" s="398"/>
      <c r="HE190" s="398"/>
    </row>
    <row r="191" spans="1:213" ht="14.1" customHeight="1">
      <c r="A191" s="398"/>
      <c r="B191" s="398"/>
      <c r="C191" s="398"/>
      <c r="D191" s="398"/>
      <c r="E191" s="398"/>
      <c r="F191" s="398"/>
      <c r="G191" s="398"/>
      <c r="H191" s="398"/>
      <c r="I191" s="398"/>
      <c r="J191" s="676"/>
      <c r="K191" s="676"/>
      <c r="L191" s="676"/>
      <c r="M191" s="676"/>
      <c r="N191" s="676"/>
      <c r="O191" s="676"/>
      <c r="P191" s="676"/>
      <c r="Q191" s="676"/>
      <c r="S191" s="386" t="s">
        <v>3666</v>
      </c>
      <c r="T191" s="386" t="s">
        <v>2208</v>
      </c>
      <c r="U191" s="738">
        <f t="shared" si="96"/>
        <v>428</v>
      </c>
      <c r="V191" s="737">
        <v>20</v>
      </c>
      <c r="W191" s="738">
        <v>14</v>
      </c>
      <c r="X191" s="738">
        <v>60</v>
      </c>
      <c r="Y191" s="738">
        <v>55</v>
      </c>
      <c r="Z191" s="738">
        <v>69</v>
      </c>
      <c r="AA191" s="738">
        <v>66</v>
      </c>
      <c r="AB191" s="738">
        <v>76</v>
      </c>
      <c r="AC191" s="738">
        <v>68</v>
      </c>
      <c r="AD191" s="754" t="s">
        <v>1627</v>
      </c>
      <c r="AE191" s="754" t="s">
        <v>1627</v>
      </c>
      <c r="AF191" s="754" t="s">
        <v>1627</v>
      </c>
      <c r="AG191" s="754" t="s">
        <v>1627</v>
      </c>
      <c r="AH191" s="754" t="s">
        <v>1627</v>
      </c>
      <c r="AI191" s="754" t="s">
        <v>1627</v>
      </c>
      <c r="AJ191" s="754" t="s">
        <v>1627</v>
      </c>
      <c r="EI191" s="705"/>
      <c r="EJ191" s="745"/>
      <c r="EK191" s="755"/>
      <c r="EL191" s="745"/>
      <c r="EM191" s="745"/>
      <c r="EN191" s="745"/>
      <c r="EO191" s="745"/>
      <c r="EP191" s="737"/>
      <c r="EQ191" s="737"/>
      <c r="GL191" s="398"/>
      <c r="GM191" s="398"/>
      <c r="GN191" s="398"/>
      <c r="GO191" s="398"/>
      <c r="GP191" s="398"/>
      <c r="GQ191" s="398"/>
      <c r="GR191" s="398"/>
      <c r="GS191" s="398"/>
      <c r="GT191" s="398"/>
      <c r="GU191" s="398"/>
      <c r="GV191" s="398"/>
      <c r="GW191" s="398"/>
      <c r="GX191" s="398"/>
      <c r="GY191" s="398"/>
      <c r="GZ191" s="398"/>
      <c r="HA191" s="398"/>
      <c r="HB191" s="398"/>
      <c r="HC191" s="398"/>
      <c r="HD191" s="398"/>
      <c r="HE191" s="398"/>
    </row>
    <row r="192" spans="1:213" ht="14.1" customHeight="1">
      <c r="A192" s="398"/>
      <c r="B192" s="398"/>
      <c r="C192" s="398"/>
      <c r="D192" s="398"/>
      <c r="E192" s="398"/>
      <c r="F192" s="398"/>
      <c r="G192" s="398"/>
      <c r="H192" s="398"/>
      <c r="I192" s="398"/>
      <c r="J192" s="676"/>
      <c r="K192" s="676"/>
      <c r="L192" s="676"/>
      <c r="M192" s="676"/>
      <c r="N192" s="676"/>
      <c r="O192" s="676"/>
      <c r="P192" s="676"/>
      <c r="Q192" s="676"/>
      <c r="S192" s="386" t="s">
        <v>3680</v>
      </c>
      <c r="T192" s="386" t="s">
        <v>2208</v>
      </c>
      <c r="U192" s="738">
        <f t="shared" si="96"/>
        <v>1690</v>
      </c>
      <c r="V192" s="754" t="s">
        <v>1627</v>
      </c>
      <c r="W192" s="754" t="s">
        <v>1627</v>
      </c>
      <c r="X192" s="754" t="s">
        <v>1627</v>
      </c>
      <c r="Y192" s="754" t="s">
        <v>1627</v>
      </c>
      <c r="Z192" s="754" t="s">
        <v>1627</v>
      </c>
      <c r="AA192" s="754" t="s">
        <v>1627</v>
      </c>
      <c r="AB192" s="754" t="s">
        <v>1627</v>
      </c>
      <c r="AC192" s="754" t="s">
        <v>1627</v>
      </c>
      <c r="AD192" s="754" t="s">
        <v>1627</v>
      </c>
      <c r="AE192" s="754" t="s">
        <v>1627</v>
      </c>
      <c r="AF192" s="754" t="s">
        <v>1627</v>
      </c>
      <c r="AG192" s="738">
        <v>678</v>
      </c>
      <c r="AH192" s="738">
        <v>427</v>
      </c>
      <c r="AI192" s="738">
        <v>304</v>
      </c>
      <c r="AJ192" s="738">
        <v>281</v>
      </c>
      <c r="EI192" s="705"/>
      <c r="EJ192" s="745"/>
      <c r="EK192" s="755"/>
      <c r="EL192" s="745"/>
      <c r="EM192" s="745"/>
      <c r="EN192" s="745"/>
      <c r="EO192" s="745"/>
      <c r="EP192" s="737"/>
      <c r="EQ192" s="737"/>
      <c r="GL192" s="398"/>
      <c r="GM192" s="398"/>
      <c r="GN192" s="398"/>
      <c r="GO192" s="398"/>
      <c r="GP192" s="398"/>
      <c r="GQ192" s="398"/>
      <c r="GR192" s="398"/>
      <c r="GS192" s="398"/>
      <c r="GT192" s="398"/>
      <c r="GU192" s="398"/>
      <c r="GV192" s="398"/>
      <c r="GW192" s="398"/>
      <c r="GX192" s="398"/>
      <c r="GY192" s="398"/>
      <c r="GZ192" s="398"/>
      <c r="HA192" s="398"/>
      <c r="HB192" s="398"/>
      <c r="HC192" s="398"/>
      <c r="HD192" s="398"/>
      <c r="HE192" s="398"/>
    </row>
    <row r="193" spans="1:213" ht="14.1" customHeight="1">
      <c r="A193" s="398"/>
      <c r="B193" s="398"/>
      <c r="C193" s="398"/>
      <c r="D193" s="398"/>
      <c r="E193" s="398"/>
      <c r="F193" s="398"/>
      <c r="G193" s="398"/>
      <c r="H193" s="398"/>
      <c r="I193" s="398"/>
      <c r="J193" s="676"/>
      <c r="K193" s="676"/>
      <c r="L193" s="676"/>
      <c r="M193" s="676"/>
      <c r="N193" s="676"/>
      <c r="O193" s="676"/>
      <c r="P193" s="676"/>
      <c r="Q193" s="676"/>
      <c r="S193" s="386" t="s">
        <v>3687</v>
      </c>
      <c r="T193" s="386" t="s">
        <v>2208</v>
      </c>
      <c r="U193" s="738">
        <f t="shared" si="96"/>
        <v>578</v>
      </c>
      <c r="V193" s="737">
        <v>20</v>
      </c>
      <c r="W193" s="776">
        <v>0</v>
      </c>
      <c r="X193" s="776">
        <v>71</v>
      </c>
      <c r="Y193" s="738">
        <v>88</v>
      </c>
      <c r="Z193" s="738">
        <v>89</v>
      </c>
      <c r="AA193" s="738">
        <v>110</v>
      </c>
      <c r="AB193" s="738">
        <v>113</v>
      </c>
      <c r="AC193" s="738">
        <v>87</v>
      </c>
      <c r="AD193" s="754" t="s">
        <v>1627</v>
      </c>
      <c r="AE193" s="754" t="s">
        <v>1627</v>
      </c>
      <c r="AF193" s="754" t="s">
        <v>1627</v>
      </c>
      <c r="AG193" s="754" t="s">
        <v>1627</v>
      </c>
      <c r="AH193" s="754" t="s">
        <v>1627</v>
      </c>
      <c r="AI193" s="754" t="s">
        <v>1627</v>
      </c>
      <c r="AJ193" s="754" t="s">
        <v>1627</v>
      </c>
      <c r="EI193" s="705"/>
      <c r="EJ193" s="745"/>
      <c r="EK193" s="755"/>
      <c r="EL193" s="745"/>
      <c r="EM193" s="745"/>
      <c r="EN193" s="745"/>
      <c r="EO193" s="745"/>
      <c r="EP193" s="737"/>
      <c r="EQ193" s="737"/>
      <c r="GL193" s="398"/>
      <c r="GM193" s="398"/>
      <c r="GN193" s="398"/>
      <c r="GO193" s="398"/>
      <c r="GP193" s="398"/>
      <c r="GQ193" s="398"/>
      <c r="GR193" s="398"/>
      <c r="GS193" s="398"/>
      <c r="GT193" s="398"/>
      <c r="GU193" s="398"/>
      <c r="GV193" s="398"/>
      <c r="GW193" s="398"/>
      <c r="GX193" s="398"/>
      <c r="GY193" s="398"/>
      <c r="GZ193" s="398"/>
      <c r="HA193" s="398"/>
      <c r="HB193" s="398"/>
      <c r="HC193" s="398"/>
      <c r="HD193" s="398"/>
      <c r="HE193" s="398"/>
    </row>
    <row r="194" spans="1:213" ht="14.1" customHeight="1">
      <c r="A194" s="398"/>
      <c r="B194" s="398"/>
      <c r="C194" s="398"/>
      <c r="D194" s="398"/>
      <c r="E194" s="398"/>
      <c r="F194" s="398"/>
      <c r="G194" s="398"/>
      <c r="H194" s="398"/>
      <c r="I194" s="398"/>
      <c r="J194" s="676"/>
      <c r="K194" s="676"/>
      <c r="L194" s="676"/>
      <c r="M194" s="676"/>
      <c r="N194" s="676"/>
      <c r="O194" s="676"/>
      <c r="P194" s="676"/>
      <c r="Q194" s="676"/>
      <c r="S194" s="398"/>
      <c r="T194" s="740"/>
      <c r="U194" s="738"/>
      <c r="V194" s="737"/>
      <c r="W194" s="738"/>
      <c r="X194" s="738"/>
      <c r="Y194" s="738"/>
      <c r="Z194" s="738"/>
      <c r="AA194" s="738"/>
      <c r="AB194" s="738"/>
      <c r="AC194" s="738"/>
      <c r="AD194" s="754"/>
      <c r="AE194" s="738"/>
      <c r="AF194" s="738"/>
      <c r="AG194" s="738"/>
      <c r="AH194" s="738"/>
      <c r="AI194" s="738"/>
      <c r="AJ194" s="738"/>
      <c r="EI194" s="705"/>
      <c r="EJ194" s="745"/>
      <c r="EK194" s="755"/>
      <c r="EL194" s="745"/>
      <c r="EM194" s="745"/>
      <c r="EN194" s="745"/>
      <c r="EO194" s="745"/>
      <c r="EP194" s="737"/>
      <c r="EQ194" s="737"/>
      <c r="GL194" s="398"/>
      <c r="GM194" s="398"/>
      <c r="GN194" s="398"/>
      <c r="GO194" s="398"/>
      <c r="GP194" s="398"/>
      <c r="GQ194" s="398"/>
      <c r="GR194" s="398"/>
      <c r="GS194" s="398"/>
      <c r="GT194" s="398"/>
      <c r="GU194" s="398"/>
      <c r="GV194" s="398"/>
      <c r="GW194" s="398"/>
      <c r="GX194" s="398"/>
      <c r="GY194" s="398"/>
      <c r="GZ194" s="398"/>
      <c r="HA194" s="398"/>
      <c r="HB194" s="398"/>
      <c r="HC194" s="398"/>
      <c r="HD194" s="398"/>
      <c r="HE194" s="398"/>
    </row>
    <row r="195" spans="1:213" ht="14.1" customHeight="1">
      <c r="A195" s="398"/>
      <c r="B195" s="398"/>
      <c r="C195" s="398"/>
      <c r="D195" s="398"/>
      <c r="E195" s="398"/>
      <c r="F195" s="398"/>
      <c r="G195" s="398"/>
      <c r="H195" s="398"/>
      <c r="I195" s="398"/>
      <c r="J195" s="676"/>
      <c r="K195" s="676"/>
      <c r="L195" s="676"/>
      <c r="M195" s="676"/>
      <c r="N195" s="676"/>
      <c r="O195" s="676"/>
      <c r="P195" s="676"/>
      <c r="Q195" s="676"/>
      <c r="S195" s="398" t="s">
        <v>3699</v>
      </c>
      <c r="T195" s="740"/>
      <c r="U195" s="738">
        <f>SUM(U196:U202)</f>
        <v>4412</v>
      </c>
      <c r="V195" s="738">
        <f t="shared" ref="V195:AJ195" si="97">SUM(V196:V202)</f>
        <v>78</v>
      </c>
      <c r="W195" s="738">
        <f t="shared" si="97"/>
        <v>35</v>
      </c>
      <c r="X195" s="738">
        <f t="shared" si="97"/>
        <v>244</v>
      </c>
      <c r="Y195" s="738">
        <f t="shared" si="97"/>
        <v>261</v>
      </c>
      <c r="Z195" s="738">
        <f t="shared" si="97"/>
        <v>327</v>
      </c>
      <c r="AA195" s="738">
        <f t="shared" si="97"/>
        <v>310</v>
      </c>
      <c r="AB195" s="738">
        <f t="shared" si="97"/>
        <v>307</v>
      </c>
      <c r="AC195" s="738">
        <f t="shared" si="97"/>
        <v>295</v>
      </c>
      <c r="AD195" s="738">
        <f t="shared" si="97"/>
        <v>243</v>
      </c>
      <c r="AE195" s="738">
        <f t="shared" si="97"/>
        <v>240</v>
      </c>
      <c r="AF195" s="738">
        <f t="shared" si="97"/>
        <v>280</v>
      </c>
      <c r="AG195" s="738">
        <f t="shared" si="97"/>
        <v>697</v>
      </c>
      <c r="AH195" s="738">
        <f t="shared" si="97"/>
        <v>448</v>
      </c>
      <c r="AI195" s="738">
        <f t="shared" si="97"/>
        <v>411</v>
      </c>
      <c r="AJ195" s="738">
        <f t="shared" si="97"/>
        <v>236</v>
      </c>
      <c r="EI195" s="705"/>
      <c r="EJ195" s="745"/>
      <c r="EK195" s="755"/>
      <c r="EL195" s="745"/>
      <c r="EM195" s="745"/>
      <c r="EN195" s="745"/>
      <c r="EO195" s="745"/>
      <c r="EP195" s="737"/>
      <c r="EQ195" s="737"/>
      <c r="GL195" s="398"/>
      <c r="GM195" s="398"/>
      <c r="GN195" s="398"/>
      <c r="GO195" s="398"/>
      <c r="GP195" s="398"/>
      <c r="GQ195" s="398"/>
      <c r="GR195" s="398"/>
      <c r="GS195" s="398"/>
      <c r="GT195" s="398"/>
      <c r="GU195" s="398"/>
      <c r="GV195" s="398"/>
      <c r="GW195" s="398"/>
      <c r="GX195" s="398"/>
      <c r="GY195" s="398"/>
      <c r="GZ195" s="398"/>
      <c r="HA195" s="398"/>
      <c r="HB195" s="398"/>
      <c r="HC195" s="398"/>
      <c r="HD195" s="398"/>
      <c r="HE195" s="398"/>
    </row>
    <row r="196" spans="1:213" ht="14.1" customHeight="1">
      <c r="A196" s="398"/>
      <c r="B196" s="398"/>
      <c r="C196" s="398"/>
      <c r="D196" s="398"/>
      <c r="E196" s="398"/>
      <c r="F196" s="398"/>
      <c r="G196" s="398"/>
      <c r="H196" s="398"/>
      <c r="I196" s="398"/>
      <c r="J196" s="676"/>
      <c r="K196" s="676"/>
      <c r="L196" s="676"/>
      <c r="M196" s="676"/>
      <c r="N196" s="676"/>
      <c r="O196" s="676"/>
      <c r="P196" s="676"/>
      <c r="Q196" s="676"/>
      <c r="S196" s="386" t="s">
        <v>3707</v>
      </c>
      <c r="T196" s="386" t="s">
        <v>3708</v>
      </c>
      <c r="U196" s="738">
        <f>SUM(V196:AJ196)</f>
        <v>333</v>
      </c>
      <c r="V196" s="776">
        <v>0</v>
      </c>
      <c r="W196" s="738">
        <v>0</v>
      </c>
      <c r="X196" s="738">
        <v>47</v>
      </c>
      <c r="Y196" s="738">
        <v>47</v>
      </c>
      <c r="Z196" s="738">
        <v>62</v>
      </c>
      <c r="AA196" s="738">
        <v>58</v>
      </c>
      <c r="AB196" s="738">
        <v>54</v>
      </c>
      <c r="AC196" s="738">
        <v>65</v>
      </c>
      <c r="AD196" s="754" t="s">
        <v>1627</v>
      </c>
      <c r="AE196" s="754" t="s">
        <v>1627</v>
      </c>
      <c r="AF196" s="754" t="s">
        <v>1627</v>
      </c>
      <c r="AG196" s="754" t="s">
        <v>1627</v>
      </c>
      <c r="AH196" s="754" t="s">
        <v>1627</v>
      </c>
      <c r="AI196" s="754" t="s">
        <v>1627</v>
      </c>
      <c r="AJ196" s="754" t="s">
        <v>1627</v>
      </c>
      <c r="EI196" s="705"/>
      <c r="EJ196" s="745"/>
      <c r="EK196" s="755"/>
      <c r="EL196" s="745"/>
      <c r="EM196" s="745"/>
      <c r="EN196" s="745"/>
      <c r="EO196" s="745"/>
      <c r="EP196" s="737"/>
      <c r="EQ196" s="737"/>
      <c r="GL196" s="398"/>
      <c r="GM196" s="398"/>
      <c r="GN196" s="398"/>
      <c r="GO196" s="398"/>
      <c r="GP196" s="398"/>
      <c r="GQ196" s="398"/>
      <c r="GR196" s="398"/>
      <c r="GS196" s="398"/>
      <c r="GT196" s="398"/>
      <c r="GU196" s="398"/>
      <c r="GV196" s="398"/>
      <c r="GW196" s="398"/>
      <c r="GX196" s="398"/>
      <c r="GY196" s="398"/>
      <c r="GZ196" s="398"/>
      <c r="HA196" s="398"/>
      <c r="HB196" s="398"/>
      <c r="HC196" s="398"/>
      <c r="HD196" s="398"/>
      <c r="HE196" s="398"/>
    </row>
    <row r="197" spans="1:213" ht="14.1" customHeight="1">
      <c r="A197" s="398"/>
      <c r="B197" s="398"/>
      <c r="C197" s="398"/>
      <c r="D197" s="398"/>
      <c r="E197" s="398"/>
      <c r="F197" s="398"/>
      <c r="G197" s="398"/>
      <c r="H197" s="398"/>
      <c r="I197" s="398"/>
      <c r="J197" s="676"/>
      <c r="K197" s="676"/>
      <c r="L197" s="676"/>
      <c r="M197" s="676"/>
      <c r="N197" s="676"/>
      <c r="O197" s="676"/>
      <c r="P197" s="676"/>
      <c r="Q197" s="676"/>
      <c r="S197" s="386" t="s">
        <v>3720</v>
      </c>
      <c r="T197" s="386" t="s">
        <v>2195</v>
      </c>
      <c r="U197" s="738">
        <f t="shared" ref="U197:U202" si="98">SUM(V197:AJ197)</f>
        <v>763</v>
      </c>
      <c r="V197" s="754" t="s">
        <v>1627</v>
      </c>
      <c r="W197" s="754" t="s">
        <v>1627</v>
      </c>
      <c r="X197" s="754" t="s">
        <v>1627</v>
      </c>
      <c r="Y197" s="754" t="s">
        <v>1627</v>
      </c>
      <c r="Z197" s="754" t="s">
        <v>1627</v>
      </c>
      <c r="AA197" s="754" t="s">
        <v>1627</v>
      </c>
      <c r="AB197" s="754" t="s">
        <v>1627</v>
      </c>
      <c r="AC197" s="754" t="s">
        <v>1627</v>
      </c>
      <c r="AD197" s="754">
        <v>243</v>
      </c>
      <c r="AE197" s="738">
        <v>240</v>
      </c>
      <c r="AF197" s="738">
        <v>280</v>
      </c>
      <c r="AG197" s="754" t="s">
        <v>1627</v>
      </c>
      <c r="AH197" s="754" t="s">
        <v>1627</v>
      </c>
      <c r="AI197" s="754" t="s">
        <v>1627</v>
      </c>
      <c r="AJ197" s="754" t="s">
        <v>1627</v>
      </c>
      <c r="EI197" s="705"/>
      <c r="EJ197" s="745"/>
      <c r="EK197" s="755"/>
      <c r="EL197" s="745"/>
      <c r="EM197" s="745"/>
      <c r="EN197" s="745"/>
      <c r="EO197" s="745"/>
      <c r="EP197" s="737"/>
      <c r="EQ197" s="737"/>
      <c r="GL197" s="398"/>
      <c r="GM197" s="398"/>
      <c r="GN197" s="398"/>
      <c r="GO197" s="398"/>
      <c r="GP197" s="398"/>
      <c r="GQ197" s="398"/>
      <c r="GR197" s="398"/>
      <c r="GS197" s="398"/>
      <c r="GT197" s="398"/>
      <c r="GU197" s="398"/>
      <c r="GV197" s="398"/>
      <c r="GW197" s="398"/>
      <c r="GX197" s="398"/>
      <c r="GY197" s="398"/>
      <c r="GZ197" s="398"/>
      <c r="HA197" s="398"/>
      <c r="HB197" s="398"/>
      <c r="HC197" s="398"/>
      <c r="HD197" s="398"/>
      <c r="HE197" s="398"/>
    </row>
    <row r="198" spans="1:213" ht="14.1" customHeight="1">
      <c r="A198" s="398"/>
      <c r="B198" s="398"/>
      <c r="C198" s="398"/>
      <c r="D198" s="398"/>
      <c r="E198" s="398"/>
      <c r="F198" s="398"/>
      <c r="G198" s="398"/>
      <c r="H198" s="398"/>
      <c r="I198" s="398"/>
      <c r="J198" s="676"/>
      <c r="K198" s="676"/>
      <c r="L198" s="676"/>
      <c r="M198" s="676"/>
      <c r="N198" s="676"/>
      <c r="O198" s="676"/>
      <c r="P198" s="676"/>
      <c r="Q198" s="676"/>
      <c r="S198" s="386" t="s">
        <v>3588</v>
      </c>
      <c r="T198" s="386" t="s">
        <v>3728</v>
      </c>
      <c r="U198" s="738">
        <f t="shared" si="98"/>
        <v>507</v>
      </c>
      <c r="V198" s="737">
        <v>40</v>
      </c>
      <c r="W198" s="776">
        <v>0</v>
      </c>
      <c r="X198" s="776">
        <v>61</v>
      </c>
      <c r="Y198" s="738">
        <v>70</v>
      </c>
      <c r="Z198" s="738">
        <v>101</v>
      </c>
      <c r="AA198" s="738">
        <v>77</v>
      </c>
      <c r="AB198" s="738">
        <v>90</v>
      </c>
      <c r="AC198" s="738">
        <v>68</v>
      </c>
      <c r="AD198" s="754" t="s">
        <v>1627</v>
      </c>
      <c r="AE198" s="754" t="s">
        <v>1627</v>
      </c>
      <c r="AF198" s="754" t="s">
        <v>1627</v>
      </c>
      <c r="AG198" s="754" t="s">
        <v>1627</v>
      </c>
      <c r="AH198" s="754" t="s">
        <v>1627</v>
      </c>
      <c r="AI198" s="754" t="s">
        <v>1627</v>
      </c>
      <c r="AJ198" s="754" t="s">
        <v>1627</v>
      </c>
      <c r="EI198" s="705"/>
      <c r="EJ198" s="745"/>
      <c r="EK198" s="755"/>
      <c r="EL198" s="745"/>
      <c r="EM198" s="745"/>
      <c r="EN198" s="745"/>
      <c r="EO198" s="745"/>
      <c r="EP198" s="737"/>
      <c r="EQ198" s="737"/>
      <c r="GL198" s="398"/>
      <c r="GM198" s="398"/>
      <c r="GN198" s="398"/>
      <c r="GO198" s="398"/>
      <c r="GP198" s="398"/>
      <c r="GQ198" s="398"/>
      <c r="GR198" s="398"/>
      <c r="GS198" s="398"/>
      <c r="GT198" s="398"/>
      <c r="GU198" s="398"/>
      <c r="GV198" s="398"/>
      <c r="GW198" s="398"/>
      <c r="GX198" s="398"/>
      <c r="GY198" s="398"/>
      <c r="GZ198" s="398"/>
      <c r="HA198" s="398"/>
      <c r="HB198" s="398"/>
      <c r="HC198" s="398"/>
      <c r="HD198" s="398"/>
      <c r="HE198" s="398"/>
    </row>
    <row r="199" spans="1:213" ht="14.1" customHeight="1">
      <c r="A199" s="398"/>
      <c r="B199" s="398"/>
      <c r="C199" s="398"/>
      <c r="D199" s="398"/>
      <c r="E199" s="398"/>
      <c r="F199" s="398"/>
      <c r="G199" s="398"/>
      <c r="H199" s="398"/>
      <c r="I199" s="398"/>
      <c r="J199" s="676"/>
      <c r="K199" s="676"/>
      <c r="L199" s="676"/>
      <c r="M199" s="676"/>
      <c r="N199" s="676"/>
      <c r="O199" s="676"/>
      <c r="P199" s="676"/>
      <c r="Q199" s="676"/>
      <c r="S199" s="386" t="s">
        <v>3738</v>
      </c>
      <c r="T199" s="386" t="s">
        <v>2202</v>
      </c>
      <c r="U199" s="738">
        <f t="shared" si="98"/>
        <v>277</v>
      </c>
      <c r="V199" s="737">
        <v>38</v>
      </c>
      <c r="W199" s="738">
        <v>0</v>
      </c>
      <c r="X199" s="738">
        <v>49</v>
      </c>
      <c r="Y199" s="738">
        <v>32</v>
      </c>
      <c r="Z199" s="738">
        <v>37</v>
      </c>
      <c r="AA199" s="738">
        <v>44</v>
      </c>
      <c r="AB199" s="738">
        <v>38</v>
      </c>
      <c r="AC199" s="738">
        <v>39</v>
      </c>
      <c r="AD199" s="754" t="s">
        <v>1627</v>
      </c>
      <c r="AE199" s="754" t="s">
        <v>1627</v>
      </c>
      <c r="AF199" s="754" t="s">
        <v>1627</v>
      </c>
      <c r="AG199" s="754" t="s">
        <v>1627</v>
      </c>
      <c r="AH199" s="754" t="s">
        <v>1627</v>
      </c>
      <c r="AI199" s="754" t="s">
        <v>1627</v>
      </c>
      <c r="AJ199" s="754" t="s">
        <v>1627</v>
      </c>
      <c r="EI199" s="705"/>
      <c r="EJ199" s="745"/>
      <c r="EK199" s="755"/>
      <c r="EL199" s="745"/>
      <c r="EM199" s="745"/>
      <c r="EN199" s="745"/>
      <c r="EO199" s="745"/>
      <c r="EP199" s="737"/>
      <c r="EQ199" s="737"/>
      <c r="GL199" s="398"/>
      <c r="GM199" s="398"/>
      <c r="GN199" s="398"/>
      <c r="GO199" s="398"/>
      <c r="GP199" s="398"/>
      <c r="GQ199" s="398"/>
      <c r="GR199" s="398"/>
      <c r="GS199" s="398"/>
      <c r="GT199" s="398"/>
      <c r="GU199" s="398"/>
      <c r="GV199" s="398"/>
      <c r="GW199" s="398"/>
      <c r="GX199" s="398"/>
      <c r="GY199" s="398"/>
      <c r="GZ199" s="398"/>
      <c r="HA199" s="398"/>
      <c r="HB199" s="398"/>
      <c r="HC199" s="398"/>
      <c r="HD199" s="398"/>
      <c r="HE199" s="398"/>
    </row>
    <row r="200" spans="1:213" ht="14.1" customHeight="1">
      <c r="A200" s="398"/>
      <c r="B200" s="398"/>
      <c r="C200" s="398"/>
      <c r="D200" s="398"/>
      <c r="E200" s="398"/>
      <c r="F200" s="398"/>
      <c r="G200" s="398"/>
      <c r="H200" s="398"/>
      <c r="I200" s="398"/>
      <c r="J200" s="676"/>
      <c r="K200" s="676"/>
      <c r="L200" s="676"/>
      <c r="M200" s="676"/>
      <c r="N200" s="676"/>
      <c r="O200" s="676"/>
      <c r="P200" s="676"/>
      <c r="Q200" s="676"/>
      <c r="S200" s="386" t="s">
        <v>3679</v>
      </c>
      <c r="T200" s="386" t="s">
        <v>2202</v>
      </c>
      <c r="U200" s="738">
        <f t="shared" si="98"/>
        <v>234</v>
      </c>
      <c r="V200" s="776">
        <v>0</v>
      </c>
      <c r="W200" s="776">
        <v>35</v>
      </c>
      <c r="X200" s="776">
        <v>87</v>
      </c>
      <c r="Y200" s="738">
        <v>112</v>
      </c>
      <c r="Z200" s="776">
        <v>0</v>
      </c>
      <c r="AA200" s="776">
        <v>0</v>
      </c>
      <c r="AB200" s="776">
        <v>0</v>
      </c>
      <c r="AC200" s="776">
        <v>0</v>
      </c>
      <c r="AD200" s="754" t="s">
        <v>1627</v>
      </c>
      <c r="AE200" s="754" t="s">
        <v>1627</v>
      </c>
      <c r="AF200" s="754" t="s">
        <v>1627</v>
      </c>
      <c r="AG200" s="754" t="s">
        <v>1627</v>
      </c>
      <c r="AH200" s="754" t="s">
        <v>1627</v>
      </c>
      <c r="AI200" s="754" t="s">
        <v>1627</v>
      </c>
      <c r="AJ200" s="754" t="s">
        <v>1627</v>
      </c>
      <c r="EI200" s="705"/>
      <c r="EJ200" s="745"/>
      <c r="EK200" s="755"/>
      <c r="EL200" s="745"/>
      <c r="EM200" s="745"/>
      <c r="EN200" s="745"/>
      <c r="EO200" s="745"/>
      <c r="EP200" s="737"/>
      <c r="EQ200" s="737"/>
      <c r="GL200" s="398"/>
      <c r="GM200" s="398"/>
      <c r="GN200" s="398"/>
      <c r="GO200" s="398"/>
      <c r="GP200" s="398"/>
      <c r="GQ200" s="398"/>
      <c r="GR200" s="398"/>
      <c r="GS200" s="398"/>
      <c r="GT200" s="398"/>
      <c r="GU200" s="398"/>
      <c r="GV200" s="398"/>
      <c r="GW200" s="398"/>
      <c r="GX200" s="398"/>
      <c r="GY200" s="398"/>
      <c r="GZ200" s="398"/>
      <c r="HA200" s="398"/>
      <c r="HB200" s="398"/>
      <c r="HC200" s="398"/>
      <c r="HD200" s="398"/>
      <c r="HE200" s="398"/>
    </row>
    <row r="201" spans="1:213" ht="14.1" customHeight="1">
      <c r="A201" s="398"/>
      <c r="B201" s="398"/>
      <c r="C201" s="398"/>
      <c r="D201" s="398"/>
      <c r="E201" s="398"/>
      <c r="F201" s="398"/>
      <c r="G201" s="398"/>
      <c r="H201" s="398"/>
      <c r="I201" s="398"/>
      <c r="J201" s="676"/>
      <c r="K201" s="676"/>
      <c r="L201" s="676"/>
      <c r="M201" s="676"/>
      <c r="N201" s="676"/>
      <c r="O201" s="676"/>
      <c r="P201" s="676"/>
      <c r="Q201" s="676"/>
      <c r="S201" s="386" t="s">
        <v>3751</v>
      </c>
      <c r="T201" s="386" t="s">
        <v>2202</v>
      </c>
      <c r="U201" s="738">
        <f t="shared" si="98"/>
        <v>1792</v>
      </c>
      <c r="V201" s="754" t="s">
        <v>1627</v>
      </c>
      <c r="W201" s="754" t="s">
        <v>1627</v>
      </c>
      <c r="X201" s="754" t="s">
        <v>1627</v>
      </c>
      <c r="Y201" s="754" t="s">
        <v>1627</v>
      </c>
      <c r="Z201" s="754" t="s">
        <v>1627</v>
      </c>
      <c r="AA201" s="754" t="s">
        <v>1627</v>
      </c>
      <c r="AB201" s="754" t="s">
        <v>1627</v>
      </c>
      <c r="AC201" s="754" t="s">
        <v>1627</v>
      </c>
      <c r="AD201" s="754" t="s">
        <v>1627</v>
      </c>
      <c r="AE201" s="754" t="s">
        <v>1627</v>
      </c>
      <c r="AF201" s="754" t="s">
        <v>1627</v>
      </c>
      <c r="AG201" s="738">
        <v>697</v>
      </c>
      <c r="AH201" s="738">
        <v>448</v>
      </c>
      <c r="AI201" s="738">
        <v>411</v>
      </c>
      <c r="AJ201" s="738">
        <v>236</v>
      </c>
      <c r="EI201" s="705"/>
      <c r="EJ201" s="745"/>
      <c r="EK201" s="755"/>
      <c r="EL201" s="745"/>
      <c r="EM201" s="745"/>
      <c r="EN201" s="745"/>
      <c r="EO201" s="745"/>
      <c r="EP201" s="737"/>
      <c r="EQ201" s="737"/>
      <c r="GL201" s="398"/>
      <c r="GM201" s="398"/>
      <c r="GN201" s="398"/>
      <c r="GO201" s="398"/>
      <c r="GP201" s="398"/>
      <c r="GQ201" s="398"/>
      <c r="GR201" s="398"/>
      <c r="GS201" s="398"/>
      <c r="GT201" s="398"/>
      <c r="GU201" s="398"/>
      <c r="GV201" s="398"/>
      <c r="GW201" s="398"/>
      <c r="GX201" s="398"/>
      <c r="GY201" s="398"/>
      <c r="GZ201" s="398"/>
      <c r="HA201" s="398"/>
      <c r="HB201" s="398"/>
      <c r="HC201" s="398"/>
      <c r="HD201" s="398"/>
      <c r="HE201" s="398"/>
    </row>
    <row r="202" spans="1:213" ht="14.1" customHeight="1">
      <c r="A202" s="398"/>
      <c r="B202" s="398"/>
      <c r="C202" s="398"/>
      <c r="D202" s="398"/>
      <c r="E202" s="398"/>
      <c r="F202" s="398"/>
      <c r="G202" s="398"/>
      <c r="H202" s="398"/>
      <c r="I202" s="398"/>
      <c r="J202" s="676"/>
      <c r="K202" s="676"/>
      <c r="L202" s="676"/>
      <c r="M202" s="676"/>
      <c r="N202" s="676"/>
      <c r="O202" s="676"/>
      <c r="P202" s="676"/>
      <c r="Q202" s="676"/>
      <c r="S202" s="386" t="s">
        <v>2202</v>
      </c>
      <c r="T202" s="386" t="s">
        <v>2202</v>
      </c>
      <c r="U202" s="738">
        <f t="shared" si="98"/>
        <v>506</v>
      </c>
      <c r="V202" s="776">
        <v>0</v>
      </c>
      <c r="W202" s="776">
        <v>0</v>
      </c>
      <c r="X202" s="776">
        <v>0</v>
      </c>
      <c r="Y202" s="776">
        <v>0</v>
      </c>
      <c r="Z202" s="738">
        <v>127</v>
      </c>
      <c r="AA202" s="738">
        <v>131</v>
      </c>
      <c r="AB202" s="738">
        <v>125</v>
      </c>
      <c r="AC202" s="738">
        <v>123</v>
      </c>
      <c r="AD202" s="754" t="s">
        <v>1627</v>
      </c>
      <c r="AE202" s="754" t="s">
        <v>1627</v>
      </c>
      <c r="AF202" s="754" t="s">
        <v>1627</v>
      </c>
      <c r="AG202" s="754" t="s">
        <v>1627</v>
      </c>
      <c r="AH202" s="754" t="s">
        <v>1627</v>
      </c>
      <c r="AI202" s="754" t="s">
        <v>1627</v>
      </c>
      <c r="AJ202" s="754" t="s">
        <v>1627</v>
      </c>
      <c r="EI202" s="705"/>
      <c r="EJ202" s="745"/>
      <c r="EK202" s="755"/>
      <c r="EL202" s="745"/>
      <c r="EM202" s="745"/>
      <c r="EN202" s="745"/>
      <c r="EO202" s="745"/>
      <c r="EP202" s="737"/>
      <c r="EQ202" s="737"/>
      <c r="GL202" s="398"/>
      <c r="GM202" s="398"/>
      <c r="GN202" s="398"/>
      <c r="GO202" s="398"/>
      <c r="GP202" s="398"/>
      <c r="GQ202" s="398"/>
      <c r="GR202" s="398"/>
      <c r="GS202" s="398"/>
      <c r="GT202" s="398"/>
      <c r="GU202" s="398"/>
      <c r="GV202" s="398"/>
      <c r="GW202" s="398"/>
      <c r="GX202" s="398"/>
      <c r="GY202" s="398"/>
      <c r="GZ202" s="398"/>
      <c r="HA202" s="398"/>
      <c r="HB202" s="398"/>
      <c r="HC202" s="398"/>
      <c r="HD202" s="398"/>
      <c r="HE202" s="398"/>
    </row>
    <row r="203" spans="1:213" ht="14.1" customHeight="1">
      <c r="A203" s="398"/>
      <c r="B203" s="398"/>
      <c r="C203" s="398"/>
      <c r="D203" s="398"/>
      <c r="E203" s="398"/>
      <c r="F203" s="398"/>
      <c r="G203" s="398"/>
      <c r="H203" s="398"/>
      <c r="I203" s="398"/>
      <c r="J203" s="676"/>
      <c r="K203" s="676"/>
      <c r="L203" s="676"/>
      <c r="M203" s="676"/>
      <c r="N203" s="676"/>
      <c r="O203" s="676"/>
      <c r="P203" s="676"/>
      <c r="Q203" s="676"/>
      <c r="S203" s="398"/>
      <c r="T203" s="740"/>
      <c r="U203" s="738"/>
      <c r="V203" s="737"/>
      <c r="W203" s="738"/>
      <c r="X203" s="738"/>
      <c r="Y203" s="738"/>
      <c r="Z203" s="738"/>
      <c r="AA203" s="738"/>
      <c r="AB203" s="738"/>
      <c r="AC203" s="738"/>
      <c r="AD203" s="754"/>
      <c r="AE203" s="738"/>
      <c r="AF203" s="738"/>
      <c r="AG203" s="738"/>
      <c r="AH203" s="738"/>
      <c r="AI203" s="738"/>
      <c r="AJ203" s="738"/>
      <c r="EI203" s="705"/>
      <c r="EJ203" s="745"/>
      <c r="EK203" s="755"/>
      <c r="EL203" s="745"/>
      <c r="EM203" s="745"/>
      <c r="EN203" s="745"/>
      <c r="EO203" s="745"/>
      <c r="EP203" s="737"/>
      <c r="EQ203" s="737"/>
      <c r="GL203" s="398"/>
      <c r="GM203" s="398"/>
      <c r="GN203" s="398"/>
      <c r="GO203" s="398"/>
      <c r="GP203" s="398"/>
      <c r="GQ203" s="398"/>
      <c r="GR203" s="398"/>
      <c r="GS203" s="398"/>
      <c r="GT203" s="398"/>
      <c r="GU203" s="398"/>
      <c r="GV203" s="398"/>
      <c r="GW203" s="398"/>
      <c r="GX203" s="398"/>
      <c r="GY203" s="398"/>
      <c r="GZ203" s="398"/>
      <c r="HA203" s="398"/>
      <c r="HB203" s="398"/>
      <c r="HC203" s="398"/>
      <c r="HD203" s="398"/>
      <c r="HE203" s="398"/>
    </row>
    <row r="204" spans="1:213" ht="14.1" customHeight="1">
      <c r="A204" s="398"/>
      <c r="B204" s="398"/>
      <c r="C204" s="398"/>
      <c r="D204" s="398"/>
      <c r="E204" s="398"/>
      <c r="F204" s="398"/>
      <c r="G204" s="398"/>
      <c r="H204" s="398"/>
      <c r="I204" s="398"/>
      <c r="J204" s="676"/>
      <c r="K204" s="676"/>
      <c r="L204" s="676"/>
      <c r="M204" s="676"/>
      <c r="N204" s="676"/>
      <c r="O204" s="676"/>
      <c r="P204" s="676"/>
      <c r="Q204" s="676"/>
      <c r="S204" s="398" t="s">
        <v>3771</v>
      </c>
      <c r="T204" s="740"/>
      <c r="U204" s="738">
        <f>SUM(U205:U214)</f>
        <v>6981</v>
      </c>
      <c r="V204" s="738">
        <f t="shared" ref="V204:AJ204" si="99">SUM(V205:V214)</f>
        <v>111</v>
      </c>
      <c r="W204" s="738">
        <f t="shared" si="99"/>
        <v>37</v>
      </c>
      <c r="X204" s="738">
        <f t="shared" si="99"/>
        <v>341</v>
      </c>
      <c r="Y204" s="738">
        <f t="shared" si="99"/>
        <v>441</v>
      </c>
      <c r="Z204" s="738">
        <f t="shared" si="99"/>
        <v>454</v>
      </c>
      <c r="AA204" s="738">
        <f t="shared" si="99"/>
        <v>464</v>
      </c>
      <c r="AB204" s="738">
        <f t="shared" si="99"/>
        <v>473</v>
      </c>
      <c r="AC204" s="738">
        <f t="shared" si="99"/>
        <v>455</v>
      </c>
      <c r="AD204" s="738">
        <f t="shared" si="99"/>
        <v>515</v>
      </c>
      <c r="AE204" s="738">
        <f t="shared" si="99"/>
        <v>537</v>
      </c>
      <c r="AF204" s="738">
        <f t="shared" si="99"/>
        <v>560</v>
      </c>
      <c r="AG204" s="738">
        <f t="shared" si="99"/>
        <v>709</v>
      </c>
      <c r="AH204" s="738">
        <f t="shared" si="99"/>
        <v>574</v>
      </c>
      <c r="AI204" s="738">
        <f t="shared" si="99"/>
        <v>689</v>
      </c>
      <c r="AJ204" s="738">
        <f t="shared" si="99"/>
        <v>621</v>
      </c>
      <c r="EI204" s="705"/>
      <c r="EJ204" s="745"/>
      <c r="EK204" s="755"/>
      <c r="EL204" s="745"/>
      <c r="EM204" s="745"/>
      <c r="EN204" s="745"/>
      <c r="EO204" s="745"/>
      <c r="EP204" s="737"/>
      <c r="EQ204" s="737"/>
      <c r="GL204" s="398"/>
      <c r="GM204" s="398"/>
      <c r="GN204" s="398"/>
      <c r="GO204" s="398"/>
      <c r="GP204" s="398"/>
      <c r="GQ204" s="398"/>
      <c r="GR204" s="398"/>
      <c r="GS204" s="398"/>
      <c r="GT204" s="398"/>
      <c r="GU204" s="398"/>
      <c r="GV204" s="398"/>
      <c r="GW204" s="398"/>
      <c r="GX204" s="398"/>
      <c r="GY204" s="398"/>
      <c r="GZ204" s="398"/>
      <c r="HA204" s="398"/>
      <c r="HB204" s="398"/>
      <c r="HC204" s="398"/>
      <c r="HD204" s="398"/>
      <c r="HE204" s="398"/>
    </row>
    <row r="205" spans="1:213" ht="14.1" customHeight="1">
      <c r="A205" s="398"/>
      <c r="B205" s="398"/>
      <c r="C205" s="398"/>
      <c r="D205" s="398"/>
      <c r="E205" s="398"/>
      <c r="F205" s="398"/>
      <c r="G205" s="398"/>
      <c r="H205" s="398"/>
      <c r="I205" s="398"/>
      <c r="J205" s="676"/>
      <c r="K205" s="676"/>
      <c r="L205" s="676"/>
      <c r="M205" s="676"/>
      <c r="N205" s="676"/>
      <c r="O205" s="676"/>
      <c r="P205" s="676"/>
      <c r="Q205" s="676"/>
      <c r="S205" s="386" t="s">
        <v>3575</v>
      </c>
      <c r="T205" s="386" t="s">
        <v>2253</v>
      </c>
      <c r="U205" s="738">
        <f>SUM(V205:AJ205)</f>
        <v>425</v>
      </c>
      <c r="V205" s="737">
        <v>37</v>
      </c>
      <c r="W205" s="776">
        <v>0</v>
      </c>
      <c r="X205" s="776">
        <v>50</v>
      </c>
      <c r="Y205" s="738">
        <v>65</v>
      </c>
      <c r="Z205" s="738">
        <v>57</v>
      </c>
      <c r="AA205" s="738">
        <v>71</v>
      </c>
      <c r="AB205" s="738">
        <v>63</v>
      </c>
      <c r="AC205" s="738">
        <v>82</v>
      </c>
      <c r="AD205" s="754" t="s">
        <v>1627</v>
      </c>
      <c r="AE205" s="754" t="s">
        <v>1627</v>
      </c>
      <c r="AF205" s="754" t="s">
        <v>1627</v>
      </c>
      <c r="AG205" s="754" t="s">
        <v>1627</v>
      </c>
      <c r="AH205" s="754" t="s">
        <v>1627</v>
      </c>
      <c r="AI205" s="754" t="s">
        <v>1627</v>
      </c>
      <c r="AJ205" s="754" t="s">
        <v>1627</v>
      </c>
      <c r="EI205" s="705"/>
      <c r="EJ205" s="745"/>
      <c r="EK205" s="755"/>
      <c r="EL205" s="745"/>
      <c r="EM205" s="745"/>
      <c r="EN205" s="745"/>
      <c r="EO205" s="745"/>
      <c r="EP205" s="737"/>
      <c r="EQ205" s="737"/>
      <c r="GL205" s="398"/>
      <c r="GM205" s="398"/>
      <c r="GN205" s="398"/>
      <c r="GO205" s="398"/>
      <c r="GP205" s="398"/>
      <c r="GQ205" s="398"/>
      <c r="GR205" s="398"/>
      <c r="GS205" s="398"/>
      <c r="GT205" s="398"/>
      <c r="GU205" s="398"/>
      <c r="GV205" s="398"/>
      <c r="GW205" s="398"/>
      <c r="GX205" s="398"/>
      <c r="GY205" s="398"/>
      <c r="GZ205" s="398"/>
      <c r="HA205" s="398"/>
      <c r="HB205" s="398"/>
      <c r="HC205" s="398"/>
      <c r="HD205" s="398"/>
      <c r="HE205" s="398"/>
    </row>
    <row r="206" spans="1:213" ht="14.1" customHeight="1">
      <c r="A206" s="398"/>
      <c r="B206" s="398"/>
      <c r="C206" s="398"/>
      <c r="D206" s="398"/>
      <c r="E206" s="398"/>
      <c r="F206" s="398"/>
      <c r="G206" s="398"/>
      <c r="H206" s="398"/>
      <c r="I206" s="398"/>
      <c r="J206" s="676"/>
      <c r="K206" s="676"/>
      <c r="L206" s="676"/>
      <c r="M206" s="676"/>
      <c r="N206" s="676"/>
      <c r="O206" s="676"/>
      <c r="P206" s="676"/>
      <c r="Q206" s="676"/>
      <c r="S206" s="386" t="s">
        <v>3779</v>
      </c>
      <c r="T206" s="386" t="s">
        <v>2253</v>
      </c>
      <c r="U206" s="738">
        <f t="shared" ref="U206:U214" si="100">SUM(V206:AJ206)</f>
        <v>957</v>
      </c>
      <c r="V206" s="754" t="s">
        <v>1627</v>
      </c>
      <c r="W206" s="754" t="s">
        <v>1627</v>
      </c>
      <c r="X206" s="754" t="s">
        <v>1627</v>
      </c>
      <c r="Y206" s="754" t="s">
        <v>1627</v>
      </c>
      <c r="Z206" s="754" t="s">
        <v>1627</v>
      </c>
      <c r="AA206" s="754" t="s">
        <v>1627</v>
      </c>
      <c r="AB206" s="754" t="s">
        <v>1627</v>
      </c>
      <c r="AC206" s="754" t="s">
        <v>1627</v>
      </c>
      <c r="AD206" s="754">
        <v>287</v>
      </c>
      <c r="AE206" s="738">
        <v>328</v>
      </c>
      <c r="AF206" s="738">
        <v>342</v>
      </c>
      <c r="AG206" s="754" t="s">
        <v>1627</v>
      </c>
      <c r="AH206" s="754" t="s">
        <v>1627</v>
      </c>
      <c r="AI206" s="754" t="s">
        <v>1627</v>
      </c>
      <c r="AJ206" s="754" t="s">
        <v>1627</v>
      </c>
      <c r="EI206" s="705"/>
      <c r="EJ206" s="745"/>
      <c r="EK206" s="755"/>
      <c r="EL206" s="745"/>
      <c r="EM206" s="745"/>
      <c r="EN206" s="745"/>
      <c r="EO206" s="745"/>
      <c r="EP206" s="737"/>
      <c r="EQ206" s="737"/>
      <c r="GL206" s="398"/>
      <c r="GM206" s="398"/>
      <c r="GN206" s="398"/>
      <c r="GO206" s="398"/>
      <c r="GP206" s="398"/>
      <c r="GQ206" s="398"/>
      <c r="GR206" s="398"/>
      <c r="GS206" s="398"/>
      <c r="GT206" s="398"/>
      <c r="GU206" s="398"/>
      <c r="GV206" s="398"/>
      <c r="GW206" s="398"/>
      <c r="GX206" s="398"/>
      <c r="GY206" s="398"/>
      <c r="GZ206" s="398"/>
      <c r="HA206" s="398"/>
      <c r="HB206" s="398"/>
      <c r="HC206" s="398"/>
      <c r="HD206" s="398"/>
      <c r="HE206" s="398"/>
    </row>
    <row r="207" spans="1:213" ht="14.1" customHeight="1">
      <c r="A207" s="398"/>
      <c r="B207" s="398"/>
      <c r="C207" s="398"/>
      <c r="D207" s="398"/>
      <c r="E207" s="398"/>
      <c r="F207" s="398"/>
      <c r="G207" s="398"/>
      <c r="H207" s="398"/>
      <c r="I207" s="398"/>
      <c r="J207" s="676"/>
      <c r="K207" s="676"/>
      <c r="L207" s="676"/>
      <c r="M207" s="676"/>
      <c r="N207" s="676"/>
      <c r="O207" s="676"/>
      <c r="P207" s="676"/>
      <c r="Q207" s="676"/>
      <c r="S207" s="386" t="s">
        <v>3744</v>
      </c>
      <c r="T207" s="386" t="s">
        <v>2253</v>
      </c>
      <c r="U207" s="738">
        <f t="shared" si="100"/>
        <v>325</v>
      </c>
      <c r="V207" s="737">
        <v>18</v>
      </c>
      <c r="W207" s="738">
        <v>0</v>
      </c>
      <c r="X207" s="738">
        <v>36</v>
      </c>
      <c r="Y207" s="738">
        <v>59</v>
      </c>
      <c r="Z207" s="738">
        <v>57</v>
      </c>
      <c r="AA207" s="738">
        <v>47</v>
      </c>
      <c r="AB207" s="738">
        <v>53</v>
      </c>
      <c r="AC207" s="738">
        <v>55</v>
      </c>
      <c r="AD207" s="754" t="s">
        <v>1627</v>
      </c>
      <c r="AE207" s="754" t="s">
        <v>1627</v>
      </c>
      <c r="AF207" s="754" t="s">
        <v>1627</v>
      </c>
      <c r="AG207" s="754" t="s">
        <v>1627</v>
      </c>
      <c r="AH207" s="754" t="s">
        <v>1627</v>
      </c>
      <c r="AI207" s="754" t="s">
        <v>1627</v>
      </c>
      <c r="AJ207" s="754" t="s">
        <v>1627</v>
      </c>
      <c r="EI207" s="705"/>
      <c r="EJ207" s="745"/>
      <c r="EK207" s="755"/>
      <c r="EL207" s="745"/>
      <c r="EM207" s="745"/>
      <c r="EN207" s="745"/>
      <c r="EO207" s="745"/>
      <c r="EP207" s="737"/>
      <c r="EQ207" s="737"/>
      <c r="GL207" s="398"/>
      <c r="GM207" s="398"/>
      <c r="GN207" s="398"/>
      <c r="GO207" s="398"/>
      <c r="GP207" s="398"/>
      <c r="GQ207" s="398"/>
      <c r="GR207" s="398"/>
      <c r="GS207" s="398"/>
      <c r="GT207" s="398"/>
      <c r="GU207" s="398"/>
      <c r="GV207" s="398"/>
      <c r="GW207" s="398"/>
      <c r="GX207" s="398"/>
      <c r="GY207" s="398"/>
      <c r="GZ207" s="398"/>
      <c r="HA207" s="398"/>
      <c r="HB207" s="398"/>
      <c r="HC207" s="398"/>
      <c r="HD207" s="398"/>
      <c r="HE207" s="398"/>
    </row>
    <row r="208" spans="1:213" ht="14.1" customHeight="1">
      <c r="A208" s="398"/>
      <c r="B208" s="398"/>
      <c r="C208" s="398"/>
      <c r="D208" s="398"/>
      <c r="E208" s="398"/>
      <c r="F208" s="398"/>
      <c r="G208" s="398"/>
      <c r="H208" s="398"/>
      <c r="I208" s="398"/>
      <c r="J208" s="676"/>
      <c r="K208" s="676"/>
      <c r="L208" s="676"/>
      <c r="M208" s="676"/>
      <c r="N208" s="676"/>
      <c r="O208" s="676"/>
      <c r="P208" s="676"/>
      <c r="Q208" s="676"/>
      <c r="S208" s="386" t="s">
        <v>3791</v>
      </c>
      <c r="T208" s="386" t="s">
        <v>2253</v>
      </c>
      <c r="U208" s="738">
        <f t="shared" si="100"/>
        <v>1043</v>
      </c>
      <c r="V208" s="754" t="s">
        <v>1627</v>
      </c>
      <c r="W208" s="754" t="s">
        <v>1627</v>
      </c>
      <c r="X208" s="754" t="s">
        <v>1627</v>
      </c>
      <c r="Y208" s="754" t="s">
        <v>1627</v>
      </c>
      <c r="Z208" s="754" t="s">
        <v>1627</v>
      </c>
      <c r="AA208" s="754" t="s">
        <v>1627</v>
      </c>
      <c r="AB208" s="754" t="s">
        <v>1627</v>
      </c>
      <c r="AC208" s="754" t="s">
        <v>1627</v>
      </c>
      <c r="AD208" s="754" t="s">
        <v>1627</v>
      </c>
      <c r="AE208" s="754" t="s">
        <v>1627</v>
      </c>
      <c r="AF208" s="754" t="s">
        <v>1627</v>
      </c>
      <c r="AG208" s="757">
        <v>250</v>
      </c>
      <c r="AH208" s="757">
        <v>220</v>
      </c>
      <c r="AI208" s="757">
        <v>312</v>
      </c>
      <c r="AJ208" s="757">
        <v>261</v>
      </c>
      <c r="EI208" s="705"/>
      <c r="EJ208" s="745"/>
      <c r="EK208" s="755"/>
      <c r="EL208" s="745"/>
      <c r="EM208" s="745"/>
      <c r="EN208" s="745"/>
      <c r="EO208" s="745"/>
      <c r="EP208" s="737"/>
      <c r="EQ208" s="737"/>
      <c r="GL208" s="398"/>
      <c r="GM208" s="398"/>
      <c r="GN208" s="398"/>
      <c r="GO208" s="398"/>
      <c r="GP208" s="398"/>
      <c r="GQ208" s="398"/>
      <c r="GR208" s="398"/>
      <c r="GS208" s="398"/>
      <c r="GT208" s="398"/>
      <c r="GU208" s="398"/>
      <c r="GV208" s="398"/>
      <c r="GW208" s="398"/>
      <c r="GX208" s="398"/>
      <c r="GY208" s="398"/>
      <c r="GZ208" s="398"/>
      <c r="HA208" s="398"/>
      <c r="HB208" s="398"/>
      <c r="HC208" s="398"/>
      <c r="HD208" s="398"/>
      <c r="HE208" s="398"/>
    </row>
    <row r="209" spans="1:213" ht="14.1" customHeight="1">
      <c r="A209" s="398"/>
      <c r="B209" s="398"/>
      <c r="C209" s="398"/>
      <c r="D209" s="398"/>
      <c r="E209" s="398"/>
      <c r="F209" s="398"/>
      <c r="G209" s="398"/>
      <c r="H209" s="398"/>
      <c r="I209" s="398"/>
      <c r="J209" s="676"/>
      <c r="K209" s="676"/>
      <c r="L209" s="676"/>
      <c r="M209" s="676"/>
      <c r="N209" s="676"/>
      <c r="O209" s="676"/>
      <c r="P209" s="676"/>
      <c r="Q209" s="676"/>
      <c r="S209" s="386" t="s">
        <v>3537</v>
      </c>
      <c r="T209" s="386" t="s">
        <v>2185</v>
      </c>
      <c r="U209" s="738">
        <f t="shared" si="100"/>
        <v>484</v>
      </c>
      <c r="V209" s="737">
        <v>19</v>
      </c>
      <c r="W209" s="738">
        <v>0</v>
      </c>
      <c r="X209" s="738">
        <v>53</v>
      </c>
      <c r="Y209" s="738">
        <v>73</v>
      </c>
      <c r="Z209" s="738">
        <v>90</v>
      </c>
      <c r="AA209" s="738">
        <v>78</v>
      </c>
      <c r="AB209" s="738">
        <v>83</v>
      </c>
      <c r="AC209" s="738">
        <v>88</v>
      </c>
      <c r="AD209" s="754" t="s">
        <v>1627</v>
      </c>
      <c r="AE209" s="754" t="s">
        <v>1627</v>
      </c>
      <c r="AF209" s="754" t="s">
        <v>1627</v>
      </c>
      <c r="AG209" s="754" t="s">
        <v>1627</v>
      </c>
      <c r="AH209" s="754" t="s">
        <v>1627</v>
      </c>
      <c r="AI209" s="754" t="s">
        <v>1627</v>
      </c>
      <c r="AJ209" s="754" t="s">
        <v>1627</v>
      </c>
      <c r="EI209" s="705"/>
      <c r="EJ209" s="745"/>
      <c r="EK209" s="755"/>
      <c r="EL209" s="745"/>
      <c r="EM209" s="745"/>
      <c r="EN209" s="745"/>
      <c r="EO209" s="745"/>
      <c r="EP209" s="515"/>
      <c r="EQ209" s="515"/>
      <c r="GL209" s="398"/>
      <c r="GM209" s="398"/>
      <c r="GN209" s="398"/>
      <c r="GO209" s="398"/>
      <c r="GP209" s="398"/>
      <c r="GQ209" s="398"/>
      <c r="GR209" s="398"/>
      <c r="GS209" s="398"/>
      <c r="GT209" s="398"/>
      <c r="GU209" s="398"/>
      <c r="GV209" s="398"/>
      <c r="GW209" s="398"/>
      <c r="GX209" s="398"/>
      <c r="GY209" s="398"/>
      <c r="GZ209" s="398"/>
      <c r="HA209" s="398"/>
      <c r="HB209" s="398"/>
      <c r="HC209" s="398"/>
      <c r="HD209" s="398"/>
      <c r="HE209" s="398"/>
    </row>
    <row r="210" spans="1:213" ht="14.1" customHeight="1">
      <c r="A210" s="398"/>
      <c r="B210" s="398"/>
      <c r="C210" s="398"/>
      <c r="D210" s="398"/>
      <c r="E210" s="398"/>
      <c r="F210" s="398"/>
      <c r="G210" s="398"/>
      <c r="H210" s="398"/>
      <c r="I210" s="398"/>
      <c r="J210" s="676"/>
      <c r="K210" s="676"/>
      <c r="L210" s="676"/>
      <c r="M210" s="676"/>
      <c r="N210" s="676"/>
      <c r="O210" s="676"/>
      <c r="P210" s="676"/>
      <c r="Q210" s="676"/>
      <c r="S210" s="386" t="s">
        <v>3750</v>
      </c>
      <c r="T210" s="386" t="s">
        <v>2185</v>
      </c>
      <c r="U210" s="738">
        <f t="shared" si="100"/>
        <v>619</v>
      </c>
      <c r="V210" s="737">
        <v>37</v>
      </c>
      <c r="W210" s="738">
        <v>22</v>
      </c>
      <c r="X210" s="738">
        <v>88</v>
      </c>
      <c r="Y210" s="738">
        <v>87</v>
      </c>
      <c r="Z210" s="738">
        <v>99</v>
      </c>
      <c r="AA210" s="738">
        <v>101</v>
      </c>
      <c r="AB210" s="738">
        <v>101</v>
      </c>
      <c r="AC210" s="738">
        <v>84</v>
      </c>
      <c r="AD210" s="754" t="s">
        <v>1627</v>
      </c>
      <c r="AE210" s="754" t="s">
        <v>1627</v>
      </c>
      <c r="AF210" s="754" t="s">
        <v>1627</v>
      </c>
      <c r="AG210" s="754" t="s">
        <v>1627</v>
      </c>
      <c r="AH210" s="754" t="s">
        <v>1627</v>
      </c>
      <c r="AI210" s="754" t="s">
        <v>1627</v>
      </c>
      <c r="AJ210" s="754" t="s">
        <v>1627</v>
      </c>
      <c r="EI210" s="705"/>
      <c r="EJ210" s="745"/>
      <c r="EK210" s="755"/>
      <c r="EL210" s="745"/>
      <c r="EM210" s="745"/>
      <c r="EN210" s="745"/>
      <c r="EO210" s="745"/>
      <c r="EP210" s="515"/>
      <c r="EQ210" s="515"/>
      <c r="GL210" s="398"/>
      <c r="GM210" s="398"/>
      <c r="GN210" s="398"/>
      <c r="GO210" s="398"/>
      <c r="GP210" s="398"/>
      <c r="GQ210" s="398"/>
      <c r="GR210" s="398"/>
      <c r="GS210" s="398"/>
      <c r="GT210" s="398"/>
      <c r="GU210" s="398"/>
      <c r="GV210" s="398"/>
      <c r="GW210" s="398"/>
      <c r="GX210" s="398"/>
      <c r="GY210" s="398"/>
      <c r="GZ210" s="398"/>
      <c r="HB210" s="398"/>
      <c r="HC210" s="398"/>
      <c r="HD210" s="398"/>
      <c r="HE210" s="398"/>
    </row>
    <row r="211" spans="1:213" ht="14.1" customHeight="1">
      <c r="A211" s="398"/>
      <c r="B211" s="398"/>
      <c r="C211" s="398"/>
      <c r="D211" s="398"/>
      <c r="E211" s="398"/>
      <c r="F211" s="398"/>
      <c r="G211" s="398"/>
      <c r="H211" s="398"/>
      <c r="I211" s="398"/>
      <c r="J211" s="676"/>
      <c r="K211" s="676"/>
      <c r="L211" s="676"/>
      <c r="M211" s="676"/>
      <c r="N211" s="676"/>
      <c r="O211" s="676"/>
      <c r="P211" s="676"/>
      <c r="Q211" s="676"/>
      <c r="S211" s="386" t="s">
        <v>3805</v>
      </c>
      <c r="T211" s="386" t="s">
        <v>2185</v>
      </c>
      <c r="U211" s="738">
        <f t="shared" si="100"/>
        <v>1550</v>
      </c>
      <c r="V211" s="754" t="s">
        <v>1627</v>
      </c>
      <c r="W211" s="754" t="s">
        <v>1627</v>
      </c>
      <c r="X211" s="754" t="s">
        <v>1627</v>
      </c>
      <c r="Y211" s="754" t="s">
        <v>1627</v>
      </c>
      <c r="Z211" s="754" t="s">
        <v>1627</v>
      </c>
      <c r="AA211" s="754" t="s">
        <v>1627</v>
      </c>
      <c r="AB211" s="754" t="s">
        <v>1627</v>
      </c>
      <c r="AC211" s="754" t="s">
        <v>1627</v>
      </c>
      <c r="AD211" s="754" t="s">
        <v>1627</v>
      </c>
      <c r="AE211" s="754" t="s">
        <v>1627</v>
      </c>
      <c r="AF211" s="754" t="s">
        <v>1627</v>
      </c>
      <c r="AG211" s="738">
        <v>459</v>
      </c>
      <c r="AH211" s="738">
        <v>354</v>
      </c>
      <c r="AI211" s="738">
        <v>377</v>
      </c>
      <c r="AJ211" s="738">
        <v>360</v>
      </c>
      <c r="EI211" s="705"/>
      <c r="EJ211" s="745"/>
      <c r="EK211" s="755"/>
      <c r="EL211" s="745"/>
      <c r="EM211" s="745"/>
      <c r="EN211" s="745"/>
      <c r="EO211" s="745"/>
      <c r="EP211" s="737"/>
      <c r="EQ211" s="737"/>
      <c r="GL211" s="398"/>
      <c r="GM211" s="398"/>
      <c r="GN211" s="398"/>
      <c r="GO211" s="398"/>
      <c r="GP211" s="398"/>
      <c r="GQ211" s="398"/>
      <c r="GR211" s="398"/>
      <c r="GS211" s="398"/>
      <c r="GT211" s="398"/>
      <c r="GU211" s="398"/>
      <c r="GV211" s="398"/>
      <c r="GW211" s="398"/>
      <c r="GX211" s="398"/>
      <c r="GY211" s="398"/>
      <c r="GZ211" s="398"/>
      <c r="HB211" s="398"/>
      <c r="HC211" s="398"/>
      <c r="HD211" s="398"/>
      <c r="HE211" s="398"/>
    </row>
    <row r="212" spans="1:213" ht="14.1" customHeight="1">
      <c r="A212" s="398"/>
      <c r="B212" s="398"/>
      <c r="C212" s="398"/>
      <c r="D212" s="398"/>
      <c r="E212" s="398"/>
      <c r="F212" s="398"/>
      <c r="G212" s="398"/>
      <c r="H212" s="398"/>
      <c r="I212" s="398"/>
      <c r="J212" s="676"/>
      <c r="K212" s="676"/>
      <c r="L212" s="676"/>
      <c r="M212" s="676"/>
      <c r="N212" s="676"/>
      <c r="O212" s="676"/>
      <c r="P212" s="676"/>
      <c r="Q212" s="676"/>
      <c r="S212" s="386" t="s">
        <v>3810</v>
      </c>
      <c r="T212" s="398" t="s">
        <v>3811</v>
      </c>
      <c r="U212" s="738">
        <f t="shared" si="100"/>
        <v>655</v>
      </c>
      <c r="V212" s="754" t="s">
        <v>1627</v>
      </c>
      <c r="W212" s="754" t="s">
        <v>1627</v>
      </c>
      <c r="X212" s="754" t="s">
        <v>1627</v>
      </c>
      <c r="Y212" s="754" t="s">
        <v>1627</v>
      </c>
      <c r="Z212" s="754" t="s">
        <v>1627</v>
      </c>
      <c r="AA212" s="754" t="s">
        <v>1627</v>
      </c>
      <c r="AB212" s="754" t="s">
        <v>1627</v>
      </c>
      <c r="AC212" s="754" t="s">
        <v>1627</v>
      </c>
      <c r="AD212" s="754">
        <v>228</v>
      </c>
      <c r="AE212" s="738">
        <v>209</v>
      </c>
      <c r="AF212" s="738">
        <v>218</v>
      </c>
      <c r="AG212" s="754" t="s">
        <v>1627</v>
      </c>
      <c r="AH212" s="754" t="s">
        <v>1627</v>
      </c>
      <c r="AI212" s="754" t="s">
        <v>1627</v>
      </c>
      <c r="AJ212" s="754" t="s">
        <v>1627</v>
      </c>
      <c r="EI212" s="705"/>
      <c r="EJ212" s="745"/>
      <c r="EK212" s="755"/>
      <c r="EL212" s="745"/>
      <c r="EM212" s="745"/>
      <c r="EN212" s="745"/>
      <c r="EO212" s="745"/>
      <c r="EP212" s="737"/>
      <c r="EQ212" s="737"/>
      <c r="GL212" s="398"/>
      <c r="GM212" s="398"/>
      <c r="GN212" s="398"/>
      <c r="GO212" s="398"/>
      <c r="GP212" s="398"/>
      <c r="GQ212" s="398"/>
      <c r="GR212" s="398"/>
      <c r="GS212" s="398"/>
      <c r="GT212" s="398"/>
      <c r="GU212" s="398"/>
      <c r="GV212" s="398"/>
      <c r="GW212" s="398"/>
      <c r="GX212" s="398"/>
      <c r="GY212" s="398"/>
      <c r="GZ212" s="398"/>
      <c r="HB212" s="398"/>
      <c r="HC212" s="398"/>
      <c r="HD212" s="398"/>
      <c r="HE212" s="398"/>
    </row>
    <row r="213" spans="1:213" ht="14.1" customHeight="1">
      <c r="A213" s="398"/>
      <c r="B213" s="398"/>
      <c r="C213" s="398"/>
      <c r="D213" s="398"/>
      <c r="E213" s="398"/>
      <c r="F213" s="398"/>
      <c r="G213" s="398"/>
      <c r="H213" s="398"/>
      <c r="I213" s="398"/>
      <c r="J213" s="676"/>
      <c r="K213" s="676"/>
      <c r="L213" s="676"/>
      <c r="M213" s="676"/>
      <c r="N213" s="676"/>
      <c r="O213" s="676"/>
      <c r="P213" s="676"/>
      <c r="Q213" s="676"/>
      <c r="S213" s="386" t="s">
        <v>3815</v>
      </c>
      <c r="T213" s="386" t="s">
        <v>3811</v>
      </c>
      <c r="U213" s="738">
        <f t="shared" si="100"/>
        <v>408</v>
      </c>
      <c r="V213" s="776">
        <v>0</v>
      </c>
      <c r="W213" s="776">
        <v>0</v>
      </c>
      <c r="X213" s="776">
        <v>42</v>
      </c>
      <c r="Y213" s="738">
        <v>66</v>
      </c>
      <c r="Z213" s="738">
        <v>73</v>
      </c>
      <c r="AA213" s="738">
        <v>79</v>
      </c>
      <c r="AB213" s="738">
        <v>79</v>
      </c>
      <c r="AC213" s="738">
        <v>69</v>
      </c>
      <c r="AD213" s="754" t="s">
        <v>1627</v>
      </c>
      <c r="AE213" s="754" t="s">
        <v>1627</v>
      </c>
      <c r="AF213" s="754" t="s">
        <v>1627</v>
      </c>
      <c r="AG213" s="754" t="s">
        <v>1627</v>
      </c>
      <c r="AH213" s="754" t="s">
        <v>1627</v>
      </c>
      <c r="AI213" s="754" t="s">
        <v>1627</v>
      </c>
      <c r="AJ213" s="754" t="s">
        <v>1627</v>
      </c>
      <c r="EI213" s="781"/>
      <c r="EJ213" s="782"/>
      <c r="EK213" s="783"/>
      <c r="EL213" s="781"/>
      <c r="EM213" s="781"/>
      <c r="EN213" s="781"/>
      <c r="EO213" s="781"/>
      <c r="GL213" s="398"/>
      <c r="GM213" s="398"/>
      <c r="GN213" s="398"/>
      <c r="GO213" s="398"/>
      <c r="GP213" s="398"/>
      <c r="GQ213" s="398"/>
      <c r="GR213" s="398"/>
      <c r="GS213" s="398"/>
      <c r="GT213" s="398"/>
      <c r="GU213" s="398"/>
      <c r="GV213" s="398"/>
      <c r="GW213" s="398"/>
      <c r="GX213" s="398"/>
      <c r="GY213" s="398"/>
      <c r="GZ213" s="398"/>
      <c r="HB213" s="398"/>
      <c r="HC213" s="398"/>
      <c r="HD213" s="398"/>
      <c r="HE213" s="398"/>
    </row>
    <row r="214" spans="1:213" ht="14.1" customHeight="1">
      <c r="A214" s="398"/>
      <c r="B214" s="398"/>
      <c r="C214" s="398"/>
      <c r="D214" s="398"/>
      <c r="E214" s="398"/>
      <c r="F214" s="398"/>
      <c r="G214" s="398"/>
      <c r="H214" s="398"/>
      <c r="I214" s="398"/>
      <c r="J214" s="676"/>
      <c r="K214" s="676"/>
      <c r="L214" s="676"/>
      <c r="M214" s="676"/>
      <c r="N214" s="676"/>
      <c r="O214" s="676"/>
      <c r="P214" s="676"/>
      <c r="Q214" s="676"/>
      <c r="S214" s="386" t="s">
        <v>3664</v>
      </c>
      <c r="T214" s="386" t="s">
        <v>3819</v>
      </c>
      <c r="U214" s="738">
        <f t="shared" si="100"/>
        <v>515</v>
      </c>
      <c r="V214" s="776">
        <v>0</v>
      </c>
      <c r="W214" s="776">
        <v>15</v>
      </c>
      <c r="X214" s="776">
        <v>72</v>
      </c>
      <c r="Y214" s="738">
        <v>91</v>
      </c>
      <c r="Z214" s="738">
        <v>78</v>
      </c>
      <c r="AA214" s="738">
        <v>88</v>
      </c>
      <c r="AB214" s="738">
        <v>94</v>
      </c>
      <c r="AC214" s="738">
        <v>77</v>
      </c>
      <c r="AD214" s="754" t="s">
        <v>1627</v>
      </c>
      <c r="AE214" s="754" t="s">
        <v>1627</v>
      </c>
      <c r="AF214" s="754" t="s">
        <v>1627</v>
      </c>
      <c r="AG214" s="754" t="s">
        <v>1627</v>
      </c>
      <c r="AH214" s="754" t="s">
        <v>1627</v>
      </c>
      <c r="AI214" s="754" t="s">
        <v>1627</v>
      </c>
      <c r="AJ214" s="754" t="s">
        <v>1627</v>
      </c>
      <c r="EI214" s="781"/>
      <c r="EJ214" s="782"/>
      <c r="EK214" s="783"/>
      <c r="EL214" s="781"/>
      <c r="EM214" s="781"/>
      <c r="EN214" s="781"/>
      <c r="EO214" s="781"/>
      <c r="GL214" s="398"/>
      <c r="GM214" s="398"/>
      <c r="GN214" s="398"/>
      <c r="GO214" s="398"/>
      <c r="GP214" s="398"/>
      <c r="GQ214" s="398"/>
      <c r="GR214" s="398"/>
      <c r="GS214" s="398"/>
      <c r="GT214" s="398"/>
      <c r="GU214" s="398"/>
      <c r="GV214" s="398"/>
      <c r="GW214" s="398"/>
      <c r="GX214" s="398"/>
      <c r="GY214" s="398"/>
      <c r="GZ214" s="398"/>
      <c r="HB214" s="398"/>
      <c r="HC214" s="398"/>
      <c r="HD214" s="398"/>
      <c r="HE214" s="398"/>
    </row>
    <row r="215" spans="1:213" ht="14.1" customHeight="1">
      <c r="A215" s="398"/>
      <c r="B215" s="398"/>
      <c r="C215" s="398"/>
      <c r="D215" s="398"/>
      <c r="E215" s="398"/>
      <c r="F215" s="398"/>
      <c r="G215" s="398"/>
      <c r="H215" s="398"/>
      <c r="I215" s="398"/>
      <c r="J215" s="676"/>
      <c r="K215" s="676"/>
      <c r="L215" s="676"/>
      <c r="M215" s="676"/>
      <c r="N215" s="676"/>
      <c r="O215" s="676"/>
      <c r="P215" s="676"/>
      <c r="Q215" s="676"/>
      <c r="S215" s="398"/>
      <c r="T215" s="740"/>
      <c r="U215" s="738"/>
      <c r="V215" s="737"/>
      <c r="W215" s="738"/>
      <c r="X215" s="738"/>
      <c r="Y215" s="738"/>
      <c r="Z215" s="738"/>
      <c r="AA215" s="738"/>
      <c r="AB215" s="738"/>
      <c r="AC215" s="738"/>
      <c r="AD215" s="754"/>
      <c r="AE215" s="738"/>
      <c r="AF215" s="738"/>
      <c r="AG215" s="738"/>
      <c r="AH215" s="738"/>
      <c r="AI215" s="738"/>
      <c r="AJ215" s="738"/>
      <c r="EI215" s="781"/>
      <c r="EJ215" s="782"/>
      <c r="EK215" s="783"/>
      <c r="EL215" s="781"/>
      <c r="EM215" s="781"/>
      <c r="EN215" s="781"/>
      <c r="EO215" s="781"/>
      <c r="GL215" s="398"/>
      <c r="GM215" s="398"/>
      <c r="GN215" s="398"/>
      <c r="GO215" s="398"/>
      <c r="GP215" s="398"/>
      <c r="GQ215" s="398"/>
      <c r="GR215" s="398"/>
      <c r="GS215" s="398"/>
      <c r="GT215" s="398"/>
      <c r="GU215" s="398"/>
      <c r="GV215" s="398"/>
      <c r="GW215" s="398"/>
      <c r="GX215" s="398"/>
      <c r="GY215" s="398"/>
      <c r="GZ215" s="398"/>
      <c r="HB215" s="398"/>
      <c r="HC215" s="398"/>
      <c r="HD215" s="398"/>
      <c r="HE215" s="398"/>
    </row>
    <row r="216" spans="1:213" ht="14.1" customHeight="1">
      <c r="A216" s="398"/>
      <c r="B216" s="398"/>
      <c r="C216" s="398"/>
      <c r="D216" s="398"/>
      <c r="E216" s="398"/>
      <c r="F216" s="398"/>
      <c r="G216" s="398"/>
      <c r="H216" s="398"/>
      <c r="I216" s="398"/>
      <c r="J216" s="676"/>
      <c r="K216" s="676"/>
      <c r="L216" s="676"/>
      <c r="M216" s="676"/>
      <c r="N216" s="676"/>
      <c r="O216" s="676"/>
      <c r="P216" s="676"/>
      <c r="Q216" s="676"/>
      <c r="S216" s="398" t="s">
        <v>3827</v>
      </c>
      <c r="T216" s="740"/>
      <c r="U216" s="754">
        <f>SUM(U217:U226)</f>
        <v>4326</v>
      </c>
      <c r="V216" s="754">
        <f t="shared" ref="V216:AJ216" si="101">SUM(V217:V226)</f>
        <v>112</v>
      </c>
      <c r="W216" s="754">
        <f t="shared" si="101"/>
        <v>31</v>
      </c>
      <c r="X216" s="754">
        <f t="shared" si="101"/>
        <v>265</v>
      </c>
      <c r="Y216" s="754">
        <f t="shared" si="101"/>
        <v>264</v>
      </c>
      <c r="Z216" s="754">
        <f t="shared" si="101"/>
        <v>331</v>
      </c>
      <c r="AA216" s="754">
        <f t="shared" si="101"/>
        <v>330</v>
      </c>
      <c r="AB216" s="754">
        <f t="shared" si="101"/>
        <v>323</v>
      </c>
      <c r="AC216" s="754">
        <f t="shared" si="101"/>
        <v>351</v>
      </c>
      <c r="AD216" s="754">
        <f t="shared" si="101"/>
        <v>309</v>
      </c>
      <c r="AE216" s="754">
        <f t="shared" si="101"/>
        <v>281</v>
      </c>
      <c r="AF216" s="754">
        <f t="shared" si="101"/>
        <v>309</v>
      </c>
      <c r="AG216" s="754">
        <f t="shared" si="101"/>
        <v>349</v>
      </c>
      <c r="AH216" s="754">
        <f t="shared" si="101"/>
        <v>366</v>
      </c>
      <c r="AI216" s="754">
        <f t="shared" si="101"/>
        <v>370</v>
      </c>
      <c r="AJ216" s="754">
        <f t="shared" si="101"/>
        <v>335</v>
      </c>
      <c r="EI216" s="781"/>
      <c r="EJ216" s="782"/>
      <c r="EK216" s="783"/>
      <c r="EL216" s="781"/>
      <c r="EM216" s="781"/>
      <c r="EN216" s="781"/>
      <c r="EO216" s="781"/>
      <c r="GL216" s="398"/>
      <c r="GM216" s="398"/>
      <c r="GN216" s="398"/>
      <c r="GO216" s="398"/>
      <c r="GP216" s="398"/>
      <c r="GQ216" s="398"/>
      <c r="GR216" s="398"/>
      <c r="GS216" s="398"/>
      <c r="GT216" s="398"/>
      <c r="GU216" s="398"/>
      <c r="GV216" s="398"/>
      <c r="GW216" s="398"/>
      <c r="GX216" s="398"/>
      <c r="GY216" s="398"/>
      <c r="GZ216" s="398"/>
      <c r="HB216" s="398"/>
      <c r="HC216" s="398"/>
      <c r="HD216" s="398"/>
      <c r="HE216" s="398"/>
    </row>
    <row r="217" spans="1:213" ht="14.1" customHeight="1">
      <c r="A217" s="398"/>
      <c r="B217" s="398"/>
      <c r="C217" s="398"/>
      <c r="D217" s="398"/>
      <c r="E217" s="398"/>
      <c r="F217" s="398"/>
      <c r="G217" s="398"/>
      <c r="H217" s="398"/>
      <c r="I217" s="398"/>
      <c r="J217" s="676"/>
      <c r="K217" s="676"/>
      <c r="L217" s="676"/>
      <c r="M217" s="676"/>
      <c r="N217" s="676"/>
      <c r="O217" s="676"/>
      <c r="P217" s="676"/>
      <c r="Q217" s="676"/>
      <c r="S217" s="386" t="s">
        <v>3719</v>
      </c>
      <c r="T217" s="386" t="s">
        <v>3831</v>
      </c>
      <c r="U217" s="738">
        <f>SUM(V217:AJ217)</f>
        <v>380</v>
      </c>
      <c r="V217" s="737">
        <v>20</v>
      </c>
      <c r="W217" s="738">
        <v>8</v>
      </c>
      <c r="X217" s="738">
        <v>48</v>
      </c>
      <c r="Y217" s="738">
        <v>53</v>
      </c>
      <c r="Z217" s="738">
        <v>64</v>
      </c>
      <c r="AA217" s="738">
        <v>55</v>
      </c>
      <c r="AB217" s="738">
        <v>56</v>
      </c>
      <c r="AC217" s="738">
        <v>76</v>
      </c>
      <c r="AD217" s="754" t="s">
        <v>1627</v>
      </c>
      <c r="AE217" s="754" t="s">
        <v>1627</v>
      </c>
      <c r="AF217" s="754" t="s">
        <v>1627</v>
      </c>
      <c r="AG217" s="754" t="s">
        <v>1627</v>
      </c>
      <c r="AH217" s="754" t="s">
        <v>1627</v>
      </c>
      <c r="AI217" s="754" t="s">
        <v>1627</v>
      </c>
      <c r="AJ217" s="754" t="s">
        <v>1627</v>
      </c>
      <c r="EI217" s="781"/>
      <c r="EJ217" s="782"/>
      <c r="EK217" s="783"/>
      <c r="EL217" s="781"/>
      <c r="EM217" s="781"/>
      <c r="EN217" s="781"/>
      <c r="EO217" s="781"/>
      <c r="GL217" s="398"/>
      <c r="GM217" s="398"/>
      <c r="GN217" s="398"/>
      <c r="GO217" s="398"/>
      <c r="GP217" s="398"/>
      <c r="GQ217" s="398"/>
      <c r="GR217" s="398"/>
      <c r="GS217" s="398"/>
      <c r="GT217" s="398"/>
      <c r="GU217" s="398"/>
      <c r="GV217" s="398"/>
      <c r="GW217" s="398"/>
      <c r="GX217" s="398"/>
      <c r="GY217" s="398"/>
      <c r="GZ217" s="398"/>
      <c r="HB217" s="398"/>
      <c r="HC217" s="398"/>
      <c r="HD217" s="398"/>
      <c r="HE217" s="398"/>
    </row>
    <row r="218" spans="1:213" ht="14.1" customHeight="1">
      <c r="A218" s="398"/>
      <c r="B218" s="398"/>
      <c r="C218" s="398"/>
      <c r="D218" s="398"/>
      <c r="E218" s="398"/>
      <c r="F218" s="398"/>
      <c r="G218" s="398"/>
      <c r="H218" s="398"/>
      <c r="I218" s="398"/>
      <c r="S218" s="386" t="s">
        <v>3818</v>
      </c>
      <c r="T218" s="386" t="s">
        <v>3831</v>
      </c>
      <c r="U218" s="738">
        <f t="shared" ref="U218:U226" si="102">SUM(V218:AJ218)</f>
        <v>406</v>
      </c>
      <c r="V218" s="754" t="s">
        <v>1627</v>
      </c>
      <c r="W218" s="754" t="s">
        <v>1627</v>
      </c>
      <c r="X218" s="754" t="s">
        <v>1627</v>
      </c>
      <c r="Y218" s="754" t="s">
        <v>1627</v>
      </c>
      <c r="Z218" s="754" t="s">
        <v>1627</v>
      </c>
      <c r="AA218" s="754" t="s">
        <v>1627</v>
      </c>
      <c r="AB218" s="754" t="s">
        <v>1627</v>
      </c>
      <c r="AC218" s="754" t="s">
        <v>1627</v>
      </c>
      <c r="AD218" s="754">
        <v>133</v>
      </c>
      <c r="AE218" s="738">
        <v>123</v>
      </c>
      <c r="AF218" s="738">
        <v>150</v>
      </c>
      <c r="AG218" s="754" t="s">
        <v>1627</v>
      </c>
      <c r="AH218" s="754" t="s">
        <v>1627</v>
      </c>
      <c r="AI218" s="754" t="s">
        <v>1627</v>
      </c>
      <c r="AJ218" s="754" t="s">
        <v>1627</v>
      </c>
      <c r="DA218" s="811"/>
      <c r="DO218" s="811"/>
      <c r="DP218" s="811"/>
      <c r="DQ218" s="811"/>
      <c r="DR218" s="811"/>
      <c r="DS218" s="811"/>
      <c r="DT218" s="811"/>
      <c r="DU218" s="811"/>
      <c r="DV218" s="811"/>
      <c r="DW218" s="811"/>
      <c r="DX218" s="811"/>
      <c r="DY218" s="811"/>
      <c r="DZ218" s="811"/>
      <c r="EA218" s="811"/>
      <c r="EB218" s="811"/>
      <c r="EC218" s="811"/>
      <c r="ED218" s="811"/>
      <c r="EE218" s="811"/>
      <c r="EF218" s="811"/>
      <c r="EI218" s="781"/>
      <c r="EJ218" s="835"/>
      <c r="EK218" s="835"/>
      <c r="EL218" s="781"/>
      <c r="EM218" s="781"/>
      <c r="EN218" s="781"/>
      <c r="EO218" s="781"/>
      <c r="EQ218" s="398"/>
      <c r="GA218" s="702"/>
      <c r="GB218" s="702"/>
      <c r="GJ218" s="702"/>
      <c r="GL218" s="398"/>
      <c r="GM218" s="398"/>
      <c r="GN218" s="398"/>
      <c r="GO218" s="398"/>
      <c r="GP218" s="398"/>
      <c r="GQ218" s="398"/>
      <c r="GR218" s="398"/>
      <c r="GS218" s="398"/>
      <c r="GT218" s="398"/>
      <c r="GU218" s="398"/>
      <c r="GV218" s="398"/>
      <c r="GW218" s="398"/>
      <c r="GX218" s="398"/>
      <c r="GY218" s="398"/>
      <c r="GZ218" s="398"/>
      <c r="HB218" s="398"/>
      <c r="HC218" s="398"/>
      <c r="HD218" s="398"/>
      <c r="HE218" s="398"/>
    </row>
    <row r="219" spans="1:213" ht="14.1" customHeight="1">
      <c r="A219" s="398"/>
      <c r="B219" s="398"/>
      <c r="C219" s="398"/>
      <c r="D219" s="398"/>
      <c r="E219" s="398"/>
      <c r="F219" s="398"/>
      <c r="G219" s="398"/>
      <c r="H219" s="398"/>
      <c r="I219" s="398"/>
      <c r="S219" s="386" t="s">
        <v>3839</v>
      </c>
      <c r="T219" s="386" t="s">
        <v>3840</v>
      </c>
      <c r="U219" s="738">
        <f t="shared" si="102"/>
        <v>244</v>
      </c>
      <c r="V219" s="737">
        <v>20</v>
      </c>
      <c r="W219" s="738">
        <v>0</v>
      </c>
      <c r="X219" s="738">
        <v>36</v>
      </c>
      <c r="Y219" s="738">
        <v>39</v>
      </c>
      <c r="Z219" s="738">
        <v>48</v>
      </c>
      <c r="AA219" s="738">
        <v>39</v>
      </c>
      <c r="AB219" s="738">
        <v>31</v>
      </c>
      <c r="AC219" s="738">
        <v>31</v>
      </c>
      <c r="AD219" s="754" t="s">
        <v>1627</v>
      </c>
      <c r="AE219" s="754" t="s">
        <v>1627</v>
      </c>
      <c r="AF219" s="754" t="s">
        <v>1627</v>
      </c>
      <c r="AG219" s="754" t="s">
        <v>1627</v>
      </c>
      <c r="AH219" s="754" t="s">
        <v>1627</v>
      </c>
      <c r="AI219" s="754" t="s">
        <v>1627</v>
      </c>
      <c r="AJ219" s="754" t="s">
        <v>1627</v>
      </c>
      <c r="DA219" s="828"/>
      <c r="DM219" s="811"/>
      <c r="DN219" s="811"/>
      <c r="DO219" s="828"/>
      <c r="DP219" s="828"/>
      <c r="DQ219" s="828"/>
      <c r="DR219" s="828"/>
      <c r="DS219" s="828"/>
      <c r="DT219" s="828"/>
      <c r="DU219" s="828"/>
      <c r="DV219" s="828"/>
      <c r="DW219" s="828"/>
      <c r="DX219" s="828"/>
      <c r="DY219" s="828"/>
      <c r="DZ219" s="828"/>
      <c r="EA219" s="828"/>
      <c r="EB219" s="828"/>
      <c r="EC219" s="828"/>
      <c r="ED219" s="828"/>
      <c r="EE219" s="828"/>
      <c r="EF219" s="828"/>
      <c r="EI219" s="705"/>
      <c r="EJ219" s="791"/>
      <c r="EK219" s="791"/>
      <c r="EL219" s="2121"/>
      <c r="EM219" s="2121"/>
      <c r="EN219" s="2121"/>
      <c r="EO219" s="2121"/>
      <c r="EP219" s="2094"/>
      <c r="EQ219" s="2094"/>
      <c r="GA219" s="690"/>
      <c r="GB219" s="690"/>
      <c r="GC219" s="702"/>
      <c r="GD219" s="702"/>
      <c r="GE219" s="702"/>
      <c r="GF219" s="702"/>
      <c r="GG219" s="702"/>
      <c r="GH219" s="702"/>
      <c r="GI219" s="702"/>
      <c r="GJ219" s="690"/>
      <c r="GL219" s="398"/>
      <c r="GM219" s="398"/>
      <c r="GN219" s="398"/>
      <c r="GO219" s="398"/>
      <c r="GP219" s="398"/>
      <c r="GQ219" s="398"/>
      <c r="GR219" s="398"/>
      <c r="GS219" s="398"/>
      <c r="GT219" s="398"/>
      <c r="GU219" s="398"/>
      <c r="GV219" s="398"/>
      <c r="GW219" s="398"/>
      <c r="GX219" s="398"/>
      <c r="GY219" s="398"/>
      <c r="GZ219" s="398"/>
      <c r="HB219" s="398"/>
      <c r="HC219" s="398"/>
      <c r="HD219" s="398"/>
      <c r="HE219" s="398"/>
    </row>
    <row r="220" spans="1:213" ht="14.1" customHeight="1">
      <c r="A220" s="398"/>
      <c r="B220" s="398"/>
      <c r="C220" s="398"/>
      <c r="D220" s="398"/>
      <c r="E220" s="398"/>
      <c r="F220" s="398"/>
      <c r="G220" s="398"/>
      <c r="H220" s="398"/>
      <c r="I220" s="398"/>
      <c r="S220" s="386" t="s">
        <v>3844</v>
      </c>
      <c r="T220" s="386" t="s">
        <v>3840</v>
      </c>
      <c r="U220" s="738">
        <f t="shared" si="102"/>
        <v>493</v>
      </c>
      <c r="V220" s="754" t="s">
        <v>1627</v>
      </c>
      <c r="W220" s="754" t="s">
        <v>1627</v>
      </c>
      <c r="X220" s="754" t="s">
        <v>1627</v>
      </c>
      <c r="Y220" s="754" t="s">
        <v>1627</v>
      </c>
      <c r="Z220" s="754" t="s">
        <v>1627</v>
      </c>
      <c r="AA220" s="754" t="s">
        <v>1627</v>
      </c>
      <c r="AB220" s="754" t="s">
        <v>1627</v>
      </c>
      <c r="AC220" s="754" t="s">
        <v>1627</v>
      </c>
      <c r="AD220" s="754">
        <v>176</v>
      </c>
      <c r="AE220" s="738">
        <v>158</v>
      </c>
      <c r="AF220" s="738">
        <v>159</v>
      </c>
      <c r="AG220" s="754" t="s">
        <v>1627</v>
      </c>
      <c r="AH220" s="754" t="s">
        <v>1627</v>
      </c>
      <c r="AI220" s="754" t="s">
        <v>1627</v>
      </c>
      <c r="AJ220" s="754" t="s">
        <v>1627</v>
      </c>
      <c r="DA220" s="829"/>
      <c r="DM220" s="828"/>
      <c r="DN220" s="828"/>
      <c r="DO220" s="829"/>
      <c r="DP220" s="829"/>
      <c r="DQ220" s="829"/>
      <c r="DR220" s="829"/>
      <c r="DS220" s="829"/>
      <c r="DT220" s="829"/>
      <c r="DU220" s="829"/>
      <c r="DV220" s="829"/>
      <c r="DW220" s="829"/>
      <c r="DX220" s="829"/>
      <c r="DY220" s="829"/>
      <c r="DZ220" s="829"/>
      <c r="EA220" s="829"/>
      <c r="EB220" s="829"/>
      <c r="EC220" s="829"/>
      <c r="ED220" s="829"/>
      <c r="EE220" s="829"/>
      <c r="EF220" s="829"/>
      <c r="EI220" s="705"/>
      <c r="EJ220" s="791"/>
      <c r="EK220" s="791"/>
      <c r="EL220" s="791"/>
      <c r="EM220" s="791"/>
      <c r="EN220" s="791"/>
      <c r="EO220" s="791"/>
      <c r="EP220" s="402"/>
      <c r="EQ220" s="402"/>
      <c r="GA220" s="690"/>
      <c r="GB220" s="690"/>
      <c r="GC220" s="690"/>
      <c r="GD220" s="690"/>
      <c r="GE220" s="690"/>
      <c r="GF220" s="690"/>
      <c r="GG220" s="690"/>
      <c r="GH220" s="690"/>
      <c r="GI220" s="690"/>
      <c r="GJ220" s="690"/>
      <c r="GL220" s="398"/>
      <c r="GM220" s="398"/>
      <c r="GN220" s="398"/>
      <c r="GO220" s="398"/>
      <c r="GP220" s="398"/>
      <c r="GQ220" s="398"/>
      <c r="GR220" s="398"/>
      <c r="GS220" s="398"/>
      <c r="GT220" s="398"/>
      <c r="GU220" s="398"/>
      <c r="GV220" s="398"/>
      <c r="GW220" s="398"/>
      <c r="GX220" s="398"/>
      <c r="GY220" s="398"/>
      <c r="GZ220" s="398"/>
      <c r="HB220" s="398"/>
      <c r="HC220" s="398"/>
      <c r="HD220" s="398"/>
      <c r="HE220" s="398"/>
    </row>
    <row r="221" spans="1:213" ht="14.1" customHeight="1">
      <c r="A221" s="398"/>
      <c r="B221" s="398"/>
      <c r="C221" s="398"/>
      <c r="D221" s="398"/>
      <c r="E221" s="398"/>
      <c r="F221" s="398"/>
      <c r="G221" s="398"/>
      <c r="H221" s="398"/>
      <c r="I221" s="398"/>
      <c r="S221" s="386" t="s">
        <v>3848</v>
      </c>
      <c r="T221" s="386" t="s">
        <v>3849</v>
      </c>
      <c r="U221" s="738">
        <f t="shared" si="102"/>
        <v>253</v>
      </c>
      <c r="V221" s="737">
        <v>14</v>
      </c>
      <c r="W221" s="776">
        <v>0</v>
      </c>
      <c r="X221" s="776">
        <v>34</v>
      </c>
      <c r="Y221" s="738">
        <v>28</v>
      </c>
      <c r="Z221" s="738">
        <v>38</v>
      </c>
      <c r="AA221" s="738">
        <v>50</v>
      </c>
      <c r="AB221" s="738">
        <v>42</v>
      </c>
      <c r="AC221" s="738">
        <v>47</v>
      </c>
      <c r="AD221" s="754" t="s">
        <v>1627</v>
      </c>
      <c r="AE221" s="754" t="s">
        <v>1627</v>
      </c>
      <c r="AF221" s="754" t="s">
        <v>1627</v>
      </c>
      <c r="AG221" s="754" t="s">
        <v>1627</v>
      </c>
      <c r="AH221" s="754" t="s">
        <v>1627</v>
      </c>
      <c r="AI221" s="754" t="s">
        <v>1627</v>
      </c>
      <c r="AJ221" s="754" t="s">
        <v>1627</v>
      </c>
      <c r="DA221" s="806"/>
      <c r="DM221" s="829"/>
      <c r="DN221" s="829"/>
      <c r="DO221" s="806"/>
      <c r="DP221" s="806"/>
      <c r="DQ221" s="806"/>
      <c r="DR221" s="806"/>
      <c r="DS221" s="806"/>
      <c r="DT221" s="806"/>
      <c r="DU221" s="806"/>
      <c r="DV221" s="806"/>
      <c r="DW221" s="806"/>
      <c r="DX221" s="806"/>
      <c r="DY221" s="806"/>
      <c r="DZ221" s="806"/>
      <c r="EA221" s="806"/>
      <c r="EB221" s="806"/>
      <c r="EC221" s="806"/>
      <c r="ED221" s="806"/>
      <c r="EE221" s="806"/>
      <c r="EF221" s="806"/>
      <c r="EI221" s="705"/>
      <c r="EJ221" s="745"/>
      <c r="EK221" s="836"/>
      <c r="EL221" s="745"/>
      <c r="EM221" s="745"/>
      <c r="EN221" s="745"/>
      <c r="EO221" s="745"/>
      <c r="EP221" s="745"/>
      <c r="EQ221" s="745"/>
      <c r="FZ221" s="702"/>
      <c r="GA221" s="737"/>
      <c r="GB221" s="737"/>
      <c r="GC221" s="690"/>
      <c r="GD221" s="690"/>
      <c r="GE221" s="690"/>
      <c r="GF221" s="690"/>
      <c r="GG221" s="690"/>
      <c r="GH221" s="690"/>
      <c r="GI221" s="690"/>
      <c r="GJ221" s="737"/>
      <c r="GL221" s="398"/>
      <c r="GM221" s="398"/>
      <c r="GN221" s="398"/>
      <c r="GO221" s="398"/>
      <c r="GP221" s="398"/>
      <c r="GQ221" s="398"/>
      <c r="GR221" s="398"/>
      <c r="GS221" s="398"/>
      <c r="GT221" s="398"/>
      <c r="GU221" s="398"/>
      <c r="GV221" s="398"/>
      <c r="GW221" s="398"/>
      <c r="GX221" s="398"/>
      <c r="GY221" s="398"/>
      <c r="GZ221" s="398"/>
      <c r="HB221" s="398"/>
      <c r="HC221" s="398"/>
      <c r="HD221" s="398"/>
      <c r="HE221" s="398"/>
    </row>
    <row r="222" spans="1:213" ht="14.1" customHeight="1">
      <c r="A222" s="398"/>
      <c r="B222" s="398"/>
      <c r="C222" s="398"/>
      <c r="D222" s="398"/>
      <c r="E222" s="398"/>
      <c r="F222" s="398"/>
      <c r="G222" s="398"/>
      <c r="H222" s="398"/>
      <c r="I222" s="398"/>
      <c r="S222" s="386" t="s">
        <v>3635</v>
      </c>
      <c r="T222" s="386" t="s">
        <v>3852</v>
      </c>
      <c r="U222" s="738">
        <f t="shared" si="102"/>
        <v>326</v>
      </c>
      <c r="V222" s="738">
        <v>19</v>
      </c>
      <c r="W222" s="738">
        <v>13</v>
      </c>
      <c r="X222" s="738">
        <v>36</v>
      </c>
      <c r="Y222" s="738">
        <v>44</v>
      </c>
      <c r="Z222" s="738">
        <v>44</v>
      </c>
      <c r="AA222" s="738">
        <v>55</v>
      </c>
      <c r="AB222" s="738">
        <v>56</v>
      </c>
      <c r="AC222" s="738">
        <v>59</v>
      </c>
      <c r="AD222" s="754" t="s">
        <v>1627</v>
      </c>
      <c r="AE222" s="754" t="s">
        <v>1627</v>
      </c>
      <c r="AF222" s="754" t="s">
        <v>1627</v>
      </c>
      <c r="AG222" s="754" t="s">
        <v>1627</v>
      </c>
      <c r="AH222" s="754" t="s">
        <v>1627</v>
      </c>
      <c r="AI222" s="754" t="s">
        <v>1627</v>
      </c>
      <c r="AJ222" s="754" t="s">
        <v>1627</v>
      </c>
      <c r="DA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I222" s="705"/>
      <c r="EJ222" s="745"/>
      <c r="EK222" s="755"/>
      <c r="EL222" s="745"/>
      <c r="EM222" s="745"/>
      <c r="EN222" s="745"/>
      <c r="EO222" s="745"/>
      <c r="EP222" s="737"/>
      <c r="EQ222" s="737"/>
      <c r="FR222" s="702"/>
      <c r="FZ222" s="690"/>
      <c r="GA222" s="737"/>
      <c r="GB222" s="737"/>
      <c r="GC222" s="737"/>
      <c r="GD222" s="737"/>
      <c r="GE222" s="737"/>
      <c r="GF222" s="737"/>
      <c r="GG222" s="737"/>
      <c r="GH222" s="737"/>
      <c r="GI222" s="737"/>
      <c r="GJ222" s="737"/>
      <c r="GL222" s="398"/>
      <c r="GM222" s="398"/>
      <c r="GN222" s="398"/>
      <c r="GO222" s="398"/>
      <c r="GP222" s="398"/>
      <c r="GQ222" s="398"/>
      <c r="GR222" s="398"/>
      <c r="GS222" s="398"/>
      <c r="GT222" s="398"/>
      <c r="GU222" s="398"/>
      <c r="GV222" s="398"/>
      <c r="GW222" s="398"/>
      <c r="GX222" s="398"/>
      <c r="GY222" s="398"/>
      <c r="GZ222" s="398"/>
      <c r="HB222" s="398"/>
      <c r="HC222" s="398"/>
      <c r="HD222" s="398"/>
      <c r="HE222" s="398"/>
    </row>
    <row r="223" spans="1:213" ht="14.1" customHeight="1">
      <c r="A223" s="398"/>
      <c r="B223" s="398"/>
      <c r="C223" s="398"/>
      <c r="D223" s="398"/>
      <c r="E223" s="398"/>
      <c r="F223" s="398"/>
      <c r="G223" s="398"/>
      <c r="H223" s="398"/>
      <c r="I223" s="398"/>
      <c r="S223" s="386" t="s">
        <v>3856</v>
      </c>
      <c r="T223" s="386" t="s">
        <v>3852</v>
      </c>
      <c r="U223" s="738">
        <f t="shared" si="102"/>
        <v>1283</v>
      </c>
      <c r="V223" s="754" t="s">
        <v>1627</v>
      </c>
      <c r="W223" s="754" t="s">
        <v>1627</v>
      </c>
      <c r="X223" s="754" t="s">
        <v>1627</v>
      </c>
      <c r="Y223" s="754" t="s">
        <v>1627</v>
      </c>
      <c r="Z223" s="754" t="s">
        <v>1627</v>
      </c>
      <c r="AA223" s="754" t="s">
        <v>1627</v>
      </c>
      <c r="AB223" s="754" t="s">
        <v>1627</v>
      </c>
      <c r="AC223" s="754" t="s">
        <v>1627</v>
      </c>
      <c r="AD223" s="754" t="s">
        <v>1627</v>
      </c>
      <c r="AE223" s="754" t="s">
        <v>1627</v>
      </c>
      <c r="AF223" s="754" t="s">
        <v>1627</v>
      </c>
      <c r="AG223" s="754">
        <v>343</v>
      </c>
      <c r="AH223" s="754">
        <v>348</v>
      </c>
      <c r="AI223" s="738">
        <v>315</v>
      </c>
      <c r="AJ223" s="738">
        <v>277</v>
      </c>
      <c r="DA223" s="806"/>
      <c r="DB223" s="811"/>
      <c r="DC223" s="811"/>
      <c r="DD223" s="811"/>
      <c r="DE223" s="811"/>
      <c r="DF223" s="811"/>
      <c r="DG223" s="811"/>
      <c r="DH223" s="811"/>
      <c r="DI223" s="811"/>
      <c r="DJ223" s="811"/>
      <c r="DK223" s="811"/>
      <c r="DL223" s="811"/>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I223" s="705"/>
      <c r="EJ223" s="745"/>
      <c r="EK223" s="755"/>
      <c r="EL223" s="745"/>
      <c r="EM223" s="745"/>
      <c r="EN223" s="745"/>
      <c r="EO223" s="745"/>
      <c r="EP223" s="737"/>
      <c r="EQ223" s="737"/>
      <c r="FR223" s="690"/>
      <c r="FZ223" s="690"/>
      <c r="GA223" s="737"/>
      <c r="GB223" s="737"/>
      <c r="GC223" s="737"/>
      <c r="GD223" s="737"/>
      <c r="GE223" s="737"/>
      <c r="GF223" s="737"/>
      <c r="GG223" s="737"/>
      <c r="GH223" s="737"/>
      <c r="GI223" s="737"/>
      <c r="GJ223" s="737"/>
      <c r="GL223" s="398"/>
      <c r="GM223" s="398"/>
      <c r="GN223" s="398"/>
      <c r="GO223" s="398"/>
      <c r="GP223" s="398"/>
      <c r="GQ223" s="398"/>
      <c r="GR223" s="398"/>
      <c r="GS223" s="398"/>
      <c r="GT223" s="398"/>
      <c r="GU223" s="398"/>
      <c r="GV223" s="398"/>
      <c r="GW223" s="398"/>
      <c r="GX223" s="398"/>
      <c r="GY223" s="398"/>
      <c r="GZ223" s="398"/>
      <c r="HB223" s="398"/>
      <c r="HC223" s="398"/>
      <c r="HD223" s="398"/>
      <c r="HE223" s="398"/>
    </row>
    <row r="224" spans="1:213" ht="14.1" customHeight="1">
      <c r="A224" s="398"/>
      <c r="B224" s="398"/>
      <c r="C224" s="398"/>
      <c r="D224" s="398"/>
      <c r="E224" s="398"/>
      <c r="F224" s="398"/>
      <c r="G224" s="398"/>
      <c r="H224" s="398"/>
      <c r="I224" s="398"/>
      <c r="S224" s="386" t="s">
        <v>3698</v>
      </c>
      <c r="T224" s="386" t="s">
        <v>3862</v>
      </c>
      <c r="U224" s="738">
        <f t="shared" si="102"/>
        <v>541</v>
      </c>
      <c r="V224" s="737">
        <v>20</v>
      </c>
      <c r="W224" s="738">
        <v>10</v>
      </c>
      <c r="X224" s="738">
        <v>82</v>
      </c>
      <c r="Y224" s="738">
        <v>73</v>
      </c>
      <c r="Z224" s="738">
        <v>90</v>
      </c>
      <c r="AA224" s="738">
        <v>89</v>
      </c>
      <c r="AB224" s="738">
        <v>82</v>
      </c>
      <c r="AC224" s="738">
        <v>95</v>
      </c>
      <c r="AD224" s="754" t="s">
        <v>1627</v>
      </c>
      <c r="AE224" s="754" t="s">
        <v>1627</v>
      </c>
      <c r="AF224" s="754" t="s">
        <v>1627</v>
      </c>
      <c r="AG224" s="754" t="s">
        <v>1627</v>
      </c>
      <c r="AH224" s="754" t="s">
        <v>1627</v>
      </c>
      <c r="AI224" s="754" t="s">
        <v>1627</v>
      </c>
      <c r="AJ224" s="754" t="s">
        <v>1627</v>
      </c>
      <c r="DA224" s="811"/>
      <c r="DB224" s="828"/>
      <c r="DC224" s="828"/>
      <c r="DD224" s="828"/>
      <c r="DE224" s="828"/>
      <c r="DF224" s="828"/>
      <c r="DG224" s="828"/>
      <c r="DH224" s="828"/>
      <c r="DI224" s="828"/>
      <c r="DJ224" s="828"/>
      <c r="DK224" s="828"/>
      <c r="DL224" s="828"/>
      <c r="DM224" s="806"/>
      <c r="DN224" s="806"/>
      <c r="DO224" s="811"/>
      <c r="DP224" s="811"/>
      <c r="DQ224" s="811"/>
      <c r="DR224" s="811"/>
      <c r="DS224" s="811"/>
      <c r="DT224" s="811"/>
      <c r="DU224" s="811"/>
      <c r="DV224" s="811"/>
      <c r="DW224" s="811"/>
      <c r="DX224" s="811"/>
      <c r="DY224" s="811"/>
      <c r="DZ224" s="811"/>
      <c r="EA224" s="811"/>
      <c r="EB224" s="811"/>
      <c r="EC224" s="811"/>
      <c r="ED224" s="811"/>
      <c r="EE224" s="811"/>
      <c r="EF224" s="811"/>
      <c r="EI224" s="705"/>
      <c r="EJ224" s="745"/>
      <c r="EK224" s="755"/>
      <c r="EL224" s="745"/>
      <c r="EM224" s="745"/>
      <c r="EN224" s="745"/>
      <c r="EO224" s="745"/>
      <c r="EP224" s="737"/>
      <c r="EQ224" s="737"/>
      <c r="FR224" s="690"/>
      <c r="FS224" s="702"/>
      <c r="FT224" s="702"/>
      <c r="FU224" s="702"/>
      <c r="FV224" s="702"/>
      <c r="FW224" s="702"/>
      <c r="FX224" s="702"/>
      <c r="FY224" s="702"/>
      <c r="FZ224" s="737"/>
      <c r="GC224" s="737"/>
      <c r="GD224" s="737"/>
      <c r="GE224" s="737"/>
      <c r="GF224" s="737"/>
      <c r="GG224" s="737"/>
      <c r="GH224" s="737"/>
      <c r="GI224" s="737"/>
      <c r="GL224" s="398"/>
      <c r="GM224" s="398"/>
      <c r="GN224" s="398"/>
      <c r="GO224" s="398"/>
      <c r="GP224" s="398"/>
      <c r="GQ224" s="398"/>
      <c r="GR224" s="398"/>
      <c r="GU224" s="398"/>
      <c r="GV224" s="398"/>
      <c r="GW224" s="398"/>
      <c r="GX224" s="398"/>
      <c r="GY224" s="398"/>
      <c r="GZ224" s="398"/>
      <c r="HB224" s="398"/>
      <c r="HC224" s="398"/>
    </row>
    <row r="225" spans="1:214" ht="14.1" customHeight="1">
      <c r="A225" s="398"/>
      <c r="B225" s="398"/>
      <c r="C225" s="398"/>
      <c r="D225" s="398"/>
      <c r="E225" s="398"/>
      <c r="F225" s="398"/>
      <c r="G225" s="398"/>
      <c r="H225" s="398"/>
      <c r="I225" s="398"/>
      <c r="S225" s="386" t="s">
        <v>2201</v>
      </c>
      <c r="T225" s="386" t="s">
        <v>2201</v>
      </c>
      <c r="U225" s="738">
        <f t="shared" si="102"/>
        <v>263</v>
      </c>
      <c r="V225" s="737">
        <v>19</v>
      </c>
      <c r="W225" s="738">
        <v>0</v>
      </c>
      <c r="X225" s="738">
        <v>29</v>
      </c>
      <c r="Y225" s="738">
        <v>27</v>
      </c>
      <c r="Z225" s="738">
        <v>47</v>
      </c>
      <c r="AA225" s="738">
        <v>42</v>
      </c>
      <c r="AB225" s="738">
        <v>56</v>
      </c>
      <c r="AC225" s="738">
        <v>43</v>
      </c>
      <c r="AD225" s="754" t="s">
        <v>1627</v>
      </c>
      <c r="AE225" s="754" t="s">
        <v>1627</v>
      </c>
      <c r="AF225" s="754" t="s">
        <v>1627</v>
      </c>
      <c r="AG225" s="754" t="s">
        <v>1627</v>
      </c>
      <c r="AH225" s="754" t="s">
        <v>1627</v>
      </c>
      <c r="AI225" s="754" t="s">
        <v>1627</v>
      </c>
      <c r="AJ225" s="754" t="s">
        <v>1627</v>
      </c>
      <c r="DA225" s="811"/>
      <c r="DB225" s="829"/>
      <c r="DC225" s="829"/>
      <c r="DD225" s="829"/>
      <c r="DE225" s="829"/>
      <c r="DF225" s="829"/>
      <c r="DG225" s="829"/>
      <c r="DH225" s="829"/>
      <c r="DI225" s="829"/>
      <c r="DJ225" s="829"/>
      <c r="DK225" s="829"/>
      <c r="DL225" s="829"/>
      <c r="DM225" s="811"/>
      <c r="DN225" s="811"/>
      <c r="DO225" s="811"/>
      <c r="DP225" s="811"/>
      <c r="DQ225" s="811"/>
      <c r="DR225" s="811"/>
      <c r="DS225" s="811"/>
      <c r="DT225" s="811"/>
      <c r="DU225" s="811"/>
      <c r="DV225" s="811"/>
      <c r="DW225" s="811"/>
      <c r="DX225" s="811"/>
      <c r="DY225" s="811"/>
      <c r="DZ225" s="811"/>
      <c r="EA225" s="811"/>
      <c r="EB225" s="811"/>
      <c r="EC225" s="811"/>
      <c r="ED225" s="811"/>
      <c r="EE225" s="811"/>
      <c r="EF225" s="811"/>
      <c r="EI225" s="705"/>
      <c r="EJ225" s="745"/>
      <c r="EK225" s="755"/>
      <c r="EL225" s="745"/>
      <c r="EM225" s="745"/>
      <c r="EN225" s="745"/>
      <c r="EO225" s="745"/>
      <c r="EP225" s="737"/>
      <c r="EQ225" s="737"/>
      <c r="FR225" s="737"/>
      <c r="FS225" s="690"/>
      <c r="FT225" s="690"/>
      <c r="FU225" s="690"/>
      <c r="FV225" s="690"/>
      <c r="FW225" s="690"/>
      <c r="FX225" s="690"/>
      <c r="FY225" s="690"/>
      <c r="FZ225" s="737"/>
      <c r="GA225" s="690"/>
      <c r="GB225" s="690"/>
      <c r="GJ225" s="690"/>
      <c r="GL225" s="398"/>
      <c r="GM225" s="398"/>
      <c r="GN225" s="398"/>
      <c r="GO225" s="398"/>
      <c r="GP225" s="398"/>
      <c r="GQ225" s="398"/>
      <c r="GR225" s="398"/>
      <c r="GU225" s="398"/>
      <c r="GV225" s="398"/>
      <c r="GW225" s="398"/>
      <c r="GX225" s="398"/>
      <c r="GY225" s="398"/>
      <c r="GZ225" s="398"/>
      <c r="HB225" s="398"/>
      <c r="HC225" s="398"/>
    </row>
    <row r="226" spans="1:214" ht="14.1" customHeight="1">
      <c r="A226" s="398"/>
      <c r="B226" s="398"/>
      <c r="C226" s="398"/>
      <c r="D226" s="398"/>
      <c r="E226" s="398"/>
      <c r="F226" s="398"/>
      <c r="G226" s="398"/>
      <c r="H226" s="398"/>
      <c r="I226" s="398"/>
      <c r="S226" s="384" t="s">
        <v>3874</v>
      </c>
      <c r="T226" s="384" t="s">
        <v>2198</v>
      </c>
      <c r="U226" s="820">
        <f t="shared" si="102"/>
        <v>137</v>
      </c>
      <c r="V226" s="792" t="s">
        <v>1627</v>
      </c>
      <c r="W226" s="792" t="s">
        <v>1627</v>
      </c>
      <c r="X226" s="792" t="s">
        <v>1627</v>
      </c>
      <c r="Y226" s="792" t="s">
        <v>1627</v>
      </c>
      <c r="Z226" s="792" t="s">
        <v>1627</v>
      </c>
      <c r="AA226" s="792" t="s">
        <v>1627</v>
      </c>
      <c r="AB226" s="792" t="s">
        <v>1627</v>
      </c>
      <c r="AC226" s="792" t="s">
        <v>1627</v>
      </c>
      <c r="AD226" s="792" t="s">
        <v>1627</v>
      </c>
      <c r="AE226" s="792" t="s">
        <v>1627</v>
      </c>
      <c r="AF226" s="792" t="s">
        <v>1627</v>
      </c>
      <c r="AG226" s="801">
        <v>6</v>
      </c>
      <c r="AH226" s="801">
        <v>18</v>
      </c>
      <c r="AI226" s="801">
        <v>55</v>
      </c>
      <c r="AJ226" s="820">
        <v>58</v>
      </c>
      <c r="DA226" s="811"/>
      <c r="DB226" s="806"/>
      <c r="DC226" s="806"/>
      <c r="DD226" s="806"/>
      <c r="DE226" s="806"/>
      <c r="DF226" s="806"/>
      <c r="DG226" s="806"/>
      <c r="DH226" s="806"/>
      <c r="DI226" s="806"/>
      <c r="DJ226" s="806"/>
      <c r="DK226" s="806"/>
      <c r="DL226" s="806"/>
      <c r="DM226" s="811"/>
      <c r="DN226" s="811"/>
      <c r="DO226" s="811"/>
      <c r="DP226" s="811"/>
      <c r="DQ226" s="811"/>
      <c r="DR226" s="811"/>
      <c r="DS226" s="811"/>
      <c r="DT226" s="811"/>
      <c r="DU226" s="811"/>
      <c r="DV226" s="811"/>
      <c r="DW226" s="811"/>
      <c r="DX226" s="811"/>
      <c r="DY226" s="811"/>
      <c r="DZ226" s="811"/>
      <c r="EA226" s="811"/>
      <c r="EB226" s="811"/>
      <c r="EC226" s="811"/>
      <c r="ED226" s="811"/>
      <c r="EE226" s="811"/>
      <c r="EF226" s="811"/>
      <c r="EI226" s="705"/>
      <c r="EJ226" s="745"/>
      <c r="EK226" s="755"/>
      <c r="EL226" s="745"/>
      <c r="EM226" s="745"/>
      <c r="EN226" s="745"/>
      <c r="EO226" s="745"/>
      <c r="EP226" s="737"/>
      <c r="EQ226" s="737"/>
      <c r="FR226" s="737"/>
      <c r="FS226" s="690"/>
      <c r="FT226" s="690"/>
      <c r="FU226" s="690"/>
      <c r="FV226" s="690"/>
      <c r="FW226" s="690"/>
      <c r="FX226" s="690"/>
      <c r="FY226" s="690"/>
      <c r="FZ226" s="737"/>
      <c r="GA226" s="690"/>
      <c r="GB226" s="690"/>
      <c r="GC226" s="690"/>
      <c r="GD226" s="690"/>
      <c r="GE226" s="690"/>
      <c r="GF226" s="690"/>
      <c r="GG226" s="690"/>
      <c r="GH226" s="690"/>
      <c r="GI226" s="690"/>
      <c r="GJ226" s="690"/>
      <c r="GL226" s="398"/>
      <c r="GM226" s="398"/>
      <c r="GN226" s="398"/>
      <c r="GO226" s="398"/>
      <c r="GP226" s="398"/>
      <c r="GQ226" s="398"/>
      <c r="GR226" s="398"/>
      <c r="GU226" s="398"/>
      <c r="GV226" s="398"/>
      <c r="GW226" s="398"/>
      <c r="GX226" s="398"/>
      <c r="GY226" s="398"/>
      <c r="GZ226" s="398"/>
    </row>
    <row r="227" spans="1:214" ht="14.1" customHeight="1">
      <c r="A227" s="398"/>
      <c r="B227" s="398"/>
      <c r="C227" s="398"/>
      <c r="D227" s="398"/>
      <c r="E227" s="398"/>
      <c r="F227" s="398"/>
      <c r="G227" s="398"/>
      <c r="H227" s="398"/>
      <c r="I227" s="398"/>
      <c r="S227" s="676" t="s">
        <v>3867</v>
      </c>
      <c r="DA227" s="811"/>
      <c r="DB227" s="806"/>
      <c r="DC227" s="806"/>
      <c r="DD227" s="806"/>
      <c r="DE227" s="806"/>
      <c r="DF227" s="806"/>
      <c r="DG227" s="806"/>
      <c r="DH227" s="806"/>
      <c r="DI227" s="806"/>
      <c r="DJ227" s="806"/>
      <c r="DK227" s="806"/>
      <c r="DL227" s="806"/>
      <c r="DM227" s="811"/>
      <c r="DN227" s="811"/>
      <c r="DO227" s="811"/>
      <c r="DP227" s="811"/>
      <c r="DQ227" s="811"/>
      <c r="DR227" s="811"/>
      <c r="DS227" s="811"/>
      <c r="DT227" s="811"/>
      <c r="DU227" s="811"/>
      <c r="DV227" s="811"/>
      <c r="DW227" s="811"/>
      <c r="DX227" s="811"/>
      <c r="DY227" s="811"/>
      <c r="DZ227" s="811"/>
      <c r="EA227" s="811"/>
      <c r="EB227" s="811"/>
      <c r="EC227" s="811"/>
      <c r="ED227" s="811"/>
      <c r="EE227" s="811"/>
      <c r="EF227" s="811"/>
      <c r="EI227" s="705"/>
      <c r="EJ227" s="745"/>
      <c r="EK227" s="755"/>
      <c r="EL227" s="745"/>
      <c r="EM227" s="745"/>
      <c r="EN227" s="745"/>
      <c r="EO227" s="745"/>
      <c r="EP227" s="737"/>
      <c r="EQ227" s="737"/>
      <c r="FR227" s="737"/>
      <c r="FS227" s="737"/>
      <c r="FT227" s="737"/>
      <c r="FU227" s="737"/>
      <c r="FV227" s="737"/>
      <c r="FW227" s="737"/>
      <c r="FX227" s="737"/>
      <c r="FY227" s="737"/>
      <c r="GC227" s="690"/>
      <c r="GD227" s="690"/>
      <c r="GE227" s="690"/>
      <c r="GF227" s="690"/>
      <c r="GG227" s="690"/>
      <c r="GH227" s="690"/>
      <c r="GI227" s="690"/>
      <c r="GL227" s="398"/>
      <c r="GM227" s="398"/>
      <c r="GN227" s="398"/>
      <c r="GO227" s="398"/>
      <c r="GP227" s="398"/>
      <c r="GQ227" s="398"/>
      <c r="GR227" s="398"/>
      <c r="GU227" s="398"/>
      <c r="GV227" s="398"/>
      <c r="GW227" s="398"/>
      <c r="GX227" s="398"/>
      <c r="GY227" s="398"/>
      <c r="GZ227" s="398"/>
    </row>
    <row r="228" spans="1:214" ht="14.1" customHeight="1">
      <c r="A228" s="398"/>
      <c r="B228" s="398"/>
      <c r="C228" s="398"/>
      <c r="D228" s="398"/>
      <c r="E228" s="398"/>
      <c r="F228" s="398"/>
      <c r="G228" s="398"/>
      <c r="H228" s="398"/>
      <c r="I228" s="398"/>
      <c r="S228" s="386" t="s">
        <v>3882</v>
      </c>
      <c r="DA228" s="811"/>
      <c r="DB228" s="806"/>
      <c r="DC228" s="806"/>
      <c r="DD228" s="806"/>
      <c r="DE228" s="806"/>
      <c r="DF228" s="806"/>
      <c r="DG228" s="806"/>
      <c r="DH228" s="806"/>
      <c r="DI228" s="806"/>
      <c r="DJ228" s="806"/>
      <c r="DK228" s="806"/>
      <c r="DL228" s="806"/>
      <c r="DM228" s="811"/>
      <c r="DN228" s="811"/>
      <c r="DO228" s="811"/>
      <c r="DP228" s="811"/>
      <c r="DQ228" s="811"/>
      <c r="DR228" s="811"/>
      <c r="DS228" s="811"/>
      <c r="DT228" s="811"/>
      <c r="DU228" s="811"/>
      <c r="DV228" s="811"/>
      <c r="DW228" s="811"/>
      <c r="DX228" s="811"/>
      <c r="DY228" s="811"/>
      <c r="DZ228" s="811"/>
      <c r="EA228" s="811"/>
      <c r="EB228" s="811"/>
      <c r="EC228" s="811"/>
      <c r="ED228" s="811"/>
      <c r="EE228" s="811"/>
      <c r="EF228" s="811"/>
      <c r="EI228" s="705"/>
      <c r="EJ228" s="745"/>
      <c r="EK228" s="755"/>
      <c r="EL228" s="745"/>
      <c r="EM228" s="745"/>
      <c r="EN228" s="745"/>
      <c r="EO228" s="745"/>
      <c r="EP228" s="737"/>
      <c r="EQ228" s="737"/>
      <c r="FS228" s="737"/>
      <c r="FT228" s="737"/>
      <c r="FU228" s="737"/>
      <c r="FV228" s="737"/>
      <c r="FW228" s="737"/>
      <c r="FX228" s="737"/>
      <c r="FY228" s="737"/>
      <c r="FZ228" s="690"/>
      <c r="GA228" s="737"/>
      <c r="GB228" s="737"/>
      <c r="GJ228" s="737"/>
      <c r="GL228" s="398"/>
      <c r="GM228" s="398"/>
      <c r="GN228" s="398"/>
      <c r="GO228" s="398"/>
      <c r="GP228" s="398"/>
      <c r="GQ228" s="398"/>
      <c r="GR228" s="398"/>
      <c r="GU228" s="398"/>
      <c r="GV228" s="398"/>
      <c r="GW228" s="398"/>
      <c r="GX228" s="398"/>
      <c r="GY228" s="398"/>
      <c r="GZ228" s="398"/>
    </row>
    <row r="229" spans="1:214" ht="14.1" customHeight="1">
      <c r="A229" s="398"/>
      <c r="B229" s="398"/>
      <c r="C229" s="398"/>
      <c r="D229" s="398"/>
      <c r="E229" s="398"/>
      <c r="F229" s="398"/>
      <c r="G229" s="398"/>
      <c r="H229" s="398"/>
      <c r="I229" s="398"/>
      <c r="S229" s="674" t="s">
        <v>3873</v>
      </c>
      <c r="DA229" s="811"/>
      <c r="DB229" s="811"/>
      <c r="DC229" s="811"/>
      <c r="DD229" s="811"/>
      <c r="DE229" s="811"/>
      <c r="DF229" s="811"/>
      <c r="DG229" s="811"/>
      <c r="DH229" s="811"/>
      <c r="DI229" s="811"/>
      <c r="DJ229" s="811"/>
      <c r="DK229" s="811"/>
      <c r="DL229" s="811"/>
      <c r="DM229" s="811"/>
      <c r="DN229" s="811"/>
      <c r="DO229" s="811"/>
      <c r="DP229" s="811"/>
      <c r="DQ229" s="811"/>
      <c r="DR229" s="811"/>
      <c r="DS229" s="811"/>
      <c r="DT229" s="811"/>
      <c r="DU229" s="811"/>
      <c r="DV229" s="811"/>
      <c r="DW229" s="811"/>
      <c r="DX229" s="811"/>
      <c r="DY229" s="811"/>
      <c r="DZ229" s="811"/>
      <c r="EA229" s="811"/>
      <c r="EB229" s="811"/>
      <c r="EC229" s="811"/>
      <c r="ED229" s="811"/>
      <c r="EE229" s="811"/>
      <c r="EF229" s="811"/>
      <c r="EI229" s="705"/>
      <c r="EJ229" s="745"/>
      <c r="EK229" s="755"/>
      <c r="EL229" s="745"/>
      <c r="EM229" s="745"/>
      <c r="EN229" s="745"/>
      <c r="EO229" s="745"/>
      <c r="EP229" s="737"/>
      <c r="EQ229" s="737"/>
      <c r="FR229" s="690"/>
      <c r="FS229" s="737"/>
      <c r="FT229" s="737"/>
      <c r="FU229" s="737"/>
      <c r="FV229" s="737"/>
      <c r="FW229" s="737"/>
      <c r="FX229" s="737"/>
      <c r="FY229" s="737"/>
      <c r="FZ229" s="690"/>
      <c r="GC229" s="737"/>
      <c r="GD229" s="737"/>
      <c r="GE229" s="737"/>
      <c r="GF229" s="737"/>
      <c r="GG229" s="737"/>
      <c r="GH229" s="737"/>
      <c r="GI229" s="737"/>
      <c r="GL229" s="398"/>
      <c r="GM229" s="398"/>
      <c r="GN229" s="398"/>
      <c r="GO229" s="398"/>
      <c r="GP229" s="398"/>
      <c r="GQ229" s="398"/>
      <c r="GR229" s="398"/>
      <c r="GU229" s="398"/>
      <c r="GV229" s="398"/>
      <c r="GW229" s="398"/>
      <c r="GX229" s="398"/>
      <c r="GY229" s="398"/>
      <c r="GZ229" s="398"/>
    </row>
    <row r="230" spans="1:214" ht="14.1" customHeight="1">
      <c r="A230" s="398"/>
      <c r="B230" s="398"/>
      <c r="C230" s="398"/>
      <c r="D230" s="398"/>
      <c r="E230" s="398"/>
      <c r="F230" s="398"/>
      <c r="G230" s="398"/>
      <c r="H230" s="398"/>
      <c r="I230" s="398"/>
      <c r="DA230" s="811"/>
      <c r="DB230" s="811"/>
      <c r="DC230" s="811"/>
      <c r="DD230" s="811"/>
      <c r="DE230" s="811"/>
      <c r="DF230" s="811"/>
      <c r="DG230" s="811"/>
      <c r="DH230" s="811"/>
      <c r="DI230" s="811"/>
      <c r="DJ230" s="811"/>
      <c r="DK230" s="811"/>
      <c r="DL230" s="811"/>
      <c r="DM230" s="811"/>
      <c r="DN230" s="811"/>
      <c r="DO230" s="811"/>
      <c r="DP230" s="811"/>
      <c r="DQ230" s="811"/>
      <c r="DR230" s="811"/>
      <c r="DS230" s="811"/>
      <c r="DT230" s="811"/>
      <c r="DU230" s="811"/>
      <c r="DV230" s="811"/>
      <c r="DW230" s="811"/>
      <c r="DX230" s="811"/>
      <c r="DY230" s="811"/>
      <c r="DZ230" s="811"/>
      <c r="EA230" s="811"/>
      <c r="EB230" s="811"/>
      <c r="EC230" s="811"/>
      <c r="ED230" s="811"/>
      <c r="EE230" s="811"/>
      <c r="EF230" s="811"/>
      <c r="EI230" s="705"/>
      <c r="EJ230" s="745"/>
      <c r="EK230" s="755"/>
      <c r="EL230" s="745"/>
      <c r="EM230" s="745"/>
      <c r="EN230" s="745"/>
      <c r="EO230" s="745"/>
      <c r="EP230" s="737"/>
      <c r="EQ230" s="737"/>
      <c r="FR230" s="690"/>
      <c r="GA230" s="737"/>
      <c r="GB230" s="737"/>
      <c r="GJ230" s="737"/>
      <c r="GR230" s="398"/>
      <c r="GU230" s="398"/>
      <c r="GV230" s="398"/>
      <c r="GW230" s="398"/>
      <c r="GX230" s="398"/>
      <c r="GY230" s="398"/>
      <c r="GZ230" s="398"/>
    </row>
    <row r="231" spans="1:214" ht="14.1" customHeight="1">
      <c r="A231" s="398"/>
      <c r="B231" s="398"/>
      <c r="C231" s="398"/>
      <c r="D231" s="398"/>
      <c r="E231" s="398"/>
      <c r="F231" s="398"/>
      <c r="G231" s="398"/>
      <c r="H231" s="398"/>
      <c r="I231" s="398"/>
      <c r="DA231" s="811"/>
      <c r="DB231" s="811"/>
      <c r="DC231" s="811"/>
      <c r="DD231" s="811"/>
      <c r="DE231" s="811"/>
      <c r="DF231" s="811"/>
      <c r="DG231" s="811"/>
      <c r="DH231" s="811"/>
      <c r="DI231" s="811"/>
      <c r="DJ231" s="811"/>
      <c r="DK231" s="811"/>
      <c r="DL231" s="811"/>
      <c r="DM231" s="811"/>
      <c r="DN231" s="811"/>
      <c r="DO231" s="811"/>
      <c r="DP231" s="811"/>
      <c r="DQ231" s="811"/>
      <c r="DR231" s="811"/>
      <c r="DS231" s="811"/>
      <c r="DT231" s="811"/>
      <c r="DU231" s="811"/>
      <c r="DV231" s="811"/>
      <c r="DW231" s="811"/>
      <c r="DX231" s="811"/>
      <c r="DY231" s="811"/>
      <c r="DZ231" s="811"/>
      <c r="EA231" s="811"/>
      <c r="EB231" s="811"/>
      <c r="EC231" s="811"/>
      <c r="ED231" s="811"/>
      <c r="EE231" s="811"/>
      <c r="EF231" s="811"/>
      <c r="EI231" s="705"/>
      <c r="EJ231" s="745"/>
      <c r="EK231" s="755"/>
      <c r="EL231" s="745"/>
      <c r="EM231" s="745"/>
      <c r="EN231" s="745"/>
      <c r="EO231" s="745"/>
      <c r="EP231" s="737"/>
      <c r="EQ231" s="737"/>
      <c r="FS231" s="690"/>
      <c r="FT231" s="690"/>
      <c r="FU231" s="690"/>
      <c r="FV231" s="690"/>
      <c r="FW231" s="690"/>
      <c r="FX231" s="690"/>
      <c r="FY231" s="690"/>
      <c r="FZ231" s="737"/>
      <c r="GC231" s="737"/>
      <c r="GD231" s="737"/>
      <c r="GE231" s="737"/>
      <c r="GF231" s="737"/>
      <c r="GG231" s="737"/>
      <c r="GH231" s="737"/>
      <c r="GI231" s="737"/>
      <c r="GR231" s="398"/>
      <c r="GU231" s="398"/>
      <c r="GV231" s="398"/>
      <c r="GW231" s="398"/>
      <c r="GX231" s="398"/>
      <c r="GY231" s="398"/>
      <c r="GZ231" s="398"/>
      <c r="HA231" s="840"/>
    </row>
    <row r="232" spans="1:214" ht="14.1" customHeight="1">
      <c r="A232" s="398"/>
      <c r="B232" s="398"/>
      <c r="C232" s="398"/>
      <c r="D232" s="398"/>
      <c r="E232" s="398"/>
      <c r="F232" s="398"/>
      <c r="G232" s="398"/>
      <c r="H232" s="398"/>
      <c r="I232" s="398"/>
      <c r="DA232" s="811"/>
      <c r="DB232" s="811"/>
      <c r="DC232" s="811"/>
      <c r="DD232" s="811"/>
      <c r="DE232" s="811"/>
      <c r="DF232" s="811"/>
      <c r="DG232" s="811"/>
      <c r="DH232" s="811"/>
      <c r="DI232" s="811"/>
      <c r="DJ232" s="811"/>
      <c r="DK232" s="811"/>
      <c r="DL232" s="811"/>
      <c r="DM232" s="811"/>
      <c r="DN232" s="811"/>
      <c r="DO232" s="811"/>
      <c r="DP232" s="811"/>
      <c r="DQ232" s="811"/>
      <c r="DR232" s="811"/>
      <c r="DS232" s="811"/>
      <c r="DT232" s="811"/>
      <c r="DU232" s="811"/>
      <c r="DV232" s="811"/>
      <c r="DW232" s="811"/>
      <c r="DX232" s="811"/>
      <c r="DY232" s="811"/>
      <c r="DZ232" s="811"/>
      <c r="EA232" s="811"/>
      <c r="EB232" s="811"/>
      <c r="EC232" s="811"/>
      <c r="ED232" s="811"/>
      <c r="EE232" s="811"/>
      <c r="EF232" s="811"/>
      <c r="EI232" s="705"/>
      <c r="EJ232" s="745"/>
      <c r="EK232" s="755"/>
      <c r="EL232" s="745"/>
      <c r="EM232" s="745"/>
      <c r="EN232" s="745"/>
      <c r="EO232" s="745"/>
      <c r="EP232" s="737"/>
      <c r="EQ232" s="737"/>
      <c r="FR232" s="737"/>
      <c r="FS232" s="690"/>
      <c r="FT232" s="690"/>
      <c r="FU232" s="690"/>
      <c r="FV232" s="690"/>
      <c r="FW232" s="690"/>
      <c r="FX232" s="690"/>
      <c r="FY232" s="690"/>
      <c r="GA232" s="737"/>
      <c r="GB232" s="737"/>
      <c r="GJ232" s="737"/>
      <c r="GR232" s="398"/>
      <c r="HA232" s="840"/>
      <c r="HF232" s="840"/>
    </row>
    <row r="233" spans="1:214" ht="14.1" customHeight="1">
      <c r="A233" s="398"/>
      <c r="B233" s="398"/>
      <c r="C233" s="398"/>
      <c r="D233" s="398"/>
      <c r="E233" s="398"/>
      <c r="F233" s="398"/>
      <c r="G233" s="398"/>
      <c r="H233" s="398"/>
      <c r="I233" s="398"/>
      <c r="S233" s="398" t="s">
        <v>3958</v>
      </c>
      <c r="U233" s="678"/>
      <c r="V233" s="678"/>
      <c r="W233" s="678"/>
      <c r="X233" s="678"/>
      <c r="Y233" s="678"/>
      <c r="Z233" s="678"/>
      <c r="AA233" s="678"/>
      <c r="AB233" s="678"/>
      <c r="AC233" s="678"/>
      <c r="AD233" s="678"/>
      <c r="AE233" s="678"/>
      <c r="AF233" s="678"/>
      <c r="AG233" s="678"/>
      <c r="AH233" s="678"/>
      <c r="AI233" s="678"/>
      <c r="DA233" s="811"/>
      <c r="DB233" s="811"/>
      <c r="DC233" s="811"/>
      <c r="DD233" s="811"/>
      <c r="DE233" s="811"/>
      <c r="DF233" s="811"/>
      <c r="DG233" s="811"/>
      <c r="DH233" s="811"/>
      <c r="DI233" s="811"/>
      <c r="DJ233" s="811"/>
      <c r="DK233" s="811"/>
      <c r="DL233" s="811"/>
      <c r="DM233" s="811"/>
      <c r="DN233" s="811"/>
      <c r="DO233" s="811"/>
      <c r="DP233" s="811"/>
      <c r="DQ233" s="811"/>
      <c r="DR233" s="811"/>
      <c r="DS233" s="811"/>
      <c r="DT233" s="811"/>
      <c r="DU233" s="811"/>
      <c r="DV233" s="811"/>
      <c r="DW233" s="811"/>
      <c r="DX233" s="811"/>
      <c r="DY233" s="811"/>
      <c r="DZ233" s="811"/>
      <c r="EA233" s="811"/>
      <c r="EB233" s="811"/>
      <c r="EC233" s="811"/>
      <c r="ED233" s="811"/>
      <c r="EE233" s="811"/>
      <c r="EF233" s="811"/>
      <c r="EI233" s="705"/>
      <c r="EJ233" s="745"/>
      <c r="EK233" s="755"/>
      <c r="EL233" s="745"/>
      <c r="EM233" s="745"/>
      <c r="EN233" s="745"/>
      <c r="EO233" s="745"/>
      <c r="EP233" s="737"/>
      <c r="EQ233" s="737"/>
      <c r="FZ233" s="737"/>
      <c r="GA233" s="737"/>
      <c r="GB233" s="737"/>
      <c r="GC233" s="737"/>
      <c r="GD233" s="737"/>
      <c r="GE233" s="737"/>
      <c r="GF233" s="737"/>
      <c r="GG233" s="737"/>
      <c r="GH233" s="737"/>
      <c r="GI233" s="737"/>
      <c r="GJ233" s="737"/>
      <c r="GR233" s="398"/>
      <c r="HA233" s="840"/>
      <c r="HF233" s="840"/>
    </row>
    <row r="234" spans="1:214" ht="14.1" customHeight="1">
      <c r="A234" s="398"/>
      <c r="B234" s="398"/>
      <c r="C234" s="398"/>
      <c r="D234" s="398"/>
      <c r="E234" s="398"/>
      <c r="F234" s="398"/>
      <c r="G234" s="398"/>
      <c r="H234" s="398"/>
      <c r="I234" s="398"/>
      <c r="S234" s="695"/>
      <c r="T234" s="696"/>
      <c r="U234" s="697" t="s">
        <v>129</v>
      </c>
      <c r="V234" s="690" t="s">
        <v>3444</v>
      </c>
      <c r="W234" s="697" t="s">
        <v>3445</v>
      </c>
      <c r="X234" s="697" t="s">
        <v>3446</v>
      </c>
      <c r="Y234" s="697" t="s">
        <v>115</v>
      </c>
      <c r="Z234" s="697" t="s">
        <v>116</v>
      </c>
      <c r="AA234" s="697" t="s">
        <v>117</v>
      </c>
      <c r="AB234" s="697" t="s">
        <v>118</v>
      </c>
      <c r="AC234" s="697" t="s">
        <v>3447</v>
      </c>
      <c r="AD234" s="697" t="s">
        <v>3448</v>
      </c>
      <c r="AE234" s="697" t="s">
        <v>3449</v>
      </c>
      <c r="AF234" s="697" t="s">
        <v>3450</v>
      </c>
      <c r="AG234" s="697" t="s">
        <v>3451</v>
      </c>
      <c r="AH234" s="697" t="s">
        <v>3452</v>
      </c>
      <c r="AI234" s="697" t="s">
        <v>3095</v>
      </c>
      <c r="AJ234" s="689" t="s">
        <v>3101</v>
      </c>
      <c r="DA234" s="811"/>
      <c r="DB234" s="811"/>
      <c r="DC234" s="811"/>
      <c r="DD234" s="811"/>
      <c r="DE234" s="811"/>
      <c r="DF234" s="811"/>
      <c r="DG234" s="811"/>
      <c r="DH234" s="811"/>
      <c r="DI234" s="811"/>
      <c r="DJ234" s="811"/>
      <c r="DK234" s="811"/>
      <c r="DL234" s="811"/>
      <c r="DM234" s="811"/>
      <c r="DN234" s="811"/>
      <c r="DO234" s="811"/>
      <c r="DP234" s="811"/>
      <c r="DQ234" s="811"/>
      <c r="DR234" s="811"/>
      <c r="DS234" s="811"/>
      <c r="DT234" s="811"/>
      <c r="DU234" s="811"/>
      <c r="DV234" s="811"/>
      <c r="DW234" s="811"/>
      <c r="DX234" s="811"/>
      <c r="DY234" s="811"/>
      <c r="DZ234" s="811"/>
      <c r="EA234" s="811"/>
      <c r="EB234" s="811"/>
      <c r="EC234" s="811"/>
      <c r="ED234" s="811"/>
      <c r="EE234" s="811"/>
      <c r="EF234" s="811"/>
      <c r="EI234" s="705"/>
      <c r="EJ234" s="745"/>
      <c r="EK234" s="755"/>
      <c r="EL234" s="745"/>
      <c r="EM234" s="745"/>
      <c r="EN234" s="745"/>
      <c r="EO234" s="745"/>
      <c r="EP234" s="737"/>
      <c r="EQ234" s="737"/>
      <c r="FR234" s="737"/>
      <c r="FS234" s="737"/>
      <c r="FT234" s="737"/>
      <c r="FU234" s="737"/>
      <c r="FV234" s="737"/>
      <c r="FW234" s="737"/>
      <c r="FX234" s="737"/>
      <c r="FY234" s="737"/>
      <c r="GA234" s="737"/>
      <c r="GB234" s="737"/>
      <c r="GC234" s="737"/>
      <c r="GD234" s="737"/>
      <c r="GE234" s="737"/>
      <c r="GF234" s="737"/>
      <c r="GG234" s="737"/>
      <c r="GH234" s="737"/>
      <c r="GI234" s="737"/>
      <c r="GJ234" s="737"/>
      <c r="HA234" s="840"/>
      <c r="HF234" s="840"/>
    </row>
    <row r="235" spans="1:214" ht="14.1" customHeight="1">
      <c r="A235" s="398"/>
      <c r="B235" s="398"/>
      <c r="C235" s="398"/>
      <c r="D235" s="398"/>
      <c r="E235" s="398"/>
      <c r="F235" s="398"/>
      <c r="G235" s="398"/>
      <c r="H235" s="398"/>
      <c r="I235" s="398"/>
      <c r="S235" s="678" t="s">
        <v>3472</v>
      </c>
      <c r="T235" s="719" t="s">
        <v>3473</v>
      </c>
      <c r="U235" s="712" t="s">
        <v>3474</v>
      </c>
      <c r="V235" s="712" t="s">
        <v>3475</v>
      </c>
      <c r="W235" s="712" t="s">
        <v>3476</v>
      </c>
      <c r="X235" s="712" t="s">
        <v>3477</v>
      </c>
      <c r="Y235" s="712" t="s">
        <v>3478</v>
      </c>
      <c r="Z235" s="712" t="s">
        <v>3478</v>
      </c>
      <c r="AA235" s="712" t="s">
        <v>3478</v>
      </c>
      <c r="AB235" s="712" t="s">
        <v>3478</v>
      </c>
      <c r="AC235" s="712" t="s">
        <v>3478</v>
      </c>
      <c r="AD235" s="712" t="s">
        <v>3478</v>
      </c>
      <c r="AE235" s="712" t="s">
        <v>3478</v>
      </c>
      <c r="AF235" s="712" t="s">
        <v>3478</v>
      </c>
      <c r="AG235" s="712" t="s">
        <v>3478</v>
      </c>
      <c r="AH235" s="712" t="s">
        <v>3478</v>
      </c>
      <c r="AI235" s="712" t="s">
        <v>3478</v>
      </c>
      <c r="AJ235" s="713" t="s">
        <v>3478</v>
      </c>
      <c r="DB235" s="811"/>
      <c r="DC235" s="811"/>
      <c r="DD235" s="811"/>
      <c r="DE235" s="811"/>
      <c r="DF235" s="811"/>
      <c r="DG235" s="811"/>
      <c r="DH235" s="811"/>
      <c r="DI235" s="811"/>
      <c r="DJ235" s="811"/>
      <c r="DK235" s="811"/>
      <c r="DL235" s="811"/>
      <c r="DM235" s="811"/>
      <c r="DN235" s="811"/>
      <c r="EI235" s="705"/>
      <c r="EJ235" s="745"/>
      <c r="EK235" s="755"/>
      <c r="EL235" s="745"/>
      <c r="EM235" s="745"/>
      <c r="EN235" s="745"/>
      <c r="EO235" s="745"/>
      <c r="EP235" s="737"/>
      <c r="EQ235" s="737"/>
      <c r="FZ235" s="737"/>
      <c r="GC235" s="737"/>
      <c r="GD235" s="737"/>
      <c r="GE235" s="737"/>
      <c r="GF235" s="737"/>
      <c r="GG235" s="737"/>
      <c r="GH235" s="737"/>
      <c r="GI235" s="737"/>
      <c r="HA235" s="840"/>
      <c r="HF235" s="840"/>
    </row>
    <row r="236" spans="1:214" ht="14.1" customHeight="1">
      <c r="A236" s="398"/>
      <c r="B236" s="398"/>
      <c r="C236" s="398"/>
      <c r="D236" s="398"/>
      <c r="E236" s="398"/>
      <c r="F236" s="398"/>
      <c r="G236" s="398"/>
      <c r="H236" s="398"/>
      <c r="I236" s="398"/>
      <c r="S236" s="398" t="s">
        <v>3502</v>
      </c>
      <c r="T236" s="740"/>
      <c r="U236" s="741">
        <f t="shared" ref="U236:AJ236" si="103">SUM(U237,U253,U262,U274)</f>
        <v>27497</v>
      </c>
      <c r="V236" s="741">
        <f t="shared" si="103"/>
        <v>470</v>
      </c>
      <c r="W236" s="741">
        <f t="shared" si="103"/>
        <v>167</v>
      </c>
      <c r="X236" s="741">
        <f t="shared" si="103"/>
        <v>1279</v>
      </c>
      <c r="Y236" s="741">
        <f t="shared" si="103"/>
        <v>1991</v>
      </c>
      <c r="Z236" s="741">
        <f t="shared" si="103"/>
        <v>2027</v>
      </c>
      <c r="AA236" s="741">
        <f t="shared" si="103"/>
        <v>2111</v>
      </c>
      <c r="AB236" s="741">
        <f t="shared" si="103"/>
        <v>2051</v>
      </c>
      <c r="AC236" s="741">
        <f t="shared" si="103"/>
        <v>2095</v>
      </c>
      <c r="AD236" s="741">
        <f t="shared" si="103"/>
        <v>1988</v>
      </c>
      <c r="AE236" s="741">
        <f t="shared" si="103"/>
        <v>2149</v>
      </c>
      <c r="AF236" s="741">
        <f t="shared" si="103"/>
        <v>2125</v>
      </c>
      <c r="AG236" s="741">
        <f t="shared" si="103"/>
        <v>2482</v>
      </c>
      <c r="AH236" s="741">
        <f t="shared" si="103"/>
        <v>2468</v>
      </c>
      <c r="AI236" s="741">
        <f t="shared" si="103"/>
        <v>2294</v>
      </c>
      <c r="AJ236" s="741">
        <f t="shared" si="103"/>
        <v>1800</v>
      </c>
      <c r="AM236" s="737"/>
      <c r="DB236" s="811"/>
      <c r="DC236" s="811"/>
      <c r="DD236" s="811"/>
      <c r="DE236" s="811"/>
      <c r="DF236" s="811"/>
      <c r="DG236" s="811"/>
      <c r="DH236" s="811"/>
      <c r="DI236" s="811"/>
      <c r="DJ236" s="811"/>
      <c r="DK236" s="811"/>
      <c r="DL236" s="811"/>
      <c r="EI236" s="705"/>
      <c r="EJ236" s="745"/>
      <c r="EK236" s="755"/>
      <c r="EL236" s="745"/>
      <c r="EM236" s="745"/>
      <c r="EN236" s="745"/>
      <c r="EO236" s="745"/>
      <c r="EP236" s="737"/>
      <c r="EQ236" s="737"/>
      <c r="FR236" s="737"/>
      <c r="FS236" s="737"/>
      <c r="FT236" s="737"/>
      <c r="FU236" s="737"/>
      <c r="FV236" s="737"/>
      <c r="FW236" s="737"/>
      <c r="FX236" s="737"/>
      <c r="FY236" s="737"/>
      <c r="FZ236" s="737"/>
      <c r="GA236" s="690"/>
      <c r="GB236" s="690"/>
      <c r="GJ236" s="690"/>
      <c r="HA236" s="840"/>
      <c r="HF236" s="840"/>
    </row>
    <row r="237" spans="1:214" ht="14.1" customHeight="1">
      <c r="A237" s="398"/>
      <c r="B237" s="398"/>
      <c r="C237" s="398"/>
      <c r="D237" s="398"/>
      <c r="E237" s="398"/>
      <c r="F237" s="398"/>
      <c r="G237" s="398"/>
      <c r="H237" s="398"/>
      <c r="I237" s="398"/>
      <c r="S237" s="398" t="s">
        <v>3520</v>
      </c>
      <c r="T237" s="740"/>
      <c r="U237" s="738">
        <f>SUM(U238:U251)</f>
        <v>11311</v>
      </c>
      <c r="V237" s="738">
        <f t="shared" ref="V237:AJ237" si="104">SUM(V238:V251)</f>
        <v>210</v>
      </c>
      <c r="W237" s="738">
        <f t="shared" si="104"/>
        <v>42</v>
      </c>
      <c r="X237" s="738">
        <f t="shared" si="104"/>
        <v>535</v>
      </c>
      <c r="Y237" s="738">
        <f t="shared" si="104"/>
        <v>828</v>
      </c>
      <c r="Z237" s="738">
        <f t="shared" si="104"/>
        <v>882</v>
      </c>
      <c r="AA237" s="738">
        <f t="shared" si="104"/>
        <v>966</v>
      </c>
      <c r="AB237" s="738">
        <f t="shared" si="104"/>
        <v>885</v>
      </c>
      <c r="AC237" s="738">
        <f t="shared" si="104"/>
        <v>943</v>
      </c>
      <c r="AD237" s="738">
        <f t="shared" si="104"/>
        <v>852</v>
      </c>
      <c r="AE237" s="738">
        <f t="shared" si="104"/>
        <v>954</v>
      </c>
      <c r="AF237" s="738">
        <f t="shared" si="104"/>
        <v>919</v>
      </c>
      <c r="AG237" s="738">
        <f t="shared" si="104"/>
        <v>992</v>
      </c>
      <c r="AH237" s="738">
        <f t="shared" si="104"/>
        <v>882</v>
      </c>
      <c r="AI237" s="738">
        <f t="shared" si="104"/>
        <v>840</v>
      </c>
      <c r="AJ237" s="738">
        <f t="shared" si="104"/>
        <v>581</v>
      </c>
      <c r="DB237" s="811"/>
      <c r="DC237" s="811"/>
      <c r="DD237" s="811"/>
      <c r="DE237" s="811"/>
      <c r="DF237" s="811"/>
      <c r="DG237" s="811"/>
      <c r="DH237" s="811"/>
      <c r="DI237" s="811"/>
      <c r="DJ237" s="811"/>
      <c r="DK237" s="811"/>
      <c r="DL237" s="811"/>
      <c r="EI237" s="705"/>
      <c r="EJ237" s="745"/>
      <c r="EK237" s="755"/>
      <c r="EL237" s="745"/>
      <c r="EM237" s="745"/>
      <c r="EN237" s="745"/>
      <c r="EO237" s="745"/>
      <c r="EP237" s="737"/>
      <c r="EQ237" s="737"/>
      <c r="FR237" s="737"/>
      <c r="FZ237" s="737"/>
      <c r="GA237" s="690"/>
      <c r="GB237" s="690"/>
      <c r="GC237" s="690"/>
      <c r="GD237" s="690"/>
      <c r="GE237" s="690"/>
      <c r="GF237" s="690"/>
      <c r="GG237" s="690"/>
      <c r="GH237" s="690"/>
      <c r="GI237" s="690"/>
      <c r="GJ237" s="690"/>
      <c r="HA237" s="840"/>
      <c r="HF237" s="840"/>
    </row>
    <row r="238" spans="1:214" ht="14.1" customHeight="1">
      <c r="A238" s="398"/>
      <c r="B238" s="398"/>
      <c r="C238" s="398"/>
      <c r="D238" s="398"/>
      <c r="E238" s="398"/>
      <c r="F238" s="398"/>
      <c r="G238" s="398"/>
      <c r="H238" s="398"/>
      <c r="I238" s="398"/>
      <c r="S238" s="386" t="s">
        <v>3538</v>
      </c>
      <c r="T238" s="386" t="s">
        <v>2177</v>
      </c>
      <c r="U238" s="738">
        <f>SUM(V238:AC238)</f>
        <v>475</v>
      </c>
      <c r="V238" s="737">
        <v>20</v>
      </c>
      <c r="W238" s="738">
        <v>11</v>
      </c>
      <c r="X238" s="738">
        <v>49</v>
      </c>
      <c r="Y238" s="738">
        <v>85</v>
      </c>
      <c r="Z238" s="738">
        <v>73</v>
      </c>
      <c r="AA238" s="738">
        <v>82</v>
      </c>
      <c r="AB238" s="738">
        <v>69</v>
      </c>
      <c r="AC238" s="738">
        <v>86</v>
      </c>
      <c r="AD238" s="754" t="s">
        <v>1627</v>
      </c>
      <c r="AE238" s="754" t="s">
        <v>1627</v>
      </c>
      <c r="AF238" s="754" t="s">
        <v>1627</v>
      </c>
      <c r="AG238" s="754" t="s">
        <v>1627</v>
      </c>
      <c r="AH238" s="754" t="s">
        <v>1627</v>
      </c>
      <c r="AI238" s="754" t="s">
        <v>1627</v>
      </c>
      <c r="AJ238" s="754" t="s">
        <v>1627</v>
      </c>
      <c r="DB238" s="811"/>
      <c r="DC238" s="811"/>
      <c r="DD238" s="811"/>
      <c r="DE238" s="811"/>
      <c r="DF238" s="811"/>
      <c r="DG238" s="811"/>
      <c r="DH238" s="811"/>
      <c r="DI238" s="811"/>
      <c r="DJ238" s="811"/>
      <c r="DK238" s="811"/>
      <c r="DL238" s="811"/>
      <c r="EI238" s="705"/>
      <c r="EJ238" s="745"/>
      <c r="EK238" s="755"/>
      <c r="EL238" s="745"/>
      <c r="EM238" s="745"/>
      <c r="EN238" s="745"/>
      <c r="EO238" s="745"/>
      <c r="EP238" s="737"/>
      <c r="EQ238" s="737"/>
      <c r="FR238" s="737"/>
      <c r="FS238" s="737"/>
      <c r="FT238" s="737"/>
      <c r="FU238" s="737"/>
      <c r="FV238" s="737"/>
      <c r="FW238" s="737"/>
      <c r="FX238" s="737"/>
      <c r="FY238" s="737"/>
      <c r="GC238" s="690"/>
      <c r="GD238" s="690"/>
      <c r="GE238" s="690"/>
      <c r="GF238" s="690"/>
      <c r="GG238" s="690"/>
      <c r="GH238" s="690"/>
      <c r="GI238" s="690"/>
      <c r="HA238" s="840"/>
      <c r="HF238" s="840"/>
    </row>
    <row r="239" spans="1:214" ht="14.1" customHeight="1">
      <c r="A239" s="398"/>
      <c r="B239" s="398"/>
      <c r="C239" s="398"/>
      <c r="D239" s="398"/>
      <c r="E239" s="398"/>
      <c r="F239" s="398"/>
      <c r="G239" s="398"/>
      <c r="H239" s="398"/>
      <c r="I239" s="398"/>
      <c r="S239" s="386" t="s">
        <v>3551</v>
      </c>
      <c r="T239" s="386" t="s">
        <v>2177</v>
      </c>
      <c r="U239" s="738">
        <f>SUM(AD239:AF239)</f>
        <v>555</v>
      </c>
      <c r="V239" s="754" t="s">
        <v>1627</v>
      </c>
      <c r="W239" s="754" t="s">
        <v>1627</v>
      </c>
      <c r="X239" s="754" t="s">
        <v>1627</v>
      </c>
      <c r="Y239" s="754" t="s">
        <v>1627</v>
      </c>
      <c r="Z239" s="754" t="s">
        <v>1627</v>
      </c>
      <c r="AA239" s="754" t="s">
        <v>1627</v>
      </c>
      <c r="AB239" s="754" t="s">
        <v>1627</v>
      </c>
      <c r="AC239" s="754" t="s">
        <v>1627</v>
      </c>
      <c r="AD239" s="754">
        <v>171</v>
      </c>
      <c r="AE239" s="738">
        <v>189</v>
      </c>
      <c r="AF239" s="738">
        <v>195</v>
      </c>
      <c r="AG239" s="754" t="s">
        <v>1627</v>
      </c>
      <c r="AH239" s="754" t="s">
        <v>1627</v>
      </c>
      <c r="AI239" s="754" t="s">
        <v>1627</v>
      </c>
      <c r="AJ239" s="754" t="s">
        <v>1627</v>
      </c>
      <c r="DB239" s="811"/>
      <c r="DC239" s="811"/>
      <c r="DD239" s="811"/>
      <c r="DE239" s="811"/>
      <c r="DF239" s="811"/>
      <c r="DG239" s="811"/>
      <c r="DH239" s="811"/>
      <c r="DI239" s="811"/>
      <c r="DJ239" s="811"/>
      <c r="DK239" s="811"/>
      <c r="DL239" s="811"/>
      <c r="EI239" s="705"/>
      <c r="EJ239" s="745"/>
      <c r="EK239" s="755"/>
      <c r="EL239" s="745"/>
      <c r="EM239" s="745"/>
      <c r="EN239" s="745"/>
      <c r="EO239" s="745"/>
      <c r="EP239" s="737"/>
      <c r="EQ239" s="737"/>
      <c r="FS239" s="737"/>
      <c r="FT239" s="737"/>
      <c r="FU239" s="737"/>
      <c r="FV239" s="737"/>
      <c r="FW239" s="737"/>
      <c r="FX239" s="737"/>
      <c r="FY239" s="737"/>
      <c r="FZ239" s="690"/>
      <c r="GA239" s="737"/>
      <c r="GB239" s="737"/>
      <c r="GJ239" s="737"/>
      <c r="HA239" s="840"/>
      <c r="HF239" s="840"/>
    </row>
    <row r="240" spans="1:214" ht="14.1" customHeight="1">
      <c r="A240" s="398"/>
      <c r="B240" s="398"/>
      <c r="C240" s="398"/>
      <c r="D240" s="398"/>
      <c r="E240" s="398"/>
      <c r="F240" s="398"/>
      <c r="G240" s="398"/>
      <c r="H240" s="398"/>
      <c r="I240" s="398"/>
      <c r="S240" s="386" t="s">
        <v>3561</v>
      </c>
      <c r="T240" s="386" t="s">
        <v>2177</v>
      </c>
      <c r="U240" s="738">
        <f>SUM(V240:AC240)</f>
        <v>880</v>
      </c>
      <c r="V240" s="737">
        <v>20</v>
      </c>
      <c r="W240" s="738">
        <v>18</v>
      </c>
      <c r="X240" s="738">
        <v>106</v>
      </c>
      <c r="Y240" s="738">
        <v>133</v>
      </c>
      <c r="Z240" s="738">
        <v>159</v>
      </c>
      <c r="AA240" s="738">
        <v>146</v>
      </c>
      <c r="AB240" s="738">
        <v>164</v>
      </c>
      <c r="AC240" s="738">
        <v>134</v>
      </c>
      <c r="AD240" s="754" t="s">
        <v>1627</v>
      </c>
      <c r="AE240" s="754" t="s">
        <v>1627</v>
      </c>
      <c r="AF240" s="754" t="s">
        <v>1627</v>
      </c>
      <c r="AG240" s="754" t="s">
        <v>1627</v>
      </c>
      <c r="AH240" s="754" t="s">
        <v>1627</v>
      </c>
      <c r="AI240" s="754" t="s">
        <v>1627</v>
      </c>
      <c r="AJ240" s="754" t="s">
        <v>1627</v>
      </c>
      <c r="DA240" s="702"/>
      <c r="DO240" s="702"/>
      <c r="DP240" s="702"/>
      <c r="DQ240" s="702"/>
      <c r="DR240" s="702"/>
      <c r="DS240" s="702"/>
      <c r="DT240" s="702"/>
      <c r="DU240" s="702"/>
      <c r="DV240" s="702"/>
      <c r="DW240" s="702"/>
      <c r="DX240" s="702"/>
      <c r="DY240" s="702"/>
      <c r="DZ240" s="702"/>
      <c r="EA240" s="702"/>
      <c r="EB240" s="702"/>
      <c r="EC240" s="702"/>
      <c r="ED240" s="702"/>
      <c r="EE240" s="702"/>
      <c r="EF240" s="702"/>
      <c r="EI240" s="705"/>
      <c r="EJ240" s="745"/>
      <c r="EK240" s="755"/>
      <c r="EL240" s="745"/>
      <c r="EM240" s="745"/>
      <c r="EN240" s="745"/>
      <c r="EO240" s="745"/>
      <c r="EP240" s="737"/>
      <c r="EQ240" s="737"/>
      <c r="FR240" s="690"/>
      <c r="FS240" s="737"/>
      <c r="FT240" s="737"/>
      <c r="FU240" s="737"/>
      <c r="FV240" s="737"/>
      <c r="FW240" s="737"/>
      <c r="FX240" s="737"/>
      <c r="FY240" s="737"/>
      <c r="FZ240" s="690"/>
      <c r="GA240" s="737"/>
      <c r="GB240" s="737"/>
      <c r="GC240" s="737"/>
      <c r="GD240" s="737"/>
      <c r="GE240" s="737"/>
      <c r="GF240" s="737"/>
      <c r="GG240" s="737"/>
      <c r="GH240" s="737"/>
      <c r="GI240" s="737"/>
      <c r="GJ240" s="737"/>
      <c r="HA240" s="840"/>
      <c r="HF240" s="840"/>
    </row>
    <row r="241" spans="1:214" ht="14.1" customHeight="1">
      <c r="A241" s="398"/>
      <c r="B241" s="398"/>
      <c r="C241" s="398"/>
      <c r="D241" s="398"/>
      <c r="E241" s="398"/>
      <c r="F241" s="398"/>
      <c r="G241" s="398"/>
      <c r="H241" s="398"/>
      <c r="I241" s="398"/>
      <c r="S241" s="386" t="s">
        <v>3576</v>
      </c>
      <c r="T241" s="386" t="s">
        <v>2177</v>
      </c>
      <c r="U241" s="738">
        <f t="shared" ref="U241:U243" si="105">SUM(V241:AC241)</f>
        <v>520</v>
      </c>
      <c r="V241" s="737">
        <v>20</v>
      </c>
      <c r="W241" s="738">
        <v>0</v>
      </c>
      <c r="X241" s="738">
        <v>37</v>
      </c>
      <c r="Y241" s="738">
        <v>78</v>
      </c>
      <c r="Z241" s="738">
        <v>75</v>
      </c>
      <c r="AA241" s="738">
        <v>98</v>
      </c>
      <c r="AB241" s="738">
        <v>98</v>
      </c>
      <c r="AC241" s="738">
        <v>114</v>
      </c>
      <c r="AD241" s="754" t="s">
        <v>1627</v>
      </c>
      <c r="AE241" s="754" t="s">
        <v>1627</v>
      </c>
      <c r="AF241" s="754" t="s">
        <v>1627</v>
      </c>
      <c r="AG241" s="754" t="s">
        <v>1627</v>
      </c>
      <c r="AH241" s="754" t="s">
        <v>1627</v>
      </c>
      <c r="AI241" s="754" t="s">
        <v>1627</v>
      </c>
      <c r="AJ241" s="754" t="s">
        <v>1627</v>
      </c>
      <c r="DA241" s="690"/>
      <c r="DM241" s="702"/>
      <c r="DN241" s="702"/>
      <c r="DO241" s="690"/>
      <c r="DP241" s="690"/>
      <c r="DQ241" s="690"/>
      <c r="DR241" s="690"/>
      <c r="DS241" s="690"/>
      <c r="DT241" s="690"/>
      <c r="DU241" s="690"/>
      <c r="DV241" s="690"/>
      <c r="DW241" s="690"/>
      <c r="DX241" s="690"/>
      <c r="DY241" s="690"/>
      <c r="DZ241" s="690"/>
      <c r="EA241" s="690"/>
      <c r="EB241" s="690"/>
      <c r="EC241" s="690"/>
      <c r="ED241" s="690"/>
      <c r="EE241" s="690"/>
      <c r="EF241" s="690"/>
      <c r="EI241" s="705"/>
      <c r="EJ241" s="745"/>
      <c r="EK241" s="755"/>
      <c r="EL241" s="745"/>
      <c r="EM241" s="745"/>
      <c r="EN241" s="745"/>
      <c r="EO241" s="745"/>
      <c r="EP241" s="737"/>
      <c r="EQ241" s="737"/>
      <c r="FR241" s="690"/>
      <c r="GA241" s="737"/>
      <c r="GB241" s="737"/>
      <c r="GC241" s="737"/>
      <c r="GD241" s="737"/>
      <c r="GE241" s="737"/>
      <c r="GF241" s="737"/>
      <c r="GG241" s="737"/>
      <c r="GH241" s="737"/>
      <c r="GI241" s="737"/>
      <c r="GJ241" s="737"/>
      <c r="HA241" s="840"/>
      <c r="HF241" s="840"/>
    </row>
    <row r="242" spans="1:214" ht="14.1" customHeight="1">
      <c r="A242" s="398"/>
      <c r="B242" s="398"/>
      <c r="C242" s="398"/>
      <c r="D242" s="398"/>
      <c r="E242" s="398"/>
      <c r="F242" s="398"/>
      <c r="G242" s="398"/>
      <c r="H242" s="398"/>
      <c r="I242" s="398"/>
      <c r="S242" s="386" t="s">
        <v>3589</v>
      </c>
      <c r="T242" s="386" t="s">
        <v>2177</v>
      </c>
      <c r="U242" s="738">
        <f t="shared" si="105"/>
        <v>405</v>
      </c>
      <c r="V242" s="776">
        <v>0</v>
      </c>
      <c r="W242" s="738">
        <v>0</v>
      </c>
      <c r="X242" s="738">
        <v>41</v>
      </c>
      <c r="Y242" s="738">
        <v>59</v>
      </c>
      <c r="Z242" s="738">
        <v>64</v>
      </c>
      <c r="AA242" s="738">
        <v>75</v>
      </c>
      <c r="AB242" s="738">
        <v>72</v>
      </c>
      <c r="AC242" s="738">
        <v>94</v>
      </c>
      <c r="AD242" s="754" t="s">
        <v>1627</v>
      </c>
      <c r="AE242" s="754" t="s">
        <v>1627</v>
      </c>
      <c r="AF242" s="754" t="s">
        <v>1627</v>
      </c>
      <c r="AG242" s="754" t="s">
        <v>1627</v>
      </c>
      <c r="AH242" s="754" t="s">
        <v>1627</v>
      </c>
      <c r="AI242" s="754" t="s">
        <v>1627</v>
      </c>
      <c r="AJ242" s="754" t="s">
        <v>1627</v>
      </c>
      <c r="DM242" s="690"/>
      <c r="DN242" s="690"/>
      <c r="EI242" s="705"/>
      <c r="EJ242" s="745"/>
      <c r="EK242" s="755"/>
      <c r="EL242" s="745"/>
      <c r="EM242" s="745"/>
      <c r="EN242" s="745"/>
      <c r="EO242" s="745"/>
      <c r="EP242" s="737"/>
      <c r="EQ242" s="737"/>
      <c r="FS242" s="690"/>
      <c r="FT242" s="690"/>
      <c r="FU242" s="690"/>
      <c r="FV242" s="690"/>
      <c r="FW242" s="690"/>
      <c r="FX242" s="690"/>
      <c r="FY242" s="690"/>
      <c r="FZ242" s="737"/>
      <c r="GC242" s="737"/>
      <c r="GD242" s="737"/>
      <c r="GE242" s="737"/>
      <c r="GF242" s="737"/>
      <c r="GG242" s="737"/>
      <c r="GH242" s="737"/>
      <c r="GI242" s="737"/>
      <c r="HA242" s="840"/>
      <c r="HF242" s="840"/>
    </row>
    <row r="243" spans="1:214" ht="14.1" customHeight="1">
      <c r="A243" s="398"/>
      <c r="B243" s="398"/>
      <c r="C243" s="398"/>
      <c r="D243" s="398"/>
      <c r="E243" s="398"/>
      <c r="F243" s="398"/>
      <c r="G243" s="398"/>
      <c r="H243" s="398"/>
      <c r="I243" s="398"/>
      <c r="S243" s="386" t="s">
        <v>3600</v>
      </c>
      <c r="T243" s="386" t="s">
        <v>2177</v>
      </c>
      <c r="U243" s="738">
        <f t="shared" si="105"/>
        <v>612</v>
      </c>
      <c r="V243" s="737">
        <v>37</v>
      </c>
      <c r="W243" s="738">
        <v>0</v>
      </c>
      <c r="X243" s="738">
        <v>57</v>
      </c>
      <c r="Y243" s="738">
        <v>116</v>
      </c>
      <c r="Z243" s="738">
        <v>102</v>
      </c>
      <c r="AA243" s="738">
        <v>101</v>
      </c>
      <c r="AB243" s="738">
        <v>100</v>
      </c>
      <c r="AC243" s="738">
        <v>99</v>
      </c>
      <c r="AD243" s="754" t="s">
        <v>1627</v>
      </c>
      <c r="AE243" s="754" t="s">
        <v>1627</v>
      </c>
      <c r="AF243" s="754" t="s">
        <v>1627</v>
      </c>
      <c r="AG243" s="754" t="s">
        <v>1627</v>
      </c>
      <c r="AH243" s="754" t="s">
        <v>1627</v>
      </c>
      <c r="AI243" s="754" t="s">
        <v>1627</v>
      </c>
      <c r="AJ243" s="754" t="s">
        <v>1627</v>
      </c>
      <c r="EI243" s="705"/>
      <c r="EJ243" s="745"/>
      <c r="EK243" s="755"/>
      <c r="EL243" s="745"/>
      <c r="EM243" s="745"/>
      <c r="EN243" s="745"/>
      <c r="EO243" s="745"/>
      <c r="EP243" s="737"/>
      <c r="EQ243" s="737"/>
      <c r="FR243" s="737"/>
      <c r="FS243" s="690"/>
      <c r="FT243" s="690"/>
      <c r="FU243" s="690"/>
      <c r="FV243" s="690"/>
      <c r="FW243" s="690"/>
      <c r="FX243" s="690"/>
      <c r="FY243" s="690"/>
      <c r="FZ243" s="737"/>
      <c r="GA243" s="690"/>
      <c r="GB243" s="690"/>
      <c r="GJ243" s="690"/>
      <c r="HA243" s="840"/>
      <c r="HF243" s="840"/>
    </row>
    <row r="244" spans="1:214" ht="14.1" customHeight="1">
      <c r="A244" s="398"/>
      <c r="B244" s="398"/>
      <c r="C244" s="398"/>
      <c r="D244" s="398"/>
      <c r="E244" s="398"/>
      <c r="F244" s="398"/>
      <c r="G244" s="398"/>
      <c r="S244" s="386" t="s">
        <v>3615</v>
      </c>
      <c r="T244" s="386" t="s">
        <v>2177</v>
      </c>
      <c r="U244" s="738">
        <f>SUM(AG244:AJ244)</f>
        <v>1622</v>
      </c>
      <c r="V244" s="754" t="s">
        <v>1627</v>
      </c>
      <c r="W244" s="754" t="s">
        <v>1627</v>
      </c>
      <c r="X244" s="754" t="s">
        <v>1627</v>
      </c>
      <c r="Y244" s="754" t="s">
        <v>1627</v>
      </c>
      <c r="Z244" s="754" t="s">
        <v>1627</v>
      </c>
      <c r="AA244" s="754" t="s">
        <v>1627</v>
      </c>
      <c r="AB244" s="754" t="s">
        <v>1627</v>
      </c>
      <c r="AC244" s="754" t="s">
        <v>1627</v>
      </c>
      <c r="AD244" s="754" t="s">
        <v>1627</v>
      </c>
      <c r="AE244" s="754" t="s">
        <v>1627</v>
      </c>
      <c r="AF244" s="754" t="s">
        <v>1627</v>
      </c>
      <c r="AG244" s="738">
        <v>404</v>
      </c>
      <c r="AH244" s="738">
        <v>436</v>
      </c>
      <c r="AI244" s="738">
        <v>465</v>
      </c>
      <c r="AJ244" s="738">
        <v>317</v>
      </c>
      <c r="EI244" s="705"/>
      <c r="EJ244" s="745"/>
      <c r="EK244" s="755"/>
      <c r="EL244" s="745"/>
      <c r="EM244" s="745"/>
      <c r="EN244" s="745"/>
      <c r="EO244" s="745"/>
      <c r="EP244" s="737"/>
      <c r="EQ244" s="737"/>
      <c r="FR244" s="737"/>
      <c r="FZ244" s="737"/>
      <c r="GA244" s="690"/>
      <c r="GB244" s="690"/>
      <c r="GC244" s="690"/>
      <c r="GD244" s="690"/>
      <c r="GE244" s="690"/>
      <c r="GF244" s="690"/>
      <c r="GG244" s="690"/>
      <c r="GH244" s="690"/>
      <c r="GI244" s="690"/>
      <c r="GJ244" s="690"/>
      <c r="HA244" s="840"/>
      <c r="HF244" s="840"/>
    </row>
    <row r="245" spans="1:214" ht="14.1" customHeight="1">
      <c r="A245" s="398"/>
      <c r="B245" s="398"/>
      <c r="C245" s="398"/>
      <c r="D245" s="398"/>
      <c r="E245" s="398"/>
      <c r="F245" s="398"/>
      <c r="G245" s="398"/>
      <c r="S245" s="386" t="s">
        <v>3624</v>
      </c>
      <c r="T245" s="386" t="s">
        <v>2177</v>
      </c>
      <c r="U245" s="738">
        <f>SUM(V245:AC245)</f>
        <v>625</v>
      </c>
      <c r="V245" s="737">
        <v>37</v>
      </c>
      <c r="W245" s="738">
        <v>0</v>
      </c>
      <c r="X245" s="738">
        <v>69</v>
      </c>
      <c r="Y245" s="738">
        <v>89</v>
      </c>
      <c r="Z245" s="738">
        <v>107</v>
      </c>
      <c r="AA245" s="738">
        <v>121</v>
      </c>
      <c r="AB245" s="738">
        <v>87</v>
      </c>
      <c r="AC245" s="738">
        <v>115</v>
      </c>
      <c r="AD245" s="754" t="s">
        <v>1627</v>
      </c>
      <c r="AE245" s="754" t="s">
        <v>1627</v>
      </c>
      <c r="AF245" s="754" t="s">
        <v>1627</v>
      </c>
      <c r="AG245" s="754" t="s">
        <v>1627</v>
      </c>
      <c r="AH245" s="754" t="s">
        <v>1627</v>
      </c>
      <c r="AI245" s="754" t="s">
        <v>1627</v>
      </c>
      <c r="AJ245" s="754" t="s">
        <v>1627</v>
      </c>
      <c r="DB245" s="702"/>
      <c r="DC245" s="702"/>
      <c r="DD245" s="702"/>
      <c r="DE245" s="702"/>
      <c r="DF245" s="702"/>
      <c r="DG245" s="702"/>
      <c r="DH245" s="702"/>
      <c r="DI245" s="702"/>
      <c r="DJ245" s="702"/>
      <c r="DK245" s="702"/>
      <c r="DL245" s="702"/>
      <c r="EI245" s="705"/>
      <c r="EJ245" s="745"/>
      <c r="EK245" s="755"/>
      <c r="EL245" s="745"/>
      <c r="EM245" s="745"/>
      <c r="EN245" s="745"/>
      <c r="EO245" s="745"/>
      <c r="EP245" s="515"/>
      <c r="EQ245" s="515"/>
      <c r="FR245" s="737"/>
      <c r="FS245" s="737"/>
      <c r="FT245" s="737"/>
      <c r="FU245" s="737"/>
      <c r="FV245" s="737"/>
      <c r="FW245" s="737"/>
      <c r="FX245" s="737"/>
      <c r="FY245" s="737"/>
      <c r="GC245" s="690"/>
      <c r="GD245" s="690"/>
      <c r="GE245" s="690"/>
      <c r="GF245" s="690"/>
      <c r="GG245" s="690"/>
      <c r="GH245" s="690"/>
      <c r="GI245" s="690"/>
      <c r="GS245" s="840"/>
      <c r="GT245" s="840"/>
      <c r="HA245" s="840"/>
      <c r="HD245" s="840"/>
      <c r="HE245" s="840"/>
      <c r="HF245" s="840"/>
    </row>
    <row r="246" spans="1:214" ht="14.1" customHeight="1">
      <c r="A246" s="398"/>
      <c r="B246" s="398"/>
      <c r="C246" s="398"/>
      <c r="D246" s="398"/>
      <c r="E246" s="398"/>
      <c r="F246" s="398"/>
      <c r="G246" s="398"/>
      <c r="S246" s="386" t="s">
        <v>3636</v>
      </c>
      <c r="T246" s="386" t="s">
        <v>2177</v>
      </c>
      <c r="U246" s="738">
        <f>SUM(AD246:AF246)</f>
        <v>1087</v>
      </c>
      <c r="V246" s="754" t="s">
        <v>1627</v>
      </c>
      <c r="W246" s="754" t="s">
        <v>1627</v>
      </c>
      <c r="X246" s="754" t="s">
        <v>1627</v>
      </c>
      <c r="Y246" s="754" t="s">
        <v>1627</v>
      </c>
      <c r="Z246" s="754" t="s">
        <v>1627</v>
      </c>
      <c r="AA246" s="754" t="s">
        <v>1627</v>
      </c>
      <c r="AB246" s="754" t="s">
        <v>1627</v>
      </c>
      <c r="AC246" s="754" t="s">
        <v>1627</v>
      </c>
      <c r="AD246" s="754">
        <v>347</v>
      </c>
      <c r="AE246" s="754">
        <v>386</v>
      </c>
      <c r="AF246" s="754">
        <v>354</v>
      </c>
      <c r="AG246" s="754" t="s">
        <v>1627</v>
      </c>
      <c r="AH246" s="754" t="s">
        <v>1627</v>
      </c>
      <c r="AI246" s="754" t="s">
        <v>1627</v>
      </c>
      <c r="AJ246" s="754" t="s">
        <v>1627</v>
      </c>
      <c r="DB246" s="690"/>
      <c r="DC246" s="690"/>
      <c r="DD246" s="690"/>
      <c r="DE246" s="690"/>
      <c r="DF246" s="690"/>
      <c r="DG246" s="690"/>
      <c r="DH246" s="690"/>
      <c r="DI246" s="690"/>
      <c r="DJ246" s="690"/>
      <c r="DK246" s="690"/>
      <c r="DL246" s="690"/>
      <c r="EI246" s="705"/>
      <c r="EJ246" s="745"/>
      <c r="EK246" s="755"/>
      <c r="EL246" s="745"/>
      <c r="EM246" s="745"/>
      <c r="EN246" s="745"/>
      <c r="EO246" s="745"/>
      <c r="EP246" s="515"/>
      <c r="EQ246" s="515"/>
      <c r="FS246" s="737"/>
      <c r="FT246" s="737"/>
      <c r="FU246" s="737"/>
      <c r="FV246" s="737"/>
      <c r="FW246" s="737"/>
      <c r="FX246" s="737"/>
      <c r="FY246" s="737"/>
      <c r="FZ246" s="690"/>
      <c r="GA246" s="737"/>
      <c r="GB246" s="737"/>
      <c r="GJ246" s="737"/>
      <c r="GS246" s="840"/>
      <c r="GT246" s="840"/>
      <c r="HA246" s="840"/>
      <c r="HD246" s="840"/>
      <c r="HE246" s="840"/>
      <c r="HF246" s="840"/>
    </row>
    <row r="247" spans="1:214" ht="14.1" customHeight="1">
      <c r="A247" s="398"/>
      <c r="B247" s="398"/>
      <c r="C247" s="398"/>
      <c r="D247" s="398"/>
      <c r="E247" s="398"/>
      <c r="F247" s="398"/>
      <c r="G247" s="398"/>
      <c r="S247" s="386" t="s">
        <v>3614</v>
      </c>
      <c r="T247" s="386" t="s">
        <v>2208</v>
      </c>
      <c r="U247" s="738">
        <f>SUM(V247:AC247)</f>
        <v>734</v>
      </c>
      <c r="V247" s="737">
        <v>39</v>
      </c>
      <c r="W247" s="738">
        <v>0</v>
      </c>
      <c r="X247" s="738">
        <v>79</v>
      </c>
      <c r="Y247" s="738">
        <v>104</v>
      </c>
      <c r="Z247" s="738">
        <v>123</v>
      </c>
      <c r="AA247" s="738">
        <v>126</v>
      </c>
      <c r="AB247" s="738">
        <v>130</v>
      </c>
      <c r="AC247" s="738">
        <v>133</v>
      </c>
      <c r="AD247" s="754" t="s">
        <v>1627</v>
      </c>
      <c r="AE247" s="754" t="s">
        <v>1627</v>
      </c>
      <c r="AF247" s="754" t="s">
        <v>1627</v>
      </c>
      <c r="AG247" s="754" t="s">
        <v>1627</v>
      </c>
      <c r="AH247" s="754" t="s">
        <v>1627</v>
      </c>
      <c r="AI247" s="754" t="s">
        <v>1627</v>
      </c>
      <c r="AJ247" s="754" t="s">
        <v>1627</v>
      </c>
      <c r="EI247" s="705"/>
      <c r="EJ247" s="745"/>
      <c r="EK247" s="755"/>
      <c r="EL247" s="745"/>
      <c r="EM247" s="745"/>
      <c r="EN247" s="745"/>
      <c r="EO247" s="745"/>
      <c r="EP247" s="737"/>
      <c r="EQ247" s="737"/>
      <c r="FR247" s="690"/>
      <c r="FS247" s="737"/>
      <c r="FT247" s="737"/>
      <c r="FU247" s="737"/>
      <c r="FV247" s="737"/>
      <c r="FW247" s="737"/>
      <c r="FX247" s="737"/>
      <c r="FY247" s="737"/>
      <c r="FZ247" s="690"/>
      <c r="GA247" s="737"/>
      <c r="GB247" s="737"/>
      <c r="GC247" s="737"/>
      <c r="GD247" s="737"/>
      <c r="GE247" s="737"/>
      <c r="GF247" s="737"/>
      <c r="GG247" s="737"/>
      <c r="GH247" s="737"/>
      <c r="GI247" s="737"/>
      <c r="GJ247" s="737"/>
      <c r="GS247" s="840"/>
      <c r="GT247" s="840"/>
      <c r="HA247" s="840"/>
      <c r="HB247" s="840"/>
      <c r="HC247" s="840"/>
      <c r="HD247" s="840"/>
      <c r="HE247" s="840"/>
      <c r="HF247" s="840"/>
    </row>
    <row r="248" spans="1:214" ht="14.1" customHeight="1">
      <c r="A248" s="398"/>
      <c r="B248" s="398"/>
      <c r="C248" s="398"/>
      <c r="D248" s="398"/>
      <c r="E248" s="398"/>
      <c r="F248" s="398"/>
      <c r="G248" s="398"/>
      <c r="S248" s="386" t="s">
        <v>3655</v>
      </c>
      <c r="T248" s="386" t="s">
        <v>2208</v>
      </c>
      <c r="U248" s="738">
        <f>SUM(AD248:AF248)</f>
        <v>1083</v>
      </c>
      <c r="V248" s="754" t="s">
        <v>1627</v>
      </c>
      <c r="W248" s="754" t="s">
        <v>1627</v>
      </c>
      <c r="X248" s="754" t="s">
        <v>1627</v>
      </c>
      <c r="Y248" s="754" t="s">
        <v>1627</v>
      </c>
      <c r="Z248" s="754" t="s">
        <v>1627</v>
      </c>
      <c r="AA248" s="754" t="s">
        <v>1627</v>
      </c>
      <c r="AB248" s="754" t="s">
        <v>1627</v>
      </c>
      <c r="AC248" s="754" t="s">
        <v>1627</v>
      </c>
      <c r="AD248" s="754">
        <v>334</v>
      </c>
      <c r="AE248" s="754">
        <v>379</v>
      </c>
      <c r="AF248" s="754">
        <v>370</v>
      </c>
      <c r="AG248" s="754" t="s">
        <v>1627</v>
      </c>
      <c r="AH248" s="754" t="s">
        <v>1627</v>
      </c>
      <c r="AI248" s="754" t="s">
        <v>1627</v>
      </c>
      <c r="AJ248" s="754" t="s">
        <v>1627</v>
      </c>
      <c r="EI248" s="705"/>
      <c r="EJ248" s="745"/>
      <c r="EK248" s="755"/>
      <c r="EL248" s="745"/>
      <c r="EM248" s="745"/>
      <c r="EN248" s="745"/>
      <c r="EO248" s="745"/>
      <c r="EP248" s="737"/>
      <c r="EQ248" s="737"/>
      <c r="FR248" s="690"/>
      <c r="GA248" s="737"/>
      <c r="GB248" s="737"/>
      <c r="GC248" s="737"/>
      <c r="GD248" s="737"/>
      <c r="GE248" s="737"/>
      <c r="GF248" s="737"/>
      <c r="GG248" s="737"/>
      <c r="GH248" s="737"/>
      <c r="GI248" s="737"/>
      <c r="GJ248" s="737"/>
      <c r="GS248" s="840"/>
      <c r="GT248" s="840"/>
      <c r="HA248" s="840"/>
      <c r="HB248" s="840"/>
      <c r="HC248" s="840"/>
      <c r="HD248" s="840"/>
      <c r="HE248" s="840"/>
      <c r="HF248" s="840"/>
    </row>
    <row r="249" spans="1:214" ht="14.1" customHeight="1">
      <c r="A249" s="398"/>
      <c r="B249" s="398"/>
      <c r="C249" s="398"/>
      <c r="D249" s="398"/>
      <c r="E249" s="398"/>
      <c r="F249" s="398"/>
      <c r="G249" s="398"/>
      <c r="S249" s="386" t="s">
        <v>3666</v>
      </c>
      <c r="T249" s="386" t="s">
        <v>2208</v>
      </c>
      <c r="U249" s="738">
        <f>SUM(V249:AC249)</f>
        <v>441</v>
      </c>
      <c r="V249" s="737">
        <v>17</v>
      </c>
      <c r="W249" s="738">
        <v>13</v>
      </c>
      <c r="X249" s="738">
        <v>32</v>
      </c>
      <c r="Y249" s="738">
        <v>78</v>
      </c>
      <c r="Z249" s="738">
        <v>70</v>
      </c>
      <c r="AA249" s="738">
        <v>95</v>
      </c>
      <c r="AB249" s="738">
        <v>70</v>
      </c>
      <c r="AC249" s="738">
        <v>66</v>
      </c>
      <c r="AD249" s="754" t="s">
        <v>1627</v>
      </c>
      <c r="AE249" s="754" t="s">
        <v>1627</v>
      </c>
      <c r="AF249" s="754" t="s">
        <v>1627</v>
      </c>
      <c r="AG249" s="754" t="s">
        <v>1627</v>
      </c>
      <c r="AH249" s="754" t="s">
        <v>1627</v>
      </c>
      <c r="AI249" s="754" t="s">
        <v>1627</v>
      </c>
      <c r="AJ249" s="754" t="s">
        <v>1627</v>
      </c>
      <c r="EI249" s="781"/>
      <c r="EJ249" s="782"/>
      <c r="EK249" s="783"/>
      <c r="EL249" s="781"/>
      <c r="EM249" s="781"/>
      <c r="EN249" s="781"/>
      <c r="EO249" s="781"/>
      <c r="FS249" s="690"/>
      <c r="FT249" s="690"/>
      <c r="FU249" s="690"/>
      <c r="FV249" s="690"/>
      <c r="FW249" s="690"/>
      <c r="FX249" s="690"/>
      <c r="FY249" s="690"/>
      <c r="FZ249" s="737"/>
      <c r="GC249" s="737"/>
      <c r="GD249" s="737"/>
      <c r="GE249" s="737"/>
      <c r="GF249" s="737"/>
      <c r="GG249" s="737"/>
      <c r="GH249" s="737"/>
      <c r="GI249" s="737"/>
      <c r="GS249" s="840"/>
      <c r="GT249" s="840"/>
      <c r="HA249" s="840"/>
      <c r="HB249" s="840"/>
      <c r="HC249" s="840"/>
      <c r="HD249" s="840"/>
      <c r="HE249" s="840"/>
      <c r="HF249" s="840"/>
    </row>
    <row r="250" spans="1:214" ht="14.1" customHeight="1">
      <c r="A250" s="398"/>
      <c r="B250" s="398"/>
      <c r="C250" s="398"/>
      <c r="D250" s="398"/>
      <c r="E250" s="398"/>
      <c r="F250" s="398"/>
      <c r="G250" s="398"/>
      <c r="S250" s="386" t="s">
        <v>3680</v>
      </c>
      <c r="T250" s="386" t="s">
        <v>2208</v>
      </c>
      <c r="U250" s="738">
        <f>SUM(AG250:AJ250)</f>
        <v>1673</v>
      </c>
      <c r="V250" s="754" t="s">
        <v>1627</v>
      </c>
      <c r="W250" s="754" t="s">
        <v>1627</v>
      </c>
      <c r="X250" s="754" t="s">
        <v>1627</v>
      </c>
      <c r="Y250" s="754" t="s">
        <v>1627</v>
      </c>
      <c r="Z250" s="754" t="s">
        <v>1627</v>
      </c>
      <c r="AA250" s="754" t="s">
        <v>1627</v>
      </c>
      <c r="AB250" s="754" t="s">
        <v>1627</v>
      </c>
      <c r="AC250" s="754" t="s">
        <v>1627</v>
      </c>
      <c r="AD250" s="754" t="s">
        <v>1627</v>
      </c>
      <c r="AE250" s="754" t="s">
        <v>1627</v>
      </c>
      <c r="AF250" s="754" t="s">
        <v>1627</v>
      </c>
      <c r="AG250" s="738">
        <v>588</v>
      </c>
      <c r="AH250" s="738">
        <v>446</v>
      </c>
      <c r="AI250" s="738">
        <v>375</v>
      </c>
      <c r="AJ250" s="738">
        <v>264</v>
      </c>
      <c r="EI250" s="398"/>
      <c r="EJ250" s="515"/>
      <c r="EK250" s="771"/>
      <c r="EL250" s="515"/>
      <c r="EM250" s="515"/>
      <c r="EN250" s="515"/>
      <c r="EO250" s="515"/>
      <c r="FR250" s="737"/>
      <c r="FS250" s="690"/>
      <c r="FT250" s="690"/>
      <c r="FU250" s="690"/>
      <c r="FV250" s="690"/>
      <c r="FW250" s="690"/>
      <c r="FX250" s="690"/>
      <c r="FY250" s="690"/>
      <c r="FZ250" s="737"/>
      <c r="GA250" s="690"/>
      <c r="GB250" s="690"/>
      <c r="GJ250" s="690"/>
      <c r="GS250" s="840"/>
      <c r="GT250" s="840"/>
      <c r="HA250" s="840"/>
      <c r="HB250" s="840"/>
      <c r="HC250" s="840"/>
      <c r="HD250" s="840"/>
      <c r="HE250" s="840"/>
      <c r="HF250" s="840"/>
    </row>
    <row r="251" spans="1:214" ht="14.1" customHeight="1">
      <c r="A251" s="398"/>
      <c r="B251" s="398"/>
      <c r="C251" s="398"/>
      <c r="D251" s="398"/>
      <c r="E251" s="398"/>
      <c r="F251" s="398"/>
      <c r="G251" s="398"/>
      <c r="S251" s="386" t="s">
        <v>3687</v>
      </c>
      <c r="T251" s="386" t="s">
        <v>2208</v>
      </c>
      <c r="U251" s="738">
        <f>SUM(V251:AC251)</f>
        <v>599</v>
      </c>
      <c r="V251" s="737">
        <v>20</v>
      </c>
      <c r="W251" s="776">
        <v>0</v>
      </c>
      <c r="X251" s="776">
        <v>65</v>
      </c>
      <c r="Y251" s="738">
        <v>86</v>
      </c>
      <c r="Z251" s="738">
        <v>109</v>
      </c>
      <c r="AA251" s="738">
        <v>122</v>
      </c>
      <c r="AB251" s="738">
        <v>95</v>
      </c>
      <c r="AC251" s="738">
        <v>102</v>
      </c>
      <c r="AD251" s="754" t="s">
        <v>1627</v>
      </c>
      <c r="AE251" s="754" t="s">
        <v>1627</v>
      </c>
      <c r="AF251" s="754" t="s">
        <v>1627</v>
      </c>
      <c r="AG251" s="754" t="s">
        <v>1627</v>
      </c>
      <c r="AH251" s="754" t="s">
        <v>1627</v>
      </c>
      <c r="AI251" s="754" t="s">
        <v>1627</v>
      </c>
      <c r="AJ251" s="754" t="s">
        <v>1627</v>
      </c>
      <c r="EI251" s="398"/>
      <c r="EJ251" s="515"/>
      <c r="EK251" s="771"/>
      <c r="EL251" s="515"/>
      <c r="EM251" s="515"/>
      <c r="EN251" s="515"/>
      <c r="EO251" s="515"/>
      <c r="FR251" s="737"/>
      <c r="FZ251" s="737"/>
      <c r="GA251" s="690"/>
      <c r="GB251" s="690"/>
      <c r="GC251" s="690"/>
      <c r="GD251" s="690"/>
      <c r="GE251" s="690"/>
      <c r="GF251" s="690"/>
      <c r="GG251" s="690"/>
      <c r="GH251" s="690"/>
      <c r="GI251" s="690"/>
      <c r="GJ251" s="690"/>
      <c r="GS251" s="840"/>
      <c r="GT251" s="840"/>
      <c r="HA251" s="840"/>
      <c r="HB251" s="840"/>
      <c r="HC251" s="840"/>
      <c r="HD251" s="840"/>
      <c r="HE251" s="840"/>
      <c r="HF251" s="840"/>
    </row>
    <row r="252" spans="1:214" ht="14.1" customHeight="1">
      <c r="S252" s="398"/>
      <c r="T252" s="740"/>
      <c r="U252" s="738"/>
      <c r="V252" s="737"/>
      <c r="W252" s="738"/>
      <c r="X252" s="738"/>
      <c r="Y252" s="738"/>
      <c r="Z252" s="738"/>
      <c r="AA252" s="738"/>
      <c r="AB252" s="738"/>
      <c r="AC252" s="738"/>
      <c r="AD252" s="754"/>
      <c r="AE252" s="738"/>
      <c r="AF252" s="738"/>
      <c r="AG252" s="738"/>
      <c r="AH252" s="738"/>
      <c r="AI252" s="738"/>
      <c r="AJ252" s="738"/>
      <c r="EI252" s="398"/>
      <c r="EJ252" s="515"/>
      <c r="EK252" s="771"/>
      <c r="EL252" s="515"/>
      <c r="EM252" s="515"/>
      <c r="EN252" s="515"/>
      <c r="EO252" s="515"/>
      <c r="EP252" s="398"/>
      <c r="EQ252" s="398"/>
      <c r="FR252" s="737"/>
      <c r="FS252" s="737"/>
      <c r="FT252" s="737"/>
      <c r="FU252" s="737"/>
      <c r="FV252" s="737"/>
      <c r="FW252" s="737"/>
      <c r="FX252" s="737"/>
      <c r="FY252" s="737"/>
      <c r="GC252" s="690"/>
      <c r="GD252" s="690"/>
      <c r="GE252" s="690"/>
      <c r="GF252" s="690"/>
      <c r="GG252" s="690"/>
      <c r="GH252" s="690"/>
      <c r="GI252" s="690"/>
      <c r="GS252" s="840"/>
      <c r="GT252" s="840"/>
      <c r="HA252" s="840"/>
      <c r="HB252" s="840"/>
      <c r="HC252" s="840"/>
      <c r="HD252" s="840"/>
      <c r="HE252" s="840"/>
      <c r="HF252" s="840"/>
    </row>
    <row r="253" spans="1:214" ht="14.1" customHeight="1">
      <c r="S253" s="398" t="s">
        <v>3699</v>
      </c>
      <c r="T253" s="740"/>
      <c r="U253" s="738">
        <f>SUM(U254:U260)</f>
        <v>4543</v>
      </c>
      <c r="V253" s="738">
        <f t="shared" ref="V253:AJ253" si="106">SUM(V254:V260)</f>
        <v>62</v>
      </c>
      <c r="W253" s="738">
        <f t="shared" si="106"/>
        <v>38</v>
      </c>
      <c r="X253" s="738">
        <f t="shared" si="106"/>
        <v>206</v>
      </c>
      <c r="Y253" s="738">
        <f t="shared" si="106"/>
        <v>344</v>
      </c>
      <c r="Z253" s="738">
        <f t="shared" si="106"/>
        <v>325</v>
      </c>
      <c r="AA253" s="738">
        <f t="shared" si="106"/>
        <v>323</v>
      </c>
      <c r="AB253" s="738">
        <f t="shared" si="106"/>
        <v>315</v>
      </c>
      <c r="AC253" s="738">
        <f t="shared" si="106"/>
        <v>313</v>
      </c>
      <c r="AD253" s="738">
        <f t="shared" si="106"/>
        <v>260</v>
      </c>
      <c r="AE253" s="738">
        <f t="shared" si="106"/>
        <v>287</v>
      </c>
      <c r="AF253" s="738">
        <f t="shared" si="106"/>
        <v>300</v>
      </c>
      <c r="AG253" s="738">
        <f t="shared" si="106"/>
        <v>578</v>
      </c>
      <c r="AH253" s="738">
        <f t="shared" si="106"/>
        <v>525</v>
      </c>
      <c r="AI253" s="738">
        <f t="shared" si="106"/>
        <v>362</v>
      </c>
      <c r="AJ253" s="738">
        <f t="shared" si="106"/>
        <v>305</v>
      </c>
      <c r="EI253" s="398"/>
      <c r="EJ253" s="515"/>
      <c r="EK253" s="771"/>
      <c r="EL253" s="515"/>
      <c r="EM253" s="515"/>
      <c r="EN253" s="515"/>
      <c r="EO253" s="515"/>
      <c r="FS253" s="737"/>
      <c r="FT253" s="737"/>
      <c r="FU253" s="737"/>
      <c r="FV253" s="737"/>
      <c r="FW253" s="737"/>
      <c r="FX253" s="737"/>
      <c r="FY253" s="737"/>
      <c r="FZ253" s="690"/>
      <c r="GS253" s="840"/>
      <c r="GT253" s="840"/>
      <c r="GU253" s="840"/>
      <c r="GV253" s="840"/>
      <c r="GW253" s="840"/>
      <c r="GX253" s="840"/>
      <c r="GY253" s="840"/>
      <c r="GZ253" s="840"/>
      <c r="HA253" s="840"/>
      <c r="HB253" s="840"/>
      <c r="HC253" s="840"/>
      <c r="HD253" s="840"/>
      <c r="HE253" s="840"/>
      <c r="HF253" s="840"/>
    </row>
    <row r="254" spans="1:214" ht="14.1" customHeight="1">
      <c r="S254" s="386" t="s">
        <v>3707</v>
      </c>
      <c r="T254" s="386" t="s">
        <v>3708</v>
      </c>
      <c r="U254" s="738">
        <f>SUM(V254:AC254)</f>
        <v>339</v>
      </c>
      <c r="V254" s="776">
        <v>0</v>
      </c>
      <c r="W254" s="738">
        <v>0</v>
      </c>
      <c r="X254" s="738">
        <v>43</v>
      </c>
      <c r="Y254" s="738">
        <v>58</v>
      </c>
      <c r="Z254" s="738">
        <v>60</v>
      </c>
      <c r="AA254" s="738">
        <v>55</v>
      </c>
      <c r="AB254" s="738">
        <v>67</v>
      </c>
      <c r="AC254" s="738">
        <v>56</v>
      </c>
      <c r="AD254" s="754" t="s">
        <v>1627</v>
      </c>
      <c r="AE254" s="754" t="s">
        <v>1627</v>
      </c>
      <c r="AF254" s="754" t="s">
        <v>1627</v>
      </c>
      <c r="AG254" s="754" t="s">
        <v>1627</v>
      </c>
      <c r="AH254" s="754" t="s">
        <v>1627</v>
      </c>
      <c r="AI254" s="754" t="s">
        <v>1627</v>
      </c>
      <c r="AJ254" s="754" t="s">
        <v>1627</v>
      </c>
      <c r="EI254" s="398"/>
      <c r="EJ254" s="515"/>
      <c r="EK254" s="771"/>
      <c r="EL254" s="515"/>
      <c r="EM254" s="515"/>
      <c r="EN254" s="515"/>
      <c r="EO254" s="515"/>
      <c r="FR254" s="690"/>
      <c r="FS254" s="737"/>
      <c r="FT254" s="737"/>
      <c r="FU254" s="737"/>
      <c r="FV254" s="737"/>
      <c r="FW254" s="737"/>
      <c r="FX254" s="737"/>
      <c r="FY254" s="737"/>
      <c r="FZ254" s="690"/>
      <c r="GS254" s="840"/>
      <c r="GT254" s="840"/>
      <c r="GU254" s="840"/>
      <c r="GV254" s="840"/>
      <c r="GW254" s="840"/>
      <c r="GX254" s="840"/>
      <c r="GY254" s="840"/>
      <c r="GZ254" s="840"/>
      <c r="HA254" s="840"/>
      <c r="HB254" s="840"/>
      <c r="HC254" s="840"/>
      <c r="HD254" s="840"/>
      <c r="HE254" s="840"/>
      <c r="HF254" s="840"/>
    </row>
    <row r="255" spans="1:214" ht="14.1" customHeight="1">
      <c r="S255" s="386" t="s">
        <v>3720</v>
      </c>
      <c r="T255" s="386" t="s">
        <v>2195</v>
      </c>
      <c r="U255" s="738">
        <f>SUM(AD255:AF255)</f>
        <v>847</v>
      </c>
      <c r="V255" s="754" t="s">
        <v>1627</v>
      </c>
      <c r="W255" s="754" t="s">
        <v>1627</v>
      </c>
      <c r="X255" s="754" t="s">
        <v>1627</v>
      </c>
      <c r="Y255" s="754" t="s">
        <v>1627</v>
      </c>
      <c r="Z255" s="754" t="s">
        <v>1627</v>
      </c>
      <c r="AA255" s="754" t="s">
        <v>1627</v>
      </c>
      <c r="AB255" s="754" t="s">
        <v>1627</v>
      </c>
      <c r="AC255" s="754" t="s">
        <v>1627</v>
      </c>
      <c r="AD255" s="754">
        <v>260</v>
      </c>
      <c r="AE255" s="738">
        <v>287</v>
      </c>
      <c r="AF255" s="738">
        <v>300</v>
      </c>
      <c r="AG255" s="754" t="s">
        <v>1627</v>
      </c>
      <c r="AH255" s="754" t="s">
        <v>1627</v>
      </c>
      <c r="AI255" s="754" t="s">
        <v>1627</v>
      </c>
      <c r="AJ255" s="754" t="s">
        <v>1627</v>
      </c>
      <c r="EI255" s="398"/>
      <c r="EJ255" s="515"/>
      <c r="EK255" s="771"/>
      <c r="EL255" s="515"/>
      <c r="EM255" s="515"/>
      <c r="EN255" s="515"/>
      <c r="EO255" s="515"/>
      <c r="FR255" s="690"/>
      <c r="GS255" s="840"/>
      <c r="GT255" s="840"/>
      <c r="GU255" s="840"/>
      <c r="GV255" s="840"/>
      <c r="GW255" s="840"/>
      <c r="GX255" s="840"/>
      <c r="GY255" s="840"/>
      <c r="GZ255" s="840"/>
      <c r="HA255" s="840"/>
      <c r="HB255" s="840"/>
      <c r="HC255" s="840"/>
      <c r="HD255" s="840"/>
      <c r="HE255" s="840"/>
      <c r="HF255" s="840"/>
    </row>
    <row r="256" spans="1:214" ht="14.1" customHeight="1">
      <c r="S256" s="386" t="s">
        <v>3588</v>
      </c>
      <c r="T256" s="386" t="s">
        <v>3728</v>
      </c>
      <c r="U256" s="738">
        <f>SUM(V256:AC256)</f>
        <v>521</v>
      </c>
      <c r="V256" s="737">
        <v>26</v>
      </c>
      <c r="W256" s="776">
        <v>0</v>
      </c>
      <c r="X256" s="776">
        <v>56</v>
      </c>
      <c r="Y256" s="738">
        <v>101</v>
      </c>
      <c r="Z256" s="738">
        <v>86</v>
      </c>
      <c r="AA256" s="738">
        <v>94</v>
      </c>
      <c r="AB256" s="738">
        <v>79</v>
      </c>
      <c r="AC256" s="738">
        <v>79</v>
      </c>
      <c r="AD256" s="754" t="s">
        <v>1627</v>
      </c>
      <c r="AE256" s="754" t="s">
        <v>1627</v>
      </c>
      <c r="AF256" s="754" t="s">
        <v>1627</v>
      </c>
      <c r="AG256" s="754" t="s">
        <v>1627</v>
      </c>
      <c r="AH256" s="754" t="s">
        <v>1627</v>
      </c>
      <c r="AI256" s="754" t="s">
        <v>1627</v>
      </c>
      <c r="AJ256" s="754" t="s">
        <v>1627</v>
      </c>
      <c r="EI256" s="398"/>
      <c r="EJ256" s="515"/>
      <c r="EK256" s="771"/>
      <c r="EL256" s="515"/>
      <c r="EM256" s="515"/>
      <c r="EN256" s="515"/>
      <c r="EO256" s="515"/>
      <c r="FS256" s="690"/>
      <c r="FT256" s="690"/>
      <c r="FU256" s="690"/>
      <c r="FV256" s="690"/>
      <c r="FW256" s="690"/>
      <c r="FX256" s="690"/>
      <c r="FY256" s="690"/>
      <c r="GS256" s="840"/>
      <c r="GT256" s="840"/>
      <c r="GU256" s="840"/>
      <c r="GV256" s="840"/>
      <c r="GW256" s="840"/>
      <c r="GX256" s="840"/>
      <c r="GY256" s="840"/>
      <c r="GZ256" s="840"/>
      <c r="HA256" s="841"/>
      <c r="HB256" s="840"/>
      <c r="HC256" s="840"/>
      <c r="HD256" s="840"/>
      <c r="HE256" s="840"/>
      <c r="HF256" s="840"/>
    </row>
    <row r="257" spans="19:214" ht="14.1" customHeight="1">
      <c r="S257" s="386" t="s">
        <v>3738</v>
      </c>
      <c r="T257" s="386" t="s">
        <v>2202</v>
      </c>
      <c r="U257" s="738">
        <f t="shared" ref="U257:U258" si="107">SUM(V257:AC257)</f>
        <v>266</v>
      </c>
      <c r="V257" s="737">
        <v>36</v>
      </c>
      <c r="W257" s="738">
        <v>0</v>
      </c>
      <c r="X257" s="738">
        <v>20</v>
      </c>
      <c r="Y257" s="738">
        <v>47</v>
      </c>
      <c r="Z257" s="738">
        <v>44</v>
      </c>
      <c r="AA257" s="738">
        <v>36</v>
      </c>
      <c r="AB257" s="738">
        <v>38</v>
      </c>
      <c r="AC257" s="738">
        <v>45</v>
      </c>
      <c r="AD257" s="754" t="s">
        <v>1627</v>
      </c>
      <c r="AE257" s="754" t="s">
        <v>1627</v>
      </c>
      <c r="AF257" s="754" t="s">
        <v>1627</v>
      </c>
      <c r="AG257" s="754" t="s">
        <v>1627</v>
      </c>
      <c r="AH257" s="754" t="s">
        <v>1627</v>
      </c>
      <c r="AI257" s="754" t="s">
        <v>1627</v>
      </c>
      <c r="AJ257" s="754" t="s">
        <v>1627</v>
      </c>
      <c r="EI257" s="398"/>
      <c r="EJ257" s="515"/>
      <c r="EK257" s="771"/>
      <c r="EL257" s="515"/>
      <c r="EM257" s="515"/>
      <c r="EN257" s="515"/>
      <c r="EO257" s="515"/>
      <c r="FS257" s="690"/>
      <c r="FT257" s="690"/>
      <c r="FU257" s="690"/>
      <c r="FV257" s="690"/>
      <c r="FW257" s="690"/>
      <c r="FX257" s="690"/>
      <c r="FY257" s="690"/>
      <c r="GS257" s="840"/>
      <c r="GT257" s="840"/>
      <c r="GU257" s="840"/>
      <c r="GV257" s="840"/>
      <c r="GW257" s="840"/>
      <c r="GX257" s="840"/>
      <c r="GY257" s="840"/>
      <c r="GZ257" s="840"/>
      <c r="HA257" s="842"/>
      <c r="HB257" s="840"/>
      <c r="HC257" s="840"/>
      <c r="HD257" s="840"/>
      <c r="HE257" s="840"/>
      <c r="HF257" s="840"/>
    </row>
    <row r="258" spans="19:214" ht="14.1" customHeight="1">
      <c r="S258" s="386" t="s">
        <v>3679</v>
      </c>
      <c r="T258" s="386" t="s">
        <v>2202</v>
      </c>
      <c r="U258" s="738">
        <f t="shared" si="107"/>
        <v>263</v>
      </c>
      <c r="V258" s="776">
        <v>0</v>
      </c>
      <c r="W258" s="776">
        <v>38</v>
      </c>
      <c r="X258" s="776">
        <v>87</v>
      </c>
      <c r="Y258" s="738">
        <v>138</v>
      </c>
      <c r="Z258" s="776">
        <v>0</v>
      </c>
      <c r="AA258" s="776">
        <v>0</v>
      </c>
      <c r="AB258" s="776">
        <v>0</v>
      </c>
      <c r="AC258" s="776">
        <v>0</v>
      </c>
      <c r="AD258" s="754" t="s">
        <v>1627</v>
      </c>
      <c r="AE258" s="754" t="s">
        <v>1627</v>
      </c>
      <c r="AF258" s="754" t="s">
        <v>1627</v>
      </c>
      <c r="AG258" s="754" t="s">
        <v>1627</v>
      </c>
      <c r="AH258" s="754" t="s">
        <v>1627</v>
      </c>
      <c r="AI258" s="754" t="s">
        <v>1627</v>
      </c>
      <c r="AJ258" s="754" t="s">
        <v>1627</v>
      </c>
      <c r="EI258" s="398"/>
      <c r="EJ258" s="515"/>
      <c r="EK258" s="771"/>
      <c r="EL258" s="515"/>
      <c r="EM258" s="515"/>
      <c r="EN258" s="515"/>
      <c r="EO258" s="515"/>
      <c r="GA258" s="690"/>
      <c r="GB258" s="690"/>
      <c r="GJ258" s="690"/>
      <c r="GS258" s="840"/>
      <c r="GT258" s="840"/>
      <c r="GU258" s="840"/>
      <c r="GV258" s="840"/>
      <c r="GW258" s="840"/>
      <c r="GX258" s="840"/>
      <c r="GY258" s="840"/>
      <c r="GZ258" s="840"/>
      <c r="HA258" s="843"/>
      <c r="HB258" s="840"/>
      <c r="HC258" s="840"/>
      <c r="HD258" s="840"/>
      <c r="HE258" s="840"/>
      <c r="HF258" s="840"/>
    </row>
    <row r="259" spans="19:214" ht="14.1" customHeight="1">
      <c r="S259" s="386" t="s">
        <v>3751</v>
      </c>
      <c r="T259" s="386" t="s">
        <v>2202</v>
      </c>
      <c r="U259" s="738">
        <f>SUM(AG259:AJ259)</f>
        <v>1770</v>
      </c>
      <c r="V259" s="754" t="s">
        <v>1627</v>
      </c>
      <c r="W259" s="754" t="s">
        <v>1627</v>
      </c>
      <c r="X259" s="754" t="s">
        <v>1627</v>
      </c>
      <c r="Y259" s="754" t="s">
        <v>1627</v>
      </c>
      <c r="Z259" s="754" t="s">
        <v>1627</v>
      </c>
      <c r="AA259" s="754" t="s">
        <v>1627</v>
      </c>
      <c r="AB259" s="754" t="s">
        <v>1627</v>
      </c>
      <c r="AC259" s="754" t="s">
        <v>1627</v>
      </c>
      <c r="AD259" s="754" t="s">
        <v>1627</v>
      </c>
      <c r="AE259" s="754" t="s">
        <v>1627</v>
      </c>
      <c r="AF259" s="754" t="s">
        <v>1627</v>
      </c>
      <c r="AG259" s="738">
        <v>578</v>
      </c>
      <c r="AH259" s="738">
        <v>525</v>
      </c>
      <c r="AI259" s="738">
        <v>362</v>
      </c>
      <c r="AJ259" s="738">
        <v>305</v>
      </c>
      <c r="EI259" s="398"/>
      <c r="EJ259" s="515"/>
      <c r="EK259" s="771"/>
      <c r="EL259" s="515"/>
      <c r="EM259" s="515"/>
      <c r="EN259" s="515"/>
      <c r="EO259" s="515"/>
      <c r="GC259" s="690"/>
      <c r="GD259" s="690"/>
      <c r="GE259" s="690"/>
      <c r="GF259" s="690"/>
      <c r="GG259" s="690"/>
      <c r="GH259" s="690"/>
      <c r="GI259" s="690"/>
      <c r="GS259" s="840"/>
      <c r="GT259" s="840"/>
      <c r="GU259" s="840"/>
      <c r="GV259" s="840"/>
      <c r="GW259" s="840"/>
      <c r="GX259" s="840"/>
      <c r="GY259" s="840"/>
      <c r="GZ259" s="840"/>
      <c r="HA259" s="843"/>
      <c r="HB259" s="840"/>
      <c r="HC259" s="840"/>
      <c r="HD259" s="840"/>
      <c r="HE259" s="840"/>
      <c r="HF259" s="840"/>
    </row>
    <row r="260" spans="19:214" ht="14.1" customHeight="1">
      <c r="S260" s="386" t="s">
        <v>2202</v>
      </c>
      <c r="T260" s="386" t="s">
        <v>2202</v>
      </c>
      <c r="U260" s="738">
        <f>SUM(V260:AC260)</f>
        <v>537</v>
      </c>
      <c r="V260" s="776">
        <v>0</v>
      </c>
      <c r="W260" s="776">
        <v>0</v>
      </c>
      <c r="X260" s="776">
        <v>0</v>
      </c>
      <c r="Y260" s="776">
        <v>0</v>
      </c>
      <c r="Z260" s="738">
        <v>135</v>
      </c>
      <c r="AA260" s="738">
        <v>138</v>
      </c>
      <c r="AB260" s="738">
        <v>131</v>
      </c>
      <c r="AC260" s="738">
        <v>133</v>
      </c>
      <c r="AD260" s="754" t="s">
        <v>1627</v>
      </c>
      <c r="AE260" s="754" t="s">
        <v>1627</v>
      </c>
      <c r="AF260" s="754" t="s">
        <v>1627</v>
      </c>
      <c r="AG260" s="754" t="s">
        <v>1627</v>
      </c>
      <c r="AH260" s="754" t="s">
        <v>1627</v>
      </c>
      <c r="AI260" s="754" t="s">
        <v>1627</v>
      </c>
      <c r="AJ260" s="754" t="s">
        <v>1627</v>
      </c>
      <c r="EI260" s="398"/>
      <c r="EJ260" s="515"/>
      <c r="EK260" s="771"/>
      <c r="EL260" s="515"/>
      <c r="EM260" s="515"/>
      <c r="EN260" s="515"/>
      <c r="EO260" s="515"/>
      <c r="GA260" s="737"/>
      <c r="GB260" s="737"/>
      <c r="GJ260" s="737"/>
      <c r="GS260" s="840"/>
      <c r="GT260" s="840"/>
      <c r="GU260" s="840"/>
      <c r="GV260" s="840"/>
      <c r="GW260" s="840"/>
      <c r="GX260" s="840"/>
      <c r="GY260" s="840"/>
      <c r="GZ260" s="840"/>
      <c r="HA260" s="843"/>
      <c r="HB260" s="840"/>
      <c r="HC260" s="840"/>
      <c r="HD260" s="840"/>
      <c r="HE260" s="840"/>
      <c r="HF260" s="840"/>
    </row>
    <row r="261" spans="19:214" ht="14.1" customHeight="1">
      <c r="S261" s="398"/>
      <c r="T261" s="740"/>
      <c r="U261" s="738"/>
      <c r="V261" s="737"/>
      <c r="W261" s="738"/>
      <c r="X261" s="738"/>
      <c r="Y261" s="738"/>
      <c r="Z261" s="738"/>
      <c r="AA261" s="738"/>
      <c r="AB261" s="738"/>
      <c r="AC261" s="738"/>
      <c r="AD261" s="754"/>
      <c r="AE261" s="738"/>
      <c r="AF261" s="738"/>
      <c r="AG261" s="738"/>
      <c r="AH261" s="738"/>
      <c r="AI261" s="738"/>
      <c r="AJ261" s="738"/>
      <c r="EI261" s="398"/>
      <c r="EJ261" s="515"/>
      <c r="EK261" s="771"/>
      <c r="EL261" s="515"/>
      <c r="EM261" s="515"/>
      <c r="EN261" s="515"/>
      <c r="EO261" s="515"/>
      <c r="GA261" s="737"/>
      <c r="GB261" s="737"/>
      <c r="GC261" s="737"/>
      <c r="GD261" s="737"/>
      <c r="GE261" s="737"/>
      <c r="GF261" s="737"/>
      <c r="GG261" s="737"/>
      <c r="GH261" s="737"/>
      <c r="GI261" s="737"/>
      <c r="GJ261" s="737"/>
      <c r="GS261" s="840"/>
      <c r="GT261" s="840"/>
      <c r="GU261" s="840"/>
      <c r="GV261" s="840"/>
      <c r="GW261" s="840"/>
      <c r="GX261" s="840"/>
      <c r="GY261" s="840"/>
      <c r="GZ261" s="840"/>
      <c r="HA261" s="843"/>
      <c r="HB261" s="840"/>
      <c r="HC261" s="840"/>
      <c r="HD261" s="840"/>
      <c r="HE261" s="840"/>
      <c r="HF261" s="840"/>
    </row>
    <row r="262" spans="19:214" ht="14.1" customHeight="1">
      <c r="S262" s="398" t="s">
        <v>3771</v>
      </c>
      <c r="T262" s="740"/>
      <c r="U262" s="738">
        <f>SUM(U263:U272)</f>
        <v>7239</v>
      </c>
      <c r="V262" s="738">
        <f t="shared" ref="V262:AJ262" si="108">SUM(V263:V272)</f>
        <v>98</v>
      </c>
      <c r="W262" s="738">
        <f t="shared" si="108"/>
        <v>51</v>
      </c>
      <c r="X262" s="738">
        <f t="shared" si="108"/>
        <v>316</v>
      </c>
      <c r="Y262" s="738">
        <f t="shared" si="108"/>
        <v>463</v>
      </c>
      <c r="Z262" s="738">
        <f t="shared" si="108"/>
        <v>472</v>
      </c>
      <c r="AA262" s="738">
        <f t="shared" si="108"/>
        <v>483</v>
      </c>
      <c r="AB262" s="738">
        <f t="shared" si="108"/>
        <v>485</v>
      </c>
      <c r="AC262" s="738">
        <f t="shared" si="108"/>
        <v>504</v>
      </c>
      <c r="AD262" s="738">
        <f t="shared" si="108"/>
        <v>572</v>
      </c>
      <c r="AE262" s="738">
        <f t="shared" si="108"/>
        <v>579</v>
      </c>
      <c r="AF262" s="738">
        <f t="shared" si="108"/>
        <v>585</v>
      </c>
      <c r="AG262" s="738">
        <f t="shared" si="108"/>
        <v>611</v>
      </c>
      <c r="AH262" s="738">
        <f t="shared" si="108"/>
        <v>707</v>
      </c>
      <c r="AI262" s="738">
        <f t="shared" si="108"/>
        <v>702</v>
      </c>
      <c r="AJ262" s="738">
        <f t="shared" si="108"/>
        <v>611</v>
      </c>
      <c r="EI262" s="398"/>
      <c r="EJ262" s="515"/>
      <c r="EK262" s="771"/>
      <c r="EL262" s="515"/>
      <c r="EM262" s="515"/>
      <c r="EN262" s="515"/>
      <c r="EO262" s="515"/>
      <c r="GA262" s="737"/>
      <c r="GB262" s="737"/>
      <c r="GC262" s="737"/>
      <c r="GD262" s="737"/>
      <c r="GE262" s="737"/>
      <c r="GF262" s="737"/>
      <c r="GG262" s="737"/>
      <c r="GH262" s="737"/>
      <c r="GI262" s="737"/>
      <c r="GJ262" s="737"/>
      <c r="GS262" s="840"/>
      <c r="GT262" s="840"/>
      <c r="GU262" s="840"/>
      <c r="GV262" s="840"/>
      <c r="GW262" s="840"/>
      <c r="GX262" s="840"/>
      <c r="GY262" s="840"/>
      <c r="GZ262" s="840"/>
      <c r="HA262" s="843"/>
      <c r="HB262" s="840"/>
      <c r="HC262" s="840"/>
      <c r="HD262" s="840"/>
      <c r="HE262" s="840"/>
      <c r="HF262" s="840"/>
    </row>
    <row r="263" spans="19:214" ht="14.1" customHeight="1">
      <c r="S263" s="386" t="s">
        <v>3575</v>
      </c>
      <c r="T263" s="386" t="s">
        <v>2253</v>
      </c>
      <c r="U263" s="738">
        <f>SUM(V263:AC263)</f>
        <v>407</v>
      </c>
      <c r="V263" s="737">
        <v>35</v>
      </c>
      <c r="W263" s="776">
        <v>9</v>
      </c>
      <c r="X263" s="776">
        <v>46</v>
      </c>
      <c r="Y263" s="738">
        <v>56</v>
      </c>
      <c r="Z263" s="738">
        <v>61</v>
      </c>
      <c r="AA263" s="738">
        <v>56</v>
      </c>
      <c r="AB263" s="738">
        <v>83</v>
      </c>
      <c r="AC263" s="738">
        <v>61</v>
      </c>
      <c r="AD263" s="754"/>
      <c r="AE263" s="754"/>
      <c r="AF263" s="754"/>
      <c r="AG263" s="754"/>
      <c r="AH263" s="754"/>
      <c r="AI263" s="754"/>
      <c r="AJ263" s="754"/>
      <c r="EI263" s="398"/>
      <c r="EJ263" s="515"/>
      <c r="EK263" s="771"/>
      <c r="EL263" s="515"/>
      <c r="EM263" s="515"/>
      <c r="EN263" s="515"/>
      <c r="EO263" s="515"/>
      <c r="GA263" s="737"/>
      <c r="GB263" s="737"/>
      <c r="GC263" s="737"/>
      <c r="GD263" s="737"/>
      <c r="GE263" s="737"/>
      <c r="GF263" s="737"/>
      <c r="GG263" s="737"/>
      <c r="GH263" s="737"/>
      <c r="GI263" s="737"/>
      <c r="GJ263" s="737"/>
      <c r="GS263" s="840"/>
      <c r="GT263" s="840"/>
      <c r="GU263" s="840"/>
      <c r="GV263" s="840"/>
      <c r="GW263" s="840"/>
      <c r="GX263" s="840"/>
      <c r="GY263" s="840"/>
      <c r="GZ263" s="840"/>
      <c r="HA263" s="843"/>
      <c r="HB263" s="840"/>
      <c r="HC263" s="840"/>
      <c r="HD263" s="840"/>
      <c r="HE263" s="840"/>
      <c r="HF263" s="840"/>
    </row>
    <row r="264" spans="19:214" ht="14.1" customHeight="1">
      <c r="S264" s="386" t="s">
        <v>3779</v>
      </c>
      <c r="T264" s="386" t="s">
        <v>2253</v>
      </c>
      <c r="U264" s="738">
        <f>SUM(AD264:AF264)</f>
        <v>988</v>
      </c>
      <c r="V264" s="754"/>
      <c r="W264" s="754"/>
      <c r="X264" s="754"/>
      <c r="Y264" s="754"/>
      <c r="Z264" s="754"/>
      <c r="AA264" s="754"/>
      <c r="AB264" s="754"/>
      <c r="AC264" s="754"/>
      <c r="AD264" s="754">
        <v>339</v>
      </c>
      <c r="AE264" s="738">
        <v>335</v>
      </c>
      <c r="AF264" s="738">
        <v>314</v>
      </c>
      <c r="AG264" s="754" t="s">
        <v>1627</v>
      </c>
      <c r="AH264" s="754" t="s">
        <v>1627</v>
      </c>
      <c r="AI264" s="754" t="s">
        <v>1627</v>
      </c>
      <c r="AJ264" s="754" t="s">
        <v>1627</v>
      </c>
      <c r="EI264" s="398"/>
      <c r="EJ264" s="515"/>
      <c r="EK264" s="771"/>
      <c r="EL264" s="515"/>
      <c r="EM264" s="515"/>
      <c r="EN264" s="515"/>
      <c r="EO264" s="515"/>
      <c r="GA264" s="737"/>
      <c r="GB264" s="737"/>
      <c r="GC264" s="737"/>
      <c r="GD264" s="737"/>
      <c r="GE264" s="737"/>
      <c r="GF264" s="737"/>
      <c r="GG264" s="737"/>
      <c r="GH264" s="737"/>
      <c r="GI264" s="737"/>
      <c r="GJ264" s="737"/>
      <c r="GS264" s="840"/>
      <c r="GT264" s="840"/>
      <c r="GU264" s="840"/>
      <c r="GV264" s="840"/>
      <c r="GW264" s="840"/>
      <c r="GX264" s="840"/>
      <c r="GY264" s="840"/>
      <c r="GZ264" s="840"/>
      <c r="HA264" s="843"/>
      <c r="HB264" s="840"/>
      <c r="HC264" s="840"/>
      <c r="HD264" s="840"/>
      <c r="HE264" s="840"/>
      <c r="HF264" s="840"/>
    </row>
    <row r="265" spans="19:214" ht="14.1" customHeight="1">
      <c r="S265" s="386" t="s">
        <v>3744</v>
      </c>
      <c r="T265" s="386" t="s">
        <v>2253</v>
      </c>
      <c r="U265" s="738">
        <f>SUM(V265:AC265)</f>
        <v>341</v>
      </c>
      <c r="V265" s="737">
        <v>14</v>
      </c>
      <c r="W265" s="738">
        <v>0</v>
      </c>
      <c r="X265" s="738">
        <v>52</v>
      </c>
      <c r="Y265" s="738">
        <v>59</v>
      </c>
      <c r="Z265" s="738">
        <v>49</v>
      </c>
      <c r="AA265" s="738">
        <v>52</v>
      </c>
      <c r="AB265" s="738">
        <v>56</v>
      </c>
      <c r="AC265" s="738">
        <v>59</v>
      </c>
      <c r="AD265" s="754" t="s">
        <v>1627</v>
      </c>
      <c r="AE265" s="754" t="s">
        <v>1627</v>
      </c>
      <c r="AF265" s="754" t="s">
        <v>1627</v>
      </c>
      <c r="AG265" s="754" t="s">
        <v>1627</v>
      </c>
      <c r="AH265" s="754" t="s">
        <v>1627</v>
      </c>
      <c r="AI265" s="754" t="s">
        <v>1627</v>
      </c>
      <c r="AJ265" s="754" t="s">
        <v>1627</v>
      </c>
      <c r="EI265" s="398"/>
      <c r="EJ265" s="515"/>
      <c r="EK265" s="771"/>
      <c r="EL265" s="515"/>
      <c r="EM265" s="515"/>
      <c r="EN265" s="515"/>
      <c r="EO265" s="515"/>
      <c r="GA265" s="737"/>
      <c r="GB265" s="737"/>
      <c r="GC265" s="737"/>
      <c r="GD265" s="737"/>
      <c r="GE265" s="737"/>
      <c r="GF265" s="737"/>
      <c r="GG265" s="737"/>
      <c r="GH265" s="737"/>
      <c r="GI265" s="737"/>
      <c r="GJ265" s="737"/>
      <c r="GL265" s="840"/>
      <c r="GM265" s="840"/>
      <c r="GN265" s="840"/>
      <c r="GO265" s="840"/>
      <c r="GP265" s="840"/>
      <c r="GQ265" s="840"/>
      <c r="GS265" s="840"/>
      <c r="GT265" s="840"/>
      <c r="GU265" s="840"/>
      <c r="GV265" s="840"/>
      <c r="GW265" s="840"/>
      <c r="GX265" s="840"/>
      <c r="GY265" s="840"/>
      <c r="GZ265" s="840"/>
      <c r="HA265" s="843"/>
      <c r="HB265" s="840"/>
      <c r="HC265" s="840"/>
      <c r="HD265" s="840"/>
      <c r="HE265" s="840"/>
      <c r="HF265" s="840"/>
    </row>
    <row r="266" spans="19:214" ht="14.1" customHeight="1">
      <c r="S266" s="386" t="s">
        <v>3791</v>
      </c>
      <c r="T266" s="386" t="s">
        <v>2253</v>
      </c>
      <c r="U266" s="738">
        <f>SUM(AG266:AJ266)</f>
        <v>1109</v>
      </c>
      <c r="V266" s="754" t="s">
        <v>1627</v>
      </c>
      <c r="W266" s="754" t="s">
        <v>1627</v>
      </c>
      <c r="X266" s="754" t="s">
        <v>1627</v>
      </c>
      <c r="Y266" s="754" t="s">
        <v>1627</v>
      </c>
      <c r="Z266" s="754" t="s">
        <v>1627</v>
      </c>
      <c r="AA266" s="754" t="s">
        <v>1627</v>
      </c>
      <c r="AB266" s="754" t="s">
        <v>1627</v>
      </c>
      <c r="AC266" s="754" t="s">
        <v>1627</v>
      </c>
      <c r="AD266" s="754" t="s">
        <v>1627</v>
      </c>
      <c r="AE266" s="754" t="s">
        <v>1627</v>
      </c>
      <c r="AF266" s="754" t="s">
        <v>1627</v>
      </c>
      <c r="AG266" s="757">
        <v>239</v>
      </c>
      <c r="AH266" s="757">
        <v>307</v>
      </c>
      <c r="AI266" s="757">
        <v>292</v>
      </c>
      <c r="AJ266" s="757">
        <v>271</v>
      </c>
      <c r="EI266" s="398"/>
      <c r="EJ266" s="515"/>
      <c r="EK266" s="771"/>
      <c r="EL266" s="515"/>
      <c r="EM266" s="515"/>
      <c r="EN266" s="515"/>
      <c r="EO266" s="515"/>
      <c r="GA266" s="737"/>
      <c r="GB266" s="737"/>
      <c r="GC266" s="737"/>
      <c r="GD266" s="737"/>
      <c r="GE266" s="737"/>
      <c r="GF266" s="737"/>
      <c r="GG266" s="737"/>
      <c r="GH266" s="737"/>
      <c r="GI266" s="737"/>
      <c r="GJ266" s="737"/>
      <c r="GL266" s="840"/>
      <c r="GM266" s="840"/>
      <c r="GN266" s="840"/>
      <c r="GO266" s="840"/>
      <c r="GP266" s="840"/>
      <c r="GQ266" s="840"/>
      <c r="GS266" s="840"/>
      <c r="GT266" s="840"/>
      <c r="GU266" s="840"/>
      <c r="GV266" s="840"/>
      <c r="GW266" s="840"/>
      <c r="GX266" s="840"/>
      <c r="GY266" s="840"/>
      <c r="GZ266" s="840"/>
      <c r="HA266" s="843"/>
      <c r="HB266" s="840"/>
      <c r="HC266" s="840"/>
      <c r="HD266" s="840"/>
      <c r="HE266" s="840"/>
      <c r="HF266" s="840"/>
    </row>
    <row r="267" spans="19:214" ht="14.1" customHeight="1">
      <c r="S267" s="386" t="s">
        <v>3537</v>
      </c>
      <c r="T267" s="386" t="s">
        <v>2185</v>
      </c>
      <c r="U267" s="738">
        <f>SUM(V267:AC267)</f>
        <v>509</v>
      </c>
      <c r="V267" s="737">
        <v>19</v>
      </c>
      <c r="W267" s="738">
        <v>0</v>
      </c>
      <c r="X267" s="738">
        <v>53</v>
      </c>
      <c r="Y267" s="738">
        <v>90</v>
      </c>
      <c r="Z267" s="738">
        <v>83</v>
      </c>
      <c r="AA267" s="738">
        <v>90</v>
      </c>
      <c r="AB267" s="738">
        <v>87</v>
      </c>
      <c r="AC267" s="738">
        <v>87</v>
      </c>
      <c r="AD267" s="754" t="s">
        <v>1627</v>
      </c>
      <c r="AE267" s="754" t="s">
        <v>1627</v>
      </c>
      <c r="AF267" s="754" t="s">
        <v>1627</v>
      </c>
      <c r="AG267" s="754" t="s">
        <v>1627</v>
      </c>
      <c r="AH267" s="754" t="s">
        <v>1627</v>
      </c>
      <c r="AI267" s="754" t="s">
        <v>1627</v>
      </c>
      <c r="AJ267" s="754" t="s">
        <v>1627</v>
      </c>
      <c r="EI267" s="781"/>
      <c r="EJ267" s="398"/>
      <c r="EK267" s="398"/>
      <c r="EL267" s="398"/>
      <c r="EM267" s="398"/>
      <c r="EN267" s="398"/>
      <c r="EO267" s="398"/>
      <c r="GA267" s="737"/>
      <c r="GB267" s="737"/>
      <c r="GC267" s="737"/>
      <c r="GD267" s="737"/>
      <c r="GE267" s="737"/>
      <c r="GF267" s="737"/>
      <c r="GG267" s="737"/>
      <c r="GH267" s="737"/>
      <c r="GI267" s="737"/>
      <c r="GJ267" s="737"/>
      <c r="GL267" s="840"/>
      <c r="GM267" s="840"/>
      <c r="GN267" s="840"/>
      <c r="GO267" s="840"/>
      <c r="GP267" s="840"/>
      <c r="GQ267" s="840"/>
      <c r="GS267" s="840"/>
      <c r="GT267" s="840"/>
      <c r="GU267" s="840"/>
      <c r="GV267" s="840"/>
      <c r="GW267" s="840"/>
      <c r="GX267" s="840"/>
      <c r="GY267" s="840"/>
      <c r="GZ267" s="840"/>
      <c r="HA267" s="843"/>
      <c r="HB267" s="840"/>
      <c r="HC267" s="840"/>
      <c r="HD267" s="840"/>
      <c r="HE267" s="840"/>
      <c r="HF267" s="840"/>
    </row>
    <row r="268" spans="19:214" ht="14.1" customHeight="1">
      <c r="S268" s="386" t="s">
        <v>3750</v>
      </c>
      <c r="T268" s="386" t="s">
        <v>2185</v>
      </c>
      <c r="U268" s="738">
        <f>SUM(V268:AC268)</f>
        <v>685</v>
      </c>
      <c r="V268" s="737">
        <v>30</v>
      </c>
      <c r="W268" s="738">
        <v>29</v>
      </c>
      <c r="X268" s="738">
        <v>63</v>
      </c>
      <c r="Y268" s="738">
        <v>107</v>
      </c>
      <c r="Z268" s="738">
        <v>110</v>
      </c>
      <c r="AA268" s="738">
        <v>107</v>
      </c>
      <c r="AB268" s="738">
        <v>108</v>
      </c>
      <c r="AC268" s="738">
        <v>131</v>
      </c>
      <c r="AD268" s="754" t="s">
        <v>1627</v>
      </c>
      <c r="AE268" s="754" t="s">
        <v>1627</v>
      </c>
      <c r="AF268" s="754" t="s">
        <v>1627</v>
      </c>
      <c r="AG268" s="754" t="s">
        <v>1627</v>
      </c>
      <c r="AH268" s="754" t="s">
        <v>1627</v>
      </c>
      <c r="AI268" s="754" t="s">
        <v>1627</v>
      </c>
      <c r="AJ268" s="754" t="s">
        <v>1627</v>
      </c>
      <c r="GC268" s="737"/>
      <c r="GD268" s="737"/>
      <c r="GE268" s="737"/>
      <c r="GF268" s="737"/>
      <c r="GG268" s="737"/>
      <c r="GH268" s="737"/>
      <c r="GI268" s="737"/>
      <c r="GL268" s="840"/>
      <c r="GM268" s="840"/>
      <c r="GN268" s="840"/>
      <c r="GO268" s="840"/>
      <c r="GP268" s="840"/>
      <c r="GQ268" s="840"/>
      <c r="GS268" s="840"/>
      <c r="GT268" s="840"/>
      <c r="GU268" s="840"/>
      <c r="GV268" s="840"/>
      <c r="GW268" s="840"/>
      <c r="GX268" s="840"/>
      <c r="GY268" s="840"/>
      <c r="GZ268" s="840"/>
      <c r="HA268" s="843"/>
      <c r="HB268" s="840"/>
      <c r="HC268" s="840"/>
      <c r="HD268" s="840"/>
      <c r="HE268" s="840"/>
      <c r="HF268" s="840"/>
    </row>
    <row r="269" spans="19:214" ht="14.1" customHeight="1">
      <c r="S269" s="386" t="s">
        <v>3805</v>
      </c>
      <c r="T269" s="386" t="s">
        <v>2185</v>
      </c>
      <c r="U269" s="738">
        <f>SUM(AG269:AJ269)</f>
        <v>1522</v>
      </c>
      <c r="V269" s="754" t="s">
        <v>1627</v>
      </c>
      <c r="W269" s="754" t="s">
        <v>1627</v>
      </c>
      <c r="X269" s="754" t="s">
        <v>1627</v>
      </c>
      <c r="Y269" s="754" t="s">
        <v>1627</v>
      </c>
      <c r="Z269" s="754" t="s">
        <v>1627</v>
      </c>
      <c r="AA269" s="754" t="s">
        <v>1627</v>
      </c>
      <c r="AB269" s="754" t="s">
        <v>1627</v>
      </c>
      <c r="AC269" s="754" t="s">
        <v>1627</v>
      </c>
      <c r="AD269" s="754" t="s">
        <v>1627</v>
      </c>
      <c r="AE269" s="754" t="s">
        <v>1627</v>
      </c>
      <c r="AF269" s="754" t="s">
        <v>1627</v>
      </c>
      <c r="AG269" s="738">
        <v>372</v>
      </c>
      <c r="AH269" s="738">
        <v>400</v>
      </c>
      <c r="AI269" s="738">
        <v>410</v>
      </c>
      <c r="AJ269" s="738">
        <v>340</v>
      </c>
      <c r="GL269" s="840"/>
      <c r="GM269" s="840"/>
      <c r="GN269" s="840"/>
      <c r="GO269" s="840"/>
      <c r="GP269" s="840"/>
      <c r="GQ269" s="840"/>
      <c r="GR269" s="840"/>
      <c r="GS269" s="840"/>
      <c r="GT269" s="840"/>
      <c r="GU269" s="840"/>
      <c r="GV269" s="840"/>
      <c r="GW269" s="840"/>
      <c r="GX269" s="840"/>
      <c r="GY269" s="840"/>
      <c r="GZ269" s="840"/>
      <c r="HA269" s="843"/>
      <c r="HB269" s="840"/>
      <c r="HC269" s="840"/>
      <c r="HD269" s="840"/>
      <c r="HE269" s="840"/>
      <c r="HF269" s="840"/>
    </row>
    <row r="270" spans="19:214" ht="14.1" customHeight="1">
      <c r="S270" s="386" t="s">
        <v>3810</v>
      </c>
      <c r="T270" s="398" t="s">
        <v>3811</v>
      </c>
      <c r="U270" s="738">
        <f>SUM(AD270:AF270)</f>
        <v>748</v>
      </c>
      <c r="V270" s="754" t="s">
        <v>1627</v>
      </c>
      <c r="W270" s="754" t="s">
        <v>1627</v>
      </c>
      <c r="X270" s="754" t="s">
        <v>1627</v>
      </c>
      <c r="Y270" s="754" t="s">
        <v>1627</v>
      </c>
      <c r="Z270" s="754" t="s">
        <v>1627</v>
      </c>
      <c r="AA270" s="754" t="s">
        <v>1627</v>
      </c>
      <c r="AB270" s="754" t="s">
        <v>1627</v>
      </c>
      <c r="AC270" s="754" t="s">
        <v>1627</v>
      </c>
      <c r="AD270" s="754">
        <v>233</v>
      </c>
      <c r="AE270" s="738">
        <v>244</v>
      </c>
      <c r="AF270" s="738">
        <v>271</v>
      </c>
      <c r="AG270" s="754" t="s">
        <v>1627</v>
      </c>
      <c r="AH270" s="754" t="s">
        <v>1627</v>
      </c>
      <c r="AI270" s="754" t="s">
        <v>1627</v>
      </c>
      <c r="AJ270" s="754" t="s">
        <v>1627</v>
      </c>
      <c r="GL270" s="840"/>
      <c r="GM270" s="840"/>
      <c r="GN270" s="840"/>
      <c r="GO270" s="840"/>
      <c r="GP270" s="840"/>
      <c r="GQ270" s="840"/>
      <c r="GR270" s="840"/>
      <c r="GS270" s="841"/>
      <c r="GT270" s="841"/>
      <c r="GU270" s="840"/>
      <c r="GV270" s="840"/>
      <c r="GW270" s="840"/>
      <c r="GX270" s="840"/>
      <c r="GY270" s="840"/>
      <c r="GZ270" s="840"/>
      <c r="HA270" s="843"/>
      <c r="HB270" s="840"/>
      <c r="HC270" s="840"/>
      <c r="HD270" s="841"/>
      <c r="HE270" s="841"/>
      <c r="HF270" s="840"/>
    </row>
    <row r="271" spans="19:214" ht="14.1" customHeight="1">
      <c r="S271" s="386" t="s">
        <v>3815</v>
      </c>
      <c r="T271" s="386" t="s">
        <v>3811</v>
      </c>
      <c r="U271" s="738">
        <f>SUM(V271:AC271)</f>
        <v>432</v>
      </c>
      <c r="V271" s="776">
        <v>0</v>
      </c>
      <c r="W271" s="776">
        <v>0</v>
      </c>
      <c r="X271" s="776">
        <v>46</v>
      </c>
      <c r="Y271" s="738">
        <v>70</v>
      </c>
      <c r="Z271" s="738">
        <v>77</v>
      </c>
      <c r="AA271" s="738">
        <v>82</v>
      </c>
      <c r="AB271" s="738">
        <v>76</v>
      </c>
      <c r="AC271" s="738">
        <v>81</v>
      </c>
      <c r="AD271" s="754" t="s">
        <v>1627</v>
      </c>
      <c r="AE271" s="754" t="s">
        <v>1627</v>
      </c>
      <c r="AF271" s="754" t="s">
        <v>1627</v>
      </c>
      <c r="AG271" s="754" t="s">
        <v>1627</v>
      </c>
      <c r="AH271" s="754" t="s">
        <v>1627</v>
      </c>
      <c r="AI271" s="754" t="s">
        <v>1627</v>
      </c>
      <c r="AJ271" s="754" t="s">
        <v>1627</v>
      </c>
      <c r="GL271" s="840"/>
      <c r="GM271" s="840"/>
      <c r="GN271" s="840"/>
      <c r="GO271" s="840"/>
      <c r="GP271" s="840"/>
      <c r="GQ271" s="840"/>
      <c r="GR271" s="840"/>
      <c r="GS271" s="842"/>
      <c r="GT271" s="842"/>
      <c r="GU271" s="840"/>
      <c r="GV271" s="840"/>
      <c r="GW271" s="840"/>
      <c r="GX271" s="840"/>
      <c r="GY271" s="840"/>
      <c r="GZ271" s="840"/>
      <c r="HA271" s="843"/>
      <c r="HB271" s="840"/>
      <c r="HC271" s="840"/>
      <c r="HD271" s="842"/>
      <c r="HE271" s="842"/>
      <c r="HF271" s="840"/>
    </row>
    <row r="272" spans="19:214" ht="14.1" customHeight="1">
      <c r="S272" s="386" t="s">
        <v>3664</v>
      </c>
      <c r="T272" s="386" t="s">
        <v>3819</v>
      </c>
      <c r="U272" s="738">
        <f>SUM(V272:AC272)</f>
        <v>498</v>
      </c>
      <c r="V272" s="776">
        <v>0</v>
      </c>
      <c r="W272" s="776">
        <v>13</v>
      </c>
      <c r="X272" s="776">
        <v>56</v>
      </c>
      <c r="Y272" s="738">
        <v>81</v>
      </c>
      <c r="Z272" s="738">
        <v>92</v>
      </c>
      <c r="AA272" s="738">
        <v>96</v>
      </c>
      <c r="AB272" s="738">
        <v>75</v>
      </c>
      <c r="AC272" s="738">
        <v>85</v>
      </c>
      <c r="AD272" s="754" t="s">
        <v>1627</v>
      </c>
      <c r="AE272" s="754" t="s">
        <v>1627</v>
      </c>
      <c r="AF272" s="754" t="s">
        <v>1627</v>
      </c>
      <c r="AG272" s="754" t="s">
        <v>1627</v>
      </c>
      <c r="AH272" s="754" t="s">
        <v>1627</v>
      </c>
      <c r="AI272" s="754" t="s">
        <v>1627</v>
      </c>
      <c r="AJ272" s="754" t="s">
        <v>1627</v>
      </c>
      <c r="GL272" s="840"/>
      <c r="GM272" s="840"/>
      <c r="GN272" s="840"/>
      <c r="GO272" s="840"/>
      <c r="GP272" s="840"/>
      <c r="GQ272" s="840"/>
      <c r="GR272" s="840"/>
      <c r="GS272" s="843"/>
      <c r="GT272" s="843"/>
      <c r="GU272" s="840"/>
      <c r="GV272" s="840"/>
      <c r="GW272" s="840"/>
      <c r="GX272" s="840"/>
      <c r="GY272" s="840"/>
      <c r="GZ272" s="840"/>
      <c r="HA272" s="843"/>
      <c r="HB272" s="841"/>
      <c r="HC272" s="841"/>
      <c r="HD272" s="843"/>
      <c r="HE272" s="843"/>
      <c r="HF272" s="840"/>
    </row>
    <row r="273" spans="19:214" ht="14.1" customHeight="1">
      <c r="S273" s="398"/>
      <c r="T273" s="740"/>
      <c r="U273" s="738"/>
      <c r="V273" s="737"/>
      <c r="W273" s="738"/>
      <c r="X273" s="738"/>
      <c r="Y273" s="738"/>
      <c r="Z273" s="738"/>
      <c r="AA273" s="738"/>
      <c r="AB273" s="738"/>
      <c r="AC273" s="738"/>
      <c r="AD273" s="754"/>
      <c r="AE273" s="738"/>
      <c r="AF273" s="738"/>
      <c r="AG273" s="738"/>
      <c r="AH273" s="738"/>
      <c r="AI273" s="738"/>
      <c r="AJ273" s="738"/>
      <c r="GL273" s="840"/>
      <c r="GM273" s="840"/>
      <c r="GN273" s="840"/>
      <c r="GO273" s="840"/>
      <c r="GP273" s="840"/>
      <c r="GQ273" s="840"/>
      <c r="GR273" s="840"/>
      <c r="GS273" s="843"/>
      <c r="GT273" s="843"/>
      <c r="GU273" s="840"/>
      <c r="GV273" s="840"/>
      <c r="GW273" s="840"/>
      <c r="GX273" s="840"/>
      <c r="GY273" s="840"/>
      <c r="GZ273" s="840"/>
      <c r="HA273" s="843"/>
      <c r="HB273" s="842"/>
      <c r="HC273" s="842"/>
      <c r="HD273" s="843"/>
      <c r="HE273" s="843"/>
      <c r="HF273" s="840"/>
    </row>
    <row r="274" spans="19:214" ht="14.1" customHeight="1">
      <c r="S274" s="398" t="s">
        <v>3827</v>
      </c>
      <c r="T274" s="740"/>
      <c r="U274" s="754">
        <f>SUM(U275:U284)</f>
        <v>4404</v>
      </c>
      <c r="V274" s="754">
        <f t="shared" ref="V274:AJ274" si="109">SUM(V275:V284)</f>
        <v>100</v>
      </c>
      <c r="W274" s="754">
        <f t="shared" si="109"/>
        <v>36</v>
      </c>
      <c r="X274" s="754">
        <f t="shared" si="109"/>
        <v>222</v>
      </c>
      <c r="Y274" s="754">
        <f t="shared" si="109"/>
        <v>356</v>
      </c>
      <c r="Z274" s="754">
        <f t="shared" si="109"/>
        <v>348</v>
      </c>
      <c r="AA274" s="754">
        <f t="shared" si="109"/>
        <v>339</v>
      </c>
      <c r="AB274" s="754">
        <f t="shared" si="109"/>
        <v>366</v>
      </c>
      <c r="AC274" s="754">
        <f t="shared" si="109"/>
        <v>335</v>
      </c>
      <c r="AD274" s="754">
        <f t="shared" si="109"/>
        <v>304</v>
      </c>
      <c r="AE274" s="754">
        <f t="shared" si="109"/>
        <v>329</v>
      </c>
      <c r="AF274" s="754">
        <f t="shared" si="109"/>
        <v>321</v>
      </c>
      <c r="AG274" s="754">
        <f t="shared" si="109"/>
        <v>301</v>
      </c>
      <c r="AH274" s="754">
        <f t="shared" si="109"/>
        <v>354</v>
      </c>
      <c r="AI274" s="754">
        <f t="shared" si="109"/>
        <v>390</v>
      </c>
      <c r="AJ274" s="754">
        <f t="shared" si="109"/>
        <v>303</v>
      </c>
      <c r="GL274" s="840"/>
      <c r="GM274" s="840"/>
      <c r="GN274" s="840"/>
      <c r="GO274" s="840"/>
      <c r="GP274" s="840"/>
      <c r="GQ274" s="840"/>
      <c r="GR274" s="840"/>
      <c r="GS274" s="843"/>
      <c r="GT274" s="843"/>
      <c r="GU274" s="840"/>
      <c r="GV274" s="840"/>
      <c r="GW274" s="840"/>
      <c r="GX274" s="840"/>
      <c r="GY274" s="840"/>
      <c r="GZ274" s="840"/>
      <c r="HA274" s="843"/>
      <c r="HB274" s="843"/>
      <c r="HC274" s="843"/>
      <c r="HD274" s="843"/>
      <c r="HE274" s="843"/>
      <c r="HF274" s="840"/>
    </row>
    <row r="275" spans="19:214" ht="14.1" customHeight="1">
      <c r="S275" s="386" t="s">
        <v>3719</v>
      </c>
      <c r="T275" s="386" t="s">
        <v>3831</v>
      </c>
      <c r="U275" s="738">
        <f>SUM(V275:AC275)</f>
        <v>393</v>
      </c>
      <c r="V275" s="737">
        <v>16</v>
      </c>
      <c r="W275" s="738">
        <v>8</v>
      </c>
      <c r="X275" s="738">
        <v>43</v>
      </c>
      <c r="Y275" s="738">
        <v>66</v>
      </c>
      <c r="Z275" s="738">
        <v>61</v>
      </c>
      <c r="AA275" s="738">
        <v>56</v>
      </c>
      <c r="AB275" s="738">
        <v>77</v>
      </c>
      <c r="AC275" s="738">
        <v>66</v>
      </c>
      <c r="AD275" s="754" t="s">
        <v>1627</v>
      </c>
      <c r="AE275" s="754" t="s">
        <v>1627</v>
      </c>
      <c r="AF275" s="754" t="s">
        <v>1627</v>
      </c>
      <c r="AG275" s="754" t="s">
        <v>1627</v>
      </c>
      <c r="AH275" s="754" t="s">
        <v>1627</v>
      </c>
      <c r="AI275" s="754" t="s">
        <v>1627</v>
      </c>
      <c r="AJ275" s="754" t="s">
        <v>1627</v>
      </c>
      <c r="GL275" s="840"/>
      <c r="GM275" s="840"/>
      <c r="GN275" s="840"/>
      <c r="GO275" s="840"/>
      <c r="GP275" s="840"/>
      <c r="GQ275" s="840"/>
      <c r="GR275" s="840"/>
      <c r="GS275" s="843"/>
      <c r="GT275" s="843"/>
      <c r="GU275" s="840"/>
      <c r="GV275" s="840"/>
      <c r="GW275" s="840"/>
      <c r="GX275" s="840"/>
      <c r="GY275" s="840"/>
      <c r="GZ275" s="840"/>
      <c r="HA275" s="843"/>
      <c r="HB275" s="843"/>
      <c r="HC275" s="843"/>
      <c r="HD275" s="843"/>
      <c r="HE275" s="843"/>
      <c r="HF275" s="840"/>
    </row>
    <row r="276" spans="19:214" ht="14.1" customHeight="1">
      <c r="S276" s="386" t="s">
        <v>3818</v>
      </c>
      <c r="T276" s="386" t="s">
        <v>3831</v>
      </c>
      <c r="U276" s="738">
        <f>SUM(AD276:AF276)</f>
        <v>430</v>
      </c>
      <c r="V276" s="754" t="s">
        <v>1627</v>
      </c>
      <c r="W276" s="754" t="s">
        <v>1627</v>
      </c>
      <c r="X276" s="754" t="s">
        <v>1627</v>
      </c>
      <c r="Y276" s="754" t="s">
        <v>1627</v>
      </c>
      <c r="Z276" s="754" t="s">
        <v>1627</v>
      </c>
      <c r="AA276" s="754" t="s">
        <v>1627</v>
      </c>
      <c r="AB276" s="754" t="s">
        <v>1627</v>
      </c>
      <c r="AC276" s="754" t="s">
        <v>1627</v>
      </c>
      <c r="AD276" s="754">
        <v>132</v>
      </c>
      <c r="AE276" s="738">
        <v>153</v>
      </c>
      <c r="AF276" s="738">
        <v>145</v>
      </c>
      <c r="AG276" s="754" t="s">
        <v>1627</v>
      </c>
      <c r="AH276" s="754" t="s">
        <v>1627</v>
      </c>
      <c r="AI276" s="754" t="s">
        <v>1627</v>
      </c>
      <c r="AJ276" s="754" t="s">
        <v>1627</v>
      </c>
      <c r="GL276" s="840"/>
      <c r="GM276" s="840"/>
      <c r="GN276" s="840"/>
      <c r="GO276" s="840"/>
      <c r="GP276" s="840"/>
      <c r="GQ276" s="840"/>
      <c r="GR276" s="840"/>
      <c r="GS276" s="843"/>
      <c r="GT276" s="843"/>
      <c r="GU276" s="840"/>
      <c r="GV276" s="840"/>
      <c r="GW276" s="840"/>
      <c r="GX276" s="840"/>
      <c r="GY276" s="840"/>
      <c r="GZ276" s="840"/>
      <c r="HA276" s="843"/>
      <c r="HB276" s="843"/>
      <c r="HC276" s="843"/>
      <c r="HD276" s="843"/>
      <c r="HE276" s="843"/>
      <c r="HF276" s="840"/>
    </row>
    <row r="277" spans="19:214" ht="14.1" customHeight="1">
      <c r="S277" s="386" t="s">
        <v>3839</v>
      </c>
      <c r="T277" s="386" t="s">
        <v>3840</v>
      </c>
      <c r="U277" s="738">
        <f>SUM(V277:AC277)</f>
        <v>248</v>
      </c>
      <c r="V277" s="737">
        <v>20</v>
      </c>
      <c r="W277" s="738">
        <v>0</v>
      </c>
      <c r="X277" s="738">
        <v>35</v>
      </c>
      <c r="Y277" s="738">
        <v>48</v>
      </c>
      <c r="Z277" s="738">
        <v>38</v>
      </c>
      <c r="AA277" s="738">
        <v>29</v>
      </c>
      <c r="AB277" s="738">
        <v>31</v>
      </c>
      <c r="AC277" s="738">
        <v>47</v>
      </c>
      <c r="AD277" s="754" t="s">
        <v>1627</v>
      </c>
      <c r="AE277" s="754" t="s">
        <v>1627</v>
      </c>
      <c r="AF277" s="754" t="s">
        <v>1627</v>
      </c>
      <c r="AG277" s="754" t="s">
        <v>1627</v>
      </c>
      <c r="AH277" s="754" t="s">
        <v>1627</v>
      </c>
      <c r="AI277" s="754" t="s">
        <v>1627</v>
      </c>
      <c r="AJ277" s="754" t="s">
        <v>1627</v>
      </c>
      <c r="FB277" s="690"/>
      <c r="FP277" s="690"/>
      <c r="FQ277" s="690"/>
      <c r="GA277" s="690"/>
      <c r="GB277" s="690"/>
      <c r="GJ277" s="690"/>
      <c r="GL277" s="840"/>
      <c r="GM277" s="840"/>
      <c r="GN277" s="840"/>
      <c r="GO277" s="840"/>
      <c r="GP277" s="840"/>
      <c r="GQ277" s="840"/>
      <c r="GR277" s="840"/>
      <c r="GS277" s="843"/>
      <c r="GT277" s="843"/>
      <c r="GU277" s="840"/>
      <c r="GV277" s="840"/>
      <c r="GW277" s="840"/>
      <c r="GX277" s="840"/>
      <c r="GY277" s="840"/>
      <c r="GZ277" s="840"/>
      <c r="HA277" s="840"/>
      <c r="HB277" s="843"/>
      <c r="HC277" s="843"/>
      <c r="HD277" s="843"/>
      <c r="HE277" s="843"/>
      <c r="HF277" s="840"/>
    </row>
    <row r="278" spans="19:214" ht="14.1" customHeight="1">
      <c r="S278" s="386" t="s">
        <v>3844</v>
      </c>
      <c r="T278" s="386" t="s">
        <v>3840</v>
      </c>
      <c r="U278" s="738">
        <f>SUM(AD278:AF278)</f>
        <v>524</v>
      </c>
      <c r="V278" s="754" t="s">
        <v>1627</v>
      </c>
      <c r="W278" s="754" t="s">
        <v>1627</v>
      </c>
      <c r="X278" s="754" t="s">
        <v>1627</v>
      </c>
      <c r="Y278" s="754" t="s">
        <v>1627</v>
      </c>
      <c r="Z278" s="754" t="s">
        <v>1627</v>
      </c>
      <c r="AA278" s="754" t="s">
        <v>1627</v>
      </c>
      <c r="AB278" s="754" t="s">
        <v>1627</v>
      </c>
      <c r="AC278" s="754" t="s">
        <v>1627</v>
      </c>
      <c r="AD278" s="754">
        <v>172</v>
      </c>
      <c r="AE278" s="738">
        <v>176</v>
      </c>
      <c r="AF278" s="738">
        <v>176</v>
      </c>
      <c r="AG278" s="754" t="s">
        <v>1627</v>
      </c>
      <c r="AH278" s="754" t="s">
        <v>1627</v>
      </c>
      <c r="AI278" s="754" t="s">
        <v>1627</v>
      </c>
      <c r="AJ278" s="754" t="s">
        <v>1627</v>
      </c>
      <c r="FB278" s="690"/>
      <c r="FP278" s="690"/>
      <c r="FQ278" s="690"/>
      <c r="GA278" s="690"/>
      <c r="GB278" s="690"/>
      <c r="GC278" s="690"/>
      <c r="GD278" s="690"/>
      <c r="GE278" s="690"/>
      <c r="GF278" s="690"/>
      <c r="GG278" s="690"/>
      <c r="GH278" s="690"/>
      <c r="GI278" s="690"/>
      <c r="GJ278" s="690"/>
      <c r="GL278" s="840"/>
      <c r="GM278" s="840"/>
      <c r="GN278" s="840"/>
      <c r="GO278" s="840"/>
      <c r="GP278" s="840"/>
      <c r="GQ278" s="840"/>
      <c r="GR278" s="840"/>
      <c r="GS278" s="843"/>
      <c r="GT278" s="843"/>
      <c r="GU278" s="841"/>
      <c r="GV278" s="841"/>
      <c r="GW278" s="841"/>
      <c r="GX278" s="841"/>
      <c r="GY278" s="841"/>
      <c r="GZ278" s="841"/>
      <c r="HA278" s="840"/>
      <c r="HB278" s="843"/>
      <c r="HC278" s="843"/>
      <c r="HD278" s="843"/>
      <c r="HE278" s="843"/>
      <c r="HF278" s="840"/>
    </row>
    <row r="279" spans="19:214" ht="14.1" customHeight="1">
      <c r="S279" s="386" t="s">
        <v>3848</v>
      </c>
      <c r="T279" s="386" t="s">
        <v>3849</v>
      </c>
      <c r="U279" s="738">
        <f>SUM(V279:AC279)</f>
        <v>260</v>
      </c>
      <c r="V279" s="737">
        <v>20</v>
      </c>
      <c r="W279" s="776">
        <v>0</v>
      </c>
      <c r="X279" s="776">
        <v>25</v>
      </c>
      <c r="Y279" s="738">
        <v>39</v>
      </c>
      <c r="Z279" s="738">
        <v>46</v>
      </c>
      <c r="AA279" s="738">
        <v>43</v>
      </c>
      <c r="AB279" s="738">
        <v>44</v>
      </c>
      <c r="AC279" s="738">
        <v>43</v>
      </c>
      <c r="AD279" s="754" t="s">
        <v>1627</v>
      </c>
      <c r="AE279" s="754" t="s">
        <v>1627</v>
      </c>
      <c r="AF279" s="754" t="s">
        <v>1627</v>
      </c>
      <c r="AG279" s="754" t="s">
        <v>1627</v>
      </c>
      <c r="AH279" s="754" t="s">
        <v>1627</v>
      </c>
      <c r="AI279" s="754" t="s">
        <v>1627</v>
      </c>
      <c r="AJ279" s="754" t="s">
        <v>1627</v>
      </c>
      <c r="GC279" s="690"/>
      <c r="GD279" s="690"/>
      <c r="GE279" s="690"/>
      <c r="GF279" s="690"/>
      <c r="GG279" s="690"/>
      <c r="GH279" s="690"/>
      <c r="GI279" s="690"/>
      <c r="GL279" s="840"/>
      <c r="GM279" s="840"/>
      <c r="GN279" s="840"/>
      <c r="GO279" s="840"/>
      <c r="GP279" s="840"/>
      <c r="GQ279" s="840"/>
      <c r="GR279" s="840"/>
      <c r="GS279" s="843"/>
      <c r="GT279" s="843"/>
      <c r="GU279" s="842"/>
      <c r="GV279" s="842"/>
      <c r="GW279" s="842"/>
      <c r="GX279" s="842"/>
      <c r="GY279" s="842"/>
      <c r="GZ279" s="842"/>
      <c r="HB279" s="843"/>
      <c r="HC279" s="843"/>
      <c r="HD279" s="843"/>
      <c r="HE279" s="843"/>
      <c r="HF279" s="840"/>
    </row>
    <row r="280" spans="19:214" ht="14.1" customHeight="1">
      <c r="S280" s="386" t="s">
        <v>3635</v>
      </c>
      <c r="T280" s="386" t="s">
        <v>3852</v>
      </c>
      <c r="U280" s="738">
        <f>SUM(V280:AC280)</f>
        <v>342</v>
      </c>
      <c r="V280" s="738">
        <v>9</v>
      </c>
      <c r="W280" s="738">
        <v>14</v>
      </c>
      <c r="X280" s="738">
        <v>33</v>
      </c>
      <c r="Y280" s="738">
        <v>50</v>
      </c>
      <c r="Z280" s="738">
        <v>59</v>
      </c>
      <c r="AA280" s="738">
        <v>63</v>
      </c>
      <c r="AB280" s="738">
        <v>59</v>
      </c>
      <c r="AC280" s="738">
        <v>55</v>
      </c>
      <c r="AD280" s="754" t="s">
        <v>1627</v>
      </c>
      <c r="AE280" s="754" t="s">
        <v>1627</v>
      </c>
      <c r="AF280" s="754" t="s">
        <v>1627</v>
      </c>
      <c r="AG280" s="754" t="s">
        <v>1627</v>
      </c>
      <c r="AH280" s="754" t="s">
        <v>1627</v>
      </c>
      <c r="AI280" s="754" t="s">
        <v>1627</v>
      </c>
      <c r="AJ280" s="754" t="s">
        <v>1627</v>
      </c>
      <c r="FZ280" s="690"/>
      <c r="GL280" s="840"/>
      <c r="GM280" s="840"/>
      <c r="GN280" s="840"/>
      <c r="GO280" s="840"/>
      <c r="GP280" s="840"/>
      <c r="GQ280" s="840"/>
      <c r="GR280" s="840"/>
      <c r="GS280" s="843"/>
      <c r="GT280" s="843"/>
      <c r="GU280" s="843"/>
      <c r="GV280" s="843"/>
      <c r="GW280" s="843"/>
      <c r="GX280" s="843"/>
      <c r="GY280" s="843"/>
      <c r="GZ280" s="843"/>
      <c r="HB280" s="843"/>
      <c r="HC280" s="843"/>
      <c r="HD280" s="843"/>
      <c r="HE280" s="843"/>
      <c r="HF280" s="840"/>
    </row>
    <row r="281" spans="19:214" ht="14.1" customHeight="1">
      <c r="S281" s="386" t="s">
        <v>3856</v>
      </c>
      <c r="T281" s="386" t="s">
        <v>3852</v>
      </c>
      <c r="U281" s="738">
        <f>SUM(AG281:AJ281)</f>
        <v>1213</v>
      </c>
      <c r="V281" s="754" t="s">
        <v>1627</v>
      </c>
      <c r="W281" s="754" t="s">
        <v>1627</v>
      </c>
      <c r="X281" s="754" t="s">
        <v>1627</v>
      </c>
      <c r="Y281" s="754" t="s">
        <v>1627</v>
      </c>
      <c r="Z281" s="754" t="s">
        <v>1627</v>
      </c>
      <c r="AA281" s="754" t="s">
        <v>1627</v>
      </c>
      <c r="AB281" s="754" t="s">
        <v>1627</v>
      </c>
      <c r="AC281" s="754" t="s">
        <v>1627</v>
      </c>
      <c r="AD281" s="754" t="s">
        <v>1627</v>
      </c>
      <c r="AE281" s="754" t="s">
        <v>1627</v>
      </c>
      <c r="AF281" s="754" t="s">
        <v>1627</v>
      </c>
      <c r="AG281" s="754">
        <v>295</v>
      </c>
      <c r="AH281" s="754">
        <v>320</v>
      </c>
      <c r="AI281" s="738">
        <v>328</v>
      </c>
      <c r="AJ281" s="738">
        <v>270</v>
      </c>
      <c r="FB281" s="808"/>
      <c r="FP281" s="808"/>
      <c r="FQ281" s="808"/>
      <c r="FR281" s="690"/>
      <c r="FZ281" s="690"/>
      <c r="GA281" s="808"/>
      <c r="GB281" s="808"/>
      <c r="GJ281" s="808"/>
      <c r="GL281" s="840"/>
      <c r="GM281" s="840"/>
      <c r="GN281" s="840"/>
      <c r="GO281" s="840"/>
      <c r="GP281" s="840"/>
      <c r="GQ281" s="840"/>
      <c r="GR281" s="840"/>
      <c r="GS281" s="843"/>
      <c r="GT281" s="843"/>
      <c r="GU281" s="843"/>
      <c r="GV281" s="843"/>
      <c r="GW281" s="843"/>
      <c r="GX281" s="843"/>
      <c r="GY281" s="843"/>
      <c r="GZ281" s="843"/>
      <c r="HB281" s="843"/>
      <c r="HC281" s="843"/>
      <c r="HD281" s="843"/>
      <c r="HE281" s="843"/>
      <c r="HF281" s="840"/>
    </row>
    <row r="282" spans="19:214" ht="14.1" customHeight="1">
      <c r="S282" s="386" t="s">
        <v>3698</v>
      </c>
      <c r="T282" s="386" t="s">
        <v>3862</v>
      </c>
      <c r="U282" s="738">
        <f>SUM(V282:AC282)</f>
        <v>579</v>
      </c>
      <c r="V282" s="737">
        <v>20</v>
      </c>
      <c r="W282" s="738">
        <v>14</v>
      </c>
      <c r="X282" s="738">
        <v>61</v>
      </c>
      <c r="Y282" s="738">
        <v>107</v>
      </c>
      <c r="Z282" s="738">
        <v>100</v>
      </c>
      <c r="AA282" s="738">
        <v>89</v>
      </c>
      <c r="AB282" s="738">
        <v>106</v>
      </c>
      <c r="AC282" s="738">
        <v>82</v>
      </c>
      <c r="AD282" s="754" t="s">
        <v>1627</v>
      </c>
      <c r="AE282" s="754" t="s">
        <v>1627</v>
      </c>
      <c r="AF282" s="754" t="s">
        <v>1627</v>
      </c>
      <c r="AG282" s="754" t="s">
        <v>1627</v>
      </c>
      <c r="AH282" s="754" t="s">
        <v>1627</v>
      </c>
      <c r="AI282" s="754" t="s">
        <v>1627</v>
      </c>
      <c r="AJ282" s="754" t="s">
        <v>1627</v>
      </c>
      <c r="FR282" s="690"/>
      <c r="GC282" s="808"/>
      <c r="GD282" s="808"/>
      <c r="GE282" s="808"/>
      <c r="GF282" s="808"/>
      <c r="GG282" s="808"/>
      <c r="GH282" s="808"/>
      <c r="GI282" s="808"/>
      <c r="GL282" s="840"/>
      <c r="GM282" s="840"/>
      <c r="GN282" s="840"/>
      <c r="GO282" s="840"/>
      <c r="GP282" s="840"/>
      <c r="GQ282" s="840"/>
      <c r="GR282" s="840"/>
      <c r="GS282" s="843"/>
      <c r="GT282" s="843"/>
      <c r="GU282" s="843"/>
      <c r="GV282" s="843"/>
      <c r="GW282" s="843"/>
      <c r="GX282" s="843"/>
      <c r="GY282" s="843"/>
      <c r="GZ282" s="843"/>
      <c r="HB282" s="843"/>
      <c r="HC282" s="843"/>
      <c r="HD282" s="843"/>
      <c r="HE282" s="843"/>
      <c r="HF282" s="840"/>
    </row>
    <row r="283" spans="19:214" ht="14.1" customHeight="1">
      <c r="S283" s="386" t="s">
        <v>2201</v>
      </c>
      <c r="T283" s="386" t="s">
        <v>2201</v>
      </c>
      <c r="U283" s="738">
        <f>SUM(V283:AC283)</f>
        <v>280</v>
      </c>
      <c r="V283" s="737">
        <v>15</v>
      </c>
      <c r="W283" s="738">
        <v>0</v>
      </c>
      <c r="X283" s="738">
        <v>25</v>
      </c>
      <c r="Y283" s="738">
        <v>46</v>
      </c>
      <c r="Z283" s="738">
        <v>44</v>
      </c>
      <c r="AA283" s="738">
        <v>59</v>
      </c>
      <c r="AB283" s="738">
        <v>49</v>
      </c>
      <c r="AC283" s="738">
        <v>42</v>
      </c>
      <c r="AD283" s="754" t="s">
        <v>1627</v>
      </c>
      <c r="AE283" s="754" t="s">
        <v>1627</v>
      </c>
      <c r="AF283" s="754" t="s">
        <v>1627</v>
      </c>
      <c r="AG283" s="754" t="s">
        <v>1627</v>
      </c>
      <c r="AH283" s="754" t="s">
        <v>1627</v>
      </c>
      <c r="AI283" s="754" t="s">
        <v>1627</v>
      </c>
      <c r="AJ283" s="754" t="s">
        <v>1627</v>
      </c>
      <c r="FS283" s="690"/>
      <c r="FT283" s="690"/>
      <c r="FU283" s="690"/>
      <c r="FV283" s="690"/>
      <c r="FW283" s="690"/>
      <c r="FX283" s="690"/>
      <c r="FY283" s="690"/>
      <c r="GL283" s="840"/>
      <c r="GM283" s="840"/>
      <c r="GN283" s="840"/>
      <c r="GO283" s="840"/>
      <c r="GP283" s="840"/>
      <c r="GQ283" s="840"/>
      <c r="GR283" s="840"/>
      <c r="GS283" s="843"/>
      <c r="GT283" s="843"/>
      <c r="GU283" s="843"/>
      <c r="GV283" s="843"/>
      <c r="GW283" s="843"/>
      <c r="GX283" s="843"/>
      <c r="GY283" s="843"/>
      <c r="GZ283" s="843"/>
      <c r="HB283" s="843"/>
      <c r="HC283" s="843"/>
      <c r="HD283" s="843"/>
      <c r="HE283" s="843"/>
      <c r="HF283" s="840"/>
    </row>
    <row r="284" spans="19:214" ht="14.1" customHeight="1">
      <c r="S284" s="384" t="s">
        <v>3874</v>
      </c>
      <c r="T284" s="384" t="s">
        <v>2198</v>
      </c>
      <c r="U284" s="820">
        <f>SUM(AG284:AJ284)</f>
        <v>135</v>
      </c>
      <c r="V284" s="792" t="s">
        <v>1627</v>
      </c>
      <c r="W284" s="792" t="s">
        <v>1627</v>
      </c>
      <c r="X284" s="792" t="s">
        <v>1627</v>
      </c>
      <c r="Y284" s="792" t="s">
        <v>1627</v>
      </c>
      <c r="Z284" s="792" t="s">
        <v>1627</v>
      </c>
      <c r="AA284" s="792" t="s">
        <v>1627</v>
      </c>
      <c r="AB284" s="792" t="s">
        <v>1627</v>
      </c>
      <c r="AC284" s="792" t="s">
        <v>1627</v>
      </c>
      <c r="AD284" s="792" t="s">
        <v>1627</v>
      </c>
      <c r="AE284" s="792" t="s">
        <v>1627</v>
      </c>
      <c r="AF284" s="792" t="s">
        <v>1627</v>
      </c>
      <c r="AG284" s="801">
        <v>6</v>
      </c>
      <c r="AH284" s="801">
        <v>34</v>
      </c>
      <c r="AI284" s="801">
        <v>62</v>
      </c>
      <c r="AJ284" s="820">
        <v>33</v>
      </c>
      <c r="FS284" s="690"/>
      <c r="FT284" s="690"/>
      <c r="FU284" s="690"/>
      <c r="FV284" s="690"/>
      <c r="FW284" s="690"/>
      <c r="FX284" s="690"/>
      <c r="FY284" s="690"/>
      <c r="FZ284" s="808"/>
      <c r="GL284" s="840"/>
      <c r="GM284" s="840"/>
      <c r="GN284" s="840"/>
      <c r="GO284" s="840"/>
      <c r="GP284" s="840"/>
      <c r="GQ284" s="840"/>
      <c r="GR284" s="840"/>
      <c r="GS284" s="843"/>
      <c r="GT284" s="843"/>
      <c r="GU284" s="843"/>
      <c r="GV284" s="843"/>
      <c r="GW284" s="843"/>
      <c r="GX284" s="843"/>
      <c r="GY284" s="843"/>
      <c r="GZ284" s="843"/>
      <c r="HB284" s="843"/>
      <c r="HC284" s="843"/>
      <c r="HD284" s="843"/>
      <c r="HE284" s="843"/>
      <c r="HF284" s="840"/>
    </row>
    <row r="285" spans="19:214" ht="14.1" customHeight="1">
      <c r="S285" s="676" t="s">
        <v>3867</v>
      </c>
      <c r="FC285" s="690"/>
      <c r="FD285" s="690"/>
      <c r="FE285" s="690"/>
      <c r="FF285" s="690"/>
      <c r="FG285" s="690"/>
      <c r="FH285" s="690"/>
      <c r="FI285" s="690"/>
      <c r="FJ285" s="690"/>
      <c r="FK285" s="690"/>
      <c r="FL285" s="690"/>
      <c r="FM285" s="690"/>
      <c r="FN285" s="690"/>
      <c r="FO285" s="690"/>
      <c r="FR285" s="808"/>
      <c r="GL285" s="840"/>
      <c r="GM285" s="840"/>
      <c r="GN285" s="840"/>
      <c r="GO285" s="840"/>
      <c r="GP285" s="840"/>
      <c r="GQ285" s="840"/>
      <c r="GR285" s="840"/>
      <c r="GS285" s="843"/>
      <c r="GT285" s="843"/>
      <c r="GU285" s="843"/>
      <c r="GV285" s="843"/>
      <c r="GW285" s="843"/>
      <c r="GX285" s="843"/>
      <c r="GY285" s="843"/>
      <c r="GZ285" s="843"/>
      <c r="HB285" s="843"/>
      <c r="HC285" s="843"/>
      <c r="HD285" s="843"/>
      <c r="HE285" s="843"/>
      <c r="HF285" s="840"/>
    </row>
    <row r="286" spans="19:214" ht="14.1" customHeight="1">
      <c r="S286" s="386" t="s">
        <v>3882</v>
      </c>
      <c r="FC286" s="690"/>
      <c r="FD286" s="690"/>
      <c r="FE286" s="690"/>
      <c r="FF286" s="690"/>
      <c r="FG286" s="690"/>
      <c r="FH286" s="690"/>
      <c r="FI286" s="690"/>
      <c r="FJ286" s="690"/>
      <c r="FK286" s="690"/>
      <c r="FL286" s="690"/>
      <c r="FM286" s="690"/>
      <c r="FN286" s="690"/>
      <c r="FO286" s="690"/>
      <c r="GL286" s="840"/>
      <c r="GM286" s="840"/>
      <c r="GN286" s="840"/>
      <c r="GO286" s="840"/>
      <c r="GP286" s="840"/>
      <c r="GQ286" s="840"/>
      <c r="GR286" s="840"/>
      <c r="GS286" s="843"/>
      <c r="GT286" s="843"/>
      <c r="GU286" s="843"/>
      <c r="GV286" s="843"/>
      <c r="GW286" s="843"/>
      <c r="GX286" s="843"/>
      <c r="GY286" s="843"/>
      <c r="GZ286" s="843"/>
      <c r="HB286" s="843"/>
      <c r="HC286" s="843"/>
      <c r="HD286" s="843"/>
      <c r="HE286" s="843"/>
      <c r="HF286" s="840"/>
    </row>
    <row r="287" spans="19:214" ht="14.1" customHeight="1">
      <c r="S287" s="674" t="s">
        <v>3873</v>
      </c>
      <c r="EP287" s="813"/>
      <c r="EQ287" s="813"/>
      <c r="FS287" s="808"/>
      <c r="FT287" s="808"/>
      <c r="FU287" s="808"/>
      <c r="FV287" s="808"/>
      <c r="FW287" s="808"/>
      <c r="FX287" s="808"/>
      <c r="FY287" s="808"/>
      <c r="GL287" s="840"/>
      <c r="GM287" s="840"/>
      <c r="GN287" s="840"/>
      <c r="GO287" s="840"/>
      <c r="GP287" s="840"/>
      <c r="GQ287" s="840"/>
      <c r="GR287" s="840"/>
      <c r="GS287" s="843"/>
      <c r="GT287" s="843"/>
      <c r="GU287" s="843"/>
      <c r="GV287" s="843"/>
      <c r="GW287" s="843"/>
      <c r="GX287" s="843"/>
      <c r="GY287" s="843"/>
      <c r="GZ287" s="843"/>
      <c r="HB287" s="843"/>
      <c r="HC287" s="843"/>
      <c r="HD287" s="843"/>
      <c r="HE287" s="843"/>
      <c r="HF287" s="840"/>
    </row>
    <row r="288" spans="19:214" ht="14.1" customHeight="1">
      <c r="GL288" s="840"/>
      <c r="GM288" s="840"/>
      <c r="GN288" s="840"/>
      <c r="GO288" s="840"/>
      <c r="GP288" s="840"/>
      <c r="GQ288" s="840"/>
      <c r="GR288" s="840"/>
      <c r="GS288" s="843"/>
      <c r="GT288" s="843"/>
      <c r="GU288" s="843"/>
      <c r="GV288" s="843"/>
      <c r="GW288" s="843"/>
      <c r="GX288" s="843"/>
      <c r="GY288" s="843"/>
      <c r="GZ288" s="843"/>
      <c r="HB288" s="843"/>
      <c r="HC288" s="843"/>
      <c r="HD288" s="843"/>
      <c r="HE288" s="843"/>
      <c r="HF288" s="840"/>
    </row>
    <row r="289" spans="19:214" ht="14.1" customHeight="1">
      <c r="FC289" s="808"/>
      <c r="FD289" s="808"/>
      <c r="FE289" s="808"/>
      <c r="FF289" s="808"/>
      <c r="FG289" s="808"/>
      <c r="FH289" s="808"/>
      <c r="FI289" s="808"/>
      <c r="FJ289" s="808"/>
      <c r="FK289" s="808"/>
      <c r="FL289" s="808"/>
      <c r="FM289" s="808"/>
      <c r="FN289" s="808"/>
      <c r="FO289" s="808"/>
      <c r="GL289" s="840"/>
      <c r="GM289" s="840"/>
      <c r="GN289" s="840"/>
      <c r="GO289" s="840"/>
      <c r="GP289" s="840"/>
      <c r="GQ289" s="840"/>
      <c r="GR289" s="840"/>
      <c r="GS289" s="843"/>
      <c r="GT289" s="843"/>
      <c r="GU289" s="843"/>
      <c r="GV289" s="843"/>
      <c r="GW289" s="843"/>
      <c r="GX289" s="843"/>
      <c r="GY289" s="843"/>
      <c r="GZ289" s="843"/>
      <c r="HB289" s="843"/>
      <c r="HC289" s="843"/>
      <c r="HD289" s="843"/>
      <c r="HE289" s="843"/>
      <c r="HF289" s="840"/>
    </row>
    <row r="290" spans="19:214" ht="14.1" customHeight="1">
      <c r="GL290" s="840"/>
      <c r="GM290" s="840"/>
      <c r="GN290" s="840"/>
      <c r="GO290" s="840"/>
      <c r="GP290" s="840"/>
      <c r="GQ290" s="840"/>
      <c r="GR290" s="840"/>
      <c r="GS290" s="843"/>
      <c r="GT290" s="843"/>
      <c r="GU290" s="843"/>
      <c r="GV290" s="843"/>
      <c r="GW290" s="843"/>
      <c r="GX290" s="843"/>
      <c r="GY290" s="843"/>
      <c r="GZ290" s="843"/>
      <c r="HB290" s="843"/>
      <c r="HC290" s="843"/>
      <c r="HD290" s="843"/>
      <c r="HE290" s="843"/>
      <c r="HF290" s="840"/>
    </row>
    <row r="291" spans="19:214" ht="14.1" customHeight="1">
      <c r="S291" s="398"/>
      <c r="GL291" s="840"/>
      <c r="GM291" s="840"/>
      <c r="GN291" s="840"/>
      <c r="GO291" s="840"/>
      <c r="GP291" s="840"/>
      <c r="GQ291" s="840"/>
      <c r="GR291" s="840"/>
      <c r="GS291" s="840"/>
      <c r="GT291" s="840"/>
      <c r="GU291" s="843"/>
      <c r="GV291" s="843"/>
      <c r="GW291" s="843"/>
      <c r="GX291" s="843"/>
      <c r="GY291" s="843"/>
      <c r="GZ291" s="843"/>
      <c r="HB291" s="843"/>
      <c r="HC291" s="843"/>
      <c r="HD291" s="840"/>
      <c r="HE291" s="840"/>
      <c r="HF291" s="840"/>
    </row>
    <row r="292" spans="19:214" ht="14.1" customHeight="1">
      <c r="U292" s="690"/>
      <c r="V292" s="690"/>
      <c r="W292" s="690"/>
      <c r="X292" s="690"/>
      <c r="Y292" s="690"/>
      <c r="Z292" s="690"/>
      <c r="AA292" s="690"/>
      <c r="AB292" s="690"/>
      <c r="AC292" s="690"/>
      <c r="AD292" s="690"/>
      <c r="AE292" s="690"/>
      <c r="AF292" s="690"/>
      <c r="AG292" s="690"/>
      <c r="AH292" s="690"/>
      <c r="AI292" s="690"/>
      <c r="AJ292" s="690"/>
      <c r="GL292" s="840"/>
      <c r="GM292" s="840"/>
      <c r="GN292" s="840"/>
      <c r="GO292" s="840"/>
      <c r="GP292" s="840"/>
      <c r="GQ292" s="840"/>
      <c r="GR292" s="840"/>
      <c r="GS292" s="840"/>
      <c r="GT292" s="840"/>
      <c r="GU292" s="843"/>
      <c r="GV292" s="843"/>
      <c r="GW292" s="843"/>
      <c r="GX292" s="843"/>
      <c r="GY292" s="843"/>
      <c r="GZ292" s="843"/>
      <c r="HB292" s="843"/>
      <c r="HC292" s="843"/>
      <c r="HD292" s="840"/>
      <c r="HE292" s="840"/>
      <c r="HF292" s="840"/>
    </row>
    <row r="293" spans="19:214" ht="14.1" customHeight="1">
      <c r="T293" s="402"/>
      <c r="U293" s="690"/>
      <c r="V293" s="690"/>
      <c r="W293" s="690"/>
      <c r="X293" s="690"/>
      <c r="Y293" s="690"/>
      <c r="Z293" s="690"/>
      <c r="AA293" s="690"/>
      <c r="AB293" s="690"/>
      <c r="AC293" s="690"/>
      <c r="AD293" s="690"/>
      <c r="AE293" s="690"/>
      <c r="AF293" s="690"/>
      <c r="AG293" s="690"/>
      <c r="AH293" s="690"/>
      <c r="AI293" s="690"/>
      <c r="AJ293" s="690"/>
      <c r="GL293" s="840"/>
      <c r="GM293" s="840"/>
      <c r="GN293" s="840"/>
      <c r="GO293" s="840"/>
      <c r="GP293" s="840"/>
      <c r="GQ293" s="840"/>
      <c r="GR293" s="840"/>
      <c r="GU293" s="843"/>
      <c r="GV293" s="843"/>
      <c r="GW293" s="843"/>
      <c r="GX293" s="843"/>
      <c r="GY293" s="843"/>
      <c r="GZ293" s="843"/>
      <c r="HB293" s="840"/>
      <c r="HC293" s="840"/>
    </row>
    <row r="294" spans="19:214" ht="14.1" customHeight="1">
      <c r="S294" s="398"/>
      <c r="T294" s="740"/>
      <c r="U294" s="738"/>
      <c r="V294" s="738"/>
      <c r="W294" s="738"/>
      <c r="X294" s="738"/>
      <c r="Y294" s="738"/>
      <c r="Z294" s="738"/>
      <c r="AA294" s="738"/>
      <c r="AB294" s="738"/>
      <c r="AC294" s="738"/>
      <c r="AD294" s="738"/>
      <c r="AE294" s="738"/>
      <c r="AF294" s="738"/>
      <c r="AG294" s="738"/>
      <c r="AH294" s="738"/>
      <c r="AI294" s="738"/>
      <c r="AJ294" s="738"/>
      <c r="GL294" s="840"/>
      <c r="GM294" s="840"/>
      <c r="GN294" s="840"/>
      <c r="GO294" s="840"/>
      <c r="GP294" s="840"/>
      <c r="GQ294" s="840"/>
      <c r="GR294" s="840"/>
      <c r="GU294" s="843"/>
      <c r="GV294" s="843"/>
      <c r="GW294" s="843"/>
      <c r="GX294" s="843"/>
      <c r="GY294" s="843"/>
      <c r="GZ294" s="843"/>
      <c r="HB294" s="840"/>
      <c r="HC294" s="840"/>
    </row>
    <row r="295" spans="19:214" ht="14.1" customHeight="1">
      <c r="S295" s="398"/>
      <c r="T295" s="740"/>
      <c r="U295" s="738"/>
      <c r="V295" s="738"/>
      <c r="W295" s="738"/>
      <c r="X295" s="738"/>
      <c r="Y295" s="738"/>
      <c r="Z295" s="738"/>
      <c r="AA295" s="738"/>
      <c r="AB295" s="738"/>
      <c r="AC295" s="738"/>
      <c r="AD295" s="738"/>
      <c r="AE295" s="738"/>
      <c r="AF295" s="738"/>
      <c r="AG295" s="738"/>
      <c r="AH295" s="738"/>
      <c r="AI295" s="738"/>
      <c r="AJ295" s="738"/>
      <c r="GL295" s="840"/>
      <c r="GM295" s="840"/>
      <c r="GN295" s="840"/>
      <c r="GO295" s="840"/>
      <c r="GP295" s="840"/>
      <c r="GQ295" s="840"/>
      <c r="GR295" s="840"/>
      <c r="GU295" s="843"/>
      <c r="GV295" s="843"/>
      <c r="GW295" s="843"/>
      <c r="GX295" s="843"/>
      <c r="GY295" s="843"/>
      <c r="GZ295" s="843"/>
    </row>
    <row r="296" spans="19:214" ht="14.1" customHeight="1">
      <c r="S296" s="386"/>
      <c r="T296" s="386"/>
      <c r="U296" s="738"/>
      <c r="V296" s="737"/>
      <c r="W296" s="738"/>
      <c r="X296" s="738"/>
      <c r="Y296" s="738"/>
      <c r="Z296" s="738"/>
      <c r="AA296" s="738"/>
      <c r="AB296" s="738"/>
      <c r="AC296" s="738"/>
      <c r="AD296" s="754"/>
      <c r="AE296" s="754"/>
      <c r="AF296" s="754"/>
      <c r="AG296" s="754"/>
      <c r="AH296" s="754"/>
      <c r="AI296" s="754"/>
      <c r="AJ296" s="754"/>
      <c r="GR296" s="840"/>
      <c r="GU296" s="843"/>
      <c r="GV296" s="843"/>
      <c r="GW296" s="843"/>
      <c r="GX296" s="843"/>
      <c r="GY296" s="843"/>
      <c r="GZ296" s="843"/>
    </row>
    <row r="297" spans="19:214" ht="14.1" customHeight="1">
      <c r="S297" s="386"/>
      <c r="T297" s="386"/>
      <c r="U297" s="738"/>
      <c r="V297" s="754"/>
      <c r="W297" s="754"/>
      <c r="X297" s="754"/>
      <c r="Y297" s="754"/>
      <c r="Z297" s="754"/>
      <c r="AA297" s="754"/>
      <c r="AB297" s="754"/>
      <c r="AC297" s="754"/>
      <c r="AD297" s="754"/>
      <c r="AE297" s="738"/>
      <c r="AF297" s="738"/>
      <c r="AG297" s="754"/>
      <c r="AH297" s="754"/>
      <c r="AI297" s="754"/>
      <c r="AJ297" s="754"/>
      <c r="GR297" s="840"/>
      <c r="GU297" s="843"/>
      <c r="GV297" s="843"/>
      <c r="GW297" s="843"/>
      <c r="GX297" s="843"/>
      <c r="GY297" s="843"/>
      <c r="GZ297" s="843"/>
    </row>
    <row r="298" spans="19:214" ht="14.1" customHeight="1">
      <c r="S298" s="386"/>
      <c r="T298" s="386"/>
      <c r="U298" s="738"/>
      <c r="V298" s="737"/>
      <c r="W298" s="738"/>
      <c r="X298" s="738"/>
      <c r="Y298" s="738"/>
      <c r="Z298" s="738"/>
      <c r="AA298" s="738"/>
      <c r="AB298" s="738"/>
      <c r="AC298" s="738"/>
      <c r="AD298" s="754"/>
      <c r="AE298" s="754"/>
      <c r="AF298" s="754"/>
      <c r="AG298" s="754"/>
      <c r="AH298" s="754"/>
      <c r="AI298" s="754"/>
      <c r="AJ298" s="754"/>
      <c r="GR298" s="840"/>
      <c r="GU298" s="843"/>
      <c r="GV298" s="843"/>
      <c r="GW298" s="843"/>
      <c r="GX298" s="843"/>
      <c r="GY298" s="843"/>
      <c r="GZ298" s="843"/>
    </row>
    <row r="299" spans="19:214" ht="14.1" customHeight="1">
      <c r="S299" s="386"/>
      <c r="T299" s="386"/>
      <c r="U299" s="738"/>
      <c r="V299" s="737"/>
      <c r="W299" s="738"/>
      <c r="X299" s="738"/>
      <c r="Y299" s="738"/>
      <c r="Z299" s="738"/>
      <c r="AA299" s="738"/>
      <c r="AB299" s="738"/>
      <c r="AC299" s="738"/>
      <c r="AD299" s="754"/>
      <c r="AE299" s="754"/>
      <c r="AF299" s="754"/>
      <c r="AG299" s="754"/>
      <c r="AH299" s="754"/>
      <c r="AI299" s="754"/>
      <c r="AJ299" s="754"/>
      <c r="GR299" s="840"/>
      <c r="GU299" s="840"/>
      <c r="GV299" s="840"/>
      <c r="GW299" s="840"/>
      <c r="GX299" s="840"/>
      <c r="GY299" s="840"/>
      <c r="GZ299" s="840"/>
    </row>
    <row r="300" spans="19:214" ht="14.1" customHeight="1">
      <c r="S300" s="386"/>
      <c r="T300" s="386"/>
      <c r="U300" s="738"/>
      <c r="V300" s="776"/>
      <c r="W300" s="738"/>
      <c r="X300" s="738"/>
      <c r="Y300" s="738"/>
      <c r="Z300" s="738"/>
      <c r="AA300" s="738"/>
      <c r="AB300" s="738"/>
      <c r="AC300" s="738"/>
      <c r="AD300" s="754"/>
      <c r="AE300" s="754"/>
      <c r="AF300" s="754"/>
      <c r="AG300" s="754"/>
      <c r="AH300" s="754"/>
      <c r="AI300" s="754"/>
      <c r="AJ300" s="754"/>
      <c r="GU300" s="840"/>
      <c r="GV300" s="840"/>
      <c r="GW300" s="840"/>
      <c r="GX300" s="840"/>
      <c r="GY300" s="840"/>
      <c r="GZ300" s="840"/>
    </row>
    <row r="301" spans="19:214" ht="14.1" customHeight="1">
      <c r="S301" s="386"/>
      <c r="T301" s="386"/>
      <c r="U301" s="738"/>
      <c r="V301" s="737"/>
      <c r="W301" s="738"/>
      <c r="X301" s="738"/>
      <c r="Y301" s="738"/>
      <c r="Z301" s="738"/>
      <c r="AA301" s="738"/>
      <c r="AB301" s="738"/>
      <c r="AC301" s="738"/>
      <c r="AD301" s="754"/>
      <c r="AE301" s="754"/>
      <c r="AF301" s="754"/>
      <c r="AG301" s="754"/>
      <c r="AH301" s="754"/>
      <c r="AI301" s="754"/>
      <c r="AJ301" s="754"/>
    </row>
    <row r="302" spans="19:214" ht="14.1" customHeight="1">
      <c r="S302" s="386"/>
      <c r="T302" s="386"/>
      <c r="U302" s="738"/>
      <c r="V302" s="754"/>
      <c r="W302" s="754"/>
      <c r="X302" s="754"/>
      <c r="Y302" s="754"/>
      <c r="Z302" s="754"/>
      <c r="AA302" s="754"/>
      <c r="AB302" s="754"/>
      <c r="AC302" s="754"/>
      <c r="AD302" s="754"/>
      <c r="AE302" s="754"/>
      <c r="AF302" s="754"/>
      <c r="AG302" s="738"/>
      <c r="AH302" s="738"/>
      <c r="AI302" s="738"/>
      <c r="AJ302" s="738"/>
    </row>
    <row r="303" spans="19:214" ht="14.1" customHeight="1">
      <c r="S303" s="386"/>
      <c r="T303" s="386"/>
      <c r="U303" s="738"/>
      <c r="V303" s="737"/>
      <c r="W303" s="738"/>
      <c r="X303" s="738"/>
      <c r="Y303" s="738"/>
      <c r="Z303" s="738"/>
      <c r="AA303" s="738"/>
      <c r="AB303" s="738"/>
      <c r="AC303" s="738"/>
      <c r="AD303" s="754"/>
      <c r="AE303" s="754"/>
      <c r="AF303" s="754"/>
      <c r="AG303" s="754"/>
      <c r="AH303" s="754"/>
      <c r="AI303" s="754"/>
      <c r="AJ303" s="754"/>
    </row>
    <row r="304" spans="19:214" ht="14.1" customHeight="1">
      <c r="S304" s="386"/>
      <c r="T304" s="386"/>
      <c r="U304" s="738"/>
      <c r="V304" s="754"/>
      <c r="W304" s="754"/>
      <c r="X304" s="754"/>
      <c r="Y304" s="754"/>
      <c r="Z304" s="754"/>
      <c r="AA304" s="754"/>
      <c r="AB304" s="754"/>
      <c r="AC304" s="754"/>
      <c r="AD304" s="754"/>
      <c r="AE304" s="754"/>
      <c r="AF304" s="754"/>
      <c r="AG304" s="754"/>
      <c r="AH304" s="754"/>
      <c r="AI304" s="754"/>
      <c r="AJ304" s="754"/>
    </row>
    <row r="305" spans="19:36" ht="14.1" customHeight="1">
      <c r="S305" s="386"/>
      <c r="T305" s="386"/>
      <c r="U305" s="738"/>
      <c r="V305" s="737"/>
      <c r="W305" s="738"/>
      <c r="X305" s="738"/>
      <c r="Y305" s="738"/>
      <c r="Z305" s="738"/>
      <c r="AA305" s="738"/>
      <c r="AB305" s="738"/>
      <c r="AC305" s="738"/>
      <c r="AD305" s="754"/>
      <c r="AE305" s="754"/>
      <c r="AF305" s="754"/>
      <c r="AG305" s="754"/>
      <c r="AH305" s="754"/>
      <c r="AI305" s="754"/>
      <c r="AJ305" s="754"/>
    </row>
    <row r="306" spans="19:36" ht="14.1" customHeight="1">
      <c r="S306" s="386"/>
      <c r="T306" s="386"/>
      <c r="U306" s="738"/>
      <c r="V306" s="754"/>
      <c r="W306" s="754"/>
      <c r="X306" s="754"/>
      <c r="Y306" s="754"/>
      <c r="Z306" s="754"/>
      <c r="AA306" s="754"/>
      <c r="AB306" s="754"/>
      <c r="AC306" s="754"/>
      <c r="AD306" s="754"/>
      <c r="AE306" s="754"/>
      <c r="AF306" s="754"/>
      <c r="AG306" s="754"/>
      <c r="AH306" s="754"/>
      <c r="AI306" s="754"/>
      <c r="AJ306" s="754"/>
    </row>
    <row r="307" spans="19:36" ht="14.1" customHeight="1">
      <c r="S307" s="386"/>
      <c r="T307" s="386"/>
      <c r="U307" s="738"/>
      <c r="V307" s="737"/>
      <c r="W307" s="738"/>
      <c r="X307" s="738"/>
      <c r="Y307" s="738"/>
      <c r="Z307" s="738"/>
      <c r="AA307" s="738"/>
      <c r="AB307" s="738"/>
      <c r="AC307" s="738"/>
      <c r="AD307" s="754"/>
      <c r="AE307" s="754"/>
      <c r="AF307" s="754"/>
      <c r="AG307" s="754"/>
      <c r="AH307" s="754"/>
      <c r="AI307" s="754"/>
      <c r="AJ307" s="754"/>
    </row>
    <row r="308" spans="19:36" ht="14.1" customHeight="1">
      <c r="S308" s="386"/>
      <c r="T308" s="386"/>
      <c r="U308" s="738"/>
      <c r="V308" s="754"/>
      <c r="W308" s="754"/>
      <c r="X308" s="754"/>
      <c r="Y308" s="754"/>
      <c r="Z308" s="754"/>
      <c r="AA308" s="754"/>
      <c r="AB308" s="754"/>
      <c r="AC308" s="754"/>
      <c r="AD308" s="754"/>
      <c r="AE308" s="754"/>
      <c r="AF308" s="754"/>
      <c r="AG308" s="738"/>
      <c r="AH308" s="738"/>
      <c r="AI308" s="738"/>
      <c r="AJ308" s="738"/>
    </row>
    <row r="309" spans="19:36" ht="14.1" customHeight="1">
      <c r="S309" s="386"/>
      <c r="T309" s="386"/>
      <c r="U309" s="738"/>
      <c r="V309" s="737"/>
      <c r="W309" s="776"/>
      <c r="X309" s="776"/>
      <c r="Y309" s="738"/>
      <c r="Z309" s="738"/>
      <c r="AA309" s="738"/>
      <c r="AB309" s="738"/>
      <c r="AC309" s="738"/>
      <c r="AD309" s="754"/>
      <c r="AE309" s="754"/>
      <c r="AF309" s="754"/>
      <c r="AG309" s="754"/>
      <c r="AH309" s="754"/>
      <c r="AI309" s="754"/>
      <c r="AJ309" s="754"/>
    </row>
    <row r="310" spans="19:36" ht="14.1" customHeight="1">
      <c r="S310" s="398"/>
      <c r="T310" s="740"/>
      <c r="U310" s="738"/>
      <c r="V310" s="737"/>
      <c r="W310" s="738"/>
      <c r="X310" s="738"/>
      <c r="Y310" s="738"/>
      <c r="Z310" s="738"/>
      <c r="AA310" s="738"/>
      <c r="AB310" s="738"/>
      <c r="AC310" s="738"/>
      <c r="AD310" s="754"/>
      <c r="AE310" s="738"/>
      <c r="AF310" s="738"/>
      <c r="AG310" s="738"/>
      <c r="AH310" s="738"/>
      <c r="AI310" s="738"/>
      <c r="AJ310" s="738"/>
    </row>
    <row r="311" spans="19:36" ht="14.1" customHeight="1">
      <c r="S311" s="398"/>
      <c r="T311" s="740"/>
      <c r="U311" s="738"/>
      <c r="V311" s="738"/>
      <c r="W311" s="738"/>
      <c r="X311" s="738"/>
      <c r="Y311" s="738"/>
      <c r="Z311" s="738"/>
      <c r="AA311" s="738"/>
      <c r="AB311" s="738"/>
      <c r="AC311" s="738"/>
      <c r="AD311" s="738"/>
      <c r="AE311" s="738"/>
      <c r="AF311" s="738"/>
      <c r="AG311" s="738"/>
      <c r="AH311" s="738"/>
      <c r="AI311" s="738"/>
      <c r="AJ311" s="738"/>
    </row>
    <row r="312" spans="19:36" ht="14.1" customHeight="1">
      <c r="S312" s="386"/>
      <c r="T312" s="386"/>
      <c r="U312" s="738"/>
      <c r="V312" s="776"/>
      <c r="W312" s="738"/>
      <c r="X312" s="738"/>
      <c r="Y312" s="738"/>
      <c r="Z312" s="738"/>
      <c r="AA312" s="738"/>
      <c r="AB312" s="738"/>
      <c r="AC312" s="738"/>
      <c r="AD312" s="754"/>
      <c r="AE312" s="754"/>
      <c r="AF312" s="754"/>
      <c r="AG312" s="754"/>
      <c r="AH312" s="754"/>
      <c r="AI312" s="754"/>
      <c r="AJ312" s="754"/>
    </row>
    <row r="313" spans="19:36" ht="14.1" customHeight="1">
      <c r="S313" s="386"/>
      <c r="T313" s="386"/>
      <c r="U313" s="738"/>
      <c r="V313" s="754"/>
      <c r="W313" s="754"/>
      <c r="X313" s="754"/>
      <c r="Y313" s="754"/>
      <c r="Z313" s="754"/>
      <c r="AA313" s="754"/>
      <c r="AB313" s="754"/>
      <c r="AC313" s="754"/>
      <c r="AD313" s="754"/>
      <c r="AE313" s="738"/>
      <c r="AF313" s="738"/>
      <c r="AG313" s="754"/>
      <c r="AH313" s="754"/>
      <c r="AI313" s="754"/>
      <c r="AJ313" s="754"/>
    </row>
    <row r="314" spans="19:36" ht="14.1" customHeight="1">
      <c r="S314" s="386"/>
      <c r="T314" s="386"/>
      <c r="U314" s="738"/>
      <c r="V314" s="737"/>
      <c r="W314" s="776"/>
      <c r="X314" s="776"/>
      <c r="Y314" s="738"/>
      <c r="Z314" s="738"/>
      <c r="AA314" s="738"/>
      <c r="AB314" s="738"/>
      <c r="AC314" s="738"/>
      <c r="AD314" s="754"/>
      <c r="AE314" s="754"/>
      <c r="AF314" s="754"/>
      <c r="AG314" s="754"/>
      <c r="AH314" s="754"/>
      <c r="AI314" s="754"/>
      <c r="AJ314" s="754"/>
    </row>
    <row r="315" spans="19:36" ht="14.1" customHeight="1">
      <c r="S315" s="386"/>
      <c r="T315" s="386"/>
      <c r="U315" s="738"/>
      <c r="V315" s="737"/>
      <c r="W315" s="738"/>
      <c r="X315" s="738"/>
      <c r="Y315" s="738"/>
      <c r="Z315" s="738"/>
      <c r="AA315" s="738"/>
      <c r="AB315" s="738"/>
      <c r="AC315" s="738"/>
      <c r="AD315" s="754"/>
      <c r="AE315" s="754"/>
      <c r="AF315" s="754"/>
      <c r="AG315" s="754"/>
      <c r="AH315" s="754"/>
      <c r="AI315" s="754"/>
      <c r="AJ315" s="754"/>
    </row>
    <row r="316" spans="19:36" ht="14.1" customHeight="1">
      <c r="S316" s="386"/>
      <c r="T316" s="386"/>
      <c r="U316" s="738"/>
      <c r="V316" s="776"/>
      <c r="W316" s="776"/>
      <c r="X316" s="776"/>
      <c r="Y316" s="738"/>
      <c r="Z316" s="776"/>
      <c r="AA316" s="776"/>
      <c r="AB316" s="776"/>
      <c r="AC316" s="776"/>
      <c r="AD316" s="754"/>
      <c r="AE316" s="754"/>
      <c r="AF316" s="754"/>
      <c r="AG316" s="754"/>
      <c r="AH316" s="754"/>
      <c r="AI316" s="754"/>
      <c r="AJ316" s="754"/>
    </row>
    <row r="317" spans="19:36" ht="14.1" customHeight="1">
      <c r="S317" s="386"/>
      <c r="T317" s="386"/>
      <c r="U317" s="738"/>
      <c r="V317" s="754"/>
      <c r="W317" s="754"/>
      <c r="X317" s="754"/>
      <c r="Y317" s="754"/>
      <c r="Z317" s="754"/>
      <c r="AA317" s="754"/>
      <c r="AB317" s="754"/>
      <c r="AC317" s="754"/>
      <c r="AD317" s="754"/>
      <c r="AE317" s="754"/>
      <c r="AF317" s="754"/>
      <c r="AG317" s="738"/>
      <c r="AH317" s="738"/>
      <c r="AI317" s="738"/>
      <c r="AJ317" s="738"/>
    </row>
    <row r="318" spans="19:36" ht="14.1" customHeight="1">
      <c r="S318" s="386"/>
      <c r="T318" s="386"/>
      <c r="U318" s="738"/>
      <c r="V318" s="776"/>
      <c r="W318" s="776"/>
      <c r="X318" s="776"/>
      <c r="Y318" s="776"/>
      <c r="Z318" s="738"/>
      <c r="AA318" s="738"/>
      <c r="AB318" s="738"/>
      <c r="AC318" s="738"/>
      <c r="AD318" s="754"/>
      <c r="AE318" s="754"/>
      <c r="AF318" s="754"/>
      <c r="AG318" s="754"/>
      <c r="AH318" s="754"/>
      <c r="AI318" s="754"/>
      <c r="AJ318" s="754"/>
    </row>
    <row r="319" spans="19:36" ht="14.1" customHeight="1">
      <c r="S319" s="398"/>
      <c r="T319" s="740"/>
      <c r="U319" s="738"/>
      <c r="V319" s="737"/>
      <c r="W319" s="738"/>
      <c r="X319" s="738"/>
      <c r="Y319" s="738"/>
      <c r="Z319" s="738"/>
      <c r="AA319" s="738"/>
      <c r="AB319" s="738"/>
      <c r="AC319" s="738"/>
      <c r="AD319" s="754"/>
      <c r="AE319" s="738"/>
      <c r="AF319" s="738"/>
      <c r="AG319" s="738"/>
      <c r="AH319" s="738"/>
      <c r="AI319" s="738"/>
      <c r="AJ319" s="738"/>
    </row>
    <row r="320" spans="19:36" ht="14.1" customHeight="1">
      <c r="S320" s="398"/>
      <c r="T320" s="740"/>
      <c r="U320" s="738"/>
      <c r="V320" s="738"/>
      <c r="W320" s="738"/>
      <c r="X320" s="738"/>
      <c r="Y320" s="738"/>
      <c r="Z320" s="738"/>
      <c r="AA320" s="738"/>
      <c r="AB320" s="738"/>
      <c r="AC320" s="738"/>
      <c r="AD320" s="738"/>
      <c r="AE320" s="738"/>
      <c r="AF320" s="738"/>
      <c r="AG320" s="738"/>
      <c r="AH320" s="738"/>
      <c r="AI320" s="738"/>
      <c r="AJ320" s="738"/>
    </row>
    <row r="321" spans="19:148" ht="14.1" customHeight="1">
      <c r="S321" s="386"/>
      <c r="T321" s="386"/>
      <c r="U321" s="738"/>
      <c r="V321" s="737"/>
      <c r="W321" s="776"/>
      <c r="X321" s="776"/>
      <c r="Y321" s="738"/>
      <c r="Z321" s="738"/>
      <c r="AA321" s="738"/>
      <c r="AB321" s="738"/>
      <c r="AC321" s="738"/>
      <c r="AD321" s="754"/>
      <c r="AE321" s="754"/>
      <c r="AF321" s="754"/>
      <c r="AG321" s="754"/>
      <c r="AH321" s="754"/>
      <c r="AI321" s="754"/>
      <c r="AJ321" s="754"/>
      <c r="CZ321" s="690"/>
      <c r="DA321" s="690"/>
      <c r="DO321" s="690"/>
      <c r="DP321" s="690"/>
      <c r="DQ321" s="690"/>
      <c r="DR321" s="690"/>
      <c r="DS321" s="690"/>
      <c r="DT321" s="690"/>
      <c r="DU321" s="690"/>
      <c r="DV321" s="690"/>
      <c r="DW321" s="690"/>
      <c r="DX321" s="690"/>
      <c r="DY321" s="690"/>
      <c r="DZ321" s="690"/>
      <c r="EA321" s="690"/>
      <c r="EB321" s="690"/>
      <c r="EC321" s="690"/>
      <c r="ED321" s="690"/>
      <c r="EE321" s="690"/>
      <c r="EF321" s="690"/>
      <c r="EG321" s="690"/>
      <c r="EH321" s="690"/>
      <c r="ER321" s="690"/>
    </row>
    <row r="322" spans="19:148" ht="14.1" customHeight="1">
      <c r="S322" s="386"/>
      <c r="T322" s="386"/>
      <c r="U322" s="738"/>
      <c r="V322" s="754"/>
      <c r="W322" s="754"/>
      <c r="X322" s="754"/>
      <c r="Y322" s="754"/>
      <c r="Z322" s="754"/>
      <c r="AA322" s="754"/>
      <c r="AB322" s="754"/>
      <c r="AC322" s="754"/>
      <c r="AD322" s="754"/>
      <c r="AE322" s="738"/>
      <c r="AF322" s="738"/>
      <c r="AG322" s="754"/>
      <c r="AH322" s="754"/>
      <c r="AI322" s="754"/>
      <c r="AJ322" s="754"/>
      <c r="DM322" s="690"/>
      <c r="DN322" s="690"/>
    </row>
    <row r="323" spans="19:148" ht="14.1" customHeight="1">
      <c r="S323" s="386"/>
      <c r="T323" s="386"/>
      <c r="U323" s="738"/>
      <c r="V323" s="737"/>
      <c r="W323" s="738"/>
      <c r="X323" s="738"/>
      <c r="Y323" s="738"/>
      <c r="Z323" s="738"/>
      <c r="AA323" s="738"/>
      <c r="AB323" s="738"/>
      <c r="AC323" s="738"/>
      <c r="AD323" s="754"/>
      <c r="AE323" s="754"/>
      <c r="AF323" s="754"/>
      <c r="AG323" s="754"/>
      <c r="AH323" s="754"/>
      <c r="AI323" s="754"/>
      <c r="AJ323" s="754"/>
    </row>
    <row r="324" spans="19:148" ht="14.1" customHeight="1">
      <c r="S324" s="386"/>
      <c r="T324" s="386"/>
      <c r="U324" s="738"/>
      <c r="V324" s="754"/>
      <c r="W324" s="754"/>
      <c r="X324" s="754"/>
      <c r="Y324" s="754"/>
      <c r="Z324" s="754"/>
      <c r="AA324" s="754"/>
      <c r="AB324" s="754"/>
      <c r="AC324" s="754"/>
      <c r="AD324" s="754"/>
      <c r="AE324" s="754"/>
      <c r="AF324" s="754"/>
      <c r="AG324" s="757"/>
      <c r="AH324" s="757"/>
      <c r="AI324" s="757"/>
      <c r="AJ324" s="757"/>
    </row>
    <row r="325" spans="19:148" ht="14.1" customHeight="1">
      <c r="S325" s="386"/>
      <c r="T325" s="386"/>
      <c r="U325" s="738"/>
      <c r="V325" s="737"/>
      <c r="W325" s="738"/>
      <c r="X325" s="738"/>
      <c r="Y325" s="738"/>
      <c r="Z325" s="738"/>
      <c r="AA325" s="738"/>
      <c r="AB325" s="738"/>
      <c r="AC325" s="738"/>
      <c r="AD325" s="754"/>
      <c r="AE325" s="754"/>
      <c r="AF325" s="754"/>
      <c r="AG325" s="754"/>
      <c r="AH325" s="754"/>
      <c r="AI325" s="754"/>
      <c r="AJ325" s="754"/>
    </row>
    <row r="326" spans="19:148" ht="14.1" customHeight="1">
      <c r="S326" s="386"/>
      <c r="T326" s="386"/>
      <c r="U326" s="738"/>
      <c r="V326" s="737"/>
      <c r="W326" s="738"/>
      <c r="X326" s="738"/>
      <c r="Y326" s="738"/>
      <c r="Z326" s="738"/>
      <c r="AA326" s="738"/>
      <c r="AB326" s="738"/>
      <c r="AC326" s="738"/>
      <c r="AD326" s="754"/>
      <c r="AE326" s="754"/>
      <c r="AF326" s="754"/>
      <c r="AG326" s="754"/>
      <c r="AH326" s="754"/>
      <c r="AI326" s="754"/>
      <c r="AJ326" s="754"/>
      <c r="DB326" s="690"/>
      <c r="DC326" s="690"/>
      <c r="DD326" s="690"/>
      <c r="DE326" s="690"/>
      <c r="DF326" s="690"/>
      <c r="DG326" s="690"/>
      <c r="DH326" s="690"/>
      <c r="DI326" s="690"/>
      <c r="DJ326" s="690"/>
      <c r="DK326" s="690"/>
      <c r="DL326" s="690"/>
    </row>
    <row r="327" spans="19:148" ht="14.1" customHeight="1">
      <c r="S327" s="386"/>
      <c r="T327" s="386"/>
      <c r="U327" s="738"/>
      <c r="V327" s="754"/>
      <c r="W327" s="754"/>
      <c r="X327" s="754"/>
      <c r="Y327" s="754"/>
      <c r="Z327" s="754"/>
      <c r="AA327" s="754"/>
      <c r="AB327" s="754"/>
      <c r="AC327" s="754"/>
      <c r="AD327" s="754"/>
      <c r="AE327" s="754"/>
      <c r="AF327" s="754"/>
      <c r="AG327" s="738"/>
      <c r="AH327" s="738"/>
      <c r="AI327" s="738"/>
      <c r="AJ327" s="738"/>
    </row>
    <row r="328" spans="19:148" ht="14.1" customHeight="1">
      <c r="S328" s="386"/>
      <c r="T328" s="398"/>
      <c r="U328" s="738"/>
      <c r="V328" s="754"/>
      <c r="W328" s="754"/>
      <c r="X328" s="754"/>
      <c r="Y328" s="754"/>
      <c r="Z328" s="754"/>
      <c r="AA328" s="754"/>
      <c r="AB328" s="754"/>
      <c r="AC328" s="754"/>
      <c r="AD328" s="754"/>
      <c r="AE328" s="738"/>
      <c r="AF328" s="738"/>
      <c r="AG328" s="754"/>
      <c r="AH328" s="754"/>
      <c r="AI328" s="754"/>
      <c r="AJ328" s="754"/>
    </row>
    <row r="329" spans="19:148" ht="14.1" customHeight="1">
      <c r="S329" s="386"/>
      <c r="T329" s="386"/>
      <c r="U329" s="738"/>
      <c r="V329" s="776"/>
      <c r="W329" s="776"/>
      <c r="X329" s="776"/>
      <c r="Y329" s="738"/>
      <c r="Z329" s="738"/>
      <c r="AA329" s="738"/>
      <c r="AB329" s="738"/>
      <c r="AC329" s="738"/>
      <c r="AD329" s="754"/>
      <c r="AE329" s="754"/>
      <c r="AF329" s="754"/>
      <c r="AG329" s="754"/>
      <c r="AH329" s="754"/>
      <c r="AI329" s="754"/>
      <c r="AJ329" s="754"/>
    </row>
    <row r="330" spans="19:148" ht="14.1" customHeight="1">
      <c r="S330" s="386"/>
      <c r="T330" s="386"/>
      <c r="U330" s="738"/>
      <c r="V330" s="776"/>
      <c r="W330" s="776"/>
      <c r="X330" s="776"/>
      <c r="Y330" s="738"/>
      <c r="Z330" s="738"/>
      <c r="AA330" s="738"/>
      <c r="AB330" s="738"/>
      <c r="AC330" s="738"/>
      <c r="AD330" s="754"/>
      <c r="AE330" s="754"/>
      <c r="AF330" s="754"/>
      <c r="AG330" s="754"/>
      <c r="AH330" s="754"/>
      <c r="AI330" s="754"/>
      <c r="AJ330" s="754"/>
    </row>
    <row r="331" spans="19:148" ht="14.1" customHeight="1">
      <c r="S331" s="398"/>
      <c r="T331" s="740"/>
      <c r="U331" s="738"/>
      <c r="V331" s="737"/>
      <c r="W331" s="738"/>
      <c r="X331" s="738"/>
      <c r="Y331" s="738"/>
      <c r="Z331" s="738"/>
      <c r="AA331" s="738"/>
      <c r="AB331" s="738"/>
      <c r="AC331" s="738"/>
      <c r="AD331" s="754"/>
      <c r="AE331" s="738"/>
      <c r="AF331" s="738"/>
      <c r="AG331" s="738"/>
      <c r="AH331" s="738"/>
      <c r="AI331" s="738"/>
      <c r="AJ331" s="738"/>
    </row>
    <row r="332" spans="19:148" ht="14.1" customHeight="1">
      <c r="S332" s="398"/>
      <c r="T332" s="740"/>
      <c r="U332" s="754"/>
      <c r="V332" s="754"/>
      <c r="W332" s="754"/>
      <c r="X332" s="754"/>
      <c r="Y332" s="754"/>
      <c r="Z332" s="754"/>
      <c r="AA332" s="754"/>
      <c r="AB332" s="754"/>
      <c r="AC332" s="754"/>
      <c r="AD332" s="754"/>
      <c r="AE332" s="754"/>
      <c r="AF332" s="754"/>
      <c r="AG332" s="754"/>
      <c r="AH332" s="754"/>
      <c r="AI332" s="754"/>
      <c r="AJ332" s="754"/>
    </row>
    <row r="333" spans="19:148" ht="14.1" customHeight="1">
      <c r="S333" s="386"/>
      <c r="T333" s="386"/>
      <c r="U333" s="738"/>
      <c r="V333" s="737"/>
      <c r="W333" s="738"/>
      <c r="X333" s="738"/>
      <c r="Y333" s="738"/>
      <c r="Z333" s="738"/>
      <c r="AA333" s="738"/>
      <c r="AB333" s="738"/>
      <c r="AC333" s="738"/>
      <c r="AD333" s="754"/>
      <c r="AE333" s="754"/>
      <c r="AF333" s="754"/>
      <c r="AG333" s="754"/>
      <c r="AH333" s="754"/>
      <c r="AI333" s="754"/>
      <c r="AJ333" s="754"/>
    </row>
    <row r="334" spans="19:148" ht="14.1" customHeight="1">
      <c r="S334" s="386"/>
      <c r="T334" s="386"/>
      <c r="U334" s="738"/>
      <c r="V334" s="754"/>
      <c r="W334" s="754"/>
      <c r="X334" s="754"/>
      <c r="Y334" s="754"/>
      <c r="Z334" s="754"/>
      <c r="AA334" s="754"/>
      <c r="AB334" s="754"/>
      <c r="AC334" s="754"/>
      <c r="AD334" s="754"/>
      <c r="AE334" s="738"/>
      <c r="AF334" s="738"/>
      <c r="AG334" s="754"/>
      <c r="AH334" s="754"/>
      <c r="AI334" s="754"/>
      <c r="AJ334" s="754"/>
    </row>
    <row r="335" spans="19:148" ht="14.1" customHeight="1">
      <c r="S335" s="386"/>
      <c r="T335" s="386"/>
      <c r="U335" s="738"/>
      <c r="V335" s="737"/>
      <c r="W335" s="738"/>
      <c r="X335" s="738"/>
      <c r="Y335" s="738"/>
      <c r="Z335" s="738"/>
      <c r="AA335" s="738"/>
      <c r="AB335" s="738"/>
      <c r="AC335" s="738"/>
      <c r="AD335" s="754"/>
      <c r="AE335" s="754"/>
      <c r="AF335" s="754"/>
      <c r="AG335" s="754"/>
      <c r="AH335" s="754"/>
      <c r="AI335" s="754"/>
      <c r="AJ335" s="754"/>
    </row>
    <row r="336" spans="19:148" ht="14.1" customHeight="1">
      <c r="S336" s="386"/>
      <c r="T336" s="386"/>
      <c r="U336" s="738"/>
      <c r="V336" s="754"/>
      <c r="W336" s="754"/>
      <c r="X336" s="754"/>
      <c r="Y336" s="754"/>
      <c r="Z336" s="754"/>
      <c r="AA336" s="754"/>
      <c r="AB336" s="754"/>
      <c r="AC336" s="754"/>
      <c r="AD336" s="754"/>
      <c r="AE336" s="738"/>
      <c r="AF336" s="738"/>
      <c r="AG336" s="754"/>
      <c r="AH336" s="754"/>
      <c r="AI336" s="754"/>
      <c r="AJ336" s="754"/>
    </row>
    <row r="337" spans="19:36" ht="14.1" customHeight="1">
      <c r="S337" s="386"/>
      <c r="T337" s="386"/>
      <c r="U337" s="738"/>
      <c r="V337" s="737"/>
      <c r="W337" s="776"/>
      <c r="X337" s="776"/>
      <c r="Y337" s="738"/>
      <c r="Z337" s="738"/>
      <c r="AA337" s="738"/>
      <c r="AB337" s="738"/>
      <c r="AC337" s="738"/>
      <c r="AD337" s="754"/>
      <c r="AE337" s="754"/>
      <c r="AF337" s="754"/>
      <c r="AG337" s="754"/>
      <c r="AH337" s="754"/>
      <c r="AI337" s="754"/>
      <c r="AJ337" s="754"/>
    </row>
    <row r="338" spans="19:36" ht="14.1" customHeight="1">
      <c r="S338" s="386"/>
      <c r="T338" s="386"/>
      <c r="U338" s="738"/>
      <c r="V338" s="738"/>
      <c r="W338" s="738"/>
      <c r="X338" s="738"/>
      <c r="Y338" s="738"/>
      <c r="Z338" s="738"/>
      <c r="AA338" s="738"/>
      <c r="AB338" s="738"/>
      <c r="AC338" s="738"/>
      <c r="AD338" s="754"/>
      <c r="AE338" s="754"/>
      <c r="AF338" s="754"/>
      <c r="AG338" s="754"/>
      <c r="AH338" s="754"/>
      <c r="AI338" s="754"/>
      <c r="AJ338" s="754"/>
    </row>
    <row r="339" spans="19:36" ht="14.1" customHeight="1">
      <c r="S339" s="386"/>
      <c r="T339" s="386"/>
      <c r="U339" s="738"/>
      <c r="V339" s="754"/>
      <c r="W339" s="754"/>
      <c r="X339" s="754"/>
      <c r="Y339" s="754"/>
      <c r="Z339" s="754"/>
      <c r="AA339" s="754"/>
      <c r="AB339" s="754"/>
      <c r="AC339" s="754"/>
      <c r="AD339" s="754"/>
      <c r="AE339" s="754"/>
      <c r="AF339" s="754"/>
      <c r="AG339" s="754"/>
      <c r="AH339" s="754"/>
      <c r="AI339" s="738"/>
      <c r="AJ339" s="738"/>
    </row>
    <row r="340" spans="19:36" ht="14.1" customHeight="1">
      <c r="S340" s="386"/>
      <c r="T340" s="386"/>
      <c r="U340" s="738"/>
      <c r="V340" s="737"/>
      <c r="W340" s="738"/>
      <c r="X340" s="738"/>
      <c r="Y340" s="738"/>
      <c r="Z340" s="738"/>
      <c r="AA340" s="738"/>
      <c r="AB340" s="738"/>
      <c r="AC340" s="738"/>
      <c r="AD340" s="754"/>
      <c r="AE340" s="754"/>
      <c r="AF340" s="754"/>
      <c r="AG340" s="754"/>
      <c r="AH340" s="754"/>
      <c r="AI340" s="754"/>
      <c r="AJ340" s="754"/>
    </row>
    <row r="341" spans="19:36" ht="14.1" customHeight="1">
      <c r="S341" s="386"/>
      <c r="T341" s="386"/>
      <c r="U341" s="738"/>
      <c r="V341" s="737"/>
      <c r="W341" s="738"/>
      <c r="X341" s="738"/>
      <c r="Y341" s="738"/>
      <c r="Z341" s="738"/>
      <c r="AA341" s="738"/>
      <c r="AB341" s="738"/>
      <c r="AC341" s="738"/>
      <c r="AD341" s="754"/>
      <c r="AE341" s="754"/>
      <c r="AF341" s="754"/>
      <c r="AG341" s="754"/>
      <c r="AH341" s="754"/>
      <c r="AI341" s="754"/>
      <c r="AJ341" s="754"/>
    </row>
    <row r="342" spans="19:36" ht="14.1" customHeight="1">
      <c r="S342" s="386"/>
      <c r="T342" s="386"/>
      <c r="U342" s="738"/>
      <c r="V342" s="776"/>
      <c r="W342" s="776"/>
      <c r="X342" s="776"/>
      <c r="Y342" s="776"/>
      <c r="Z342" s="776"/>
      <c r="AA342" s="776"/>
      <c r="AB342" s="776"/>
      <c r="AC342" s="776"/>
      <c r="AD342" s="776"/>
      <c r="AE342" s="776"/>
      <c r="AF342" s="776"/>
      <c r="AG342" s="737"/>
      <c r="AH342" s="737"/>
      <c r="AI342" s="737"/>
      <c r="AJ342" s="738"/>
    </row>
    <row r="343" spans="19:36" ht="14.1" customHeight="1">
      <c r="S343" s="676"/>
    </row>
    <row r="344" spans="19:36" ht="14.1" customHeight="1">
      <c r="S344" s="386"/>
    </row>
    <row r="349" spans="19:36" ht="14.1" customHeight="1">
      <c r="S349" s="398"/>
    </row>
    <row r="350" spans="19:36" ht="14.1" customHeight="1">
      <c r="U350" s="690"/>
      <c r="V350" s="690"/>
      <c r="W350" s="690"/>
      <c r="X350" s="690"/>
      <c r="Y350" s="690"/>
      <c r="Z350" s="690"/>
      <c r="AA350" s="690"/>
      <c r="AB350" s="690"/>
      <c r="AC350" s="690"/>
      <c r="AD350" s="690"/>
      <c r="AE350" s="690"/>
      <c r="AF350" s="690"/>
      <c r="AG350" s="690"/>
      <c r="AH350" s="690"/>
      <c r="AI350" s="690"/>
      <c r="AJ350" s="690"/>
    </row>
    <row r="351" spans="19:36" ht="14.1" customHeight="1">
      <c r="T351" s="402"/>
      <c r="U351" s="690"/>
      <c r="V351" s="690"/>
      <c r="W351" s="690"/>
      <c r="X351" s="690"/>
      <c r="Y351" s="690"/>
      <c r="Z351" s="690"/>
      <c r="AA351" s="690"/>
      <c r="AB351" s="690"/>
      <c r="AC351" s="690"/>
      <c r="AD351" s="690"/>
      <c r="AE351" s="690"/>
      <c r="AF351" s="690"/>
      <c r="AG351" s="690"/>
      <c r="AH351" s="690"/>
      <c r="AI351" s="690"/>
      <c r="AJ351" s="690"/>
    </row>
    <row r="352" spans="19:36" ht="14.1" customHeight="1">
      <c r="S352" s="398"/>
      <c r="T352" s="740"/>
      <c r="U352" s="738"/>
      <c r="V352" s="738"/>
      <c r="W352" s="738"/>
      <c r="X352" s="738"/>
      <c r="Y352" s="738"/>
      <c r="Z352" s="738"/>
      <c r="AA352" s="738"/>
      <c r="AB352" s="738"/>
      <c r="AC352" s="738"/>
      <c r="AD352" s="738"/>
      <c r="AE352" s="738"/>
      <c r="AF352" s="738"/>
      <c r="AG352" s="738"/>
      <c r="AH352" s="738"/>
      <c r="AI352" s="738"/>
      <c r="AJ352" s="738"/>
    </row>
    <row r="353" spans="19:36" ht="14.1" customHeight="1">
      <c r="S353" s="398"/>
      <c r="T353" s="740"/>
      <c r="U353" s="738"/>
      <c r="V353" s="738"/>
      <c r="W353" s="738"/>
      <c r="X353" s="738"/>
      <c r="Y353" s="738"/>
      <c r="Z353" s="738"/>
      <c r="AA353" s="738"/>
      <c r="AB353" s="738"/>
      <c r="AC353" s="738"/>
      <c r="AD353" s="738"/>
      <c r="AE353" s="738"/>
      <c r="AF353" s="738"/>
      <c r="AG353" s="738"/>
      <c r="AH353" s="738"/>
      <c r="AI353" s="738"/>
      <c r="AJ353" s="738"/>
    </row>
    <row r="354" spans="19:36" ht="14.1" customHeight="1">
      <c r="S354" s="386"/>
      <c r="T354" s="386"/>
      <c r="U354" s="738"/>
      <c r="V354" s="737"/>
      <c r="W354" s="738"/>
      <c r="X354" s="738"/>
      <c r="Y354" s="738"/>
      <c r="Z354" s="738"/>
      <c r="AA354" s="738"/>
      <c r="AB354" s="738"/>
      <c r="AC354" s="738"/>
      <c r="AD354" s="754"/>
      <c r="AE354" s="754"/>
      <c r="AF354" s="754"/>
      <c r="AG354" s="754"/>
      <c r="AH354" s="754"/>
      <c r="AI354" s="754"/>
      <c r="AJ354" s="754"/>
    </row>
    <row r="355" spans="19:36" ht="14.1" customHeight="1">
      <c r="S355" s="386"/>
      <c r="T355" s="386"/>
      <c r="U355" s="738"/>
      <c r="V355" s="776"/>
      <c r="W355" s="776"/>
      <c r="X355" s="776"/>
      <c r="Y355" s="776"/>
      <c r="Z355" s="776"/>
      <c r="AA355" s="776"/>
      <c r="AB355" s="776"/>
      <c r="AC355" s="776"/>
      <c r="AD355" s="754"/>
      <c r="AE355" s="738"/>
      <c r="AF355" s="738"/>
      <c r="AG355" s="754"/>
      <c r="AH355" s="754"/>
      <c r="AI355" s="754"/>
      <c r="AJ355" s="754"/>
    </row>
    <row r="356" spans="19:36" ht="14.1" customHeight="1">
      <c r="S356" s="386"/>
      <c r="T356" s="386"/>
      <c r="U356" s="738"/>
      <c r="V356" s="737"/>
      <c r="W356" s="738"/>
      <c r="X356" s="738"/>
      <c r="Y356" s="738"/>
      <c r="Z356" s="738"/>
      <c r="AA356" s="738"/>
      <c r="AB356" s="738"/>
      <c r="AC356" s="738"/>
      <c r="AD356" s="754"/>
      <c r="AE356" s="754"/>
      <c r="AF356" s="754"/>
      <c r="AG356" s="754"/>
      <c r="AH356" s="754"/>
      <c r="AI356" s="754"/>
      <c r="AJ356" s="754"/>
    </row>
    <row r="357" spans="19:36" ht="14.1" customHeight="1">
      <c r="S357" s="386"/>
      <c r="T357" s="386"/>
      <c r="U357" s="738"/>
      <c r="V357" s="737"/>
      <c r="W357" s="738"/>
      <c r="X357" s="738"/>
      <c r="Y357" s="738"/>
      <c r="Z357" s="738"/>
      <c r="AA357" s="738"/>
      <c r="AB357" s="738"/>
      <c r="AC357" s="738"/>
      <c r="AD357" s="754"/>
      <c r="AE357" s="754"/>
      <c r="AF357" s="754"/>
      <c r="AG357" s="754"/>
      <c r="AH357" s="754"/>
      <c r="AI357" s="754"/>
      <c r="AJ357" s="754"/>
    </row>
    <row r="358" spans="19:36" ht="14.1" customHeight="1">
      <c r="S358" s="386"/>
      <c r="T358" s="386"/>
      <c r="U358" s="738"/>
      <c r="V358" s="776"/>
      <c r="W358" s="738"/>
      <c r="X358" s="738"/>
      <c r="Y358" s="738"/>
      <c r="Z358" s="738"/>
      <c r="AA358" s="738"/>
      <c r="AB358" s="738"/>
      <c r="AC358" s="738"/>
      <c r="AD358" s="754"/>
      <c r="AE358" s="754"/>
      <c r="AF358" s="754"/>
      <c r="AG358" s="754"/>
      <c r="AH358" s="754"/>
      <c r="AI358" s="754"/>
      <c r="AJ358" s="754"/>
    </row>
    <row r="359" spans="19:36" ht="14.1" customHeight="1">
      <c r="S359" s="386"/>
      <c r="T359" s="386"/>
      <c r="U359" s="738"/>
      <c r="V359" s="737"/>
      <c r="W359" s="738"/>
      <c r="X359" s="738"/>
      <c r="Y359" s="738"/>
      <c r="Z359" s="738"/>
      <c r="AA359" s="738"/>
      <c r="AB359" s="738"/>
      <c r="AC359" s="738"/>
      <c r="AD359" s="754"/>
      <c r="AE359" s="754"/>
      <c r="AF359" s="754"/>
      <c r="AG359" s="754"/>
      <c r="AH359" s="754"/>
      <c r="AI359" s="754"/>
      <c r="AJ359" s="754"/>
    </row>
    <row r="360" spans="19:36" ht="14.1" customHeight="1">
      <c r="S360" s="386"/>
      <c r="T360" s="386"/>
      <c r="U360" s="738"/>
      <c r="V360" s="754"/>
      <c r="W360" s="754"/>
      <c r="X360" s="754"/>
      <c r="Y360" s="754"/>
      <c r="Z360" s="754"/>
      <c r="AA360" s="754"/>
      <c r="AB360" s="754"/>
      <c r="AC360" s="754"/>
      <c r="AD360" s="754"/>
      <c r="AE360" s="754"/>
      <c r="AF360" s="754"/>
      <c r="AG360" s="738"/>
      <c r="AH360" s="738"/>
      <c r="AI360" s="738"/>
      <c r="AJ360" s="738"/>
    </row>
    <row r="361" spans="19:36" ht="14.1" customHeight="1">
      <c r="S361" s="386"/>
      <c r="T361" s="386"/>
      <c r="U361" s="738"/>
      <c r="V361" s="737"/>
      <c r="W361" s="738"/>
      <c r="X361" s="738"/>
      <c r="Y361" s="738"/>
      <c r="Z361" s="738"/>
      <c r="AA361" s="738"/>
      <c r="AB361" s="738"/>
      <c r="AC361" s="738"/>
      <c r="AD361" s="754"/>
      <c r="AE361" s="754"/>
      <c r="AF361" s="754"/>
      <c r="AG361" s="754"/>
      <c r="AH361" s="754"/>
      <c r="AI361" s="754"/>
      <c r="AJ361" s="754"/>
    </row>
    <row r="362" spans="19:36" ht="14.1" customHeight="1">
      <c r="S362" s="386"/>
      <c r="T362" s="386"/>
      <c r="U362" s="738"/>
      <c r="V362" s="754"/>
      <c r="W362" s="754"/>
      <c r="X362" s="754"/>
      <c r="Y362" s="754"/>
      <c r="Z362" s="754"/>
      <c r="AA362" s="754"/>
      <c r="AB362" s="754"/>
      <c r="AC362" s="754"/>
      <c r="AD362" s="754"/>
      <c r="AE362" s="754"/>
      <c r="AF362" s="754"/>
      <c r="AG362" s="754"/>
      <c r="AH362" s="754"/>
      <c r="AI362" s="754"/>
      <c r="AJ362" s="754"/>
    </row>
    <row r="363" spans="19:36" ht="14.1" customHeight="1">
      <c r="S363" s="386"/>
      <c r="T363" s="386"/>
      <c r="U363" s="738"/>
      <c r="V363" s="737"/>
      <c r="W363" s="738"/>
      <c r="X363" s="738"/>
      <c r="Y363" s="738"/>
      <c r="Z363" s="738"/>
      <c r="AA363" s="738"/>
      <c r="AB363" s="738"/>
      <c r="AC363" s="738"/>
      <c r="AD363" s="754"/>
      <c r="AE363" s="754"/>
      <c r="AF363" s="754"/>
      <c r="AG363" s="754"/>
      <c r="AH363" s="754"/>
      <c r="AI363" s="754"/>
      <c r="AJ363" s="754"/>
    </row>
    <row r="364" spans="19:36" ht="14.1" customHeight="1">
      <c r="S364" s="386"/>
      <c r="T364" s="386"/>
      <c r="U364" s="738"/>
      <c r="V364" s="754"/>
      <c r="W364" s="754"/>
      <c r="X364" s="754"/>
      <c r="Y364" s="754"/>
      <c r="Z364" s="754"/>
      <c r="AA364" s="754"/>
      <c r="AB364" s="754"/>
      <c r="AC364" s="754"/>
      <c r="AD364" s="754"/>
      <c r="AE364" s="754"/>
      <c r="AF364" s="754"/>
      <c r="AG364" s="754"/>
      <c r="AH364" s="754"/>
      <c r="AI364" s="754"/>
      <c r="AJ364" s="754"/>
    </row>
    <row r="365" spans="19:36" ht="14.1" customHeight="1">
      <c r="S365" s="386"/>
      <c r="T365" s="386"/>
      <c r="U365" s="738"/>
      <c r="V365" s="737"/>
      <c r="W365" s="738"/>
      <c r="X365" s="738"/>
      <c r="Y365" s="738"/>
      <c r="Z365" s="738"/>
      <c r="AA365" s="738"/>
      <c r="AB365" s="738"/>
      <c r="AC365" s="738"/>
      <c r="AD365" s="754"/>
      <c r="AE365" s="754"/>
      <c r="AF365" s="754"/>
      <c r="AG365" s="754"/>
      <c r="AH365" s="754"/>
      <c r="AI365" s="754"/>
      <c r="AJ365" s="754"/>
    </row>
    <row r="366" spans="19:36" ht="14.1" customHeight="1">
      <c r="S366" s="386"/>
      <c r="T366" s="386"/>
      <c r="U366" s="738"/>
      <c r="V366" s="754"/>
      <c r="W366" s="754"/>
      <c r="X366" s="754"/>
      <c r="Y366" s="754"/>
      <c r="Z366" s="754"/>
      <c r="AA366" s="754"/>
      <c r="AB366" s="754"/>
      <c r="AC366" s="754"/>
      <c r="AD366" s="754"/>
      <c r="AE366" s="754"/>
      <c r="AF366" s="754"/>
      <c r="AG366" s="738"/>
      <c r="AH366" s="738"/>
      <c r="AI366" s="738"/>
      <c r="AJ366" s="738"/>
    </row>
    <row r="367" spans="19:36" ht="14.1" customHeight="1">
      <c r="S367" s="386"/>
      <c r="T367" s="386"/>
      <c r="U367" s="738"/>
      <c r="V367" s="737"/>
      <c r="W367" s="776"/>
      <c r="X367" s="776"/>
      <c r="Y367" s="738"/>
      <c r="Z367" s="738"/>
      <c r="AA367" s="738"/>
      <c r="AB367" s="738"/>
      <c r="AC367" s="738"/>
      <c r="AD367" s="754"/>
      <c r="AE367" s="754"/>
      <c r="AF367" s="754"/>
      <c r="AG367" s="754"/>
      <c r="AH367" s="754"/>
      <c r="AI367" s="754"/>
      <c r="AJ367" s="754"/>
    </row>
    <row r="368" spans="19:36" ht="14.1" customHeight="1">
      <c r="S368" s="398"/>
      <c r="T368" s="740"/>
      <c r="U368" s="738"/>
      <c r="V368" s="737"/>
      <c r="W368" s="738"/>
      <c r="X368" s="738"/>
      <c r="Y368" s="738"/>
      <c r="Z368" s="738"/>
      <c r="AA368" s="738"/>
      <c r="AB368" s="738"/>
      <c r="AC368" s="738"/>
      <c r="AD368" s="754"/>
      <c r="AE368" s="738"/>
      <c r="AF368" s="738"/>
      <c r="AG368" s="738"/>
      <c r="AH368" s="738"/>
      <c r="AI368" s="738"/>
      <c r="AJ368" s="738"/>
    </row>
    <row r="369" spans="19:36" ht="14.1" customHeight="1">
      <c r="S369" s="398"/>
      <c r="T369" s="740"/>
      <c r="U369" s="738"/>
      <c r="V369" s="738"/>
      <c r="W369" s="738"/>
      <c r="X369" s="738"/>
      <c r="Y369" s="738"/>
      <c r="Z369" s="738"/>
      <c r="AA369" s="738"/>
      <c r="AB369" s="738"/>
      <c r="AC369" s="738"/>
      <c r="AD369" s="738"/>
      <c r="AE369" s="738"/>
      <c r="AF369" s="738"/>
      <c r="AG369" s="738"/>
      <c r="AH369" s="738"/>
      <c r="AI369" s="738"/>
      <c r="AJ369" s="738"/>
    </row>
    <row r="370" spans="19:36" ht="14.1" customHeight="1">
      <c r="S370" s="386"/>
      <c r="T370" s="386"/>
      <c r="U370" s="738"/>
      <c r="V370" s="776"/>
      <c r="W370" s="738"/>
      <c r="X370" s="738"/>
      <c r="Y370" s="738"/>
      <c r="Z370" s="738"/>
      <c r="AA370" s="738"/>
      <c r="AB370" s="738"/>
      <c r="AC370" s="738"/>
      <c r="AD370" s="754"/>
      <c r="AE370" s="754"/>
      <c r="AF370" s="754"/>
      <c r="AG370" s="754"/>
      <c r="AH370" s="754"/>
      <c r="AI370" s="754"/>
      <c r="AJ370" s="754"/>
    </row>
    <row r="371" spans="19:36" ht="14.1" customHeight="1">
      <c r="S371" s="386"/>
      <c r="T371" s="386"/>
      <c r="U371" s="738"/>
      <c r="V371" s="754"/>
      <c r="W371" s="754"/>
      <c r="X371" s="754"/>
      <c r="Y371" s="754"/>
      <c r="Z371" s="754"/>
      <c r="AA371" s="754"/>
      <c r="AB371" s="754"/>
      <c r="AC371" s="754"/>
      <c r="AD371" s="754"/>
      <c r="AE371" s="738"/>
      <c r="AF371" s="738"/>
      <c r="AG371" s="754"/>
      <c r="AH371" s="754"/>
      <c r="AI371" s="754"/>
      <c r="AJ371" s="754"/>
    </row>
    <row r="372" spans="19:36" ht="14.1" customHeight="1">
      <c r="S372" s="386"/>
      <c r="T372" s="386"/>
      <c r="U372" s="738"/>
      <c r="V372" s="737"/>
      <c r="W372" s="776"/>
      <c r="X372" s="776"/>
      <c r="Y372" s="738"/>
      <c r="Z372" s="738"/>
      <c r="AA372" s="738"/>
      <c r="AB372" s="738"/>
      <c r="AC372" s="738"/>
      <c r="AD372" s="754"/>
      <c r="AE372" s="754"/>
      <c r="AF372" s="754"/>
      <c r="AG372" s="754"/>
      <c r="AH372" s="754"/>
      <c r="AI372" s="754"/>
      <c r="AJ372" s="754"/>
    </row>
    <row r="373" spans="19:36" ht="14.1" customHeight="1">
      <c r="S373" s="386"/>
      <c r="T373" s="386"/>
      <c r="U373" s="738"/>
      <c r="V373" s="737"/>
      <c r="W373" s="738"/>
      <c r="X373" s="738"/>
      <c r="Y373" s="738"/>
      <c r="Z373" s="738"/>
      <c r="AA373" s="738"/>
      <c r="AB373" s="738"/>
      <c r="AC373" s="738"/>
      <c r="AD373" s="754"/>
      <c r="AE373" s="754"/>
      <c r="AF373" s="754"/>
      <c r="AG373" s="754"/>
      <c r="AH373" s="754"/>
      <c r="AI373" s="754"/>
      <c r="AJ373" s="754"/>
    </row>
    <row r="374" spans="19:36" ht="14.1" customHeight="1">
      <c r="S374" s="386"/>
      <c r="T374" s="386"/>
      <c r="U374" s="738"/>
      <c r="V374" s="776"/>
      <c r="W374" s="776"/>
      <c r="X374" s="776"/>
      <c r="Y374" s="738"/>
      <c r="Z374" s="776"/>
      <c r="AA374" s="776"/>
      <c r="AB374" s="776"/>
      <c r="AC374" s="776"/>
      <c r="AD374" s="754"/>
      <c r="AE374" s="754"/>
      <c r="AF374" s="754"/>
      <c r="AG374" s="754"/>
      <c r="AH374" s="754"/>
      <c r="AI374" s="754"/>
      <c r="AJ374" s="754"/>
    </row>
    <row r="375" spans="19:36" ht="14.1" customHeight="1">
      <c r="S375" s="386"/>
      <c r="T375" s="386"/>
      <c r="U375" s="738"/>
      <c r="V375" s="754"/>
      <c r="W375" s="754"/>
      <c r="X375" s="754"/>
      <c r="Y375" s="754"/>
      <c r="Z375" s="754"/>
      <c r="AA375" s="754"/>
      <c r="AB375" s="754"/>
      <c r="AC375" s="754"/>
      <c r="AD375" s="754"/>
      <c r="AE375" s="754"/>
      <c r="AF375" s="754"/>
      <c r="AG375" s="738"/>
      <c r="AH375" s="738"/>
      <c r="AI375" s="738"/>
      <c r="AJ375" s="738"/>
    </row>
    <row r="376" spans="19:36" ht="14.1" customHeight="1">
      <c r="S376" s="386"/>
      <c r="T376" s="386"/>
      <c r="U376" s="738"/>
      <c r="V376" s="776"/>
      <c r="W376" s="776"/>
      <c r="X376" s="776"/>
      <c r="Y376" s="776"/>
      <c r="Z376" s="738"/>
      <c r="AA376" s="738"/>
      <c r="AB376" s="738"/>
      <c r="AC376" s="738"/>
      <c r="AD376" s="754"/>
      <c r="AE376" s="754"/>
      <c r="AF376" s="754"/>
      <c r="AG376" s="754"/>
      <c r="AH376" s="754"/>
      <c r="AI376" s="754"/>
      <c r="AJ376" s="754"/>
    </row>
    <row r="377" spans="19:36" ht="14.1" customHeight="1">
      <c r="S377" s="398"/>
      <c r="T377" s="740"/>
      <c r="U377" s="738"/>
      <c r="V377" s="737"/>
      <c r="W377" s="738"/>
      <c r="X377" s="738"/>
      <c r="Y377" s="738"/>
      <c r="Z377" s="738"/>
      <c r="AA377" s="738"/>
      <c r="AB377" s="738"/>
      <c r="AC377" s="738"/>
      <c r="AD377" s="754"/>
      <c r="AE377" s="738"/>
      <c r="AF377" s="738"/>
      <c r="AG377" s="738"/>
      <c r="AH377" s="738"/>
      <c r="AI377" s="738"/>
      <c r="AJ377" s="738"/>
    </row>
    <row r="378" spans="19:36" ht="14.1" customHeight="1">
      <c r="S378" s="398"/>
      <c r="T378" s="740"/>
      <c r="U378" s="738"/>
      <c r="V378" s="738"/>
      <c r="W378" s="738"/>
      <c r="X378" s="738"/>
      <c r="Y378" s="738"/>
      <c r="Z378" s="738"/>
      <c r="AA378" s="738"/>
      <c r="AB378" s="738"/>
      <c r="AC378" s="738"/>
      <c r="AD378" s="738"/>
      <c r="AE378" s="738"/>
      <c r="AF378" s="738"/>
      <c r="AG378" s="738"/>
      <c r="AH378" s="738"/>
      <c r="AI378" s="738"/>
      <c r="AJ378" s="738"/>
    </row>
    <row r="379" spans="19:36" ht="14.1" customHeight="1">
      <c r="S379" s="386"/>
      <c r="T379" s="386"/>
      <c r="U379" s="738"/>
      <c r="V379" s="737"/>
      <c r="W379" s="776"/>
      <c r="X379" s="776"/>
      <c r="Y379" s="738"/>
      <c r="Z379" s="738"/>
      <c r="AA379" s="738"/>
      <c r="AB379" s="738"/>
      <c r="AC379" s="738"/>
      <c r="AD379" s="754"/>
      <c r="AE379" s="754"/>
      <c r="AF379" s="754"/>
      <c r="AG379" s="754"/>
      <c r="AH379" s="754"/>
      <c r="AI379" s="754"/>
      <c r="AJ379" s="754"/>
    </row>
    <row r="380" spans="19:36" ht="14.1" customHeight="1">
      <c r="S380" s="386"/>
      <c r="T380" s="386"/>
      <c r="U380" s="738"/>
      <c r="V380" s="754"/>
      <c r="W380" s="754"/>
      <c r="X380" s="754"/>
      <c r="Y380" s="754"/>
      <c r="Z380" s="754"/>
      <c r="AA380" s="754"/>
      <c r="AB380" s="754"/>
      <c r="AC380" s="754"/>
      <c r="AD380" s="754"/>
      <c r="AE380" s="738"/>
      <c r="AF380" s="738"/>
      <c r="AG380" s="754"/>
      <c r="AH380" s="754"/>
      <c r="AI380" s="754"/>
      <c r="AJ380" s="754"/>
    </row>
    <row r="381" spans="19:36" ht="14.1" customHeight="1">
      <c r="S381" s="386"/>
      <c r="T381" s="386"/>
      <c r="U381" s="738"/>
      <c r="V381" s="737"/>
      <c r="W381" s="738"/>
      <c r="X381" s="738"/>
      <c r="Y381" s="738"/>
      <c r="Z381" s="738"/>
      <c r="AA381" s="738"/>
      <c r="AB381" s="738"/>
      <c r="AC381" s="738"/>
      <c r="AD381" s="754"/>
      <c r="AE381" s="754"/>
      <c r="AF381" s="754"/>
      <c r="AG381" s="754"/>
      <c r="AH381" s="754"/>
      <c r="AI381" s="754"/>
      <c r="AJ381" s="754"/>
    </row>
    <row r="382" spans="19:36" ht="14.1" customHeight="1">
      <c r="S382" s="386"/>
      <c r="T382" s="386"/>
      <c r="U382" s="738"/>
      <c r="V382" s="754"/>
      <c r="W382" s="754"/>
      <c r="X382" s="754"/>
      <c r="Y382" s="754"/>
      <c r="Z382" s="754"/>
      <c r="AA382" s="754"/>
      <c r="AB382" s="754"/>
      <c r="AC382" s="754"/>
      <c r="AD382" s="754"/>
      <c r="AE382" s="754"/>
      <c r="AF382" s="754"/>
      <c r="AG382" s="757"/>
      <c r="AH382" s="757"/>
      <c r="AI382" s="757"/>
      <c r="AJ382" s="757"/>
    </row>
    <row r="383" spans="19:36" ht="14.1" customHeight="1">
      <c r="S383" s="386"/>
      <c r="T383" s="386"/>
      <c r="U383" s="738"/>
      <c r="V383" s="737"/>
      <c r="W383" s="738"/>
      <c r="X383" s="738"/>
      <c r="Y383" s="738"/>
      <c r="Z383" s="738"/>
      <c r="AA383" s="738"/>
      <c r="AB383" s="738"/>
      <c r="AC383" s="738"/>
      <c r="AD383" s="754"/>
      <c r="AE383" s="754"/>
      <c r="AF383" s="754"/>
      <c r="AG383" s="754"/>
      <c r="AH383" s="754"/>
      <c r="AI383" s="754"/>
      <c r="AJ383" s="754"/>
    </row>
    <row r="384" spans="19:36" ht="14.1" customHeight="1">
      <c r="S384" s="386"/>
      <c r="T384" s="386"/>
      <c r="U384" s="738"/>
      <c r="V384" s="737"/>
      <c r="W384" s="738"/>
      <c r="X384" s="738"/>
      <c r="Y384" s="738"/>
      <c r="Z384" s="738"/>
      <c r="AA384" s="738"/>
      <c r="AB384" s="738"/>
      <c r="AC384" s="738"/>
      <c r="AD384" s="754"/>
      <c r="AE384" s="754"/>
      <c r="AF384" s="754"/>
      <c r="AG384" s="754"/>
      <c r="AH384" s="754"/>
      <c r="AI384" s="754"/>
      <c r="AJ384" s="754"/>
    </row>
    <row r="385" spans="19:36" ht="14.1" customHeight="1">
      <c r="S385" s="386"/>
      <c r="T385" s="386"/>
      <c r="U385" s="738"/>
      <c r="V385" s="754"/>
      <c r="W385" s="754"/>
      <c r="X385" s="754"/>
      <c r="Y385" s="754"/>
      <c r="Z385" s="754"/>
      <c r="AA385" s="754"/>
      <c r="AB385" s="754"/>
      <c r="AC385" s="754"/>
      <c r="AD385" s="754"/>
      <c r="AE385" s="754"/>
      <c r="AF385" s="754"/>
      <c r="AG385" s="738"/>
      <c r="AH385" s="738"/>
      <c r="AI385" s="738"/>
      <c r="AJ385" s="738"/>
    </row>
    <row r="386" spans="19:36" ht="14.1" customHeight="1">
      <c r="S386" s="386"/>
      <c r="T386" s="398"/>
      <c r="U386" s="738"/>
      <c r="V386" s="754"/>
      <c r="W386" s="754"/>
      <c r="X386" s="754"/>
      <c r="Y386" s="754"/>
      <c r="Z386" s="754"/>
      <c r="AA386" s="754"/>
      <c r="AB386" s="754"/>
      <c r="AC386" s="754"/>
      <c r="AD386" s="754"/>
      <c r="AE386" s="738"/>
      <c r="AF386" s="738"/>
      <c r="AG386" s="754"/>
      <c r="AH386" s="754"/>
      <c r="AI386" s="754"/>
      <c r="AJ386" s="754"/>
    </row>
    <row r="387" spans="19:36" ht="14.1" customHeight="1">
      <c r="S387" s="386"/>
      <c r="T387" s="386"/>
      <c r="U387" s="738"/>
      <c r="V387" s="776"/>
      <c r="W387" s="776"/>
      <c r="X387" s="776"/>
      <c r="Y387" s="738"/>
      <c r="Z387" s="738"/>
      <c r="AA387" s="738"/>
      <c r="AB387" s="738"/>
      <c r="AC387" s="738"/>
      <c r="AD387" s="754"/>
      <c r="AE387" s="754"/>
      <c r="AF387" s="754"/>
      <c r="AG387" s="754"/>
      <c r="AH387" s="754"/>
      <c r="AI387" s="754"/>
      <c r="AJ387" s="754"/>
    </row>
    <row r="388" spans="19:36" ht="14.1" customHeight="1">
      <c r="S388" s="386"/>
      <c r="T388" s="386"/>
      <c r="U388" s="738"/>
      <c r="V388" s="776"/>
      <c r="W388" s="776"/>
      <c r="X388" s="776"/>
      <c r="Y388" s="738"/>
      <c r="Z388" s="738"/>
      <c r="AA388" s="738"/>
      <c r="AB388" s="738"/>
      <c r="AC388" s="738"/>
      <c r="AD388" s="754"/>
      <c r="AE388" s="754"/>
      <c r="AF388" s="754"/>
      <c r="AG388" s="754"/>
      <c r="AH388" s="754"/>
      <c r="AI388" s="754"/>
      <c r="AJ388" s="754"/>
    </row>
    <row r="389" spans="19:36" ht="14.1" customHeight="1">
      <c r="S389" s="398"/>
      <c r="T389" s="740"/>
      <c r="U389" s="738"/>
      <c r="V389" s="737"/>
      <c r="W389" s="738"/>
      <c r="X389" s="738"/>
      <c r="Y389" s="738"/>
      <c r="Z389" s="738"/>
      <c r="AA389" s="738"/>
      <c r="AB389" s="738"/>
      <c r="AC389" s="738"/>
      <c r="AD389" s="754"/>
      <c r="AE389" s="738"/>
      <c r="AF389" s="738"/>
      <c r="AG389" s="738"/>
      <c r="AH389" s="738"/>
      <c r="AI389" s="738"/>
      <c r="AJ389" s="738"/>
    </row>
    <row r="390" spans="19:36" ht="14.1" customHeight="1">
      <c r="S390" s="398"/>
      <c r="T390" s="740"/>
      <c r="U390" s="738"/>
      <c r="V390" s="738"/>
      <c r="W390" s="738"/>
      <c r="X390" s="738"/>
      <c r="Y390" s="738"/>
      <c r="Z390" s="738"/>
      <c r="AA390" s="738"/>
      <c r="AB390" s="738"/>
      <c r="AC390" s="738"/>
      <c r="AD390" s="738"/>
      <c r="AE390" s="738"/>
      <c r="AF390" s="738"/>
      <c r="AG390" s="738"/>
      <c r="AH390" s="738"/>
      <c r="AI390" s="738"/>
      <c r="AJ390" s="738"/>
    </row>
    <row r="391" spans="19:36" ht="14.1" customHeight="1">
      <c r="S391" s="386"/>
      <c r="T391" s="386"/>
      <c r="U391" s="738"/>
      <c r="V391" s="737"/>
      <c r="W391" s="738"/>
      <c r="X391" s="738"/>
      <c r="Y391" s="738"/>
      <c r="Z391" s="738"/>
      <c r="AA391" s="738"/>
      <c r="AB391" s="738"/>
      <c r="AC391" s="738"/>
      <c r="AD391" s="754"/>
      <c r="AE391" s="754"/>
      <c r="AF391" s="754"/>
      <c r="AG391" s="754"/>
      <c r="AH391" s="754"/>
      <c r="AI391" s="754"/>
      <c r="AJ391" s="754"/>
    </row>
    <row r="392" spans="19:36" ht="14.1" customHeight="1">
      <c r="S392" s="386"/>
      <c r="T392" s="386"/>
      <c r="U392" s="738"/>
      <c r="V392" s="754"/>
      <c r="W392" s="754"/>
      <c r="X392" s="754"/>
      <c r="Y392" s="754"/>
      <c r="Z392" s="754"/>
      <c r="AA392" s="754"/>
      <c r="AB392" s="754"/>
      <c r="AC392" s="754"/>
      <c r="AD392" s="754"/>
      <c r="AE392" s="738"/>
      <c r="AF392" s="738"/>
      <c r="AG392" s="754"/>
      <c r="AH392" s="754"/>
      <c r="AI392" s="754"/>
      <c r="AJ392" s="754"/>
    </row>
    <row r="393" spans="19:36" ht="14.1" customHeight="1">
      <c r="S393" s="386"/>
      <c r="T393" s="386"/>
      <c r="U393" s="738"/>
      <c r="V393" s="737"/>
      <c r="W393" s="738"/>
      <c r="X393" s="738"/>
      <c r="Y393" s="738"/>
      <c r="Z393" s="738"/>
      <c r="AA393" s="738"/>
      <c r="AB393" s="738"/>
      <c r="AC393" s="738"/>
      <c r="AD393" s="754"/>
      <c r="AE393" s="754"/>
      <c r="AF393" s="754"/>
      <c r="AG393" s="754"/>
      <c r="AH393" s="754"/>
      <c r="AI393" s="754"/>
      <c r="AJ393" s="754"/>
    </row>
    <row r="394" spans="19:36" ht="14.1" customHeight="1">
      <c r="S394" s="386"/>
      <c r="T394" s="386"/>
      <c r="U394" s="738"/>
      <c r="V394" s="754"/>
      <c r="W394" s="754"/>
      <c r="X394" s="754"/>
      <c r="Y394" s="754"/>
      <c r="Z394" s="754"/>
      <c r="AA394" s="754"/>
      <c r="AB394" s="754"/>
      <c r="AC394" s="754"/>
      <c r="AD394" s="754"/>
      <c r="AE394" s="738"/>
      <c r="AF394" s="738"/>
      <c r="AG394" s="754"/>
      <c r="AH394" s="754"/>
      <c r="AI394" s="754"/>
      <c r="AJ394" s="754"/>
    </row>
    <row r="395" spans="19:36" ht="14.1" customHeight="1">
      <c r="S395" s="386"/>
      <c r="T395" s="386"/>
      <c r="U395" s="738"/>
      <c r="V395" s="737"/>
      <c r="W395" s="776"/>
      <c r="X395" s="776"/>
      <c r="Y395" s="738"/>
      <c r="Z395" s="738"/>
      <c r="AA395" s="738"/>
      <c r="AB395" s="738"/>
      <c r="AC395" s="738"/>
      <c r="AD395" s="754"/>
      <c r="AE395" s="754"/>
      <c r="AF395" s="754"/>
      <c r="AG395" s="754"/>
      <c r="AH395" s="754"/>
      <c r="AI395" s="754"/>
      <c r="AJ395" s="754"/>
    </row>
    <row r="396" spans="19:36" ht="14.1" customHeight="1">
      <c r="S396" s="386"/>
      <c r="T396" s="386"/>
      <c r="U396" s="738"/>
      <c r="V396" s="738"/>
      <c r="W396" s="738"/>
      <c r="X396" s="738"/>
      <c r="Y396" s="738"/>
      <c r="Z396" s="738"/>
      <c r="AA396" s="738"/>
      <c r="AB396" s="738"/>
      <c r="AC396" s="738"/>
      <c r="AD396" s="754"/>
      <c r="AE396" s="754"/>
      <c r="AF396" s="754"/>
      <c r="AG396" s="754"/>
      <c r="AH396" s="754"/>
      <c r="AI396" s="754"/>
      <c r="AJ396" s="754"/>
    </row>
    <row r="397" spans="19:36" ht="14.1" customHeight="1">
      <c r="S397" s="386"/>
      <c r="T397" s="386"/>
      <c r="U397" s="738"/>
      <c r="V397" s="754"/>
      <c r="W397" s="754"/>
      <c r="X397" s="754"/>
      <c r="Y397" s="754"/>
      <c r="Z397" s="754"/>
      <c r="AA397" s="754"/>
      <c r="AB397" s="754"/>
      <c r="AC397" s="754"/>
      <c r="AD397" s="754"/>
      <c r="AE397" s="754"/>
      <c r="AF397" s="754"/>
      <c r="AG397" s="754"/>
      <c r="AH397" s="754"/>
      <c r="AI397" s="738"/>
      <c r="AJ397" s="738"/>
    </row>
    <row r="398" spans="19:36" ht="14.1" customHeight="1">
      <c r="S398" s="386"/>
      <c r="T398" s="386"/>
      <c r="U398" s="738"/>
      <c r="V398" s="737"/>
      <c r="W398" s="738"/>
      <c r="X398" s="738"/>
      <c r="Y398" s="738"/>
      <c r="Z398" s="738"/>
      <c r="AA398" s="738"/>
      <c r="AB398" s="738"/>
      <c r="AC398" s="738"/>
      <c r="AD398" s="754"/>
      <c r="AE398" s="754"/>
      <c r="AF398" s="754"/>
      <c r="AG398" s="754"/>
      <c r="AH398" s="754"/>
      <c r="AI398" s="754"/>
      <c r="AJ398" s="754"/>
    </row>
    <row r="399" spans="19:36" ht="14.1" customHeight="1">
      <c r="S399" s="386"/>
      <c r="T399" s="386"/>
      <c r="U399" s="738"/>
      <c r="V399" s="737"/>
      <c r="W399" s="738"/>
      <c r="X399" s="738"/>
      <c r="Y399" s="738"/>
      <c r="Z399" s="738"/>
      <c r="AA399" s="738"/>
      <c r="AB399" s="738"/>
      <c r="AC399" s="738"/>
      <c r="AD399" s="754"/>
      <c r="AE399" s="754"/>
      <c r="AF399" s="754"/>
      <c r="AG399" s="754"/>
      <c r="AH399" s="754"/>
      <c r="AI399" s="754"/>
      <c r="AJ399" s="754"/>
    </row>
    <row r="400" spans="19:36" ht="14.1" customHeight="1">
      <c r="S400" s="386"/>
      <c r="T400" s="386"/>
      <c r="U400" s="738"/>
      <c r="V400" s="754"/>
      <c r="W400" s="754"/>
      <c r="X400" s="754"/>
      <c r="Y400" s="754"/>
      <c r="Z400" s="754"/>
      <c r="AA400" s="754"/>
      <c r="AB400" s="754"/>
      <c r="AC400" s="754"/>
      <c r="AD400" s="754"/>
      <c r="AE400" s="738"/>
      <c r="AF400" s="738"/>
      <c r="AG400" s="737"/>
      <c r="AH400" s="737"/>
      <c r="AI400" s="737"/>
      <c r="AJ400" s="738"/>
    </row>
    <row r="401" spans="19:36" ht="14.1" customHeight="1">
      <c r="S401" s="676"/>
    </row>
    <row r="402" spans="19:36" ht="14.1" customHeight="1">
      <c r="S402" s="386"/>
    </row>
    <row r="407" spans="19:36" ht="14.1" customHeight="1">
      <c r="S407" s="398"/>
    </row>
    <row r="408" spans="19:36" ht="14.1" customHeight="1">
      <c r="U408" s="690"/>
      <c r="V408" s="690"/>
      <c r="W408" s="690"/>
      <c r="X408" s="690"/>
      <c r="Y408" s="690"/>
      <c r="Z408" s="690"/>
      <c r="AA408" s="690"/>
      <c r="AB408" s="690"/>
      <c r="AC408" s="690"/>
      <c r="AD408" s="690"/>
      <c r="AE408" s="690"/>
      <c r="AF408" s="690"/>
      <c r="AG408" s="690"/>
      <c r="AH408" s="690"/>
      <c r="AI408" s="690"/>
      <c r="AJ408" s="690"/>
    </row>
    <row r="409" spans="19:36" ht="14.1" customHeight="1">
      <c r="T409" s="402"/>
      <c r="U409" s="690"/>
      <c r="V409" s="690"/>
      <c r="W409" s="690"/>
      <c r="X409" s="690"/>
      <c r="Y409" s="690"/>
      <c r="Z409" s="690"/>
      <c r="AA409" s="690"/>
      <c r="AB409" s="690"/>
      <c r="AC409" s="690"/>
      <c r="AD409" s="690"/>
      <c r="AE409" s="690"/>
      <c r="AF409" s="690"/>
      <c r="AG409" s="690"/>
      <c r="AH409" s="690"/>
      <c r="AI409" s="690"/>
      <c r="AJ409" s="690"/>
    </row>
    <row r="410" spans="19:36" ht="14.1" customHeight="1">
      <c r="S410" s="398"/>
      <c r="T410" s="740"/>
      <c r="U410" s="738"/>
      <c r="V410" s="738"/>
      <c r="W410" s="738"/>
      <c r="X410" s="738"/>
      <c r="Y410" s="738"/>
      <c r="Z410" s="738"/>
      <c r="AA410" s="738"/>
      <c r="AB410" s="738"/>
      <c r="AC410" s="738"/>
      <c r="AD410" s="738"/>
      <c r="AE410" s="738"/>
      <c r="AF410" s="738"/>
      <c r="AG410" s="738"/>
      <c r="AH410" s="738"/>
      <c r="AI410" s="738"/>
      <c r="AJ410" s="738"/>
    </row>
    <row r="411" spans="19:36" ht="14.1" customHeight="1">
      <c r="S411" s="398"/>
      <c r="T411" s="740"/>
      <c r="U411" s="738"/>
      <c r="V411" s="738"/>
      <c r="W411" s="738"/>
      <c r="X411" s="738"/>
      <c r="Y411" s="738"/>
      <c r="Z411" s="738"/>
      <c r="AA411" s="738"/>
      <c r="AB411" s="738"/>
      <c r="AC411" s="738"/>
      <c r="AD411" s="738"/>
      <c r="AE411" s="738"/>
      <c r="AF411" s="738"/>
      <c r="AG411" s="738"/>
      <c r="AH411" s="738"/>
      <c r="AI411" s="738"/>
      <c r="AJ411" s="738"/>
    </row>
    <row r="412" spans="19:36" ht="14.1" customHeight="1">
      <c r="S412" s="386"/>
      <c r="T412" s="386"/>
      <c r="U412" s="738"/>
      <c r="V412" s="737"/>
      <c r="W412" s="738"/>
      <c r="X412" s="738"/>
      <c r="Y412" s="738"/>
      <c r="Z412" s="738"/>
      <c r="AA412" s="738"/>
      <c r="AB412" s="738"/>
      <c r="AC412" s="738"/>
      <c r="AD412" s="754"/>
      <c r="AE412" s="754"/>
      <c r="AF412" s="754"/>
      <c r="AG412" s="754"/>
      <c r="AH412" s="754"/>
      <c r="AI412" s="754"/>
      <c r="AJ412" s="754"/>
    </row>
    <row r="413" spans="19:36" ht="14.1" customHeight="1">
      <c r="S413" s="386"/>
      <c r="T413" s="386"/>
      <c r="U413" s="738"/>
      <c r="V413" s="776"/>
      <c r="W413" s="776"/>
      <c r="X413" s="776"/>
      <c r="Y413" s="776"/>
      <c r="Z413" s="776"/>
      <c r="AA413" s="776"/>
      <c r="AB413" s="776"/>
      <c r="AC413" s="776"/>
      <c r="AD413" s="754"/>
      <c r="AE413" s="738"/>
      <c r="AF413" s="738"/>
      <c r="AG413" s="754"/>
      <c r="AH413" s="754"/>
      <c r="AI413" s="754"/>
      <c r="AJ413" s="754"/>
    </row>
    <row r="414" spans="19:36" ht="14.1" customHeight="1">
      <c r="S414" s="386"/>
      <c r="T414" s="386"/>
      <c r="U414" s="738"/>
      <c r="V414" s="737"/>
      <c r="W414" s="738"/>
      <c r="X414" s="738"/>
      <c r="Y414" s="738"/>
      <c r="Z414" s="738"/>
      <c r="AA414" s="738"/>
      <c r="AB414" s="738"/>
      <c r="AC414" s="738"/>
      <c r="AD414" s="754"/>
      <c r="AE414" s="754"/>
      <c r="AF414" s="754"/>
      <c r="AG414" s="754"/>
      <c r="AH414" s="754"/>
      <c r="AI414" s="754"/>
      <c r="AJ414" s="754"/>
    </row>
    <row r="415" spans="19:36" ht="14.1" customHeight="1">
      <c r="S415" s="386"/>
      <c r="T415" s="386"/>
      <c r="U415" s="738"/>
      <c r="V415" s="737"/>
      <c r="W415" s="738"/>
      <c r="X415" s="738"/>
      <c r="Y415" s="738"/>
      <c r="Z415" s="738"/>
      <c r="AA415" s="738"/>
      <c r="AB415" s="738"/>
      <c r="AC415" s="738"/>
      <c r="AD415" s="754"/>
      <c r="AE415" s="754"/>
      <c r="AF415" s="754"/>
      <c r="AG415" s="754"/>
      <c r="AH415" s="754"/>
      <c r="AI415" s="754"/>
      <c r="AJ415" s="754"/>
    </row>
    <row r="416" spans="19:36" ht="14.1" customHeight="1">
      <c r="S416" s="386"/>
      <c r="T416" s="386"/>
      <c r="U416" s="738"/>
      <c r="V416" s="776"/>
      <c r="W416" s="738"/>
      <c r="X416" s="738"/>
      <c r="Y416" s="738"/>
      <c r="Z416" s="738"/>
      <c r="AA416" s="738"/>
      <c r="AB416" s="738"/>
      <c r="AC416" s="738"/>
      <c r="AD416" s="754"/>
      <c r="AE416" s="754"/>
      <c r="AF416" s="754"/>
      <c r="AG416" s="754"/>
      <c r="AH416" s="754"/>
      <c r="AI416" s="754"/>
      <c r="AJ416" s="754"/>
    </row>
    <row r="417" spans="19:147" ht="14.1" customHeight="1">
      <c r="S417" s="386"/>
      <c r="T417" s="386"/>
      <c r="U417" s="738"/>
      <c r="V417" s="737"/>
      <c r="W417" s="738"/>
      <c r="X417" s="738"/>
      <c r="Y417" s="738"/>
      <c r="Z417" s="738"/>
      <c r="AA417" s="738"/>
      <c r="AB417" s="738"/>
      <c r="AC417" s="738"/>
      <c r="AD417" s="754"/>
      <c r="AE417" s="754"/>
      <c r="AF417" s="754"/>
      <c r="AG417" s="754"/>
      <c r="AH417" s="754"/>
      <c r="AI417" s="754"/>
      <c r="AJ417" s="754"/>
    </row>
    <row r="418" spans="19:147" ht="14.1" customHeight="1">
      <c r="S418" s="386"/>
      <c r="T418" s="386"/>
      <c r="U418" s="738"/>
      <c r="V418" s="754"/>
      <c r="W418" s="754"/>
      <c r="X418" s="754"/>
      <c r="Y418" s="754"/>
      <c r="Z418" s="754"/>
      <c r="AA418" s="754"/>
      <c r="AB418" s="754"/>
      <c r="AC418" s="754"/>
      <c r="AD418" s="754"/>
      <c r="AE418" s="754"/>
      <c r="AF418" s="754"/>
      <c r="AG418" s="738"/>
      <c r="AH418" s="738"/>
      <c r="AI418" s="738"/>
      <c r="AJ418" s="738"/>
    </row>
    <row r="419" spans="19:147" ht="14.1" customHeight="1">
      <c r="S419" s="386"/>
      <c r="T419" s="386"/>
      <c r="U419" s="738"/>
      <c r="V419" s="737"/>
      <c r="W419" s="738"/>
      <c r="X419" s="738"/>
      <c r="Y419" s="738"/>
      <c r="Z419" s="738"/>
      <c r="AA419" s="738"/>
      <c r="AB419" s="738"/>
      <c r="AC419" s="738"/>
      <c r="AD419" s="754"/>
      <c r="AE419" s="754"/>
      <c r="AF419" s="754"/>
      <c r="AG419" s="754"/>
      <c r="AH419" s="754"/>
      <c r="AI419" s="754"/>
      <c r="AJ419" s="754"/>
    </row>
    <row r="420" spans="19:147" ht="14.1" customHeight="1">
      <c r="S420" s="386"/>
      <c r="T420" s="386"/>
      <c r="U420" s="738"/>
      <c r="V420" s="754"/>
      <c r="W420" s="754"/>
      <c r="X420" s="754"/>
      <c r="Y420" s="754"/>
      <c r="Z420" s="754"/>
      <c r="AA420" s="754"/>
      <c r="AB420" s="754"/>
      <c r="AC420" s="754"/>
      <c r="AD420" s="754"/>
      <c r="AE420" s="754"/>
      <c r="AF420" s="754"/>
      <c r="AG420" s="754"/>
      <c r="AH420" s="754"/>
      <c r="AI420" s="754"/>
      <c r="AJ420" s="754"/>
      <c r="EN420" s="690"/>
      <c r="EO420" s="690"/>
    </row>
    <row r="421" spans="19:147" ht="14.1" customHeight="1">
      <c r="S421" s="386"/>
      <c r="T421" s="386"/>
      <c r="U421" s="738"/>
      <c r="V421" s="737"/>
      <c r="W421" s="738"/>
      <c r="X421" s="738"/>
      <c r="Y421" s="738"/>
      <c r="Z421" s="738"/>
      <c r="AA421" s="738"/>
      <c r="AB421" s="738"/>
      <c r="AC421" s="738"/>
      <c r="AD421" s="754"/>
      <c r="AE421" s="754"/>
      <c r="AF421" s="754"/>
      <c r="AG421" s="754"/>
      <c r="AH421" s="754"/>
      <c r="AI421" s="754"/>
      <c r="AJ421" s="754"/>
      <c r="EP421" s="690"/>
      <c r="EQ421" s="690"/>
    </row>
    <row r="422" spans="19:147" ht="14.1" customHeight="1">
      <c r="S422" s="386"/>
      <c r="T422" s="386"/>
      <c r="U422" s="738"/>
      <c r="V422" s="754"/>
      <c r="W422" s="754"/>
      <c r="X422" s="754"/>
      <c r="Y422" s="754"/>
      <c r="Z422" s="754"/>
      <c r="AA422" s="754"/>
      <c r="AB422" s="754"/>
      <c r="AC422" s="754"/>
      <c r="AD422" s="754"/>
      <c r="AE422" s="754"/>
      <c r="AF422" s="754"/>
      <c r="AG422" s="754"/>
      <c r="AH422" s="754"/>
      <c r="AI422" s="754"/>
      <c r="AJ422" s="754"/>
    </row>
    <row r="423" spans="19:147" ht="14.1" customHeight="1">
      <c r="S423" s="386"/>
      <c r="T423" s="386"/>
      <c r="U423" s="738"/>
      <c r="V423" s="737"/>
      <c r="W423" s="738"/>
      <c r="X423" s="738"/>
      <c r="Y423" s="738"/>
      <c r="Z423" s="738"/>
      <c r="AA423" s="738"/>
      <c r="AB423" s="738"/>
      <c r="AC423" s="738"/>
      <c r="AD423" s="754"/>
      <c r="AE423" s="754"/>
      <c r="AF423" s="754"/>
      <c r="AG423" s="754"/>
      <c r="AH423" s="754"/>
      <c r="AI423" s="754"/>
      <c r="AJ423" s="754"/>
    </row>
    <row r="424" spans="19:147" ht="14.1" customHeight="1">
      <c r="S424" s="386"/>
      <c r="T424" s="386"/>
      <c r="U424" s="738"/>
      <c r="V424" s="754"/>
      <c r="W424" s="754"/>
      <c r="X424" s="754"/>
      <c r="Y424" s="754"/>
      <c r="Z424" s="754"/>
      <c r="AA424" s="754"/>
      <c r="AB424" s="754"/>
      <c r="AC424" s="754"/>
      <c r="AD424" s="754"/>
      <c r="AE424" s="754"/>
      <c r="AF424" s="754"/>
      <c r="AG424" s="738"/>
      <c r="AH424" s="738"/>
      <c r="AI424" s="738"/>
      <c r="AJ424" s="738"/>
    </row>
    <row r="425" spans="19:147" ht="14.1" customHeight="1">
      <c r="S425" s="386"/>
      <c r="T425" s="386"/>
      <c r="U425" s="738"/>
      <c r="V425" s="737"/>
      <c r="W425" s="776"/>
      <c r="X425" s="776"/>
      <c r="Y425" s="738"/>
      <c r="Z425" s="738"/>
      <c r="AA425" s="738"/>
      <c r="AB425" s="738"/>
      <c r="AC425" s="738"/>
      <c r="AD425" s="754"/>
      <c r="AE425" s="754"/>
      <c r="AF425" s="754"/>
      <c r="AG425" s="754"/>
      <c r="AH425" s="754"/>
      <c r="AI425" s="754"/>
      <c r="AJ425" s="754"/>
    </row>
    <row r="426" spans="19:147" ht="14.1" customHeight="1">
      <c r="S426" s="398"/>
      <c r="T426" s="740"/>
      <c r="U426" s="738"/>
      <c r="V426" s="737"/>
      <c r="W426" s="738"/>
      <c r="X426" s="738"/>
      <c r="Y426" s="738"/>
      <c r="Z426" s="738"/>
      <c r="AA426" s="738"/>
      <c r="AB426" s="738"/>
      <c r="AC426" s="738"/>
      <c r="AD426" s="754"/>
      <c r="AE426" s="738"/>
      <c r="AF426" s="738"/>
      <c r="AG426" s="738"/>
      <c r="AH426" s="738"/>
      <c r="AI426" s="738"/>
      <c r="AJ426" s="738"/>
    </row>
    <row r="427" spans="19:147" ht="14.1" customHeight="1">
      <c r="S427" s="398"/>
      <c r="T427" s="740"/>
      <c r="U427" s="738"/>
      <c r="V427" s="738"/>
      <c r="W427" s="738"/>
      <c r="X427" s="738"/>
      <c r="Y427" s="738"/>
      <c r="Z427" s="738"/>
      <c r="AA427" s="738"/>
      <c r="AB427" s="738"/>
      <c r="AC427" s="738"/>
      <c r="AD427" s="738"/>
      <c r="AE427" s="738"/>
      <c r="AF427" s="738"/>
      <c r="AG427" s="738"/>
      <c r="AH427" s="738"/>
      <c r="AI427" s="738"/>
      <c r="AJ427" s="738"/>
    </row>
    <row r="428" spans="19:147" ht="14.1" customHeight="1">
      <c r="S428" s="386"/>
      <c r="T428" s="386"/>
      <c r="U428" s="738"/>
      <c r="V428" s="776"/>
      <c r="W428" s="738"/>
      <c r="X428" s="738"/>
      <c r="Y428" s="738"/>
      <c r="Z428" s="738"/>
      <c r="AA428" s="738"/>
      <c r="AB428" s="738"/>
      <c r="AC428" s="738"/>
      <c r="AD428" s="754"/>
      <c r="AE428" s="754"/>
      <c r="AF428" s="754"/>
      <c r="AG428" s="754"/>
      <c r="AH428" s="754"/>
      <c r="AI428" s="754"/>
      <c r="AJ428" s="754"/>
    </row>
    <row r="429" spans="19:147" ht="14.1" customHeight="1">
      <c r="S429" s="386"/>
      <c r="T429" s="386"/>
      <c r="U429" s="738"/>
      <c r="V429" s="754"/>
      <c r="W429" s="754"/>
      <c r="X429" s="754"/>
      <c r="Y429" s="754"/>
      <c r="Z429" s="754"/>
      <c r="AA429" s="754"/>
      <c r="AB429" s="754"/>
      <c r="AC429" s="754"/>
      <c r="AD429" s="754"/>
      <c r="AE429" s="738"/>
      <c r="AF429" s="738"/>
      <c r="AG429" s="754"/>
      <c r="AH429" s="754"/>
      <c r="AI429" s="754"/>
      <c r="AJ429" s="754"/>
    </row>
    <row r="430" spans="19:147" ht="14.1" customHeight="1">
      <c r="S430" s="386"/>
      <c r="T430" s="386"/>
      <c r="U430" s="738"/>
      <c r="V430" s="737"/>
      <c r="W430" s="776"/>
      <c r="X430" s="776"/>
      <c r="Y430" s="738"/>
      <c r="Z430" s="738"/>
      <c r="AA430" s="738"/>
      <c r="AB430" s="738"/>
      <c r="AC430" s="738"/>
      <c r="AD430" s="754"/>
      <c r="AE430" s="754"/>
      <c r="AF430" s="754"/>
      <c r="AG430" s="754"/>
      <c r="AH430" s="754"/>
      <c r="AI430" s="754"/>
      <c r="AJ430" s="754"/>
    </row>
    <row r="431" spans="19:147" ht="14.1" customHeight="1">
      <c r="S431" s="386"/>
      <c r="T431" s="386"/>
      <c r="U431" s="738"/>
      <c r="V431" s="737"/>
      <c r="W431" s="738"/>
      <c r="X431" s="738"/>
      <c r="Y431" s="738"/>
      <c r="Z431" s="738"/>
      <c r="AA431" s="738"/>
      <c r="AB431" s="738"/>
      <c r="AC431" s="738"/>
      <c r="AD431" s="754"/>
      <c r="AE431" s="754"/>
      <c r="AF431" s="754"/>
      <c r="AG431" s="754"/>
      <c r="AH431" s="754"/>
      <c r="AI431" s="754"/>
      <c r="AJ431" s="754"/>
    </row>
    <row r="432" spans="19:147" ht="14.1" customHeight="1">
      <c r="S432" s="386"/>
      <c r="T432" s="386"/>
      <c r="U432" s="738"/>
      <c r="V432" s="776"/>
      <c r="W432" s="776"/>
      <c r="X432" s="776"/>
      <c r="Y432" s="738"/>
      <c r="Z432" s="776"/>
      <c r="AA432" s="776"/>
      <c r="AB432" s="776"/>
      <c r="AC432" s="776"/>
      <c r="AD432" s="754"/>
      <c r="AE432" s="754"/>
      <c r="AF432" s="754"/>
      <c r="AG432" s="754"/>
      <c r="AH432" s="754"/>
      <c r="AI432" s="754"/>
      <c r="AJ432" s="754"/>
    </row>
    <row r="433" spans="19:36" ht="14.1" customHeight="1">
      <c r="S433" s="386"/>
      <c r="T433" s="386"/>
      <c r="U433" s="738"/>
      <c r="V433" s="754"/>
      <c r="W433" s="754"/>
      <c r="X433" s="754"/>
      <c r="Y433" s="754"/>
      <c r="Z433" s="754"/>
      <c r="AA433" s="754"/>
      <c r="AB433" s="754"/>
      <c r="AC433" s="754"/>
      <c r="AD433" s="754"/>
      <c r="AE433" s="754"/>
      <c r="AF433" s="754"/>
      <c r="AG433" s="738"/>
      <c r="AH433" s="738"/>
      <c r="AI433" s="738"/>
      <c r="AJ433" s="738"/>
    </row>
    <row r="434" spans="19:36" ht="14.1" customHeight="1">
      <c r="S434" s="386"/>
      <c r="T434" s="386"/>
      <c r="U434" s="738"/>
      <c r="V434" s="776"/>
      <c r="W434" s="776"/>
      <c r="X434" s="776"/>
      <c r="Y434" s="776"/>
      <c r="Z434" s="738"/>
      <c r="AA434" s="738"/>
      <c r="AB434" s="738"/>
      <c r="AC434" s="738"/>
      <c r="AD434" s="754"/>
      <c r="AE434" s="754"/>
      <c r="AF434" s="754"/>
      <c r="AG434" s="754"/>
      <c r="AH434" s="754"/>
      <c r="AI434" s="754"/>
      <c r="AJ434" s="754"/>
    </row>
    <row r="435" spans="19:36" ht="14.1" customHeight="1">
      <c r="S435" s="398"/>
      <c r="T435" s="740"/>
      <c r="U435" s="738"/>
      <c r="V435" s="737"/>
      <c r="W435" s="738"/>
      <c r="X435" s="738"/>
      <c r="Y435" s="738"/>
      <c r="Z435" s="738"/>
      <c r="AA435" s="738"/>
      <c r="AB435" s="738"/>
      <c r="AC435" s="738"/>
      <c r="AD435" s="754"/>
      <c r="AE435" s="738"/>
      <c r="AF435" s="738"/>
      <c r="AG435" s="738"/>
      <c r="AH435" s="738"/>
      <c r="AI435" s="738"/>
      <c r="AJ435" s="738"/>
    </row>
    <row r="436" spans="19:36" ht="14.1" customHeight="1">
      <c r="S436" s="398"/>
      <c r="T436" s="740"/>
      <c r="U436" s="738"/>
      <c r="V436" s="738"/>
      <c r="W436" s="738"/>
      <c r="X436" s="738"/>
      <c r="Y436" s="738"/>
      <c r="Z436" s="738"/>
      <c r="AA436" s="738"/>
      <c r="AB436" s="738"/>
      <c r="AC436" s="738"/>
      <c r="AD436" s="738"/>
      <c r="AE436" s="738"/>
      <c r="AF436" s="738"/>
      <c r="AG436" s="738"/>
      <c r="AH436" s="738"/>
      <c r="AI436" s="738"/>
      <c r="AJ436" s="738"/>
    </row>
    <row r="437" spans="19:36" ht="14.1" customHeight="1">
      <c r="S437" s="386"/>
      <c r="T437" s="386"/>
      <c r="U437" s="738"/>
      <c r="V437" s="737"/>
      <c r="W437" s="776"/>
      <c r="X437" s="776"/>
      <c r="Y437" s="738"/>
      <c r="Z437" s="738"/>
      <c r="AA437" s="738"/>
      <c r="AB437" s="738"/>
      <c r="AC437" s="738"/>
      <c r="AD437" s="754"/>
      <c r="AE437" s="754"/>
      <c r="AF437" s="754"/>
      <c r="AG437" s="754"/>
      <c r="AH437" s="754"/>
      <c r="AI437" s="754"/>
      <c r="AJ437" s="754"/>
    </row>
    <row r="438" spans="19:36" ht="14.1" customHeight="1">
      <c r="S438" s="386"/>
      <c r="T438" s="386"/>
      <c r="U438" s="738"/>
      <c r="V438" s="754"/>
      <c r="W438" s="754"/>
      <c r="X438" s="754"/>
      <c r="Y438" s="754"/>
      <c r="Z438" s="754"/>
      <c r="AA438" s="754"/>
      <c r="AB438" s="754"/>
      <c r="AC438" s="754"/>
      <c r="AD438" s="754"/>
      <c r="AE438" s="738"/>
      <c r="AF438" s="738"/>
      <c r="AG438" s="754"/>
      <c r="AH438" s="754"/>
      <c r="AI438" s="754"/>
      <c r="AJ438" s="754"/>
    </row>
    <row r="439" spans="19:36" ht="14.1" customHeight="1">
      <c r="S439" s="386"/>
      <c r="T439" s="386"/>
      <c r="U439" s="738"/>
      <c r="V439" s="737"/>
      <c r="W439" s="738"/>
      <c r="X439" s="738"/>
      <c r="Y439" s="738"/>
      <c r="Z439" s="738"/>
      <c r="AA439" s="738"/>
      <c r="AB439" s="738"/>
      <c r="AC439" s="738"/>
      <c r="AD439" s="754"/>
      <c r="AE439" s="754"/>
      <c r="AF439" s="754"/>
      <c r="AG439" s="754"/>
      <c r="AH439" s="754"/>
      <c r="AI439" s="754"/>
      <c r="AJ439" s="754"/>
    </row>
    <row r="440" spans="19:36" ht="14.1" customHeight="1">
      <c r="S440" s="386"/>
      <c r="T440" s="386"/>
      <c r="U440" s="738"/>
      <c r="V440" s="754"/>
      <c r="W440" s="754"/>
      <c r="X440" s="754"/>
      <c r="Y440" s="754"/>
      <c r="Z440" s="754"/>
      <c r="AA440" s="754"/>
      <c r="AB440" s="754"/>
      <c r="AC440" s="754"/>
      <c r="AD440" s="754"/>
      <c r="AE440" s="754"/>
      <c r="AF440" s="754"/>
      <c r="AG440" s="757"/>
      <c r="AH440" s="757"/>
      <c r="AI440" s="757"/>
      <c r="AJ440" s="757"/>
    </row>
    <row r="441" spans="19:36" ht="14.1" customHeight="1">
      <c r="S441" s="386"/>
      <c r="T441" s="386"/>
      <c r="U441" s="738"/>
      <c r="V441" s="737"/>
      <c r="W441" s="738"/>
      <c r="X441" s="738"/>
      <c r="Y441" s="738"/>
      <c r="Z441" s="738"/>
      <c r="AA441" s="738"/>
      <c r="AB441" s="738"/>
      <c r="AC441" s="738"/>
      <c r="AD441" s="754"/>
      <c r="AE441" s="754"/>
      <c r="AF441" s="754"/>
      <c r="AG441" s="754"/>
      <c r="AH441" s="754"/>
      <c r="AI441" s="754"/>
      <c r="AJ441" s="754"/>
    </row>
    <row r="442" spans="19:36" ht="14.1" customHeight="1">
      <c r="S442" s="386"/>
      <c r="T442" s="386"/>
      <c r="U442" s="738"/>
      <c r="V442" s="737"/>
      <c r="W442" s="738"/>
      <c r="X442" s="738"/>
      <c r="Y442" s="738"/>
      <c r="Z442" s="738"/>
      <c r="AA442" s="738"/>
      <c r="AB442" s="738"/>
      <c r="AC442" s="738"/>
      <c r="AD442" s="754"/>
      <c r="AE442" s="754"/>
      <c r="AF442" s="754"/>
      <c r="AG442" s="754"/>
      <c r="AH442" s="754"/>
      <c r="AI442" s="754"/>
      <c r="AJ442" s="754"/>
    </row>
    <row r="443" spans="19:36" ht="14.1" customHeight="1">
      <c r="S443" s="386"/>
      <c r="T443" s="386"/>
      <c r="U443" s="738"/>
      <c r="V443" s="754"/>
      <c r="W443" s="754"/>
      <c r="X443" s="754"/>
      <c r="Y443" s="754"/>
      <c r="Z443" s="754"/>
      <c r="AA443" s="754"/>
      <c r="AB443" s="754"/>
      <c r="AC443" s="754"/>
      <c r="AD443" s="754"/>
      <c r="AE443" s="754"/>
      <c r="AF443" s="754"/>
      <c r="AG443" s="738"/>
      <c r="AH443" s="738"/>
      <c r="AI443" s="738"/>
      <c r="AJ443" s="738"/>
    </row>
    <row r="444" spans="19:36" ht="14.1" customHeight="1">
      <c r="S444" s="386"/>
      <c r="T444" s="398"/>
      <c r="U444" s="738"/>
      <c r="V444" s="754"/>
      <c r="W444" s="754"/>
      <c r="X444" s="754"/>
      <c r="Y444" s="754"/>
      <c r="Z444" s="754"/>
      <c r="AA444" s="754"/>
      <c r="AB444" s="754"/>
      <c r="AC444" s="754"/>
      <c r="AD444" s="754"/>
      <c r="AE444" s="738"/>
      <c r="AF444" s="738"/>
      <c r="AG444" s="754"/>
      <c r="AH444" s="754"/>
      <c r="AI444" s="754"/>
      <c r="AJ444" s="754"/>
    </row>
    <row r="445" spans="19:36" ht="14.1" customHeight="1">
      <c r="S445" s="386"/>
      <c r="T445" s="386"/>
      <c r="U445" s="738"/>
      <c r="V445" s="776"/>
      <c r="W445" s="776"/>
      <c r="X445" s="776"/>
      <c r="Y445" s="738"/>
      <c r="Z445" s="738"/>
      <c r="AA445" s="738"/>
      <c r="AB445" s="738"/>
      <c r="AC445" s="738"/>
      <c r="AD445" s="754"/>
      <c r="AE445" s="754"/>
      <c r="AF445" s="754"/>
      <c r="AG445" s="754"/>
      <c r="AH445" s="754"/>
      <c r="AI445" s="754"/>
      <c r="AJ445" s="754"/>
    </row>
    <row r="446" spans="19:36" ht="14.1" customHeight="1">
      <c r="S446" s="386"/>
      <c r="T446" s="386"/>
      <c r="U446" s="738"/>
      <c r="V446" s="776"/>
      <c r="W446" s="776"/>
      <c r="X446" s="776"/>
      <c r="Y446" s="738"/>
      <c r="Z446" s="738"/>
      <c r="AA446" s="738"/>
      <c r="AB446" s="738"/>
      <c r="AC446" s="738"/>
      <c r="AD446" s="754"/>
      <c r="AE446" s="754"/>
      <c r="AF446" s="754"/>
      <c r="AG446" s="754"/>
      <c r="AH446" s="754"/>
      <c r="AI446" s="754"/>
      <c r="AJ446" s="754"/>
    </row>
    <row r="447" spans="19:36" ht="14.1" customHeight="1">
      <c r="S447" s="398"/>
      <c r="T447" s="740"/>
      <c r="U447" s="738"/>
      <c r="V447" s="737"/>
      <c r="W447" s="738"/>
      <c r="X447" s="738"/>
      <c r="Y447" s="738"/>
      <c r="Z447" s="738"/>
      <c r="AA447" s="738"/>
      <c r="AB447" s="738"/>
      <c r="AC447" s="738"/>
      <c r="AD447" s="754"/>
      <c r="AE447" s="738"/>
      <c r="AF447" s="738"/>
      <c r="AG447" s="738"/>
      <c r="AH447" s="738"/>
      <c r="AI447" s="738"/>
      <c r="AJ447" s="738"/>
    </row>
    <row r="448" spans="19:36" ht="14.1" customHeight="1">
      <c r="S448" s="398"/>
      <c r="T448" s="740"/>
      <c r="U448" s="738"/>
      <c r="V448" s="738"/>
      <c r="W448" s="738"/>
      <c r="X448" s="738"/>
      <c r="Y448" s="738"/>
      <c r="Z448" s="738"/>
      <c r="AA448" s="738"/>
      <c r="AB448" s="738"/>
      <c r="AC448" s="738"/>
      <c r="AD448" s="738"/>
      <c r="AE448" s="738"/>
      <c r="AF448" s="738"/>
      <c r="AG448" s="738"/>
      <c r="AH448" s="738"/>
      <c r="AI448" s="738"/>
      <c r="AJ448" s="738"/>
    </row>
    <row r="449" spans="19:36" ht="14.1" customHeight="1">
      <c r="S449" s="386"/>
      <c r="T449" s="386"/>
      <c r="U449" s="738"/>
      <c r="V449" s="737"/>
      <c r="W449" s="738"/>
      <c r="X449" s="738"/>
      <c r="Y449" s="738"/>
      <c r="Z449" s="738"/>
      <c r="AA449" s="738"/>
      <c r="AB449" s="738"/>
      <c r="AC449" s="738"/>
      <c r="AD449" s="754"/>
      <c r="AE449" s="754"/>
      <c r="AF449" s="754"/>
      <c r="AG449" s="754"/>
      <c r="AH449" s="754"/>
      <c r="AI449" s="754"/>
      <c r="AJ449" s="754"/>
    </row>
    <row r="450" spans="19:36" ht="14.1" customHeight="1">
      <c r="S450" s="386"/>
      <c r="T450" s="386"/>
      <c r="U450" s="738"/>
      <c r="V450" s="754"/>
      <c r="W450" s="754"/>
      <c r="X450" s="754"/>
      <c r="Y450" s="754"/>
      <c r="Z450" s="754"/>
      <c r="AA450" s="754"/>
      <c r="AB450" s="754"/>
      <c r="AC450" s="754"/>
      <c r="AD450" s="754"/>
      <c r="AE450" s="738"/>
      <c r="AF450" s="738"/>
      <c r="AG450" s="754"/>
      <c r="AH450" s="754"/>
      <c r="AI450" s="754"/>
      <c r="AJ450" s="754"/>
    </row>
    <row r="451" spans="19:36" ht="14.1" customHeight="1">
      <c r="S451" s="386"/>
      <c r="T451" s="386"/>
      <c r="U451" s="738"/>
      <c r="V451" s="737"/>
      <c r="W451" s="738"/>
      <c r="X451" s="738"/>
      <c r="Y451" s="738"/>
      <c r="Z451" s="738"/>
      <c r="AA451" s="738"/>
      <c r="AB451" s="738"/>
      <c r="AC451" s="738"/>
      <c r="AD451" s="754"/>
      <c r="AE451" s="754"/>
      <c r="AF451" s="754"/>
      <c r="AG451" s="754"/>
      <c r="AH451" s="754"/>
      <c r="AI451" s="754"/>
      <c r="AJ451" s="754"/>
    </row>
    <row r="452" spans="19:36" ht="14.1" customHeight="1">
      <c r="S452" s="386"/>
      <c r="T452" s="386"/>
      <c r="U452" s="738"/>
      <c r="V452" s="754"/>
      <c r="W452" s="754"/>
      <c r="X452" s="754"/>
      <c r="Y452" s="754"/>
      <c r="Z452" s="754"/>
      <c r="AA452" s="754"/>
      <c r="AB452" s="754"/>
      <c r="AC452" s="754"/>
      <c r="AD452" s="754"/>
      <c r="AE452" s="738"/>
      <c r="AF452" s="738"/>
      <c r="AG452" s="754"/>
      <c r="AH452" s="754"/>
      <c r="AI452" s="754"/>
      <c r="AJ452" s="754"/>
    </row>
    <row r="453" spans="19:36" ht="14.1" customHeight="1">
      <c r="S453" s="386"/>
      <c r="T453" s="386"/>
      <c r="U453" s="738"/>
      <c r="V453" s="737"/>
      <c r="W453" s="776"/>
      <c r="X453" s="776"/>
      <c r="Y453" s="738"/>
      <c r="Z453" s="738"/>
      <c r="AA453" s="738"/>
      <c r="AB453" s="738"/>
      <c r="AC453" s="738"/>
      <c r="AD453" s="754"/>
      <c r="AE453" s="754"/>
      <c r="AF453" s="754"/>
      <c r="AG453" s="754"/>
      <c r="AH453" s="754"/>
      <c r="AI453" s="754"/>
      <c r="AJ453" s="754"/>
    </row>
    <row r="454" spans="19:36" ht="14.1" customHeight="1">
      <c r="S454" s="386"/>
      <c r="T454" s="386"/>
      <c r="U454" s="738"/>
      <c r="V454" s="738"/>
      <c r="W454" s="738"/>
      <c r="X454" s="738"/>
      <c r="Y454" s="738"/>
      <c r="Z454" s="738"/>
      <c r="AA454" s="738"/>
      <c r="AB454" s="738"/>
      <c r="AC454" s="738"/>
      <c r="AD454" s="754"/>
      <c r="AE454" s="754"/>
      <c r="AF454" s="754"/>
      <c r="AG454" s="754"/>
      <c r="AH454" s="754"/>
      <c r="AI454" s="754"/>
      <c r="AJ454" s="754"/>
    </row>
    <row r="455" spans="19:36" ht="14.1" customHeight="1">
      <c r="S455" s="386"/>
      <c r="T455" s="386"/>
      <c r="U455" s="738"/>
      <c r="V455" s="754"/>
      <c r="W455" s="754"/>
      <c r="X455" s="754"/>
      <c r="Y455" s="754"/>
      <c r="Z455" s="754"/>
      <c r="AA455" s="754"/>
      <c r="AB455" s="754"/>
      <c r="AC455" s="754"/>
      <c r="AD455" s="754"/>
      <c r="AE455" s="754"/>
      <c r="AF455" s="754"/>
      <c r="AG455" s="754"/>
      <c r="AH455" s="754"/>
      <c r="AI455" s="738"/>
      <c r="AJ455" s="738"/>
    </row>
    <row r="456" spans="19:36" ht="14.1" customHeight="1">
      <c r="S456" s="386"/>
      <c r="T456" s="386"/>
      <c r="U456" s="738"/>
      <c r="V456" s="737"/>
      <c r="W456" s="738"/>
      <c r="X456" s="738"/>
      <c r="Y456" s="738"/>
      <c r="Z456" s="738"/>
      <c r="AA456" s="738"/>
      <c r="AB456" s="738"/>
      <c r="AC456" s="738"/>
      <c r="AD456" s="754"/>
      <c r="AE456" s="754"/>
      <c r="AF456" s="754"/>
      <c r="AG456" s="754"/>
      <c r="AH456" s="754"/>
      <c r="AI456" s="754"/>
      <c r="AJ456" s="754"/>
    </row>
    <row r="457" spans="19:36" ht="14.1" customHeight="1">
      <c r="S457" s="386"/>
      <c r="T457" s="386"/>
      <c r="U457" s="738"/>
      <c r="V457" s="737"/>
      <c r="W457" s="738"/>
      <c r="X457" s="738"/>
      <c r="Y457" s="738"/>
      <c r="Z457" s="738"/>
      <c r="AA457" s="738"/>
      <c r="AB457" s="738"/>
      <c r="AC457" s="738"/>
      <c r="AD457" s="754"/>
      <c r="AE457" s="754"/>
      <c r="AF457" s="754"/>
      <c r="AG457" s="754"/>
      <c r="AH457" s="754"/>
      <c r="AI457" s="754"/>
      <c r="AJ457" s="754"/>
    </row>
    <row r="458" spans="19:36" ht="14.1" customHeight="1">
      <c r="S458" s="386"/>
      <c r="T458" s="386"/>
      <c r="U458" s="738"/>
      <c r="V458" s="754"/>
      <c r="W458" s="754"/>
      <c r="X458" s="754"/>
      <c r="Y458" s="754"/>
      <c r="Z458" s="754"/>
      <c r="AA458" s="754"/>
      <c r="AB458" s="754"/>
      <c r="AC458" s="754"/>
      <c r="AD458" s="754"/>
      <c r="AE458" s="738"/>
      <c r="AF458" s="738"/>
      <c r="AG458" s="737"/>
      <c r="AH458" s="737"/>
      <c r="AI458" s="737"/>
      <c r="AJ458" s="738"/>
    </row>
    <row r="459" spans="19:36" ht="14.1" customHeight="1">
      <c r="S459" s="676"/>
    </row>
    <row r="460" spans="19:36" ht="14.1" customHeight="1">
      <c r="S460" s="386"/>
    </row>
    <row r="465" spans="19:36" ht="14.1" customHeight="1">
      <c r="S465" s="398"/>
    </row>
    <row r="466" spans="19:36" ht="14.1" customHeight="1">
      <c r="U466" s="690"/>
      <c r="V466" s="690"/>
      <c r="W466" s="690"/>
      <c r="X466" s="690"/>
      <c r="Y466" s="690"/>
      <c r="Z466" s="690"/>
      <c r="AA466" s="690"/>
      <c r="AB466" s="690"/>
      <c r="AC466" s="690"/>
      <c r="AD466" s="690"/>
      <c r="AE466" s="690"/>
      <c r="AF466" s="690"/>
      <c r="AG466" s="690"/>
      <c r="AH466" s="690"/>
      <c r="AI466" s="690"/>
      <c r="AJ466" s="690"/>
    </row>
    <row r="467" spans="19:36" ht="14.1" customHeight="1">
      <c r="T467" s="402"/>
      <c r="U467" s="690"/>
      <c r="V467" s="690"/>
      <c r="W467" s="690"/>
      <c r="X467" s="690"/>
      <c r="Y467" s="690"/>
      <c r="Z467" s="690"/>
      <c r="AA467" s="690"/>
      <c r="AB467" s="690"/>
      <c r="AC467" s="690"/>
      <c r="AD467" s="690"/>
      <c r="AE467" s="690"/>
      <c r="AF467" s="690"/>
      <c r="AG467" s="690"/>
      <c r="AH467" s="690"/>
      <c r="AI467" s="690"/>
      <c r="AJ467" s="690"/>
    </row>
    <row r="468" spans="19:36" ht="14.1" customHeight="1">
      <c r="S468" s="398"/>
      <c r="T468" s="740"/>
      <c r="U468" s="738"/>
      <c r="V468" s="738"/>
      <c r="W468" s="738"/>
      <c r="X468" s="738"/>
      <c r="Y468" s="738"/>
      <c r="Z468" s="738"/>
      <c r="AA468" s="738"/>
      <c r="AB468" s="738"/>
      <c r="AC468" s="738"/>
      <c r="AD468" s="738"/>
      <c r="AE468" s="738"/>
      <c r="AF468" s="738"/>
      <c r="AG468" s="738"/>
      <c r="AH468" s="738"/>
      <c r="AI468" s="738"/>
      <c r="AJ468" s="738"/>
    </row>
    <row r="469" spans="19:36" ht="14.1" customHeight="1">
      <c r="S469" s="398"/>
      <c r="T469" s="740"/>
      <c r="U469" s="738"/>
      <c r="V469" s="738"/>
      <c r="W469" s="738"/>
      <c r="X469" s="738"/>
      <c r="Y469" s="738"/>
      <c r="Z469" s="738"/>
      <c r="AA469" s="738"/>
      <c r="AB469" s="738"/>
      <c r="AC469" s="738"/>
      <c r="AD469" s="738"/>
      <c r="AE469" s="738"/>
      <c r="AF469" s="738"/>
      <c r="AG469" s="738"/>
      <c r="AH469" s="738"/>
      <c r="AI469" s="738"/>
      <c r="AJ469" s="738"/>
    </row>
    <row r="470" spans="19:36" ht="14.1" customHeight="1">
      <c r="S470" s="386"/>
      <c r="T470" s="386"/>
      <c r="U470" s="738"/>
      <c r="V470" s="737"/>
      <c r="W470" s="738"/>
      <c r="X470" s="738"/>
      <c r="Y470" s="738"/>
      <c r="Z470" s="738"/>
      <c r="AA470" s="738"/>
      <c r="AB470" s="738"/>
      <c r="AC470" s="738"/>
      <c r="AD470" s="754"/>
      <c r="AE470" s="754"/>
      <c r="AF470" s="754"/>
      <c r="AG470" s="754"/>
      <c r="AH470" s="754"/>
      <c r="AI470" s="754"/>
      <c r="AJ470" s="754"/>
    </row>
    <row r="471" spans="19:36" ht="14.1" customHeight="1">
      <c r="S471" s="386"/>
      <c r="T471" s="386"/>
      <c r="U471" s="738"/>
      <c r="V471" s="776"/>
      <c r="W471" s="776"/>
      <c r="X471" s="776"/>
      <c r="Y471" s="776"/>
      <c r="Z471" s="776"/>
      <c r="AA471" s="776"/>
      <c r="AB471" s="776"/>
      <c r="AC471" s="776"/>
      <c r="AD471" s="754"/>
      <c r="AE471" s="738"/>
      <c r="AF471" s="738"/>
      <c r="AG471" s="754"/>
      <c r="AH471" s="754"/>
      <c r="AI471" s="754"/>
      <c r="AJ471" s="754"/>
    </row>
    <row r="472" spans="19:36" ht="14.1" customHeight="1">
      <c r="S472" s="386"/>
      <c r="T472" s="386"/>
      <c r="U472" s="738"/>
      <c r="V472" s="737"/>
      <c r="W472" s="738"/>
      <c r="X472" s="738"/>
      <c r="Y472" s="738"/>
      <c r="Z472" s="738"/>
      <c r="AA472" s="738"/>
      <c r="AB472" s="738"/>
      <c r="AC472" s="738"/>
      <c r="AD472" s="754"/>
      <c r="AE472" s="754"/>
      <c r="AF472" s="754"/>
      <c r="AG472" s="754"/>
      <c r="AH472" s="754"/>
      <c r="AI472" s="754"/>
      <c r="AJ472" s="754"/>
    </row>
    <row r="473" spans="19:36" ht="14.1" customHeight="1">
      <c r="S473" s="386"/>
      <c r="T473" s="386"/>
      <c r="U473" s="738"/>
      <c r="V473" s="737"/>
      <c r="W473" s="738"/>
      <c r="X473" s="738"/>
      <c r="Y473" s="738"/>
      <c r="Z473" s="738"/>
      <c r="AA473" s="738"/>
      <c r="AB473" s="738"/>
      <c r="AC473" s="738"/>
      <c r="AD473" s="754"/>
      <c r="AE473" s="754"/>
      <c r="AF473" s="754"/>
      <c r="AG473" s="754"/>
      <c r="AH473" s="754"/>
      <c r="AI473" s="754"/>
      <c r="AJ473" s="754"/>
    </row>
    <row r="474" spans="19:36" ht="14.1" customHeight="1">
      <c r="S474" s="386"/>
      <c r="T474" s="386"/>
      <c r="U474" s="738"/>
      <c r="V474" s="776"/>
      <c r="W474" s="738"/>
      <c r="X474" s="738"/>
      <c r="Y474" s="738"/>
      <c r="Z474" s="738"/>
      <c r="AA474" s="738"/>
      <c r="AB474" s="738"/>
      <c r="AC474" s="738"/>
      <c r="AD474" s="754"/>
      <c r="AE474" s="754"/>
      <c r="AF474" s="754"/>
      <c r="AG474" s="754"/>
      <c r="AH474" s="754"/>
      <c r="AI474" s="754"/>
      <c r="AJ474" s="754"/>
    </row>
    <row r="475" spans="19:36" ht="14.1" customHeight="1">
      <c r="S475" s="386"/>
      <c r="T475" s="386"/>
      <c r="U475" s="738"/>
      <c r="V475" s="737"/>
      <c r="W475" s="738"/>
      <c r="X475" s="738"/>
      <c r="Y475" s="738"/>
      <c r="Z475" s="738"/>
      <c r="AA475" s="738"/>
      <c r="AB475" s="738"/>
      <c r="AC475" s="738"/>
      <c r="AD475" s="754"/>
      <c r="AE475" s="754"/>
      <c r="AF475" s="754"/>
      <c r="AG475" s="754"/>
      <c r="AH475" s="754"/>
      <c r="AI475" s="754"/>
      <c r="AJ475" s="754"/>
    </row>
    <row r="476" spans="19:36" ht="14.1" customHeight="1">
      <c r="S476" s="386"/>
      <c r="T476" s="386"/>
      <c r="U476" s="738"/>
      <c r="V476" s="754"/>
      <c r="W476" s="754"/>
      <c r="X476" s="754"/>
      <c r="Y476" s="754"/>
      <c r="Z476" s="754"/>
      <c r="AA476" s="754"/>
      <c r="AB476" s="754"/>
      <c r="AC476" s="754"/>
      <c r="AD476" s="754"/>
      <c r="AE476" s="754"/>
      <c r="AF476" s="754"/>
      <c r="AG476" s="738"/>
      <c r="AH476" s="738"/>
      <c r="AI476" s="738"/>
      <c r="AJ476" s="738"/>
    </row>
    <row r="477" spans="19:36" ht="14.1" customHeight="1">
      <c r="S477" s="386"/>
      <c r="T477" s="386"/>
      <c r="U477" s="738"/>
      <c r="V477" s="737"/>
      <c r="W477" s="738"/>
      <c r="X477" s="738"/>
      <c r="Y477" s="738"/>
      <c r="Z477" s="738"/>
      <c r="AA477" s="738"/>
      <c r="AB477" s="738"/>
      <c r="AC477" s="738"/>
      <c r="AD477" s="754"/>
      <c r="AE477" s="754"/>
      <c r="AF477" s="754"/>
      <c r="AG477" s="754"/>
      <c r="AH477" s="754"/>
      <c r="AI477" s="754"/>
      <c r="AJ477" s="754"/>
    </row>
    <row r="478" spans="19:36" ht="14.1" customHeight="1">
      <c r="S478" s="386"/>
      <c r="T478" s="386"/>
      <c r="U478" s="738"/>
      <c r="V478" s="754"/>
      <c r="W478" s="754"/>
      <c r="X478" s="754"/>
      <c r="Y478" s="754"/>
      <c r="Z478" s="754"/>
      <c r="AA478" s="754"/>
      <c r="AB478" s="754"/>
      <c r="AC478" s="754"/>
      <c r="AD478" s="754"/>
      <c r="AE478" s="754"/>
      <c r="AF478" s="754"/>
      <c r="AG478" s="754"/>
      <c r="AH478" s="754"/>
      <c r="AI478" s="754"/>
      <c r="AJ478" s="754"/>
    </row>
    <row r="479" spans="19:36" ht="14.1" customHeight="1">
      <c r="S479" s="386"/>
      <c r="T479" s="386"/>
      <c r="U479" s="738"/>
      <c r="V479" s="737"/>
      <c r="W479" s="738"/>
      <c r="X479" s="738"/>
      <c r="Y479" s="738"/>
      <c r="Z479" s="738"/>
      <c r="AA479" s="738"/>
      <c r="AB479" s="738"/>
      <c r="AC479" s="738"/>
      <c r="AD479" s="754"/>
      <c r="AE479" s="754"/>
      <c r="AF479" s="754"/>
      <c r="AG479" s="754"/>
      <c r="AH479" s="754"/>
      <c r="AI479" s="754"/>
      <c r="AJ479" s="754"/>
    </row>
    <row r="480" spans="19:36" ht="14.1" customHeight="1">
      <c r="S480" s="386"/>
      <c r="T480" s="386"/>
      <c r="U480" s="738"/>
      <c r="V480" s="754"/>
      <c r="W480" s="754"/>
      <c r="X480" s="754"/>
      <c r="Y480" s="754"/>
      <c r="Z480" s="754"/>
      <c r="AA480" s="754"/>
      <c r="AB480" s="754"/>
      <c r="AC480" s="754"/>
      <c r="AD480" s="754"/>
      <c r="AE480" s="754"/>
      <c r="AF480" s="754"/>
      <c r="AG480" s="754"/>
      <c r="AH480" s="754"/>
      <c r="AI480" s="754"/>
      <c r="AJ480" s="754"/>
    </row>
    <row r="481" spans="19:36" ht="14.1" customHeight="1">
      <c r="S481" s="386"/>
      <c r="T481" s="386"/>
      <c r="U481" s="738"/>
      <c r="V481" s="737"/>
      <c r="W481" s="738"/>
      <c r="X481" s="738"/>
      <c r="Y481" s="738"/>
      <c r="Z481" s="738"/>
      <c r="AA481" s="738"/>
      <c r="AB481" s="738"/>
      <c r="AC481" s="738"/>
      <c r="AD481" s="754"/>
      <c r="AE481" s="754"/>
      <c r="AF481" s="754"/>
      <c r="AG481" s="754"/>
      <c r="AH481" s="754"/>
      <c r="AI481" s="754"/>
      <c r="AJ481" s="754"/>
    </row>
    <row r="482" spans="19:36" ht="14.1" customHeight="1">
      <c r="S482" s="386"/>
      <c r="T482" s="386"/>
      <c r="U482" s="738"/>
      <c r="V482" s="754"/>
      <c r="W482" s="754"/>
      <c r="X482" s="754"/>
      <c r="Y482" s="754"/>
      <c r="Z482" s="754"/>
      <c r="AA482" s="754"/>
      <c r="AB482" s="754"/>
      <c r="AC482" s="754"/>
      <c r="AD482" s="754"/>
      <c r="AE482" s="754"/>
      <c r="AF482" s="754"/>
      <c r="AG482" s="738"/>
      <c r="AH482" s="738"/>
      <c r="AI482" s="738"/>
      <c r="AJ482" s="738"/>
    </row>
    <row r="483" spans="19:36" ht="14.1" customHeight="1">
      <c r="S483" s="386"/>
      <c r="T483" s="386"/>
      <c r="U483" s="738"/>
      <c r="V483" s="737"/>
      <c r="W483" s="776"/>
      <c r="X483" s="776"/>
      <c r="Y483" s="738"/>
      <c r="Z483" s="738"/>
      <c r="AA483" s="738"/>
      <c r="AB483" s="738"/>
      <c r="AC483" s="738"/>
      <c r="AD483" s="754"/>
      <c r="AE483" s="754"/>
      <c r="AF483" s="754"/>
      <c r="AG483" s="754"/>
      <c r="AH483" s="754"/>
      <c r="AI483" s="754"/>
      <c r="AJ483" s="754"/>
    </row>
    <row r="484" spans="19:36" ht="14.1" customHeight="1">
      <c r="S484" s="398"/>
      <c r="T484" s="740"/>
      <c r="U484" s="738"/>
      <c r="V484" s="737"/>
      <c r="W484" s="738"/>
      <c r="X484" s="738"/>
      <c r="Y484" s="738"/>
      <c r="Z484" s="738"/>
      <c r="AA484" s="738"/>
      <c r="AB484" s="738"/>
      <c r="AC484" s="738"/>
      <c r="AD484" s="754"/>
      <c r="AE484" s="738"/>
      <c r="AF484" s="738"/>
      <c r="AG484" s="738"/>
      <c r="AH484" s="738"/>
      <c r="AI484" s="738"/>
      <c r="AJ484" s="738"/>
    </row>
    <row r="485" spans="19:36" ht="14.1" customHeight="1">
      <c r="S485" s="398"/>
      <c r="T485" s="740"/>
      <c r="U485" s="738"/>
      <c r="V485" s="738"/>
      <c r="W485" s="738"/>
      <c r="X485" s="738"/>
      <c r="Y485" s="738"/>
      <c r="Z485" s="738"/>
      <c r="AA485" s="738"/>
      <c r="AB485" s="738"/>
      <c r="AC485" s="738"/>
      <c r="AD485" s="738"/>
      <c r="AE485" s="738"/>
      <c r="AF485" s="738"/>
      <c r="AG485" s="738"/>
      <c r="AH485" s="738"/>
      <c r="AI485" s="738"/>
      <c r="AJ485" s="738"/>
    </row>
    <row r="486" spans="19:36" ht="14.1" customHeight="1">
      <c r="S486" s="386"/>
      <c r="T486" s="386"/>
      <c r="U486" s="738"/>
      <c r="V486" s="776"/>
      <c r="W486" s="738"/>
      <c r="X486" s="738"/>
      <c r="Y486" s="738"/>
      <c r="Z486" s="738"/>
      <c r="AA486" s="738"/>
      <c r="AB486" s="738"/>
      <c r="AC486" s="738"/>
      <c r="AD486" s="754"/>
      <c r="AE486" s="754"/>
      <c r="AF486" s="754"/>
      <c r="AG486" s="754"/>
      <c r="AH486" s="754"/>
      <c r="AI486" s="754"/>
      <c r="AJ486" s="754"/>
    </row>
    <row r="487" spans="19:36" ht="14.1" customHeight="1">
      <c r="S487" s="386"/>
      <c r="T487" s="386"/>
      <c r="U487" s="738"/>
      <c r="V487" s="754"/>
      <c r="W487" s="754"/>
      <c r="X487" s="754"/>
      <c r="Y487" s="754"/>
      <c r="Z487" s="754"/>
      <c r="AA487" s="754"/>
      <c r="AB487" s="754"/>
      <c r="AC487" s="754"/>
      <c r="AD487" s="754"/>
      <c r="AE487" s="738"/>
      <c r="AF487" s="738"/>
      <c r="AG487" s="754"/>
      <c r="AH487" s="754"/>
      <c r="AI487" s="754"/>
      <c r="AJ487" s="754"/>
    </row>
    <row r="488" spans="19:36" ht="14.1" customHeight="1">
      <c r="S488" s="386"/>
      <c r="T488" s="386"/>
      <c r="U488" s="738"/>
      <c r="V488" s="737"/>
      <c r="W488" s="776"/>
      <c r="X488" s="776"/>
      <c r="Y488" s="738"/>
      <c r="Z488" s="738"/>
      <c r="AA488" s="738"/>
      <c r="AB488" s="738"/>
      <c r="AC488" s="738"/>
      <c r="AD488" s="754"/>
      <c r="AE488" s="754"/>
      <c r="AF488" s="754"/>
      <c r="AG488" s="754"/>
      <c r="AH488" s="754"/>
      <c r="AI488" s="754"/>
      <c r="AJ488" s="754"/>
    </row>
    <row r="489" spans="19:36" ht="14.1" customHeight="1">
      <c r="S489" s="386"/>
      <c r="T489" s="386"/>
      <c r="U489" s="738"/>
      <c r="V489" s="737"/>
      <c r="W489" s="738"/>
      <c r="X489" s="738"/>
      <c r="Y489" s="738"/>
      <c r="Z489" s="738"/>
      <c r="AA489" s="738"/>
      <c r="AB489" s="738"/>
      <c r="AC489" s="738"/>
      <c r="AD489" s="754"/>
      <c r="AE489" s="754"/>
      <c r="AF489" s="754"/>
      <c r="AG489" s="754"/>
      <c r="AH489" s="754"/>
      <c r="AI489" s="754"/>
      <c r="AJ489" s="754"/>
    </row>
    <row r="490" spans="19:36" ht="14.1" customHeight="1">
      <c r="S490" s="386"/>
      <c r="T490" s="386"/>
      <c r="U490" s="738"/>
      <c r="V490" s="776"/>
      <c r="W490" s="776"/>
      <c r="X490" s="776"/>
      <c r="Y490" s="738"/>
      <c r="Z490" s="776"/>
      <c r="AA490" s="776"/>
      <c r="AB490" s="776"/>
      <c r="AC490" s="776"/>
      <c r="AD490" s="754"/>
      <c r="AE490" s="754"/>
      <c r="AF490" s="754"/>
      <c r="AG490" s="754"/>
      <c r="AH490" s="754"/>
      <c r="AI490" s="754"/>
      <c r="AJ490" s="754"/>
    </row>
    <row r="491" spans="19:36" ht="14.1" customHeight="1">
      <c r="S491" s="386"/>
      <c r="T491" s="386"/>
      <c r="U491" s="738"/>
      <c r="V491" s="754"/>
      <c r="W491" s="754"/>
      <c r="X491" s="754"/>
      <c r="Y491" s="754"/>
      <c r="Z491" s="754"/>
      <c r="AA491" s="754"/>
      <c r="AB491" s="754"/>
      <c r="AC491" s="754"/>
      <c r="AD491" s="754"/>
      <c r="AE491" s="754"/>
      <c r="AF491" s="754"/>
      <c r="AG491" s="738"/>
      <c r="AH491" s="738"/>
      <c r="AI491" s="738"/>
      <c r="AJ491" s="738"/>
    </row>
    <row r="492" spans="19:36" ht="14.1" customHeight="1">
      <c r="S492" s="386"/>
      <c r="T492" s="386"/>
      <c r="U492" s="738"/>
      <c r="V492" s="776"/>
      <c r="W492" s="776"/>
      <c r="X492" s="776"/>
      <c r="Y492" s="776"/>
      <c r="Z492" s="738"/>
      <c r="AA492" s="738"/>
      <c r="AB492" s="738"/>
      <c r="AC492" s="738"/>
      <c r="AD492" s="754"/>
      <c r="AE492" s="754"/>
      <c r="AF492" s="754"/>
      <c r="AG492" s="754"/>
      <c r="AH492" s="754"/>
      <c r="AI492" s="754"/>
      <c r="AJ492" s="754"/>
    </row>
    <row r="493" spans="19:36" ht="14.1" customHeight="1">
      <c r="S493" s="398"/>
      <c r="T493" s="740"/>
      <c r="U493" s="738"/>
      <c r="V493" s="737"/>
      <c r="W493" s="738"/>
      <c r="X493" s="738"/>
      <c r="Y493" s="738"/>
      <c r="Z493" s="738"/>
      <c r="AA493" s="738"/>
      <c r="AB493" s="738"/>
      <c r="AC493" s="738"/>
      <c r="AD493" s="754"/>
      <c r="AE493" s="738"/>
      <c r="AF493" s="738"/>
      <c r="AG493" s="738"/>
      <c r="AH493" s="738"/>
      <c r="AI493" s="738"/>
      <c r="AJ493" s="738"/>
    </row>
    <row r="494" spans="19:36" ht="14.1" customHeight="1">
      <c r="S494" s="398"/>
      <c r="T494" s="740"/>
      <c r="U494" s="738"/>
      <c r="V494" s="738"/>
      <c r="W494" s="738"/>
      <c r="X494" s="738"/>
      <c r="Y494" s="738"/>
      <c r="Z494" s="738"/>
      <c r="AA494" s="738"/>
      <c r="AB494" s="738"/>
      <c r="AC494" s="738"/>
      <c r="AD494" s="738"/>
      <c r="AE494" s="738"/>
      <c r="AF494" s="738"/>
      <c r="AG494" s="738"/>
      <c r="AH494" s="738"/>
      <c r="AI494" s="738"/>
      <c r="AJ494" s="738"/>
    </row>
    <row r="495" spans="19:36" ht="14.1" customHeight="1">
      <c r="S495" s="386"/>
      <c r="T495" s="386"/>
      <c r="U495" s="738"/>
      <c r="V495" s="737"/>
      <c r="W495" s="776"/>
      <c r="X495" s="776"/>
      <c r="Y495" s="738"/>
      <c r="Z495" s="738"/>
      <c r="AA495" s="738"/>
      <c r="AB495" s="738"/>
      <c r="AC495" s="738"/>
      <c r="AD495" s="754"/>
      <c r="AE495" s="754"/>
      <c r="AF495" s="754"/>
      <c r="AG495" s="754"/>
      <c r="AH495" s="754"/>
      <c r="AI495" s="754"/>
      <c r="AJ495" s="754"/>
    </row>
    <row r="496" spans="19:36" ht="14.1" customHeight="1">
      <c r="S496" s="386"/>
      <c r="T496" s="386"/>
      <c r="U496" s="738"/>
      <c r="V496" s="754"/>
      <c r="W496" s="754"/>
      <c r="X496" s="754"/>
      <c r="Y496" s="754"/>
      <c r="Z496" s="754"/>
      <c r="AA496" s="754"/>
      <c r="AB496" s="754"/>
      <c r="AC496" s="754"/>
      <c r="AD496" s="754"/>
      <c r="AE496" s="738"/>
      <c r="AF496" s="738"/>
      <c r="AG496" s="754"/>
      <c r="AH496" s="754"/>
      <c r="AI496" s="754"/>
      <c r="AJ496" s="754"/>
    </row>
    <row r="497" spans="19:36" ht="14.1" customHeight="1">
      <c r="S497" s="386"/>
      <c r="T497" s="386"/>
      <c r="U497" s="738"/>
      <c r="V497" s="737"/>
      <c r="W497" s="738"/>
      <c r="X497" s="738"/>
      <c r="Y497" s="738"/>
      <c r="Z497" s="738"/>
      <c r="AA497" s="738"/>
      <c r="AB497" s="738"/>
      <c r="AC497" s="738"/>
      <c r="AD497" s="754"/>
      <c r="AE497" s="754"/>
      <c r="AF497" s="754"/>
      <c r="AG497" s="754"/>
      <c r="AH497" s="754"/>
      <c r="AI497" s="754"/>
      <c r="AJ497" s="754"/>
    </row>
    <row r="498" spans="19:36" ht="14.1" customHeight="1">
      <c r="S498" s="386"/>
      <c r="T498" s="386"/>
      <c r="U498" s="738"/>
      <c r="V498" s="754"/>
      <c r="W498" s="754"/>
      <c r="X498" s="754"/>
      <c r="Y498" s="754"/>
      <c r="Z498" s="754"/>
      <c r="AA498" s="754"/>
      <c r="AB498" s="754"/>
      <c r="AC498" s="754"/>
      <c r="AD498" s="754"/>
      <c r="AE498" s="754"/>
      <c r="AF498" s="754"/>
      <c r="AG498" s="757"/>
      <c r="AH498" s="757"/>
      <c r="AI498" s="757"/>
      <c r="AJ498" s="757"/>
    </row>
    <row r="499" spans="19:36" ht="14.1" customHeight="1">
      <c r="S499" s="386"/>
      <c r="T499" s="386"/>
      <c r="U499" s="738"/>
      <c r="V499" s="737"/>
      <c r="W499" s="738"/>
      <c r="X499" s="738"/>
      <c r="Y499" s="738"/>
      <c r="Z499" s="738"/>
      <c r="AA499" s="738"/>
      <c r="AB499" s="738"/>
      <c r="AC499" s="738"/>
      <c r="AD499" s="754"/>
      <c r="AE499" s="754"/>
      <c r="AF499" s="754"/>
      <c r="AG499" s="754"/>
      <c r="AH499" s="754"/>
      <c r="AI499" s="754"/>
      <c r="AJ499" s="754"/>
    </row>
    <row r="500" spans="19:36" ht="14.1" customHeight="1">
      <c r="S500" s="386"/>
      <c r="T500" s="386"/>
      <c r="U500" s="738"/>
      <c r="V500" s="737"/>
      <c r="W500" s="738"/>
      <c r="X500" s="738"/>
      <c r="Y500" s="738"/>
      <c r="Z500" s="738"/>
      <c r="AA500" s="738"/>
      <c r="AB500" s="738"/>
      <c r="AC500" s="738"/>
      <c r="AD500" s="754"/>
      <c r="AE500" s="754"/>
      <c r="AF500" s="754"/>
      <c r="AG500" s="754"/>
      <c r="AH500" s="754"/>
      <c r="AI500" s="754"/>
      <c r="AJ500" s="754"/>
    </row>
    <row r="501" spans="19:36" ht="14.1" customHeight="1">
      <c r="S501" s="386"/>
      <c r="T501" s="386"/>
      <c r="U501" s="738"/>
      <c r="V501" s="754"/>
      <c r="W501" s="754"/>
      <c r="X501" s="754"/>
      <c r="Y501" s="754"/>
      <c r="Z501" s="754"/>
      <c r="AA501" s="754"/>
      <c r="AB501" s="754"/>
      <c r="AC501" s="754"/>
      <c r="AD501" s="754"/>
      <c r="AE501" s="754"/>
      <c r="AF501" s="754"/>
      <c r="AG501" s="738"/>
      <c r="AH501" s="738"/>
      <c r="AI501" s="738"/>
      <c r="AJ501" s="738"/>
    </row>
    <row r="502" spans="19:36" ht="14.1" customHeight="1">
      <c r="S502" s="386"/>
      <c r="T502" s="398"/>
      <c r="U502" s="738"/>
      <c r="V502" s="754"/>
      <c r="W502" s="754"/>
      <c r="X502" s="754"/>
      <c r="Y502" s="754"/>
      <c r="Z502" s="754"/>
      <c r="AA502" s="754"/>
      <c r="AB502" s="754"/>
      <c r="AC502" s="754"/>
      <c r="AD502" s="754"/>
      <c r="AE502" s="738"/>
      <c r="AF502" s="738"/>
      <c r="AG502" s="754"/>
      <c r="AH502" s="754"/>
      <c r="AI502" s="754"/>
      <c r="AJ502" s="754"/>
    </row>
    <row r="503" spans="19:36" ht="14.1" customHeight="1">
      <c r="S503" s="386"/>
      <c r="T503" s="386"/>
      <c r="U503" s="738"/>
      <c r="V503" s="776"/>
      <c r="W503" s="776"/>
      <c r="X503" s="776"/>
      <c r="Y503" s="738"/>
      <c r="Z503" s="738"/>
      <c r="AA503" s="738"/>
      <c r="AB503" s="738"/>
      <c r="AC503" s="738"/>
      <c r="AD503" s="754"/>
      <c r="AE503" s="754"/>
      <c r="AF503" s="754"/>
      <c r="AG503" s="754"/>
      <c r="AH503" s="754"/>
      <c r="AI503" s="754"/>
      <c r="AJ503" s="754"/>
    </row>
    <row r="504" spans="19:36" ht="14.1" customHeight="1">
      <c r="S504" s="386"/>
      <c r="T504" s="386"/>
      <c r="U504" s="738"/>
      <c r="V504" s="776"/>
      <c r="W504" s="776"/>
      <c r="X504" s="776"/>
      <c r="Y504" s="738"/>
      <c r="Z504" s="738"/>
      <c r="AA504" s="738"/>
      <c r="AB504" s="738"/>
      <c r="AC504" s="738"/>
      <c r="AD504" s="754"/>
      <c r="AE504" s="754"/>
      <c r="AF504" s="754"/>
      <c r="AG504" s="754"/>
      <c r="AH504" s="754"/>
      <c r="AI504" s="754"/>
      <c r="AJ504" s="754"/>
    </row>
    <row r="505" spans="19:36" ht="14.1" customHeight="1">
      <c r="S505" s="398"/>
      <c r="T505" s="740"/>
      <c r="U505" s="738"/>
      <c r="V505" s="737"/>
      <c r="W505" s="738"/>
      <c r="X505" s="738"/>
      <c r="Y505" s="738"/>
      <c r="Z505" s="738"/>
      <c r="AA505" s="738"/>
      <c r="AB505" s="738"/>
      <c r="AC505" s="738"/>
      <c r="AD505" s="754"/>
      <c r="AE505" s="738"/>
      <c r="AF505" s="738"/>
      <c r="AG505" s="738"/>
      <c r="AH505" s="738"/>
      <c r="AI505" s="738"/>
      <c r="AJ505" s="738"/>
    </row>
    <row r="506" spans="19:36" ht="14.1" customHeight="1">
      <c r="S506" s="398"/>
      <c r="T506" s="740"/>
      <c r="U506" s="738"/>
      <c r="V506" s="738"/>
      <c r="W506" s="738"/>
      <c r="X506" s="738"/>
      <c r="Y506" s="738"/>
      <c r="Z506" s="738"/>
      <c r="AA506" s="738"/>
      <c r="AB506" s="738"/>
      <c r="AC506" s="738"/>
      <c r="AD506" s="738"/>
      <c r="AE506" s="738"/>
      <c r="AF506" s="738"/>
      <c r="AG506" s="738"/>
      <c r="AH506" s="738"/>
      <c r="AI506" s="738"/>
      <c r="AJ506" s="738"/>
    </row>
    <row r="507" spans="19:36" ht="14.1" customHeight="1">
      <c r="S507" s="386"/>
      <c r="T507" s="386"/>
      <c r="U507" s="738"/>
      <c r="V507" s="737"/>
      <c r="W507" s="738"/>
      <c r="X507" s="738"/>
      <c r="Y507" s="738"/>
      <c r="Z507" s="738"/>
      <c r="AA507" s="738"/>
      <c r="AB507" s="738"/>
      <c r="AC507" s="738"/>
      <c r="AD507" s="754"/>
      <c r="AE507" s="754"/>
      <c r="AF507" s="754"/>
      <c r="AG507" s="754"/>
      <c r="AH507" s="754"/>
      <c r="AI507" s="754"/>
      <c r="AJ507" s="754"/>
    </row>
    <row r="508" spans="19:36" ht="14.1" customHeight="1">
      <c r="S508" s="386"/>
      <c r="T508" s="386"/>
      <c r="U508" s="738"/>
      <c r="V508" s="754"/>
      <c r="W508" s="754"/>
      <c r="X508" s="754"/>
      <c r="Y508" s="754"/>
      <c r="Z508" s="754"/>
      <c r="AA508" s="754"/>
      <c r="AB508" s="754"/>
      <c r="AC508" s="754"/>
      <c r="AD508" s="754"/>
      <c r="AE508" s="738"/>
      <c r="AF508" s="738"/>
      <c r="AG508" s="754"/>
      <c r="AH508" s="754"/>
      <c r="AI508" s="754"/>
      <c r="AJ508" s="754"/>
    </row>
    <row r="509" spans="19:36" ht="14.1" customHeight="1">
      <c r="S509" s="386"/>
      <c r="T509" s="386"/>
      <c r="U509" s="738"/>
      <c r="V509" s="737"/>
      <c r="W509" s="738"/>
      <c r="X509" s="738"/>
      <c r="Y509" s="738"/>
      <c r="Z509" s="738"/>
      <c r="AA509" s="738"/>
      <c r="AB509" s="738"/>
      <c r="AC509" s="738"/>
      <c r="AD509" s="754"/>
      <c r="AE509" s="754"/>
      <c r="AF509" s="754"/>
      <c r="AG509" s="754"/>
      <c r="AH509" s="754"/>
      <c r="AI509" s="754"/>
      <c r="AJ509" s="754"/>
    </row>
    <row r="510" spans="19:36" ht="14.1" customHeight="1">
      <c r="S510" s="386"/>
      <c r="T510" s="386"/>
      <c r="U510" s="738"/>
      <c r="V510" s="754"/>
      <c r="W510" s="754"/>
      <c r="X510" s="754"/>
      <c r="Y510" s="754"/>
      <c r="Z510" s="754"/>
      <c r="AA510" s="754"/>
      <c r="AB510" s="754"/>
      <c r="AC510" s="754"/>
      <c r="AD510" s="754"/>
      <c r="AE510" s="738"/>
      <c r="AF510" s="738"/>
      <c r="AG510" s="754"/>
      <c r="AH510" s="754"/>
      <c r="AI510" s="754"/>
      <c r="AJ510" s="754"/>
    </row>
    <row r="511" spans="19:36" ht="14.1" customHeight="1">
      <c r="S511" s="386"/>
      <c r="T511" s="386"/>
      <c r="U511" s="738"/>
      <c r="V511" s="737"/>
      <c r="W511" s="776"/>
      <c r="X511" s="776"/>
      <c r="Y511" s="738"/>
      <c r="Z511" s="738"/>
      <c r="AA511" s="738"/>
      <c r="AB511" s="738"/>
      <c r="AC511" s="738"/>
      <c r="AD511" s="754"/>
      <c r="AE511" s="754"/>
      <c r="AF511" s="754"/>
      <c r="AG511" s="754"/>
      <c r="AH511" s="754"/>
      <c r="AI511" s="754"/>
      <c r="AJ511" s="754"/>
    </row>
    <row r="512" spans="19:36" ht="14.1" customHeight="1">
      <c r="S512" s="386"/>
      <c r="T512" s="386"/>
      <c r="U512" s="738"/>
      <c r="V512" s="738"/>
      <c r="W512" s="738"/>
      <c r="X512" s="738"/>
      <c r="Y512" s="738"/>
      <c r="Z512" s="738"/>
      <c r="AA512" s="738"/>
      <c r="AB512" s="738"/>
      <c r="AC512" s="738"/>
      <c r="AD512" s="754"/>
      <c r="AE512" s="754"/>
      <c r="AF512" s="754"/>
      <c r="AG512" s="754"/>
      <c r="AH512" s="754"/>
      <c r="AI512" s="754"/>
      <c r="AJ512" s="754"/>
    </row>
    <row r="513" spans="19:36" ht="14.1" customHeight="1">
      <c r="S513" s="386"/>
      <c r="T513" s="386"/>
      <c r="U513" s="738"/>
      <c r="V513" s="754"/>
      <c r="W513" s="754"/>
      <c r="X513" s="754"/>
      <c r="Y513" s="754"/>
      <c r="Z513" s="754"/>
      <c r="AA513" s="754"/>
      <c r="AB513" s="754"/>
      <c r="AC513" s="754"/>
      <c r="AD513" s="754"/>
      <c r="AE513" s="754"/>
      <c r="AF513" s="754"/>
      <c r="AG513" s="754"/>
      <c r="AH513" s="754"/>
      <c r="AI513" s="738"/>
      <c r="AJ513" s="738"/>
    </row>
    <row r="514" spans="19:36" ht="14.1" customHeight="1">
      <c r="S514" s="386"/>
      <c r="T514" s="386"/>
      <c r="U514" s="738"/>
      <c r="V514" s="737"/>
      <c r="W514" s="738"/>
      <c r="X514" s="738"/>
      <c r="Y514" s="738"/>
      <c r="Z514" s="738"/>
      <c r="AA514" s="738"/>
      <c r="AB514" s="738"/>
      <c r="AC514" s="738"/>
      <c r="AD514" s="754"/>
      <c r="AE514" s="754"/>
      <c r="AF514" s="754"/>
      <c r="AG514" s="754"/>
      <c r="AH514" s="754"/>
      <c r="AI514" s="754"/>
      <c r="AJ514" s="754"/>
    </row>
    <row r="515" spans="19:36" ht="14.1" customHeight="1">
      <c r="S515" s="386"/>
      <c r="T515" s="386"/>
      <c r="U515" s="738"/>
      <c r="V515" s="737"/>
      <c r="W515" s="738"/>
      <c r="X515" s="738"/>
      <c r="Y515" s="738"/>
      <c r="Z515" s="738"/>
      <c r="AA515" s="738"/>
      <c r="AB515" s="738"/>
      <c r="AC515" s="738"/>
      <c r="AD515" s="754"/>
      <c r="AE515" s="754"/>
      <c r="AF515" s="754"/>
      <c r="AG515" s="754"/>
      <c r="AH515" s="754"/>
      <c r="AI515" s="754"/>
      <c r="AJ515" s="754"/>
    </row>
    <row r="516" spans="19:36" ht="14.1" customHeight="1">
      <c r="S516" s="386"/>
      <c r="T516" s="386"/>
      <c r="U516" s="738"/>
      <c r="V516" s="754"/>
      <c r="W516" s="754"/>
      <c r="X516" s="754"/>
      <c r="Y516" s="754"/>
      <c r="Z516" s="754"/>
      <c r="AA516" s="754"/>
      <c r="AB516" s="754"/>
      <c r="AC516" s="754"/>
      <c r="AD516" s="754"/>
      <c r="AE516" s="738"/>
      <c r="AF516" s="738"/>
      <c r="AG516" s="737"/>
      <c r="AH516" s="737"/>
      <c r="AI516" s="737"/>
      <c r="AJ516" s="738"/>
    </row>
    <row r="517" spans="19:36" ht="14.1" customHeight="1">
      <c r="S517" s="676"/>
    </row>
    <row r="518" spans="19:36" ht="14.1" customHeight="1">
      <c r="S518" s="386"/>
    </row>
    <row r="520" spans="19:36" ht="14.1" customHeight="1">
      <c r="S520" s="386"/>
    </row>
    <row r="525" spans="19:36" ht="14.1" customHeight="1">
      <c r="S525" s="398"/>
    </row>
    <row r="526" spans="19:36" ht="14.1" customHeight="1">
      <c r="U526" s="690"/>
      <c r="V526" s="690"/>
      <c r="W526" s="690"/>
      <c r="X526" s="690"/>
      <c r="Y526" s="690"/>
      <c r="Z526" s="690"/>
      <c r="AA526" s="690"/>
      <c r="AB526" s="690"/>
      <c r="AC526" s="690"/>
      <c r="AD526" s="690"/>
      <c r="AE526" s="690"/>
      <c r="AF526" s="690"/>
      <c r="AG526" s="690"/>
      <c r="AH526" s="690"/>
      <c r="AI526" s="690"/>
    </row>
    <row r="527" spans="19:36" ht="14.1" customHeight="1">
      <c r="T527" s="402"/>
      <c r="U527" s="690"/>
      <c r="V527" s="690"/>
      <c r="W527" s="690"/>
      <c r="X527" s="690"/>
      <c r="Y527" s="690"/>
      <c r="Z527" s="690"/>
      <c r="AA527" s="690"/>
      <c r="AB527" s="690"/>
      <c r="AC527" s="690"/>
      <c r="AD527" s="690"/>
      <c r="AE527" s="690"/>
      <c r="AF527" s="690"/>
      <c r="AG527" s="690"/>
      <c r="AH527" s="690"/>
      <c r="AI527" s="690"/>
    </row>
    <row r="528" spans="19:36" ht="14.1" customHeight="1">
      <c r="S528" s="398"/>
      <c r="T528" s="740"/>
      <c r="U528" s="738"/>
      <c r="V528" s="738"/>
      <c r="W528" s="738"/>
      <c r="X528" s="738"/>
      <c r="Y528" s="738"/>
      <c r="Z528" s="738"/>
      <c r="AA528" s="738"/>
      <c r="AB528" s="738"/>
      <c r="AC528" s="738"/>
      <c r="AD528" s="738"/>
      <c r="AE528" s="738"/>
      <c r="AF528" s="738"/>
      <c r="AG528" s="738"/>
      <c r="AH528" s="738"/>
      <c r="AI528" s="738"/>
    </row>
    <row r="529" spans="19:35" ht="14.1" customHeight="1">
      <c r="S529" s="398"/>
      <c r="T529" s="740"/>
      <c r="U529" s="738"/>
      <c r="V529" s="738"/>
      <c r="W529" s="738"/>
      <c r="X529" s="738"/>
      <c r="Y529" s="738"/>
      <c r="Z529" s="738"/>
      <c r="AA529" s="738"/>
      <c r="AB529" s="738"/>
      <c r="AC529" s="738"/>
      <c r="AD529" s="738"/>
      <c r="AE529" s="738"/>
      <c r="AF529" s="738"/>
      <c r="AG529" s="738"/>
      <c r="AH529" s="738"/>
      <c r="AI529" s="738"/>
    </row>
    <row r="530" spans="19:35" ht="14.1" customHeight="1">
      <c r="S530" s="386"/>
      <c r="T530" s="386"/>
      <c r="U530" s="738"/>
      <c r="V530" s="737"/>
      <c r="W530" s="738"/>
      <c r="X530" s="738"/>
      <c r="Y530" s="738"/>
      <c r="Z530" s="738"/>
      <c r="AA530" s="738"/>
      <c r="AB530" s="738"/>
      <c r="AC530" s="754"/>
      <c r="AD530" s="754"/>
      <c r="AE530" s="754"/>
      <c r="AF530" s="754"/>
      <c r="AG530" s="754"/>
      <c r="AH530" s="754"/>
      <c r="AI530" s="754"/>
    </row>
    <row r="531" spans="19:35" ht="14.1" customHeight="1">
      <c r="S531" s="386"/>
      <c r="T531" s="386"/>
      <c r="U531" s="738"/>
      <c r="V531" s="776"/>
      <c r="W531" s="776"/>
      <c r="X531" s="776"/>
      <c r="Y531" s="776"/>
      <c r="Z531" s="776"/>
      <c r="AA531" s="776"/>
      <c r="AB531" s="776"/>
      <c r="AC531" s="754"/>
      <c r="AD531" s="738"/>
      <c r="AE531" s="738"/>
      <c r="AF531" s="754"/>
      <c r="AG531" s="754"/>
      <c r="AH531" s="754"/>
      <c r="AI531" s="754"/>
    </row>
    <row r="532" spans="19:35" ht="14.1" customHeight="1">
      <c r="S532" s="386"/>
      <c r="T532" s="386"/>
      <c r="U532" s="738"/>
      <c r="V532" s="737"/>
      <c r="W532" s="738"/>
      <c r="X532" s="738"/>
      <c r="Y532" s="738"/>
      <c r="Z532" s="738"/>
      <c r="AA532" s="738"/>
      <c r="AB532" s="738"/>
      <c r="AC532" s="754"/>
      <c r="AD532" s="754"/>
      <c r="AE532" s="754"/>
      <c r="AF532" s="754"/>
      <c r="AG532" s="754"/>
      <c r="AH532" s="754"/>
      <c r="AI532" s="754"/>
    </row>
    <row r="533" spans="19:35" ht="14.1" customHeight="1">
      <c r="S533" s="386"/>
      <c r="T533" s="386"/>
      <c r="U533" s="738"/>
      <c r="V533" s="737"/>
      <c r="W533" s="738"/>
      <c r="X533" s="738"/>
      <c r="Y533" s="738"/>
      <c r="Z533" s="738"/>
      <c r="AA533" s="738"/>
      <c r="AB533" s="738"/>
      <c r="AC533" s="754"/>
      <c r="AD533" s="754"/>
      <c r="AE533" s="754"/>
      <c r="AF533" s="754"/>
      <c r="AG533" s="754"/>
      <c r="AH533" s="754"/>
      <c r="AI533" s="754"/>
    </row>
    <row r="534" spans="19:35" ht="14.1" customHeight="1">
      <c r="S534" s="386"/>
      <c r="T534" s="386"/>
      <c r="U534" s="738"/>
      <c r="V534" s="776"/>
      <c r="W534" s="738"/>
      <c r="X534" s="738"/>
      <c r="Y534" s="738"/>
      <c r="Z534" s="738"/>
      <c r="AA534" s="738"/>
      <c r="AB534" s="738"/>
      <c r="AC534" s="754"/>
      <c r="AD534" s="754"/>
      <c r="AE534" s="754"/>
      <c r="AF534" s="754"/>
      <c r="AG534" s="754"/>
      <c r="AH534" s="754"/>
      <c r="AI534" s="754"/>
    </row>
    <row r="535" spans="19:35" ht="14.1" customHeight="1">
      <c r="S535" s="386"/>
      <c r="T535" s="386"/>
      <c r="U535" s="738"/>
      <c r="V535" s="737"/>
      <c r="W535" s="738"/>
      <c r="X535" s="738"/>
      <c r="Y535" s="738"/>
      <c r="Z535" s="738"/>
      <c r="AA535" s="738"/>
      <c r="AB535" s="738"/>
      <c r="AC535" s="754"/>
      <c r="AD535" s="754"/>
      <c r="AE535" s="754"/>
      <c r="AF535" s="754"/>
      <c r="AG535" s="754"/>
      <c r="AH535" s="754"/>
      <c r="AI535" s="754"/>
    </row>
    <row r="536" spans="19:35" ht="14.1" customHeight="1">
      <c r="S536" s="386"/>
      <c r="T536" s="386"/>
      <c r="U536" s="738"/>
      <c r="V536" s="754"/>
      <c r="W536" s="754"/>
      <c r="X536" s="754"/>
      <c r="Y536" s="754"/>
      <c r="Z536" s="754"/>
      <c r="AA536" s="754"/>
      <c r="AB536" s="754"/>
      <c r="AC536" s="754"/>
      <c r="AD536" s="754"/>
      <c r="AE536" s="754"/>
      <c r="AF536" s="738"/>
      <c r="AG536" s="738"/>
      <c r="AH536" s="738"/>
      <c r="AI536" s="738"/>
    </row>
    <row r="537" spans="19:35" ht="14.1" customHeight="1">
      <c r="S537" s="386"/>
      <c r="T537" s="386"/>
      <c r="U537" s="738"/>
      <c r="V537" s="737"/>
      <c r="W537" s="738"/>
      <c r="X537" s="738"/>
      <c r="Y537" s="738"/>
      <c r="Z537" s="738"/>
      <c r="AA537" s="738"/>
      <c r="AB537" s="738"/>
      <c r="AC537" s="754"/>
      <c r="AD537" s="754"/>
      <c r="AE537" s="754"/>
      <c r="AF537" s="754"/>
      <c r="AG537" s="754"/>
      <c r="AH537" s="754"/>
      <c r="AI537" s="754"/>
    </row>
    <row r="538" spans="19:35" ht="14.1" customHeight="1">
      <c r="S538" s="386"/>
      <c r="T538" s="386"/>
      <c r="U538" s="738"/>
      <c r="V538" s="754"/>
      <c r="W538" s="754"/>
      <c r="X538" s="754"/>
      <c r="Y538" s="754"/>
      <c r="Z538" s="754"/>
      <c r="AA538" s="754"/>
      <c r="AB538" s="754"/>
      <c r="AC538" s="754"/>
      <c r="AD538" s="754"/>
      <c r="AE538" s="754"/>
      <c r="AF538" s="754"/>
      <c r="AG538" s="754"/>
      <c r="AH538" s="754"/>
      <c r="AI538" s="754"/>
    </row>
    <row r="539" spans="19:35" ht="14.1" customHeight="1">
      <c r="S539" s="386"/>
      <c r="T539" s="386"/>
      <c r="U539" s="738"/>
      <c r="V539" s="737"/>
      <c r="W539" s="738"/>
      <c r="X539" s="738"/>
      <c r="Y539" s="738"/>
      <c r="Z539" s="738"/>
      <c r="AA539" s="738"/>
      <c r="AB539" s="738"/>
      <c r="AC539" s="754"/>
      <c r="AD539" s="754"/>
      <c r="AE539" s="754"/>
      <c r="AF539" s="754"/>
      <c r="AG539" s="754"/>
      <c r="AH539" s="754"/>
      <c r="AI539" s="754"/>
    </row>
    <row r="540" spans="19:35" ht="14.1" customHeight="1">
      <c r="S540" s="386"/>
      <c r="T540" s="386"/>
      <c r="U540" s="738"/>
      <c r="V540" s="754"/>
      <c r="W540" s="754"/>
      <c r="X540" s="754"/>
      <c r="Y540" s="754"/>
      <c r="Z540" s="754"/>
      <c r="AA540" s="754"/>
      <c r="AB540" s="754"/>
      <c r="AC540" s="754"/>
      <c r="AD540" s="754"/>
      <c r="AE540" s="754"/>
      <c r="AF540" s="754"/>
      <c r="AG540" s="754"/>
      <c r="AH540" s="754"/>
      <c r="AI540" s="754"/>
    </row>
    <row r="541" spans="19:35" ht="14.1" customHeight="1">
      <c r="S541" s="386"/>
      <c r="T541" s="386"/>
      <c r="U541" s="738"/>
      <c r="V541" s="737"/>
      <c r="W541" s="738"/>
      <c r="X541" s="738"/>
      <c r="Y541" s="738"/>
      <c r="Z541" s="738"/>
      <c r="AA541" s="738"/>
      <c r="AB541" s="738"/>
      <c r="AC541" s="754"/>
      <c r="AD541" s="754"/>
      <c r="AE541" s="754"/>
      <c r="AF541" s="754"/>
      <c r="AG541" s="754"/>
      <c r="AH541" s="754"/>
      <c r="AI541" s="754"/>
    </row>
    <row r="542" spans="19:35" ht="14.1" customHeight="1">
      <c r="S542" s="386"/>
      <c r="T542" s="386"/>
      <c r="U542" s="738"/>
      <c r="V542" s="754"/>
      <c r="W542" s="754"/>
      <c r="X542" s="754"/>
      <c r="Y542" s="754"/>
      <c r="Z542" s="754"/>
      <c r="AA542" s="754"/>
      <c r="AB542" s="754"/>
      <c r="AC542" s="754"/>
      <c r="AD542" s="754"/>
      <c r="AE542" s="754"/>
      <c r="AF542" s="738"/>
      <c r="AG542" s="738"/>
      <c r="AH542" s="738"/>
      <c r="AI542" s="738"/>
    </row>
    <row r="543" spans="19:35" ht="14.1" customHeight="1">
      <c r="S543" s="386"/>
      <c r="T543" s="386"/>
      <c r="U543" s="738"/>
      <c r="V543" s="737"/>
      <c r="W543" s="776"/>
      <c r="X543" s="738"/>
      <c r="Y543" s="738"/>
      <c r="Z543" s="738"/>
      <c r="AA543" s="738"/>
      <c r="AB543" s="738"/>
      <c r="AC543" s="754"/>
      <c r="AD543" s="754"/>
      <c r="AE543" s="754"/>
      <c r="AF543" s="754"/>
      <c r="AG543" s="754"/>
      <c r="AH543" s="754"/>
      <c r="AI543" s="754"/>
    </row>
    <row r="544" spans="19:35" ht="14.1" customHeight="1">
      <c r="S544" s="398"/>
      <c r="T544" s="740"/>
      <c r="U544" s="738"/>
      <c r="V544" s="737"/>
      <c r="W544" s="738"/>
      <c r="X544" s="738"/>
      <c r="Y544" s="738"/>
      <c r="Z544" s="738"/>
      <c r="AA544" s="738"/>
      <c r="AB544" s="738"/>
      <c r="AC544" s="754"/>
      <c r="AD544" s="738"/>
      <c r="AE544" s="738"/>
      <c r="AF544" s="738"/>
      <c r="AG544" s="738"/>
      <c r="AH544" s="738"/>
      <c r="AI544" s="738"/>
    </row>
    <row r="545" spans="19:35" ht="14.1" customHeight="1">
      <c r="S545" s="398"/>
      <c r="T545" s="740"/>
      <c r="U545" s="738"/>
      <c r="V545" s="738"/>
      <c r="W545" s="738"/>
      <c r="X545" s="738"/>
      <c r="Y545" s="738"/>
      <c r="Z545" s="738"/>
      <c r="AA545" s="738"/>
      <c r="AB545" s="738"/>
      <c r="AC545" s="738"/>
      <c r="AD545" s="738"/>
      <c r="AE545" s="738"/>
      <c r="AF545" s="738"/>
      <c r="AG545" s="738"/>
      <c r="AH545" s="738"/>
      <c r="AI545" s="738"/>
    </row>
    <row r="546" spans="19:35" ht="14.1" customHeight="1">
      <c r="S546" s="386"/>
      <c r="T546" s="386"/>
      <c r="U546" s="738"/>
      <c r="V546" s="776"/>
      <c r="W546" s="738"/>
      <c r="X546" s="738"/>
      <c r="Y546" s="738"/>
      <c r="Z546" s="738"/>
      <c r="AA546" s="738"/>
      <c r="AB546" s="738"/>
      <c r="AC546" s="754"/>
      <c r="AD546" s="754"/>
      <c r="AE546" s="754"/>
      <c r="AF546" s="754"/>
      <c r="AG546" s="754"/>
      <c r="AH546" s="754"/>
      <c r="AI546" s="754"/>
    </row>
    <row r="547" spans="19:35" ht="14.1" customHeight="1">
      <c r="S547" s="386"/>
      <c r="T547" s="386"/>
      <c r="U547" s="738"/>
      <c r="V547" s="754"/>
      <c r="W547" s="754"/>
      <c r="X547" s="754"/>
      <c r="Y547" s="754"/>
      <c r="Z547" s="754"/>
      <c r="AA547" s="754"/>
      <c r="AB547" s="754"/>
      <c r="AC547" s="754"/>
      <c r="AD547" s="738"/>
      <c r="AE547" s="738"/>
      <c r="AF547" s="754"/>
      <c r="AG547" s="754"/>
      <c r="AH547" s="754"/>
      <c r="AI547" s="754"/>
    </row>
    <row r="548" spans="19:35" ht="14.1" customHeight="1">
      <c r="S548" s="386"/>
      <c r="T548" s="386"/>
      <c r="U548" s="738"/>
      <c r="V548" s="737"/>
      <c r="W548" s="776"/>
      <c r="X548" s="738"/>
      <c r="Y548" s="738"/>
      <c r="Z548" s="738"/>
      <c r="AA548" s="738"/>
      <c r="AB548" s="738"/>
      <c r="AC548" s="754"/>
      <c r="AD548" s="754"/>
      <c r="AE548" s="754"/>
      <c r="AF548" s="754"/>
      <c r="AG548" s="754"/>
      <c r="AH548" s="754"/>
      <c r="AI548" s="754"/>
    </row>
    <row r="549" spans="19:35" ht="14.1" customHeight="1">
      <c r="S549" s="386"/>
      <c r="T549" s="386"/>
      <c r="U549" s="738"/>
      <c r="V549" s="737"/>
      <c r="W549" s="738"/>
      <c r="X549" s="738"/>
      <c r="Y549" s="738"/>
      <c r="Z549" s="738"/>
      <c r="AA549" s="738"/>
      <c r="AB549" s="738"/>
      <c r="AC549" s="754"/>
      <c r="AD549" s="754"/>
      <c r="AE549" s="754"/>
      <c r="AF549" s="754"/>
      <c r="AG549" s="754"/>
      <c r="AH549" s="754"/>
      <c r="AI549" s="754"/>
    </row>
    <row r="550" spans="19:35" ht="14.1" customHeight="1">
      <c r="S550" s="386"/>
      <c r="T550" s="386"/>
      <c r="U550" s="738"/>
      <c r="V550" s="776"/>
      <c r="W550" s="776"/>
      <c r="X550" s="738"/>
      <c r="Y550" s="776"/>
      <c r="Z550" s="776"/>
      <c r="AA550" s="776"/>
      <c r="AB550" s="776"/>
      <c r="AC550" s="754"/>
      <c r="AD550" s="754"/>
      <c r="AE550" s="754"/>
      <c r="AF550" s="754"/>
      <c r="AG550" s="754"/>
      <c r="AH550" s="754"/>
      <c r="AI550" s="754"/>
    </row>
    <row r="551" spans="19:35" ht="14.1" customHeight="1">
      <c r="S551" s="386"/>
      <c r="T551" s="386"/>
      <c r="U551" s="738"/>
      <c r="V551" s="754"/>
      <c r="W551" s="754"/>
      <c r="X551" s="754"/>
      <c r="Y551" s="754"/>
      <c r="Z551" s="754"/>
      <c r="AA551" s="754"/>
      <c r="AB551" s="754"/>
      <c r="AC551" s="754"/>
      <c r="AD551" s="754"/>
      <c r="AE551" s="754"/>
      <c r="AF551" s="738"/>
      <c r="AG551" s="738"/>
      <c r="AH551" s="738"/>
      <c r="AI551" s="738"/>
    </row>
    <row r="552" spans="19:35" ht="14.1" customHeight="1">
      <c r="S552" s="386"/>
      <c r="T552" s="386"/>
      <c r="U552" s="738"/>
      <c r="V552" s="776"/>
      <c r="W552" s="776"/>
      <c r="X552" s="776"/>
      <c r="Y552" s="738"/>
      <c r="Z552" s="738"/>
      <c r="AA552" s="738"/>
      <c r="AB552" s="738"/>
      <c r="AC552" s="754"/>
      <c r="AD552" s="754"/>
      <c r="AE552" s="754"/>
      <c r="AF552" s="754"/>
      <c r="AG552" s="754"/>
      <c r="AH552" s="754"/>
      <c r="AI552" s="754"/>
    </row>
    <row r="553" spans="19:35" ht="14.1" customHeight="1">
      <c r="S553" s="398"/>
      <c r="T553" s="740"/>
      <c r="U553" s="738"/>
      <c r="V553" s="737"/>
      <c r="W553" s="738"/>
      <c r="X553" s="738"/>
      <c r="Y553" s="738"/>
      <c r="Z553" s="738"/>
      <c r="AA553" s="738"/>
      <c r="AB553" s="738"/>
      <c r="AC553" s="754"/>
      <c r="AD553" s="738"/>
      <c r="AE553" s="738"/>
      <c r="AF553" s="738"/>
      <c r="AG553" s="738"/>
      <c r="AH553" s="738"/>
      <c r="AI553" s="738"/>
    </row>
    <row r="554" spans="19:35" ht="14.1" customHeight="1">
      <c r="S554" s="398"/>
      <c r="T554" s="740"/>
      <c r="U554" s="738"/>
      <c r="V554" s="738"/>
      <c r="W554" s="738"/>
      <c r="X554" s="738"/>
      <c r="Y554" s="738"/>
      <c r="Z554" s="738"/>
      <c r="AA554" s="738"/>
      <c r="AB554" s="738"/>
      <c r="AC554" s="738"/>
      <c r="AD554" s="738"/>
      <c r="AE554" s="738"/>
      <c r="AF554" s="738"/>
      <c r="AG554" s="738"/>
      <c r="AH554" s="738"/>
      <c r="AI554" s="738"/>
    </row>
    <row r="555" spans="19:35" ht="14.1" customHeight="1">
      <c r="S555" s="386"/>
      <c r="T555" s="386"/>
      <c r="U555" s="738"/>
      <c r="V555" s="737"/>
      <c r="W555" s="776"/>
      <c r="X555" s="738"/>
      <c r="Y555" s="738"/>
      <c r="Z555" s="738"/>
      <c r="AA555" s="738"/>
      <c r="AB555" s="738"/>
      <c r="AC555" s="754"/>
      <c r="AD555" s="754"/>
      <c r="AE555" s="754"/>
      <c r="AF555" s="754"/>
      <c r="AG555" s="754"/>
      <c r="AH555" s="754"/>
      <c r="AI555" s="754"/>
    </row>
    <row r="556" spans="19:35" ht="14.1" customHeight="1">
      <c r="S556" s="386"/>
      <c r="T556" s="386"/>
      <c r="U556" s="738"/>
      <c r="V556" s="754"/>
      <c r="W556" s="754"/>
      <c r="X556" s="754"/>
      <c r="Y556" s="754"/>
      <c r="Z556" s="754"/>
      <c r="AA556" s="754"/>
      <c r="AB556" s="754"/>
      <c r="AC556" s="754"/>
      <c r="AD556" s="738"/>
      <c r="AE556" s="738"/>
      <c r="AF556" s="754"/>
      <c r="AG556" s="754"/>
      <c r="AH556" s="754"/>
      <c r="AI556" s="754"/>
    </row>
    <row r="557" spans="19:35" ht="14.1" customHeight="1">
      <c r="S557" s="386"/>
      <c r="T557" s="386"/>
      <c r="U557" s="738"/>
      <c r="V557" s="737"/>
      <c r="W557" s="738"/>
      <c r="X557" s="738"/>
      <c r="Y557" s="738"/>
      <c r="Z557" s="738"/>
      <c r="AA557" s="738"/>
      <c r="AB557" s="738"/>
      <c r="AC557" s="754"/>
      <c r="AD557" s="754"/>
      <c r="AE557" s="754"/>
      <c r="AF557" s="754"/>
      <c r="AG557" s="754"/>
      <c r="AH557" s="754"/>
      <c r="AI557" s="754"/>
    </row>
    <row r="558" spans="19:35" ht="14.1" customHeight="1">
      <c r="S558" s="386"/>
      <c r="T558" s="386"/>
      <c r="U558" s="738"/>
      <c r="V558" s="754"/>
      <c r="W558" s="754"/>
      <c r="X558" s="754"/>
      <c r="Y558" s="754"/>
      <c r="Z558" s="754"/>
      <c r="AA558" s="754"/>
      <c r="AB558" s="754"/>
      <c r="AC558" s="754"/>
      <c r="AD558" s="754"/>
      <c r="AE558" s="754"/>
      <c r="AF558" s="757"/>
      <c r="AG558" s="757"/>
      <c r="AH558" s="757"/>
      <c r="AI558" s="757"/>
    </row>
    <row r="559" spans="19:35" ht="14.1" customHeight="1">
      <c r="S559" s="386"/>
      <c r="T559" s="386"/>
      <c r="U559" s="738"/>
      <c r="V559" s="737"/>
      <c r="W559" s="738"/>
      <c r="X559" s="738"/>
      <c r="Y559" s="738"/>
      <c r="Z559" s="738"/>
      <c r="AA559" s="738"/>
      <c r="AB559" s="738"/>
      <c r="AC559" s="754"/>
      <c r="AD559" s="754"/>
      <c r="AE559" s="754"/>
      <c r="AF559" s="754"/>
      <c r="AG559" s="754"/>
      <c r="AH559" s="754"/>
      <c r="AI559" s="754"/>
    </row>
    <row r="560" spans="19:35" ht="14.1" customHeight="1">
      <c r="S560" s="386"/>
      <c r="T560" s="386"/>
      <c r="U560" s="738"/>
      <c r="V560" s="737"/>
      <c r="W560" s="738"/>
      <c r="X560" s="738"/>
      <c r="Y560" s="738"/>
      <c r="Z560" s="738"/>
      <c r="AA560" s="738"/>
      <c r="AB560" s="738"/>
      <c r="AC560" s="754"/>
      <c r="AD560" s="754"/>
      <c r="AE560" s="754"/>
      <c r="AF560" s="754"/>
      <c r="AG560" s="754"/>
      <c r="AH560" s="754"/>
      <c r="AI560" s="754"/>
    </row>
    <row r="561" spans="19:35" ht="14.1" customHeight="1">
      <c r="S561" s="386"/>
      <c r="T561" s="386"/>
      <c r="U561" s="738"/>
      <c r="V561" s="754"/>
      <c r="W561" s="754"/>
      <c r="X561" s="754"/>
      <c r="Y561" s="754"/>
      <c r="Z561" s="754"/>
      <c r="AA561" s="754"/>
      <c r="AB561" s="754"/>
      <c r="AC561" s="754"/>
      <c r="AD561" s="754"/>
      <c r="AE561" s="754"/>
      <c r="AF561" s="738"/>
      <c r="AG561" s="738"/>
      <c r="AH561" s="738"/>
      <c r="AI561" s="738"/>
    </row>
    <row r="562" spans="19:35" ht="14.1" customHeight="1">
      <c r="S562" s="386"/>
      <c r="T562" s="398"/>
      <c r="U562" s="738"/>
      <c r="V562" s="754"/>
      <c r="W562" s="754"/>
      <c r="X562" s="754"/>
      <c r="Y562" s="754"/>
      <c r="Z562" s="754"/>
      <c r="AA562" s="754"/>
      <c r="AB562" s="754"/>
      <c r="AC562" s="754"/>
      <c r="AD562" s="738"/>
      <c r="AE562" s="738"/>
      <c r="AF562" s="754"/>
      <c r="AG562" s="754"/>
      <c r="AH562" s="754"/>
      <c r="AI562" s="754"/>
    </row>
    <row r="563" spans="19:35" ht="14.1" customHeight="1">
      <c r="S563" s="386"/>
      <c r="T563" s="386"/>
      <c r="U563" s="738"/>
      <c r="V563" s="776"/>
      <c r="W563" s="776"/>
      <c r="X563" s="738"/>
      <c r="Y563" s="738"/>
      <c r="Z563" s="738"/>
      <c r="AA563" s="738"/>
      <c r="AB563" s="738"/>
      <c r="AC563" s="754"/>
      <c r="AD563" s="754"/>
      <c r="AE563" s="754"/>
      <c r="AF563" s="754"/>
      <c r="AG563" s="754"/>
      <c r="AH563" s="754"/>
      <c r="AI563" s="754"/>
    </row>
    <row r="564" spans="19:35" ht="14.1" customHeight="1">
      <c r="S564" s="386"/>
      <c r="T564" s="386"/>
      <c r="U564" s="738"/>
      <c r="V564" s="776"/>
      <c r="W564" s="776"/>
      <c r="X564" s="738"/>
      <c r="Y564" s="738"/>
      <c r="Z564" s="738"/>
      <c r="AA564" s="738"/>
      <c r="AB564" s="738"/>
      <c r="AC564" s="754"/>
      <c r="AD564" s="754"/>
      <c r="AE564" s="754"/>
      <c r="AF564" s="754"/>
      <c r="AG564" s="754"/>
      <c r="AH564" s="754"/>
      <c r="AI564" s="754"/>
    </row>
    <row r="565" spans="19:35" ht="14.1" customHeight="1">
      <c r="S565" s="398"/>
      <c r="T565" s="740"/>
      <c r="U565" s="738"/>
      <c r="V565" s="737"/>
      <c r="W565" s="738"/>
      <c r="X565" s="738"/>
      <c r="Y565" s="738"/>
      <c r="Z565" s="738"/>
      <c r="AA565" s="738"/>
      <c r="AB565" s="738"/>
      <c r="AC565" s="754"/>
      <c r="AD565" s="738"/>
      <c r="AE565" s="738"/>
      <c r="AF565" s="738"/>
      <c r="AG565" s="738"/>
      <c r="AH565" s="738"/>
      <c r="AI565" s="738"/>
    </row>
    <row r="566" spans="19:35" ht="14.1" customHeight="1">
      <c r="S566" s="398"/>
      <c r="T566" s="740"/>
      <c r="U566" s="738"/>
      <c r="V566" s="738"/>
      <c r="W566" s="738"/>
      <c r="X566" s="738"/>
      <c r="Y566" s="738"/>
      <c r="Z566" s="738"/>
      <c r="AA566" s="738"/>
      <c r="AB566" s="738"/>
      <c r="AC566" s="738"/>
      <c r="AD566" s="738"/>
      <c r="AE566" s="738"/>
      <c r="AF566" s="738"/>
      <c r="AG566" s="738"/>
      <c r="AH566" s="738"/>
      <c r="AI566" s="738"/>
    </row>
    <row r="567" spans="19:35" ht="14.1" customHeight="1">
      <c r="S567" s="386"/>
      <c r="T567" s="386"/>
      <c r="U567" s="738"/>
      <c r="V567" s="737"/>
      <c r="W567" s="738"/>
      <c r="X567" s="738"/>
      <c r="Y567" s="738"/>
      <c r="Z567" s="738"/>
      <c r="AA567" s="738"/>
      <c r="AB567" s="738"/>
      <c r="AC567" s="754"/>
      <c r="AD567" s="754"/>
      <c r="AE567" s="754"/>
      <c r="AF567" s="754"/>
      <c r="AG567" s="754"/>
      <c r="AH567" s="754"/>
      <c r="AI567" s="754"/>
    </row>
    <row r="568" spans="19:35" ht="14.1" customHeight="1">
      <c r="S568" s="386"/>
      <c r="T568" s="386"/>
      <c r="U568" s="738"/>
      <c r="V568" s="754"/>
      <c r="W568" s="754"/>
      <c r="X568" s="754"/>
      <c r="Y568" s="754"/>
      <c r="Z568" s="754"/>
      <c r="AA568" s="754"/>
      <c r="AB568" s="754"/>
      <c r="AC568" s="754"/>
      <c r="AD568" s="738"/>
      <c r="AE568" s="738"/>
      <c r="AF568" s="754"/>
      <c r="AG568" s="754"/>
      <c r="AH568" s="754"/>
      <c r="AI568" s="754"/>
    </row>
    <row r="569" spans="19:35" ht="14.1" customHeight="1">
      <c r="S569" s="386"/>
      <c r="T569" s="386"/>
      <c r="U569" s="738"/>
      <c r="V569" s="737"/>
      <c r="W569" s="738"/>
      <c r="X569" s="738"/>
      <c r="Y569" s="738"/>
      <c r="Z569" s="738"/>
      <c r="AA569" s="738"/>
      <c r="AB569" s="738"/>
      <c r="AC569" s="754"/>
      <c r="AD569" s="754"/>
      <c r="AE569" s="754"/>
      <c r="AF569" s="754"/>
      <c r="AG569" s="754"/>
      <c r="AH569" s="754"/>
      <c r="AI569" s="754"/>
    </row>
    <row r="570" spans="19:35" ht="14.1" customHeight="1">
      <c r="S570" s="386"/>
      <c r="T570" s="386"/>
      <c r="U570" s="738"/>
      <c r="V570" s="754"/>
      <c r="W570" s="754"/>
      <c r="X570" s="754"/>
      <c r="Y570" s="754"/>
      <c r="Z570" s="754"/>
      <c r="AA570" s="754"/>
      <c r="AB570" s="754"/>
      <c r="AC570" s="754"/>
      <c r="AD570" s="738"/>
      <c r="AE570" s="738"/>
      <c r="AF570" s="754"/>
      <c r="AG570" s="754"/>
      <c r="AH570" s="754"/>
      <c r="AI570" s="754"/>
    </row>
    <row r="571" spans="19:35" ht="14.1" customHeight="1">
      <c r="S571" s="386"/>
      <c r="T571" s="386"/>
      <c r="U571" s="738"/>
      <c r="V571" s="737"/>
      <c r="W571" s="776"/>
      <c r="X571" s="738"/>
      <c r="Y571" s="738"/>
      <c r="Z571" s="738"/>
      <c r="AA571" s="738"/>
      <c r="AB571" s="738"/>
      <c r="AC571" s="754"/>
      <c r="AD571" s="754"/>
      <c r="AE571" s="754"/>
      <c r="AF571" s="754"/>
      <c r="AG571" s="754"/>
      <c r="AH571" s="754"/>
      <c r="AI571" s="754"/>
    </row>
    <row r="572" spans="19:35" ht="14.1" customHeight="1">
      <c r="S572" s="386"/>
      <c r="T572" s="386"/>
      <c r="U572" s="738"/>
      <c r="V572" s="738"/>
      <c r="W572" s="738"/>
      <c r="X572" s="738"/>
      <c r="Y572" s="738"/>
      <c r="Z572" s="738"/>
      <c r="AA572" s="738"/>
      <c r="AB572" s="738"/>
      <c r="AC572" s="754"/>
      <c r="AD572" s="754"/>
      <c r="AE572" s="754"/>
      <c r="AF572" s="754"/>
      <c r="AG572" s="754"/>
      <c r="AH572" s="754"/>
      <c r="AI572" s="754"/>
    </row>
    <row r="573" spans="19:35" ht="14.1" customHeight="1">
      <c r="S573" s="386"/>
      <c r="T573" s="386"/>
      <c r="U573" s="738"/>
      <c r="V573" s="754"/>
      <c r="W573" s="754"/>
      <c r="X573" s="754"/>
      <c r="Y573" s="754"/>
      <c r="Z573" s="754"/>
      <c r="AA573" s="754"/>
      <c r="AB573" s="754"/>
      <c r="AC573" s="754"/>
      <c r="AD573" s="754"/>
      <c r="AE573" s="754"/>
      <c r="AF573" s="754"/>
      <c r="AG573" s="754"/>
      <c r="AH573" s="738"/>
      <c r="AI573" s="738"/>
    </row>
    <row r="574" spans="19:35" ht="14.1" customHeight="1">
      <c r="S574" s="386"/>
      <c r="T574" s="386"/>
      <c r="U574" s="738"/>
      <c r="V574" s="737"/>
      <c r="W574" s="738"/>
      <c r="X574" s="738"/>
      <c r="Y574" s="738"/>
      <c r="Z574" s="738"/>
      <c r="AA574" s="738"/>
      <c r="AB574" s="738"/>
      <c r="AC574" s="754"/>
      <c r="AD574" s="754"/>
      <c r="AE574" s="754"/>
      <c r="AF574" s="754"/>
      <c r="AG574" s="754"/>
      <c r="AH574" s="754"/>
      <c r="AI574" s="754"/>
    </row>
    <row r="575" spans="19:35" ht="14.1" customHeight="1">
      <c r="S575" s="386"/>
      <c r="T575" s="386"/>
      <c r="U575" s="738"/>
      <c r="V575" s="737"/>
      <c r="W575" s="738"/>
      <c r="X575" s="738"/>
      <c r="Y575" s="738"/>
      <c r="Z575" s="738"/>
      <c r="AA575" s="738"/>
      <c r="AB575" s="738"/>
      <c r="AC575" s="754"/>
      <c r="AD575" s="754"/>
      <c r="AE575" s="754"/>
      <c r="AF575" s="754"/>
      <c r="AG575" s="754"/>
      <c r="AH575" s="754"/>
      <c r="AI575" s="754"/>
    </row>
    <row r="576" spans="19:35" ht="14.1" customHeight="1">
      <c r="S576" s="386"/>
      <c r="T576" s="386"/>
      <c r="U576" s="738"/>
      <c r="V576" s="754"/>
      <c r="W576" s="754"/>
      <c r="X576" s="754"/>
      <c r="Y576" s="754"/>
      <c r="Z576" s="754"/>
      <c r="AA576" s="754"/>
      <c r="AB576" s="754"/>
      <c r="AC576" s="754"/>
      <c r="AD576" s="738"/>
      <c r="AE576" s="738"/>
      <c r="AF576" s="737"/>
      <c r="AG576" s="737"/>
      <c r="AH576" s="737"/>
      <c r="AI576" s="738"/>
    </row>
    <row r="577" spans="19:24" ht="14.1" customHeight="1">
      <c r="S577" s="676"/>
    </row>
    <row r="578" spans="19:24" ht="14.1" customHeight="1">
      <c r="S578" s="398"/>
    </row>
    <row r="579" spans="19:24" ht="14.1" customHeight="1">
      <c r="S579" s="398"/>
      <c r="T579" s="386"/>
      <c r="U579" s="386"/>
      <c r="V579" s="386"/>
      <c r="W579" s="386"/>
      <c r="X579" s="386"/>
    </row>
    <row r="580" spans="19:24" ht="14.1" customHeight="1">
      <c r="S580" s="386"/>
    </row>
  </sheetData>
  <mergeCells count="90">
    <mergeCell ref="DT2:DU2"/>
    <mergeCell ref="DM1:DR1"/>
    <mergeCell ref="BV2:BW2"/>
    <mergeCell ref="BX2:BY2"/>
    <mergeCell ref="BZ2:CA2"/>
    <mergeCell ref="CB2:CC2"/>
    <mergeCell ref="CO2:CP2"/>
    <mergeCell ref="CQ2:CR2"/>
    <mergeCell ref="CS2:CT2"/>
    <mergeCell ref="CU2:CV2"/>
    <mergeCell ref="CW2:CX2"/>
    <mergeCell ref="DC2:DD2"/>
    <mergeCell ref="DE2:DF2"/>
    <mergeCell ref="DG2:DH2"/>
    <mergeCell ref="DI2:DJ2"/>
    <mergeCell ref="DK2:DL2"/>
    <mergeCell ref="EN2:EO2"/>
    <mergeCell ref="EP2:EQ2"/>
    <mergeCell ref="FE2:FO2"/>
    <mergeCell ref="AY3:BA3"/>
    <mergeCell ref="BB3:BD3"/>
    <mergeCell ref="BE3:BG3"/>
    <mergeCell ref="FE3:FF3"/>
    <mergeCell ref="FG3:FH3"/>
    <mergeCell ref="FI3:FJ3"/>
    <mergeCell ref="FK3:FL3"/>
    <mergeCell ref="DV2:DW2"/>
    <mergeCell ref="DX2:DY2"/>
    <mergeCell ref="DZ2:EA2"/>
    <mergeCell ref="EB2:EC2"/>
    <mergeCell ref="ED2:EE2"/>
    <mergeCell ref="EL2:EM2"/>
    <mergeCell ref="EP18:EQ18"/>
    <mergeCell ref="FM3:FN3"/>
    <mergeCell ref="FE4:FF4"/>
    <mergeCell ref="FG4:FH4"/>
    <mergeCell ref="FI4:FJ4"/>
    <mergeCell ref="FK4:FL4"/>
    <mergeCell ref="FM4:FN4"/>
    <mergeCell ref="AY17:BA17"/>
    <mergeCell ref="BB17:BD17"/>
    <mergeCell ref="BE17:BG17"/>
    <mergeCell ref="EL18:EM18"/>
    <mergeCell ref="EN18:EO18"/>
    <mergeCell ref="CB19:CC19"/>
    <mergeCell ref="DZ21:EA21"/>
    <mergeCell ref="EB21:EC21"/>
    <mergeCell ref="ED21:EE21"/>
    <mergeCell ref="BV22:BW22"/>
    <mergeCell ref="BX22:BY22"/>
    <mergeCell ref="BZ22:CA22"/>
    <mergeCell ref="DZ36:EA36"/>
    <mergeCell ref="EB36:EC36"/>
    <mergeCell ref="ED36:EE36"/>
    <mergeCell ref="FT38:FY38"/>
    <mergeCell ref="CO23:CP23"/>
    <mergeCell ref="CQ23:CR23"/>
    <mergeCell ref="CS23:CT23"/>
    <mergeCell ref="CU23:CV23"/>
    <mergeCell ref="CW23:CX23"/>
    <mergeCell ref="EL34:EM34"/>
    <mergeCell ref="EL50:EM50"/>
    <mergeCell ref="EN50:EO50"/>
    <mergeCell ref="EP50:EQ50"/>
    <mergeCell ref="EN34:EO34"/>
    <mergeCell ref="EP34:EQ34"/>
    <mergeCell ref="FT39:FY39"/>
    <mergeCell ref="CQ42:CR42"/>
    <mergeCell ref="CS42:CT42"/>
    <mergeCell ref="CU42:CV42"/>
    <mergeCell ref="CW42:CX42"/>
    <mergeCell ref="DM73:DN73"/>
    <mergeCell ref="FT76:FY76"/>
    <mergeCell ref="DI77:DJ77"/>
    <mergeCell ref="DK77:DL77"/>
    <mergeCell ref="EL83:EM83"/>
    <mergeCell ref="EN83:EO83"/>
    <mergeCell ref="EP83:EQ83"/>
    <mergeCell ref="EL116:EM116"/>
    <mergeCell ref="EN116:EO116"/>
    <mergeCell ref="EP116:EQ116"/>
    <mergeCell ref="EL149:EM149"/>
    <mergeCell ref="EN149:EO149"/>
    <mergeCell ref="EP149:EQ149"/>
    <mergeCell ref="EL183:EM183"/>
    <mergeCell ref="EN183:EO183"/>
    <mergeCell ref="EP183:EQ183"/>
    <mergeCell ref="EL219:EM219"/>
    <mergeCell ref="EN219:EO219"/>
    <mergeCell ref="EP219:EQ219"/>
  </mergeCells>
  <pageMargins left="0.19" right="0.2" top="0.34" bottom="0.18" header="0.2" footer="0.2"/>
  <pageSetup scale="10" orientation="portrait" r:id="rId1"/>
  <headerFooter alignWithMargins="0"/>
  <ignoredErrors>
    <ignoredError sqref="D6:D43 B12:B43 C12:C25 E6:E31 F6:G31 AO5:AT21 EJ5:EJ44" formulaRange="1"/>
    <ignoredError sqref="U239:U284 FD12:FN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A0CE9-573C-4B78-8336-420D01D9D281}">
  <dimension ref="A1:GG598"/>
  <sheetViews>
    <sheetView showGridLines="0" topLeftCell="CW191" zoomScaleNormal="100" workbookViewId="0">
      <selection activeCell="CY239" sqref="CY239"/>
    </sheetView>
  </sheetViews>
  <sheetFormatPr defaultColWidth="12.7109375" defaultRowHeight="12.75"/>
  <cols>
    <col min="1" max="1" width="19.7109375" style="2354" customWidth="1"/>
    <col min="2" max="2" width="10.7109375" style="2354" customWidth="1"/>
    <col min="3" max="3" width="8.7109375" style="2354" customWidth="1"/>
    <col min="4" max="4" width="10.7109375" style="2354" customWidth="1"/>
    <col min="5" max="5" width="9.7109375" style="2354" customWidth="1"/>
    <col min="6" max="6" width="12.85546875" style="2354" customWidth="1"/>
    <col min="7" max="7" width="9.7109375" style="2354" customWidth="1"/>
    <col min="8" max="8" width="11.140625" style="2354" customWidth="1"/>
    <col min="9" max="9" width="15.85546875" style="2354" customWidth="1"/>
    <col min="10" max="10" width="12" style="2354" customWidth="1"/>
    <col min="11" max="11" width="13.85546875" style="2354" customWidth="1"/>
    <col min="12" max="12" width="14.42578125" style="2354" customWidth="1"/>
    <col min="13" max="13" width="20.7109375" style="2354" customWidth="1"/>
    <col min="14" max="14" width="12.7109375" style="2354" hidden="1" customWidth="1"/>
    <col min="15" max="17" width="9.7109375" style="2354" customWidth="1"/>
    <col min="18" max="18" width="12.28515625" style="2354" customWidth="1"/>
    <col min="19" max="19" width="15.85546875" style="2354" customWidth="1"/>
    <col min="20" max="20" width="11.7109375" style="2354" customWidth="1"/>
    <col min="21" max="21" width="13.7109375" style="2354" customWidth="1"/>
    <col min="22" max="22" width="12.7109375" style="2354" customWidth="1"/>
    <col min="23" max="23" width="13.7109375" style="2355" customWidth="1"/>
    <col min="24" max="24" width="12.7109375" style="2354" customWidth="1"/>
    <col min="25" max="25" width="11.85546875" style="2354" bestFit="1" customWidth="1"/>
    <col min="26" max="26" width="19.7109375" style="2354" customWidth="1"/>
    <col min="27" max="27" width="10.7109375" style="2354" customWidth="1"/>
    <col min="28" max="30" width="11.7109375" style="2354" customWidth="1"/>
    <col min="31" max="31" width="13.28515625" style="2354" customWidth="1"/>
    <col min="32" max="36" width="11.7109375" style="2354" customWidth="1"/>
    <col min="37" max="37" width="24.7109375" style="2354" customWidth="1"/>
    <col min="38" max="40" width="10.7109375" style="2354" customWidth="1"/>
    <col min="41" max="44" width="14.7109375" style="2354" customWidth="1"/>
    <col min="45" max="45" width="16.7109375" style="2354" customWidth="1"/>
    <col min="46" max="46" width="14.7109375" style="2354" customWidth="1"/>
    <col min="47" max="48" width="16.7109375" style="2354" customWidth="1"/>
    <col min="49" max="49" width="9.140625" style="2354" customWidth="1"/>
    <col min="50" max="50" width="20.7109375" style="2354" customWidth="1"/>
    <col min="51" max="51" width="12.7109375" style="2354" customWidth="1"/>
    <col min="52" max="62" width="9.7109375" style="2354" customWidth="1"/>
    <col min="63" max="63" width="9.140625" style="2354" customWidth="1"/>
    <col min="64" max="64" width="20.7109375" style="2354" customWidth="1"/>
    <col min="65" max="65" width="12.7109375" style="2354" customWidth="1"/>
    <col min="66" max="76" width="9.7109375" style="2354" customWidth="1"/>
    <col min="77" max="77" width="11.85546875" style="2354" bestFit="1" customWidth="1"/>
    <col min="78" max="78" width="20.7109375" style="2354" customWidth="1"/>
    <col min="79" max="82" width="10.7109375" style="2354" customWidth="1"/>
    <col min="83" max="85" width="9.7109375" style="2354" customWidth="1"/>
    <col min="86" max="87" width="9.140625" style="2354" customWidth="1"/>
    <col min="88" max="88" width="22.7109375" style="2354" customWidth="1"/>
    <col min="89" max="89" width="10.7109375" style="2354" customWidth="1"/>
    <col min="90" max="91" width="9.140625" style="2354" customWidth="1"/>
    <col min="92" max="93" width="10.140625" style="2354" customWidth="1"/>
    <col min="94" max="101" width="9.140625" style="2354" customWidth="1"/>
    <col min="102" max="102" width="33.140625" style="2354" customWidth="1"/>
    <col min="103" max="103" width="20.7109375" style="2354" customWidth="1"/>
    <col min="104" max="104" width="17.42578125" style="2354" customWidth="1"/>
    <col min="105" max="106" width="9.140625" style="2354" customWidth="1"/>
    <col min="107" max="107" width="20.7109375" style="2354" customWidth="1"/>
    <col min="108" max="108" width="9.140625" style="2354" customWidth="1"/>
    <col min="109" max="111" width="13.28515625" style="2354" customWidth="1"/>
    <col min="112" max="112" width="15.42578125" style="2354" customWidth="1"/>
    <col min="113" max="114" width="13.28515625" style="2354" customWidth="1"/>
    <col min="115" max="116" width="9.140625" style="2354" customWidth="1"/>
    <col min="117" max="117" width="30.7109375" style="2354" customWidth="1"/>
    <col min="118" max="118" width="11.7109375" style="2354" customWidth="1"/>
    <col min="119" max="119" width="19.85546875" style="2354" customWidth="1"/>
    <col min="120" max="120" width="26" style="2354" customWidth="1"/>
    <col min="121" max="121" width="9.140625" style="2354" customWidth="1"/>
    <col min="122" max="122" width="16.42578125" style="2354" customWidth="1"/>
    <col min="123" max="123" width="20.7109375" style="2354" customWidth="1"/>
    <col min="124" max="124" width="9.140625" style="2354" customWidth="1"/>
    <col min="125" max="126" width="13.28515625" style="2354" customWidth="1"/>
    <col min="127" max="127" width="14.28515625" style="2354" customWidth="1"/>
    <col min="128" max="128" width="13.7109375" style="2354" customWidth="1"/>
    <col min="129" max="130" width="13.28515625" style="2354" customWidth="1"/>
    <col min="131" max="132" width="9.140625" style="2354" customWidth="1"/>
    <col min="133" max="133" width="30.7109375" style="2354" customWidth="1"/>
    <col min="134" max="134" width="11.7109375" style="2354" customWidth="1"/>
    <col min="135" max="135" width="26.7109375" style="2354" customWidth="1"/>
    <col min="136" max="136" width="17.42578125" style="2354" customWidth="1"/>
    <col min="137" max="138" width="9.140625" style="2354" customWidth="1"/>
    <col min="139" max="139" width="20.7109375" style="2354" customWidth="1"/>
    <col min="140" max="140" width="9.140625" style="2354" customWidth="1"/>
    <col min="141" max="142" width="13.28515625" style="2354" customWidth="1"/>
    <col min="143" max="147" width="12.7109375" style="2354" customWidth="1"/>
    <col min="148" max="148" width="9.140625" style="2354" customWidth="1"/>
    <col min="149" max="150" width="11.7109375" style="2354" customWidth="1"/>
    <col min="151" max="151" width="10.7109375" style="2354" customWidth="1"/>
    <col min="152" max="152" width="20.7109375" style="2354" customWidth="1"/>
    <col min="153" max="154" width="10.7109375" style="2354" customWidth="1"/>
    <col min="155" max="160" width="12.7109375" style="2354" customWidth="1"/>
    <col min="161" max="162" width="9.7109375" style="2354" customWidth="1"/>
    <col min="163" max="164" width="12.7109375" style="2354" customWidth="1"/>
    <col min="165" max="166" width="9.7109375" style="2354" customWidth="1"/>
    <col min="167" max="168" width="12.7109375" style="2354" customWidth="1"/>
    <col min="169" max="170" width="9.140625" style="2354" customWidth="1"/>
    <col min="171" max="171" width="24.7109375" style="2354" customWidth="1"/>
    <col min="172" max="173" width="10.7109375" style="2354" customWidth="1"/>
    <col min="174" max="174" width="12.7109375" style="2354" customWidth="1"/>
    <col min="175" max="177" width="9.140625" style="2354" customWidth="1"/>
    <col min="178" max="178" width="20.7109375" style="2354" customWidth="1"/>
    <col min="179" max="180" width="10.7109375" style="2354" customWidth="1"/>
    <col min="181" max="186" width="12.7109375" style="2354" customWidth="1"/>
    <col min="187" max="188" width="9.140625" style="2354" customWidth="1"/>
    <col min="189" max="16384" width="12.7109375" style="2354"/>
  </cols>
  <sheetData>
    <row r="1" spans="1:189" ht="12.95" customHeight="1">
      <c r="A1" s="2424" t="s">
        <v>3959</v>
      </c>
      <c r="B1" s="2424"/>
      <c r="C1" s="2424"/>
      <c r="D1" s="2424"/>
      <c r="E1" s="2424"/>
      <c r="F1" s="2424"/>
      <c r="G1" s="2424"/>
      <c r="H1" s="2424"/>
      <c r="I1" s="2424"/>
      <c r="M1" s="2368" t="s">
        <v>3960</v>
      </c>
      <c r="N1" s="2519"/>
      <c r="O1" s="2519"/>
      <c r="P1" s="2519"/>
      <c r="Q1" s="2411"/>
      <c r="R1" s="2411"/>
      <c r="S1" s="2411"/>
      <c r="T1" s="2411"/>
      <c r="U1" s="2411"/>
      <c r="Z1" s="2356" t="s">
        <v>3961</v>
      </c>
      <c r="AA1" s="2356"/>
      <c r="AB1" s="2368"/>
      <c r="AC1" s="2368"/>
      <c r="AD1" s="2368"/>
      <c r="AE1" s="2368"/>
      <c r="AF1" s="2356"/>
      <c r="AG1" s="2356"/>
      <c r="AH1" s="2356"/>
      <c r="AI1" s="2356"/>
      <c r="AJ1" s="2356"/>
      <c r="AK1" s="2368" t="s">
        <v>3962</v>
      </c>
      <c r="AL1" s="2368"/>
      <c r="AM1" s="2368"/>
      <c r="AN1" s="2368"/>
      <c r="AO1" s="2368"/>
      <c r="AP1" s="2368"/>
      <c r="AQ1" s="2368"/>
      <c r="AR1" s="2368"/>
      <c r="AS1" s="2368"/>
      <c r="AT1" s="2356"/>
      <c r="AU1" s="2356"/>
      <c r="AV1" s="2356"/>
      <c r="AW1" s="2356"/>
      <c r="AX1" s="2356" t="s">
        <v>3963</v>
      </c>
      <c r="AY1" s="2357"/>
      <c r="AZ1" s="2357"/>
      <c r="BA1" s="2357"/>
      <c r="BB1" s="2357"/>
      <c r="BC1" s="2357"/>
      <c r="BD1" s="2357"/>
      <c r="BE1" s="2357"/>
      <c r="BF1" s="2357"/>
      <c r="BG1" s="2357"/>
      <c r="BH1" s="2357"/>
      <c r="BI1" s="2357"/>
      <c r="BJ1" s="2356"/>
      <c r="BK1" s="2356"/>
      <c r="BL1" s="2356" t="s">
        <v>3964</v>
      </c>
      <c r="BM1" s="2357"/>
      <c r="BN1" s="2357"/>
      <c r="BO1" s="2357"/>
      <c r="BP1" s="2357"/>
      <c r="BQ1" s="2357"/>
      <c r="BR1" s="2357"/>
      <c r="BS1" s="2357"/>
      <c r="BT1" s="2357"/>
      <c r="BU1" s="2357"/>
      <c r="BV1" s="2357"/>
      <c r="BW1" s="2357"/>
      <c r="BZ1" s="2368" t="s">
        <v>3965</v>
      </c>
      <c r="CA1" s="2368"/>
      <c r="CB1" s="2368"/>
      <c r="CC1" s="2356"/>
      <c r="CD1" s="2356"/>
      <c r="CE1" s="2368"/>
      <c r="CF1" s="2368"/>
      <c r="CJ1" s="2368" t="s">
        <v>3966</v>
      </c>
      <c r="CK1" s="2368"/>
      <c r="CL1" s="2368"/>
      <c r="CM1" s="2368"/>
      <c r="CN1" s="2356"/>
      <c r="CO1" s="2356"/>
      <c r="CP1" s="2356"/>
      <c r="CQ1" s="2356"/>
      <c r="CR1" s="2356"/>
      <c r="CS1" s="2356"/>
      <c r="CT1" s="2356"/>
      <c r="CU1" s="2356"/>
      <c r="CV1" s="2356"/>
      <c r="CW1" s="2356"/>
      <c r="CX1" s="2368" t="s">
        <v>3967</v>
      </c>
      <c r="CY1" s="2368"/>
      <c r="CZ1" s="2368"/>
      <c r="DA1" s="2356"/>
      <c r="DC1" s="2368" t="s">
        <v>3968</v>
      </c>
      <c r="DD1" s="2368"/>
      <c r="DE1" s="2356"/>
      <c r="DF1" s="2356"/>
      <c r="DG1" s="2356"/>
      <c r="DH1" s="2356"/>
      <c r="DI1" s="2368"/>
      <c r="DJ1" s="2368"/>
      <c r="DM1" s="2356"/>
      <c r="DN1" s="2356"/>
      <c r="DO1" s="2356"/>
      <c r="DP1" s="2356"/>
      <c r="DQ1" s="2356"/>
      <c r="DR1" s="2356"/>
      <c r="DS1" s="2356"/>
      <c r="DU1" s="2356"/>
      <c r="DV1" s="2356"/>
      <c r="DW1" s="2356"/>
      <c r="DX1" s="2356"/>
      <c r="DY1" s="2356"/>
      <c r="DZ1" s="2356"/>
      <c r="EA1" s="2356"/>
      <c r="EB1" s="2356"/>
      <c r="EE1" s="2356"/>
      <c r="EF1" s="2356"/>
      <c r="EG1" s="2356"/>
      <c r="EH1" s="2356"/>
      <c r="EK1" s="2356"/>
      <c r="EL1" s="2356"/>
      <c r="EM1" s="2356"/>
      <c r="EN1" s="2356"/>
      <c r="EO1" s="2356"/>
      <c r="EP1" s="2356"/>
      <c r="EQ1" s="2356"/>
      <c r="ER1" s="2356"/>
      <c r="ES1" s="2356"/>
      <c r="EU1" s="2356"/>
      <c r="EV1" s="2356"/>
      <c r="EW1" s="2356"/>
      <c r="EX1" s="2356"/>
      <c r="EY1" s="2356"/>
      <c r="EZ1" s="2356"/>
      <c r="FA1" s="2356"/>
      <c r="FB1" s="2356"/>
      <c r="FC1" s="2356"/>
      <c r="FD1" s="2356"/>
      <c r="FE1" s="2356"/>
      <c r="FF1" s="2356"/>
      <c r="FG1" s="2356"/>
      <c r="FH1" s="2356"/>
      <c r="FI1" s="2356"/>
      <c r="FJ1" s="2356"/>
      <c r="FK1" s="2356"/>
      <c r="FL1" s="2356"/>
      <c r="FM1" s="2356"/>
      <c r="FN1" s="2356"/>
      <c r="FO1" s="2356"/>
      <c r="FQ1" s="2356"/>
      <c r="FR1" s="2356"/>
      <c r="FS1" s="2356"/>
      <c r="FT1" s="2356"/>
      <c r="FX1" s="2356"/>
      <c r="FY1" s="2356"/>
      <c r="FZ1" s="2356"/>
      <c r="GA1" s="2356"/>
      <c r="GB1" s="2356"/>
      <c r="GC1" s="2356"/>
      <c r="GD1" s="2356"/>
      <c r="GE1" s="2356"/>
      <c r="GF1" s="2356"/>
      <c r="GG1" s="2356"/>
    </row>
    <row r="2" spans="1:189" ht="12.95" customHeight="1">
      <c r="A2" s="2387"/>
      <c r="B2" s="2423"/>
      <c r="C2" s="2422"/>
      <c r="D2" s="2485" t="s">
        <v>3969</v>
      </c>
      <c r="E2" s="2486"/>
      <c r="F2" s="2485" t="s">
        <v>3970</v>
      </c>
      <c r="G2" s="2486"/>
      <c r="H2" s="2485" t="s">
        <v>3971</v>
      </c>
      <c r="I2" s="2484"/>
      <c r="J2" s="2501"/>
      <c r="N2" s="2518"/>
      <c r="O2" s="2515" t="s">
        <v>3972</v>
      </c>
      <c r="P2" s="2514"/>
      <c r="Q2" s="2516"/>
      <c r="R2" s="2515">
        <v>2022</v>
      </c>
      <c r="S2" s="2516"/>
      <c r="T2" s="2515">
        <v>2018</v>
      </c>
      <c r="U2" s="2514"/>
      <c r="V2" s="2515">
        <v>2014</v>
      </c>
      <c r="W2" s="2514"/>
      <c r="Z2" s="2458"/>
      <c r="AA2" s="2457"/>
      <c r="AB2" s="2420" t="s">
        <v>3973</v>
      </c>
      <c r="AC2" s="2421"/>
      <c r="AD2" s="2420" t="s">
        <v>3974</v>
      </c>
      <c r="AE2" s="2421"/>
      <c r="AF2" s="2420" t="s">
        <v>3975</v>
      </c>
      <c r="AG2" s="2419"/>
      <c r="AH2" s="2459"/>
      <c r="AI2" s="2517"/>
      <c r="AJ2" s="2459"/>
      <c r="AL2" s="2515" t="s">
        <v>3972</v>
      </c>
      <c r="AM2" s="2514"/>
      <c r="AN2" s="2516"/>
      <c r="AO2" s="2515">
        <v>2024</v>
      </c>
      <c r="AP2" s="2516"/>
      <c r="AQ2" s="2515">
        <v>2022</v>
      </c>
      <c r="AR2" s="2516"/>
      <c r="AS2" s="2515">
        <v>2020</v>
      </c>
      <c r="AT2" s="2514"/>
      <c r="AU2" s="2514"/>
      <c r="AV2" s="2355"/>
      <c r="AW2" s="2459"/>
      <c r="AX2" s="2387"/>
      <c r="AY2" s="2491"/>
      <c r="AZ2" s="2491"/>
      <c r="BA2" s="2490"/>
      <c r="BB2" s="2489" t="s">
        <v>3976</v>
      </c>
      <c r="BC2" s="2488"/>
      <c r="BD2" s="2489" t="s">
        <v>3977</v>
      </c>
      <c r="BE2" s="2488"/>
      <c r="BF2" s="2455" t="s">
        <v>3978</v>
      </c>
      <c r="BG2" s="2454"/>
      <c r="BH2" s="2462"/>
      <c r="BI2" s="2462"/>
      <c r="BJ2" s="2459"/>
      <c r="BK2" s="2459"/>
      <c r="BL2" s="2387"/>
      <c r="BM2" s="2491"/>
      <c r="BN2" s="2491"/>
      <c r="BO2" s="2490"/>
      <c r="BP2" s="2489" t="s">
        <v>3979</v>
      </c>
      <c r="BQ2" s="2488"/>
      <c r="BR2" s="2489" t="s">
        <v>3980</v>
      </c>
      <c r="BS2" s="2488"/>
      <c r="BT2" s="2489" t="s">
        <v>3981</v>
      </c>
      <c r="BU2" s="2488"/>
      <c r="BV2" s="2455" t="s">
        <v>3978</v>
      </c>
      <c r="BW2" s="2454"/>
      <c r="BZ2" s="2387"/>
      <c r="CA2" s="2461"/>
      <c r="CB2" s="2460"/>
      <c r="CC2" s="2420" t="s">
        <v>3982</v>
      </c>
      <c r="CD2" s="2421"/>
      <c r="CE2" s="2420" t="s">
        <v>3977</v>
      </c>
      <c r="CF2" s="2419"/>
      <c r="CJ2" s="2387"/>
      <c r="CK2" s="2386"/>
      <c r="CM2" s="2456"/>
      <c r="CN2" s="2383" t="s">
        <v>3983</v>
      </c>
      <c r="CO2" s="2385"/>
      <c r="CP2" s="2455" t="s">
        <v>3978</v>
      </c>
      <c r="CQ2" s="2454"/>
      <c r="CR2" s="2362"/>
      <c r="CS2" s="2362"/>
      <c r="CT2" s="2463"/>
      <c r="CU2" s="2463"/>
      <c r="CV2" s="2462"/>
      <c r="CW2" s="2462"/>
      <c r="CX2" s="2356" t="s">
        <v>3984</v>
      </c>
      <c r="CY2" s="2476" t="s">
        <v>3985</v>
      </c>
      <c r="CZ2" s="2450" t="s">
        <v>3986</v>
      </c>
      <c r="DA2" s="2361"/>
      <c r="DC2" s="2387"/>
      <c r="DD2" s="2386"/>
      <c r="DE2" s="2383" t="s">
        <v>3987</v>
      </c>
      <c r="DF2" s="2382"/>
      <c r="DG2" s="2383" t="s">
        <v>3988</v>
      </c>
      <c r="DH2" s="2384"/>
      <c r="DI2" s="2383" t="s">
        <v>3989</v>
      </c>
      <c r="DJ2" s="2382"/>
      <c r="DM2" s="2361"/>
      <c r="DN2" s="2361"/>
      <c r="DO2" s="2356"/>
      <c r="DP2" s="2404"/>
      <c r="DQ2" s="2404"/>
      <c r="DR2" s="2361"/>
      <c r="DS2" s="2361"/>
      <c r="DU2" s="2356"/>
      <c r="DV2" s="2364"/>
      <c r="DW2" s="2362"/>
      <c r="DX2" s="2362"/>
      <c r="DY2" s="2362"/>
      <c r="DZ2" s="2362"/>
      <c r="EA2" s="2362"/>
      <c r="EB2" s="2362"/>
      <c r="EE2" s="2356"/>
      <c r="EF2" s="2404"/>
      <c r="EG2" s="2404"/>
      <c r="EH2" s="2361"/>
      <c r="EK2" s="2356"/>
      <c r="EL2" s="2364"/>
      <c r="EM2" s="2362"/>
      <c r="EN2" s="2362"/>
      <c r="EO2" s="2363"/>
      <c r="EP2" s="2363"/>
      <c r="EQ2" s="2362"/>
      <c r="ER2" s="2362"/>
      <c r="ES2" s="2408"/>
      <c r="EU2" s="2404"/>
      <c r="EV2" s="2404"/>
      <c r="EW2" s="2408"/>
      <c r="EX2" s="2356"/>
      <c r="EY2" s="2364"/>
      <c r="EZ2" s="2364"/>
      <c r="FA2" s="2409"/>
      <c r="FB2" s="2409"/>
      <c r="FC2" s="2509"/>
      <c r="FD2" s="2509"/>
      <c r="FE2" s="2409"/>
      <c r="FF2" s="2409"/>
      <c r="FG2" s="2408"/>
      <c r="FH2" s="2408"/>
      <c r="FI2" s="2508"/>
      <c r="FJ2" s="2508"/>
      <c r="FK2" s="2507"/>
      <c r="FL2" s="2408"/>
      <c r="FM2" s="2362"/>
      <c r="FN2" s="2362"/>
      <c r="FO2" s="2409"/>
      <c r="FQ2" s="2356"/>
      <c r="FR2" s="2506"/>
      <c r="FS2" s="2506"/>
      <c r="FT2" s="2361"/>
      <c r="FX2" s="2356"/>
      <c r="FY2" s="2364"/>
      <c r="FZ2" s="2364"/>
      <c r="GA2" s="2362"/>
      <c r="GB2" s="2362"/>
      <c r="GC2" s="2362"/>
      <c r="GD2" s="2362"/>
      <c r="GE2" s="2362"/>
      <c r="GF2" s="2362"/>
    </row>
    <row r="3" spans="1:189" ht="12.95" customHeight="1">
      <c r="A3" s="2356" t="s">
        <v>3990</v>
      </c>
      <c r="B3" s="2418" t="s">
        <v>3991</v>
      </c>
      <c r="C3" s="2417" t="s">
        <v>129</v>
      </c>
      <c r="D3" s="2481" t="s">
        <v>3992</v>
      </c>
      <c r="E3" s="2482"/>
      <c r="F3" s="2481" t="s">
        <v>3993</v>
      </c>
      <c r="G3" s="2482"/>
      <c r="H3" s="2481" t="s">
        <v>3994</v>
      </c>
      <c r="I3" s="2480"/>
      <c r="J3" s="2501"/>
      <c r="M3" s="2354" t="s">
        <v>3990</v>
      </c>
      <c r="N3" s="2513"/>
      <c r="O3" s="2513"/>
      <c r="P3" s="2513"/>
      <c r="Q3" s="2513"/>
      <c r="R3" s="2449" t="s">
        <v>3995</v>
      </c>
      <c r="S3" s="2449" t="s">
        <v>3996</v>
      </c>
      <c r="T3" s="2449" t="s">
        <v>3997</v>
      </c>
      <c r="U3" s="2449" t="s">
        <v>3996</v>
      </c>
      <c r="V3" s="2449" t="s">
        <v>3998</v>
      </c>
      <c r="W3" s="2449" t="s">
        <v>3999</v>
      </c>
      <c r="X3" s="2355"/>
      <c r="Z3" s="2451"/>
      <c r="AA3" s="2450"/>
      <c r="AB3" s="2445" t="s">
        <v>4000</v>
      </c>
      <c r="AC3" s="2444"/>
      <c r="AD3" s="2445" t="s">
        <v>4001</v>
      </c>
      <c r="AE3" s="2444"/>
      <c r="AF3" s="2445" t="s">
        <v>4002</v>
      </c>
      <c r="AG3" s="2437"/>
      <c r="AH3" s="2459"/>
      <c r="AI3" s="2459"/>
      <c r="AJ3" s="2459"/>
      <c r="AK3" s="2439" t="s">
        <v>3990</v>
      </c>
      <c r="AL3" s="2512"/>
      <c r="AM3" s="2512"/>
      <c r="AN3" s="2512"/>
      <c r="AO3" s="2510" t="s">
        <v>3976</v>
      </c>
      <c r="AP3" s="2510" t="s">
        <v>4003</v>
      </c>
      <c r="AQ3" s="2510" t="s">
        <v>4004</v>
      </c>
      <c r="AR3" s="2510" t="s">
        <v>4003</v>
      </c>
      <c r="AS3" s="2511" t="s">
        <v>3979</v>
      </c>
      <c r="AT3" s="2511" t="s">
        <v>4005</v>
      </c>
      <c r="AU3" s="2510" t="s">
        <v>4006</v>
      </c>
      <c r="AV3" s="2459"/>
      <c r="AW3" s="2459"/>
      <c r="AX3" s="2356" t="s">
        <v>3990</v>
      </c>
      <c r="AY3" s="2417" t="s">
        <v>129</v>
      </c>
      <c r="AZ3" s="2483" t="s">
        <v>4007</v>
      </c>
      <c r="BA3" s="2417" t="s">
        <v>2450</v>
      </c>
      <c r="BB3" s="2415" t="s">
        <v>4008</v>
      </c>
      <c r="BC3" s="2416"/>
      <c r="BD3" s="2415" t="s">
        <v>4009</v>
      </c>
      <c r="BE3" s="2416"/>
      <c r="BF3" s="2447"/>
      <c r="BG3" s="2446"/>
      <c r="BH3" s="2462"/>
      <c r="BI3" s="2462"/>
      <c r="BJ3" s="2459"/>
      <c r="BK3" s="2459"/>
      <c r="BL3" s="2356" t="s">
        <v>3990</v>
      </c>
      <c r="BM3" s="2417" t="s">
        <v>129</v>
      </c>
      <c r="BN3" s="2483" t="s">
        <v>4007</v>
      </c>
      <c r="BO3" s="2417" t="s">
        <v>2450</v>
      </c>
      <c r="BP3" s="2415" t="s">
        <v>4010</v>
      </c>
      <c r="BQ3" s="2416"/>
      <c r="BR3" s="2415" t="s">
        <v>4011</v>
      </c>
      <c r="BS3" s="2416"/>
      <c r="BT3" s="2415" t="s">
        <v>4012</v>
      </c>
      <c r="BU3" s="2416"/>
      <c r="BV3" s="2447"/>
      <c r="BW3" s="2446"/>
      <c r="BZ3" s="2356" t="s">
        <v>4013</v>
      </c>
      <c r="CA3" s="2418" t="s">
        <v>3991</v>
      </c>
      <c r="CB3" s="2450" t="s">
        <v>129</v>
      </c>
      <c r="CC3" s="2415" t="s">
        <v>4014</v>
      </c>
      <c r="CD3" s="2416"/>
      <c r="CE3" s="2415" t="s">
        <v>4015</v>
      </c>
      <c r="CF3" s="2414"/>
      <c r="CH3" s="2393"/>
      <c r="CJ3" s="2356" t="s">
        <v>3990</v>
      </c>
      <c r="CK3" s="2381" t="s">
        <v>129</v>
      </c>
      <c r="CL3" s="2449" t="s">
        <v>4007</v>
      </c>
      <c r="CM3" s="2448" t="s">
        <v>2450</v>
      </c>
      <c r="CN3" s="2377"/>
      <c r="CO3" s="2380"/>
      <c r="CP3" s="2447"/>
      <c r="CQ3" s="2446"/>
      <c r="CR3" s="2362"/>
      <c r="CS3" s="2362"/>
      <c r="CT3" s="2463"/>
      <c r="CU3" s="2463"/>
      <c r="CV3" s="2462"/>
      <c r="CW3" s="2462"/>
      <c r="CX3" s="2368" t="s">
        <v>4016</v>
      </c>
      <c r="CY3" s="2475" t="s">
        <v>4017</v>
      </c>
      <c r="CZ3" s="2372" t="s">
        <v>4018</v>
      </c>
      <c r="DA3" s="2361"/>
      <c r="DC3" s="2356" t="s">
        <v>4013</v>
      </c>
      <c r="DD3" s="2381" t="s">
        <v>4019</v>
      </c>
      <c r="DE3" s="2377"/>
      <c r="DF3" s="2376"/>
      <c r="DG3" s="2379"/>
      <c r="DH3" s="2378"/>
      <c r="DI3" s="2377"/>
      <c r="DJ3" s="2376"/>
      <c r="DM3" s="2361"/>
      <c r="DN3" s="2361"/>
      <c r="DO3" s="2356"/>
      <c r="DP3" s="2404"/>
      <c r="DQ3" s="2404"/>
      <c r="DR3" s="2361"/>
      <c r="DS3" s="2361"/>
      <c r="DU3" s="2356"/>
      <c r="DV3" s="2364"/>
      <c r="DW3" s="2362"/>
      <c r="DX3" s="2362"/>
      <c r="DY3" s="2362"/>
      <c r="DZ3" s="2362"/>
      <c r="EA3" s="2362"/>
      <c r="EB3" s="2362"/>
      <c r="EE3" s="2356"/>
      <c r="EF3" s="2404"/>
      <c r="EG3" s="2404"/>
      <c r="EH3" s="2361"/>
      <c r="EK3" s="2356"/>
      <c r="EL3" s="2364"/>
      <c r="EM3" s="2362"/>
      <c r="EN3" s="2362"/>
      <c r="EO3" s="2363"/>
      <c r="EP3" s="2363"/>
      <c r="EQ3" s="2362"/>
      <c r="ER3" s="2362"/>
      <c r="ES3" s="2408"/>
      <c r="EU3" s="2404"/>
      <c r="EV3" s="2404"/>
      <c r="EW3" s="2408"/>
      <c r="EX3" s="2356"/>
      <c r="EY3" s="2364"/>
      <c r="EZ3" s="2364"/>
      <c r="FA3" s="2409"/>
      <c r="FB3" s="2409"/>
      <c r="FC3" s="2509"/>
      <c r="FD3" s="2509"/>
      <c r="FE3" s="2409"/>
      <c r="FF3" s="2409"/>
      <c r="FG3" s="2408"/>
      <c r="FH3" s="2408"/>
      <c r="FI3" s="2508"/>
      <c r="FJ3" s="2508"/>
      <c r="FK3" s="2507"/>
      <c r="FL3" s="2408"/>
      <c r="FM3" s="2362"/>
      <c r="FN3" s="2362"/>
      <c r="FO3" s="2409"/>
      <c r="FQ3" s="2356"/>
      <c r="FR3" s="2506"/>
      <c r="FS3" s="2506"/>
      <c r="FT3" s="2361"/>
      <c r="FX3" s="2356"/>
      <c r="FY3" s="2364"/>
      <c r="FZ3" s="2364"/>
      <c r="GA3" s="2362"/>
      <c r="GB3" s="2362"/>
      <c r="GC3" s="2362"/>
      <c r="GD3" s="2362"/>
      <c r="GE3" s="2362"/>
      <c r="GF3" s="2362"/>
    </row>
    <row r="4" spans="1:189" ht="12.95" customHeight="1">
      <c r="A4" s="2368" t="s">
        <v>4020</v>
      </c>
      <c r="B4" s="2374" t="s">
        <v>4021</v>
      </c>
      <c r="C4" s="2412" t="s">
        <v>3972</v>
      </c>
      <c r="D4" s="2478" t="s">
        <v>1665</v>
      </c>
      <c r="E4" s="2478" t="s">
        <v>1666</v>
      </c>
      <c r="F4" s="2478" t="s">
        <v>1665</v>
      </c>
      <c r="G4" s="2478" t="s">
        <v>1666</v>
      </c>
      <c r="H4" s="2478" t="s">
        <v>1665</v>
      </c>
      <c r="I4" s="2477" t="s">
        <v>1666</v>
      </c>
      <c r="J4" s="2501"/>
      <c r="M4" s="2411" t="s">
        <v>4020</v>
      </c>
      <c r="N4" s="2505" t="s">
        <v>4022</v>
      </c>
      <c r="O4" s="2505">
        <v>2022</v>
      </c>
      <c r="P4" s="2505">
        <v>2018</v>
      </c>
      <c r="Q4" s="2505">
        <v>2014</v>
      </c>
      <c r="R4" s="2505" t="s">
        <v>4023</v>
      </c>
      <c r="S4" s="2505" t="s">
        <v>4024</v>
      </c>
      <c r="T4" s="2505" t="s">
        <v>4023</v>
      </c>
      <c r="U4" s="2505" t="s">
        <v>4024</v>
      </c>
      <c r="V4" s="2505" t="s">
        <v>4025</v>
      </c>
      <c r="W4" s="2505" t="s">
        <v>4026</v>
      </c>
      <c r="X4" s="2355"/>
      <c r="Z4" s="2356" t="s">
        <v>4013</v>
      </c>
      <c r="AA4" s="2418" t="s">
        <v>129</v>
      </c>
      <c r="AB4" s="2415" t="s">
        <v>4027</v>
      </c>
      <c r="AC4" s="2416"/>
      <c r="AD4" s="2415" t="s">
        <v>4028</v>
      </c>
      <c r="AE4" s="2416"/>
      <c r="AF4" s="2415" t="s">
        <v>4029</v>
      </c>
      <c r="AG4" s="2414"/>
      <c r="AH4" s="2459"/>
      <c r="AI4" s="2459"/>
      <c r="AJ4" s="2459"/>
      <c r="AK4" s="2504" t="s">
        <v>4020</v>
      </c>
      <c r="AL4" s="2374">
        <v>2022</v>
      </c>
      <c r="AM4" s="2374">
        <v>2022</v>
      </c>
      <c r="AN4" s="2374">
        <v>2020</v>
      </c>
      <c r="AO4" s="2502" t="s">
        <v>4030</v>
      </c>
      <c r="AP4" s="2502" t="s">
        <v>4009</v>
      </c>
      <c r="AQ4" s="2502" t="s">
        <v>4031</v>
      </c>
      <c r="AR4" s="2502" t="s">
        <v>4032</v>
      </c>
      <c r="AS4" s="2503" t="s">
        <v>4033</v>
      </c>
      <c r="AT4" s="2503" t="s">
        <v>4011</v>
      </c>
      <c r="AU4" s="2502" t="s">
        <v>4012</v>
      </c>
      <c r="AV4" s="2459"/>
      <c r="AW4" s="2459"/>
      <c r="AX4" s="2375" t="s">
        <v>4020</v>
      </c>
      <c r="AY4" s="2412" t="s">
        <v>3972</v>
      </c>
      <c r="AZ4" s="2412" t="s">
        <v>4034</v>
      </c>
      <c r="BA4" s="2413" t="s">
        <v>4034</v>
      </c>
      <c r="BB4" s="2413" t="s">
        <v>1665</v>
      </c>
      <c r="BC4" s="2413" t="s">
        <v>1666</v>
      </c>
      <c r="BD4" s="2413" t="s">
        <v>1665</v>
      </c>
      <c r="BE4" s="2412" t="s">
        <v>1666</v>
      </c>
      <c r="BF4" s="2413" t="s">
        <v>1665</v>
      </c>
      <c r="BG4" s="2412" t="s">
        <v>1666</v>
      </c>
      <c r="BH4" s="2369"/>
      <c r="BI4" s="2369"/>
      <c r="BJ4" s="2459"/>
      <c r="BK4" s="2459"/>
      <c r="BL4" s="2375" t="s">
        <v>4020</v>
      </c>
      <c r="BM4" s="2412" t="s">
        <v>3972</v>
      </c>
      <c r="BN4" s="2412" t="s">
        <v>4034</v>
      </c>
      <c r="BO4" s="2413" t="s">
        <v>4034</v>
      </c>
      <c r="BP4" s="2413" t="s">
        <v>1665</v>
      </c>
      <c r="BQ4" s="2413" t="s">
        <v>1666</v>
      </c>
      <c r="BR4" s="2413" t="s">
        <v>1665</v>
      </c>
      <c r="BS4" s="2412" t="s">
        <v>1666</v>
      </c>
      <c r="BT4" s="2413" t="s">
        <v>1665</v>
      </c>
      <c r="BU4" s="2412" t="s">
        <v>1666</v>
      </c>
      <c r="BV4" s="2413" t="s">
        <v>1665</v>
      </c>
      <c r="BW4" s="2412" t="s">
        <v>1666</v>
      </c>
      <c r="BX4" s="2356"/>
      <c r="BZ4" s="2368" t="s">
        <v>4020</v>
      </c>
      <c r="CA4" s="2374" t="s">
        <v>4021</v>
      </c>
      <c r="CB4" s="2372" t="s">
        <v>3972</v>
      </c>
      <c r="CC4" s="2373" t="s">
        <v>1665</v>
      </c>
      <c r="CD4" s="2373" t="s">
        <v>1666</v>
      </c>
      <c r="CE4" s="2373" t="s">
        <v>1665</v>
      </c>
      <c r="CF4" s="2372" t="s">
        <v>1666</v>
      </c>
      <c r="CH4" s="2499"/>
      <c r="CJ4" s="2375" t="s">
        <v>4020</v>
      </c>
      <c r="CK4" s="2372" t="s">
        <v>3972</v>
      </c>
      <c r="CL4" s="2441" t="s">
        <v>4034</v>
      </c>
      <c r="CM4" s="2441" t="s">
        <v>4034</v>
      </c>
      <c r="CN4" s="2373" t="s">
        <v>1665</v>
      </c>
      <c r="CO4" s="2373" t="s">
        <v>1666</v>
      </c>
      <c r="CP4" s="2440" t="s">
        <v>1665</v>
      </c>
      <c r="CQ4" s="2371" t="s">
        <v>1666</v>
      </c>
      <c r="CR4" s="2369"/>
      <c r="CS4" s="2361"/>
      <c r="CT4" s="2369"/>
      <c r="CU4" s="2361"/>
      <c r="CV4" s="2361"/>
      <c r="CW4" s="2361"/>
      <c r="CX4" s="2399" t="s">
        <v>4035</v>
      </c>
      <c r="CY4" s="2474" t="s">
        <v>4036</v>
      </c>
      <c r="CZ4" s="2357">
        <v>20189</v>
      </c>
      <c r="DA4" s="2357"/>
      <c r="DC4" s="2375" t="s">
        <v>4020</v>
      </c>
      <c r="DD4" s="2374" t="s">
        <v>3986</v>
      </c>
      <c r="DE4" s="2373" t="s">
        <v>1665</v>
      </c>
      <c r="DF4" s="2373" t="s">
        <v>1666</v>
      </c>
      <c r="DG4" s="2373" t="s">
        <v>1665</v>
      </c>
      <c r="DH4" s="2371" t="s">
        <v>1666</v>
      </c>
      <c r="DI4" s="2372" t="s">
        <v>1665</v>
      </c>
      <c r="DJ4" s="2371" t="s">
        <v>1666</v>
      </c>
      <c r="DM4" s="2357"/>
      <c r="DN4" s="2357"/>
      <c r="DO4" s="2399"/>
      <c r="DP4" s="2404"/>
      <c r="DQ4" s="2404"/>
      <c r="DR4" s="2357"/>
      <c r="DS4" s="2357"/>
      <c r="DU4" s="2356"/>
      <c r="DV4" s="2361"/>
      <c r="DW4" s="2361"/>
      <c r="DX4" s="2361"/>
      <c r="DY4" s="2361"/>
      <c r="DZ4" s="2361"/>
      <c r="EA4" s="2361"/>
      <c r="EB4" s="2361"/>
      <c r="EE4" s="2399"/>
      <c r="EF4" s="2404"/>
      <c r="EG4" s="2404"/>
      <c r="EH4" s="2357"/>
      <c r="EK4" s="2356"/>
      <c r="EL4" s="2361"/>
      <c r="EM4" s="2361"/>
      <c r="EN4" s="2361"/>
      <c r="EO4" s="2361"/>
      <c r="EP4" s="2361"/>
      <c r="EQ4" s="2361"/>
      <c r="ER4" s="2361"/>
      <c r="ES4" s="2361"/>
      <c r="EU4" s="2404"/>
      <c r="EV4" s="2404"/>
      <c r="EW4" s="2361"/>
      <c r="EX4" s="2356"/>
      <c r="EY4" s="2361"/>
      <c r="EZ4" s="2361"/>
      <c r="FA4" s="2361"/>
      <c r="FB4" s="2361"/>
      <c r="FC4" s="2361"/>
      <c r="FD4" s="2361"/>
      <c r="FE4" s="2361"/>
      <c r="FF4" s="2361"/>
      <c r="FG4" s="2361"/>
      <c r="FH4" s="2361"/>
      <c r="FI4" s="2361"/>
      <c r="FJ4" s="2361"/>
      <c r="FK4" s="2361"/>
      <c r="FL4" s="2361"/>
      <c r="FM4" s="2361"/>
      <c r="FN4" s="2361"/>
      <c r="FO4" s="2361"/>
      <c r="FQ4" s="2399"/>
      <c r="FR4" s="2404"/>
      <c r="FS4" s="2404"/>
      <c r="FT4" s="2357"/>
      <c r="FX4" s="2356"/>
      <c r="FY4" s="2361"/>
      <c r="FZ4" s="2361"/>
      <c r="GA4" s="2361"/>
      <c r="GB4" s="2405"/>
      <c r="GC4" s="2361"/>
      <c r="GD4" s="2405"/>
      <c r="GE4" s="2361"/>
      <c r="GF4" s="2361"/>
    </row>
    <row r="5" spans="1:189" ht="12.95" customHeight="1">
      <c r="A5" s="2356" t="s">
        <v>3503</v>
      </c>
      <c r="B5" s="2369">
        <f>SUM(B6:B24)</f>
        <v>62098</v>
      </c>
      <c r="C5" s="2357">
        <f>SUM(C6:C24)</f>
        <v>30283</v>
      </c>
      <c r="D5" s="2357">
        <f>SUM(D6:D24)</f>
        <v>13686</v>
      </c>
      <c r="E5" s="2467">
        <f>D5/C5*100</f>
        <v>45.193673017864811</v>
      </c>
      <c r="F5" s="2473">
        <f>SUM(F6:F24)</f>
        <v>12694</v>
      </c>
      <c r="G5" s="2467">
        <f>F5/C5*100</f>
        <v>41.917907737014168</v>
      </c>
      <c r="H5" s="2473">
        <f>SUM(H6:H24)</f>
        <v>947</v>
      </c>
      <c r="I5" s="2467">
        <f>H5/C5*100</f>
        <v>3.1271670574249582</v>
      </c>
      <c r="J5" s="2501"/>
      <c r="M5" s="2500" t="s">
        <v>129</v>
      </c>
      <c r="O5" s="2359">
        <v>34074</v>
      </c>
      <c r="P5" s="2359">
        <f>SUM(P6:P24)</f>
        <v>37386</v>
      </c>
      <c r="Q5" s="2359">
        <f>SUM(Q6:Q24)</f>
        <v>37373</v>
      </c>
      <c r="R5" s="2359">
        <v>14786</v>
      </c>
      <c r="S5" s="2359">
        <v>18623</v>
      </c>
      <c r="T5" s="2359">
        <f>SUM(T6:T24)</f>
        <v>9487</v>
      </c>
      <c r="U5" s="2359">
        <f>SUM(U6:U24)</f>
        <v>18258</v>
      </c>
      <c r="V5" s="2359">
        <f>SUM(V6:V24)</f>
        <v>22512</v>
      </c>
      <c r="W5" s="2359">
        <f>SUM(W6:W24)</f>
        <v>12712</v>
      </c>
      <c r="X5" s="2359"/>
      <c r="Z5" s="2375" t="s">
        <v>4020</v>
      </c>
      <c r="AA5" s="2372" t="s">
        <v>3986</v>
      </c>
      <c r="AB5" s="2373" t="s">
        <v>1665</v>
      </c>
      <c r="AC5" s="2373" t="s">
        <v>1666</v>
      </c>
      <c r="AD5" s="2373" t="s">
        <v>1665</v>
      </c>
      <c r="AE5" s="2373" t="s">
        <v>1666</v>
      </c>
      <c r="AF5" s="2373" t="s">
        <v>1665</v>
      </c>
      <c r="AG5" s="2371" t="s">
        <v>1666</v>
      </c>
      <c r="AH5" s="2361"/>
      <c r="AI5" s="2355"/>
      <c r="AJ5" s="2369"/>
      <c r="AK5" s="2500" t="s">
        <v>129</v>
      </c>
      <c r="AL5" s="2357">
        <f>SUM(AL6:AL24)</f>
        <v>30283</v>
      </c>
      <c r="AM5" s="2359">
        <v>34074</v>
      </c>
      <c r="AN5" s="2359">
        <f>SUM(AN6:AN24)</f>
        <v>29377</v>
      </c>
      <c r="AO5" s="2359">
        <f>SUM(AO6:AO24)</f>
        <v>13829</v>
      </c>
      <c r="AP5" s="2359">
        <f>SUM(AP6:AP24)</f>
        <v>15573</v>
      </c>
      <c r="AQ5" s="2369">
        <v>15636</v>
      </c>
      <c r="AR5" s="2369">
        <v>17260</v>
      </c>
      <c r="AS5" s="2369">
        <f>SUM(AS6:AS24)</f>
        <v>13326</v>
      </c>
      <c r="AT5" s="2369">
        <f>SUM(AT6:AT24)</f>
        <v>9309</v>
      </c>
      <c r="AU5" s="2369">
        <f>SUM(AU6:AU24)</f>
        <v>5932</v>
      </c>
      <c r="AV5" s="2369"/>
      <c r="AW5" s="2361"/>
      <c r="AX5" s="2356" t="s">
        <v>3503</v>
      </c>
      <c r="AY5" s="2357">
        <f>SUM(AY6:AY24)</f>
        <v>30283</v>
      </c>
      <c r="AZ5" s="2359">
        <f>SUM(AZ6:AZ24)</f>
        <v>104</v>
      </c>
      <c r="BA5" s="2359">
        <f>SUM(BA6:BA24)</f>
        <v>628</v>
      </c>
      <c r="BB5" s="2359">
        <f>SUM(BB6:BB24)</f>
        <v>13829</v>
      </c>
      <c r="BC5" s="2469">
        <f>BB5/AY5*100</f>
        <v>45.665885150084208</v>
      </c>
      <c r="BD5" s="2359">
        <f>SUM(BD6:BD24)</f>
        <v>15573</v>
      </c>
      <c r="BE5" s="2469">
        <f>BD5/AY5*100</f>
        <v>51.424891853515177</v>
      </c>
      <c r="BF5" s="2359">
        <f>SUM(BF6:BF24)</f>
        <v>149</v>
      </c>
      <c r="BG5" s="2469">
        <f>BF5/AY5*100</f>
        <v>0.49202522867615495</v>
      </c>
      <c r="BH5" s="2359"/>
      <c r="BJ5" s="2361"/>
      <c r="BK5" s="2361"/>
      <c r="BL5" s="2356" t="s">
        <v>3503</v>
      </c>
      <c r="BM5" s="2359">
        <f>SUM(BM6:BM24)</f>
        <v>29377</v>
      </c>
      <c r="BN5" s="2359">
        <f>SUM(BN6:BN24)</f>
        <v>150</v>
      </c>
      <c r="BO5" s="2359">
        <f>SUM(BO6:BO24)</f>
        <v>605</v>
      </c>
      <c r="BP5" s="2359">
        <f>SUM(BP6:BP24)</f>
        <v>13326</v>
      </c>
      <c r="BQ5" s="2354">
        <v>45</v>
      </c>
      <c r="BR5" s="2359">
        <f>SUM(BR6:BR24)</f>
        <v>9309</v>
      </c>
      <c r="BS5" s="2400">
        <v>32</v>
      </c>
      <c r="BT5" s="2359">
        <f>SUM(BT6:BT24)</f>
        <v>5932</v>
      </c>
      <c r="BU5" s="2400">
        <v>20</v>
      </c>
      <c r="BV5" s="2359">
        <f>SUM(BV6:BV24)</f>
        <v>55</v>
      </c>
      <c r="BW5" s="2401">
        <f>BV5/BM5*100</f>
        <v>0.18722129557136535</v>
      </c>
      <c r="BX5" s="2459"/>
      <c r="BZ5" s="2356" t="s">
        <v>3503</v>
      </c>
      <c r="CA5" s="2369">
        <f>SUM(CA6:CA24)</f>
        <v>60462</v>
      </c>
      <c r="CB5" s="2359">
        <v>34074</v>
      </c>
      <c r="CC5" s="2369">
        <f>SUM(CC6:CC24)</f>
        <v>15073</v>
      </c>
      <c r="CD5" s="2434">
        <f>CC5/CB5*100</f>
        <v>44.236074426248749</v>
      </c>
      <c r="CE5" s="2369">
        <f>SUM(CE6:CE24)</f>
        <v>15112</v>
      </c>
      <c r="CF5" s="2434">
        <f>CE5/CB5*100</f>
        <v>44.350531196806948</v>
      </c>
      <c r="CH5" s="2499"/>
      <c r="CJ5" s="2356" t="s">
        <v>3503</v>
      </c>
      <c r="CK5" s="2357">
        <f>SUM(CK6:CK24)</f>
        <v>30283</v>
      </c>
      <c r="CL5" s="2357">
        <f>SUM(CL6:CL24)</f>
        <v>21</v>
      </c>
      <c r="CM5" s="2357">
        <f>SUM(CM6:CM24)</f>
        <v>5137</v>
      </c>
      <c r="CN5" s="2357">
        <f>SUM(CN6:CN24)</f>
        <v>24905</v>
      </c>
      <c r="CO5" s="2401">
        <f>CN5/CK5*100</f>
        <v>82.240861209259322</v>
      </c>
      <c r="CP5" s="2471">
        <f>SUM(CP6:CP24)</f>
        <v>220</v>
      </c>
      <c r="CQ5" s="2401">
        <f>CP5/CK5*100</f>
        <v>0.72648020341445696</v>
      </c>
      <c r="CR5" s="2359"/>
      <c r="CS5" s="2401"/>
      <c r="CT5" s="2401"/>
      <c r="CU5" s="2401"/>
      <c r="CV5" s="2401"/>
      <c r="CW5" s="2401"/>
      <c r="CX5" s="2399" t="s">
        <v>4037</v>
      </c>
      <c r="CY5" s="2427" t="s">
        <v>4036</v>
      </c>
      <c r="CZ5" s="2357">
        <v>18139</v>
      </c>
      <c r="DA5" s="2357"/>
      <c r="DC5" s="2356" t="s">
        <v>3503</v>
      </c>
      <c r="DD5" s="2359">
        <f>SUM(DD6:DD24)</f>
        <v>303682</v>
      </c>
      <c r="DE5" s="2357">
        <f>SUM(DE6:DE24)</f>
        <v>20189</v>
      </c>
      <c r="DF5" s="2358">
        <f>SUM(DE5/DD5)*100</f>
        <v>6.6480726549482689</v>
      </c>
      <c r="DG5" s="2357">
        <f>SUM(DG6:DG24)</f>
        <v>18139</v>
      </c>
      <c r="DH5" s="2358">
        <f>DG5/DD5*100</f>
        <v>5.9730244136959056</v>
      </c>
      <c r="DI5" s="2357">
        <f>SUM(DI6:DI24)</f>
        <v>16711</v>
      </c>
      <c r="DJ5" s="2358">
        <f>DI5/DD5*100</f>
        <v>5.5027956875942596</v>
      </c>
      <c r="DM5" s="2357"/>
      <c r="DN5" s="2357"/>
      <c r="DO5" s="2399"/>
      <c r="DP5" s="2404"/>
      <c r="DQ5" s="2404"/>
      <c r="DR5" s="2357"/>
      <c r="DS5" s="2357"/>
      <c r="DU5" s="2356"/>
      <c r="DV5" s="2357"/>
      <c r="DW5" s="2357"/>
      <c r="DX5" s="2358"/>
      <c r="DY5" s="2357"/>
      <c r="DZ5" s="2358"/>
      <c r="EA5" s="2357"/>
      <c r="EB5" s="2358"/>
      <c r="EE5" s="2399"/>
      <c r="EF5" s="2404"/>
      <c r="EG5" s="2404"/>
      <c r="EH5" s="2357"/>
      <c r="EK5" s="2356"/>
      <c r="EL5" s="2357"/>
      <c r="EM5" s="2357"/>
      <c r="EN5" s="2358"/>
      <c r="EO5" s="2357"/>
      <c r="EP5" s="2358"/>
      <c r="EQ5" s="2357"/>
      <c r="ER5" s="2358"/>
      <c r="ES5" s="2358"/>
      <c r="EU5" s="2404"/>
      <c r="EV5" s="2404"/>
      <c r="EW5" s="2357"/>
      <c r="EX5" s="2356"/>
      <c r="EY5" s="2357"/>
      <c r="EZ5" s="2357"/>
      <c r="FA5" s="2357"/>
      <c r="FB5" s="2358"/>
      <c r="FC5" s="2357"/>
      <c r="FD5" s="2358"/>
      <c r="FE5" s="2357"/>
      <c r="FF5" s="2358"/>
      <c r="FG5" s="2400"/>
      <c r="FH5" s="2400"/>
      <c r="FI5" s="2357"/>
      <c r="FJ5" s="2358"/>
      <c r="FK5" s="2400"/>
      <c r="FL5" s="2400"/>
      <c r="FM5" s="2357"/>
      <c r="FN5" s="2400"/>
      <c r="FQ5" s="2360"/>
      <c r="FR5" s="2404"/>
      <c r="FS5" s="2404"/>
      <c r="FT5" s="2357"/>
      <c r="FX5" s="2356"/>
      <c r="FY5" s="2357"/>
      <c r="FZ5" s="2357"/>
      <c r="GA5" s="2357"/>
      <c r="GB5" s="2401"/>
      <c r="GC5" s="2357"/>
      <c r="GD5" s="2401"/>
      <c r="GE5" s="2357"/>
      <c r="GF5" s="2400"/>
    </row>
    <row r="6" spans="1:189" ht="14.1" customHeight="1">
      <c r="A6" s="2360" t="s">
        <v>2250</v>
      </c>
      <c r="B6" s="2370">
        <v>390</v>
      </c>
      <c r="C6" s="2357">
        <v>250</v>
      </c>
      <c r="D6" s="2473">
        <v>97</v>
      </c>
      <c r="E6" s="2400">
        <f>D6/C6*100</f>
        <v>38.800000000000004</v>
      </c>
      <c r="F6" s="2357">
        <v>116</v>
      </c>
      <c r="G6" s="2400">
        <f>F6/C6*100</f>
        <v>46.400000000000006</v>
      </c>
      <c r="H6" s="2357">
        <v>6</v>
      </c>
      <c r="I6" s="2400">
        <f>H6/C6*100</f>
        <v>2.4</v>
      </c>
      <c r="L6" s="2403"/>
      <c r="M6" s="2360" t="s">
        <v>2384</v>
      </c>
      <c r="N6" s="2498">
        <v>1</v>
      </c>
      <c r="O6" s="2370">
        <v>245</v>
      </c>
      <c r="P6" s="2370">
        <v>359</v>
      </c>
      <c r="Q6" s="2370">
        <v>396</v>
      </c>
      <c r="R6" s="2359">
        <v>119</v>
      </c>
      <c r="S6" s="2359">
        <v>124</v>
      </c>
      <c r="T6" s="2359">
        <v>95</v>
      </c>
      <c r="U6" s="2359">
        <v>172</v>
      </c>
      <c r="V6" s="2359">
        <v>258</v>
      </c>
      <c r="W6" s="2359">
        <v>107</v>
      </c>
      <c r="X6" s="2359"/>
      <c r="Z6" s="2356" t="s">
        <v>3503</v>
      </c>
      <c r="AA6" s="2359">
        <v>34074</v>
      </c>
      <c r="AB6" s="2359">
        <v>14786</v>
      </c>
      <c r="AC6" s="2401">
        <f>AB6/AA6*100</f>
        <v>43.393789986499968</v>
      </c>
      <c r="AD6" s="2359">
        <v>18623</v>
      </c>
      <c r="AE6" s="2401">
        <f>AD6/AA6*100</f>
        <v>54.654575336033339</v>
      </c>
      <c r="AF6" s="2359">
        <v>665</v>
      </c>
      <c r="AG6" s="2401">
        <f>AF6/AA6*100</f>
        <v>1.9516346774666899</v>
      </c>
      <c r="AH6" s="2401"/>
      <c r="AJ6" s="2359"/>
      <c r="AK6" s="2360" t="s">
        <v>2384</v>
      </c>
      <c r="AL6" s="2357">
        <v>250</v>
      </c>
      <c r="AM6" s="2370">
        <v>245</v>
      </c>
      <c r="AN6" s="2370">
        <v>265</v>
      </c>
      <c r="AO6" s="2357">
        <v>79</v>
      </c>
      <c r="AP6" s="2357">
        <v>158</v>
      </c>
      <c r="AQ6" s="2359">
        <v>98</v>
      </c>
      <c r="AR6" s="2359">
        <v>138</v>
      </c>
      <c r="AS6" s="2359">
        <v>97</v>
      </c>
      <c r="AT6" s="2359">
        <v>97</v>
      </c>
      <c r="AU6" s="2359">
        <v>63</v>
      </c>
      <c r="AV6" s="2359"/>
      <c r="AW6" s="2403"/>
      <c r="AX6" s="2360" t="s">
        <v>2384</v>
      </c>
      <c r="AY6" s="2357">
        <v>250</v>
      </c>
      <c r="AZ6" s="2357">
        <v>2</v>
      </c>
      <c r="BA6" s="2357">
        <v>8</v>
      </c>
      <c r="BB6" s="2357">
        <v>79</v>
      </c>
      <c r="BC6" s="2400">
        <f>BB6/AY6*100</f>
        <v>31.6</v>
      </c>
      <c r="BD6" s="2357">
        <v>158</v>
      </c>
      <c r="BE6" s="2469">
        <f>BD6/AY6*100</f>
        <v>63.2</v>
      </c>
      <c r="BF6" s="2357">
        <v>3</v>
      </c>
      <c r="BG6" s="2469">
        <f>BF6/AY6*100</f>
        <v>1.2</v>
      </c>
      <c r="BH6" s="2357"/>
      <c r="BI6" s="2400"/>
      <c r="BJ6" s="2403"/>
      <c r="BK6" s="2403"/>
      <c r="BL6" s="2360" t="s">
        <v>2384</v>
      </c>
      <c r="BM6" s="2370">
        <v>265</v>
      </c>
      <c r="BN6" s="2357">
        <v>1</v>
      </c>
      <c r="BO6" s="2357">
        <v>5</v>
      </c>
      <c r="BP6" s="2357">
        <v>97</v>
      </c>
      <c r="BQ6" s="2400">
        <v>37</v>
      </c>
      <c r="BR6" s="2357">
        <v>97</v>
      </c>
      <c r="BS6" s="2400">
        <v>37</v>
      </c>
      <c r="BT6" s="2357">
        <v>63</v>
      </c>
      <c r="BU6" s="2400">
        <v>24</v>
      </c>
      <c r="BV6" s="2357">
        <v>2</v>
      </c>
      <c r="BW6" s="2400">
        <f>BV6/BM6*100</f>
        <v>0.75471698113207553</v>
      </c>
      <c r="BX6" s="2459"/>
      <c r="BY6" s="2403"/>
      <c r="BZ6" s="2360" t="s">
        <v>2384</v>
      </c>
      <c r="CA6" s="2370">
        <v>386</v>
      </c>
      <c r="CB6" s="2370">
        <v>245</v>
      </c>
      <c r="CC6" s="2369">
        <v>105</v>
      </c>
      <c r="CD6" s="2434">
        <f>CC6/CB6*100</f>
        <v>42.857142857142854</v>
      </c>
      <c r="CE6" s="2369">
        <v>108</v>
      </c>
      <c r="CF6" s="2434">
        <f>CE6/CB6*100</f>
        <v>44.081632653061227</v>
      </c>
      <c r="CH6" s="2479"/>
      <c r="CJ6" s="2360" t="s">
        <v>2384</v>
      </c>
      <c r="CK6" s="2357">
        <v>250</v>
      </c>
      <c r="CL6" s="2354">
        <v>0</v>
      </c>
      <c r="CM6" s="2359">
        <v>53</v>
      </c>
      <c r="CN6" s="2359">
        <v>194</v>
      </c>
      <c r="CO6" s="2401">
        <f>CN6/CK6*100</f>
        <v>77.600000000000009</v>
      </c>
      <c r="CP6" s="2471">
        <v>3</v>
      </c>
      <c r="CQ6" s="2401">
        <f>CP6/CK6*100</f>
        <v>1.2</v>
      </c>
      <c r="CR6" s="2359"/>
      <c r="CS6" s="2401"/>
      <c r="CT6" s="2401"/>
      <c r="CU6" s="2401"/>
      <c r="CV6" s="2401"/>
      <c r="CW6" s="2401"/>
      <c r="CX6" s="2399" t="s">
        <v>4038</v>
      </c>
      <c r="CY6" s="2427" t="s">
        <v>4039</v>
      </c>
      <c r="CZ6" s="2357">
        <v>16711</v>
      </c>
      <c r="DA6" s="2357"/>
      <c r="DC6" s="2360" t="s">
        <v>2384</v>
      </c>
      <c r="DD6" s="2392">
        <v>2373</v>
      </c>
      <c r="DE6" s="2354">
        <v>165</v>
      </c>
      <c r="DF6" s="2358">
        <f>SUM(DE6/DD6)*100</f>
        <v>6.9532237673830597</v>
      </c>
      <c r="DG6" s="2357">
        <v>147</v>
      </c>
      <c r="DH6" s="2358">
        <f>DG6/DD6*100</f>
        <v>6.1946902654867255</v>
      </c>
      <c r="DI6" s="2357">
        <v>161</v>
      </c>
      <c r="DJ6" s="2358">
        <f>DI6/DD6*100</f>
        <v>6.7846607669616521</v>
      </c>
      <c r="DM6" s="2357"/>
      <c r="DN6" s="2357"/>
      <c r="DO6" s="2399"/>
      <c r="DP6" s="2404"/>
      <c r="DQ6" s="2404"/>
      <c r="DR6" s="2357"/>
      <c r="DS6" s="2357"/>
      <c r="DU6" s="2360"/>
      <c r="DV6" s="2359"/>
      <c r="DW6" s="2357"/>
      <c r="DX6" s="2358"/>
      <c r="DY6" s="2357"/>
      <c r="DZ6" s="2358"/>
      <c r="EA6" s="2357"/>
      <c r="EB6" s="2358"/>
      <c r="EE6" s="2399"/>
      <c r="EF6" s="2404"/>
      <c r="EG6" s="2404"/>
      <c r="EH6" s="2357"/>
      <c r="EJ6" s="2403"/>
      <c r="EK6" s="2360"/>
      <c r="EL6" s="2357"/>
      <c r="EM6" s="2357"/>
      <c r="EN6" s="2358"/>
      <c r="EO6" s="2357"/>
      <c r="EP6" s="2358"/>
      <c r="EQ6" s="2357"/>
      <c r="ER6" s="2358"/>
      <c r="ES6" s="2358"/>
      <c r="EU6" s="2404"/>
      <c r="EV6" s="2404"/>
      <c r="EW6" s="2357"/>
      <c r="EX6" s="2360"/>
      <c r="EY6" s="2357"/>
      <c r="EZ6" s="2357"/>
      <c r="FA6" s="2357"/>
      <c r="FB6" s="2358"/>
      <c r="FC6" s="2357"/>
      <c r="FD6" s="2358"/>
      <c r="FE6" s="2357"/>
      <c r="FF6" s="2358"/>
      <c r="FG6" s="2400"/>
      <c r="FH6" s="2400"/>
      <c r="FI6" s="2357"/>
      <c r="FJ6" s="2358"/>
      <c r="FK6" s="2400"/>
      <c r="FL6" s="2400"/>
      <c r="FM6" s="2357"/>
      <c r="FN6" s="2400"/>
      <c r="FQ6" s="2399"/>
      <c r="FR6" s="2404"/>
      <c r="FS6" s="2404"/>
      <c r="FT6" s="2357"/>
      <c r="FX6" s="2360"/>
      <c r="FY6" s="2357"/>
      <c r="FZ6" s="2357"/>
      <c r="GA6" s="2357"/>
      <c r="GB6" s="2401"/>
      <c r="GC6" s="2357"/>
      <c r="GD6" s="2401"/>
      <c r="GE6" s="2357"/>
      <c r="GF6" s="2400"/>
    </row>
    <row r="7" spans="1:189" ht="12.95" customHeight="1">
      <c r="A7" s="2356" t="s">
        <v>2252</v>
      </c>
      <c r="B7" s="2369">
        <v>992</v>
      </c>
      <c r="C7" s="2357">
        <v>525</v>
      </c>
      <c r="D7" s="2357">
        <v>239</v>
      </c>
      <c r="E7" s="2467">
        <f>D7/C7*100</f>
        <v>45.523809523809518</v>
      </c>
      <c r="F7" s="2357">
        <v>217</v>
      </c>
      <c r="G7" s="2467">
        <f>F7/C7*100</f>
        <v>41.333333333333336</v>
      </c>
      <c r="H7" s="2357">
        <v>14</v>
      </c>
      <c r="I7" s="2467">
        <f>H7/C7*100</f>
        <v>2.666666666666667</v>
      </c>
      <c r="L7" s="2403"/>
      <c r="M7" s="2356" t="s">
        <v>2252</v>
      </c>
      <c r="N7" s="2356">
        <v>2</v>
      </c>
      <c r="O7" s="2357">
        <v>624</v>
      </c>
      <c r="P7" s="2357">
        <v>858</v>
      </c>
      <c r="Q7" s="2357">
        <v>896</v>
      </c>
      <c r="R7" s="2359">
        <v>247</v>
      </c>
      <c r="S7" s="2359">
        <v>360</v>
      </c>
      <c r="T7" s="2359">
        <v>235</v>
      </c>
      <c r="U7" s="2359">
        <v>384</v>
      </c>
      <c r="V7" s="2359">
        <v>536</v>
      </c>
      <c r="W7" s="2359">
        <v>322</v>
      </c>
      <c r="X7" s="2359"/>
      <c r="Z7" s="2360" t="s">
        <v>2384</v>
      </c>
      <c r="AA7" s="2370">
        <v>245</v>
      </c>
      <c r="AB7" s="2359">
        <v>119</v>
      </c>
      <c r="AC7" s="2401">
        <f>AB7/AA7*100</f>
        <v>48.571428571428569</v>
      </c>
      <c r="AD7" s="2359">
        <v>124</v>
      </c>
      <c r="AE7" s="2401">
        <f>AD7/AA7*100</f>
        <v>50.612244897959179</v>
      </c>
      <c r="AF7" s="2357">
        <v>2</v>
      </c>
      <c r="AG7" s="2401">
        <f>AF7/AA7*100</f>
        <v>0.81632653061224492</v>
      </c>
      <c r="AH7" s="2403"/>
      <c r="AI7" s="2403"/>
      <c r="AJ7" s="2359"/>
      <c r="AK7" s="2356" t="s">
        <v>2252</v>
      </c>
      <c r="AL7" s="2357">
        <v>525</v>
      </c>
      <c r="AM7" s="2357">
        <v>624</v>
      </c>
      <c r="AN7" s="2357">
        <v>657</v>
      </c>
      <c r="AO7" s="2468">
        <v>204</v>
      </c>
      <c r="AP7" s="2468">
        <v>306</v>
      </c>
      <c r="AQ7" s="2359">
        <v>302</v>
      </c>
      <c r="AR7" s="2359">
        <v>295</v>
      </c>
      <c r="AS7" s="2359">
        <v>280</v>
      </c>
      <c r="AT7" s="2359">
        <v>215</v>
      </c>
      <c r="AU7" s="2359">
        <v>145</v>
      </c>
      <c r="AV7" s="2359"/>
      <c r="AW7" s="2403"/>
      <c r="AX7" s="2356" t="s">
        <v>2252</v>
      </c>
      <c r="AY7" s="2357">
        <v>525</v>
      </c>
      <c r="AZ7" s="2357">
        <v>0</v>
      </c>
      <c r="BA7" s="2357">
        <v>12</v>
      </c>
      <c r="BB7" s="2468">
        <v>204</v>
      </c>
      <c r="BC7" s="2469">
        <f>BB7/AY7*100</f>
        <v>38.857142857142854</v>
      </c>
      <c r="BD7" s="2468">
        <v>306</v>
      </c>
      <c r="BE7" s="2469">
        <f>BD7/AY7*100</f>
        <v>58.285714285714285</v>
      </c>
      <c r="BF7" s="2468">
        <v>3</v>
      </c>
      <c r="BG7" s="2469">
        <f>BF7/AY7*100</f>
        <v>0.5714285714285714</v>
      </c>
      <c r="BH7" s="2357"/>
      <c r="BI7" s="2400"/>
      <c r="BJ7" s="2403"/>
      <c r="BK7" s="2403"/>
      <c r="BL7" s="2356" t="s">
        <v>2252</v>
      </c>
      <c r="BM7" s="2357">
        <v>657</v>
      </c>
      <c r="BN7" s="2357">
        <v>2</v>
      </c>
      <c r="BO7" s="2357">
        <v>13</v>
      </c>
      <c r="BP7" s="2468">
        <v>280</v>
      </c>
      <c r="BQ7" s="2400">
        <v>43</v>
      </c>
      <c r="BR7" s="2468">
        <v>215</v>
      </c>
      <c r="BS7" s="2400">
        <v>33</v>
      </c>
      <c r="BT7" s="2468">
        <v>145</v>
      </c>
      <c r="BU7" s="2400">
        <v>22</v>
      </c>
      <c r="BV7" s="2357">
        <v>2</v>
      </c>
      <c r="BW7" s="2401">
        <f>BV7/BM7*100</f>
        <v>0.30441400304414001</v>
      </c>
      <c r="BX7" s="2459"/>
      <c r="BY7" s="2403"/>
      <c r="BZ7" s="2356" t="s">
        <v>2252</v>
      </c>
      <c r="CA7" s="2369">
        <v>1010</v>
      </c>
      <c r="CB7" s="2357">
        <v>624</v>
      </c>
      <c r="CC7" s="2369">
        <v>301</v>
      </c>
      <c r="CD7" s="2434">
        <f>CC7/CB7*100</f>
        <v>48.237179487179489</v>
      </c>
      <c r="CE7" s="2369">
        <v>233</v>
      </c>
      <c r="CF7" s="2434">
        <f>CE7/CB7*100</f>
        <v>37.339743589743591</v>
      </c>
      <c r="CH7" s="2494"/>
      <c r="CJ7" s="2356" t="s">
        <v>2252</v>
      </c>
      <c r="CK7" s="2357">
        <v>525</v>
      </c>
      <c r="CL7" s="2354">
        <v>0</v>
      </c>
      <c r="CM7" s="2359">
        <v>82</v>
      </c>
      <c r="CN7" s="2359">
        <v>440</v>
      </c>
      <c r="CO7" s="2401">
        <f>CN7/CK7*100</f>
        <v>83.80952380952381</v>
      </c>
      <c r="CP7" s="2471">
        <v>3</v>
      </c>
      <c r="CQ7" s="2401">
        <f>CP7/CK7*100</f>
        <v>0.5714285714285714</v>
      </c>
      <c r="CR7" s="2359"/>
      <c r="CS7" s="2401"/>
      <c r="CT7" s="2401"/>
      <c r="CU7" s="2401"/>
      <c r="CV7" s="2401"/>
      <c r="CW7" s="2401"/>
      <c r="CX7" s="2399" t="s">
        <v>4040</v>
      </c>
      <c r="CY7" s="2427" t="s">
        <v>4036</v>
      </c>
      <c r="CZ7" s="2357">
        <v>15501</v>
      </c>
      <c r="DA7" s="2357"/>
      <c r="DC7" s="2356" t="s">
        <v>2252</v>
      </c>
      <c r="DD7" s="2392">
        <v>5195</v>
      </c>
      <c r="DE7" s="2357">
        <v>350</v>
      </c>
      <c r="DF7" s="2358">
        <f>SUM(DE7/DD7)*100</f>
        <v>6.7372473532242543</v>
      </c>
      <c r="DG7" s="2357">
        <v>329</v>
      </c>
      <c r="DH7" s="2358">
        <f>DG7/DD7*100</f>
        <v>6.3330125120307983</v>
      </c>
      <c r="DI7" s="2357">
        <v>296</v>
      </c>
      <c r="DJ7" s="2358">
        <f>DI7/DD7*100</f>
        <v>5.6977863330125116</v>
      </c>
      <c r="DM7" s="2357"/>
      <c r="DN7" s="2357"/>
      <c r="DO7" s="2399"/>
      <c r="DP7" s="2404"/>
      <c r="DQ7" s="2404"/>
      <c r="DR7" s="2357"/>
      <c r="DS7" s="2357"/>
      <c r="DU7" s="2356"/>
      <c r="DV7" s="2359"/>
      <c r="DW7" s="2357"/>
      <c r="DX7" s="2358"/>
      <c r="DY7" s="2357"/>
      <c r="DZ7" s="2358"/>
      <c r="EA7" s="2357"/>
      <c r="EB7" s="2358"/>
      <c r="EE7" s="2399"/>
      <c r="EF7" s="2404"/>
      <c r="EG7" s="2404"/>
      <c r="EH7" s="2357"/>
      <c r="EJ7" s="2403"/>
      <c r="EK7" s="2356"/>
      <c r="EL7" s="2357"/>
      <c r="EM7" s="2357"/>
      <c r="EN7" s="2358"/>
      <c r="EO7" s="2357"/>
      <c r="EP7" s="2358"/>
      <c r="EQ7" s="2357"/>
      <c r="ER7" s="2358"/>
      <c r="ES7" s="2358"/>
      <c r="EU7" s="2404"/>
      <c r="EV7" s="2404"/>
      <c r="EW7" s="2357"/>
      <c r="EX7" s="2356"/>
      <c r="EY7" s="2357"/>
      <c r="EZ7" s="2357"/>
      <c r="FA7" s="2357"/>
      <c r="FB7" s="2358"/>
      <c r="FC7" s="2357"/>
      <c r="FD7" s="2358"/>
      <c r="FE7" s="2357"/>
      <c r="FF7" s="2358"/>
      <c r="FG7" s="2400"/>
      <c r="FH7" s="2400"/>
      <c r="FI7" s="2357"/>
      <c r="FJ7" s="2358"/>
      <c r="FK7" s="2400"/>
      <c r="FL7" s="2400"/>
      <c r="FM7" s="2357"/>
      <c r="FN7" s="2400"/>
      <c r="FQ7" s="2399"/>
      <c r="FR7" s="2404"/>
      <c r="FS7" s="2404"/>
      <c r="FT7" s="2357"/>
      <c r="FX7" s="2356"/>
      <c r="FY7" s="2357"/>
      <c r="FZ7" s="2357"/>
      <c r="GA7" s="2357"/>
      <c r="GB7" s="2401"/>
      <c r="GC7" s="2357"/>
      <c r="GD7" s="2401"/>
      <c r="GE7" s="2357"/>
      <c r="GF7" s="2400"/>
    </row>
    <row r="8" spans="1:189" ht="12.95" customHeight="1">
      <c r="A8" s="2356" t="s">
        <v>2195</v>
      </c>
      <c r="B8" s="2369">
        <v>881</v>
      </c>
      <c r="C8" s="2357">
        <v>513</v>
      </c>
      <c r="D8" s="2357">
        <v>239</v>
      </c>
      <c r="E8" s="2400">
        <f>D8/C8*100</f>
        <v>46.588693957115005</v>
      </c>
      <c r="F8" s="2357">
        <v>215</v>
      </c>
      <c r="G8" s="2400">
        <f>F8/C8*100</f>
        <v>41.910331384015592</v>
      </c>
      <c r="H8" s="2357">
        <v>12</v>
      </c>
      <c r="I8" s="2400">
        <f>H8/C8*100</f>
        <v>2.3391812865497075</v>
      </c>
      <c r="L8" s="2403"/>
      <c r="M8" s="2356" t="s">
        <v>2195</v>
      </c>
      <c r="N8" s="2356">
        <v>3</v>
      </c>
      <c r="O8" s="2357">
        <v>570</v>
      </c>
      <c r="P8" s="2357">
        <v>640</v>
      </c>
      <c r="Q8" s="2357">
        <v>686</v>
      </c>
      <c r="R8" s="2359">
        <v>296</v>
      </c>
      <c r="S8" s="2359">
        <v>268</v>
      </c>
      <c r="T8" s="2359">
        <v>166</v>
      </c>
      <c r="U8" s="2359">
        <v>341</v>
      </c>
      <c r="V8" s="2359">
        <v>419</v>
      </c>
      <c r="W8" s="2359">
        <v>239</v>
      </c>
      <c r="X8" s="2359"/>
      <c r="Z8" s="2356" t="s">
        <v>2252</v>
      </c>
      <c r="AA8" s="2357">
        <v>624</v>
      </c>
      <c r="AB8" s="2359">
        <v>247</v>
      </c>
      <c r="AC8" s="2401">
        <f>AB8/AA8*100</f>
        <v>39.583333333333329</v>
      </c>
      <c r="AD8" s="2359">
        <v>360</v>
      </c>
      <c r="AE8" s="2401">
        <f>AD8/AA8*100</f>
        <v>57.692307692307686</v>
      </c>
      <c r="AF8" s="2357">
        <v>17</v>
      </c>
      <c r="AG8" s="2401">
        <f>AF8/AA8*100</f>
        <v>2.7243589743589745</v>
      </c>
      <c r="AH8" s="2403"/>
      <c r="AI8" s="2403"/>
      <c r="AJ8" s="2359"/>
      <c r="AK8" s="2356" t="s">
        <v>2195</v>
      </c>
      <c r="AL8" s="2357">
        <v>513</v>
      </c>
      <c r="AM8" s="2357">
        <v>570</v>
      </c>
      <c r="AN8" s="2357">
        <v>532</v>
      </c>
      <c r="AO8" s="2468">
        <v>226</v>
      </c>
      <c r="AP8" s="2468">
        <v>278</v>
      </c>
      <c r="AQ8" s="2359">
        <v>264</v>
      </c>
      <c r="AR8" s="2359">
        <v>284</v>
      </c>
      <c r="AS8" s="2359">
        <v>215</v>
      </c>
      <c r="AT8" s="2359">
        <v>209</v>
      </c>
      <c r="AU8" s="2359">
        <v>96</v>
      </c>
      <c r="AV8" s="2359"/>
      <c r="AW8" s="2403"/>
      <c r="AX8" s="2356" t="s">
        <v>2195</v>
      </c>
      <c r="AY8" s="2357">
        <v>513</v>
      </c>
      <c r="AZ8" s="2357">
        <v>0</v>
      </c>
      <c r="BA8" s="2357">
        <v>9</v>
      </c>
      <c r="BB8" s="2468">
        <v>226</v>
      </c>
      <c r="BC8" s="2400">
        <f>BB8/AY8*100</f>
        <v>44.054580896686154</v>
      </c>
      <c r="BD8" s="2468">
        <v>278</v>
      </c>
      <c r="BE8" s="2469">
        <f>BD8/AY8*100</f>
        <v>54.191033138401558</v>
      </c>
      <c r="BF8" s="2468">
        <v>0</v>
      </c>
      <c r="BG8" s="2469">
        <f>BF8/AY8*100</f>
        <v>0</v>
      </c>
      <c r="BH8" s="2357"/>
      <c r="BI8" s="2400"/>
      <c r="BJ8" s="2403"/>
      <c r="BK8" s="2403"/>
      <c r="BL8" s="2356" t="s">
        <v>2195</v>
      </c>
      <c r="BM8" s="2357">
        <v>532</v>
      </c>
      <c r="BN8" s="2357">
        <v>1</v>
      </c>
      <c r="BO8" s="2357">
        <v>9</v>
      </c>
      <c r="BP8" s="2468">
        <v>215</v>
      </c>
      <c r="BQ8" s="2400">
        <v>40</v>
      </c>
      <c r="BR8" s="2468">
        <v>209</v>
      </c>
      <c r="BS8" s="2400">
        <v>39</v>
      </c>
      <c r="BT8" s="2468">
        <v>96</v>
      </c>
      <c r="BU8" s="2400">
        <v>18</v>
      </c>
      <c r="BV8" s="2357">
        <v>2</v>
      </c>
      <c r="BW8" s="2400">
        <f>BV8/BM8*100</f>
        <v>0.37593984962406013</v>
      </c>
      <c r="BX8" s="2361"/>
      <c r="BY8" s="2403"/>
      <c r="BZ8" s="2356" t="s">
        <v>2195</v>
      </c>
      <c r="CA8" s="2369">
        <v>899</v>
      </c>
      <c r="CB8" s="2357">
        <v>570</v>
      </c>
      <c r="CC8" s="2369">
        <v>265</v>
      </c>
      <c r="CD8" s="2434">
        <f>CC8/CB8*100</f>
        <v>46.491228070175438</v>
      </c>
      <c r="CE8" s="2369">
        <v>241</v>
      </c>
      <c r="CF8" s="2434">
        <f>CE8/CB8*100</f>
        <v>42.280701754385966</v>
      </c>
      <c r="CH8" s="2494"/>
      <c r="CJ8" s="2356" t="s">
        <v>2195</v>
      </c>
      <c r="CK8" s="2357">
        <v>513</v>
      </c>
      <c r="CL8" s="2354">
        <v>0</v>
      </c>
      <c r="CM8" s="2359">
        <v>78</v>
      </c>
      <c r="CN8" s="2359">
        <v>428</v>
      </c>
      <c r="CO8" s="2401">
        <f>CN8/CK8*100</f>
        <v>83.430799220272903</v>
      </c>
      <c r="CP8" s="2471">
        <v>7</v>
      </c>
      <c r="CQ8" s="2401">
        <f>CP8/CK8*100</f>
        <v>1.364522417153996</v>
      </c>
      <c r="CR8" s="2359"/>
      <c r="CS8" s="2401"/>
      <c r="CT8" s="2401"/>
      <c r="CU8" s="2401"/>
      <c r="CV8" s="2401"/>
      <c r="CW8" s="2401"/>
      <c r="CX8" s="2399" t="s">
        <v>4041</v>
      </c>
      <c r="CY8" s="2427" t="s">
        <v>4036</v>
      </c>
      <c r="CZ8" s="2357">
        <v>14662</v>
      </c>
      <c r="DA8" s="2357"/>
      <c r="DC8" s="2356" t="s">
        <v>2195</v>
      </c>
      <c r="DD8" s="2392">
        <v>4852</v>
      </c>
      <c r="DE8" s="2357">
        <v>324</v>
      </c>
      <c r="DF8" s="2358">
        <f>SUM(DE8/DD8)*100</f>
        <v>6.6776586974443521</v>
      </c>
      <c r="DG8" s="2357">
        <v>303</v>
      </c>
      <c r="DH8" s="2358">
        <f>DG8/DD8*100</f>
        <v>6.2448474855729597</v>
      </c>
      <c r="DI8" s="2357">
        <v>304</v>
      </c>
      <c r="DJ8" s="2358">
        <f>DI8/DD8*100</f>
        <v>6.265457543281121</v>
      </c>
      <c r="DM8" s="2357"/>
      <c r="DN8" s="2357"/>
      <c r="DO8" s="2399"/>
      <c r="DP8" s="2404"/>
      <c r="DQ8" s="2404"/>
      <c r="DR8" s="2357"/>
      <c r="DS8" s="2357"/>
      <c r="DU8" s="2356"/>
      <c r="DV8" s="2359"/>
      <c r="DW8" s="2357"/>
      <c r="DX8" s="2358"/>
      <c r="DY8" s="2357"/>
      <c r="DZ8" s="2358"/>
      <c r="EA8" s="2357"/>
      <c r="EB8" s="2358"/>
      <c r="EE8" s="2399"/>
      <c r="EF8" s="2404"/>
      <c r="EG8" s="2404"/>
      <c r="EH8" s="2357"/>
      <c r="EJ8" s="2403"/>
      <c r="EK8" s="2356"/>
      <c r="EL8" s="2357"/>
      <c r="EM8" s="2357"/>
      <c r="EN8" s="2358"/>
      <c r="EO8" s="2357"/>
      <c r="EP8" s="2358"/>
      <c r="EQ8" s="2357"/>
      <c r="ER8" s="2358"/>
      <c r="ES8" s="2358"/>
      <c r="EU8" s="2404"/>
      <c r="EV8" s="2404"/>
      <c r="EW8" s="2357"/>
      <c r="EX8" s="2356"/>
      <c r="EY8" s="2357"/>
      <c r="EZ8" s="2357"/>
      <c r="FA8" s="2357"/>
      <c r="FB8" s="2358"/>
      <c r="FC8" s="2357"/>
      <c r="FD8" s="2358"/>
      <c r="FE8" s="2357"/>
      <c r="FF8" s="2358"/>
      <c r="FG8" s="2400"/>
      <c r="FH8" s="2400"/>
      <c r="FI8" s="2357"/>
      <c r="FJ8" s="2358"/>
      <c r="FK8" s="2400"/>
      <c r="FL8" s="2400"/>
      <c r="FM8" s="2357"/>
      <c r="FN8" s="2400"/>
      <c r="FQ8" s="2399"/>
      <c r="FR8" s="2404"/>
      <c r="FS8" s="2404"/>
      <c r="FT8" s="2357"/>
      <c r="FX8" s="2356"/>
      <c r="FY8" s="2357"/>
      <c r="FZ8" s="2357"/>
      <c r="GA8" s="2357"/>
      <c r="GB8" s="2401"/>
      <c r="GC8" s="2357"/>
      <c r="GD8" s="2401"/>
      <c r="GE8" s="2357"/>
      <c r="GF8" s="2400"/>
    </row>
    <row r="9" spans="1:189" ht="12.95" customHeight="1">
      <c r="A9" s="2356" t="s">
        <v>4042</v>
      </c>
      <c r="B9" s="2369">
        <v>2269</v>
      </c>
      <c r="C9" s="2357">
        <v>1283</v>
      </c>
      <c r="D9" s="2357">
        <v>526</v>
      </c>
      <c r="E9" s="2467">
        <f>D9/C9*100</f>
        <v>40.997661730319564</v>
      </c>
      <c r="F9" s="2357">
        <v>547</v>
      </c>
      <c r="G9" s="2467">
        <f>F9/C9*100</f>
        <v>42.6344505066251</v>
      </c>
      <c r="H9" s="2357">
        <v>48</v>
      </c>
      <c r="I9" s="2467">
        <f>H9/C9*100</f>
        <v>3.7412314886983635</v>
      </c>
      <c r="L9" s="2403"/>
      <c r="M9" s="2356" t="s">
        <v>4042</v>
      </c>
      <c r="N9" s="2361" t="s">
        <v>4043</v>
      </c>
      <c r="O9" s="2369">
        <v>1433</v>
      </c>
      <c r="P9" s="2369">
        <v>1714</v>
      </c>
      <c r="Q9" s="2369">
        <v>1858</v>
      </c>
      <c r="R9" s="2359">
        <v>645</v>
      </c>
      <c r="S9" s="2359">
        <v>758</v>
      </c>
      <c r="T9" s="2359">
        <v>427</v>
      </c>
      <c r="U9" s="2359">
        <v>861</v>
      </c>
      <c r="V9" s="2359">
        <v>1070</v>
      </c>
      <c r="W9" s="2359">
        <v>684</v>
      </c>
      <c r="X9" s="2359"/>
      <c r="Z9" s="2356" t="s">
        <v>2195</v>
      </c>
      <c r="AA9" s="2357">
        <v>570</v>
      </c>
      <c r="AB9" s="2359">
        <v>268</v>
      </c>
      <c r="AC9" s="2401">
        <f>AB9/AA9*100</f>
        <v>47.017543859649123</v>
      </c>
      <c r="AD9" s="2359">
        <v>296</v>
      </c>
      <c r="AE9" s="2401">
        <f>AD9/AA9*100</f>
        <v>51.929824561403507</v>
      </c>
      <c r="AF9" s="2357">
        <v>6</v>
      </c>
      <c r="AG9" s="2401">
        <f>AF9/AA9*100</f>
        <v>1.0526315789473684</v>
      </c>
      <c r="AH9" s="2403"/>
      <c r="AI9" s="2403"/>
      <c r="AJ9" s="2359"/>
      <c r="AK9" s="2356" t="s">
        <v>4042</v>
      </c>
      <c r="AL9" s="2357">
        <v>1283</v>
      </c>
      <c r="AM9" s="2369">
        <v>1433</v>
      </c>
      <c r="AN9" s="2369">
        <v>1335</v>
      </c>
      <c r="AO9" s="2468">
        <v>596</v>
      </c>
      <c r="AP9" s="2468">
        <v>630</v>
      </c>
      <c r="AQ9" s="2359">
        <v>624</v>
      </c>
      <c r="AR9" s="2359">
        <v>742</v>
      </c>
      <c r="AS9" s="2359">
        <v>598</v>
      </c>
      <c r="AT9" s="2359">
        <v>454</v>
      </c>
      <c r="AU9" s="2359">
        <v>230</v>
      </c>
      <c r="AV9" s="2359"/>
      <c r="AW9" s="2403"/>
      <c r="AX9" s="2356" t="s">
        <v>4042</v>
      </c>
      <c r="AY9" s="2357">
        <v>1283</v>
      </c>
      <c r="AZ9" s="2357">
        <v>2</v>
      </c>
      <c r="BA9" s="2357">
        <v>47</v>
      </c>
      <c r="BB9" s="2468">
        <v>596</v>
      </c>
      <c r="BC9" s="2469">
        <f>BB9/AY9*100</f>
        <v>46.453624318004678</v>
      </c>
      <c r="BD9" s="2468">
        <v>630</v>
      </c>
      <c r="BE9" s="2469">
        <f>BD9/AY9*100</f>
        <v>49.103663289166015</v>
      </c>
      <c r="BF9" s="2468">
        <v>8</v>
      </c>
      <c r="BG9" s="2469">
        <f>BF9/AY9*100</f>
        <v>0.62353858144972718</v>
      </c>
      <c r="BH9" s="2357"/>
      <c r="BI9" s="2400"/>
      <c r="BJ9" s="2403"/>
      <c r="BK9" s="2403"/>
      <c r="BL9" s="2356" t="s">
        <v>4042</v>
      </c>
      <c r="BM9" s="2369">
        <v>1335</v>
      </c>
      <c r="BN9" s="2357">
        <v>8</v>
      </c>
      <c r="BO9" s="2357">
        <v>43</v>
      </c>
      <c r="BP9" s="2468">
        <v>598</v>
      </c>
      <c r="BQ9" s="2400">
        <v>45</v>
      </c>
      <c r="BR9" s="2468">
        <v>454</v>
      </c>
      <c r="BS9" s="2400">
        <v>34</v>
      </c>
      <c r="BT9" s="2468">
        <v>230</v>
      </c>
      <c r="BU9" s="2400">
        <v>17</v>
      </c>
      <c r="BV9" s="2357">
        <v>2</v>
      </c>
      <c r="BW9" s="2401">
        <f>BV9/BM9*100</f>
        <v>0.14981273408239701</v>
      </c>
      <c r="BX9" s="2400"/>
      <c r="BY9" s="2403"/>
      <c r="BZ9" s="2356" t="s">
        <v>4042</v>
      </c>
      <c r="CA9" s="2369">
        <v>2318</v>
      </c>
      <c r="CB9" s="2369">
        <v>1433</v>
      </c>
      <c r="CC9" s="2369">
        <v>555</v>
      </c>
      <c r="CD9" s="2434">
        <f>CC9/CB9*100</f>
        <v>38.72993719469644</v>
      </c>
      <c r="CE9" s="2369">
        <v>634</v>
      </c>
      <c r="CF9" s="2434">
        <f>CE9/CB9*100</f>
        <v>44.242847173761341</v>
      </c>
      <c r="CH9" s="2494"/>
      <c r="CJ9" s="2356" t="s">
        <v>4042</v>
      </c>
      <c r="CK9" s="2357">
        <v>1283</v>
      </c>
      <c r="CL9" s="2354">
        <v>1</v>
      </c>
      <c r="CM9" s="2359">
        <v>291</v>
      </c>
      <c r="CN9" s="2359">
        <v>988</v>
      </c>
      <c r="CO9" s="2401">
        <f>CN9/CK9*100</f>
        <v>77.007014809041308</v>
      </c>
      <c r="CP9" s="2471">
        <v>3</v>
      </c>
      <c r="CQ9" s="2401">
        <f>CP9/CK9*100</f>
        <v>0.23382696804364772</v>
      </c>
      <c r="CR9" s="2359"/>
      <c r="CS9" s="2401"/>
      <c r="CT9" s="2401"/>
      <c r="CU9" s="2401"/>
      <c r="CV9" s="2401"/>
      <c r="CW9" s="2401"/>
      <c r="CX9" s="2399" t="s">
        <v>4044</v>
      </c>
      <c r="CY9" s="2427" t="s">
        <v>4039</v>
      </c>
      <c r="CZ9" s="2357">
        <v>14659</v>
      </c>
      <c r="DA9" s="2357"/>
      <c r="DC9" s="2356" t="s">
        <v>4042</v>
      </c>
      <c r="DD9" s="2391">
        <v>12458</v>
      </c>
      <c r="DE9" s="2357">
        <v>838</v>
      </c>
      <c r="DF9" s="2358">
        <f>SUM(DE9/DD9)*100</f>
        <v>6.7266013806389466</v>
      </c>
      <c r="DG9" s="2357">
        <v>789</v>
      </c>
      <c r="DH9" s="2358">
        <f>DG9/DD9*100</f>
        <v>6.3332798201958589</v>
      </c>
      <c r="DI9" s="2357">
        <v>682</v>
      </c>
      <c r="DJ9" s="2358">
        <f>DI9/DD9*100</f>
        <v>5.4743939637180921</v>
      </c>
      <c r="DM9" s="2357"/>
      <c r="DN9" s="2357"/>
      <c r="DO9" s="2399"/>
      <c r="DP9" s="2404"/>
      <c r="DQ9" s="2404"/>
      <c r="DR9" s="2357"/>
      <c r="DS9" s="2357"/>
      <c r="DU9" s="2356"/>
      <c r="DV9" s="2359"/>
      <c r="DW9" s="2357"/>
      <c r="DX9" s="2358"/>
      <c r="DY9" s="2357"/>
      <c r="DZ9" s="2358"/>
      <c r="EA9" s="2357"/>
      <c r="EB9" s="2358"/>
      <c r="EE9" s="2399"/>
      <c r="EF9" s="2404"/>
      <c r="EG9" s="2404"/>
      <c r="EH9" s="2357"/>
      <c r="EJ9" s="2403"/>
      <c r="EK9" s="2356"/>
      <c r="EL9" s="2357"/>
      <c r="EM9" s="2357"/>
      <c r="EN9" s="2358"/>
      <c r="EO9" s="2357"/>
      <c r="EP9" s="2358"/>
      <c r="EQ9" s="2357"/>
      <c r="ER9" s="2358"/>
      <c r="ES9" s="2358"/>
      <c r="EU9" s="2404"/>
      <c r="EV9" s="2404"/>
      <c r="EW9" s="2357"/>
      <c r="EX9" s="2356"/>
      <c r="EY9" s="2357"/>
      <c r="EZ9" s="2357"/>
      <c r="FA9" s="2357"/>
      <c r="FB9" s="2358"/>
      <c r="FC9" s="2357"/>
      <c r="FD9" s="2358"/>
      <c r="FE9" s="2357"/>
      <c r="FF9" s="2358"/>
      <c r="FG9" s="2400"/>
      <c r="FH9" s="2400"/>
      <c r="FI9" s="2357"/>
      <c r="FJ9" s="2358"/>
      <c r="FK9" s="2400"/>
      <c r="FL9" s="2400"/>
      <c r="FM9" s="2357"/>
      <c r="FN9" s="2400"/>
      <c r="FQ9" s="2399"/>
      <c r="FR9" s="2404"/>
      <c r="FS9" s="2404"/>
      <c r="FT9" s="2357"/>
      <c r="FX9" s="2356"/>
      <c r="FY9" s="2357"/>
      <c r="FZ9" s="2357"/>
      <c r="GA9" s="2357"/>
      <c r="GB9" s="2401"/>
      <c r="GC9" s="2357"/>
      <c r="GD9" s="2401"/>
      <c r="GE9" s="2357"/>
      <c r="GF9" s="2400"/>
    </row>
    <row r="10" spans="1:189" ht="12.95" customHeight="1">
      <c r="A10" s="2356" t="s">
        <v>4045</v>
      </c>
      <c r="B10" s="2369">
        <v>1976</v>
      </c>
      <c r="C10" s="2357">
        <v>1226</v>
      </c>
      <c r="D10" s="2357">
        <v>562</v>
      </c>
      <c r="E10" s="2400">
        <f>D10/C10*100</f>
        <v>45.840130505709624</v>
      </c>
      <c r="F10" s="2357">
        <v>501</v>
      </c>
      <c r="G10" s="2400">
        <f>F10/C10*100</f>
        <v>40.864600326264274</v>
      </c>
      <c r="H10" s="2357">
        <v>37</v>
      </c>
      <c r="I10" s="2400">
        <f>H10/C10*100</f>
        <v>3.0179445350734095</v>
      </c>
      <c r="L10" s="2403"/>
      <c r="M10" s="2356" t="s">
        <v>4045</v>
      </c>
      <c r="N10" s="2361" t="s">
        <v>4046</v>
      </c>
      <c r="O10" s="2369">
        <v>1231</v>
      </c>
      <c r="P10" s="2369">
        <v>1397</v>
      </c>
      <c r="Q10" s="2369">
        <v>1378</v>
      </c>
      <c r="R10" s="2359">
        <v>525</v>
      </c>
      <c r="S10" s="2359">
        <v>675</v>
      </c>
      <c r="T10" s="2359">
        <v>331</v>
      </c>
      <c r="U10" s="2359">
        <v>721</v>
      </c>
      <c r="V10" s="2359">
        <v>819</v>
      </c>
      <c r="W10" s="2359">
        <v>484</v>
      </c>
      <c r="X10" s="2359"/>
      <c r="Z10" s="2356" t="s">
        <v>4042</v>
      </c>
      <c r="AA10" s="2369">
        <v>1433</v>
      </c>
      <c r="AB10" s="2359">
        <v>645</v>
      </c>
      <c r="AC10" s="2401">
        <f>AB10/AA10*100</f>
        <v>45.010467550593162</v>
      </c>
      <c r="AD10" s="2359">
        <v>758</v>
      </c>
      <c r="AE10" s="2401">
        <f>AD10/AA10*100</f>
        <v>52.896022330774592</v>
      </c>
      <c r="AF10" s="2357">
        <v>30</v>
      </c>
      <c r="AG10" s="2401">
        <f>AF10/AA10*100</f>
        <v>2.0935101186322398</v>
      </c>
      <c r="AH10" s="2403"/>
      <c r="AI10" s="2403"/>
      <c r="AJ10" s="2359"/>
      <c r="AK10" s="2356" t="s">
        <v>4045</v>
      </c>
      <c r="AL10" s="2357">
        <v>1226</v>
      </c>
      <c r="AM10" s="2369">
        <v>1231</v>
      </c>
      <c r="AN10" s="2369">
        <v>1114</v>
      </c>
      <c r="AO10" s="2468">
        <v>562</v>
      </c>
      <c r="AP10" s="2468">
        <v>639</v>
      </c>
      <c r="AQ10" s="2359">
        <v>583</v>
      </c>
      <c r="AR10" s="2359">
        <v>594</v>
      </c>
      <c r="AS10" s="2359">
        <v>469</v>
      </c>
      <c r="AT10" s="2359">
        <v>412</v>
      </c>
      <c r="AU10" s="2359">
        <v>203</v>
      </c>
      <c r="AV10" s="2359"/>
      <c r="AW10" s="2403"/>
      <c r="AX10" s="2356" t="s">
        <v>4045</v>
      </c>
      <c r="AY10" s="2357">
        <v>1226</v>
      </c>
      <c r="AZ10" s="2357">
        <v>0</v>
      </c>
      <c r="BA10" s="2357">
        <v>23</v>
      </c>
      <c r="BB10" s="2468">
        <v>562</v>
      </c>
      <c r="BC10" s="2400">
        <f>BB10/AY10*100</f>
        <v>45.840130505709624</v>
      </c>
      <c r="BD10" s="2468">
        <v>639</v>
      </c>
      <c r="BE10" s="2469">
        <f>BD10/AY10*100</f>
        <v>52.120717781402938</v>
      </c>
      <c r="BF10" s="2468">
        <v>2</v>
      </c>
      <c r="BG10" s="2469">
        <f>BF10/AY10*100</f>
        <v>0.16313213703099511</v>
      </c>
      <c r="BH10" s="2357"/>
      <c r="BI10" s="2400"/>
      <c r="BJ10" s="2403"/>
      <c r="BK10" s="2403"/>
      <c r="BL10" s="2356" t="s">
        <v>4045</v>
      </c>
      <c r="BM10" s="2369">
        <v>1114</v>
      </c>
      <c r="BN10" s="2357">
        <v>3</v>
      </c>
      <c r="BO10" s="2357">
        <v>26</v>
      </c>
      <c r="BP10" s="2468">
        <v>469</v>
      </c>
      <c r="BQ10" s="2400">
        <v>42</v>
      </c>
      <c r="BR10" s="2468">
        <v>412</v>
      </c>
      <c r="BS10" s="2400">
        <v>37</v>
      </c>
      <c r="BT10" s="2468">
        <v>203</v>
      </c>
      <c r="BU10" s="2400">
        <v>18</v>
      </c>
      <c r="BV10" s="2357">
        <v>1</v>
      </c>
      <c r="BW10" s="2400">
        <f>BV10/BM10*100</f>
        <v>8.9766606822262118E-2</v>
      </c>
      <c r="BX10" s="2400"/>
      <c r="BY10" s="2403"/>
      <c r="BZ10" s="2356" t="s">
        <v>4045</v>
      </c>
      <c r="CA10" s="2369">
        <v>1916</v>
      </c>
      <c r="CB10" s="2369">
        <v>1231</v>
      </c>
      <c r="CC10" s="2369">
        <v>508</v>
      </c>
      <c r="CD10" s="2434">
        <f>CC10/CB10*100</f>
        <v>41.267262388302193</v>
      </c>
      <c r="CE10" s="2369">
        <v>480</v>
      </c>
      <c r="CF10" s="2434">
        <f>CE10/CB10*100</f>
        <v>38.992688870836716</v>
      </c>
      <c r="CH10" s="2494"/>
      <c r="CJ10" s="2356" t="s">
        <v>4045</v>
      </c>
      <c r="CK10" s="2357">
        <v>1226</v>
      </c>
      <c r="CL10" s="2354">
        <v>0</v>
      </c>
      <c r="CM10" s="2359">
        <v>218</v>
      </c>
      <c r="CN10" s="2359">
        <v>1004</v>
      </c>
      <c r="CO10" s="2401">
        <f>CN10/CK10*100</f>
        <v>81.892332789559546</v>
      </c>
      <c r="CP10" s="2471">
        <v>4</v>
      </c>
      <c r="CQ10" s="2401">
        <f>CP10/CK10*100</f>
        <v>0.32626427406199021</v>
      </c>
      <c r="CR10" s="2359"/>
      <c r="CS10" s="2401"/>
      <c r="CT10" s="2401"/>
      <c r="CU10" s="2401"/>
      <c r="CV10" s="2401"/>
      <c r="CW10" s="2401"/>
      <c r="CX10" s="2399" t="s">
        <v>4047</v>
      </c>
      <c r="CY10" s="2427" t="s">
        <v>4039</v>
      </c>
      <c r="CZ10" s="2357">
        <v>14185</v>
      </c>
      <c r="DA10" s="2357"/>
      <c r="DC10" s="2356" t="s">
        <v>4045</v>
      </c>
      <c r="DD10" s="2391">
        <v>11911</v>
      </c>
      <c r="DE10" s="2357">
        <v>788</v>
      </c>
      <c r="DF10" s="2358">
        <f>SUM(DE10/DD10)*100</f>
        <v>6.615733355721602</v>
      </c>
      <c r="DG10" s="2357">
        <v>699</v>
      </c>
      <c r="DH10" s="2358">
        <f>DG10/DD10*100</f>
        <v>5.8685248929560911</v>
      </c>
      <c r="DI10" s="2357">
        <v>622</v>
      </c>
      <c r="DJ10" s="2358">
        <f>DI10/DD10*100</f>
        <v>5.2220636386533457</v>
      </c>
      <c r="DM10" s="2357"/>
      <c r="DN10" s="2357"/>
      <c r="DO10" s="2399"/>
      <c r="DP10" s="2404"/>
      <c r="DQ10" s="2404"/>
      <c r="DR10" s="2357"/>
      <c r="DS10" s="2357"/>
      <c r="DU10" s="2356"/>
      <c r="DV10" s="2359"/>
      <c r="DW10" s="2357"/>
      <c r="DX10" s="2358"/>
      <c r="DY10" s="2357"/>
      <c r="DZ10" s="2358"/>
      <c r="EA10" s="2357"/>
      <c r="EB10" s="2358"/>
      <c r="EE10" s="2399"/>
      <c r="EF10" s="2404"/>
      <c r="EG10" s="2404"/>
      <c r="EH10" s="2357"/>
      <c r="EJ10" s="2403"/>
      <c r="EK10" s="2356"/>
      <c r="EL10" s="2357"/>
      <c r="EM10" s="2357"/>
      <c r="EN10" s="2358"/>
      <c r="EO10" s="2357"/>
      <c r="EP10" s="2358"/>
      <c r="EQ10" s="2357"/>
      <c r="ER10" s="2358"/>
      <c r="ES10" s="2358"/>
      <c r="EU10" s="2404"/>
      <c r="EV10" s="2404"/>
      <c r="EW10" s="2357"/>
      <c r="EX10" s="2356"/>
      <c r="EY10" s="2357"/>
      <c r="EZ10" s="2357"/>
      <c r="FA10" s="2357"/>
      <c r="FB10" s="2358"/>
      <c r="FC10" s="2357"/>
      <c r="FD10" s="2358"/>
      <c r="FE10" s="2357"/>
      <c r="FF10" s="2358"/>
      <c r="FG10" s="2400"/>
      <c r="FH10" s="2400"/>
      <c r="FI10" s="2357"/>
      <c r="FJ10" s="2358"/>
      <c r="FK10" s="2400"/>
      <c r="FL10" s="2400"/>
      <c r="FM10" s="2357"/>
      <c r="FN10" s="2400"/>
      <c r="FQ10" s="2399"/>
      <c r="FR10" s="2404"/>
      <c r="FS10" s="2404"/>
      <c r="FT10" s="2357"/>
      <c r="FX10" s="2356"/>
      <c r="FY10" s="2357"/>
      <c r="FZ10" s="2357"/>
      <c r="GA10" s="2357"/>
      <c r="GB10" s="2401"/>
      <c r="GC10" s="2357"/>
      <c r="GD10" s="2401"/>
      <c r="GE10" s="2357"/>
      <c r="GF10" s="2400"/>
    </row>
    <row r="11" spans="1:189" ht="12.95" customHeight="1">
      <c r="A11" s="2356" t="s">
        <v>4048</v>
      </c>
      <c r="B11" s="2369">
        <v>519</v>
      </c>
      <c r="C11" s="2357">
        <v>337</v>
      </c>
      <c r="D11" s="2357">
        <v>121</v>
      </c>
      <c r="E11" s="2467">
        <f>D11/C11*100</f>
        <v>35.905044510385757</v>
      </c>
      <c r="F11" s="2357">
        <v>148</v>
      </c>
      <c r="G11" s="2467">
        <f>F11/C11*100</f>
        <v>43.916913946587535</v>
      </c>
      <c r="H11" s="2357">
        <v>8</v>
      </c>
      <c r="I11" s="2467">
        <f>H11/C11*100</f>
        <v>2.3738872403560833</v>
      </c>
      <c r="L11" s="2403"/>
      <c r="M11" s="2356" t="s">
        <v>4048</v>
      </c>
      <c r="N11" s="2356">
        <v>6</v>
      </c>
      <c r="O11" s="2357">
        <v>339</v>
      </c>
      <c r="P11" s="2357">
        <v>498</v>
      </c>
      <c r="Q11" s="2357">
        <v>573</v>
      </c>
      <c r="R11" s="2359">
        <v>116</v>
      </c>
      <c r="S11" s="2359">
        <v>221</v>
      </c>
      <c r="T11" s="2359">
        <v>175</v>
      </c>
      <c r="U11" s="2359">
        <v>247</v>
      </c>
      <c r="V11" s="2359">
        <v>356</v>
      </c>
      <c r="W11" s="2359">
        <v>197</v>
      </c>
      <c r="X11" s="2359"/>
      <c r="Z11" s="2356" t="s">
        <v>4045</v>
      </c>
      <c r="AA11" s="2369">
        <v>1231</v>
      </c>
      <c r="AB11" s="2359">
        <v>525</v>
      </c>
      <c r="AC11" s="2401">
        <f>AB11/AA11*100</f>
        <v>42.648253452477661</v>
      </c>
      <c r="AD11" s="2359">
        <v>675</v>
      </c>
      <c r="AE11" s="2401">
        <f>AD11/AA11*100</f>
        <v>54.833468724614129</v>
      </c>
      <c r="AF11" s="2357">
        <v>31</v>
      </c>
      <c r="AG11" s="2401">
        <f>AF11/AA11*100</f>
        <v>2.518277822908205</v>
      </c>
      <c r="AH11" s="2403"/>
      <c r="AI11" s="2403"/>
      <c r="AJ11" s="2359"/>
      <c r="AK11" s="2356" t="s">
        <v>4048</v>
      </c>
      <c r="AL11" s="2357">
        <v>337</v>
      </c>
      <c r="AM11" s="2357">
        <v>339</v>
      </c>
      <c r="AN11" s="2357">
        <v>456</v>
      </c>
      <c r="AO11" s="2468">
        <v>178</v>
      </c>
      <c r="AP11" s="2468">
        <v>138</v>
      </c>
      <c r="AQ11" s="2359">
        <v>173</v>
      </c>
      <c r="AR11" s="2359">
        <v>150</v>
      </c>
      <c r="AS11" s="2359">
        <v>182</v>
      </c>
      <c r="AT11" s="2359">
        <v>144</v>
      </c>
      <c r="AU11" s="2359">
        <v>101</v>
      </c>
      <c r="AV11" s="2359"/>
      <c r="AW11" s="2403"/>
      <c r="AX11" s="2356" t="s">
        <v>4048</v>
      </c>
      <c r="AY11" s="2357">
        <v>337</v>
      </c>
      <c r="AZ11" s="2357">
        <v>0</v>
      </c>
      <c r="BA11" s="2357">
        <v>20</v>
      </c>
      <c r="BB11" s="2468">
        <v>178</v>
      </c>
      <c r="BC11" s="2469">
        <f>BB11/AY11*100</f>
        <v>52.818991097922854</v>
      </c>
      <c r="BD11" s="2468">
        <v>138</v>
      </c>
      <c r="BE11" s="2469">
        <f>BD11/AY11*100</f>
        <v>40.94955489614243</v>
      </c>
      <c r="BF11" s="2468">
        <v>1</v>
      </c>
      <c r="BG11" s="2469">
        <f>BF11/AY11*100</f>
        <v>0.29673590504451042</v>
      </c>
      <c r="BH11" s="2357"/>
      <c r="BI11" s="2400"/>
      <c r="BJ11" s="2403"/>
      <c r="BK11" s="2403"/>
      <c r="BL11" s="2356" t="s">
        <v>4048</v>
      </c>
      <c r="BM11" s="2357">
        <v>456</v>
      </c>
      <c r="BN11" s="2357">
        <v>8</v>
      </c>
      <c r="BO11" s="2357">
        <v>21</v>
      </c>
      <c r="BP11" s="2468">
        <v>182</v>
      </c>
      <c r="BQ11" s="2400">
        <v>40</v>
      </c>
      <c r="BR11" s="2468">
        <v>144</v>
      </c>
      <c r="BS11" s="2400">
        <v>32</v>
      </c>
      <c r="BT11" s="2468">
        <v>101</v>
      </c>
      <c r="BU11" s="2400">
        <v>22</v>
      </c>
      <c r="BV11" s="2357">
        <v>0</v>
      </c>
      <c r="BW11" s="2401">
        <f>BV11/BM11*100</f>
        <v>0</v>
      </c>
      <c r="BX11" s="2400"/>
      <c r="BY11" s="2403"/>
      <c r="BZ11" s="2356" t="s">
        <v>4048</v>
      </c>
      <c r="CA11" s="2369">
        <v>547</v>
      </c>
      <c r="CB11" s="2357">
        <v>339</v>
      </c>
      <c r="CC11" s="2369">
        <v>206</v>
      </c>
      <c r="CD11" s="2434">
        <f>CC11/CB11*100</f>
        <v>60.766961651917406</v>
      </c>
      <c r="CE11" s="2369">
        <v>94</v>
      </c>
      <c r="CF11" s="2434">
        <f>CE11/CB11*100</f>
        <v>27.728613569321535</v>
      </c>
      <c r="CH11" s="2494"/>
      <c r="CJ11" s="2356" t="s">
        <v>4048</v>
      </c>
      <c r="CK11" s="2357">
        <v>337</v>
      </c>
      <c r="CL11" s="864">
        <v>0</v>
      </c>
      <c r="CM11" s="2359">
        <v>99</v>
      </c>
      <c r="CN11" s="2359">
        <v>234</v>
      </c>
      <c r="CO11" s="2401">
        <f>CN11/CK11*100</f>
        <v>69.436201780415431</v>
      </c>
      <c r="CP11" s="865">
        <v>4</v>
      </c>
      <c r="CQ11" s="2401">
        <f>CP11/CK11*100</f>
        <v>1.1869436201780417</v>
      </c>
      <c r="CR11" s="2359"/>
      <c r="CS11" s="2401"/>
      <c r="CT11" s="864"/>
      <c r="CU11" s="2401"/>
      <c r="CV11" s="864"/>
      <c r="CW11" s="864"/>
      <c r="CX11" s="2399" t="s">
        <v>4049</v>
      </c>
      <c r="CY11" s="2427" t="s">
        <v>4039</v>
      </c>
      <c r="CZ11" s="2357">
        <v>14020</v>
      </c>
      <c r="DA11" s="2357"/>
      <c r="DC11" s="2356" t="s">
        <v>4048</v>
      </c>
      <c r="DD11" s="2391">
        <v>3126</v>
      </c>
      <c r="DE11" s="2357">
        <v>194</v>
      </c>
      <c r="DF11" s="2358">
        <f>SUM(DE11/DD11)*100</f>
        <v>6.2060140754958413</v>
      </c>
      <c r="DG11" s="2357">
        <v>180</v>
      </c>
      <c r="DH11" s="2358">
        <f>DG11/DD11*100</f>
        <v>5.7581573896353166</v>
      </c>
      <c r="DI11" s="2357">
        <v>162</v>
      </c>
      <c r="DJ11" s="2358">
        <f>DI11/DD11*100</f>
        <v>5.182341650671785</v>
      </c>
      <c r="DM11" s="2357"/>
      <c r="DN11" s="2357"/>
      <c r="DO11" s="2399"/>
      <c r="DP11" s="2404"/>
      <c r="DQ11" s="2404"/>
      <c r="DR11" s="2357"/>
      <c r="DS11" s="2357"/>
      <c r="DU11" s="2356"/>
      <c r="DV11" s="2359"/>
      <c r="DW11" s="2357"/>
      <c r="DX11" s="2358"/>
      <c r="DY11" s="2357"/>
      <c r="DZ11" s="2358"/>
      <c r="EA11" s="2357"/>
      <c r="EB11" s="2358"/>
      <c r="EE11" s="2399"/>
      <c r="EF11" s="2404"/>
      <c r="EG11" s="2404"/>
      <c r="EH11" s="2357"/>
      <c r="EJ11" s="2403"/>
      <c r="EK11" s="2356"/>
      <c r="EL11" s="2357"/>
      <c r="EM11" s="2357"/>
      <c r="EN11" s="2358"/>
      <c r="EO11" s="2357"/>
      <c r="EP11" s="2358"/>
      <c r="EQ11" s="2357"/>
      <c r="ER11" s="2358"/>
      <c r="ES11" s="2358"/>
      <c r="EU11" s="2404"/>
      <c r="EV11" s="2404"/>
      <c r="EW11" s="2357"/>
      <c r="EX11" s="2356"/>
      <c r="EY11" s="2357"/>
      <c r="EZ11" s="2357"/>
      <c r="FA11" s="2357"/>
      <c r="FB11" s="2358"/>
      <c r="FC11" s="2357"/>
      <c r="FD11" s="2358"/>
      <c r="FE11" s="2357"/>
      <c r="FF11" s="2358"/>
      <c r="FG11" s="2400"/>
      <c r="FH11" s="2400"/>
      <c r="FI11" s="2357"/>
      <c r="FJ11" s="2358"/>
      <c r="FK11" s="2400"/>
      <c r="FL11" s="2400"/>
      <c r="FM11" s="2357"/>
      <c r="FN11" s="2400"/>
      <c r="FQ11" s="2399"/>
      <c r="FR11" s="2404"/>
      <c r="FS11" s="2404"/>
      <c r="FT11" s="2357"/>
      <c r="FX11" s="2356"/>
      <c r="FY11" s="2357"/>
      <c r="FZ11" s="2357"/>
      <c r="GA11" s="2357"/>
      <c r="GB11" s="2401"/>
      <c r="GC11" s="2357"/>
      <c r="GD11" s="2401"/>
      <c r="GE11" s="2357"/>
      <c r="GF11" s="2400"/>
    </row>
    <row r="12" spans="1:189" ht="12.95" customHeight="1">
      <c r="A12" s="2356" t="s">
        <v>2151</v>
      </c>
      <c r="B12" s="2369">
        <v>1079</v>
      </c>
      <c r="C12" s="2357">
        <v>632</v>
      </c>
      <c r="D12" s="2357">
        <v>262</v>
      </c>
      <c r="E12" s="2400">
        <f>D12/C12*100</f>
        <v>41.455696202531641</v>
      </c>
      <c r="F12" s="2357">
        <v>245</v>
      </c>
      <c r="G12" s="2400">
        <f>F12/C12*100</f>
        <v>38.765822784810126</v>
      </c>
      <c r="H12" s="2357">
        <v>25</v>
      </c>
      <c r="I12" s="2400">
        <f>H12/C12*100</f>
        <v>3.9556962025316458</v>
      </c>
      <c r="L12" s="2403"/>
      <c r="M12" s="2356" t="s">
        <v>2151</v>
      </c>
      <c r="N12" s="2361" t="s">
        <v>4050</v>
      </c>
      <c r="O12" s="2369">
        <v>661</v>
      </c>
      <c r="P12" s="2369">
        <v>814</v>
      </c>
      <c r="Q12" s="2369">
        <v>928</v>
      </c>
      <c r="R12" s="2359">
        <v>235</v>
      </c>
      <c r="S12" s="2359">
        <v>417</v>
      </c>
      <c r="T12" s="2359">
        <v>180</v>
      </c>
      <c r="U12" s="2359">
        <v>477</v>
      </c>
      <c r="V12" s="2359">
        <v>486</v>
      </c>
      <c r="W12" s="2359">
        <v>418</v>
      </c>
      <c r="X12" s="2359"/>
      <c r="Z12" s="2356" t="s">
        <v>4048</v>
      </c>
      <c r="AA12" s="2357">
        <v>339</v>
      </c>
      <c r="AB12" s="2359">
        <v>116</v>
      </c>
      <c r="AC12" s="2401">
        <f>AB12/AA12*100</f>
        <v>34.21828908554572</v>
      </c>
      <c r="AD12" s="2359">
        <v>221</v>
      </c>
      <c r="AE12" s="2401">
        <f>AD12/AA12*100</f>
        <v>65.191740412979343</v>
      </c>
      <c r="AF12" s="2357">
        <v>2</v>
      </c>
      <c r="AG12" s="2401">
        <f>AF12/AA12*100</f>
        <v>0.58997050147492625</v>
      </c>
      <c r="AH12" s="2403"/>
      <c r="AI12" s="2403"/>
      <c r="AJ12" s="2359"/>
      <c r="AK12" s="2356" t="s">
        <v>2151</v>
      </c>
      <c r="AL12" s="2357">
        <v>632</v>
      </c>
      <c r="AM12" s="2369">
        <v>661</v>
      </c>
      <c r="AN12" s="2369">
        <v>839</v>
      </c>
      <c r="AO12" s="2468">
        <v>311</v>
      </c>
      <c r="AP12" s="2468">
        <v>285</v>
      </c>
      <c r="AQ12" s="2359">
        <v>374</v>
      </c>
      <c r="AR12" s="2359">
        <v>267</v>
      </c>
      <c r="AS12" s="2359">
        <v>381</v>
      </c>
      <c r="AT12" s="2359">
        <v>245</v>
      </c>
      <c r="AU12" s="2359">
        <v>178</v>
      </c>
      <c r="AV12" s="2359"/>
      <c r="AW12" s="2403"/>
      <c r="AX12" s="2356" t="s">
        <v>2151</v>
      </c>
      <c r="AY12" s="2357">
        <v>632</v>
      </c>
      <c r="AZ12" s="2357">
        <v>1</v>
      </c>
      <c r="BA12" s="2357">
        <v>30</v>
      </c>
      <c r="BB12" s="2468">
        <v>311</v>
      </c>
      <c r="BC12" s="2400">
        <f>BB12/AY12*100</f>
        <v>49.208860759493675</v>
      </c>
      <c r="BD12" s="2468">
        <v>285</v>
      </c>
      <c r="BE12" s="2469">
        <f>BD12/AY12*100</f>
        <v>45.094936708860764</v>
      </c>
      <c r="BF12" s="2468">
        <v>5</v>
      </c>
      <c r="BG12" s="2469">
        <f>BF12/AY12*100</f>
        <v>0.79113924050632911</v>
      </c>
      <c r="BH12" s="2357"/>
      <c r="BI12" s="2400"/>
      <c r="BJ12" s="2403"/>
      <c r="BK12" s="2403"/>
      <c r="BL12" s="2356" t="s">
        <v>2151</v>
      </c>
      <c r="BM12" s="2369">
        <v>839</v>
      </c>
      <c r="BN12" s="2357">
        <v>6</v>
      </c>
      <c r="BO12" s="2357">
        <v>29</v>
      </c>
      <c r="BP12" s="2468">
        <v>381</v>
      </c>
      <c r="BQ12" s="2400">
        <v>45</v>
      </c>
      <c r="BR12" s="2468">
        <v>245</v>
      </c>
      <c r="BS12" s="2400">
        <v>29</v>
      </c>
      <c r="BT12" s="2468">
        <v>178</v>
      </c>
      <c r="BU12" s="2400">
        <v>21</v>
      </c>
      <c r="BV12" s="2357">
        <v>0</v>
      </c>
      <c r="BW12" s="2400">
        <f>BV12/BM12*100</f>
        <v>0</v>
      </c>
      <c r="BX12" s="2400"/>
      <c r="BY12" s="2403"/>
      <c r="BZ12" s="2356" t="s">
        <v>2151</v>
      </c>
      <c r="CA12" s="2369">
        <v>1096</v>
      </c>
      <c r="CB12" s="2369">
        <v>661</v>
      </c>
      <c r="CC12" s="2369">
        <v>341</v>
      </c>
      <c r="CD12" s="2434">
        <f>CC12/CB12*100</f>
        <v>51.588502269288959</v>
      </c>
      <c r="CE12" s="2369">
        <v>237</v>
      </c>
      <c r="CF12" s="2434">
        <f>CE12/CB12*100</f>
        <v>35.854765506807865</v>
      </c>
      <c r="CH12" s="2494"/>
      <c r="CJ12" s="2356" t="s">
        <v>2151</v>
      </c>
      <c r="CK12" s="2357">
        <v>632</v>
      </c>
      <c r="CL12" s="2354">
        <v>0</v>
      </c>
      <c r="CM12" s="2359">
        <v>133</v>
      </c>
      <c r="CN12" s="2359">
        <v>497</v>
      </c>
      <c r="CO12" s="2401">
        <f>CN12/CK12*100</f>
        <v>78.639240506329116</v>
      </c>
      <c r="CP12" s="2471">
        <v>2</v>
      </c>
      <c r="CQ12" s="2401">
        <f>CP12/CK12*100</f>
        <v>0.31645569620253167</v>
      </c>
      <c r="CR12" s="2359"/>
      <c r="CS12" s="2401"/>
      <c r="CT12" s="2401"/>
      <c r="CU12" s="2401"/>
      <c r="CV12" s="2401"/>
      <c r="CW12" s="2401"/>
      <c r="CX12" s="2399" t="s">
        <v>4051</v>
      </c>
      <c r="CY12" s="2427" t="s">
        <v>4039</v>
      </c>
      <c r="CZ12" s="2357">
        <v>13149</v>
      </c>
      <c r="DA12" s="2357"/>
      <c r="DC12" s="2356" t="s">
        <v>2151</v>
      </c>
      <c r="DD12" s="2391">
        <v>6182</v>
      </c>
      <c r="DE12" s="2357">
        <v>461</v>
      </c>
      <c r="DF12" s="2358">
        <f>SUM(DE12/DD12)*100</f>
        <v>7.4571336137172439</v>
      </c>
      <c r="DG12" s="2357">
        <v>404</v>
      </c>
      <c r="DH12" s="2358">
        <f>DG12/DD12*100</f>
        <v>6.5351019087673894</v>
      </c>
      <c r="DI12" s="2357">
        <v>301</v>
      </c>
      <c r="DJ12" s="2358">
        <f>DI12/DD12*100</f>
        <v>4.8689744419281782</v>
      </c>
      <c r="DM12" s="2357"/>
      <c r="DN12" s="2357"/>
      <c r="DO12" s="2399"/>
      <c r="DP12" s="2404"/>
      <c r="DQ12" s="2404"/>
      <c r="DR12" s="2357"/>
      <c r="DS12" s="2357"/>
      <c r="DU12" s="2356"/>
      <c r="DV12" s="2359"/>
      <c r="DW12" s="2357"/>
      <c r="DX12" s="2358"/>
      <c r="DY12" s="2357"/>
      <c r="DZ12" s="2358"/>
      <c r="EA12" s="2357"/>
      <c r="EB12" s="2358"/>
      <c r="EE12" s="2399"/>
      <c r="EF12" s="2404"/>
      <c r="EG12" s="2404"/>
      <c r="EH12" s="2357"/>
      <c r="EJ12" s="2403"/>
      <c r="EK12" s="2356"/>
      <c r="EL12" s="2357"/>
      <c r="EM12" s="2357"/>
      <c r="EN12" s="2358"/>
      <c r="EO12" s="2357"/>
      <c r="EP12" s="2358"/>
      <c r="EQ12" s="2357"/>
      <c r="ER12" s="2358"/>
      <c r="ES12" s="2358"/>
      <c r="EU12" s="2404"/>
      <c r="EV12" s="2404"/>
      <c r="EW12" s="2357"/>
      <c r="EX12" s="2356"/>
      <c r="EY12" s="2357"/>
      <c r="EZ12" s="2357"/>
      <c r="FA12" s="2357"/>
      <c r="FB12" s="2358"/>
      <c r="FC12" s="2357"/>
      <c r="FD12" s="2358"/>
      <c r="FE12" s="2357"/>
      <c r="FF12" s="2358"/>
      <c r="FG12" s="2400"/>
      <c r="FH12" s="2400"/>
      <c r="FI12" s="2357"/>
      <c r="FJ12" s="2358"/>
      <c r="FK12" s="2400"/>
      <c r="FL12" s="2400"/>
      <c r="FM12" s="2357"/>
      <c r="FN12" s="2400"/>
      <c r="FQ12" s="2399"/>
      <c r="FR12" s="2404"/>
      <c r="FS12" s="2404"/>
      <c r="FT12" s="2357"/>
      <c r="FX12" s="2356"/>
      <c r="FY12" s="2357"/>
      <c r="FZ12" s="2357"/>
      <c r="GA12" s="2357"/>
      <c r="GB12" s="2401"/>
      <c r="GC12" s="2357"/>
      <c r="GD12" s="2401"/>
      <c r="GE12" s="2357"/>
      <c r="GF12" s="2400"/>
    </row>
    <row r="13" spans="1:189" ht="12.95" customHeight="1">
      <c r="A13" s="2356" t="s">
        <v>4052</v>
      </c>
      <c r="B13" s="2369">
        <v>1632</v>
      </c>
      <c r="C13" s="2357">
        <v>926</v>
      </c>
      <c r="D13" s="2357">
        <v>435</v>
      </c>
      <c r="E13" s="2467">
        <f>D13/C13*100</f>
        <v>46.976241900647949</v>
      </c>
      <c r="F13" s="2357">
        <v>367</v>
      </c>
      <c r="G13" s="2467">
        <f>F13/C13*100</f>
        <v>39.632829373650111</v>
      </c>
      <c r="H13" s="2357">
        <v>29</v>
      </c>
      <c r="I13" s="2467">
        <f>H13/C13*100</f>
        <v>3.1317494600431961</v>
      </c>
      <c r="L13" s="2403"/>
      <c r="M13" s="2356" t="s">
        <v>4052</v>
      </c>
      <c r="N13" s="2361" t="s">
        <v>4053</v>
      </c>
      <c r="O13" s="2369">
        <v>1188</v>
      </c>
      <c r="P13" s="2369">
        <v>1393</v>
      </c>
      <c r="Q13" s="2369">
        <v>1454</v>
      </c>
      <c r="R13" s="2359">
        <v>455</v>
      </c>
      <c r="S13" s="2359">
        <v>712</v>
      </c>
      <c r="T13" s="2359">
        <v>428</v>
      </c>
      <c r="U13" s="2359">
        <v>683</v>
      </c>
      <c r="V13" s="2359">
        <v>825</v>
      </c>
      <c r="W13" s="2359">
        <v>602</v>
      </c>
      <c r="X13" s="2359"/>
      <c r="Z13" s="2356" t="s">
        <v>2151</v>
      </c>
      <c r="AA13" s="2369">
        <v>661</v>
      </c>
      <c r="AB13" s="2359">
        <v>235</v>
      </c>
      <c r="AC13" s="2401">
        <f>AB13/AA13*100</f>
        <v>35.552193645990918</v>
      </c>
      <c r="AD13" s="2359">
        <v>417</v>
      </c>
      <c r="AE13" s="2401">
        <f>AD13/AA13*100</f>
        <v>63.086232980332824</v>
      </c>
      <c r="AF13" s="2357">
        <v>9</v>
      </c>
      <c r="AG13" s="2401">
        <f>AF13/AA13*100</f>
        <v>1.3615733736762481</v>
      </c>
      <c r="AH13" s="2403"/>
      <c r="AI13" s="2403"/>
      <c r="AJ13" s="2359"/>
      <c r="AK13" s="2356" t="s">
        <v>4052</v>
      </c>
      <c r="AL13" s="2357">
        <v>926</v>
      </c>
      <c r="AM13" s="2369">
        <v>1188</v>
      </c>
      <c r="AN13" s="2369">
        <v>1386</v>
      </c>
      <c r="AO13" s="2468">
        <v>456</v>
      </c>
      <c r="AP13" s="2468">
        <v>443</v>
      </c>
      <c r="AQ13" s="2359">
        <v>628</v>
      </c>
      <c r="AR13" s="2359">
        <v>511</v>
      </c>
      <c r="AS13" s="2359">
        <v>775</v>
      </c>
      <c r="AT13" s="2359">
        <v>304</v>
      </c>
      <c r="AU13" s="2359">
        <v>257</v>
      </c>
      <c r="AV13" s="2359"/>
      <c r="AW13" s="2403"/>
      <c r="AX13" s="2356" t="s">
        <v>4052</v>
      </c>
      <c r="AY13" s="2357">
        <v>926</v>
      </c>
      <c r="AZ13" s="2357">
        <v>3</v>
      </c>
      <c r="BA13" s="2357">
        <v>23</v>
      </c>
      <c r="BB13" s="2468">
        <v>456</v>
      </c>
      <c r="BC13" s="2469">
        <f>BB13/AY13*100</f>
        <v>49.244060475161987</v>
      </c>
      <c r="BD13" s="2468">
        <v>443</v>
      </c>
      <c r="BE13" s="2469">
        <f>BD13/AY13*100</f>
        <v>47.840172786177106</v>
      </c>
      <c r="BF13" s="2468">
        <v>1</v>
      </c>
      <c r="BG13" s="2469">
        <f>BF13/AY13*100</f>
        <v>0.10799136069114472</v>
      </c>
      <c r="BH13" s="2357"/>
      <c r="BI13" s="2400"/>
      <c r="BJ13" s="2403"/>
      <c r="BK13" s="2403"/>
      <c r="BL13" s="2356" t="s">
        <v>4052</v>
      </c>
      <c r="BM13" s="2369">
        <v>1386</v>
      </c>
      <c r="BN13" s="2357">
        <v>9</v>
      </c>
      <c r="BO13" s="2357">
        <v>38</v>
      </c>
      <c r="BP13" s="2468">
        <v>775</v>
      </c>
      <c r="BQ13" s="2400">
        <v>56</v>
      </c>
      <c r="BR13" s="2468">
        <v>304</v>
      </c>
      <c r="BS13" s="2400">
        <v>22</v>
      </c>
      <c r="BT13" s="2468">
        <v>257</v>
      </c>
      <c r="BU13" s="2400">
        <v>19</v>
      </c>
      <c r="BV13" s="2357">
        <v>3</v>
      </c>
      <c r="BW13" s="2401">
        <f>BV13/BM13*100</f>
        <v>0.21645021645021645</v>
      </c>
      <c r="BX13" s="2400"/>
      <c r="BY13" s="2403"/>
      <c r="BZ13" s="2356" t="s">
        <v>4052</v>
      </c>
      <c r="CA13" s="2369">
        <v>1800</v>
      </c>
      <c r="CB13" s="2369">
        <v>1188</v>
      </c>
      <c r="CC13" s="2369">
        <v>581</v>
      </c>
      <c r="CD13" s="2434">
        <f>CC13/CB13*100</f>
        <v>48.90572390572391</v>
      </c>
      <c r="CE13" s="2369">
        <v>433</v>
      </c>
      <c r="CF13" s="2434">
        <f>CE13/CB13*100</f>
        <v>36.447811447811446</v>
      </c>
      <c r="CH13" s="2494"/>
      <c r="CJ13" s="2356" t="s">
        <v>4052</v>
      </c>
      <c r="CK13" s="2357">
        <v>926</v>
      </c>
      <c r="CL13" s="864">
        <v>1</v>
      </c>
      <c r="CM13" s="2359">
        <v>192</v>
      </c>
      <c r="CN13" s="2359">
        <v>723</v>
      </c>
      <c r="CO13" s="2401">
        <f>CN13/CK13*100</f>
        <v>78.077753779697616</v>
      </c>
      <c r="CP13" s="2471">
        <v>10</v>
      </c>
      <c r="CQ13" s="2401">
        <f>CP13/CK13*100</f>
        <v>1.079913606911447</v>
      </c>
      <c r="CR13" s="2359"/>
      <c r="CS13" s="2401"/>
      <c r="CT13" s="2401"/>
      <c r="CU13" s="2401"/>
      <c r="CV13" s="2401"/>
      <c r="CW13" s="2401"/>
      <c r="CX13" s="2399" t="s">
        <v>4054</v>
      </c>
      <c r="CY13" s="2427" t="s">
        <v>4036</v>
      </c>
      <c r="CZ13" s="2357">
        <v>12503</v>
      </c>
      <c r="DA13" s="2357"/>
      <c r="DC13" s="2356" t="s">
        <v>4052</v>
      </c>
      <c r="DD13" s="2391">
        <v>8889</v>
      </c>
      <c r="DE13" s="2357">
        <v>635</v>
      </c>
      <c r="DF13" s="2358">
        <f>SUM(DE13/DD13)*100</f>
        <v>7.1436607042411975</v>
      </c>
      <c r="DG13" s="2357">
        <v>577</v>
      </c>
      <c r="DH13" s="2358">
        <f>DG13/DD13*100</f>
        <v>6.4911688603892443</v>
      </c>
      <c r="DI13" s="2357">
        <v>477</v>
      </c>
      <c r="DJ13" s="2358">
        <f>DI13/DD13*100</f>
        <v>5.3661829227134659</v>
      </c>
      <c r="DM13" s="2357"/>
      <c r="DN13" s="2357"/>
      <c r="DO13" s="2399"/>
      <c r="DP13" s="2404"/>
      <c r="DQ13" s="2404"/>
      <c r="DR13" s="2357"/>
      <c r="DS13" s="2357"/>
      <c r="DU13" s="2356"/>
      <c r="DV13" s="2359"/>
      <c r="DW13" s="2357"/>
      <c r="DX13" s="2358"/>
      <c r="DY13" s="2357"/>
      <c r="DZ13" s="2358"/>
      <c r="EA13" s="2357"/>
      <c r="EB13" s="2358"/>
      <c r="EE13" s="2399"/>
      <c r="EF13" s="2404"/>
      <c r="EG13" s="2404"/>
      <c r="EH13" s="2357"/>
      <c r="EJ13" s="2403"/>
      <c r="EK13" s="2356"/>
      <c r="EL13" s="2357"/>
      <c r="EM13" s="2357"/>
      <c r="EN13" s="2358"/>
      <c r="EO13" s="2357"/>
      <c r="EP13" s="2358"/>
      <c r="EQ13" s="2357"/>
      <c r="ER13" s="2358"/>
      <c r="ES13" s="2358"/>
      <c r="EU13" s="2404"/>
      <c r="EV13" s="2404"/>
      <c r="EW13" s="2357"/>
      <c r="EX13" s="2356"/>
      <c r="EY13" s="2357"/>
      <c r="EZ13" s="2357"/>
      <c r="FA13" s="2357"/>
      <c r="FB13" s="2358"/>
      <c r="FC13" s="2357"/>
      <c r="FD13" s="2358"/>
      <c r="FE13" s="2357"/>
      <c r="FF13" s="2358"/>
      <c r="FG13" s="2400"/>
      <c r="FH13" s="2400"/>
      <c r="FI13" s="2357"/>
      <c r="FJ13" s="2358"/>
      <c r="FK13" s="2400"/>
      <c r="FL13" s="2400"/>
      <c r="FM13" s="2357"/>
      <c r="FN13" s="2400"/>
      <c r="FQ13" s="2399"/>
      <c r="FR13" s="2404"/>
      <c r="FS13" s="2404"/>
      <c r="FT13" s="2357"/>
      <c r="FX13" s="2356"/>
      <c r="FY13" s="2357"/>
      <c r="FZ13" s="2357"/>
      <c r="GA13" s="2357"/>
      <c r="GB13" s="2401"/>
      <c r="GC13" s="2357"/>
      <c r="GD13" s="2401"/>
      <c r="GE13" s="2357"/>
      <c r="GF13" s="2400"/>
    </row>
    <row r="14" spans="1:189" ht="12.95" customHeight="1">
      <c r="A14" s="2356" t="s">
        <v>4055</v>
      </c>
      <c r="B14" s="2369">
        <v>1815</v>
      </c>
      <c r="C14" s="2357">
        <v>964</v>
      </c>
      <c r="D14" s="2357">
        <v>437</v>
      </c>
      <c r="E14" s="2400">
        <f>D14/C14*100</f>
        <v>45.331950207468878</v>
      </c>
      <c r="F14" s="2357">
        <v>400</v>
      </c>
      <c r="G14" s="2400">
        <f>F14/C14*100</f>
        <v>41.49377593360996</v>
      </c>
      <c r="H14" s="2357">
        <v>31</v>
      </c>
      <c r="I14" s="2400">
        <f>H14/C14*100</f>
        <v>3.2157676348547715</v>
      </c>
      <c r="L14" s="2403"/>
      <c r="M14" s="2356" t="s">
        <v>4056</v>
      </c>
      <c r="N14" s="2361" t="s">
        <v>4057</v>
      </c>
      <c r="O14" s="2369">
        <v>1216</v>
      </c>
      <c r="P14" s="2369">
        <v>1218</v>
      </c>
      <c r="Q14" s="2369">
        <v>1331</v>
      </c>
      <c r="R14" s="2359">
        <v>460</v>
      </c>
      <c r="S14" s="2359">
        <v>735</v>
      </c>
      <c r="T14" s="2359">
        <v>267</v>
      </c>
      <c r="U14" s="2359">
        <v>670</v>
      </c>
      <c r="V14" s="2359">
        <v>698</v>
      </c>
      <c r="W14" s="2359">
        <v>591</v>
      </c>
      <c r="X14" s="2359"/>
      <c r="Z14" s="2356" t="s">
        <v>4052</v>
      </c>
      <c r="AA14" s="2369">
        <v>1188</v>
      </c>
      <c r="AB14" s="2359">
        <v>455</v>
      </c>
      <c r="AC14" s="2401">
        <f>AB14/AA14*100</f>
        <v>38.299663299663301</v>
      </c>
      <c r="AD14" s="2359">
        <v>712</v>
      </c>
      <c r="AE14" s="2401">
        <f>AD14/AA14*100</f>
        <v>59.932659932659938</v>
      </c>
      <c r="AF14" s="2357">
        <v>21</v>
      </c>
      <c r="AG14" s="2401">
        <f>AF14/AA14*100</f>
        <v>1.7676767676767675</v>
      </c>
      <c r="AH14" s="2403"/>
      <c r="AI14" s="2403"/>
      <c r="AJ14" s="2359"/>
      <c r="AK14" s="2356" t="s">
        <v>4056</v>
      </c>
      <c r="AL14" s="2357">
        <v>964</v>
      </c>
      <c r="AM14" s="2369">
        <v>1216</v>
      </c>
      <c r="AN14" s="2369">
        <v>1077</v>
      </c>
      <c r="AO14" s="2468">
        <v>442</v>
      </c>
      <c r="AP14" s="2468">
        <v>503</v>
      </c>
      <c r="AQ14" s="2359">
        <v>591</v>
      </c>
      <c r="AR14" s="2359">
        <v>582</v>
      </c>
      <c r="AS14" s="2359">
        <v>592</v>
      </c>
      <c r="AT14" s="2359">
        <v>283</v>
      </c>
      <c r="AU14" s="2359">
        <v>175</v>
      </c>
      <c r="AV14" s="2359"/>
      <c r="AW14" s="2403"/>
      <c r="AX14" s="2356" t="s">
        <v>4056</v>
      </c>
      <c r="AY14" s="2357">
        <v>964</v>
      </c>
      <c r="AZ14" s="2357">
        <v>3</v>
      </c>
      <c r="BA14" s="2357">
        <v>14</v>
      </c>
      <c r="BB14" s="2468">
        <v>442</v>
      </c>
      <c r="BC14" s="2400">
        <f>BB14/AY14*100</f>
        <v>45.850622406639005</v>
      </c>
      <c r="BD14" s="2468">
        <v>503</v>
      </c>
      <c r="BE14" s="2469">
        <f>BD14/AY14*100</f>
        <v>52.178423236514526</v>
      </c>
      <c r="BF14" s="2468">
        <v>2</v>
      </c>
      <c r="BG14" s="2469">
        <f>BF14/AY14*100</f>
        <v>0.2074688796680498</v>
      </c>
      <c r="BH14" s="2357"/>
      <c r="BI14" s="2400"/>
      <c r="BJ14" s="2403"/>
      <c r="BK14" s="2403"/>
      <c r="BL14" s="2356" t="s">
        <v>4056</v>
      </c>
      <c r="BM14" s="2369">
        <v>1077</v>
      </c>
      <c r="BN14" s="2357">
        <v>2</v>
      </c>
      <c r="BO14" s="2357">
        <v>20</v>
      </c>
      <c r="BP14" s="2468">
        <v>592</v>
      </c>
      <c r="BQ14" s="2400">
        <v>55</v>
      </c>
      <c r="BR14" s="2468">
        <v>283</v>
      </c>
      <c r="BS14" s="2400">
        <v>26</v>
      </c>
      <c r="BT14" s="2468">
        <v>175</v>
      </c>
      <c r="BU14" s="2400">
        <v>16</v>
      </c>
      <c r="BV14" s="2357">
        <v>5</v>
      </c>
      <c r="BW14" s="2400">
        <f>BV14/BM14*100</f>
        <v>0.46425255338904359</v>
      </c>
      <c r="BX14" s="2400"/>
      <c r="BY14" s="2403"/>
      <c r="BZ14" s="2356" t="s">
        <v>4056</v>
      </c>
      <c r="CA14" s="2369">
        <v>1843</v>
      </c>
      <c r="CB14" s="2369">
        <v>1216</v>
      </c>
      <c r="CC14" s="2369">
        <v>593</v>
      </c>
      <c r="CD14" s="2434">
        <f>CC14/CB14*100</f>
        <v>48.766447368421048</v>
      </c>
      <c r="CE14" s="2369">
        <v>478</v>
      </c>
      <c r="CF14" s="2434">
        <f>CE14/CB14*100</f>
        <v>39.309210526315788</v>
      </c>
      <c r="CH14" s="2494"/>
      <c r="CJ14" s="2356" t="s">
        <v>4056</v>
      </c>
      <c r="CK14" s="2357">
        <v>964</v>
      </c>
      <c r="CL14" s="2354">
        <v>0</v>
      </c>
      <c r="CM14" s="2359">
        <v>141</v>
      </c>
      <c r="CN14" s="2359">
        <v>815</v>
      </c>
      <c r="CO14" s="2401">
        <f>CN14/CK14*100</f>
        <v>84.543568464730285</v>
      </c>
      <c r="CP14" s="2471">
        <v>8</v>
      </c>
      <c r="CQ14" s="2401">
        <f>CP14/CK14*100</f>
        <v>0.82987551867219922</v>
      </c>
      <c r="CR14" s="2359"/>
      <c r="CS14" s="2401"/>
      <c r="CT14" s="2401"/>
      <c r="CU14" s="2401"/>
      <c r="CV14" s="2401"/>
      <c r="CW14" s="2401"/>
      <c r="CX14" s="2399" t="s">
        <v>4058</v>
      </c>
      <c r="CY14" s="2427" t="s">
        <v>4039</v>
      </c>
      <c r="CZ14" s="2357">
        <v>12254</v>
      </c>
      <c r="DA14" s="2357"/>
      <c r="DC14" s="2356" t="s">
        <v>4056</v>
      </c>
      <c r="DD14" s="2391">
        <v>9818</v>
      </c>
      <c r="DE14" s="2357">
        <v>668</v>
      </c>
      <c r="DF14" s="2358">
        <f>SUM(DE14/DD14)*100</f>
        <v>6.8038297005500095</v>
      </c>
      <c r="DG14" s="2357">
        <v>575</v>
      </c>
      <c r="DH14" s="2358">
        <f>DG14/DD14*100</f>
        <v>5.8565899368506829</v>
      </c>
      <c r="DI14" s="2357">
        <v>481</v>
      </c>
      <c r="DJ14" s="2358">
        <f>DI14/DD14*100</f>
        <v>4.899164799348136</v>
      </c>
      <c r="DM14" s="2357"/>
      <c r="DN14" s="2357"/>
      <c r="DO14" s="2399"/>
      <c r="DP14" s="2404"/>
      <c r="DQ14" s="2404"/>
      <c r="DR14" s="2357"/>
      <c r="DS14" s="2357"/>
      <c r="DU14" s="2356"/>
      <c r="DV14" s="2359"/>
      <c r="DW14" s="2357"/>
      <c r="DX14" s="2358"/>
      <c r="DY14" s="2357"/>
      <c r="DZ14" s="2358"/>
      <c r="EA14" s="2357"/>
      <c r="EB14" s="2358"/>
      <c r="EE14" s="2399"/>
      <c r="EF14" s="2404"/>
      <c r="EG14" s="2404"/>
      <c r="EH14" s="2357"/>
      <c r="EJ14" s="2403"/>
      <c r="EK14" s="2356"/>
      <c r="EL14" s="2357"/>
      <c r="EM14" s="2357"/>
      <c r="EN14" s="2358"/>
      <c r="EO14" s="2357"/>
      <c r="EP14" s="2358"/>
      <c r="EQ14" s="2357"/>
      <c r="ER14" s="2358"/>
      <c r="ES14" s="2358"/>
      <c r="EU14" s="2404"/>
      <c r="EV14" s="2404"/>
      <c r="EW14" s="2357"/>
      <c r="EX14" s="2356"/>
      <c r="EY14" s="2357"/>
      <c r="EZ14" s="2357"/>
      <c r="FA14" s="2357"/>
      <c r="FB14" s="2358"/>
      <c r="FC14" s="2357"/>
      <c r="FD14" s="2358"/>
      <c r="FE14" s="2357"/>
      <c r="FF14" s="2358"/>
      <c r="FG14" s="2400"/>
      <c r="FH14" s="2400"/>
      <c r="FI14" s="2357"/>
      <c r="FJ14" s="2358"/>
      <c r="FK14" s="2400"/>
      <c r="FL14" s="2400"/>
      <c r="FM14" s="2357"/>
      <c r="FN14" s="2400"/>
      <c r="FQ14" s="2399"/>
      <c r="FR14" s="2404"/>
      <c r="FS14" s="2404"/>
      <c r="FT14" s="2357"/>
      <c r="FX14" s="2356"/>
      <c r="FY14" s="2357"/>
      <c r="FZ14" s="2357"/>
      <c r="GA14" s="2357"/>
      <c r="GB14" s="2401"/>
      <c r="GC14" s="2357"/>
      <c r="GD14" s="2401"/>
      <c r="GE14" s="2357"/>
      <c r="GF14" s="2400"/>
    </row>
    <row r="15" spans="1:189" ht="12.95" customHeight="1">
      <c r="A15" s="2356" t="s">
        <v>2209</v>
      </c>
      <c r="B15" s="2369">
        <v>3130</v>
      </c>
      <c r="C15" s="2357">
        <v>1808</v>
      </c>
      <c r="D15" s="2357">
        <v>811</v>
      </c>
      <c r="E15" s="2467">
        <f>D15/C15*100</f>
        <v>44.85619469026549</v>
      </c>
      <c r="F15" s="2357">
        <v>772</v>
      </c>
      <c r="G15" s="2467">
        <f>F15/C15*100</f>
        <v>42.69911504424779</v>
      </c>
      <c r="H15" s="2357">
        <v>47</v>
      </c>
      <c r="I15" s="2467">
        <f>H15/C15*100</f>
        <v>2.5995575221238938</v>
      </c>
      <c r="L15" s="2403"/>
      <c r="M15" s="2356" t="s">
        <v>2209</v>
      </c>
      <c r="N15" s="2361" t="s">
        <v>4059</v>
      </c>
      <c r="O15" s="2369">
        <v>1943</v>
      </c>
      <c r="P15" s="2369">
        <v>2033</v>
      </c>
      <c r="Q15" s="2369">
        <v>1945</v>
      </c>
      <c r="R15" s="2359">
        <v>758</v>
      </c>
      <c r="S15" s="2359">
        <v>1142</v>
      </c>
      <c r="T15" s="2359">
        <v>368</v>
      </c>
      <c r="U15" s="2359">
        <v>1043</v>
      </c>
      <c r="V15" s="2359">
        <v>1189</v>
      </c>
      <c r="W15" s="2359">
        <v>684</v>
      </c>
      <c r="X15" s="2359"/>
      <c r="Z15" s="2356" t="s">
        <v>4056</v>
      </c>
      <c r="AA15" s="2369">
        <v>1216</v>
      </c>
      <c r="AB15" s="2359">
        <v>460</v>
      </c>
      <c r="AC15" s="2401">
        <f>AB15/AA15*100</f>
        <v>37.828947368421048</v>
      </c>
      <c r="AD15" s="2359">
        <v>735</v>
      </c>
      <c r="AE15" s="2401">
        <f>AD15/AA15*100</f>
        <v>60.444078947368418</v>
      </c>
      <c r="AF15" s="2357">
        <v>21</v>
      </c>
      <c r="AG15" s="2401">
        <f>AF15/AA15*100</f>
        <v>1.7269736842105265</v>
      </c>
      <c r="AH15" s="2403"/>
      <c r="AI15" s="2403"/>
      <c r="AJ15" s="2359"/>
      <c r="AK15" s="2356" t="s">
        <v>2209</v>
      </c>
      <c r="AL15" s="2357">
        <v>1808</v>
      </c>
      <c r="AM15" s="2369">
        <v>1943</v>
      </c>
      <c r="AN15" s="2369">
        <v>1737</v>
      </c>
      <c r="AO15" s="2468">
        <v>775</v>
      </c>
      <c r="AP15" s="2468">
        <v>979</v>
      </c>
      <c r="AQ15" s="2359">
        <v>973</v>
      </c>
      <c r="AR15" s="2359">
        <v>915</v>
      </c>
      <c r="AS15" s="2359">
        <v>721</v>
      </c>
      <c r="AT15" s="2359">
        <v>608</v>
      </c>
      <c r="AU15" s="2359">
        <v>362</v>
      </c>
      <c r="AV15" s="2359"/>
      <c r="AW15" s="2403"/>
      <c r="AX15" s="2356" t="s">
        <v>2209</v>
      </c>
      <c r="AY15" s="2357">
        <v>1808</v>
      </c>
      <c r="AZ15" s="2357">
        <v>0</v>
      </c>
      <c r="BA15" s="2357">
        <v>48</v>
      </c>
      <c r="BB15" s="2468">
        <v>775</v>
      </c>
      <c r="BC15" s="2469">
        <f>BB15/AY15*100</f>
        <v>42.865044247787608</v>
      </c>
      <c r="BD15" s="2468">
        <v>979</v>
      </c>
      <c r="BE15" s="2469">
        <f>BD15/AY15*100</f>
        <v>54.148230088495573</v>
      </c>
      <c r="BF15" s="2468">
        <v>6</v>
      </c>
      <c r="BG15" s="2469">
        <f>BF15/AY15*100</f>
        <v>0.33185840707964603</v>
      </c>
      <c r="BH15" s="2357"/>
      <c r="BI15" s="2400"/>
      <c r="BJ15" s="2403"/>
      <c r="BK15" s="2403"/>
      <c r="BL15" s="2356" t="s">
        <v>2209</v>
      </c>
      <c r="BM15" s="2369">
        <v>1737</v>
      </c>
      <c r="BN15" s="2357">
        <v>5</v>
      </c>
      <c r="BO15" s="2357">
        <v>37</v>
      </c>
      <c r="BP15" s="2468">
        <v>721</v>
      </c>
      <c r="BQ15" s="2400">
        <v>42</v>
      </c>
      <c r="BR15" s="2468">
        <v>608</v>
      </c>
      <c r="BS15" s="2400">
        <v>35</v>
      </c>
      <c r="BT15" s="2468">
        <v>362</v>
      </c>
      <c r="BU15" s="2400">
        <v>21</v>
      </c>
      <c r="BV15" s="2357">
        <v>4</v>
      </c>
      <c r="BW15" s="2401">
        <f>BV15/BM15*100</f>
        <v>0.23028209556706969</v>
      </c>
      <c r="BX15" s="2400"/>
      <c r="BY15" s="2403"/>
      <c r="BZ15" s="2356" t="s">
        <v>2209</v>
      </c>
      <c r="CA15" s="2369">
        <v>3131</v>
      </c>
      <c r="CB15" s="2369">
        <v>1943</v>
      </c>
      <c r="CC15" s="2369">
        <v>872</v>
      </c>
      <c r="CD15" s="2434">
        <f>CC15/CB15*100</f>
        <v>44.879053010808029</v>
      </c>
      <c r="CE15" s="2369">
        <v>785</v>
      </c>
      <c r="CF15" s="2434">
        <f>CE15/CB15*100</f>
        <v>40.40144107050952</v>
      </c>
      <c r="CH15" s="2494"/>
      <c r="CJ15" s="2356" t="s">
        <v>2209</v>
      </c>
      <c r="CK15" s="2357">
        <v>1808</v>
      </c>
      <c r="CL15" s="770">
        <v>0</v>
      </c>
      <c r="CM15" s="2359">
        <v>313</v>
      </c>
      <c r="CN15" s="2359">
        <v>1479</v>
      </c>
      <c r="CO15" s="2401">
        <f>CN15/CK15*100</f>
        <v>81.803097345132741</v>
      </c>
      <c r="CP15" s="2471">
        <v>16</v>
      </c>
      <c r="CQ15" s="2401">
        <f>CP15/CK15*100</f>
        <v>0.88495575221238942</v>
      </c>
      <c r="CR15" s="2359"/>
      <c r="CS15" s="2401"/>
      <c r="CT15" s="2401"/>
      <c r="CU15" s="2401"/>
      <c r="CV15" s="2401"/>
      <c r="CW15" s="2401"/>
      <c r="CX15" s="2399" t="s">
        <v>4060</v>
      </c>
      <c r="CY15" s="2427" t="s">
        <v>4039</v>
      </c>
      <c r="CZ15" s="2357">
        <v>12143</v>
      </c>
      <c r="DA15" s="2357"/>
      <c r="DC15" s="2356" t="s">
        <v>2209</v>
      </c>
      <c r="DD15" s="2391">
        <v>17727</v>
      </c>
      <c r="DE15" s="2357">
        <v>1349</v>
      </c>
      <c r="DF15" s="2358">
        <f>SUM(DE15/DD15)*100</f>
        <v>7.609860664523044</v>
      </c>
      <c r="DG15" s="2357">
        <v>1187</v>
      </c>
      <c r="DH15" s="2358">
        <f>DG15/DD15*100</f>
        <v>6.6960004512889943</v>
      </c>
      <c r="DI15" s="2357">
        <v>957</v>
      </c>
      <c r="DJ15" s="2358">
        <f>DI15/DD15*100</f>
        <v>5.3985445929937388</v>
      </c>
      <c r="DM15" s="2357"/>
      <c r="DN15" s="2357"/>
      <c r="DO15" s="2399"/>
      <c r="DP15" s="2404"/>
      <c r="DQ15" s="2404"/>
      <c r="DR15" s="2357"/>
      <c r="DS15" s="2357"/>
      <c r="DU15" s="2356"/>
      <c r="DV15" s="2359"/>
      <c r="DW15" s="2357"/>
      <c r="DX15" s="2358"/>
      <c r="DY15" s="2357"/>
      <c r="DZ15" s="2358"/>
      <c r="EA15" s="2357"/>
      <c r="EB15" s="2358"/>
      <c r="EE15" s="2399"/>
      <c r="EF15" s="2404"/>
      <c r="EG15" s="2404"/>
      <c r="EH15" s="2357"/>
      <c r="EJ15" s="2403"/>
      <c r="EK15" s="2356"/>
      <c r="EL15" s="2357"/>
      <c r="EM15" s="2357"/>
      <c r="EN15" s="2358"/>
      <c r="EO15" s="2357"/>
      <c r="EP15" s="2358"/>
      <c r="EQ15" s="2357"/>
      <c r="ER15" s="2358"/>
      <c r="ES15" s="2358"/>
      <c r="EU15" s="2404"/>
      <c r="EV15" s="2404"/>
      <c r="EW15" s="2357"/>
      <c r="EX15" s="2356"/>
      <c r="EY15" s="2357"/>
      <c r="EZ15" s="2357"/>
      <c r="FA15" s="2357"/>
      <c r="FB15" s="2358"/>
      <c r="FC15" s="2357"/>
      <c r="FD15" s="2358"/>
      <c r="FE15" s="2357"/>
      <c r="FF15" s="2358"/>
      <c r="FG15" s="2400"/>
      <c r="FH15" s="2400"/>
      <c r="FI15" s="2357"/>
      <c r="FJ15" s="2358"/>
      <c r="FK15" s="2400"/>
      <c r="FL15" s="2400"/>
      <c r="FM15" s="2357"/>
      <c r="FN15" s="2400"/>
      <c r="FQ15" s="2399"/>
      <c r="FR15" s="2404"/>
      <c r="FS15" s="2404"/>
      <c r="FT15" s="2357"/>
      <c r="FX15" s="2356"/>
      <c r="FY15" s="2357"/>
      <c r="FZ15" s="2357"/>
      <c r="GA15" s="2357"/>
      <c r="GB15" s="2401"/>
      <c r="GC15" s="2357"/>
      <c r="GD15" s="2401"/>
      <c r="GE15" s="2357"/>
      <c r="GF15" s="2400"/>
    </row>
    <row r="16" spans="1:189" ht="12.95" customHeight="1">
      <c r="A16" s="2356" t="s">
        <v>2352</v>
      </c>
      <c r="B16" s="2369">
        <v>2997</v>
      </c>
      <c r="C16" s="2357">
        <v>1762</v>
      </c>
      <c r="D16" s="2357">
        <v>794</v>
      </c>
      <c r="E16" s="2400">
        <f>D16/C16*100</f>
        <v>45.062429057888764</v>
      </c>
      <c r="F16" s="2357">
        <v>756</v>
      </c>
      <c r="G16" s="2400">
        <f>F16/C16*100</f>
        <v>42.905788876276958</v>
      </c>
      <c r="H16" s="2357">
        <v>51</v>
      </c>
      <c r="I16" s="2400">
        <f>H16/C16*100</f>
        <v>2.8944381384790012</v>
      </c>
      <c r="L16" s="2403"/>
      <c r="M16" s="2356" t="s">
        <v>2352</v>
      </c>
      <c r="N16" s="2361" t="s">
        <v>4061</v>
      </c>
      <c r="O16" s="2369">
        <v>1924</v>
      </c>
      <c r="P16" s="2369">
        <v>2055</v>
      </c>
      <c r="Q16" s="2369">
        <v>1876</v>
      </c>
      <c r="R16" s="2359">
        <v>822</v>
      </c>
      <c r="S16" s="2359">
        <v>1062</v>
      </c>
      <c r="T16" s="2359">
        <v>516</v>
      </c>
      <c r="U16" s="2359">
        <v>1020</v>
      </c>
      <c r="V16" s="2359">
        <v>1190</v>
      </c>
      <c r="W16" s="2359">
        <v>607</v>
      </c>
      <c r="X16" s="2359"/>
      <c r="Z16" s="2356" t="s">
        <v>2209</v>
      </c>
      <c r="AA16" s="2369">
        <v>1943</v>
      </c>
      <c r="AB16" s="2359">
        <v>758</v>
      </c>
      <c r="AC16" s="2401">
        <f>AB16/AA16*100</f>
        <v>39.011837364899634</v>
      </c>
      <c r="AD16" s="2359">
        <v>1142</v>
      </c>
      <c r="AE16" s="2401">
        <f>AD16/AA16*100</f>
        <v>58.775090066906841</v>
      </c>
      <c r="AF16" s="2357">
        <v>43</v>
      </c>
      <c r="AG16" s="2401">
        <f>AF16/AA16*100</f>
        <v>2.2130725681935153</v>
      </c>
      <c r="AH16" s="2403"/>
      <c r="AI16" s="2403"/>
      <c r="AJ16" s="2359"/>
      <c r="AK16" s="2356" t="s">
        <v>2352</v>
      </c>
      <c r="AL16" s="2357">
        <v>1762</v>
      </c>
      <c r="AM16" s="2369">
        <v>1924</v>
      </c>
      <c r="AN16" s="2369">
        <v>1492</v>
      </c>
      <c r="AO16" s="2468">
        <v>729</v>
      </c>
      <c r="AP16" s="2468">
        <v>998</v>
      </c>
      <c r="AQ16" s="2359">
        <v>950</v>
      </c>
      <c r="AR16" s="2359">
        <v>950</v>
      </c>
      <c r="AS16" s="2359">
        <v>600</v>
      </c>
      <c r="AT16" s="2359">
        <v>538</v>
      </c>
      <c r="AU16" s="2359">
        <v>323</v>
      </c>
      <c r="AV16" s="2359"/>
      <c r="AW16" s="2403"/>
      <c r="AX16" s="2356" t="s">
        <v>2352</v>
      </c>
      <c r="AY16" s="2357">
        <v>1762</v>
      </c>
      <c r="AZ16" s="2357">
        <v>3</v>
      </c>
      <c r="BA16" s="2357">
        <v>26</v>
      </c>
      <c r="BB16" s="2468">
        <v>729</v>
      </c>
      <c r="BC16" s="2400">
        <f>BB16/AY16*100</f>
        <v>41.373439273552783</v>
      </c>
      <c r="BD16" s="2468">
        <v>998</v>
      </c>
      <c r="BE16" s="2469">
        <f>BD16/AY16*100</f>
        <v>56.640181611804763</v>
      </c>
      <c r="BF16" s="2468">
        <v>6</v>
      </c>
      <c r="BG16" s="2469">
        <f>BF16/AY16*100</f>
        <v>0.34052213393870601</v>
      </c>
      <c r="BH16" s="2357"/>
      <c r="BI16" s="2400"/>
      <c r="BJ16" s="2403"/>
      <c r="BK16" s="2403"/>
      <c r="BL16" s="2356" t="s">
        <v>2352</v>
      </c>
      <c r="BM16" s="2369">
        <v>1492</v>
      </c>
      <c r="BN16" s="2357">
        <v>3</v>
      </c>
      <c r="BO16" s="2357">
        <v>26</v>
      </c>
      <c r="BP16" s="2468">
        <v>600</v>
      </c>
      <c r="BQ16" s="2400">
        <v>40</v>
      </c>
      <c r="BR16" s="2468">
        <v>538</v>
      </c>
      <c r="BS16" s="2400">
        <v>36</v>
      </c>
      <c r="BT16" s="2468">
        <v>323</v>
      </c>
      <c r="BU16" s="2400">
        <v>22</v>
      </c>
      <c r="BV16" s="2357">
        <v>2</v>
      </c>
      <c r="BW16" s="2400">
        <f>BV16/BM16*100</f>
        <v>0.13404825737265416</v>
      </c>
      <c r="BX16" s="2400"/>
      <c r="BY16" s="2403"/>
      <c r="BZ16" s="2356" t="s">
        <v>2352</v>
      </c>
      <c r="CA16" s="2369">
        <v>2979</v>
      </c>
      <c r="CB16" s="2369">
        <v>1924</v>
      </c>
      <c r="CC16" s="2369">
        <v>851</v>
      </c>
      <c r="CD16" s="2434">
        <f>CC16/CB16*100</f>
        <v>44.230769230769226</v>
      </c>
      <c r="CE16" s="2369">
        <v>837</v>
      </c>
      <c r="CF16" s="2434">
        <f>CE16/CB16*100</f>
        <v>43.503118503118507</v>
      </c>
      <c r="CH16" s="2494"/>
      <c r="CJ16" s="2356" t="s">
        <v>2352</v>
      </c>
      <c r="CK16" s="2357">
        <v>1762</v>
      </c>
      <c r="CL16" s="2354">
        <v>1</v>
      </c>
      <c r="CM16" s="2359">
        <v>262</v>
      </c>
      <c r="CN16" s="2359">
        <v>1481</v>
      </c>
      <c r="CO16" s="2401">
        <f>CN16/CK16*100</f>
        <v>84.052213393870602</v>
      </c>
      <c r="CP16" s="2471">
        <v>18</v>
      </c>
      <c r="CQ16" s="2401">
        <f>CP16/CK16*100</f>
        <v>1.0215664018161181</v>
      </c>
      <c r="CR16" s="2359"/>
      <c r="CS16" s="2401"/>
      <c r="CT16" s="2401"/>
      <c r="CU16" s="2401"/>
      <c r="CV16" s="2401"/>
      <c r="CW16" s="2401"/>
      <c r="CX16" s="2399" t="s">
        <v>4062</v>
      </c>
      <c r="CY16" s="2427" t="s">
        <v>4036</v>
      </c>
      <c r="CZ16" s="2357">
        <v>12077</v>
      </c>
      <c r="DA16" s="2357"/>
      <c r="DC16" s="2356" t="s">
        <v>2352</v>
      </c>
      <c r="DD16" s="2391">
        <v>17874</v>
      </c>
      <c r="DE16" s="2357">
        <v>1173</v>
      </c>
      <c r="DF16" s="2358">
        <f>SUM(DE16/DD16)*100</f>
        <v>6.5626049009734819</v>
      </c>
      <c r="DG16" s="2357">
        <v>1040</v>
      </c>
      <c r="DH16" s="2358">
        <f>DG16/DD16*100</f>
        <v>5.8185073290813474</v>
      </c>
      <c r="DI16" s="2357">
        <v>1056</v>
      </c>
      <c r="DJ16" s="2358">
        <f>DI16/DD16*100</f>
        <v>5.9080228264518295</v>
      </c>
      <c r="DM16" s="2357"/>
      <c r="DN16" s="2357"/>
      <c r="DO16" s="2399"/>
      <c r="DP16" s="2404"/>
      <c r="DQ16" s="2404"/>
      <c r="DR16" s="2357"/>
      <c r="DS16" s="2357"/>
      <c r="DU16" s="2356"/>
      <c r="DV16" s="2359"/>
      <c r="DW16" s="2357"/>
      <c r="DX16" s="2358"/>
      <c r="DY16" s="2357"/>
      <c r="DZ16" s="2358"/>
      <c r="EA16" s="2357"/>
      <c r="EB16" s="2358"/>
      <c r="EE16" s="2399"/>
      <c r="EF16" s="2404"/>
      <c r="EG16" s="2404"/>
      <c r="EH16" s="2357"/>
      <c r="EJ16" s="2403"/>
      <c r="EK16" s="2356"/>
      <c r="EL16" s="2357"/>
      <c r="EM16" s="2357"/>
      <c r="EN16" s="2358"/>
      <c r="EO16" s="2357"/>
      <c r="EP16" s="2358"/>
      <c r="EQ16" s="2357"/>
      <c r="ER16" s="2358"/>
      <c r="ES16" s="2358"/>
      <c r="EU16" s="2404"/>
      <c r="EV16" s="2404"/>
      <c r="EW16" s="2357"/>
      <c r="EX16" s="2356"/>
      <c r="EY16" s="2357"/>
      <c r="EZ16" s="2357"/>
      <c r="FA16" s="2357"/>
      <c r="FB16" s="2358"/>
      <c r="FC16" s="2357"/>
      <c r="FD16" s="2358"/>
      <c r="FE16" s="2357"/>
      <c r="FF16" s="2358"/>
      <c r="FG16" s="2400"/>
      <c r="FH16" s="2400"/>
      <c r="FI16" s="2357"/>
      <c r="FJ16" s="2358"/>
      <c r="FK16" s="2400"/>
      <c r="FL16" s="2400"/>
      <c r="FM16" s="2357"/>
      <c r="FN16" s="2400"/>
      <c r="FQ16" s="2399"/>
      <c r="FR16" s="2404"/>
      <c r="FS16" s="2404"/>
      <c r="FT16" s="2357"/>
      <c r="FX16" s="2356"/>
      <c r="FY16" s="2357"/>
      <c r="FZ16" s="2357"/>
      <c r="GA16" s="2357"/>
      <c r="GB16" s="2401"/>
      <c r="GC16" s="2357"/>
      <c r="GD16" s="2401"/>
      <c r="GE16" s="2357"/>
      <c r="GF16" s="2400"/>
    </row>
    <row r="17" spans="1:188" ht="12.95" customHeight="1">
      <c r="A17" s="2356" t="s">
        <v>2261</v>
      </c>
      <c r="B17" s="2369">
        <v>1696</v>
      </c>
      <c r="C17" s="2357">
        <v>1012</v>
      </c>
      <c r="D17" s="2357">
        <v>483</v>
      </c>
      <c r="E17" s="2467">
        <f>D17/C17*100</f>
        <v>47.727272727272727</v>
      </c>
      <c r="F17" s="2357">
        <v>392</v>
      </c>
      <c r="G17" s="2467">
        <f>F17/C17*100</f>
        <v>38.735177865612648</v>
      </c>
      <c r="H17" s="2357">
        <v>41</v>
      </c>
      <c r="I17" s="2467">
        <f>H17/C17*100</f>
        <v>4.0513833992094863</v>
      </c>
      <c r="L17" s="2403"/>
      <c r="M17" s="2356" t="s">
        <v>2261</v>
      </c>
      <c r="N17" s="2361" t="s">
        <v>4063</v>
      </c>
      <c r="O17" s="2369">
        <v>1216</v>
      </c>
      <c r="P17" s="2369">
        <v>1397</v>
      </c>
      <c r="Q17" s="2369">
        <v>1456</v>
      </c>
      <c r="R17" s="2359">
        <v>472</v>
      </c>
      <c r="S17" s="2359">
        <v>725</v>
      </c>
      <c r="T17" s="2359">
        <v>384</v>
      </c>
      <c r="U17" s="2359">
        <v>765</v>
      </c>
      <c r="V17" s="2359">
        <v>914</v>
      </c>
      <c r="W17" s="2359">
        <v>461</v>
      </c>
      <c r="X17" s="2359"/>
      <c r="Z17" s="2356" t="s">
        <v>2352</v>
      </c>
      <c r="AA17" s="2369">
        <v>1924</v>
      </c>
      <c r="AB17" s="2359">
        <v>822</v>
      </c>
      <c r="AC17" s="2401">
        <f>AB17/AA17*100</f>
        <v>42.723492723492726</v>
      </c>
      <c r="AD17" s="2359">
        <v>1062</v>
      </c>
      <c r="AE17" s="2401">
        <f>AD17/AA17*100</f>
        <v>55.197505197505194</v>
      </c>
      <c r="AF17" s="2357">
        <v>40</v>
      </c>
      <c r="AG17" s="2401">
        <f>AF17/AA17*100</f>
        <v>2.0790020790020791</v>
      </c>
      <c r="AH17" s="2403"/>
      <c r="AI17" s="2403"/>
      <c r="AJ17" s="2359"/>
      <c r="AK17" s="2356" t="s">
        <v>2261</v>
      </c>
      <c r="AL17" s="2357">
        <v>1012</v>
      </c>
      <c r="AM17" s="2369">
        <v>1216</v>
      </c>
      <c r="AN17" s="2369">
        <v>1079</v>
      </c>
      <c r="AO17" s="2468">
        <v>407</v>
      </c>
      <c r="AP17" s="2468">
        <v>579</v>
      </c>
      <c r="AQ17" s="2359">
        <v>570</v>
      </c>
      <c r="AR17" s="2359">
        <v>570</v>
      </c>
      <c r="AS17" s="2359">
        <v>437</v>
      </c>
      <c r="AT17" s="2359">
        <v>387</v>
      </c>
      <c r="AU17" s="2359">
        <v>229</v>
      </c>
      <c r="AV17" s="2359"/>
      <c r="AW17" s="2403"/>
      <c r="AX17" s="2356" t="s">
        <v>2261</v>
      </c>
      <c r="AY17" s="2357">
        <v>1012</v>
      </c>
      <c r="AZ17" s="2357">
        <v>1</v>
      </c>
      <c r="BA17" s="2357">
        <v>16</v>
      </c>
      <c r="BB17" s="2468">
        <v>407</v>
      </c>
      <c r="BC17" s="2469">
        <f>BB17/AY17*100</f>
        <v>40.217391304347828</v>
      </c>
      <c r="BD17" s="2468">
        <v>579</v>
      </c>
      <c r="BE17" s="2469">
        <f>BD17/AY17*100</f>
        <v>57.213438735177867</v>
      </c>
      <c r="BF17" s="2468">
        <v>9</v>
      </c>
      <c r="BG17" s="2469">
        <f>BF17/AY17*100</f>
        <v>0.8893280632411068</v>
      </c>
      <c r="BH17" s="2357"/>
      <c r="BI17" s="2400"/>
      <c r="BJ17" s="2403"/>
      <c r="BK17" s="2403"/>
      <c r="BL17" s="2356" t="s">
        <v>2261</v>
      </c>
      <c r="BM17" s="2369">
        <v>1079</v>
      </c>
      <c r="BN17" s="2357">
        <v>3</v>
      </c>
      <c r="BO17" s="2357">
        <v>18</v>
      </c>
      <c r="BP17" s="2468">
        <v>437</v>
      </c>
      <c r="BQ17" s="2400">
        <v>41</v>
      </c>
      <c r="BR17" s="2468">
        <v>387</v>
      </c>
      <c r="BS17" s="2400">
        <v>36</v>
      </c>
      <c r="BT17" s="2468">
        <v>229</v>
      </c>
      <c r="BU17" s="2400">
        <v>21</v>
      </c>
      <c r="BV17" s="2357">
        <v>5</v>
      </c>
      <c r="BW17" s="2401">
        <f>BV17/BM17*100</f>
        <v>0.46339202965708987</v>
      </c>
      <c r="BX17" s="2400"/>
      <c r="BY17" s="2403"/>
      <c r="BZ17" s="2356" t="s">
        <v>2261</v>
      </c>
      <c r="CA17" s="2369">
        <v>1757</v>
      </c>
      <c r="CB17" s="2369">
        <v>1216</v>
      </c>
      <c r="CC17" s="2369">
        <v>591</v>
      </c>
      <c r="CD17" s="2434">
        <f>CC17/CB17*100</f>
        <v>48.601973684210527</v>
      </c>
      <c r="CE17" s="2369">
        <v>470</v>
      </c>
      <c r="CF17" s="2434">
        <f>CE17/CB17*100</f>
        <v>38.651315789473685</v>
      </c>
      <c r="CH17" s="2494"/>
      <c r="CJ17" s="2356" t="s">
        <v>2261</v>
      </c>
      <c r="CK17" s="2357">
        <v>1012</v>
      </c>
      <c r="CL17" s="2354">
        <v>0</v>
      </c>
      <c r="CM17" s="2359">
        <v>149</v>
      </c>
      <c r="CN17" s="2359">
        <v>858</v>
      </c>
      <c r="CO17" s="2401">
        <f>CN17/CK17*100</f>
        <v>84.782608695652172</v>
      </c>
      <c r="CP17" s="2471">
        <v>5</v>
      </c>
      <c r="CQ17" s="2401">
        <f>CP17/CK17*100</f>
        <v>0.49407114624505932</v>
      </c>
      <c r="CR17" s="2359"/>
      <c r="CS17" s="2401"/>
      <c r="CT17" s="2401"/>
      <c r="CU17" s="2401"/>
      <c r="CV17" s="2401"/>
      <c r="CW17" s="2401"/>
      <c r="CX17" s="2399" t="s">
        <v>4064</v>
      </c>
      <c r="CY17" s="2427" t="s">
        <v>4039</v>
      </c>
      <c r="CZ17" s="2357">
        <v>11627</v>
      </c>
      <c r="DA17" s="2357"/>
      <c r="DC17" s="2356" t="s">
        <v>2261</v>
      </c>
      <c r="DD17" s="2391">
        <v>10189</v>
      </c>
      <c r="DE17" s="2357">
        <v>676</v>
      </c>
      <c r="DF17" s="2358">
        <f>SUM(DE17/DD17)*100</f>
        <v>6.6346059475905381</v>
      </c>
      <c r="DG17" s="2357">
        <v>606</v>
      </c>
      <c r="DH17" s="2358">
        <f>DG17/DD17*100</f>
        <v>5.9475905388163701</v>
      </c>
      <c r="DI17" s="2357">
        <v>647</v>
      </c>
      <c r="DJ17" s="2358">
        <f>DI17/DD17*100</f>
        <v>6.3499852782412409</v>
      </c>
      <c r="DM17" s="2357"/>
      <c r="DN17" s="2357"/>
      <c r="DO17" s="2399"/>
      <c r="DP17" s="2404"/>
      <c r="DQ17" s="2404"/>
      <c r="DR17" s="2357"/>
      <c r="DS17" s="2357"/>
      <c r="DU17" s="2356"/>
      <c r="DV17" s="2359"/>
      <c r="DW17" s="2357"/>
      <c r="DX17" s="2358"/>
      <c r="DY17" s="2357"/>
      <c r="DZ17" s="2358"/>
      <c r="EA17" s="2357"/>
      <c r="EB17" s="2358"/>
      <c r="EE17" s="2399"/>
      <c r="EF17" s="2404"/>
      <c r="EG17" s="2404"/>
      <c r="EH17" s="2357"/>
      <c r="EJ17" s="2403"/>
      <c r="EK17" s="2356"/>
      <c r="EL17" s="2357"/>
      <c r="EM17" s="2357"/>
      <c r="EN17" s="2358"/>
      <c r="EO17" s="2357"/>
      <c r="EP17" s="2358"/>
      <c r="EQ17" s="2357"/>
      <c r="ER17" s="2358"/>
      <c r="ES17" s="2358"/>
      <c r="EU17" s="2404"/>
      <c r="EV17" s="2404"/>
      <c r="EW17" s="2357"/>
      <c r="EX17" s="2356"/>
      <c r="EY17" s="2357"/>
      <c r="EZ17" s="2357"/>
      <c r="FA17" s="2357"/>
      <c r="FB17" s="2358"/>
      <c r="FC17" s="2357"/>
      <c r="FD17" s="2358"/>
      <c r="FE17" s="2357"/>
      <c r="FF17" s="2358"/>
      <c r="FG17" s="2400"/>
      <c r="FH17" s="2400"/>
      <c r="FI17" s="2357"/>
      <c r="FJ17" s="2358"/>
      <c r="FK17" s="2400"/>
      <c r="FL17" s="2400"/>
      <c r="FM17" s="2357"/>
      <c r="FN17" s="2400"/>
      <c r="FQ17" s="2399"/>
      <c r="FR17" s="2404"/>
      <c r="FS17" s="2404"/>
      <c r="FT17" s="2357"/>
      <c r="FX17" s="2356"/>
      <c r="FY17" s="2357"/>
      <c r="FZ17" s="2357"/>
      <c r="GA17" s="2357"/>
      <c r="GB17" s="2401"/>
      <c r="GC17" s="2357"/>
      <c r="GD17" s="2401"/>
      <c r="GE17" s="2357"/>
      <c r="GF17" s="2400"/>
    </row>
    <row r="18" spans="1:188" ht="12.95" customHeight="1">
      <c r="A18" s="2356" t="s">
        <v>2251</v>
      </c>
      <c r="B18" s="2369">
        <v>1662</v>
      </c>
      <c r="C18" s="2357">
        <v>1117</v>
      </c>
      <c r="D18" s="2357">
        <v>505</v>
      </c>
      <c r="E18" s="2400">
        <f>D18/C18*100</f>
        <v>45.210384959713515</v>
      </c>
      <c r="F18" s="2357">
        <v>464</v>
      </c>
      <c r="G18" s="2400">
        <f>F18/C18*100</f>
        <v>41.539838854073416</v>
      </c>
      <c r="H18" s="2357">
        <v>37</v>
      </c>
      <c r="I18" s="2400">
        <f>H18/C18*100</f>
        <v>3.3124440465532681</v>
      </c>
      <c r="L18" s="2403"/>
      <c r="M18" s="2356" t="s">
        <v>2251</v>
      </c>
      <c r="N18" s="2361" t="s">
        <v>4065</v>
      </c>
      <c r="O18" s="2369">
        <v>1109</v>
      </c>
      <c r="P18" s="2369">
        <v>1218</v>
      </c>
      <c r="Q18" s="2369">
        <v>1391</v>
      </c>
      <c r="R18" s="2359">
        <v>450</v>
      </c>
      <c r="S18" s="2359">
        <v>651</v>
      </c>
      <c r="T18" s="2359">
        <v>242</v>
      </c>
      <c r="U18" s="2359">
        <v>664</v>
      </c>
      <c r="V18" s="2359">
        <v>749</v>
      </c>
      <c r="W18" s="2359">
        <v>587</v>
      </c>
      <c r="X18" s="2359"/>
      <c r="Z18" s="2356" t="s">
        <v>2261</v>
      </c>
      <c r="AA18" s="2369">
        <v>1216</v>
      </c>
      <c r="AB18" s="2359">
        <v>472</v>
      </c>
      <c r="AC18" s="2401">
        <f>AB18/AA18*100</f>
        <v>38.815789473684212</v>
      </c>
      <c r="AD18" s="2359">
        <v>725</v>
      </c>
      <c r="AE18" s="2401">
        <f>AD18/AA18*100</f>
        <v>59.621710526315788</v>
      </c>
      <c r="AF18" s="2357">
        <v>19</v>
      </c>
      <c r="AG18" s="2401">
        <f>AF18/AA18*100</f>
        <v>1.5625</v>
      </c>
      <c r="AH18" s="2403"/>
      <c r="AI18" s="2403"/>
      <c r="AJ18" s="2359"/>
      <c r="AK18" s="2356" t="s">
        <v>2251</v>
      </c>
      <c r="AL18" s="2357">
        <v>1117</v>
      </c>
      <c r="AM18" s="2369">
        <v>1109</v>
      </c>
      <c r="AN18" s="2369">
        <v>1126</v>
      </c>
      <c r="AO18" s="2468">
        <v>473</v>
      </c>
      <c r="AP18" s="2468">
        <v>615</v>
      </c>
      <c r="AQ18" s="2359">
        <v>575</v>
      </c>
      <c r="AR18" s="2359">
        <v>575</v>
      </c>
      <c r="AS18" s="2359">
        <v>467</v>
      </c>
      <c r="AT18" s="2359">
        <v>407</v>
      </c>
      <c r="AU18" s="2359">
        <v>232</v>
      </c>
      <c r="AV18" s="2359"/>
      <c r="AW18" s="2403"/>
      <c r="AX18" s="2356" t="s">
        <v>2251</v>
      </c>
      <c r="AY18" s="2357">
        <v>1117</v>
      </c>
      <c r="AZ18" s="2357">
        <v>0</v>
      </c>
      <c r="BA18" s="2357">
        <v>22</v>
      </c>
      <c r="BB18" s="2468">
        <v>473</v>
      </c>
      <c r="BC18" s="2400">
        <f>BB18/AY18*100</f>
        <v>42.345568487018795</v>
      </c>
      <c r="BD18" s="2468">
        <v>615</v>
      </c>
      <c r="BE18" s="2469">
        <f>BD18/AY18*100</f>
        <v>55.058191584601616</v>
      </c>
      <c r="BF18" s="2468">
        <v>7</v>
      </c>
      <c r="BG18" s="2469">
        <f>BF18/AY18*100</f>
        <v>0.62667860340196957</v>
      </c>
      <c r="BH18" s="2357"/>
      <c r="BI18" s="2400"/>
      <c r="BJ18" s="2403"/>
      <c r="BK18" s="2403"/>
      <c r="BL18" s="2356" t="s">
        <v>2251</v>
      </c>
      <c r="BM18" s="2369">
        <v>1126</v>
      </c>
      <c r="BN18" s="2357">
        <v>4</v>
      </c>
      <c r="BO18" s="2357">
        <v>16</v>
      </c>
      <c r="BP18" s="2468">
        <v>467</v>
      </c>
      <c r="BQ18" s="2400">
        <v>41</v>
      </c>
      <c r="BR18" s="2468">
        <v>407</v>
      </c>
      <c r="BS18" s="2400">
        <v>36</v>
      </c>
      <c r="BT18" s="2468">
        <v>232</v>
      </c>
      <c r="BU18" s="2400">
        <v>21</v>
      </c>
      <c r="BV18" s="2357">
        <v>0</v>
      </c>
      <c r="BW18" s="2400">
        <f>BV18/BM18*100</f>
        <v>0</v>
      </c>
      <c r="BX18" s="2400"/>
      <c r="BY18" s="2403"/>
      <c r="BZ18" s="2356" t="s">
        <v>2251</v>
      </c>
      <c r="CA18" s="2369">
        <v>1643</v>
      </c>
      <c r="CB18" s="2369">
        <v>1109</v>
      </c>
      <c r="CC18" s="2369">
        <v>512</v>
      </c>
      <c r="CD18" s="2434">
        <f>CC18/CB18*100</f>
        <v>46.167718665464378</v>
      </c>
      <c r="CE18" s="2369">
        <v>463</v>
      </c>
      <c r="CF18" s="2434">
        <f>CE18/CB18*100</f>
        <v>41.749323715058608</v>
      </c>
      <c r="CH18" s="2494"/>
      <c r="CJ18" s="2356" t="s">
        <v>2251</v>
      </c>
      <c r="CK18" s="2357">
        <v>1117</v>
      </c>
      <c r="CL18" s="2354">
        <v>0</v>
      </c>
      <c r="CM18" s="2359">
        <v>173</v>
      </c>
      <c r="CN18" s="2359">
        <v>931</v>
      </c>
      <c r="CO18" s="2401">
        <f>CN18/CK18*100</f>
        <v>83.348254252461956</v>
      </c>
      <c r="CP18" s="2471">
        <v>13</v>
      </c>
      <c r="CQ18" s="2401">
        <f>CP18/CK18*100</f>
        <v>1.1638316920322291</v>
      </c>
      <c r="CR18" s="2359"/>
      <c r="CS18" s="2401"/>
      <c r="CT18" s="2401"/>
      <c r="CU18" s="2401"/>
      <c r="CV18" s="2401"/>
      <c r="CW18" s="2401"/>
      <c r="CX18" s="2453" t="s">
        <v>4066</v>
      </c>
      <c r="CY18" s="2452" t="s">
        <v>4039</v>
      </c>
      <c r="CZ18" s="2366">
        <v>11526</v>
      </c>
      <c r="DA18" s="2357"/>
      <c r="DC18" s="2356" t="s">
        <v>2251</v>
      </c>
      <c r="DD18" s="2391">
        <v>10709</v>
      </c>
      <c r="DE18" s="2357">
        <v>752</v>
      </c>
      <c r="DF18" s="2358">
        <f>SUM(DE18/DD18)*100</f>
        <v>7.0221309179195073</v>
      </c>
      <c r="DG18" s="2357">
        <v>659</v>
      </c>
      <c r="DH18" s="2358">
        <f>DG18/DD18*100</f>
        <v>6.1537024932299937</v>
      </c>
      <c r="DI18" s="2357">
        <v>685</v>
      </c>
      <c r="DJ18" s="2358">
        <f>DI18/DD18*100</f>
        <v>6.3964889345410407</v>
      </c>
      <c r="DM18" s="2357"/>
      <c r="DN18" s="2357"/>
      <c r="DO18" s="2399"/>
      <c r="DP18" s="2404"/>
      <c r="DQ18" s="2404"/>
      <c r="DR18" s="2357"/>
      <c r="DS18" s="2357"/>
      <c r="DU18" s="2356"/>
      <c r="DV18" s="2359"/>
      <c r="DW18" s="2357"/>
      <c r="DX18" s="2358"/>
      <c r="DY18" s="2357"/>
      <c r="DZ18" s="2358"/>
      <c r="EA18" s="2357"/>
      <c r="EB18" s="2358"/>
      <c r="EE18" s="2399"/>
      <c r="EF18" s="2404"/>
      <c r="EG18" s="2404"/>
      <c r="EH18" s="2357"/>
      <c r="EJ18" s="2403"/>
      <c r="EK18" s="2356"/>
      <c r="EL18" s="2357"/>
      <c r="EM18" s="2357"/>
      <c r="EN18" s="2358"/>
      <c r="EO18" s="2357"/>
      <c r="EP18" s="2358"/>
      <c r="EQ18" s="2357"/>
      <c r="ER18" s="2358"/>
      <c r="ES18" s="2358"/>
      <c r="EU18" s="2404"/>
      <c r="EV18" s="2404"/>
      <c r="EW18" s="2357"/>
      <c r="EX18" s="2356"/>
      <c r="EY18" s="2357"/>
      <c r="EZ18" s="2357"/>
      <c r="FA18" s="2357"/>
      <c r="FB18" s="2358"/>
      <c r="FC18" s="2357"/>
      <c r="FD18" s="2358"/>
      <c r="FE18" s="2357"/>
      <c r="FF18" s="2358"/>
      <c r="FG18" s="2400"/>
      <c r="FH18" s="2400"/>
      <c r="FI18" s="2357"/>
      <c r="FJ18" s="2358"/>
      <c r="FK18" s="2400"/>
      <c r="FL18" s="2400"/>
      <c r="FM18" s="2357"/>
      <c r="FN18" s="2400"/>
      <c r="FQ18" s="2399"/>
      <c r="FR18" s="2404"/>
      <c r="FS18" s="2404"/>
      <c r="FT18" s="2357"/>
      <c r="FX18" s="2356"/>
      <c r="FY18" s="2357"/>
      <c r="FZ18" s="2357"/>
      <c r="GA18" s="2357"/>
      <c r="GB18" s="2401"/>
      <c r="GC18" s="2357"/>
      <c r="GD18" s="2401"/>
      <c r="GE18" s="2357"/>
      <c r="GF18" s="2400"/>
    </row>
    <row r="19" spans="1:188" ht="12.95" customHeight="1">
      <c r="A19" s="2356" t="s">
        <v>4067</v>
      </c>
      <c r="B19" s="2369">
        <v>2393</v>
      </c>
      <c r="C19" s="2357">
        <v>1175</v>
      </c>
      <c r="D19" s="2357">
        <v>526</v>
      </c>
      <c r="E19" s="2467">
        <f>D19/C19*100</f>
        <v>44.765957446808514</v>
      </c>
      <c r="F19" s="2357">
        <v>521</v>
      </c>
      <c r="G19" s="2467">
        <f>F19/C19*100</f>
        <v>44.340425531914896</v>
      </c>
      <c r="H19" s="2357">
        <v>30</v>
      </c>
      <c r="I19" s="2467">
        <f>H19/C19*100</f>
        <v>2.5531914893617018</v>
      </c>
      <c r="L19" s="2403"/>
      <c r="M19" s="2356" t="s">
        <v>2260</v>
      </c>
      <c r="N19" s="2361" t="s">
        <v>4068</v>
      </c>
      <c r="O19" s="2369">
        <v>1430</v>
      </c>
      <c r="P19" s="2369">
        <v>1608</v>
      </c>
      <c r="Q19" s="2369">
        <v>1516</v>
      </c>
      <c r="R19" s="2359">
        <v>672</v>
      </c>
      <c r="S19" s="2359">
        <v>743</v>
      </c>
      <c r="T19" s="2359">
        <v>502</v>
      </c>
      <c r="U19" s="2359">
        <v>759</v>
      </c>
      <c r="V19" s="2359">
        <v>1036</v>
      </c>
      <c r="W19" s="2359">
        <v>408</v>
      </c>
      <c r="X19" s="2359"/>
      <c r="Z19" s="2356" t="s">
        <v>2251</v>
      </c>
      <c r="AA19" s="2369">
        <v>1109</v>
      </c>
      <c r="AB19" s="2359">
        <v>450</v>
      </c>
      <c r="AC19" s="2401">
        <f>AB19/AA19*100</f>
        <v>40.5770964833183</v>
      </c>
      <c r="AD19" s="2359">
        <v>651</v>
      </c>
      <c r="AE19" s="2401">
        <f>AD19/AA19*100</f>
        <v>58.701532912533814</v>
      </c>
      <c r="AF19" s="2357">
        <v>8</v>
      </c>
      <c r="AG19" s="2401">
        <f>AF19/AA19*100</f>
        <v>0.7213706041478809</v>
      </c>
      <c r="AH19" s="2403"/>
      <c r="AI19" s="2403"/>
      <c r="AJ19" s="2359"/>
      <c r="AK19" s="2356" t="s">
        <v>2260</v>
      </c>
      <c r="AL19" s="2357">
        <v>1175</v>
      </c>
      <c r="AM19" s="2369">
        <v>1430</v>
      </c>
      <c r="AN19" s="2369">
        <v>1183</v>
      </c>
      <c r="AO19" s="2468">
        <v>498</v>
      </c>
      <c r="AP19" s="2468">
        <v>656</v>
      </c>
      <c r="AQ19" s="2359">
        <v>763</v>
      </c>
      <c r="AR19" s="2359">
        <v>763</v>
      </c>
      <c r="AS19" s="2359">
        <v>486</v>
      </c>
      <c r="AT19" s="2359">
        <v>415</v>
      </c>
      <c r="AU19" s="2359">
        <v>257</v>
      </c>
      <c r="AV19" s="2359"/>
      <c r="AW19" s="2403"/>
      <c r="AX19" s="2356" t="s">
        <v>2260</v>
      </c>
      <c r="AY19" s="2357">
        <v>1175</v>
      </c>
      <c r="AZ19" s="2357">
        <v>3</v>
      </c>
      <c r="BA19" s="2357">
        <v>12</v>
      </c>
      <c r="BB19" s="2468">
        <v>498</v>
      </c>
      <c r="BC19" s="2469">
        <f>BB19/AY19*100</f>
        <v>42.382978723404257</v>
      </c>
      <c r="BD19" s="2468">
        <v>656</v>
      </c>
      <c r="BE19" s="2469">
        <f>BD19/AY19*100</f>
        <v>55.829787234042549</v>
      </c>
      <c r="BF19" s="2468">
        <v>6</v>
      </c>
      <c r="BG19" s="2469">
        <f>BF19/AY19*100</f>
        <v>0.51063829787234039</v>
      </c>
      <c r="BH19" s="2357"/>
      <c r="BI19" s="2400"/>
      <c r="BJ19" s="2403"/>
      <c r="BK19" s="2403"/>
      <c r="BL19" s="2356" t="s">
        <v>2260</v>
      </c>
      <c r="BM19" s="2369">
        <v>1183</v>
      </c>
      <c r="BN19" s="2357">
        <v>8</v>
      </c>
      <c r="BO19" s="2357">
        <v>13</v>
      </c>
      <c r="BP19" s="2468">
        <v>486</v>
      </c>
      <c r="BQ19" s="2400">
        <v>41</v>
      </c>
      <c r="BR19" s="2468">
        <v>415</v>
      </c>
      <c r="BS19" s="2400">
        <v>35</v>
      </c>
      <c r="BT19" s="2468">
        <v>257</v>
      </c>
      <c r="BU19" s="2400">
        <v>22</v>
      </c>
      <c r="BV19" s="2357">
        <v>4</v>
      </c>
      <c r="BW19" s="2401">
        <f>BV19/BM19*100</f>
        <v>0.33812341504649196</v>
      </c>
      <c r="BX19" s="2400"/>
      <c r="BY19" s="2403"/>
      <c r="BZ19" s="2356" t="s">
        <v>2260</v>
      </c>
      <c r="CA19" s="2369">
        <v>2408</v>
      </c>
      <c r="CB19" s="2369">
        <v>1430</v>
      </c>
      <c r="CC19" s="2369">
        <v>646</v>
      </c>
      <c r="CD19" s="2434">
        <f>CC19/CB19*100</f>
        <v>45.174825174825173</v>
      </c>
      <c r="CE19" s="2369">
        <v>619</v>
      </c>
      <c r="CF19" s="2434">
        <f>CE19/CB19*100</f>
        <v>43.286713286713287</v>
      </c>
      <c r="CH19" s="2494"/>
      <c r="CJ19" s="2356" t="s">
        <v>2260</v>
      </c>
      <c r="CK19" s="2357">
        <v>1175</v>
      </c>
      <c r="CL19" s="2354">
        <v>2</v>
      </c>
      <c r="CM19" s="2359">
        <v>155</v>
      </c>
      <c r="CN19" s="2359">
        <v>1005</v>
      </c>
      <c r="CO19" s="2401">
        <f>CN19/CK19*100</f>
        <v>85.531914893617028</v>
      </c>
      <c r="CP19" s="2471">
        <v>13</v>
      </c>
      <c r="CQ19" s="2401">
        <f>CP19/CK19*100</f>
        <v>1.1063829787234043</v>
      </c>
      <c r="CR19" s="2359"/>
      <c r="CS19" s="2401"/>
      <c r="CT19" s="2401"/>
      <c r="CU19" s="2401"/>
      <c r="CV19" s="2401"/>
      <c r="CW19" s="2401"/>
      <c r="CX19" s="2356" t="s">
        <v>4069</v>
      </c>
      <c r="CY19" s="2356"/>
      <c r="CZ19" s="2356"/>
      <c r="DA19" s="2356"/>
      <c r="DC19" s="2356" t="s">
        <v>2260</v>
      </c>
      <c r="DD19" s="2391">
        <v>12037</v>
      </c>
      <c r="DE19" s="2357">
        <v>788</v>
      </c>
      <c r="DF19" s="2358">
        <f>SUM(DE19/DD19)*100</f>
        <v>6.5464816814820974</v>
      </c>
      <c r="DG19" s="2357">
        <v>711</v>
      </c>
      <c r="DH19" s="2358">
        <f>DG19/DD19*100</f>
        <v>5.9067874054997089</v>
      </c>
      <c r="DI19" s="2357">
        <v>727</v>
      </c>
      <c r="DJ19" s="2358">
        <f>DI19/DD19*100</f>
        <v>6.0397108914181281</v>
      </c>
      <c r="DM19" s="2356"/>
      <c r="DN19" s="2356"/>
      <c r="DO19" s="2356"/>
      <c r="DP19" s="2356"/>
      <c r="DQ19" s="2356"/>
      <c r="DR19" s="2356"/>
      <c r="DS19" s="2356"/>
      <c r="DU19" s="2356"/>
      <c r="DV19" s="2359"/>
      <c r="DW19" s="2357"/>
      <c r="DX19" s="2358"/>
      <c r="DY19" s="2357"/>
      <c r="DZ19" s="2358"/>
      <c r="EA19" s="2357"/>
      <c r="EB19" s="2358"/>
      <c r="EE19" s="2356"/>
      <c r="EF19" s="2356"/>
      <c r="EG19" s="2356"/>
      <c r="EH19" s="2356"/>
      <c r="EJ19" s="2403"/>
      <c r="EK19" s="2356"/>
      <c r="EL19" s="2357"/>
      <c r="EM19" s="2357"/>
      <c r="EN19" s="2358"/>
      <c r="EO19" s="2357"/>
      <c r="EP19" s="2358"/>
      <c r="EQ19" s="2357"/>
      <c r="ER19" s="2358"/>
      <c r="ES19" s="2358"/>
      <c r="EU19" s="2356"/>
      <c r="EV19" s="2356"/>
      <c r="EW19" s="2357"/>
      <c r="EX19" s="2356"/>
      <c r="EY19" s="2357"/>
      <c r="EZ19" s="2357"/>
      <c r="FA19" s="2357"/>
      <c r="FB19" s="2358"/>
      <c r="FC19" s="2357"/>
      <c r="FD19" s="2358"/>
      <c r="FE19" s="2357"/>
      <c r="FF19" s="2358"/>
      <c r="FG19" s="2400"/>
      <c r="FH19" s="2400"/>
      <c r="FI19" s="2357"/>
      <c r="FJ19" s="2358"/>
      <c r="FK19" s="2400"/>
      <c r="FL19" s="2400"/>
      <c r="FM19" s="2357"/>
      <c r="FN19" s="2400"/>
      <c r="FQ19" s="2399"/>
      <c r="FR19" s="2356"/>
      <c r="FS19" s="2356"/>
      <c r="FT19" s="2356"/>
      <c r="FX19" s="2356"/>
      <c r="FY19" s="2357"/>
      <c r="FZ19" s="2357"/>
      <c r="GA19" s="2357"/>
      <c r="GB19" s="2401"/>
      <c r="GC19" s="2357"/>
      <c r="GD19" s="2401"/>
      <c r="GE19" s="2357"/>
      <c r="GF19" s="2400"/>
    </row>
    <row r="20" spans="1:188" ht="12.95" customHeight="1">
      <c r="A20" s="2356" t="s">
        <v>2253</v>
      </c>
      <c r="B20" s="2369">
        <v>4092</v>
      </c>
      <c r="C20" s="2357">
        <v>2173</v>
      </c>
      <c r="D20" s="2357">
        <v>962</v>
      </c>
      <c r="E20" s="2400">
        <f>D20/C20*100</f>
        <v>44.270593649332717</v>
      </c>
      <c r="F20" s="2357">
        <v>942</v>
      </c>
      <c r="G20" s="2400">
        <f>F20/C20*100</f>
        <v>43.350207086976525</v>
      </c>
      <c r="H20" s="2357">
        <v>66</v>
      </c>
      <c r="I20" s="2400">
        <f>H20/C20*100</f>
        <v>3.0372756557754257</v>
      </c>
      <c r="L20" s="2403"/>
      <c r="M20" s="2356" t="s">
        <v>2253</v>
      </c>
      <c r="N20" s="2361" t="s">
        <v>4070</v>
      </c>
      <c r="O20" s="2369">
        <v>2454</v>
      </c>
      <c r="P20" s="2369">
        <v>2535</v>
      </c>
      <c r="Q20" s="2369">
        <v>2562</v>
      </c>
      <c r="R20" s="2359">
        <v>1084</v>
      </c>
      <c r="S20" s="2359">
        <v>1328</v>
      </c>
      <c r="T20" s="2359">
        <v>638</v>
      </c>
      <c r="U20" s="2359">
        <v>1257</v>
      </c>
      <c r="V20" s="2359">
        <v>1678</v>
      </c>
      <c r="W20" s="2359">
        <v>761</v>
      </c>
      <c r="X20" s="2359"/>
      <c r="Z20" s="2356" t="s">
        <v>2260</v>
      </c>
      <c r="AA20" s="2369">
        <v>1430</v>
      </c>
      <c r="AB20" s="2359">
        <v>672</v>
      </c>
      <c r="AC20" s="2401">
        <f>AB20/AA20*100</f>
        <v>46.993006993006993</v>
      </c>
      <c r="AD20" s="2359">
        <v>743</v>
      </c>
      <c r="AE20" s="2401">
        <f>AD20/AA20*100</f>
        <v>51.958041958041953</v>
      </c>
      <c r="AF20" s="2357">
        <v>15</v>
      </c>
      <c r="AG20" s="2401">
        <f>AF20/AA20*100</f>
        <v>1.048951048951049</v>
      </c>
      <c r="AH20" s="2403"/>
      <c r="AI20" s="2403"/>
      <c r="AJ20" s="2359"/>
      <c r="AK20" s="2356" t="s">
        <v>2253</v>
      </c>
      <c r="AL20" s="2357">
        <v>2173</v>
      </c>
      <c r="AM20" s="2369">
        <v>2454</v>
      </c>
      <c r="AN20" s="2369">
        <v>1914</v>
      </c>
      <c r="AO20" s="2468">
        <v>940</v>
      </c>
      <c r="AP20" s="2468">
        <v>1183</v>
      </c>
      <c r="AQ20" s="2359">
        <v>1298</v>
      </c>
      <c r="AR20" s="2359">
        <v>1298</v>
      </c>
      <c r="AS20" s="2359">
        <v>686</v>
      </c>
      <c r="AT20" s="2359">
        <v>611</v>
      </c>
      <c r="AU20" s="2359">
        <v>587</v>
      </c>
      <c r="AV20" s="2359"/>
      <c r="AW20" s="2403"/>
      <c r="AX20" s="2356" t="s">
        <v>2253</v>
      </c>
      <c r="AY20" s="2357">
        <v>2173</v>
      </c>
      <c r="AZ20" s="2357">
        <v>4</v>
      </c>
      <c r="BA20" s="2357">
        <v>37</v>
      </c>
      <c r="BB20" s="2468">
        <v>940</v>
      </c>
      <c r="BC20" s="2400">
        <f>BB20/AY20*100</f>
        <v>43.258168430740909</v>
      </c>
      <c r="BD20" s="2468">
        <v>1183</v>
      </c>
      <c r="BE20" s="2469">
        <f>BD20/AY20*100</f>
        <v>54.440865163368613</v>
      </c>
      <c r="BF20" s="2468">
        <v>9</v>
      </c>
      <c r="BG20" s="2469">
        <f>BF20/AY20*100</f>
        <v>0.41417395306028537</v>
      </c>
      <c r="BH20" s="2357"/>
      <c r="BI20" s="2400"/>
      <c r="BJ20" s="2403"/>
      <c r="BK20" s="2403"/>
      <c r="BL20" s="2356" t="s">
        <v>2253</v>
      </c>
      <c r="BM20" s="2369">
        <v>1914</v>
      </c>
      <c r="BN20" s="2357">
        <v>8</v>
      </c>
      <c r="BO20" s="2357">
        <v>19</v>
      </c>
      <c r="BP20" s="2468">
        <v>686</v>
      </c>
      <c r="BQ20" s="2400">
        <v>36</v>
      </c>
      <c r="BR20" s="2468">
        <v>611</v>
      </c>
      <c r="BS20" s="2400">
        <v>32</v>
      </c>
      <c r="BT20" s="2468">
        <v>587</v>
      </c>
      <c r="BU20" s="2400">
        <v>31</v>
      </c>
      <c r="BV20" s="2357">
        <v>3</v>
      </c>
      <c r="BW20" s="2400">
        <f>BV20/BM20*100</f>
        <v>0.15673981191222569</v>
      </c>
      <c r="BX20" s="2400"/>
      <c r="BY20" s="2403"/>
      <c r="BZ20" s="2356" t="s">
        <v>2253</v>
      </c>
      <c r="CA20" s="2369">
        <v>3977</v>
      </c>
      <c r="CB20" s="2369">
        <v>2454</v>
      </c>
      <c r="CC20" s="2369">
        <v>1137</v>
      </c>
      <c r="CD20" s="2434">
        <f>CC20/CB20*100</f>
        <v>46.33251833740831</v>
      </c>
      <c r="CE20" s="2369">
        <v>1018</v>
      </c>
      <c r="CF20" s="2434">
        <f>CE20/CB20*100</f>
        <v>41.483292583537086</v>
      </c>
      <c r="CH20" s="2494"/>
      <c r="CJ20" s="2356" t="s">
        <v>2253</v>
      </c>
      <c r="CK20" s="2357">
        <v>2173</v>
      </c>
      <c r="CL20" s="2354">
        <v>1</v>
      </c>
      <c r="CM20" s="2359">
        <v>340</v>
      </c>
      <c r="CN20" s="2359">
        <v>1811</v>
      </c>
      <c r="CO20" s="2401">
        <f>CN20/CK20*100</f>
        <v>83.341003221352977</v>
      </c>
      <c r="CP20" s="2471">
        <v>21</v>
      </c>
      <c r="CQ20" s="2401">
        <f>CP20/CK20*100</f>
        <v>0.96640589047399905</v>
      </c>
      <c r="CR20" s="2359"/>
      <c r="CS20" s="2401"/>
      <c r="CT20" s="2401"/>
      <c r="CU20" s="2401"/>
      <c r="CV20" s="2401"/>
      <c r="CW20" s="2401"/>
      <c r="DC20" s="2356" t="s">
        <v>2253</v>
      </c>
      <c r="DD20" s="2391">
        <v>21729</v>
      </c>
      <c r="DE20" s="2357">
        <v>1438</v>
      </c>
      <c r="DF20" s="2358">
        <f>SUM(DE20/DD20)*100</f>
        <v>6.6178839339132027</v>
      </c>
      <c r="DG20" s="2357">
        <v>1283</v>
      </c>
      <c r="DH20" s="2358">
        <f>DG20/DD20*100</f>
        <v>5.9045515210087895</v>
      </c>
      <c r="DI20" s="2357">
        <v>1235</v>
      </c>
      <c r="DJ20" s="2358">
        <f>DI20/DD20*100</f>
        <v>5.6836485802383905</v>
      </c>
      <c r="DU20" s="2356"/>
      <c r="DV20" s="2359"/>
      <c r="DW20" s="2357"/>
      <c r="DX20" s="2358"/>
      <c r="DY20" s="2357"/>
      <c r="DZ20" s="2358"/>
      <c r="EA20" s="2357"/>
      <c r="EB20" s="2358"/>
      <c r="EJ20" s="2403"/>
      <c r="EK20" s="2356"/>
      <c r="EL20" s="2357"/>
      <c r="EM20" s="2357"/>
      <c r="EN20" s="2358"/>
      <c r="EO20" s="2357"/>
      <c r="EP20" s="2358"/>
      <c r="EQ20" s="2357"/>
      <c r="ER20" s="2358"/>
      <c r="ES20" s="2358"/>
      <c r="EW20" s="2357"/>
      <c r="EX20" s="2356"/>
      <c r="EY20" s="2357"/>
      <c r="EZ20" s="2357"/>
      <c r="FA20" s="2357"/>
      <c r="FB20" s="2358"/>
      <c r="FC20" s="2357"/>
      <c r="FD20" s="2358"/>
      <c r="FE20" s="2357"/>
      <c r="FF20" s="2358"/>
      <c r="FG20" s="2400"/>
      <c r="FH20" s="2400"/>
      <c r="FI20" s="2357"/>
      <c r="FJ20" s="2358"/>
      <c r="FK20" s="2400"/>
      <c r="FL20" s="2400"/>
      <c r="FM20" s="2357"/>
      <c r="FN20" s="2400"/>
      <c r="FX20" s="2356"/>
      <c r="FY20" s="2357"/>
      <c r="FZ20" s="2357"/>
      <c r="GA20" s="2357"/>
      <c r="GB20" s="2401"/>
      <c r="GC20" s="2357"/>
      <c r="GD20" s="2401"/>
      <c r="GE20" s="2357"/>
      <c r="GF20" s="2400"/>
    </row>
    <row r="21" spans="1:188" ht="12.95" customHeight="1">
      <c r="A21" s="2356" t="s">
        <v>2185</v>
      </c>
      <c r="B21" s="2369">
        <v>5482</v>
      </c>
      <c r="C21" s="2357">
        <v>2607</v>
      </c>
      <c r="D21" s="2357">
        <v>1180</v>
      </c>
      <c r="E21" s="2467">
        <f>D21/C21*100</f>
        <v>45.262754123513616</v>
      </c>
      <c r="F21" s="2357">
        <v>1139</v>
      </c>
      <c r="G21" s="2467">
        <f>F21/C21*100</f>
        <v>43.690065209052555</v>
      </c>
      <c r="H21" s="2357">
        <v>73</v>
      </c>
      <c r="I21" s="2467">
        <f>H21/C21*100</f>
        <v>2.8001534330648252</v>
      </c>
      <c r="L21" s="2403"/>
      <c r="M21" s="2356" t="s">
        <v>2185</v>
      </c>
      <c r="N21" s="2361" t="s">
        <v>4071</v>
      </c>
      <c r="O21" s="2369">
        <v>2926</v>
      </c>
      <c r="P21" s="2369">
        <v>2952</v>
      </c>
      <c r="Q21" s="2369">
        <v>2737</v>
      </c>
      <c r="R21" s="2359">
        <v>1371</v>
      </c>
      <c r="S21" s="2359">
        <v>1495</v>
      </c>
      <c r="T21" s="2359">
        <v>699</v>
      </c>
      <c r="U21" s="2359">
        <v>1422</v>
      </c>
      <c r="V21" s="2359">
        <v>1691</v>
      </c>
      <c r="W21" s="2359">
        <v>906</v>
      </c>
      <c r="X21" s="2359"/>
      <c r="Z21" s="2356" t="s">
        <v>2253</v>
      </c>
      <c r="AA21" s="2369">
        <v>2454</v>
      </c>
      <c r="AB21" s="2359">
        <v>1084</v>
      </c>
      <c r="AC21" s="2401">
        <f>AB21/AA21*100</f>
        <v>44.172779136104317</v>
      </c>
      <c r="AD21" s="2359">
        <v>1328</v>
      </c>
      <c r="AE21" s="2401">
        <f>AD21/AA21*100</f>
        <v>54.115729421352896</v>
      </c>
      <c r="AF21" s="2357">
        <v>42</v>
      </c>
      <c r="AG21" s="2401">
        <f>AF21/AA21*100</f>
        <v>1.7114914425427872</v>
      </c>
      <c r="AH21" s="2403"/>
      <c r="AI21" s="2403"/>
      <c r="AJ21" s="2359"/>
      <c r="AK21" s="2356" t="s">
        <v>2185</v>
      </c>
      <c r="AL21" s="2357">
        <v>2607</v>
      </c>
      <c r="AM21" s="2369">
        <v>2926</v>
      </c>
      <c r="AN21" s="2369">
        <v>2411</v>
      </c>
      <c r="AO21" s="2468">
        <v>1116</v>
      </c>
      <c r="AP21" s="2468">
        <v>1424</v>
      </c>
      <c r="AQ21" s="2359">
        <v>1516</v>
      </c>
      <c r="AR21" s="2359">
        <v>1516</v>
      </c>
      <c r="AS21" s="2359">
        <v>1007</v>
      </c>
      <c r="AT21" s="2359">
        <v>789</v>
      </c>
      <c r="AU21" s="2359">
        <v>537</v>
      </c>
      <c r="AV21" s="2359"/>
      <c r="AW21" s="2403"/>
      <c r="AX21" s="2356" t="s">
        <v>2185</v>
      </c>
      <c r="AY21" s="2357">
        <v>2607</v>
      </c>
      <c r="AZ21" s="2357">
        <v>5</v>
      </c>
      <c r="BA21" s="2357">
        <v>48</v>
      </c>
      <c r="BB21" s="2468">
        <v>1116</v>
      </c>
      <c r="BC21" s="2469">
        <f>BB21/AY21*100</f>
        <v>42.807825086306103</v>
      </c>
      <c r="BD21" s="2468">
        <v>1424</v>
      </c>
      <c r="BE21" s="2469">
        <f>BD21/AY21*100</f>
        <v>54.622171077867279</v>
      </c>
      <c r="BF21" s="2468">
        <v>14</v>
      </c>
      <c r="BG21" s="2469">
        <f>BF21/AY21*100</f>
        <v>0.53701572688914456</v>
      </c>
      <c r="BH21" s="2357"/>
      <c r="BI21" s="2400"/>
      <c r="BJ21" s="2403"/>
      <c r="BK21" s="2403"/>
      <c r="BL21" s="2356" t="s">
        <v>2185</v>
      </c>
      <c r="BM21" s="2369">
        <v>2411</v>
      </c>
      <c r="BN21" s="2357">
        <v>13</v>
      </c>
      <c r="BO21" s="2357">
        <v>61</v>
      </c>
      <c r="BP21" s="2468">
        <v>1007</v>
      </c>
      <c r="BQ21" s="2400">
        <v>42</v>
      </c>
      <c r="BR21" s="2468">
        <v>789</v>
      </c>
      <c r="BS21" s="2400">
        <v>33</v>
      </c>
      <c r="BT21" s="2468">
        <v>537</v>
      </c>
      <c r="BU21" s="2400">
        <v>22</v>
      </c>
      <c r="BV21" s="2357">
        <v>4</v>
      </c>
      <c r="BW21" s="2401">
        <f>BV21/BM21*100</f>
        <v>0.16590626296142677</v>
      </c>
      <c r="BX21" s="2400"/>
      <c r="BY21" s="2403"/>
      <c r="BZ21" s="2356" t="s">
        <v>2185</v>
      </c>
      <c r="CA21" s="2369">
        <v>5233</v>
      </c>
      <c r="CB21" s="2369">
        <v>2926</v>
      </c>
      <c r="CC21" s="2369">
        <v>1309</v>
      </c>
      <c r="CD21" s="2434">
        <f>CC21/CB21*100</f>
        <v>44.736842105263158</v>
      </c>
      <c r="CE21" s="2369">
        <v>1332</v>
      </c>
      <c r="CF21" s="2434">
        <f>CE21/CB21*100</f>
        <v>45.522898154477105</v>
      </c>
      <c r="CH21" s="2494"/>
      <c r="CJ21" s="2356" t="s">
        <v>2185</v>
      </c>
      <c r="CK21" s="2357">
        <v>2607</v>
      </c>
      <c r="CL21" s="2354">
        <v>1</v>
      </c>
      <c r="CM21" s="2359">
        <v>405</v>
      </c>
      <c r="CN21" s="2359">
        <v>2184</v>
      </c>
      <c r="CO21" s="2401">
        <f>CN21/CK21*100</f>
        <v>83.774453394706555</v>
      </c>
      <c r="CP21" s="2471">
        <v>17</v>
      </c>
      <c r="CQ21" s="2401">
        <f>CP21/CK21*100</f>
        <v>0.65209052550824709</v>
      </c>
      <c r="CR21" s="2359"/>
      <c r="CS21" s="2401"/>
      <c r="CT21" s="2401"/>
      <c r="CU21" s="2401"/>
      <c r="CV21" s="2401"/>
      <c r="CW21" s="2401"/>
      <c r="CZ21" s="2356"/>
      <c r="DA21" s="2356"/>
      <c r="DB21" s="2356"/>
      <c r="DC21" s="2356" t="s">
        <v>2185</v>
      </c>
      <c r="DD21" s="2391">
        <v>26978</v>
      </c>
      <c r="DE21" s="2357">
        <v>1791</v>
      </c>
      <c r="DF21" s="2358">
        <f>SUM(DE21/DD21)*100</f>
        <v>6.6387426792201056</v>
      </c>
      <c r="DG21" s="2357">
        <v>1578</v>
      </c>
      <c r="DH21" s="2358">
        <f>DG21/DD21*100</f>
        <v>5.8492104677885681</v>
      </c>
      <c r="DI21" s="2357">
        <v>1527</v>
      </c>
      <c r="DJ21" s="2358">
        <f>DI21/DD21*100</f>
        <v>5.6601675439246799</v>
      </c>
      <c r="DU21" s="2356"/>
      <c r="DV21" s="2359"/>
      <c r="DW21" s="2357"/>
      <c r="DX21" s="2358"/>
      <c r="DY21" s="2357"/>
      <c r="DZ21" s="2358"/>
      <c r="EA21" s="2357"/>
      <c r="EB21" s="2358"/>
      <c r="EJ21" s="2403"/>
      <c r="EK21" s="2356"/>
      <c r="EL21" s="2357"/>
      <c r="EM21" s="2357"/>
      <c r="EN21" s="2358"/>
      <c r="EO21" s="2357"/>
      <c r="EP21" s="2358"/>
      <c r="EQ21" s="2357"/>
      <c r="ER21" s="2358"/>
      <c r="ES21" s="2358"/>
      <c r="EW21" s="2357"/>
      <c r="EX21" s="2356"/>
      <c r="EY21" s="2357"/>
      <c r="EZ21" s="2357"/>
      <c r="FA21" s="2357"/>
      <c r="FB21" s="2358"/>
      <c r="FC21" s="2357"/>
      <c r="FD21" s="2358"/>
      <c r="FE21" s="2357"/>
      <c r="FF21" s="2358"/>
      <c r="FG21" s="2400"/>
      <c r="FH21" s="2400"/>
      <c r="FI21" s="2357"/>
      <c r="FJ21" s="2358"/>
      <c r="FK21" s="2400"/>
      <c r="FL21" s="2400"/>
      <c r="FM21" s="2357"/>
      <c r="FN21" s="2400"/>
      <c r="FX21" s="2356"/>
      <c r="FY21" s="2357"/>
      <c r="FZ21" s="2357"/>
      <c r="GA21" s="2357"/>
      <c r="GB21" s="2401"/>
      <c r="GC21" s="2357"/>
      <c r="GD21" s="2401"/>
      <c r="GE21" s="2357"/>
      <c r="GF21" s="2400"/>
    </row>
    <row r="22" spans="1:188" ht="12.95" customHeight="1">
      <c r="A22" s="2356" t="s">
        <v>2202</v>
      </c>
      <c r="B22" s="2369">
        <v>5922</v>
      </c>
      <c r="C22" s="2357">
        <v>2351</v>
      </c>
      <c r="D22" s="2357">
        <v>1106</v>
      </c>
      <c r="E22" s="2400">
        <f>D22/C22*100</f>
        <v>47.04381114419396</v>
      </c>
      <c r="F22" s="2357">
        <v>977</v>
      </c>
      <c r="G22" s="2400">
        <f>F22/C22*100</f>
        <v>41.556784347086342</v>
      </c>
      <c r="H22" s="2357">
        <v>70</v>
      </c>
      <c r="I22" s="2400">
        <f>H22/C22*100</f>
        <v>2.9774564015312635</v>
      </c>
      <c r="L22" s="2403"/>
      <c r="M22" s="2356" t="s">
        <v>2202</v>
      </c>
      <c r="N22" s="2361" t="s">
        <v>4072</v>
      </c>
      <c r="O22" s="2369">
        <v>2761</v>
      </c>
      <c r="P22" s="2369">
        <v>2957</v>
      </c>
      <c r="Q22" s="2369">
        <v>2963</v>
      </c>
      <c r="R22" s="2359">
        <v>1334</v>
      </c>
      <c r="S22" s="2359">
        <v>1364</v>
      </c>
      <c r="T22" s="2359">
        <v>785</v>
      </c>
      <c r="U22" s="2359">
        <v>1471</v>
      </c>
      <c r="V22" s="2359">
        <v>1918</v>
      </c>
      <c r="W22" s="2359">
        <v>820</v>
      </c>
      <c r="X22" s="2359"/>
      <c r="Z22" s="2356" t="s">
        <v>2185</v>
      </c>
      <c r="AA22" s="2369">
        <v>2926</v>
      </c>
      <c r="AB22" s="2359">
        <v>1371</v>
      </c>
      <c r="AC22" s="2401">
        <f>AB22/AA22*100</f>
        <v>46.855775803144226</v>
      </c>
      <c r="AD22" s="2359">
        <v>1495</v>
      </c>
      <c r="AE22" s="2401">
        <f>AD22/AA22*100</f>
        <v>51.093643198906356</v>
      </c>
      <c r="AF22" s="2357">
        <v>60</v>
      </c>
      <c r="AG22" s="2401">
        <f>AF22/AA22*100</f>
        <v>2.0505809979494192</v>
      </c>
      <c r="AH22" s="2403"/>
      <c r="AI22" s="2403"/>
      <c r="AJ22" s="2359"/>
      <c r="AK22" s="2356" t="s">
        <v>2202</v>
      </c>
      <c r="AL22" s="2357">
        <v>2351</v>
      </c>
      <c r="AM22" s="2369">
        <v>2761</v>
      </c>
      <c r="AN22" s="2369">
        <v>2320</v>
      </c>
      <c r="AO22" s="2468">
        <v>1064</v>
      </c>
      <c r="AP22" s="2468">
        <v>1219</v>
      </c>
      <c r="AQ22" s="2359">
        <v>1503</v>
      </c>
      <c r="AR22" s="2359">
        <v>1503</v>
      </c>
      <c r="AS22" s="2359">
        <v>926</v>
      </c>
      <c r="AT22" s="2359">
        <v>842</v>
      </c>
      <c r="AU22" s="2359">
        <v>477</v>
      </c>
      <c r="AV22" s="2359"/>
      <c r="AW22" s="2403"/>
      <c r="AX22" s="2356" t="s">
        <v>2202</v>
      </c>
      <c r="AY22" s="2357">
        <v>2351</v>
      </c>
      <c r="AZ22" s="2357">
        <v>12</v>
      </c>
      <c r="BA22" s="2357">
        <v>40</v>
      </c>
      <c r="BB22" s="2468">
        <v>1064</v>
      </c>
      <c r="BC22" s="2400">
        <f>BB22/AY22*100</f>
        <v>45.2573373032752</v>
      </c>
      <c r="BD22" s="2468">
        <v>1219</v>
      </c>
      <c r="BE22" s="2469">
        <f>BD22/AY22*100</f>
        <v>51.850276478094429</v>
      </c>
      <c r="BF22" s="2468">
        <v>16</v>
      </c>
      <c r="BG22" s="2469">
        <f>BF22/AY22*100</f>
        <v>0.68056146320714594</v>
      </c>
      <c r="BH22" s="2357"/>
      <c r="BI22" s="2400"/>
      <c r="BJ22" s="2403"/>
      <c r="BK22" s="2403"/>
      <c r="BL22" s="2356" t="s">
        <v>2202</v>
      </c>
      <c r="BM22" s="2369">
        <v>2320</v>
      </c>
      <c r="BN22" s="2357">
        <v>15</v>
      </c>
      <c r="BO22" s="2357">
        <v>56</v>
      </c>
      <c r="BP22" s="2468">
        <v>926</v>
      </c>
      <c r="BQ22" s="2400">
        <v>40</v>
      </c>
      <c r="BR22" s="2468">
        <v>842</v>
      </c>
      <c r="BS22" s="2400">
        <v>36</v>
      </c>
      <c r="BT22" s="2468">
        <v>477</v>
      </c>
      <c r="BU22" s="2400">
        <v>21</v>
      </c>
      <c r="BV22" s="2357">
        <v>4</v>
      </c>
      <c r="BW22" s="2400">
        <f>BV22/BM22*100</f>
        <v>0.17241379310344829</v>
      </c>
      <c r="BX22" s="2400"/>
      <c r="BY22" s="2403"/>
      <c r="BZ22" s="2356" t="s">
        <v>2202</v>
      </c>
      <c r="CA22" s="2369">
        <v>5472</v>
      </c>
      <c r="CB22" s="2369">
        <v>2761</v>
      </c>
      <c r="CC22" s="2369">
        <v>1250</v>
      </c>
      <c r="CD22" s="2434">
        <f>CC22/CB22*100</f>
        <v>45.273451647953635</v>
      </c>
      <c r="CE22" s="2369">
        <v>1270</v>
      </c>
      <c r="CF22" s="2434">
        <f>CE22/CB22*100</f>
        <v>45.997826874320893</v>
      </c>
      <c r="CH22" s="2494"/>
      <c r="CJ22" s="2356" t="s">
        <v>2202</v>
      </c>
      <c r="CK22" s="2357">
        <v>2351</v>
      </c>
      <c r="CL22" s="2354">
        <v>3</v>
      </c>
      <c r="CM22" s="2359">
        <v>447</v>
      </c>
      <c r="CN22" s="2359">
        <v>1882</v>
      </c>
      <c r="CO22" s="2401">
        <f>CN22/CK22*100</f>
        <v>80.051042109740536</v>
      </c>
      <c r="CP22" s="2471">
        <v>19</v>
      </c>
      <c r="CQ22" s="2401">
        <f>CP22/CK22*100</f>
        <v>0.80816673755848578</v>
      </c>
      <c r="CR22" s="2359"/>
      <c r="CS22" s="2401"/>
      <c r="CT22" s="2401"/>
      <c r="CU22" s="2401"/>
      <c r="CV22" s="2401"/>
      <c r="CW22" s="2401"/>
      <c r="CX22" s="2368" t="s">
        <v>4073</v>
      </c>
      <c r="CY22" s="2368"/>
      <c r="CZ22" s="2368"/>
      <c r="DC22" s="2356" t="s">
        <v>2202</v>
      </c>
      <c r="DD22" s="2391">
        <v>23110</v>
      </c>
      <c r="DE22" s="2357">
        <v>1423</v>
      </c>
      <c r="DF22" s="2358">
        <f>SUM(DE22/DD22)*100</f>
        <v>6.1575075724794459</v>
      </c>
      <c r="DG22" s="2357">
        <v>1248</v>
      </c>
      <c r="DH22" s="2358">
        <f>DG22/DD22*100</f>
        <v>5.4002596278667241</v>
      </c>
      <c r="DI22" s="2357">
        <v>1308</v>
      </c>
      <c r="DJ22" s="2358">
        <f>DI22/DD22*100</f>
        <v>5.6598874945910866</v>
      </c>
      <c r="DU22" s="2356"/>
      <c r="DV22" s="2359"/>
      <c r="DW22" s="2357"/>
      <c r="DX22" s="2358"/>
      <c r="DY22" s="2357"/>
      <c r="DZ22" s="2358"/>
      <c r="EA22" s="2357"/>
      <c r="EB22" s="2358"/>
      <c r="EJ22" s="2403"/>
      <c r="EK22" s="2356"/>
      <c r="EL22" s="2357"/>
      <c r="EM22" s="2357"/>
      <c r="EN22" s="2358"/>
      <c r="EO22" s="2357"/>
      <c r="EP22" s="2358"/>
      <c r="EQ22" s="2357"/>
      <c r="ER22" s="2358"/>
      <c r="ES22" s="2358"/>
      <c r="EW22" s="2357"/>
      <c r="EX22" s="2356"/>
      <c r="EY22" s="2357"/>
      <c r="EZ22" s="2357"/>
      <c r="FA22" s="2357"/>
      <c r="FB22" s="2358"/>
      <c r="FC22" s="2357"/>
      <c r="FD22" s="2358"/>
      <c r="FE22" s="2357"/>
      <c r="FF22" s="2358"/>
      <c r="FG22" s="2400"/>
      <c r="FH22" s="2400"/>
      <c r="FI22" s="2357"/>
      <c r="FJ22" s="2358"/>
      <c r="FK22" s="2400"/>
      <c r="FL22" s="2400"/>
      <c r="FM22" s="2357"/>
      <c r="FN22" s="2400"/>
      <c r="FX22" s="2356"/>
      <c r="FY22" s="2357"/>
      <c r="FZ22" s="2357"/>
      <c r="GA22" s="2357"/>
      <c r="GB22" s="2401"/>
      <c r="GC22" s="2357"/>
      <c r="GD22" s="2401"/>
      <c r="GE22" s="2357"/>
      <c r="GF22" s="2400"/>
    </row>
    <row r="23" spans="1:188" ht="12.95" customHeight="1">
      <c r="A23" s="2356" t="s">
        <v>2177</v>
      </c>
      <c r="B23" s="2369">
        <v>15649</v>
      </c>
      <c r="C23" s="2357">
        <v>6237</v>
      </c>
      <c r="D23" s="2357">
        <v>2904</v>
      </c>
      <c r="E23" s="2467">
        <f>D23/C23*100</f>
        <v>46.560846560846556</v>
      </c>
      <c r="F23" s="2357">
        <v>2508</v>
      </c>
      <c r="G23" s="2467">
        <f>F23/C23*100</f>
        <v>40.211640211640209</v>
      </c>
      <c r="H23" s="2357">
        <v>203</v>
      </c>
      <c r="I23" s="2467">
        <f>H23/C23*100</f>
        <v>3.2547699214365879</v>
      </c>
      <c r="L23" s="2403"/>
      <c r="M23" s="2356" t="s">
        <v>2177</v>
      </c>
      <c r="N23" s="2361" t="s">
        <v>4074</v>
      </c>
      <c r="O23" s="2369">
        <v>7260</v>
      </c>
      <c r="P23" s="2369">
        <v>8037</v>
      </c>
      <c r="Q23" s="2369">
        <v>7820</v>
      </c>
      <c r="R23" s="2359">
        <v>3232</v>
      </c>
      <c r="S23" s="2359">
        <v>3864</v>
      </c>
      <c r="T23" s="2359">
        <v>2214</v>
      </c>
      <c r="U23" s="2359">
        <v>3468</v>
      </c>
      <c r="V23" s="2359">
        <v>4544</v>
      </c>
      <c r="W23" s="2359">
        <v>2626</v>
      </c>
      <c r="X23" s="2359"/>
      <c r="Z23" s="2356" t="s">
        <v>2202</v>
      </c>
      <c r="AA23" s="2369">
        <v>2761</v>
      </c>
      <c r="AB23" s="2359">
        <v>1334</v>
      </c>
      <c r="AC23" s="2401">
        <f>AB23/AA23*100</f>
        <v>48.315827598696124</v>
      </c>
      <c r="AD23" s="2359">
        <v>1364</v>
      </c>
      <c r="AE23" s="2401">
        <f>AD23/AA23*100</f>
        <v>49.402390438247011</v>
      </c>
      <c r="AF23" s="2357">
        <v>63</v>
      </c>
      <c r="AG23" s="2401">
        <f>AF23/AA23*100</f>
        <v>2.2817819630568636</v>
      </c>
      <c r="AH23" s="2403"/>
      <c r="AI23" s="2403"/>
      <c r="AJ23" s="2359"/>
      <c r="AK23" s="2356" t="s">
        <v>2177</v>
      </c>
      <c r="AL23" s="2357">
        <v>6237</v>
      </c>
      <c r="AM23" s="2369">
        <v>7260</v>
      </c>
      <c r="AN23" s="2369">
        <v>5479</v>
      </c>
      <c r="AO23" s="2468">
        <v>3057</v>
      </c>
      <c r="AP23" s="2468">
        <v>2998</v>
      </c>
      <c r="AQ23" s="2359">
        <v>3815</v>
      </c>
      <c r="AR23" s="2359">
        <v>3815</v>
      </c>
      <c r="AS23" s="2359">
        <v>2860</v>
      </c>
      <c r="AT23" s="2359">
        <v>1525</v>
      </c>
      <c r="AU23" s="2359">
        <v>958</v>
      </c>
      <c r="AV23" s="2359"/>
      <c r="AW23" s="2403"/>
      <c r="AX23" s="2356" t="s">
        <v>2177</v>
      </c>
      <c r="AY23" s="2357">
        <v>6237</v>
      </c>
      <c r="AZ23" s="2357">
        <v>43</v>
      </c>
      <c r="BA23" s="2357">
        <v>106</v>
      </c>
      <c r="BB23" s="2468">
        <v>3057</v>
      </c>
      <c r="BC23" s="2469">
        <f>BB23/AY23*100</f>
        <v>49.013949013949016</v>
      </c>
      <c r="BD23" s="2468">
        <v>2998</v>
      </c>
      <c r="BE23" s="2469">
        <f>BD23/AY23*100</f>
        <v>48.067981401314732</v>
      </c>
      <c r="BF23" s="2468">
        <v>33</v>
      </c>
      <c r="BG23" s="2469">
        <f>BF23/AY23*100</f>
        <v>0.52910052910052907</v>
      </c>
      <c r="BH23" s="2357"/>
      <c r="BI23" s="2400"/>
      <c r="BJ23" s="2403"/>
      <c r="BK23" s="2403"/>
      <c r="BL23" s="2356" t="s">
        <v>2177</v>
      </c>
      <c r="BM23" s="2369">
        <v>5479</v>
      </c>
      <c r="BN23" s="2357">
        <v>36</v>
      </c>
      <c r="BO23" s="2357">
        <v>90</v>
      </c>
      <c r="BP23" s="2468">
        <v>2860</v>
      </c>
      <c r="BQ23" s="2400">
        <v>52</v>
      </c>
      <c r="BR23" s="2468">
        <v>1525</v>
      </c>
      <c r="BS23" s="2400">
        <v>28</v>
      </c>
      <c r="BT23" s="2468">
        <v>958</v>
      </c>
      <c r="BU23" s="2400">
        <v>17</v>
      </c>
      <c r="BV23" s="2357">
        <v>10</v>
      </c>
      <c r="BW23" s="2401">
        <f>BV23/BM23*100</f>
        <v>0.18251505749224312</v>
      </c>
      <c r="BX23" s="2400"/>
      <c r="BY23" s="2403"/>
      <c r="BZ23" s="2356" t="s">
        <v>2177</v>
      </c>
      <c r="CA23" s="2369">
        <v>15039</v>
      </c>
      <c r="CB23" s="2369">
        <v>7260</v>
      </c>
      <c r="CC23" s="2369">
        <v>2917</v>
      </c>
      <c r="CD23" s="2434">
        <f>CC23/CB23*100</f>
        <v>40.179063360881543</v>
      </c>
      <c r="CE23" s="2369">
        <v>3695</v>
      </c>
      <c r="CF23" s="2434">
        <f>CE23/CB23*100</f>
        <v>50.895316804407706</v>
      </c>
      <c r="CH23" s="2494"/>
      <c r="CJ23" s="2356" t="s">
        <v>2177</v>
      </c>
      <c r="CK23" s="2357">
        <v>6237</v>
      </c>
      <c r="CL23" s="2354">
        <v>8</v>
      </c>
      <c r="CM23" s="2359">
        <v>1055</v>
      </c>
      <c r="CN23" s="2359">
        <v>5140</v>
      </c>
      <c r="CO23" s="2401">
        <f>CN23/CK23*100</f>
        <v>82.411415744749078</v>
      </c>
      <c r="CP23" s="2471">
        <v>34</v>
      </c>
      <c r="CQ23" s="2401">
        <f>CP23/CK23*100</f>
        <v>0.54513387846721184</v>
      </c>
      <c r="CR23" s="2359"/>
      <c r="CS23" s="2401"/>
      <c r="CT23" s="2401"/>
      <c r="CU23" s="2401"/>
      <c r="CV23" s="2401"/>
      <c r="CW23" s="2401"/>
      <c r="CX23" s="2356" t="s">
        <v>3984</v>
      </c>
      <c r="CY23" s="2476" t="s">
        <v>3985</v>
      </c>
      <c r="CZ23" s="2450" t="s">
        <v>3986</v>
      </c>
      <c r="DA23" s="2356"/>
      <c r="DC23" s="2356" t="s">
        <v>2177</v>
      </c>
      <c r="DD23" s="2391">
        <v>64230</v>
      </c>
      <c r="DE23" s="2357">
        <v>4184</v>
      </c>
      <c r="DF23" s="2358">
        <f>SUM(DE23/DD23)*100</f>
        <v>6.5140899891016666</v>
      </c>
      <c r="DG23" s="2357">
        <v>3737</v>
      </c>
      <c r="DH23" s="2358">
        <f>DG23/DD23*100</f>
        <v>5.8181535108204887</v>
      </c>
      <c r="DI23" s="2357">
        <v>3304</v>
      </c>
      <c r="DJ23" s="2358">
        <f>DI23/DD23*100</f>
        <v>5.1440137007628834</v>
      </c>
      <c r="DM23" s="2356"/>
      <c r="DN23" s="2356"/>
      <c r="DO23" s="2356"/>
      <c r="DP23" s="2356"/>
      <c r="DQ23" s="2356"/>
      <c r="DR23" s="2356"/>
      <c r="DS23" s="2356"/>
      <c r="DU23" s="2356"/>
      <c r="DV23" s="2359"/>
      <c r="DW23" s="2357"/>
      <c r="DX23" s="2358"/>
      <c r="DY23" s="2357"/>
      <c r="DZ23" s="2358"/>
      <c r="EA23" s="2357"/>
      <c r="EB23" s="2358"/>
      <c r="EJ23" s="2403"/>
      <c r="EK23" s="2356"/>
      <c r="EL23" s="2357"/>
      <c r="EM23" s="2357"/>
      <c r="EN23" s="2358"/>
      <c r="EO23" s="2357"/>
      <c r="EP23" s="2358"/>
      <c r="EQ23" s="2357"/>
      <c r="ER23" s="2358"/>
      <c r="ES23" s="2358"/>
      <c r="EW23" s="2357"/>
      <c r="EX23" s="2356"/>
      <c r="EY23" s="2357"/>
      <c r="EZ23" s="2357"/>
      <c r="FA23" s="2357"/>
      <c r="FB23" s="2358"/>
      <c r="FC23" s="2357"/>
      <c r="FD23" s="2358"/>
      <c r="FE23" s="2357"/>
      <c r="FF23" s="2358"/>
      <c r="FG23" s="2400"/>
      <c r="FH23" s="2400"/>
      <c r="FI23" s="2357"/>
      <c r="FJ23" s="2358"/>
      <c r="FK23" s="2400"/>
      <c r="FL23" s="2400"/>
      <c r="FM23" s="2357"/>
      <c r="FN23" s="2400"/>
      <c r="FX23" s="2356"/>
      <c r="FY23" s="2357"/>
      <c r="FZ23" s="2357"/>
      <c r="GA23" s="2357"/>
      <c r="GB23" s="2401"/>
      <c r="GC23" s="2357"/>
      <c r="GD23" s="2401"/>
      <c r="GE23" s="2357"/>
      <c r="GF23" s="2400"/>
    </row>
    <row r="24" spans="1:188" ht="12.95" customHeight="1">
      <c r="A24" s="2368" t="s">
        <v>2208</v>
      </c>
      <c r="B24" s="2367">
        <v>7522</v>
      </c>
      <c r="C24" s="2366">
        <v>3385</v>
      </c>
      <c r="D24" s="2366">
        <v>1497</v>
      </c>
      <c r="E24" s="2410">
        <f>D24/C24*100</f>
        <v>44.224519940915805</v>
      </c>
      <c r="F24" s="2366">
        <v>1467</v>
      </c>
      <c r="G24" s="2410">
        <f>F24/C24*100</f>
        <v>43.338257016248157</v>
      </c>
      <c r="H24" s="2366">
        <v>119</v>
      </c>
      <c r="I24" s="2410">
        <f>H24/C24*100</f>
        <v>3.5155096011816838</v>
      </c>
      <c r="L24" s="2403"/>
      <c r="M24" s="2368" t="s">
        <v>2208</v>
      </c>
      <c r="N24" s="2497" t="s">
        <v>4075</v>
      </c>
      <c r="O24" s="2367">
        <v>3544</v>
      </c>
      <c r="P24" s="2367">
        <v>3703</v>
      </c>
      <c r="Q24" s="2367">
        <v>3607</v>
      </c>
      <c r="R24" s="2429">
        <v>1493</v>
      </c>
      <c r="S24" s="2429">
        <v>1979</v>
      </c>
      <c r="T24" s="2429">
        <v>835</v>
      </c>
      <c r="U24" s="2429">
        <v>1833</v>
      </c>
      <c r="V24" s="2429">
        <v>2136</v>
      </c>
      <c r="W24" s="2429">
        <v>1208</v>
      </c>
      <c r="X24" s="2359"/>
      <c r="Z24" s="2356" t="s">
        <v>2177</v>
      </c>
      <c r="AA24" s="2369">
        <v>7260</v>
      </c>
      <c r="AB24" s="2359">
        <v>3232</v>
      </c>
      <c r="AC24" s="2401">
        <f>AB24/AA24*100</f>
        <v>44.517906336088153</v>
      </c>
      <c r="AD24" s="2359">
        <v>3864</v>
      </c>
      <c r="AE24" s="2401">
        <f>AD24/AA24*100</f>
        <v>53.223140495867774</v>
      </c>
      <c r="AF24" s="2357">
        <v>164</v>
      </c>
      <c r="AG24" s="2401">
        <f>AF24/AA24*100</f>
        <v>2.2589531680440773</v>
      </c>
      <c r="AH24" s="2403"/>
      <c r="AI24" s="2403"/>
      <c r="AJ24" s="2359"/>
      <c r="AK24" s="2368" t="s">
        <v>2208</v>
      </c>
      <c r="AL24" s="2366">
        <v>3385</v>
      </c>
      <c r="AM24" s="2367">
        <v>3544</v>
      </c>
      <c r="AN24" s="2367">
        <v>2975</v>
      </c>
      <c r="AO24" s="2466">
        <v>1716</v>
      </c>
      <c r="AP24" s="2466">
        <v>1542</v>
      </c>
      <c r="AQ24" s="2429">
        <v>1628</v>
      </c>
      <c r="AR24" s="2429">
        <v>1792</v>
      </c>
      <c r="AS24" s="2429">
        <v>1547</v>
      </c>
      <c r="AT24" s="2429">
        <v>824</v>
      </c>
      <c r="AU24" s="2429">
        <v>522</v>
      </c>
      <c r="AV24" s="2359"/>
      <c r="AW24" s="2403"/>
      <c r="AX24" s="2368" t="s">
        <v>2208</v>
      </c>
      <c r="AY24" s="2366">
        <v>3385</v>
      </c>
      <c r="AZ24" s="2368">
        <v>22</v>
      </c>
      <c r="BA24" s="2366">
        <v>87</v>
      </c>
      <c r="BB24" s="2466">
        <v>1716</v>
      </c>
      <c r="BC24" s="2410">
        <f>BB24/AY24*100</f>
        <v>50.694239290989664</v>
      </c>
      <c r="BD24" s="2466">
        <v>1542</v>
      </c>
      <c r="BE24" s="2496">
        <f>BD24/AY24*100</f>
        <v>45.553914327917283</v>
      </c>
      <c r="BF24" s="2466">
        <v>18</v>
      </c>
      <c r="BG24" s="2496">
        <f>BF24/AY24*100</f>
        <v>0.53175775480059084</v>
      </c>
      <c r="BH24" s="2357"/>
      <c r="BI24" s="2400"/>
      <c r="BJ24" s="2403"/>
      <c r="BK24" s="2403"/>
      <c r="BL24" s="2368" t="s">
        <v>2208</v>
      </c>
      <c r="BM24" s="2367">
        <v>2975</v>
      </c>
      <c r="BN24" s="2368">
        <v>15</v>
      </c>
      <c r="BO24" s="2366">
        <v>65</v>
      </c>
      <c r="BP24" s="2466">
        <v>1547</v>
      </c>
      <c r="BQ24" s="2410">
        <v>52</v>
      </c>
      <c r="BR24" s="2466">
        <v>824</v>
      </c>
      <c r="BS24" s="2410">
        <v>28</v>
      </c>
      <c r="BT24" s="2466">
        <v>522</v>
      </c>
      <c r="BU24" s="2410">
        <v>18</v>
      </c>
      <c r="BV24" s="2366">
        <v>2</v>
      </c>
      <c r="BW24" s="2410">
        <f>BV24/BM24*100</f>
        <v>6.7226890756302518E-2</v>
      </c>
      <c r="BX24" s="2400"/>
      <c r="BY24" s="2403"/>
      <c r="BZ24" s="2368" t="s">
        <v>2208</v>
      </c>
      <c r="CA24" s="2367">
        <v>7008</v>
      </c>
      <c r="CB24" s="2367">
        <v>3544</v>
      </c>
      <c r="CC24" s="2367">
        <v>1533</v>
      </c>
      <c r="CD24" s="2432">
        <f>CC24/CB24*100</f>
        <v>43.256207674943568</v>
      </c>
      <c r="CE24" s="2367">
        <v>1685</v>
      </c>
      <c r="CF24" s="2432">
        <f>CE24/CB24*100</f>
        <v>47.545146726862306</v>
      </c>
      <c r="CH24" s="2494"/>
      <c r="CJ24" s="2368" t="s">
        <v>2208</v>
      </c>
      <c r="CK24" s="2366">
        <v>3385</v>
      </c>
      <c r="CL24" s="2411">
        <v>3</v>
      </c>
      <c r="CM24" s="2429">
        <v>551</v>
      </c>
      <c r="CN24" s="2429">
        <v>2811</v>
      </c>
      <c r="CO24" s="2428">
        <f>CN24/CK24*100</f>
        <v>83.042836041358939</v>
      </c>
      <c r="CP24" s="2470">
        <v>20</v>
      </c>
      <c r="CQ24" s="2428">
        <f>CP24/CK24*100</f>
        <v>0.59084194977843429</v>
      </c>
      <c r="CR24" s="2359"/>
      <c r="CS24" s="2401"/>
      <c r="CT24" s="2401"/>
      <c r="CU24" s="2401"/>
      <c r="CV24" s="2401"/>
      <c r="CW24" s="2401"/>
      <c r="CX24" s="2368" t="s">
        <v>4016</v>
      </c>
      <c r="CY24" s="2475" t="s">
        <v>4017</v>
      </c>
      <c r="CZ24" s="2372" t="s">
        <v>4018</v>
      </c>
      <c r="DA24" s="2361"/>
      <c r="DC24" s="2368" t="s">
        <v>2208</v>
      </c>
      <c r="DD24" s="2390">
        <v>34295</v>
      </c>
      <c r="DE24" s="2366">
        <v>2192</v>
      </c>
      <c r="DF24" s="2365">
        <f>SUM(DE24/DD24)*100</f>
        <v>6.3916022743840211</v>
      </c>
      <c r="DG24" s="2366">
        <v>2087</v>
      </c>
      <c r="DH24" s="2365">
        <f>DG24/DD24*100</f>
        <v>6.085435194634786</v>
      </c>
      <c r="DI24" s="2366">
        <v>1779</v>
      </c>
      <c r="DJ24" s="2365">
        <f>DI24/DD24*100</f>
        <v>5.187345094037032</v>
      </c>
      <c r="DK24" s="2495"/>
      <c r="DM24" s="2361"/>
      <c r="DN24" s="2361"/>
      <c r="DO24" s="2361"/>
      <c r="DP24" s="2361"/>
      <c r="DQ24" s="2361"/>
      <c r="DR24" s="2361"/>
      <c r="DS24" s="2361"/>
      <c r="DU24" s="2356"/>
      <c r="DV24" s="2359"/>
      <c r="DW24" s="2357"/>
      <c r="DX24" s="2358"/>
      <c r="DY24" s="2357"/>
      <c r="DZ24" s="2358"/>
      <c r="EA24" s="2357"/>
      <c r="EB24" s="2358"/>
      <c r="EJ24" s="2403"/>
      <c r="EK24" s="2356"/>
      <c r="EL24" s="2357"/>
      <c r="EM24" s="2357"/>
      <c r="EN24" s="2358"/>
      <c r="EO24" s="2357"/>
      <c r="EP24" s="2358"/>
      <c r="EQ24" s="2357"/>
      <c r="ER24" s="2358"/>
      <c r="ES24" s="2358"/>
      <c r="EW24" s="2357"/>
      <c r="EX24" s="2356"/>
      <c r="EY24" s="2357"/>
      <c r="EZ24" s="2357"/>
      <c r="FA24" s="2357"/>
      <c r="FB24" s="2358"/>
      <c r="FC24" s="2357"/>
      <c r="FD24" s="2358"/>
      <c r="FE24" s="2357"/>
      <c r="FF24" s="2358"/>
      <c r="FG24" s="2400"/>
      <c r="FH24" s="2400"/>
      <c r="FI24" s="2357"/>
      <c r="FJ24" s="2358"/>
      <c r="FK24" s="2400"/>
      <c r="FL24" s="2400"/>
      <c r="FM24" s="2357"/>
      <c r="FN24" s="2400"/>
      <c r="FX24" s="2356"/>
      <c r="FY24" s="2357"/>
      <c r="FZ24" s="2357"/>
      <c r="GA24" s="2357"/>
      <c r="GB24" s="2401"/>
      <c r="GC24" s="2357"/>
      <c r="GD24" s="2401"/>
      <c r="GE24" s="2357"/>
      <c r="GF24" s="2400"/>
    </row>
    <row r="25" spans="1:188" ht="12.95" customHeight="1">
      <c r="A25" s="2356" t="s">
        <v>4069</v>
      </c>
      <c r="B25" s="2356"/>
      <c r="C25" s="2356"/>
      <c r="D25" s="2356"/>
      <c r="E25" s="2356"/>
      <c r="F25" s="2356"/>
      <c r="G25" s="2356"/>
      <c r="H25" s="2356"/>
      <c r="I25" s="2356"/>
      <c r="M25" s="2356" t="s">
        <v>4069</v>
      </c>
      <c r="Z25" s="2368" t="s">
        <v>2208</v>
      </c>
      <c r="AA25" s="2367">
        <v>3544</v>
      </c>
      <c r="AB25" s="2429">
        <v>1493</v>
      </c>
      <c r="AC25" s="2428">
        <f>AB25/AA25*100</f>
        <v>42.127539503386004</v>
      </c>
      <c r="AD25" s="2429">
        <v>1979</v>
      </c>
      <c r="AE25" s="2428">
        <f>AD25/AA25*100</f>
        <v>55.840857787810386</v>
      </c>
      <c r="AF25" s="2366">
        <v>72</v>
      </c>
      <c r="AG25" s="2428">
        <f>AF25/AA25*100</f>
        <v>2.0316027088036117</v>
      </c>
      <c r="AH25" s="2403"/>
      <c r="AI25" s="2403"/>
      <c r="AK25" s="2356" t="s">
        <v>4069</v>
      </c>
      <c r="AL25" s="2356"/>
      <c r="AM25" s="2356"/>
      <c r="AN25" s="2359"/>
      <c r="AO25" s="2359"/>
      <c r="AP25" s="2359"/>
      <c r="AQ25" s="2359"/>
      <c r="AR25" s="2405"/>
      <c r="AS25" s="2405"/>
      <c r="AT25" s="2359"/>
      <c r="AU25" s="2359"/>
      <c r="AV25" s="2359"/>
      <c r="AX25" s="2356" t="s">
        <v>4069</v>
      </c>
      <c r="AY25" s="2356"/>
      <c r="AZ25" s="2356"/>
      <c r="BA25" s="2356"/>
      <c r="BB25" s="2356"/>
      <c r="BC25" s="2356"/>
      <c r="BD25" s="2356"/>
      <c r="BE25" s="2356"/>
      <c r="BF25" s="2356"/>
      <c r="BG25" s="2356"/>
      <c r="BH25" s="2356"/>
      <c r="BI25" s="2356"/>
      <c r="BL25" s="2356" t="s">
        <v>4069</v>
      </c>
      <c r="BM25" s="2356"/>
      <c r="BN25" s="2356"/>
      <c r="BO25" s="2356"/>
      <c r="BP25" s="2356"/>
      <c r="BQ25" s="2356"/>
      <c r="BR25" s="2356"/>
      <c r="BS25" s="2356"/>
      <c r="BT25" s="2356"/>
      <c r="BU25" s="2356"/>
      <c r="BV25" s="2356"/>
      <c r="BW25" s="2356"/>
      <c r="BX25" s="2400"/>
      <c r="BZ25" s="2356" t="s">
        <v>4069</v>
      </c>
      <c r="CA25" s="2356"/>
      <c r="CB25" s="2356"/>
      <c r="CC25" s="2356"/>
      <c r="CD25" s="2356"/>
      <c r="CE25" s="2356"/>
      <c r="CF25" s="2356"/>
      <c r="CH25" s="2494"/>
      <c r="CJ25" s="2356" t="s">
        <v>4069</v>
      </c>
      <c r="CK25" s="2356"/>
      <c r="CL25" s="2356"/>
      <c r="CM25" s="2356"/>
      <c r="CN25" s="2356"/>
      <c r="CO25" s="2356"/>
      <c r="CP25" s="2356"/>
      <c r="CQ25" s="2356"/>
      <c r="CR25" s="2356"/>
      <c r="CS25" s="2356"/>
      <c r="CX25" s="2399" t="s">
        <v>4035</v>
      </c>
      <c r="CY25" s="2474" t="s">
        <v>4036</v>
      </c>
      <c r="CZ25" s="2357">
        <v>22127</v>
      </c>
      <c r="DA25" s="2361"/>
      <c r="DB25" s="2361"/>
      <c r="DC25" s="2356" t="s">
        <v>4069</v>
      </c>
      <c r="DD25" s="2356"/>
      <c r="DE25" s="2356"/>
      <c r="DF25" s="2356"/>
      <c r="DG25" s="2356"/>
      <c r="DH25" s="2356"/>
      <c r="DI25" s="2356"/>
      <c r="DJ25" s="2356"/>
      <c r="DM25" s="2361"/>
      <c r="DN25" s="2361"/>
      <c r="DO25" s="2361"/>
      <c r="DP25" s="2361"/>
      <c r="DQ25" s="2361"/>
      <c r="DU25" s="2356"/>
      <c r="DV25" s="2356"/>
      <c r="DW25" s="2356"/>
      <c r="DX25" s="2356"/>
      <c r="DY25" s="2356"/>
      <c r="DZ25" s="2356"/>
      <c r="EK25" s="2356"/>
      <c r="EL25" s="2356"/>
      <c r="EM25" s="2356"/>
      <c r="EN25" s="2356"/>
      <c r="EO25" s="2356"/>
      <c r="EP25" s="2356"/>
      <c r="EQ25" s="2356"/>
      <c r="ER25" s="2356"/>
      <c r="EU25" s="2356"/>
      <c r="EV25" s="2356"/>
      <c r="EW25" s="2356"/>
      <c r="EX25" s="2356"/>
      <c r="EY25" s="2356"/>
      <c r="EZ25" s="2356"/>
      <c r="FA25" s="2356"/>
      <c r="FB25" s="2356"/>
      <c r="FC25" s="2356"/>
      <c r="FD25" s="2356"/>
      <c r="FE25" s="2356"/>
      <c r="FF25" s="2356"/>
      <c r="FG25" s="2356"/>
      <c r="FH25" s="2356"/>
      <c r="FI25" s="2356"/>
      <c r="FJ25" s="2356"/>
      <c r="FK25" s="2356"/>
      <c r="FL25" s="2356"/>
      <c r="FM25" s="2356"/>
      <c r="FV25" s="2356"/>
      <c r="FW25" s="2356"/>
      <c r="FX25" s="2356"/>
      <c r="FY25" s="2356"/>
      <c r="FZ25" s="2356"/>
      <c r="GA25" s="2356"/>
      <c r="GB25" s="2356"/>
      <c r="GC25" s="2356"/>
      <c r="GD25" s="2356"/>
      <c r="GE25" s="2356"/>
    </row>
    <row r="26" spans="1:188" ht="12.95" customHeight="1">
      <c r="A26" s="2356" t="s">
        <v>4076</v>
      </c>
      <c r="B26" s="2356"/>
      <c r="C26" s="2356"/>
      <c r="D26" s="2400" t="s">
        <v>4077</v>
      </c>
      <c r="E26" s="2400"/>
      <c r="F26" s="2400"/>
      <c r="G26" s="2400"/>
      <c r="H26" s="2400"/>
      <c r="I26" s="2400"/>
      <c r="Z26" s="2356" t="s">
        <v>4069</v>
      </c>
      <c r="AA26" s="2357"/>
      <c r="AB26" s="2356"/>
      <c r="AC26" s="2356"/>
      <c r="AD26" s="2356"/>
      <c r="AE26" s="2356"/>
      <c r="AF26" s="2356"/>
      <c r="AG26" s="2356"/>
      <c r="AH26" s="2356"/>
      <c r="AI26" s="2356"/>
      <c r="AJ26" s="2356"/>
      <c r="AK26" s="2356" t="s">
        <v>4078</v>
      </c>
      <c r="AL26" s="2356"/>
      <c r="AM26" s="2356"/>
      <c r="AN26" s="2356"/>
      <c r="AO26" s="2356"/>
      <c r="AP26" s="2356"/>
      <c r="AQ26" s="2356"/>
      <c r="AR26" s="2356"/>
      <c r="AS26" s="2356"/>
      <c r="AT26" s="2356"/>
      <c r="AU26" s="2356"/>
      <c r="AV26" s="2356"/>
      <c r="AW26" s="2356"/>
      <c r="AX26" s="2356" t="s">
        <v>4076</v>
      </c>
      <c r="AY26" s="2356"/>
      <c r="AZ26" s="2400"/>
      <c r="BA26" s="2400"/>
      <c r="BB26" s="2400"/>
      <c r="BC26" s="2400"/>
      <c r="BD26" s="2400"/>
      <c r="BE26" s="2400"/>
      <c r="BF26" s="2400"/>
      <c r="BG26" s="2400"/>
      <c r="BH26" s="2400"/>
      <c r="BI26" s="2400"/>
      <c r="BJ26" s="2356"/>
      <c r="BK26" s="2356"/>
      <c r="BL26" s="2356" t="s">
        <v>4076</v>
      </c>
      <c r="BM26" s="2356"/>
      <c r="BN26" s="2400"/>
      <c r="BO26" s="2400"/>
      <c r="BP26" s="2400"/>
      <c r="BQ26" s="2400"/>
      <c r="BR26" s="2400"/>
      <c r="BS26" s="2400"/>
      <c r="BT26" s="2400"/>
      <c r="BU26" s="2400"/>
      <c r="BV26" s="2400"/>
      <c r="BW26" s="2400"/>
      <c r="BX26" s="2400"/>
      <c r="CH26" s="2494"/>
      <c r="CX26" s="2399" t="s">
        <v>4079</v>
      </c>
      <c r="CY26" s="2427" t="s">
        <v>4036</v>
      </c>
      <c r="CZ26" s="2357">
        <v>21515</v>
      </c>
      <c r="DA26" s="2357"/>
      <c r="DB26" s="2357"/>
      <c r="DC26" s="2356" t="s">
        <v>4076</v>
      </c>
      <c r="DD26" s="2356"/>
      <c r="DE26" s="2356"/>
      <c r="DF26" s="2356"/>
      <c r="DG26" s="2357" t="s">
        <v>3348</v>
      </c>
      <c r="DH26" s="2356"/>
      <c r="DI26" s="2357" t="s">
        <v>3348</v>
      </c>
      <c r="DJ26" s="2356"/>
      <c r="DM26" s="2357"/>
      <c r="DN26" s="2357"/>
      <c r="DO26" s="2357"/>
      <c r="DP26" s="2357"/>
      <c r="DQ26" s="2357"/>
      <c r="DU26" s="2356"/>
      <c r="DV26" s="2356"/>
      <c r="DW26" s="2356"/>
      <c r="DX26" s="2356"/>
      <c r="DY26" s="2357"/>
      <c r="DZ26" s="2356"/>
      <c r="EK26" s="2356"/>
      <c r="EL26" s="2356"/>
      <c r="EM26" s="2356"/>
      <c r="EN26" s="2356"/>
      <c r="EO26" s="2357"/>
      <c r="EP26" s="2356"/>
      <c r="EQ26" s="2357"/>
      <c r="ER26" s="2356"/>
      <c r="EU26" s="2356"/>
      <c r="EV26" s="2356"/>
      <c r="EW26" s="2356"/>
      <c r="EX26" s="2356"/>
      <c r="EY26" s="2356"/>
      <c r="EZ26" s="2356"/>
      <c r="FA26" s="2357"/>
      <c r="FB26" s="2356"/>
      <c r="FC26" s="2357"/>
      <c r="FD26" s="2356"/>
      <c r="FE26" s="2356"/>
      <c r="FF26" s="2356"/>
      <c r="FG26" s="2356"/>
      <c r="FH26" s="2356"/>
      <c r="FI26" s="2356"/>
      <c r="FJ26" s="2356"/>
      <c r="FK26" s="2356"/>
      <c r="FL26" s="2356"/>
      <c r="FM26" s="2356"/>
      <c r="FV26" s="2356"/>
      <c r="FW26" s="2356"/>
      <c r="FX26" s="2356"/>
      <c r="FY26" s="2356"/>
      <c r="FZ26" s="2356"/>
      <c r="GA26" s="2356"/>
      <c r="GB26" s="2356"/>
      <c r="GC26" s="2356"/>
      <c r="GD26" s="2356"/>
      <c r="GE26" s="2356"/>
    </row>
    <row r="27" spans="1:188" ht="12.95" customHeight="1">
      <c r="A27" s="2356" t="s">
        <v>4078</v>
      </c>
      <c r="B27" s="2356"/>
      <c r="C27" s="2356"/>
      <c r="D27" s="2356" t="s">
        <v>4080</v>
      </c>
      <c r="E27" s="2356"/>
      <c r="F27" s="2356"/>
      <c r="G27" s="2356"/>
      <c r="H27" s="2356"/>
      <c r="I27" s="2356"/>
      <c r="AK27" s="2356" t="s">
        <v>4076</v>
      </c>
      <c r="AX27" s="2356" t="s">
        <v>4078</v>
      </c>
      <c r="AY27" s="2356"/>
      <c r="AZ27" s="2356"/>
      <c r="BA27" s="2356"/>
      <c r="BB27" s="2356"/>
      <c r="BC27" s="2356"/>
      <c r="BD27" s="2356"/>
      <c r="BE27" s="2356"/>
      <c r="BF27" s="2356"/>
      <c r="BG27" s="2356"/>
      <c r="BH27" s="2356"/>
      <c r="BI27" s="2356"/>
      <c r="BL27" s="2356" t="s">
        <v>4078</v>
      </c>
      <c r="BM27" s="2356"/>
      <c r="BN27" s="2356"/>
      <c r="BO27" s="2356"/>
      <c r="BP27" s="2356"/>
      <c r="BQ27" s="2356"/>
      <c r="BR27" s="2356"/>
      <c r="BS27" s="2356"/>
      <c r="BT27" s="2356"/>
      <c r="BU27" s="2356"/>
      <c r="BV27" s="2356"/>
      <c r="BW27" s="2356"/>
      <c r="BX27" s="2400"/>
      <c r="CE27" s="2356"/>
      <c r="CH27" s="2393"/>
      <c r="CS27" s="2401"/>
      <c r="CX27" s="2399" t="s">
        <v>4081</v>
      </c>
      <c r="CY27" s="2427" t="s">
        <v>4036</v>
      </c>
      <c r="CZ27" s="2357">
        <v>17915</v>
      </c>
      <c r="DA27" s="2357"/>
      <c r="DB27" s="2357"/>
      <c r="DC27" s="2356" t="s">
        <v>4078</v>
      </c>
      <c r="DD27" s="2356"/>
      <c r="DE27" s="2356"/>
      <c r="DF27" s="2356"/>
      <c r="DG27" s="2356"/>
      <c r="DH27" s="2356"/>
      <c r="DI27" s="2356"/>
      <c r="DJ27" s="2356"/>
      <c r="DM27" s="2357"/>
      <c r="DN27" s="2357"/>
      <c r="DO27" s="2357"/>
      <c r="DP27" s="2357"/>
      <c r="DQ27" s="2357"/>
      <c r="DU27" s="2356"/>
      <c r="DV27" s="2356"/>
      <c r="DW27" s="2356"/>
      <c r="DX27" s="2356"/>
      <c r="DY27" s="2356"/>
      <c r="DZ27" s="2356"/>
      <c r="EK27" s="2356"/>
      <c r="EL27" s="2356"/>
      <c r="EM27" s="2356"/>
      <c r="EN27" s="2356"/>
      <c r="EO27" s="2356"/>
      <c r="EP27" s="2356"/>
      <c r="EQ27" s="2356"/>
      <c r="ER27" s="2356"/>
      <c r="EU27" s="2356"/>
      <c r="EV27" s="2356"/>
      <c r="EW27" s="2356"/>
      <c r="EX27" s="2356"/>
      <c r="EY27" s="2356"/>
      <c r="EZ27" s="2356"/>
      <c r="FA27" s="2356"/>
      <c r="FB27" s="2356"/>
      <c r="FC27" s="2356"/>
      <c r="FD27" s="2356"/>
      <c r="FE27" s="2356"/>
      <c r="FF27" s="2356"/>
      <c r="FG27" s="2356"/>
      <c r="FH27" s="2356"/>
      <c r="FI27" s="2356"/>
      <c r="FJ27" s="2356"/>
      <c r="FK27" s="2356"/>
      <c r="FL27" s="2356"/>
      <c r="FM27" s="2356"/>
      <c r="FV27" s="2356"/>
      <c r="FW27" s="2356"/>
      <c r="FX27" s="2356"/>
      <c r="FY27" s="2356"/>
      <c r="FZ27" s="2356"/>
      <c r="GA27" s="2356"/>
      <c r="GB27" s="2356"/>
      <c r="GC27" s="2356"/>
      <c r="GD27" s="2356"/>
      <c r="GE27" s="2356"/>
    </row>
    <row r="28" spans="1:188" ht="12.75" customHeight="1">
      <c r="A28" s="2356" t="s">
        <v>4082</v>
      </c>
      <c r="B28" s="2356"/>
      <c r="C28" s="2356"/>
      <c r="D28" s="2356" t="s">
        <v>4083</v>
      </c>
      <c r="E28" s="2356"/>
      <c r="F28" s="2356"/>
      <c r="G28" s="2356"/>
      <c r="H28" s="2356"/>
      <c r="I28" s="2356"/>
      <c r="AK28" s="2356"/>
      <c r="AL28" s="2356"/>
      <c r="AM28" s="2356"/>
      <c r="CH28" s="2393"/>
      <c r="CS28" s="2356"/>
      <c r="CX28" s="2399" t="s">
        <v>4040</v>
      </c>
      <c r="CY28" s="2427" t="s">
        <v>4036</v>
      </c>
      <c r="CZ28" s="2357">
        <v>17601</v>
      </c>
      <c r="DA28" s="2357"/>
      <c r="DB28" s="2357"/>
      <c r="DE28" s="2357"/>
      <c r="DF28" s="2357"/>
      <c r="DG28" s="2357"/>
      <c r="DH28" s="2357"/>
      <c r="DI28" s="2357"/>
      <c r="DJ28" s="2357"/>
      <c r="DK28" s="2357"/>
      <c r="DL28" s="2357"/>
      <c r="DM28" s="2357"/>
      <c r="DN28" s="2357"/>
      <c r="DO28" s="2357"/>
      <c r="DP28" s="2357"/>
      <c r="DQ28" s="2357"/>
      <c r="FK28" s="2356"/>
      <c r="FL28" s="2356"/>
      <c r="FM28" s="2356"/>
      <c r="FV28" s="2356"/>
      <c r="FW28" s="2356"/>
      <c r="FX28" s="2356"/>
      <c r="FY28" s="2356"/>
      <c r="FZ28" s="2356"/>
      <c r="GA28" s="2356"/>
      <c r="GB28" s="2356"/>
      <c r="GC28" s="2356"/>
      <c r="GD28" s="2356"/>
      <c r="GE28" s="2356"/>
    </row>
    <row r="29" spans="1:188" ht="12.95" customHeight="1">
      <c r="A29" s="2356" t="s">
        <v>4084</v>
      </c>
      <c r="M29" s="2356"/>
      <c r="Z29" s="2356" t="s">
        <v>4085</v>
      </c>
      <c r="AA29" s="2356"/>
      <c r="AB29" s="2368"/>
      <c r="AC29" s="2368"/>
      <c r="AD29" s="2368"/>
      <c r="AE29" s="2368"/>
      <c r="AF29" s="2356"/>
      <c r="AG29" s="2356"/>
      <c r="BZ29" s="2368" t="s">
        <v>4086</v>
      </c>
      <c r="CA29" s="2368"/>
      <c r="CB29" s="2368"/>
      <c r="CC29" s="2356"/>
      <c r="CD29" s="2356"/>
      <c r="CE29" s="2368"/>
      <c r="CF29" s="2368"/>
      <c r="CH29" s="2393"/>
      <c r="CX29" s="2399" t="s">
        <v>4041</v>
      </c>
      <c r="CY29" s="2427" t="s">
        <v>4036</v>
      </c>
      <c r="CZ29" s="2357">
        <v>16897</v>
      </c>
      <c r="DA29" s="2357"/>
      <c r="DB29" s="2357"/>
      <c r="DC29" s="2357"/>
      <c r="DD29" s="2357"/>
      <c r="DE29" s="2357"/>
      <c r="DF29" s="2357"/>
      <c r="DG29" s="2357"/>
      <c r="DH29" s="2357"/>
      <c r="DI29" s="2357"/>
      <c r="DJ29" s="2357"/>
      <c r="DK29" s="2357"/>
      <c r="DL29" s="2357"/>
      <c r="DM29" s="2357"/>
      <c r="DN29" s="2357"/>
      <c r="DO29" s="2357"/>
      <c r="DP29" s="2357"/>
      <c r="DQ29" s="2357"/>
      <c r="FK29" s="2356"/>
      <c r="FL29" s="2356"/>
      <c r="FM29" s="2356"/>
      <c r="FV29" s="2356"/>
      <c r="FW29" s="2356"/>
      <c r="FX29" s="2356"/>
      <c r="FY29" s="2356"/>
      <c r="FZ29" s="2356"/>
      <c r="GA29" s="2356"/>
      <c r="GB29" s="2356"/>
      <c r="GC29" s="2356"/>
      <c r="GD29" s="2356"/>
      <c r="GE29" s="2356"/>
    </row>
    <row r="30" spans="1:188" ht="12.95" customHeight="1">
      <c r="A30" s="2356"/>
      <c r="M30" s="2398"/>
      <c r="W30" s="2354"/>
      <c r="Z30" s="2458"/>
      <c r="AA30" s="2457"/>
      <c r="AB30" s="2420" t="s">
        <v>4087</v>
      </c>
      <c r="AC30" s="2421"/>
      <c r="AD30" s="2420" t="s">
        <v>3974</v>
      </c>
      <c r="AE30" s="2421"/>
      <c r="AF30" s="2420" t="s">
        <v>3975</v>
      </c>
      <c r="AG30" s="2419"/>
      <c r="AK30" s="2395"/>
      <c r="AL30" s="2395"/>
      <c r="AM30" s="2395"/>
      <c r="BZ30" s="2387"/>
      <c r="CA30" s="2461"/>
      <c r="CB30" s="2460"/>
      <c r="CC30" s="2420" t="s">
        <v>3982</v>
      </c>
      <c r="CD30" s="2421"/>
      <c r="CE30" s="2420" t="s">
        <v>3977</v>
      </c>
      <c r="CF30" s="2419"/>
      <c r="CH30" s="2393"/>
      <c r="CX30" s="2399" t="s">
        <v>4088</v>
      </c>
      <c r="CY30" s="2427" t="s">
        <v>4039</v>
      </c>
      <c r="CZ30" s="2357">
        <v>15590</v>
      </c>
      <c r="DA30" s="2357"/>
      <c r="DB30" s="2357"/>
      <c r="DC30" s="2357"/>
      <c r="DD30" s="2357"/>
      <c r="DE30" s="2357"/>
      <c r="DF30" s="2357"/>
      <c r="DG30" s="2357"/>
      <c r="DH30" s="2357"/>
      <c r="DI30" s="2357"/>
      <c r="DJ30" s="2357"/>
      <c r="DK30" s="2357"/>
      <c r="DL30" s="2357"/>
      <c r="DM30" s="2357"/>
      <c r="DN30" s="2357"/>
      <c r="DO30" s="2357"/>
      <c r="DP30" s="2357"/>
      <c r="DQ30" s="2357"/>
      <c r="FK30" s="2356"/>
      <c r="FL30" s="2356"/>
      <c r="FM30" s="2356"/>
      <c r="FV30" s="2356"/>
      <c r="FW30" s="2356"/>
      <c r="FX30" s="2356"/>
      <c r="FY30" s="2356"/>
      <c r="FZ30" s="2356"/>
      <c r="GA30" s="2356"/>
      <c r="GB30" s="2356"/>
      <c r="GC30" s="2356"/>
      <c r="GD30" s="2356"/>
      <c r="GE30" s="2356"/>
    </row>
    <row r="31" spans="1:188" ht="12.95" customHeight="1">
      <c r="A31" s="2356"/>
      <c r="V31" s="2355"/>
      <c r="X31" s="2355"/>
      <c r="Z31" s="2451"/>
      <c r="AA31" s="2450"/>
      <c r="AB31" s="2445" t="s">
        <v>4000</v>
      </c>
      <c r="AC31" s="2444"/>
      <c r="AD31" s="2445" t="s">
        <v>4001</v>
      </c>
      <c r="AE31" s="2444"/>
      <c r="AF31" s="2445" t="s">
        <v>4002</v>
      </c>
      <c r="AG31" s="2437"/>
      <c r="AN31" s="2355"/>
      <c r="AO31" s="2355"/>
      <c r="AP31" s="2355"/>
      <c r="AQ31" s="2355"/>
      <c r="AR31" s="2355"/>
      <c r="AS31" s="2355"/>
      <c r="BZ31" s="2356" t="s">
        <v>4013</v>
      </c>
      <c r="CA31" s="2418" t="s">
        <v>3991</v>
      </c>
      <c r="CB31" s="2450" t="s">
        <v>129</v>
      </c>
      <c r="CC31" s="2415" t="s">
        <v>4014</v>
      </c>
      <c r="CD31" s="2416"/>
      <c r="CE31" s="2415" t="s">
        <v>4015</v>
      </c>
      <c r="CF31" s="2414"/>
      <c r="CH31" s="2393"/>
      <c r="CJ31" s="2368" t="s">
        <v>4089</v>
      </c>
      <c r="CK31" s="2368"/>
      <c r="CL31" s="2368"/>
      <c r="CM31" s="2368"/>
      <c r="CN31" s="2356"/>
      <c r="CO31" s="2356"/>
      <c r="CP31" s="2356"/>
      <c r="CQ31" s="2356"/>
      <c r="CR31" s="2356"/>
      <c r="CS31" s="2356"/>
      <c r="CT31" s="2356"/>
      <c r="CU31" s="2356"/>
      <c r="CX31" s="2399" t="s">
        <v>4090</v>
      </c>
      <c r="CY31" s="2427" t="s">
        <v>4039</v>
      </c>
      <c r="CZ31" s="2357">
        <v>14212</v>
      </c>
      <c r="DA31" s="2357"/>
      <c r="DB31" s="2357"/>
      <c r="DC31" s="2368" t="s">
        <v>4091</v>
      </c>
      <c r="DD31" s="2368"/>
      <c r="DE31" s="2356"/>
      <c r="DF31" s="2356"/>
      <c r="DG31" s="2356"/>
      <c r="DH31" s="2356"/>
      <c r="DI31" s="2356"/>
      <c r="DJ31" s="2356"/>
      <c r="DK31" s="2357"/>
      <c r="DL31" s="2357"/>
      <c r="DM31" s="2357"/>
      <c r="DN31" s="2357"/>
      <c r="DO31" s="2357"/>
      <c r="DP31" s="2357"/>
      <c r="DQ31" s="2357"/>
      <c r="DS31" s="2356"/>
      <c r="DT31" s="2356"/>
      <c r="DU31" s="2356"/>
      <c r="DV31" s="2356"/>
      <c r="DW31" s="2356"/>
      <c r="DX31" s="2356"/>
      <c r="DY31" s="2356"/>
      <c r="DZ31" s="2356"/>
      <c r="EI31" s="2356"/>
      <c r="EJ31" s="2356"/>
      <c r="EK31" s="2356"/>
      <c r="EL31" s="2356"/>
      <c r="EM31" s="2356"/>
      <c r="EN31" s="2356"/>
      <c r="EO31" s="2356"/>
      <c r="EP31" s="2356"/>
      <c r="EQ31" s="2356"/>
      <c r="EU31" s="2356"/>
      <c r="EV31" s="2356"/>
      <c r="EW31" s="2356"/>
      <c r="EX31" s="2356"/>
      <c r="EY31" s="2356"/>
      <c r="EZ31" s="2356"/>
      <c r="FA31" s="2356"/>
      <c r="FB31" s="2356"/>
      <c r="FC31" s="2356"/>
      <c r="FD31" s="2356"/>
      <c r="FE31" s="2356"/>
      <c r="FF31" s="2356"/>
      <c r="FG31" s="2356"/>
      <c r="FH31" s="2356"/>
      <c r="FI31" s="2356"/>
      <c r="FJ31" s="2356"/>
      <c r="FK31" s="2356"/>
      <c r="FL31" s="2356"/>
      <c r="FM31" s="2356"/>
      <c r="FV31" s="2399"/>
      <c r="FW31" s="2356"/>
      <c r="FX31" s="2356"/>
      <c r="FY31" s="2356"/>
      <c r="FZ31" s="2356"/>
      <c r="GA31" s="2356"/>
      <c r="GB31" s="2356"/>
      <c r="GC31" s="2356"/>
      <c r="GD31" s="2356"/>
      <c r="GE31" s="2356"/>
    </row>
    <row r="32" spans="1:188" ht="12.95" customHeight="1">
      <c r="L32" s="2439"/>
      <c r="V32" s="2459"/>
      <c r="W32" s="2459"/>
      <c r="X32" s="2459"/>
      <c r="Z32" s="2356" t="s">
        <v>4013</v>
      </c>
      <c r="AA32" s="2418" t="s">
        <v>129</v>
      </c>
      <c r="AB32" s="2415" t="s">
        <v>4027</v>
      </c>
      <c r="AC32" s="2416"/>
      <c r="AD32" s="2415" t="s">
        <v>4028</v>
      </c>
      <c r="AE32" s="2416"/>
      <c r="AF32" s="2415" t="s">
        <v>4029</v>
      </c>
      <c r="AG32" s="2414"/>
      <c r="AK32" s="2439"/>
      <c r="AL32" s="2439"/>
      <c r="AM32" s="2439"/>
      <c r="BZ32" s="2368" t="s">
        <v>4020</v>
      </c>
      <c r="CA32" s="2374" t="s">
        <v>4021</v>
      </c>
      <c r="CB32" s="2372" t="s">
        <v>3972</v>
      </c>
      <c r="CC32" s="2373" t="s">
        <v>1665</v>
      </c>
      <c r="CD32" s="2373" t="s">
        <v>1666</v>
      </c>
      <c r="CE32" s="2373" t="s">
        <v>1665</v>
      </c>
      <c r="CF32" s="2372" t="s">
        <v>1666</v>
      </c>
      <c r="CH32" s="2393"/>
      <c r="CJ32" s="2387"/>
      <c r="CK32" s="2386"/>
      <c r="CM32" s="2456"/>
      <c r="CN32" s="2383" t="s">
        <v>3983</v>
      </c>
      <c r="CO32" s="2385"/>
      <c r="CP32" s="2455" t="s">
        <v>3978</v>
      </c>
      <c r="CQ32" s="2454"/>
      <c r="CR32" s="2362"/>
      <c r="CS32" s="2362"/>
      <c r="CT32" s="2463"/>
      <c r="CU32" s="2463"/>
      <c r="CX32" s="2399" t="s">
        <v>4092</v>
      </c>
      <c r="CY32" s="2427" t="s">
        <v>4036</v>
      </c>
      <c r="CZ32" s="2357">
        <v>13903</v>
      </c>
      <c r="DA32" s="2357"/>
      <c r="DB32" s="2357"/>
      <c r="DC32" s="2387"/>
      <c r="DD32" s="2386"/>
      <c r="DE32" s="2383" t="s">
        <v>4093</v>
      </c>
      <c r="DF32" s="2385"/>
      <c r="DG32" s="2383" t="s">
        <v>4094</v>
      </c>
      <c r="DH32" s="2389"/>
      <c r="DI32" s="2383" t="s">
        <v>4095</v>
      </c>
      <c r="DJ32" s="2389"/>
      <c r="DK32" s="2357"/>
      <c r="DL32" s="2357"/>
      <c r="DM32" s="2357"/>
      <c r="DN32" s="2357"/>
      <c r="DO32" s="2357"/>
      <c r="DP32" s="2357"/>
      <c r="DQ32" s="2357"/>
      <c r="DS32" s="2356"/>
      <c r="DT32" s="2364"/>
      <c r="DU32" s="2362"/>
      <c r="DV32" s="2362"/>
      <c r="DW32" s="2362"/>
      <c r="DX32" s="2363"/>
      <c r="DY32" s="2362"/>
      <c r="DZ32" s="2362"/>
      <c r="EI32" s="2356"/>
      <c r="EJ32" s="2364"/>
      <c r="EK32" s="2362"/>
      <c r="EL32" s="2362"/>
      <c r="EM32" s="2363"/>
      <c r="EN32" s="2363"/>
      <c r="EO32" s="2362"/>
      <c r="EP32" s="2362"/>
      <c r="EQ32" s="2408"/>
      <c r="EU32" s="2408"/>
      <c r="EV32" s="2356"/>
      <c r="EW32" s="2364"/>
      <c r="EX32" s="2364"/>
      <c r="EY32" s="2362"/>
      <c r="EZ32" s="2362"/>
      <c r="FA32" s="2362"/>
      <c r="FB32" s="2362"/>
      <c r="FC32" s="2362"/>
      <c r="FD32" s="2362"/>
      <c r="FE32" s="2409"/>
      <c r="FG32" s="2362"/>
      <c r="FH32" s="2362"/>
      <c r="FI32" s="2409"/>
      <c r="FJ32" s="2408"/>
      <c r="FK32" s="2362"/>
      <c r="FL32" s="2362"/>
      <c r="FM32" s="2409"/>
      <c r="FV32" s="2356"/>
      <c r="FW32" s="2364"/>
      <c r="FX32" s="2364"/>
      <c r="FY32" s="2362"/>
      <c r="FZ32" s="2362"/>
      <c r="GA32" s="2362"/>
      <c r="GB32" s="2362"/>
      <c r="GC32" s="2362"/>
      <c r="GD32" s="2362"/>
    </row>
    <row r="33" spans="1:186" ht="12.95" customHeight="1">
      <c r="L33" s="2493"/>
      <c r="V33" s="2357"/>
      <c r="W33" s="2357"/>
      <c r="X33" s="2357"/>
      <c r="Z33" s="2375" t="s">
        <v>4020</v>
      </c>
      <c r="AA33" s="2372" t="s">
        <v>3986</v>
      </c>
      <c r="AB33" s="2373" t="s">
        <v>1665</v>
      </c>
      <c r="AC33" s="2373" t="s">
        <v>1666</v>
      </c>
      <c r="AD33" s="2373" t="s">
        <v>1665</v>
      </c>
      <c r="AE33" s="2373" t="s">
        <v>1666</v>
      </c>
      <c r="AF33" s="2373" t="s">
        <v>1665</v>
      </c>
      <c r="AG33" s="2371" t="s">
        <v>1666</v>
      </c>
      <c r="AK33" s="2439"/>
      <c r="AL33" s="2439"/>
      <c r="AM33" s="2439"/>
      <c r="AN33" s="2355"/>
      <c r="AO33" s="2355"/>
      <c r="AP33" s="2355"/>
      <c r="AQ33" s="2355"/>
      <c r="AX33" s="2356" t="s">
        <v>4096</v>
      </c>
      <c r="AY33" s="2357"/>
      <c r="AZ33" s="2357"/>
      <c r="BA33" s="2357"/>
      <c r="BB33" s="2357"/>
      <c r="BC33" s="2357"/>
      <c r="BD33" s="2357"/>
      <c r="BE33" s="2357"/>
      <c r="BF33" s="2357"/>
      <c r="BG33" s="2357"/>
      <c r="BH33" s="2357"/>
      <c r="BI33" s="2357"/>
      <c r="BL33" s="2356" t="s">
        <v>4097</v>
      </c>
      <c r="BM33" s="2357"/>
      <c r="BN33" s="2357"/>
      <c r="BO33" s="2357"/>
      <c r="BP33" s="2357"/>
      <c r="BQ33" s="2357"/>
      <c r="BR33" s="2357"/>
      <c r="BS33" s="2357"/>
      <c r="BT33" s="2357"/>
      <c r="BU33" s="2357"/>
      <c r="BV33" s="2357"/>
      <c r="BW33" s="2357"/>
      <c r="BZ33" s="2356" t="s">
        <v>3503</v>
      </c>
      <c r="CA33" s="2492">
        <f>SUM(CA34:CA52)</f>
        <v>55961</v>
      </c>
      <c r="CB33" s="2369">
        <f>SUM(CB34:CB52)</f>
        <v>37386</v>
      </c>
      <c r="CC33" s="2369">
        <f>SUM(CC34:CC52)</f>
        <v>24001</v>
      </c>
      <c r="CD33" s="2434">
        <f>CC33/CB33*100</f>
        <v>64.197828063981163</v>
      </c>
      <c r="CE33" s="2369">
        <f>SUM(CE34:CE52)</f>
        <v>11427</v>
      </c>
      <c r="CF33" s="2434">
        <f>CE33/CB33*100</f>
        <v>30.564917348740174</v>
      </c>
      <c r="CH33" s="2393"/>
      <c r="CJ33" s="2356" t="s">
        <v>3990</v>
      </c>
      <c r="CK33" s="2381" t="s">
        <v>129</v>
      </c>
      <c r="CL33" s="2449" t="s">
        <v>4007</v>
      </c>
      <c r="CM33" s="2448" t="s">
        <v>2450</v>
      </c>
      <c r="CN33" s="2377"/>
      <c r="CO33" s="2380"/>
      <c r="CP33" s="2447"/>
      <c r="CQ33" s="2446"/>
      <c r="CR33" s="2362"/>
      <c r="CS33" s="2362"/>
      <c r="CT33" s="2463"/>
      <c r="CU33" s="2463"/>
      <c r="CX33" s="2399" t="s">
        <v>4054</v>
      </c>
      <c r="CY33" s="2427" t="s">
        <v>4036</v>
      </c>
      <c r="CZ33" s="2357">
        <v>13709</v>
      </c>
      <c r="DA33" s="2357"/>
      <c r="DB33" s="2357"/>
      <c r="DC33" s="2356" t="s">
        <v>4013</v>
      </c>
      <c r="DD33" s="2381" t="s">
        <v>4019</v>
      </c>
      <c r="DE33" s="2377"/>
      <c r="DF33" s="2380"/>
      <c r="DG33" s="2379"/>
      <c r="DH33" s="2388"/>
      <c r="DI33" s="2379"/>
      <c r="DJ33" s="2388"/>
      <c r="DK33" s="2357"/>
      <c r="DL33" s="2357"/>
      <c r="DM33" s="2357"/>
      <c r="DN33" s="2357"/>
      <c r="DO33" s="2357"/>
      <c r="DP33" s="2357"/>
      <c r="DQ33" s="2357"/>
      <c r="DS33" s="2356"/>
      <c r="DT33" s="2364"/>
      <c r="DU33" s="2362"/>
      <c r="DV33" s="2362"/>
      <c r="DW33" s="2363"/>
      <c r="DX33" s="2363"/>
      <c r="DY33" s="2362"/>
      <c r="DZ33" s="2362"/>
      <c r="EI33" s="2356"/>
      <c r="EJ33" s="2364"/>
      <c r="EK33" s="2362"/>
      <c r="EL33" s="2362"/>
      <c r="EM33" s="2363"/>
      <c r="EN33" s="2363"/>
      <c r="EO33" s="2362"/>
      <c r="EP33" s="2362"/>
      <c r="EQ33" s="2408"/>
      <c r="EU33" s="2408"/>
      <c r="EV33" s="2356"/>
      <c r="EW33" s="2364"/>
      <c r="EX33" s="2364"/>
      <c r="EY33" s="2362"/>
      <c r="EZ33" s="2362"/>
      <c r="FA33" s="2362"/>
      <c r="FB33" s="2362"/>
      <c r="FC33" s="2362"/>
      <c r="FD33" s="2362"/>
      <c r="FE33" s="2409"/>
      <c r="FG33" s="2362"/>
      <c r="FH33" s="2362"/>
      <c r="FI33" s="2409"/>
      <c r="FJ33" s="2408"/>
      <c r="FK33" s="2362"/>
      <c r="FL33" s="2362"/>
      <c r="FM33" s="2409"/>
      <c r="FV33" s="2356"/>
      <c r="FW33" s="2364"/>
      <c r="FX33" s="2364"/>
      <c r="FY33" s="2362"/>
      <c r="FZ33" s="2362"/>
      <c r="GA33" s="2362"/>
      <c r="GB33" s="2362"/>
      <c r="GC33" s="2362"/>
      <c r="GD33" s="2362"/>
    </row>
    <row r="34" spans="1:186" ht="12.95" customHeight="1">
      <c r="A34" s="2424" t="s">
        <v>4098</v>
      </c>
      <c r="B34" s="2424"/>
      <c r="C34" s="2424"/>
      <c r="D34" s="2424"/>
      <c r="E34" s="2424"/>
      <c r="F34" s="2424"/>
      <c r="G34" s="2424"/>
      <c r="H34" s="2424"/>
      <c r="I34" s="2424"/>
      <c r="L34" s="2459"/>
      <c r="V34" s="2357"/>
      <c r="W34" s="2357"/>
      <c r="X34" s="2357"/>
      <c r="Z34" s="2356" t="s">
        <v>3503</v>
      </c>
      <c r="AA34" s="2359">
        <f>SUM(AA35:AA53)</f>
        <v>37386</v>
      </c>
      <c r="AB34" s="2359">
        <f>SUM(AB35:AB53)</f>
        <v>9487</v>
      </c>
      <c r="AC34" s="2401">
        <f>AB34/AA34*100</f>
        <v>25.37580912641096</v>
      </c>
      <c r="AD34" s="2359">
        <f>SUM(AD35:AD53)</f>
        <v>18258</v>
      </c>
      <c r="AE34" s="2401">
        <f>AD34/AA34*100</f>
        <v>48.836462847055046</v>
      </c>
      <c r="AF34" s="2357">
        <f>SUM(AF35:AF53)</f>
        <v>9641</v>
      </c>
      <c r="AG34" s="2401">
        <f>AF34/AA34*100</f>
        <v>25.787728026533998</v>
      </c>
      <c r="AX34" s="2387"/>
      <c r="AY34" s="2491"/>
      <c r="AZ34" s="2491"/>
      <c r="BA34" s="2490"/>
      <c r="BB34" s="2489" t="s">
        <v>4099</v>
      </c>
      <c r="BC34" s="2488"/>
      <c r="BD34" s="2489" t="s">
        <v>3977</v>
      </c>
      <c r="BE34" s="2488"/>
      <c r="BF34" s="2455" t="s">
        <v>3978</v>
      </c>
      <c r="BG34" s="2454"/>
      <c r="BH34" s="2463"/>
      <c r="BI34" s="2463"/>
      <c r="BL34" s="2387"/>
      <c r="BM34" s="2491"/>
      <c r="BN34" s="2491"/>
      <c r="BO34" s="2490"/>
      <c r="BP34" s="2489" t="s">
        <v>3979</v>
      </c>
      <c r="BQ34" s="2488"/>
      <c r="BR34" s="2489" t="s">
        <v>4100</v>
      </c>
      <c r="BS34" s="2488"/>
      <c r="BT34" s="2455" t="s">
        <v>3978</v>
      </c>
      <c r="BU34" s="2454"/>
      <c r="BV34" s="2462"/>
      <c r="BW34" s="2462"/>
      <c r="BZ34" s="2360" t="s">
        <v>2384</v>
      </c>
      <c r="CA34" s="2487">
        <v>496</v>
      </c>
      <c r="CB34" s="2442">
        <v>359</v>
      </c>
      <c r="CC34" s="2369">
        <v>236</v>
      </c>
      <c r="CD34" s="2434">
        <f>CC34/CB34*100</f>
        <v>65.738161559888582</v>
      </c>
      <c r="CE34" s="2369">
        <v>106</v>
      </c>
      <c r="CF34" s="2434">
        <f>CE34/CB34*100</f>
        <v>29.526462395543174</v>
      </c>
      <c r="CH34" s="2426"/>
      <c r="CJ34" s="2375" t="s">
        <v>4020</v>
      </c>
      <c r="CK34" s="2372" t="s">
        <v>3972</v>
      </c>
      <c r="CL34" s="2441" t="s">
        <v>4034</v>
      </c>
      <c r="CM34" s="2441" t="s">
        <v>4034</v>
      </c>
      <c r="CN34" s="2373" t="s">
        <v>1665</v>
      </c>
      <c r="CO34" s="2373" t="s">
        <v>1666</v>
      </c>
      <c r="CP34" s="2440" t="s">
        <v>1665</v>
      </c>
      <c r="CQ34" s="2371" t="s">
        <v>1666</v>
      </c>
      <c r="CR34" s="2369"/>
      <c r="CS34" s="2361"/>
      <c r="CT34" s="2369"/>
      <c r="CU34" s="2361"/>
      <c r="CX34" s="2399" t="s">
        <v>4058</v>
      </c>
      <c r="CY34" s="2427" t="s">
        <v>4039</v>
      </c>
      <c r="CZ34" s="2357">
        <v>13434</v>
      </c>
      <c r="DA34" s="2357"/>
      <c r="DB34" s="2357"/>
      <c r="DC34" s="2375" t="s">
        <v>4020</v>
      </c>
      <c r="DD34" s="2374" t="s">
        <v>3986</v>
      </c>
      <c r="DE34" s="2373" t="s">
        <v>1665</v>
      </c>
      <c r="DF34" s="2373" t="s">
        <v>1666</v>
      </c>
      <c r="DG34" s="2373" t="s">
        <v>1665</v>
      </c>
      <c r="DH34" s="2371" t="s">
        <v>1666</v>
      </c>
      <c r="DI34" s="2372" t="s">
        <v>1665</v>
      </c>
      <c r="DJ34" s="2372" t="s">
        <v>1666</v>
      </c>
      <c r="DK34" s="2357"/>
      <c r="DL34" s="2357"/>
      <c r="DM34" s="2357"/>
      <c r="DN34" s="2357"/>
      <c r="DO34" s="2357"/>
      <c r="DP34" s="2357"/>
      <c r="DQ34" s="2357"/>
      <c r="DS34" s="2356"/>
      <c r="DT34" s="2361"/>
      <c r="DU34" s="2361"/>
      <c r="DV34" s="2361"/>
      <c r="DW34" s="2361"/>
      <c r="DX34" s="2361"/>
      <c r="DY34" s="2361"/>
      <c r="DZ34" s="2361"/>
      <c r="EI34" s="2356"/>
      <c r="EJ34" s="2361"/>
      <c r="EK34" s="2361"/>
      <c r="EL34" s="2361"/>
      <c r="EM34" s="2361"/>
      <c r="EN34" s="2361"/>
      <c r="EO34" s="2361"/>
      <c r="EP34" s="2361"/>
      <c r="EQ34" s="2361"/>
      <c r="EU34" s="2361"/>
      <c r="EV34" s="2356"/>
      <c r="EW34" s="2361"/>
      <c r="EX34" s="2361"/>
      <c r="EY34" s="2361"/>
      <c r="EZ34" s="2361"/>
      <c r="FA34" s="2361"/>
      <c r="FB34" s="2361"/>
      <c r="FC34" s="2361"/>
      <c r="FD34" s="2361"/>
      <c r="FE34" s="2361"/>
      <c r="FG34" s="2361"/>
      <c r="FH34" s="2361"/>
      <c r="FI34" s="2361"/>
      <c r="FJ34" s="2361"/>
      <c r="FK34" s="2361"/>
      <c r="FL34" s="2361"/>
      <c r="FM34" s="2361"/>
      <c r="FV34" s="2356"/>
      <c r="FW34" s="2361"/>
      <c r="FX34" s="2361"/>
      <c r="FY34" s="2361"/>
      <c r="FZ34" s="2405"/>
      <c r="GA34" s="2361"/>
      <c r="GB34" s="2361"/>
      <c r="GC34" s="2361"/>
      <c r="GD34" s="2361"/>
    </row>
    <row r="35" spans="1:186" ht="14.1" customHeight="1">
      <c r="A35" s="2387"/>
      <c r="B35" s="2423"/>
      <c r="C35" s="2422"/>
      <c r="D35" s="2485" t="s">
        <v>4101</v>
      </c>
      <c r="E35" s="2486"/>
      <c r="F35" s="2485" t="s">
        <v>4102</v>
      </c>
      <c r="G35" s="2486"/>
      <c r="H35" s="2485" t="s">
        <v>4103</v>
      </c>
      <c r="I35" s="2484"/>
      <c r="J35" s="2485" t="s">
        <v>4104</v>
      </c>
      <c r="K35" s="2484"/>
      <c r="L35" s="2369"/>
      <c r="V35" s="2357"/>
      <c r="W35" s="2357"/>
      <c r="X35" s="2357"/>
      <c r="Z35" s="2360" t="s">
        <v>2384</v>
      </c>
      <c r="AA35" s="2370">
        <v>359</v>
      </c>
      <c r="AB35" s="2359">
        <v>95</v>
      </c>
      <c r="AC35" s="2401">
        <f>AB35/AA35*100</f>
        <v>26.462395543175489</v>
      </c>
      <c r="AD35" s="2359">
        <v>172</v>
      </c>
      <c r="AE35" s="2401">
        <f>AD35/AA35*100</f>
        <v>47.910863509749305</v>
      </c>
      <c r="AF35" s="2357">
        <v>92</v>
      </c>
      <c r="AG35" s="2401">
        <f>AF35/AA35*100</f>
        <v>25.626740947075209</v>
      </c>
      <c r="AX35" s="2356" t="s">
        <v>3990</v>
      </c>
      <c r="AY35" s="2417" t="s">
        <v>129</v>
      </c>
      <c r="AZ35" s="2483" t="s">
        <v>4007</v>
      </c>
      <c r="BA35" s="2417" t="s">
        <v>2450</v>
      </c>
      <c r="BB35" s="2415" t="s">
        <v>4105</v>
      </c>
      <c r="BC35" s="2416"/>
      <c r="BD35" s="2415" t="s">
        <v>4032</v>
      </c>
      <c r="BE35" s="2416"/>
      <c r="BF35" s="2447"/>
      <c r="BG35" s="2446"/>
      <c r="BH35" s="2463"/>
      <c r="BI35" s="2463"/>
      <c r="BL35" s="2356" t="s">
        <v>3990</v>
      </c>
      <c r="BM35" s="2417" t="s">
        <v>129</v>
      </c>
      <c r="BN35" s="2483" t="s">
        <v>4007</v>
      </c>
      <c r="BO35" s="2417" t="s">
        <v>2450</v>
      </c>
      <c r="BP35" s="2415" t="s">
        <v>4010</v>
      </c>
      <c r="BQ35" s="2416"/>
      <c r="BR35" s="2415" t="s">
        <v>4106</v>
      </c>
      <c r="BS35" s="2416"/>
      <c r="BT35" s="2447"/>
      <c r="BU35" s="2446"/>
      <c r="BV35" s="2462"/>
      <c r="BW35" s="2462"/>
      <c r="BY35" s="2359"/>
      <c r="BZ35" s="2356" t="s">
        <v>2252</v>
      </c>
      <c r="CA35" s="2473">
        <v>1186</v>
      </c>
      <c r="CB35" s="2435">
        <v>858</v>
      </c>
      <c r="CC35" s="2369">
        <v>578</v>
      </c>
      <c r="CD35" s="2434">
        <f>CC35/CB35*100</f>
        <v>67.365967365967364</v>
      </c>
      <c r="CE35" s="2369">
        <v>243</v>
      </c>
      <c r="CF35" s="2434">
        <f>CE35/CB35*100</f>
        <v>28.321678321678323</v>
      </c>
      <c r="CH35" s="2426"/>
      <c r="CJ35" s="2356" t="s">
        <v>3503</v>
      </c>
      <c r="CK35" s="2357">
        <f>SUM(CK36:CK54)</f>
        <v>29377</v>
      </c>
      <c r="CL35" s="2354">
        <f>SUM(CL36:CL54)</f>
        <v>7</v>
      </c>
      <c r="CM35" s="2359">
        <f>SUM(CM36:CM54)</f>
        <v>4830</v>
      </c>
      <c r="CN35" s="2359">
        <f>SUM(CN36:CN54)</f>
        <v>24150</v>
      </c>
      <c r="CO35" s="2401">
        <f>CN35/CK35*100</f>
        <v>82.207168873608609</v>
      </c>
      <c r="CP35" s="2471">
        <f>SUM(CP36:CP54)</f>
        <v>393</v>
      </c>
      <c r="CQ35" s="2401">
        <f>CP35/CK35*100</f>
        <v>1.3377812574463015</v>
      </c>
      <c r="CR35" s="2359"/>
      <c r="CS35" s="2401"/>
      <c r="CT35" s="2401"/>
      <c r="CU35" s="2401"/>
      <c r="CX35" s="2399" t="s">
        <v>4107</v>
      </c>
      <c r="CY35" s="2427" t="s">
        <v>4036</v>
      </c>
      <c r="CZ35" s="2357">
        <v>12919</v>
      </c>
      <c r="DA35" s="2357"/>
      <c r="DB35" s="2357"/>
      <c r="DC35" s="2356" t="s">
        <v>3503</v>
      </c>
      <c r="DD35" s="2359">
        <f>SUM(DD36:DD54)</f>
        <v>303682</v>
      </c>
      <c r="DE35" s="2357">
        <f>SUM(DE36:DE54)</f>
        <v>15501</v>
      </c>
      <c r="DF35" s="2358">
        <f>DE35/DD35*100</f>
        <v>5.1043525793428657</v>
      </c>
      <c r="DG35" s="2357">
        <f>SUM(DG36:DG54)</f>
        <v>14662</v>
      </c>
      <c r="DH35" s="2358">
        <f>DG35/DD35*100</f>
        <v>4.8280767381668985</v>
      </c>
      <c r="DI35" s="2357">
        <f>SUM(DI36:DI54)</f>
        <v>14659</v>
      </c>
      <c r="DJ35" s="2358">
        <f>DI35/DD35*100</f>
        <v>4.8270888626918946</v>
      </c>
      <c r="DK35" s="2357"/>
      <c r="DL35" s="2357"/>
      <c r="DM35" s="2357"/>
      <c r="DN35" s="2357"/>
      <c r="DO35" s="2357"/>
      <c r="DP35" s="2357"/>
      <c r="DQ35" s="2357"/>
      <c r="DS35" s="2356"/>
      <c r="DT35" s="2357"/>
      <c r="DU35" s="2357"/>
      <c r="DV35" s="2358"/>
      <c r="DW35" s="2357"/>
      <c r="DX35" s="2358"/>
      <c r="DY35" s="2357"/>
      <c r="DZ35" s="2358"/>
      <c r="EI35" s="2356"/>
      <c r="EJ35" s="2357"/>
      <c r="EK35" s="2357"/>
      <c r="EL35" s="2358"/>
      <c r="EM35" s="2357"/>
      <c r="EN35" s="2358"/>
      <c r="EO35" s="2357"/>
      <c r="EP35" s="2358"/>
      <c r="EQ35" s="2358"/>
      <c r="EU35" s="2401"/>
      <c r="EV35" s="2356"/>
      <c r="EW35" s="2357"/>
      <c r="EX35" s="2357"/>
      <c r="EY35" s="2359"/>
      <c r="EZ35" s="2401"/>
      <c r="FA35" s="2359"/>
      <c r="FB35" s="2401"/>
      <c r="FC35" s="2359"/>
      <c r="FD35" s="2401"/>
      <c r="FE35" s="2469"/>
      <c r="FG35" s="2357"/>
      <c r="FH35" s="2358"/>
      <c r="FI35" s="2357"/>
      <c r="FJ35" s="2401"/>
      <c r="FK35" s="2357"/>
      <c r="FL35" s="2401"/>
      <c r="FV35" s="2356"/>
      <c r="FW35" s="2357"/>
      <c r="FX35" s="2357"/>
      <c r="FY35" s="2357"/>
      <c r="FZ35" s="2401"/>
      <c r="GA35" s="2357"/>
      <c r="GB35" s="2358"/>
      <c r="GC35" s="2357"/>
      <c r="GD35" s="2400"/>
    </row>
    <row r="36" spans="1:186" ht="12.95" customHeight="1">
      <c r="A36" s="2356" t="s">
        <v>3990</v>
      </c>
      <c r="B36" s="2418" t="s">
        <v>3991</v>
      </c>
      <c r="C36" s="2417" t="s">
        <v>129</v>
      </c>
      <c r="D36" s="2481" t="s">
        <v>4108</v>
      </c>
      <c r="E36" s="2482"/>
      <c r="F36" s="2481" t="s">
        <v>4109</v>
      </c>
      <c r="G36" s="2482"/>
      <c r="H36" s="2481" t="s">
        <v>4110</v>
      </c>
      <c r="I36" s="2480"/>
      <c r="J36" s="2481" t="s">
        <v>4111</v>
      </c>
      <c r="K36" s="2480"/>
      <c r="L36" s="2400"/>
      <c r="V36" s="2357"/>
      <c r="W36" s="2357"/>
      <c r="X36" s="2357"/>
      <c r="Z36" s="2356" t="s">
        <v>2252</v>
      </c>
      <c r="AA36" s="2357">
        <v>858</v>
      </c>
      <c r="AB36" s="2359">
        <v>235</v>
      </c>
      <c r="AC36" s="2401">
        <f>AB36/AA36*100</f>
        <v>27.389277389277389</v>
      </c>
      <c r="AD36" s="2359">
        <v>384</v>
      </c>
      <c r="AE36" s="2401">
        <f>AD36/AA36*100</f>
        <v>44.755244755244753</v>
      </c>
      <c r="AF36" s="2357">
        <v>239</v>
      </c>
      <c r="AG36" s="2401">
        <f>AF36/AA36*100</f>
        <v>27.855477855477854</v>
      </c>
      <c r="AH36" s="2356"/>
      <c r="AI36" s="2356"/>
      <c r="AJ36" s="2356"/>
      <c r="AK36" s="2356"/>
      <c r="AL36" s="2356"/>
      <c r="AM36" s="2356"/>
      <c r="AN36" s="2356"/>
      <c r="AO36" s="2356"/>
      <c r="AP36" s="2356"/>
      <c r="AQ36" s="2356"/>
      <c r="AR36" s="2356"/>
      <c r="AS36" s="2356"/>
      <c r="AT36" s="2356"/>
      <c r="AU36" s="2356"/>
      <c r="AV36" s="2356"/>
      <c r="AW36" s="2356"/>
      <c r="AX36" s="2375" t="s">
        <v>4020</v>
      </c>
      <c r="AY36" s="2412" t="s">
        <v>3972</v>
      </c>
      <c r="AZ36" s="2412" t="s">
        <v>4034</v>
      </c>
      <c r="BA36" s="2413" t="s">
        <v>4034</v>
      </c>
      <c r="BB36" s="2413" t="s">
        <v>1665</v>
      </c>
      <c r="BC36" s="2413" t="s">
        <v>1666</v>
      </c>
      <c r="BD36" s="2413" t="s">
        <v>1665</v>
      </c>
      <c r="BE36" s="2412" t="s">
        <v>1666</v>
      </c>
      <c r="BF36" s="2413" t="s">
        <v>1665</v>
      </c>
      <c r="BG36" s="2412" t="s">
        <v>1666</v>
      </c>
      <c r="BH36" s="2369"/>
      <c r="BI36" s="2369"/>
      <c r="BJ36" s="2356"/>
      <c r="BK36" s="2356"/>
      <c r="BL36" s="2375" t="s">
        <v>4020</v>
      </c>
      <c r="BM36" s="2412" t="s">
        <v>3972</v>
      </c>
      <c r="BN36" s="2412" t="s">
        <v>4034</v>
      </c>
      <c r="BO36" s="2413" t="s">
        <v>4034</v>
      </c>
      <c r="BP36" s="2413" t="s">
        <v>1665</v>
      </c>
      <c r="BQ36" s="2413" t="s">
        <v>1666</v>
      </c>
      <c r="BR36" s="2413" t="s">
        <v>1665</v>
      </c>
      <c r="BS36" s="2412" t="s">
        <v>1666</v>
      </c>
      <c r="BT36" s="2413" t="s">
        <v>1665</v>
      </c>
      <c r="BU36" s="2412" t="s">
        <v>1666</v>
      </c>
      <c r="BV36" s="2369"/>
      <c r="BW36" s="2369"/>
      <c r="BX36" s="2356"/>
      <c r="BZ36" s="2356" t="s">
        <v>2195</v>
      </c>
      <c r="CA36" s="2473">
        <v>885</v>
      </c>
      <c r="CB36" s="2435">
        <v>640</v>
      </c>
      <c r="CC36" s="2369">
        <v>390</v>
      </c>
      <c r="CD36" s="2434">
        <f>CC36/CB36*100</f>
        <v>60.9375</v>
      </c>
      <c r="CE36" s="2369">
        <v>223</v>
      </c>
      <c r="CF36" s="2434">
        <f>CE36/CB36*100</f>
        <v>34.84375</v>
      </c>
      <c r="CH36" s="2479"/>
      <c r="CJ36" s="2360" t="s">
        <v>2384</v>
      </c>
      <c r="CK36" s="2370">
        <v>265</v>
      </c>
      <c r="CL36" s="2354">
        <v>0</v>
      </c>
      <c r="CM36" s="2359">
        <v>45</v>
      </c>
      <c r="CN36" s="2359">
        <v>216</v>
      </c>
      <c r="CO36" s="2401">
        <f>CN36/CK36*100</f>
        <v>81.509433962264154</v>
      </c>
      <c r="CP36" s="2471">
        <v>4</v>
      </c>
      <c r="CQ36" s="2401">
        <f>CP36/CK36*100</f>
        <v>1.5094339622641511</v>
      </c>
      <c r="CR36" s="2359"/>
      <c r="CS36" s="2401"/>
      <c r="CT36" s="2401"/>
      <c r="CU36" s="2401"/>
      <c r="CX36" s="2399" t="s">
        <v>4112</v>
      </c>
      <c r="CY36" s="2427" t="s">
        <v>4039</v>
      </c>
      <c r="CZ36" s="2357">
        <v>12492</v>
      </c>
      <c r="DA36" s="2357"/>
      <c r="DB36" s="2357"/>
      <c r="DC36" s="2360" t="s">
        <v>2384</v>
      </c>
      <c r="DD36" s="2392">
        <v>2373</v>
      </c>
      <c r="DE36" s="2357">
        <v>129</v>
      </c>
      <c r="DF36" s="2358">
        <f>DE36/DD36*100</f>
        <v>5.4361567635903922</v>
      </c>
      <c r="DG36" s="2357">
        <v>114</v>
      </c>
      <c r="DH36" s="2358">
        <f>DG36/DD36*100</f>
        <v>4.8040455120101138</v>
      </c>
      <c r="DI36" s="2357">
        <v>125</v>
      </c>
      <c r="DJ36" s="2358">
        <f>DI36/DD36*100</f>
        <v>5.2675937631689846</v>
      </c>
      <c r="DK36" s="2357"/>
      <c r="DL36" s="2357"/>
      <c r="DM36" s="2357"/>
      <c r="DN36" s="2357"/>
      <c r="DO36" s="2357"/>
      <c r="DP36" s="2357"/>
      <c r="DQ36" s="2357"/>
      <c r="DS36" s="2360"/>
      <c r="DT36" s="2359"/>
      <c r="DU36" s="2357"/>
      <c r="DV36" s="2358"/>
      <c r="DW36" s="2357"/>
      <c r="DX36" s="2358"/>
      <c r="DY36" s="2357"/>
      <c r="DZ36" s="2358"/>
      <c r="EH36" s="2403"/>
      <c r="EI36" s="2360"/>
      <c r="EJ36" s="2357"/>
      <c r="EK36" s="2357"/>
      <c r="EL36" s="2358"/>
      <c r="EM36" s="2357"/>
      <c r="EN36" s="2358"/>
      <c r="EO36" s="2357"/>
      <c r="EP36" s="2358"/>
      <c r="EQ36" s="2358"/>
      <c r="EU36" s="2401"/>
      <c r="EV36" s="2360"/>
      <c r="EW36" s="2357"/>
      <c r="EX36" s="2357"/>
      <c r="EZ36" s="2401"/>
      <c r="FB36" s="2401"/>
      <c r="FD36" s="2401"/>
      <c r="FE36" s="2469"/>
      <c r="FG36" s="2357"/>
      <c r="FH36" s="2358"/>
      <c r="FI36" s="2400"/>
      <c r="FJ36" s="2401"/>
      <c r="FK36" s="2357"/>
      <c r="FL36" s="2401"/>
      <c r="FV36" s="2360"/>
      <c r="FW36" s="2357"/>
      <c r="FX36" s="2357"/>
      <c r="FY36" s="2357"/>
      <c r="FZ36" s="2401"/>
      <c r="GA36" s="2357"/>
      <c r="GB36" s="2358"/>
      <c r="GC36" s="2357"/>
      <c r="GD36" s="2400"/>
    </row>
    <row r="37" spans="1:186" ht="12.95" customHeight="1">
      <c r="A37" s="2368" t="s">
        <v>4020</v>
      </c>
      <c r="B37" s="2374" t="s">
        <v>4021</v>
      </c>
      <c r="C37" s="2412" t="s">
        <v>3972</v>
      </c>
      <c r="D37" s="2478" t="s">
        <v>1665</v>
      </c>
      <c r="E37" s="2478" t="s">
        <v>1666</v>
      </c>
      <c r="F37" s="2478" t="s">
        <v>1665</v>
      </c>
      <c r="G37" s="2478" t="s">
        <v>1666</v>
      </c>
      <c r="H37" s="2478" t="s">
        <v>1665</v>
      </c>
      <c r="I37" s="2477" t="s">
        <v>1666</v>
      </c>
      <c r="J37" s="2478" t="s">
        <v>1665</v>
      </c>
      <c r="K37" s="2477" t="s">
        <v>1666</v>
      </c>
      <c r="L37" s="2400"/>
      <c r="M37" s="2356"/>
      <c r="N37" s="2400"/>
      <c r="O37" s="2400"/>
      <c r="P37" s="2357"/>
      <c r="Q37" s="2357"/>
      <c r="R37" s="2357"/>
      <c r="S37" s="2357"/>
      <c r="T37" s="2357"/>
      <c r="U37" s="2357"/>
      <c r="V37" s="2357"/>
      <c r="W37" s="2357"/>
      <c r="X37" s="2357"/>
      <c r="Z37" s="2356" t="s">
        <v>2195</v>
      </c>
      <c r="AA37" s="2357">
        <v>640</v>
      </c>
      <c r="AB37" s="2359">
        <v>166</v>
      </c>
      <c r="AC37" s="2401">
        <f>AB37/AA37*100</f>
        <v>25.937500000000004</v>
      </c>
      <c r="AD37" s="2359">
        <v>341</v>
      </c>
      <c r="AE37" s="2401">
        <f>AD37/AA37*100</f>
        <v>53.28125</v>
      </c>
      <c r="AF37" s="2357">
        <v>133</v>
      </c>
      <c r="AG37" s="2401">
        <f>AF37/AA37*100</f>
        <v>20.78125</v>
      </c>
      <c r="AH37" s="2459"/>
      <c r="AI37" s="2459"/>
      <c r="AJ37" s="2459"/>
      <c r="AK37" s="2459"/>
      <c r="AL37" s="2459"/>
      <c r="AM37" s="2459"/>
      <c r="AN37" s="2459"/>
      <c r="AO37" s="2459"/>
      <c r="AP37" s="2459"/>
      <c r="AQ37" s="2459"/>
      <c r="AR37" s="2459"/>
      <c r="AS37" s="2459"/>
      <c r="AT37" s="2459"/>
      <c r="AU37" s="2459"/>
      <c r="AV37" s="2459"/>
      <c r="AW37" s="2459"/>
      <c r="AX37" s="2356" t="s">
        <v>3503</v>
      </c>
      <c r="AY37" s="2359">
        <v>34074</v>
      </c>
      <c r="AZ37" s="2359">
        <f>SUM(AZ38:AZ56)</f>
        <v>71</v>
      </c>
      <c r="BA37" s="2359">
        <f>SUM(BA38:BA56)</f>
        <v>887</v>
      </c>
      <c r="BB37" s="2359">
        <v>15636</v>
      </c>
      <c r="BC37" s="2401">
        <f>BB37/AY37*100</f>
        <v>45.888360626870927</v>
      </c>
      <c r="BD37" s="2359">
        <v>17260</v>
      </c>
      <c r="BE37" s="2400">
        <f>BD37/AY37*100</f>
        <v>50.654457944473798</v>
      </c>
      <c r="BF37" s="2359">
        <f>SUM(BF38:BF56)</f>
        <v>220</v>
      </c>
      <c r="BG37" s="2400">
        <f>BF37/AY37*100</f>
        <v>0.64565357750777719</v>
      </c>
      <c r="BH37" s="2359"/>
      <c r="BI37" s="2401"/>
      <c r="BJ37" s="2459"/>
      <c r="BK37" s="2459"/>
      <c r="BL37" s="2356" t="s">
        <v>3503</v>
      </c>
      <c r="BM37" s="2357">
        <f>SUM(BM38:BM56)</f>
        <v>37386</v>
      </c>
      <c r="BN37" s="2357">
        <f>SUM(BN38:BN56)</f>
        <v>257</v>
      </c>
      <c r="BO37" s="2357">
        <f>SUM(BO38:BO56)</f>
        <v>2139</v>
      </c>
      <c r="BP37" s="2357">
        <f>SUM(BP38:BP56)</f>
        <v>19193</v>
      </c>
      <c r="BQ37" s="2400">
        <f>(BP37/BM37)*100</f>
        <v>51.337399026373511</v>
      </c>
      <c r="BR37" s="2357">
        <f>SUM(BR38:BR56)</f>
        <v>15398</v>
      </c>
      <c r="BS37" s="2400">
        <f>(BR37/BM37)*100</f>
        <v>41.186540416198575</v>
      </c>
      <c r="BT37" s="2357">
        <f>SUM(BT38:BT56)</f>
        <v>399</v>
      </c>
      <c r="BU37" s="2400">
        <f>(BT37/BM37)*100</f>
        <v>1.06724442304606</v>
      </c>
      <c r="BV37" s="2400"/>
      <c r="BW37" s="2400"/>
      <c r="BX37" s="2459"/>
      <c r="BZ37" s="2356" t="s">
        <v>4042</v>
      </c>
      <c r="CA37" s="2473">
        <v>2532</v>
      </c>
      <c r="CB37" s="2435">
        <v>1714</v>
      </c>
      <c r="CC37" s="2369">
        <v>1025</v>
      </c>
      <c r="CD37" s="2434">
        <f>CC37/CB37*100</f>
        <v>59.801633605600934</v>
      </c>
      <c r="CE37" s="2369">
        <v>571</v>
      </c>
      <c r="CF37" s="2434">
        <f>CE37/CB37*100</f>
        <v>33.313885647607933</v>
      </c>
      <c r="CH37" s="2394"/>
      <c r="CJ37" s="2356" t="s">
        <v>2252</v>
      </c>
      <c r="CK37" s="2370">
        <v>657</v>
      </c>
      <c r="CL37" s="2354">
        <v>0</v>
      </c>
      <c r="CM37" s="2359">
        <v>102</v>
      </c>
      <c r="CN37" s="2359">
        <v>541</v>
      </c>
      <c r="CO37" s="2401">
        <f>CN37/CK37*100</f>
        <v>82.343987823439875</v>
      </c>
      <c r="CP37" s="2471">
        <v>14</v>
      </c>
      <c r="CQ37" s="2401">
        <f>CP37/CK37*100</f>
        <v>2.1308980213089801</v>
      </c>
      <c r="CR37" s="2359"/>
      <c r="CS37" s="2401"/>
      <c r="CT37" s="2401"/>
      <c r="CU37" s="2401"/>
      <c r="CX37" s="2399" t="s">
        <v>4062</v>
      </c>
      <c r="CY37" s="2427" t="s">
        <v>4036</v>
      </c>
      <c r="CZ37" s="2357">
        <v>12330</v>
      </c>
      <c r="DA37" s="2357"/>
      <c r="DB37" s="2357"/>
      <c r="DC37" s="2356" t="s">
        <v>2252</v>
      </c>
      <c r="DD37" s="2392">
        <v>5195</v>
      </c>
      <c r="DE37" s="2357">
        <v>256</v>
      </c>
      <c r="DF37" s="2358">
        <f>DE37/DD37*100</f>
        <v>4.9278152069297398</v>
      </c>
      <c r="DG37" s="2357">
        <v>251</v>
      </c>
      <c r="DH37" s="2358">
        <f>DG37/DD37*100</f>
        <v>4.8315688161693942</v>
      </c>
      <c r="DI37" s="2357">
        <v>246</v>
      </c>
      <c r="DJ37" s="2358">
        <f>DI37/DD37*100</f>
        <v>4.7353224254090467</v>
      </c>
      <c r="DK37" s="2357"/>
      <c r="DL37" s="2357"/>
      <c r="DM37" s="2357"/>
      <c r="DN37" s="2357"/>
      <c r="DO37" s="2357"/>
      <c r="DP37" s="2357"/>
      <c r="DQ37" s="2357"/>
      <c r="DS37" s="2356"/>
      <c r="DT37" s="2359"/>
      <c r="DU37" s="2357"/>
      <c r="DV37" s="2358"/>
      <c r="DW37" s="2357"/>
      <c r="DX37" s="2358"/>
      <c r="DY37" s="2357"/>
      <c r="DZ37" s="2358"/>
      <c r="EH37" s="2403"/>
      <c r="EI37" s="2356"/>
      <c r="EJ37" s="2357"/>
      <c r="EK37" s="2357"/>
      <c r="EL37" s="2358"/>
      <c r="EM37" s="2357"/>
      <c r="EN37" s="2358"/>
      <c r="EO37" s="2357"/>
      <c r="EP37" s="2358"/>
      <c r="EQ37" s="2358"/>
      <c r="EU37" s="2401"/>
      <c r="EV37" s="2356"/>
      <c r="EW37" s="2357"/>
      <c r="EX37" s="2357"/>
      <c r="EZ37" s="2401"/>
      <c r="FB37" s="2401"/>
      <c r="FD37" s="2401"/>
      <c r="FE37" s="2469"/>
      <c r="FG37" s="2357"/>
      <c r="FH37" s="2358"/>
      <c r="FI37" s="2400"/>
      <c r="FJ37" s="2401"/>
      <c r="FK37" s="2357"/>
      <c r="FL37" s="2401"/>
      <c r="FV37" s="2356"/>
      <c r="FW37" s="2357"/>
      <c r="FX37" s="2357"/>
      <c r="FY37" s="2357"/>
      <c r="FZ37" s="2401"/>
      <c r="GA37" s="2357"/>
      <c r="GB37" s="2358"/>
      <c r="GC37" s="2357"/>
      <c r="GD37" s="2400"/>
    </row>
    <row r="38" spans="1:186" ht="12.95" customHeight="1">
      <c r="A38" s="2356" t="s">
        <v>3503</v>
      </c>
      <c r="B38" s="2369">
        <f>SUM(B39:B57)</f>
        <v>62098</v>
      </c>
      <c r="C38" s="2357">
        <f>SUM(C39:C57)</f>
        <v>30283</v>
      </c>
      <c r="D38" s="2473">
        <f>SUM(D39:D57)</f>
        <v>121</v>
      </c>
      <c r="E38" s="2467">
        <f>D38/C38*100</f>
        <v>0.39956411187795132</v>
      </c>
      <c r="F38" s="2359">
        <f>SUM(F39:F57)</f>
        <v>46</v>
      </c>
      <c r="G38" s="2467">
        <f>F38/C38*100</f>
        <v>0.15190040616847736</v>
      </c>
      <c r="H38" s="2473">
        <f>SUM(H39:H57)</f>
        <v>44</v>
      </c>
      <c r="I38" s="2467">
        <f>H38/C38*100</f>
        <v>0.1452960406828914</v>
      </c>
      <c r="J38" s="2473">
        <f>SUM(J39:J57)</f>
        <v>35</v>
      </c>
      <c r="K38" s="2467">
        <f>J38/C38*100</f>
        <v>0.11557639599775452</v>
      </c>
      <c r="L38" s="2400"/>
      <c r="M38" s="2356"/>
      <c r="N38" s="2400"/>
      <c r="O38" s="2400"/>
      <c r="P38" s="2357"/>
      <c r="Q38" s="2357"/>
      <c r="R38" s="2357"/>
      <c r="S38" s="2357"/>
      <c r="T38" s="2357"/>
      <c r="U38" s="2357"/>
      <c r="V38" s="2357"/>
      <c r="W38" s="2357"/>
      <c r="X38" s="2357"/>
      <c r="Z38" s="2356" t="s">
        <v>4042</v>
      </c>
      <c r="AA38" s="2369">
        <v>1714</v>
      </c>
      <c r="AB38" s="2359">
        <v>427</v>
      </c>
      <c r="AC38" s="2401">
        <f>AB38/AA38*100</f>
        <v>24.912485414235704</v>
      </c>
      <c r="AD38" s="2359">
        <v>861</v>
      </c>
      <c r="AE38" s="2401">
        <f>AD38/AA38*100</f>
        <v>50.233372228704788</v>
      </c>
      <c r="AF38" s="2357">
        <v>426</v>
      </c>
      <c r="AG38" s="2401">
        <f>AF38/AA38*100</f>
        <v>24.854142357059512</v>
      </c>
      <c r="AH38" s="2459"/>
      <c r="AI38" s="2459"/>
      <c r="AJ38" s="2459"/>
      <c r="AK38" s="2459"/>
      <c r="AL38" s="2459"/>
      <c r="AM38" s="2459"/>
      <c r="AN38" s="2459"/>
      <c r="AO38" s="2459"/>
      <c r="AP38" s="2459"/>
      <c r="AQ38" s="2459"/>
      <c r="AR38" s="2459"/>
      <c r="AS38" s="2459"/>
      <c r="AT38" s="2459"/>
      <c r="AU38" s="2459"/>
      <c r="AV38" s="2459"/>
      <c r="AW38" s="2459"/>
      <c r="AX38" s="2360" t="s">
        <v>2384</v>
      </c>
      <c r="AY38" s="2370">
        <v>245</v>
      </c>
      <c r="AZ38" s="2357">
        <v>1</v>
      </c>
      <c r="BA38" s="2357">
        <v>6</v>
      </c>
      <c r="BB38" s="2357">
        <v>98</v>
      </c>
      <c r="BC38" s="2400">
        <f>BB38/AY38*100</f>
        <v>40</v>
      </c>
      <c r="BD38" s="2357">
        <v>138</v>
      </c>
      <c r="BE38" s="2400">
        <f>BD38/AY38*100</f>
        <v>56.326530612244895</v>
      </c>
      <c r="BF38" s="2357">
        <v>2</v>
      </c>
      <c r="BG38" s="2400">
        <f>BF38/AY38*100</f>
        <v>0.81632653061224492</v>
      </c>
      <c r="BH38" s="2357"/>
      <c r="BI38" s="2400"/>
      <c r="BJ38" s="2459"/>
      <c r="BK38" s="2459"/>
      <c r="BL38" s="2360" t="s">
        <v>2384</v>
      </c>
      <c r="BM38" s="2370">
        <v>359</v>
      </c>
      <c r="BN38" s="2357">
        <v>0</v>
      </c>
      <c r="BO38" s="2357">
        <v>16</v>
      </c>
      <c r="BP38" s="2468">
        <v>133</v>
      </c>
      <c r="BQ38" s="2400">
        <f>(BP38/BM38)*100</f>
        <v>37.047353760445681</v>
      </c>
      <c r="BR38" s="2468">
        <v>205</v>
      </c>
      <c r="BS38" s="2400">
        <f>(BR38/BM38)*100</f>
        <v>57.103064066852369</v>
      </c>
      <c r="BT38" s="2357">
        <v>5</v>
      </c>
      <c r="BU38" s="2400">
        <f>(BT38/BM38)*100</f>
        <v>1.392757660167131</v>
      </c>
      <c r="BV38" s="2400"/>
      <c r="BW38" s="2400"/>
      <c r="BX38" s="2459"/>
      <c r="BZ38" s="2356" t="s">
        <v>4045</v>
      </c>
      <c r="CA38" s="2473">
        <v>1944</v>
      </c>
      <c r="CB38" s="2435">
        <v>1397</v>
      </c>
      <c r="CC38" s="2369">
        <v>942</v>
      </c>
      <c r="CD38" s="2434">
        <f>CC38/CB38*100</f>
        <v>67.430207587687903</v>
      </c>
      <c r="CE38" s="2369">
        <v>393</v>
      </c>
      <c r="CF38" s="2434">
        <f>CE38/CB38*100</f>
        <v>28.131710808876164</v>
      </c>
      <c r="CH38" s="2394"/>
      <c r="CJ38" s="2356" t="s">
        <v>2195</v>
      </c>
      <c r="CK38" s="2370">
        <v>532</v>
      </c>
      <c r="CL38" s="2354">
        <v>0</v>
      </c>
      <c r="CM38" s="2359">
        <v>87</v>
      </c>
      <c r="CN38" s="2359">
        <v>429</v>
      </c>
      <c r="CO38" s="2401">
        <f>CN38/CK38*100</f>
        <v>80.639097744360896</v>
      </c>
      <c r="CP38" s="2471">
        <v>16</v>
      </c>
      <c r="CQ38" s="2401">
        <f>CP38/CK38*100</f>
        <v>3.007518796992481</v>
      </c>
      <c r="CR38" s="2359"/>
      <c r="CS38" s="2401"/>
      <c r="CT38" s="2401"/>
      <c r="CU38" s="2401"/>
      <c r="CX38" s="2399" t="s">
        <v>4113</v>
      </c>
      <c r="CY38" s="2427" t="s">
        <v>4039</v>
      </c>
      <c r="CZ38" s="2357">
        <v>12233</v>
      </c>
      <c r="DA38" s="2357"/>
      <c r="DB38" s="2357"/>
      <c r="DC38" s="2356" t="s">
        <v>2195</v>
      </c>
      <c r="DD38" s="2392">
        <v>4852</v>
      </c>
      <c r="DE38" s="2357">
        <v>231</v>
      </c>
      <c r="DF38" s="2358">
        <f>DE38/DD38*100</f>
        <v>4.7609233305853254</v>
      </c>
      <c r="DG38" s="2357">
        <v>240</v>
      </c>
      <c r="DH38" s="2358">
        <f>DG38/DD38*100</f>
        <v>4.9464138499587795</v>
      </c>
      <c r="DI38" s="2357">
        <v>250</v>
      </c>
      <c r="DJ38" s="2358">
        <f>DI38/DD38*100</f>
        <v>5.152514427040396</v>
      </c>
      <c r="DK38" s="2357"/>
      <c r="DL38" s="2357"/>
      <c r="DM38" s="2357"/>
      <c r="DN38" s="2357"/>
      <c r="DO38" s="2357"/>
      <c r="DP38" s="2357"/>
      <c r="DQ38" s="2357"/>
      <c r="DS38" s="2356"/>
      <c r="DT38" s="2359"/>
      <c r="DU38" s="2357"/>
      <c r="DV38" s="2358"/>
      <c r="DW38" s="2357"/>
      <c r="DX38" s="2358"/>
      <c r="DY38" s="2357"/>
      <c r="DZ38" s="2358"/>
      <c r="EH38" s="2403"/>
      <c r="EI38" s="2356"/>
      <c r="EJ38" s="2357"/>
      <c r="EK38" s="2357"/>
      <c r="EL38" s="2358"/>
      <c r="EM38" s="2357"/>
      <c r="EN38" s="2358"/>
      <c r="EO38" s="2357"/>
      <c r="EP38" s="2358"/>
      <c r="EQ38" s="2358"/>
      <c r="EU38" s="2401"/>
      <c r="EV38" s="2356"/>
      <c r="EW38" s="2357"/>
      <c r="EX38" s="2357"/>
      <c r="EZ38" s="2401"/>
      <c r="FB38" s="2401"/>
      <c r="FD38" s="2401"/>
      <c r="FE38" s="2469"/>
      <c r="FG38" s="2357"/>
      <c r="FH38" s="2358"/>
      <c r="FI38" s="2400"/>
      <c r="FJ38" s="2401"/>
      <c r="FK38" s="2357"/>
      <c r="FL38" s="2401"/>
      <c r="FV38" s="2356"/>
      <c r="FW38" s="2357"/>
      <c r="FX38" s="2357"/>
      <c r="FY38" s="2357"/>
      <c r="FZ38" s="2401"/>
      <c r="GA38" s="2357"/>
      <c r="GB38" s="2358"/>
      <c r="GC38" s="2357"/>
      <c r="GD38" s="2400"/>
    </row>
    <row r="39" spans="1:186" ht="12.95" customHeight="1">
      <c r="A39" s="2360" t="s">
        <v>2250</v>
      </c>
      <c r="B39" s="2370">
        <v>390</v>
      </c>
      <c r="C39" s="2357">
        <v>250</v>
      </c>
      <c r="D39" s="2473">
        <v>2</v>
      </c>
      <c r="E39" s="2467">
        <f>D39/C39*100</f>
        <v>0.8</v>
      </c>
      <c r="F39" s="2473">
        <v>0</v>
      </c>
      <c r="G39" s="2467">
        <f>F39/C39*100</f>
        <v>0</v>
      </c>
      <c r="H39" s="2473">
        <v>0</v>
      </c>
      <c r="I39" s="2467">
        <f>H39/C39*100</f>
        <v>0</v>
      </c>
      <c r="J39" s="2473">
        <v>2</v>
      </c>
      <c r="K39" s="2467">
        <f>J39/C39*100</f>
        <v>0.8</v>
      </c>
      <c r="L39" s="2400"/>
      <c r="M39" s="2356"/>
      <c r="N39" s="2400"/>
      <c r="O39" s="2400"/>
      <c r="P39" s="2357"/>
      <c r="Q39" s="2357"/>
      <c r="R39" s="2357"/>
      <c r="S39" s="2357"/>
      <c r="T39" s="2357"/>
      <c r="U39" s="2357"/>
      <c r="V39" s="2357"/>
      <c r="W39" s="2357"/>
      <c r="X39" s="2357"/>
      <c r="Z39" s="2356" t="s">
        <v>4045</v>
      </c>
      <c r="AA39" s="2369">
        <v>1397</v>
      </c>
      <c r="AB39" s="2359">
        <v>331</v>
      </c>
      <c r="AC39" s="2401">
        <f>AB39/AA39*100</f>
        <v>23.693629205440228</v>
      </c>
      <c r="AD39" s="2359">
        <v>721</v>
      </c>
      <c r="AE39" s="2401">
        <f>AD39/AA39*100</f>
        <v>51.610594130279175</v>
      </c>
      <c r="AF39" s="2357">
        <v>345</v>
      </c>
      <c r="AG39" s="2401">
        <f>AF39/AA39*100</f>
        <v>24.695776664280604</v>
      </c>
      <c r="AH39" s="2459"/>
      <c r="AI39" s="2459"/>
      <c r="AJ39" s="2459"/>
      <c r="AK39" s="2459"/>
      <c r="AL39" s="2459"/>
      <c r="AM39" s="2459"/>
      <c r="AN39" s="2459"/>
      <c r="AO39" s="2459"/>
      <c r="AP39" s="2459"/>
      <c r="AQ39" s="2459"/>
      <c r="AR39" s="2459"/>
      <c r="AS39" s="2459"/>
      <c r="AT39" s="2459"/>
      <c r="AU39" s="2459"/>
      <c r="AV39" s="2459"/>
      <c r="AW39" s="2459"/>
      <c r="AX39" s="2356" t="s">
        <v>2252</v>
      </c>
      <c r="AY39" s="2357">
        <v>624</v>
      </c>
      <c r="AZ39" s="2357">
        <v>0</v>
      </c>
      <c r="BA39" s="2357">
        <v>17</v>
      </c>
      <c r="BB39" s="2468">
        <v>302</v>
      </c>
      <c r="BC39" s="2400">
        <f>BB39/AY39*100</f>
        <v>48.397435897435898</v>
      </c>
      <c r="BD39" s="2468">
        <v>295</v>
      </c>
      <c r="BE39" s="2400">
        <f>BD39/AY39*100</f>
        <v>47.275641025641022</v>
      </c>
      <c r="BF39" s="2468">
        <v>10</v>
      </c>
      <c r="BG39" s="2400">
        <f>BF39/AY39*100</f>
        <v>1.6025641025641024</v>
      </c>
      <c r="BH39" s="2357"/>
      <c r="BI39" s="2401"/>
      <c r="BJ39" s="2459"/>
      <c r="BK39" s="2459"/>
      <c r="BL39" s="2356" t="s">
        <v>2252</v>
      </c>
      <c r="BM39" s="2370">
        <v>858</v>
      </c>
      <c r="BN39" s="2357">
        <v>4</v>
      </c>
      <c r="BO39" s="2357">
        <v>43</v>
      </c>
      <c r="BP39" s="2468">
        <v>424</v>
      </c>
      <c r="BQ39" s="2400">
        <f>(BP39/BM39)*100</f>
        <v>49.417249417249415</v>
      </c>
      <c r="BR39" s="2468">
        <v>383</v>
      </c>
      <c r="BS39" s="2400">
        <f>(BR39/BM39)*100</f>
        <v>44.638694638694638</v>
      </c>
      <c r="BT39" s="2357">
        <v>4</v>
      </c>
      <c r="BU39" s="2400">
        <f>(BT39/BM39)*100</f>
        <v>0.46620046620046618</v>
      </c>
      <c r="BV39" s="2400"/>
      <c r="BW39" s="2400"/>
      <c r="BX39" s="2459"/>
      <c r="BZ39" s="2356" t="s">
        <v>4048</v>
      </c>
      <c r="CA39" s="2473">
        <v>785</v>
      </c>
      <c r="CB39" s="2435">
        <v>498</v>
      </c>
      <c r="CC39" s="2369">
        <v>328</v>
      </c>
      <c r="CD39" s="2434">
        <f>CC39/CB39*100</f>
        <v>65.863453815261039</v>
      </c>
      <c r="CE39" s="2369">
        <v>134</v>
      </c>
      <c r="CF39" s="2434">
        <f>CE39/CB39*100</f>
        <v>26.907630522088354</v>
      </c>
      <c r="CH39" s="2394"/>
      <c r="CJ39" s="2356" t="s">
        <v>4042</v>
      </c>
      <c r="CK39" s="2370">
        <v>1335</v>
      </c>
      <c r="CL39" s="2354">
        <v>1</v>
      </c>
      <c r="CM39" s="2359">
        <v>266</v>
      </c>
      <c r="CN39" s="2359">
        <v>1044</v>
      </c>
      <c r="CO39" s="2401">
        <f>CN39/CK39*100</f>
        <v>78.202247191011224</v>
      </c>
      <c r="CP39" s="2471">
        <v>24</v>
      </c>
      <c r="CQ39" s="2401">
        <f>CP39/CK39*100</f>
        <v>1.7977528089887642</v>
      </c>
      <c r="CR39" s="2359"/>
      <c r="CS39" s="2401"/>
      <c r="CT39" s="2401"/>
      <c r="CU39" s="2401"/>
      <c r="CX39" s="2453" t="s">
        <v>4047</v>
      </c>
      <c r="CY39" s="2452" t="s">
        <v>4039</v>
      </c>
      <c r="CZ39" s="2366">
        <v>12134</v>
      </c>
      <c r="DA39" s="2357"/>
      <c r="DB39" s="2357"/>
      <c r="DC39" s="2356" t="s">
        <v>4042</v>
      </c>
      <c r="DD39" s="2391">
        <v>12458</v>
      </c>
      <c r="DE39" s="2357">
        <v>562</v>
      </c>
      <c r="DF39" s="2358">
        <f>DE39/DD39*100</f>
        <v>4.5111574891635895</v>
      </c>
      <c r="DG39" s="2357">
        <v>534</v>
      </c>
      <c r="DH39" s="2358">
        <f>DG39/DD39*100</f>
        <v>4.2864023117675387</v>
      </c>
      <c r="DI39" s="2357">
        <v>699</v>
      </c>
      <c r="DJ39" s="2358">
        <f>DI39/DD39*100</f>
        <v>5.6108524642799811</v>
      </c>
      <c r="DK39" s="2357"/>
      <c r="DL39" s="2357"/>
      <c r="DM39" s="2357"/>
      <c r="DN39" s="2357"/>
      <c r="DO39" s="2357"/>
      <c r="DP39" s="2357"/>
      <c r="DQ39" s="2357"/>
      <c r="DS39" s="2356"/>
      <c r="DT39" s="2359"/>
      <c r="DU39" s="2357"/>
      <c r="DV39" s="2358"/>
      <c r="DW39" s="2357"/>
      <c r="DX39" s="2358"/>
      <c r="DY39" s="2357"/>
      <c r="DZ39" s="2358"/>
      <c r="EH39" s="2403"/>
      <c r="EI39" s="2356"/>
      <c r="EJ39" s="2357"/>
      <c r="EK39" s="2357"/>
      <c r="EL39" s="2358"/>
      <c r="EM39" s="2357"/>
      <c r="EN39" s="2358"/>
      <c r="EO39" s="2357"/>
      <c r="EP39" s="2358"/>
      <c r="EQ39" s="2358"/>
      <c r="EU39" s="2401"/>
      <c r="EV39" s="2356"/>
      <c r="EW39" s="2357"/>
      <c r="EX39" s="2357"/>
      <c r="EY39" s="2357"/>
      <c r="EZ39" s="2401"/>
      <c r="FA39" s="2357"/>
      <c r="FB39" s="2401"/>
      <c r="FC39" s="2357"/>
      <c r="FD39" s="2401"/>
      <c r="FE39" s="2469"/>
      <c r="FG39" s="2357"/>
      <c r="FH39" s="2358"/>
      <c r="FI39" s="2400"/>
      <c r="FJ39" s="2401"/>
      <c r="FK39" s="2357"/>
      <c r="FL39" s="2401"/>
      <c r="FV39" s="2356"/>
      <c r="FW39" s="2357"/>
      <c r="FX39" s="2357"/>
      <c r="FY39" s="2357"/>
      <c r="FZ39" s="2401"/>
      <c r="GA39" s="2357"/>
      <c r="GB39" s="2358"/>
      <c r="GC39" s="2357"/>
      <c r="GD39" s="2400"/>
    </row>
    <row r="40" spans="1:186" ht="12.95" customHeight="1">
      <c r="A40" s="2356" t="s">
        <v>2252</v>
      </c>
      <c r="B40" s="2369">
        <v>992</v>
      </c>
      <c r="C40" s="2357">
        <v>525</v>
      </c>
      <c r="D40" s="2357">
        <v>1</v>
      </c>
      <c r="E40" s="2467">
        <f>D40/C40*100</f>
        <v>0.19047619047619047</v>
      </c>
      <c r="F40" s="2473">
        <v>1</v>
      </c>
      <c r="G40" s="2467">
        <f>F40/C40*100</f>
        <v>0.19047619047619047</v>
      </c>
      <c r="H40" s="2357">
        <v>1</v>
      </c>
      <c r="I40" s="2467">
        <f>H40/C40*100</f>
        <v>0.19047619047619047</v>
      </c>
      <c r="J40" s="2357">
        <v>0</v>
      </c>
      <c r="K40" s="2467">
        <f>J40/C40*100</f>
        <v>0</v>
      </c>
      <c r="L40" s="2400"/>
      <c r="M40" s="2356"/>
      <c r="N40" s="2400"/>
      <c r="O40" s="2400"/>
      <c r="P40" s="2357"/>
      <c r="Q40" s="2357"/>
      <c r="R40" s="2357"/>
      <c r="S40" s="2357"/>
      <c r="T40" s="2357"/>
      <c r="U40" s="2357"/>
      <c r="V40" s="2357"/>
      <c r="W40" s="2357"/>
      <c r="X40" s="2357"/>
      <c r="Z40" s="2356" t="s">
        <v>4048</v>
      </c>
      <c r="AA40" s="2357">
        <v>498</v>
      </c>
      <c r="AB40" s="2359">
        <v>175</v>
      </c>
      <c r="AC40" s="2401">
        <f>AB40/AA40*100</f>
        <v>35.140562248995984</v>
      </c>
      <c r="AD40" s="2359">
        <v>247</v>
      </c>
      <c r="AE40" s="2401">
        <f>AD40/AA40*100</f>
        <v>49.598393574297191</v>
      </c>
      <c r="AF40" s="2357">
        <v>76</v>
      </c>
      <c r="AG40" s="2401">
        <f>AF40/AA40*100</f>
        <v>15.261044176706829</v>
      </c>
      <c r="AH40" s="2361"/>
      <c r="AI40" s="2361"/>
      <c r="AJ40" s="2361"/>
      <c r="AK40" s="2361"/>
      <c r="AL40" s="2361"/>
      <c r="AM40" s="2361"/>
      <c r="AN40" s="2361"/>
      <c r="AO40" s="2361"/>
      <c r="AP40" s="2361"/>
      <c r="AQ40" s="2361"/>
      <c r="AR40" s="2361"/>
      <c r="AS40" s="2361"/>
      <c r="AT40" s="2361"/>
      <c r="AU40" s="2361"/>
      <c r="AV40" s="2361"/>
      <c r="AW40" s="2361"/>
      <c r="AX40" s="2356" t="s">
        <v>2195</v>
      </c>
      <c r="AY40" s="2357">
        <v>570</v>
      </c>
      <c r="AZ40" s="2357">
        <v>1</v>
      </c>
      <c r="BA40" s="2357">
        <v>17</v>
      </c>
      <c r="BB40" s="2468">
        <v>264</v>
      </c>
      <c r="BC40" s="2401">
        <f>BB40/AY40*100</f>
        <v>46.315789473684212</v>
      </c>
      <c r="BD40" s="2468">
        <v>284</v>
      </c>
      <c r="BE40" s="2400">
        <f>BD40/AY40*100</f>
        <v>49.824561403508774</v>
      </c>
      <c r="BF40" s="2468">
        <v>4</v>
      </c>
      <c r="BG40" s="2400">
        <f>BF40/AY40*100</f>
        <v>0.70175438596491224</v>
      </c>
      <c r="BH40" s="2357"/>
      <c r="BI40" s="2400"/>
      <c r="BJ40" s="2361"/>
      <c r="BK40" s="2361"/>
      <c r="BL40" s="2356" t="s">
        <v>2195</v>
      </c>
      <c r="BM40" s="2370">
        <v>640</v>
      </c>
      <c r="BN40" s="2357">
        <v>5</v>
      </c>
      <c r="BO40" s="2357">
        <v>33</v>
      </c>
      <c r="BP40" s="2468">
        <v>284</v>
      </c>
      <c r="BQ40" s="2400">
        <f>(BP40/BM40)*100</f>
        <v>44.375</v>
      </c>
      <c r="BR40" s="2468">
        <v>309</v>
      </c>
      <c r="BS40" s="2400">
        <f>(BR40/BM40)*100</f>
        <v>48.28125</v>
      </c>
      <c r="BT40" s="2357">
        <v>9</v>
      </c>
      <c r="BU40" s="2400">
        <f>(BT40/BM40)*100</f>
        <v>1.40625</v>
      </c>
      <c r="BV40" s="2400"/>
      <c r="BW40" s="2400"/>
      <c r="BX40" s="2361"/>
      <c r="BZ40" s="2356" t="s">
        <v>2151</v>
      </c>
      <c r="CA40" s="2473">
        <v>1277</v>
      </c>
      <c r="CB40" s="2435">
        <v>814</v>
      </c>
      <c r="CC40" s="2369">
        <v>560</v>
      </c>
      <c r="CD40" s="2434">
        <f>CC40/CB40*100</f>
        <v>68.796068796068795</v>
      </c>
      <c r="CE40" s="2369">
        <v>220</v>
      </c>
      <c r="CF40" s="2434">
        <f>CE40/CB40*100</f>
        <v>27.027027027027028</v>
      </c>
      <c r="CH40" s="2394"/>
      <c r="CJ40" s="2356" t="s">
        <v>4045</v>
      </c>
      <c r="CK40" s="2370">
        <v>1114</v>
      </c>
      <c r="CL40" s="2354">
        <v>0</v>
      </c>
      <c r="CM40" s="2359">
        <v>188</v>
      </c>
      <c r="CN40" s="2359">
        <v>914</v>
      </c>
      <c r="CO40" s="2401">
        <f>CN40/CK40*100</f>
        <v>82.046678635547579</v>
      </c>
      <c r="CP40" s="2471">
        <v>12</v>
      </c>
      <c r="CQ40" s="2401">
        <f>CP40/CK40*100</f>
        <v>1.0771992818671454</v>
      </c>
      <c r="CR40" s="2359"/>
      <c r="CS40" s="2401"/>
      <c r="CT40" s="2401"/>
      <c r="CU40" s="2401"/>
      <c r="CX40" s="2356" t="s">
        <v>4069</v>
      </c>
      <c r="CY40" s="2356"/>
      <c r="CZ40" s="2356"/>
      <c r="DA40" s="2357"/>
      <c r="DB40" s="2357"/>
      <c r="DC40" s="2356" t="s">
        <v>4045</v>
      </c>
      <c r="DD40" s="2391">
        <v>11911</v>
      </c>
      <c r="DE40" s="2357">
        <v>590</v>
      </c>
      <c r="DF40" s="2358">
        <f>DE40/DD40*100</f>
        <v>4.9534044160859709</v>
      </c>
      <c r="DG40" s="2357">
        <v>531</v>
      </c>
      <c r="DH40" s="2358">
        <f>DG40/DD40*100</f>
        <v>4.4580639744773745</v>
      </c>
      <c r="DI40" s="2357">
        <v>580</v>
      </c>
      <c r="DJ40" s="2358">
        <f>DI40/DD40*100</f>
        <v>4.8694484090336667</v>
      </c>
      <c r="DK40" s="2357"/>
      <c r="DL40" s="2357"/>
      <c r="DM40" s="2357"/>
      <c r="DN40" s="2357"/>
      <c r="DO40" s="2357"/>
      <c r="DP40" s="2357"/>
      <c r="DQ40" s="2357"/>
      <c r="DS40" s="2356"/>
      <c r="DT40" s="2359"/>
      <c r="DU40" s="2357"/>
      <c r="DV40" s="2358"/>
      <c r="DW40" s="2357"/>
      <c r="DX40" s="2358"/>
      <c r="DY40" s="2357"/>
      <c r="DZ40" s="2358"/>
      <c r="EH40" s="2403"/>
      <c r="EI40" s="2356"/>
      <c r="EJ40" s="2357"/>
      <c r="EK40" s="2357"/>
      <c r="EL40" s="2358"/>
      <c r="EM40" s="2357"/>
      <c r="EN40" s="2358"/>
      <c r="EO40" s="2357"/>
      <c r="EP40" s="2358"/>
      <c r="EQ40" s="2358"/>
      <c r="EU40" s="2401"/>
      <c r="EV40" s="2356"/>
      <c r="EW40" s="2357"/>
      <c r="EX40" s="2357"/>
      <c r="EY40" s="2357"/>
      <c r="EZ40" s="2401"/>
      <c r="FA40" s="2357"/>
      <c r="FB40" s="2401"/>
      <c r="FC40" s="2357"/>
      <c r="FD40" s="2401"/>
      <c r="FE40" s="2469"/>
      <c r="FG40" s="2357"/>
      <c r="FH40" s="2358"/>
      <c r="FI40" s="2400"/>
      <c r="FJ40" s="2401"/>
      <c r="FK40" s="2357"/>
      <c r="FL40" s="2401"/>
      <c r="FV40" s="2356"/>
      <c r="FW40" s="2357"/>
      <c r="FX40" s="2357"/>
      <c r="FY40" s="2357"/>
      <c r="FZ40" s="2401"/>
      <c r="GA40" s="2357"/>
      <c r="GB40" s="2358"/>
      <c r="GC40" s="2357"/>
      <c r="GD40" s="2400"/>
    </row>
    <row r="41" spans="1:186" ht="12.95" customHeight="1">
      <c r="A41" s="2356" t="s">
        <v>2195</v>
      </c>
      <c r="B41" s="2369">
        <v>881</v>
      </c>
      <c r="C41" s="2357">
        <v>513</v>
      </c>
      <c r="D41" s="2357">
        <v>7</v>
      </c>
      <c r="E41" s="2467">
        <f>D41/C41*100</f>
        <v>1.364522417153996</v>
      </c>
      <c r="F41" s="2357">
        <v>2</v>
      </c>
      <c r="G41" s="2467">
        <f>F41/C41*100</f>
        <v>0.38986354775828458</v>
      </c>
      <c r="H41" s="2357">
        <v>0</v>
      </c>
      <c r="I41" s="2467">
        <f>H41/C41*100</f>
        <v>0</v>
      </c>
      <c r="J41" s="2357">
        <v>0</v>
      </c>
      <c r="K41" s="2467">
        <f>J41/C41*100</f>
        <v>0</v>
      </c>
      <c r="L41" s="2400"/>
      <c r="M41" s="2356"/>
      <c r="N41" s="2400"/>
      <c r="O41" s="2400"/>
      <c r="P41" s="2357"/>
      <c r="Q41" s="2357"/>
      <c r="R41" s="2357"/>
      <c r="S41" s="2357"/>
      <c r="T41" s="2357"/>
      <c r="U41" s="2357"/>
      <c r="V41" s="2357"/>
      <c r="W41" s="2357"/>
      <c r="X41" s="2357"/>
      <c r="Z41" s="2356" t="s">
        <v>2151</v>
      </c>
      <c r="AA41" s="2369">
        <v>814</v>
      </c>
      <c r="AB41" s="2359">
        <v>180</v>
      </c>
      <c r="AC41" s="2401">
        <f>AB41/AA41*100</f>
        <v>22.113022113022112</v>
      </c>
      <c r="AD41" s="2359">
        <v>477</v>
      </c>
      <c r="AE41" s="2401">
        <f>AD41/AA41*100</f>
        <v>58.599508599508596</v>
      </c>
      <c r="AF41" s="2357">
        <v>157</v>
      </c>
      <c r="AG41" s="2401">
        <f>AF41/AA41*100</f>
        <v>19.287469287469289</v>
      </c>
      <c r="AH41" s="2400"/>
      <c r="AI41" s="2400"/>
      <c r="AJ41" s="2400"/>
      <c r="AK41" s="2400"/>
      <c r="AL41" s="2400"/>
      <c r="AM41" s="2400"/>
      <c r="AN41" s="2400"/>
      <c r="AO41" s="2400"/>
      <c r="AP41" s="2400"/>
      <c r="AQ41" s="2400"/>
      <c r="AR41" s="2400"/>
      <c r="AS41" s="2400"/>
      <c r="AT41" s="2400"/>
      <c r="AU41" s="2400"/>
      <c r="AV41" s="2400"/>
      <c r="AW41" s="2400"/>
      <c r="AX41" s="2356" t="s">
        <v>4042</v>
      </c>
      <c r="AY41" s="2369">
        <v>1433</v>
      </c>
      <c r="AZ41" s="2357">
        <v>4</v>
      </c>
      <c r="BA41" s="2357">
        <v>54</v>
      </c>
      <c r="BB41" s="2468">
        <v>624</v>
      </c>
      <c r="BC41" s="2400">
        <f>BB41/AY41*100</f>
        <v>43.545010467550597</v>
      </c>
      <c r="BD41" s="2468">
        <v>742</v>
      </c>
      <c r="BE41" s="2400">
        <f>BD41/AY41*100</f>
        <v>51.779483600837409</v>
      </c>
      <c r="BF41" s="2468">
        <v>9</v>
      </c>
      <c r="BG41" s="2400">
        <f>BF41/AY41*100</f>
        <v>0.62805303558967207</v>
      </c>
      <c r="BH41" s="2357"/>
      <c r="BI41" s="2401"/>
      <c r="BJ41" s="2400"/>
      <c r="BK41" s="2400"/>
      <c r="BL41" s="2356" t="s">
        <v>4042</v>
      </c>
      <c r="BM41" s="2370">
        <v>1714</v>
      </c>
      <c r="BN41" s="2357">
        <v>14</v>
      </c>
      <c r="BO41" s="2357">
        <v>144</v>
      </c>
      <c r="BP41" s="2468">
        <v>842</v>
      </c>
      <c r="BQ41" s="2400">
        <f>(BP41/BM41)*100</f>
        <v>49.124854142357059</v>
      </c>
      <c r="BR41" s="2468">
        <v>696</v>
      </c>
      <c r="BS41" s="2400">
        <f>(BR41/BM41)*100</f>
        <v>40.606767794632439</v>
      </c>
      <c r="BT41" s="2357">
        <v>18</v>
      </c>
      <c r="BU41" s="2400">
        <f>(BT41/BM41)*100</f>
        <v>1.0501750291715286</v>
      </c>
      <c r="BV41" s="2400"/>
      <c r="BW41" s="2400"/>
      <c r="BX41" s="2400"/>
      <c r="BZ41" s="2356" t="s">
        <v>4052</v>
      </c>
      <c r="CA41" s="2473">
        <v>1886</v>
      </c>
      <c r="CB41" s="2435">
        <v>1393</v>
      </c>
      <c r="CC41" s="2369">
        <v>963</v>
      </c>
      <c r="CD41" s="2434">
        <f>CC41/CB41*100</f>
        <v>69.131371141421397</v>
      </c>
      <c r="CE41" s="2369">
        <v>357</v>
      </c>
      <c r="CF41" s="2434">
        <f>CE41/CB41*100</f>
        <v>25.628140703517587</v>
      </c>
      <c r="CH41" s="2394"/>
      <c r="CJ41" s="2356" t="s">
        <v>4048</v>
      </c>
      <c r="CK41" s="2370">
        <v>456</v>
      </c>
      <c r="CL41" s="864">
        <v>0</v>
      </c>
      <c r="CM41" s="2359">
        <v>123</v>
      </c>
      <c r="CN41" s="2359">
        <v>328</v>
      </c>
      <c r="CO41" s="2401">
        <f>CN41/CK41*100</f>
        <v>71.929824561403507</v>
      </c>
      <c r="CP41" s="865">
        <v>5</v>
      </c>
      <c r="CQ41" s="2401">
        <f>CP41/CK41*100</f>
        <v>1.0964912280701753</v>
      </c>
      <c r="CR41" s="2359"/>
      <c r="CS41" s="2401"/>
      <c r="CT41" s="864"/>
      <c r="CU41" s="2401"/>
      <c r="DA41" s="2356"/>
      <c r="DB41" s="2356"/>
      <c r="DC41" s="2356" t="s">
        <v>4048</v>
      </c>
      <c r="DD41" s="2391">
        <v>3126</v>
      </c>
      <c r="DE41" s="2357">
        <v>145</v>
      </c>
      <c r="DF41" s="2358">
        <f>DE41/DD41*100</f>
        <v>4.6385156749840046</v>
      </c>
      <c r="DG41" s="2357">
        <v>177</v>
      </c>
      <c r="DH41" s="2358">
        <f>DG41/DD41*100</f>
        <v>5.6621880998080618</v>
      </c>
      <c r="DI41" s="2357">
        <v>146</v>
      </c>
      <c r="DJ41" s="2358">
        <f>DI41/DD41*100</f>
        <v>4.6705054382597568</v>
      </c>
      <c r="DK41" s="2356"/>
      <c r="DL41" s="2356"/>
      <c r="DM41" s="2356"/>
      <c r="DN41" s="2356"/>
      <c r="DO41" s="2356"/>
      <c r="DP41" s="2356"/>
      <c r="DQ41" s="2356"/>
      <c r="DS41" s="2356"/>
      <c r="DT41" s="2359"/>
      <c r="DU41" s="2357"/>
      <c r="DV41" s="2358"/>
      <c r="DW41" s="2357"/>
      <c r="DX41" s="2358"/>
      <c r="DY41" s="2357"/>
      <c r="DZ41" s="2358"/>
      <c r="EH41" s="2403"/>
      <c r="EI41" s="2356"/>
      <c r="EJ41" s="2357"/>
      <c r="EK41" s="2357"/>
      <c r="EL41" s="2358"/>
      <c r="EM41" s="2357"/>
      <c r="EN41" s="2358"/>
      <c r="EO41" s="2357"/>
      <c r="EP41" s="2358"/>
      <c r="EQ41" s="2358"/>
      <c r="EU41" s="2401"/>
      <c r="EV41" s="2356"/>
      <c r="EW41" s="2357"/>
      <c r="EX41" s="2357"/>
      <c r="EZ41" s="2401"/>
      <c r="FB41" s="2401"/>
      <c r="FD41" s="2401"/>
      <c r="FE41" s="2469"/>
      <c r="FG41" s="2357"/>
      <c r="FH41" s="2358"/>
      <c r="FI41" s="2400"/>
      <c r="FJ41" s="2401"/>
      <c r="FK41" s="2357"/>
      <c r="FL41" s="2401"/>
      <c r="FV41" s="2356"/>
      <c r="FW41" s="2357"/>
      <c r="FX41" s="2357"/>
      <c r="FY41" s="2357"/>
      <c r="FZ41" s="2401"/>
      <c r="GA41" s="2357"/>
      <c r="GB41" s="2358"/>
      <c r="GC41" s="2357"/>
      <c r="GD41" s="2400"/>
    </row>
    <row r="42" spans="1:186" ht="12.95" customHeight="1">
      <c r="A42" s="2356" t="s">
        <v>4042</v>
      </c>
      <c r="B42" s="2369">
        <v>2269</v>
      </c>
      <c r="C42" s="2357">
        <v>1283</v>
      </c>
      <c r="D42" s="2357">
        <v>3</v>
      </c>
      <c r="E42" s="2467">
        <f>D42/C42*100</f>
        <v>0.23382696804364772</v>
      </c>
      <c r="F42" s="2357">
        <v>1</v>
      </c>
      <c r="G42" s="2467">
        <f>F42/C42*100</f>
        <v>7.7942322681215898E-2</v>
      </c>
      <c r="H42" s="2357">
        <v>3</v>
      </c>
      <c r="I42" s="2467">
        <f>H42/C42*100</f>
        <v>0.23382696804364772</v>
      </c>
      <c r="J42" s="2357">
        <v>2</v>
      </c>
      <c r="K42" s="2467">
        <f>J42/C42*100</f>
        <v>0.1558846453624318</v>
      </c>
      <c r="L42" s="2400"/>
      <c r="M42" s="2356"/>
      <c r="N42" s="2400"/>
      <c r="O42" s="2400"/>
      <c r="P42" s="2357"/>
      <c r="Q42" s="2357"/>
      <c r="R42" s="2357"/>
      <c r="S42" s="2357"/>
      <c r="T42" s="2357"/>
      <c r="U42" s="2357"/>
      <c r="V42" s="2357"/>
      <c r="W42" s="2357"/>
      <c r="X42" s="2357"/>
      <c r="Z42" s="2356" t="s">
        <v>4052</v>
      </c>
      <c r="AA42" s="2369">
        <v>1393</v>
      </c>
      <c r="AB42" s="2359">
        <v>428</v>
      </c>
      <c r="AC42" s="2401">
        <f>AB42/AA42*100</f>
        <v>30.725053840631727</v>
      </c>
      <c r="AD42" s="2359">
        <v>683</v>
      </c>
      <c r="AE42" s="2401">
        <f>AD42/AA42*100</f>
        <v>49.030868628858578</v>
      </c>
      <c r="AF42" s="2357">
        <v>282</v>
      </c>
      <c r="AG42" s="2401">
        <f>AF42/AA42*100</f>
        <v>20.244077530509692</v>
      </c>
      <c r="AH42" s="2400"/>
      <c r="AI42" s="2400"/>
      <c r="AJ42" s="2400"/>
      <c r="AK42" s="2400"/>
      <c r="AL42" s="2400"/>
      <c r="AM42" s="2400"/>
      <c r="AN42" s="2400"/>
      <c r="AO42" s="2400"/>
      <c r="AP42" s="2400"/>
      <c r="AQ42" s="2400"/>
      <c r="AR42" s="2400"/>
      <c r="AS42" s="2400"/>
      <c r="AT42" s="2400"/>
      <c r="AU42" s="2400"/>
      <c r="AV42" s="2400"/>
      <c r="AW42" s="2400"/>
      <c r="AX42" s="2356" t="s">
        <v>4045</v>
      </c>
      <c r="AY42" s="2369">
        <v>1231</v>
      </c>
      <c r="AZ42" s="2357">
        <v>3</v>
      </c>
      <c r="BA42" s="2357">
        <v>43</v>
      </c>
      <c r="BB42" s="2468">
        <v>583</v>
      </c>
      <c r="BC42" s="2400">
        <f>BB42/AY42*100</f>
        <v>47.35987002437043</v>
      </c>
      <c r="BD42" s="2468">
        <v>594</v>
      </c>
      <c r="BE42" s="2400">
        <f>BD42/AY42*100</f>
        <v>48.253452477660439</v>
      </c>
      <c r="BF42" s="2468">
        <v>8</v>
      </c>
      <c r="BG42" s="2400">
        <f>BF42/AY42*100</f>
        <v>0.6498781478472786</v>
      </c>
      <c r="BH42" s="2357"/>
      <c r="BI42" s="2400"/>
      <c r="BJ42" s="2400"/>
      <c r="BK42" s="2400"/>
      <c r="BL42" s="2356" t="s">
        <v>4045</v>
      </c>
      <c r="BM42" s="2370">
        <v>1397</v>
      </c>
      <c r="BN42" s="2357">
        <v>6</v>
      </c>
      <c r="BO42" s="2357">
        <v>105</v>
      </c>
      <c r="BP42" s="2468">
        <v>702</v>
      </c>
      <c r="BQ42" s="2400">
        <f>(BP42/BM42)*100</f>
        <v>50.250536864710092</v>
      </c>
      <c r="BR42" s="2468">
        <v>569</v>
      </c>
      <c r="BS42" s="2400">
        <f>(BR42/BM42)*100</f>
        <v>40.730136005726557</v>
      </c>
      <c r="BT42" s="2357">
        <v>15</v>
      </c>
      <c r="BU42" s="2400">
        <f>(BT42/BM42)*100</f>
        <v>1.0737294201861132</v>
      </c>
      <c r="BV42" s="2400"/>
      <c r="BW42" s="2400"/>
      <c r="BX42" s="2400"/>
      <c r="BZ42" s="2356" t="s">
        <v>4056</v>
      </c>
      <c r="CA42" s="2473">
        <v>1787</v>
      </c>
      <c r="CB42" s="2435">
        <v>1218</v>
      </c>
      <c r="CC42" s="2369">
        <v>843</v>
      </c>
      <c r="CD42" s="2434">
        <f>CC42/CB42*100</f>
        <v>69.21182266009852</v>
      </c>
      <c r="CE42" s="2369">
        <v>315</v>
      </c>
      <c r="CF42" s="2434">
        <f>CE42/CB42*100</f>
        <v>25.862068965517242</v>
      </c>
      <c r="CH42" s="2394"/>
      <c r="CJ42" s="2356" t="s">
        <v>2151</v>
      </c>
      <c r="CK42" s="2370">
        <v>839</v>
      </c>
      <c r="CL42" s="2354">
        <v>0</v>
      </c>
      <c r="CM42" s="2359">
        <v>154</v>
      </c>
      <c r="CN42" s="2359">
        <v>683</v>
      </c>
      <c r="CO42" s="2401">
        <f>CN42/CK42*100</f>
        <v>81.406436233611444</v>
      </c>
      <c r="CP42" s="2471">
        <v>2</v>
      </c>
      <c r="CQ42" s="2401">
        <f>CP42/CK42*100</f>
        <v>0.23837902264600713</v>
      </c>
      <c r="CR42" s="2359"/>
      <c r="CS42" s="2401"/>
      <c r="CT42" s="2401"/>
      <c r="CU42" s="2401"/>
      <c r="DC42" s="2356" t="s">
        <v>2151</v>
      </c>
      <c r="DD42" s="2391">
        <v>6182</v>
      </c>
      <c r="DE42" s="2357">
        <v>357</v>
      </c>
      <c r="DF42" s="2358">
        <f>DE42/DD42*100</f>
        <v>5.774830152054351</v>
      </c>
      <c r="DG42" s="2357">
        <v>323</v>
      </c>
      <c r="DH42" s="2358">
        <f>DG42/DD42*100</f>
        <v>5.2248463280491748</v>
      </c>
      <c r="DI42" s="2357">
        <v>296</v>
      </c>
      <c r="DJ42" s="2358">
        <f>DI42/DD42*100</f>
        <v>4.7880944678097705</v>
      </c>
      <c r="DS42" s="2356"/>
      <c r="DT42" s="2359"/>
      <c r="DU42" s="2357"/>
      <c r="DV42" s="2358"/>
      <c r="DW42" s="2357"/>
      <c r="DX42" s="2358"/>
      <c r="DY42" s="2357"/>
      <c r="DZ42" s="2358"/>
      <c r="EH42" s="2403"/>
      <c r="EI42" s="2356"/>
      <c r="EJ42" s="2357"/>
      <c r="EK42" s="2357"/>
      <c r="EL42" s="2358"/>
      <c r="EM42" s="2357"/>
      <c r="EN42" s="2358"/>
      <c r="EO42" s="2357"/>
      <c r="EP42" s="2358"/>
      <c r="EQ42" s="2358"/>
      <c r="EU42" s="2401"/>
      <c r="EV42" s="2356"/>
      <c r="EW42" s="2357"/>
      <c r="EX42" s="2357"/>
      <c r="EY42" s="2357"/>
      <c r="EZ42" s="2401"/>
      <c r="FA42" s="2357"/>
      <c r="FB42" s="2401"/>
      <c r="FC42" s="2357"/>
      <c r="FD42" s="2401"/>
      <c r="FE42" s="2469"/>
      <c r="FG42" s="2357"/>
      <c r="FH42" s="2358"/>
      <c r="FI42" s="2400"/>
      <c r="FJ42" s="2401"/>
      <c r="FK42" s="2357"/>
      <c r="FL42" s="2401"/>
      <c r="FV42" s="2356"/>
      <c r="FW42" s="2357"/>
      <c r="FX42" s="2357"/>
      <c r="FY42" s="2357"/>
      <c r="FZ42" s="2401"/>
      <c r="GA42" s="2357"/>
      <c r="GB42" s="2358"/>
      <c r="GC42" s="2357"/>
      <c r="GD42" s="2400"/>
    </row>
    <row r="43" spans="1:186" ht="12.95" customHeight="1">
      <c r="A43" s="2356" t="s">
        <v>4045</v>
      </c>
      <c r="B43" s="2369">
        <v>1976</v>
      </c>
      <c r="C43" s="2357">
        <v>1226</v>
      </c>
      <c r="D43" s="2357">
        <v>3</v>
      </c>
      <c r="E43" s="2467">
        <f>D43/C43*100</f>
        <v>0.24469820554649263</v>
      </c>
      <c r="F43" s="2357">
        <v>3</v>
      </c>
      <c r="G43" s="2467">
        <f>F43/C43*100</f>
        <v>0.24469820554649263</v>
      </c>
      <c r="H43" s="2357">
        <v>2</v>
      </c>
      <c r="I43" s="2467">
        <f>H43/C43*100</f>
        <v>0.16313213703099511</v>
      </c>
      <c r="J43" s="2357">
        <v>1</v>
      </c>
      <c r="K43" s="2467">
        <f>J43/C43*100</f>
        <v>8.1566068515497553E-2</v>
      </c>
      <c r="L43" s="2400"/>
      <c r="M43" s="2356"/>
      <c r="N43" s="2400"/>
      <c r="O43" s="2400"/>
      <c r="P43" s="2357"/>
      <c r="Q43" s="2357"/>
      <c r="R43" s="2357"/>
      <c r="S43" s="2357"/>
      <c r="T43" s="2357"/>
      <c r="U43" s="2357"/>
      <c r="V43" s="2357"/>
      <c r="W43" s="2357"/>
      <c r="X43" s="2357"/>
      <c r="Z43" s="2356" t="s">
        <v>4056</v>
      </c>
      <c r="AA43" s="2369">
        <v>1218</v>
      </c>
      <c r="AB43" s="2359">
        <v>267</v>
      </c>
      <c r="AC43" s="2401">
        <f>AB43/AA43*100</f>
        <v>21.921182266009854</v>
      </c>
      <c r="AD43" s="2359">
        <v>670</v>
      </c>
      <c r="AE43" s="2401">
        <f>AD43/AA43*100</f>
        <v>55.008210180623976</v>
      </c>
      <c r="AF43" s="2357">
        <v>281</v>
      </c>
      <c r="AG43" s="2401">
        <f>AF43/AA43*100</f>
        <v>23.070607553366173</v>
      </c>
      <c r="AH43" s="2400"/>
      <c r="AI43" s="2400"/>
      <c r="AJ43" s="2400"/>
      <c r="AK43" s="2400"/>
      <c r="AL43" s="2400"/>
      <c r="AM43" s="2400"/>
      <c r="AN43" s="2400"/>
      <c r="AO43" s="2400"/>
      <c r="AP43" s="2400"/>
      <c r="AQ43" s="2400"/>
      <c r="AR43" s="2400"/>
      <c r="AS43" s="2400"/>
      <c r="AT43" s="2400"/>
      <c r="AU43" s="2400"/>
      <c r="AV43" s="2400"/>
      <c r="AW43" s="2400"/>
      <c r="AX43" s="2356" t="s">
        <v>4048</v>
      </c>
      <c r="AY43" s="2357">
        <v>339</v>
      </c>
      <c r="AZ43" s="2357">
        <v>0</v>
      </c>
      <c r="BA43" s="2357">
        <v>13</v>
      </c>
      <c r="BB43" s="2468">
        <v>173</v>
      </c>
      <c r="BC43" s="2401">
        <f>BB43/AY43*100</f>
        <v>51.032448377581119</v>
      </c>
      <c r="BD43" s="2468">
        <v>150</v>
      </c>
      <c r="BE43" s="2400">
        <f>BD43/AY43*100</f>
        <v>44.247787610619469</v>
      </c>
      <c r="BF43" s="2468">
        <v>3</v>
      </c>
      <c r="BG43" s="2400">
        <f>BF43/AY43*100</f>
        <v>0.88495575221238942</v>
      </c>
      <c r="BH43" s="2357"/>
      <c r="BI43" s="2401"/>
      <c r="BJ43" s="2400"/>
      <c r="BK43" s="2400"/>
      <c r="BL43" s="2356" t="s">
        <v>4048</v>
      </c>
      <c r="BM43" s="2370">
        <v>498</v>
      </c>
      <c r="BN43" s="2357">
        <v>1</v>
      </c>
      <c r="BO43" s="2357">
        <v>61</v>
      </c>
      <c r="BP43" s="2468">
        <v>193</v>
      </c>
      <c r="BQ43" s="2400">
        <f>(BP43/BM43)*100</f>
        <v>38.755020080321287</v>
      </c>
      <c r="BR43" s="2468">
        <v>239</v>
      </c>
      <c r="BS43" s="2400">
        <f>(BR43/BM43)*100</f>
        <v>47.99196787148594</v>
      </c>
      <c r="BT43" s="2357">
        <v>4</v>
      </c>
      <c r="BU43" s="2400">
        <f>(BT43/BM43)*100</f>
        <v>0.80321285140562237</v>
      </c>
      <c r="BV43" s="2400"/>
      <c r="BW43" s="2400"/>
      <c r="BX43" s="2400"/>
      <c r="BZ43" s="2356" t="s">
        <v>2209</v>
      </c>
      <c r="CA43" s="2473">
        <v>2948</v>
      </c>
      <c r="CB43" s="2435">
        <v>2033</v>
      </c>
      <c r="CC43" s="2369">
        <v>1337</v>
      </c>
      <c r="CD43" s="2434">
        <f>CC43/CB43*100</f>
        <v>65.764879488440727</v>
      </c>
      <c r="CE43" s="2369">
        <v>581</v>
      </c>
      <c r="CF43" s="2434">
        <f>CE43/CB43*100</f>
        <v>28.578455484505653</v>
      </c>
      <c r="CH43" s="2394"/>
      <c r="CJ43" s="2356" t="s">
        <v>4052</v>
      </c>
      <c r="CK43" s="2370">
        <v>1386</v>
      </c>
      <c r="CL43" s="864">
        <v>0</v>
      </c>
      <c r="CM43" s="2359">
        <v>262</v>
      </c>
      <c r="CN43" s="2359">
        <v>1115</v>
      </c>
      <c r="CO43" s="2401">
        <f>CN43/CK43*100</f>
        <v>80.447330447330444</v>
      </c>
      <c r="CP43" s="2471">
        <v>9</v>
      </c>
      <c r="CQ43" s="2401">
        <f>CP43/CK43*100</f>
        <v>0.64935064935064934</v>
      </c>
      <c r="CR43" s="2359"/>
      <c r="CS43" s="2401"/>
      <c r="CT43" s="2401"/>
      <c r="CU43" s="2401"/>
      <c r="DC43" s="2356" t="s">
        <v>4052</v>
      </c>
      <c r="DD43" s="2391">
        <v>8889</v>
      </c>
      <c r="DE43" s="2357">
        <v>449</v>
      </c>
      <c r="DF43" s="2358">
        <f>DE43/DD43*100</f>
        <v>5.0511868601642478</v>
      </c>
      <c r="DG43" s="2357">
        <v>396</v>
      </c>
      <c r="DH43" s="2358">
        <f>DG43/DD43*100</f>
        <v>4.4549443131960853</v>
      </c>
      <c r="DI43" s="2357">
        <v>439</v>
      </c>
      <c r="DJ43" s="2358">
        <f>DI43/DD43*100</f>
        <v>4.93868826639667</v>
      </c>
      <c r="DS43" s="2356"/>
      <c r="DT43" s="2359"/>
      <c r="DU43" s="2357"/>
      <c r="DV43" s="2358"/>
      <c r="DW43" s="2357"/>
      <c r="DX43" s="2358"/>
      <c r="DY43" s="2357"/>
      <c r="DZ43" s="2358"/>
      <c r="EH43" s="2403"/>
      <c r="EI43" s="2356"/>
      <c r="EJ43" s="2357"/>
      <c r="EK43" s="2357"/>
      <c r="EL43" s="2358"/>
      <c r="EM43" s="2357"/>
      <c r="EN43" s="2358"/>
      <c r="EO43" s="2357"/>
      <c r="EP43" s="2358"/>
      <c r="EQ43" s="2358"/>
      <c r="EU43" s="2401"/>
      <c r="EV43" s="2356"/>
      <c r="EW43" s="2357"/>
      <c r="EX43" s="2357"/>
      <c r="EY43" s="2357"/>
      <c r="EZ43" s="2401"/>
      <c r="FA43" s="2357"/>
      <c r="FB43" s="2401"/>
      <c r="FC43" s="2357"/>
      <c r="FD43" s="2401"/>
      <c r="FE43" s="2469"/>
      <c r="FG43" s="2357"/>
      <c r="FH43" s="2358"/>
      <c r="FI43" s="2400"/>
      <c r="FJ43" s="2401"/>
      <c r="FK43" s="2357"/>
      <c r="FL43" s="2401"/>
      <c r="FV43" s="2356"/>
      <c r="FW43" s="2357"/>
      <c r="FX43" s="2357"/>
      <c r="FY43" s="2357"/>
      <c r="FZ43" s="2401"/>
      <c r="GA43" s="2357"/>
      <c r="GB43" s="2358"/>
      <c r="GC43" s="2357"/>
      <c r="GD43" s="2400"/>
    </row>
    <row r="44" spans="1:186" ht="12.95" customHeight="1">
      <c r="A44" s="2356" t="s">
        <v>4048</v>
      </c>
      <c r="B44" s="2369">
        <v>519</v>
      </c>
      <c r="C44" s="2357">
        <v>337</v>
      </c>
      <c r="D44" s="2357">
        <v>1</v>
      </c>
      <c r="E44" s="2467">
        <f>D44/C44*100</f>
        <v>0.29673590504451042</v>
      </c>
      <c r="F44" s="2357">
        <v>2</v>
      </c>
      <c r="G44" s="2467">
        <f>F44/C44*100</f>
        <v>0.59347181008902083</v>
      </c>
      <c r="H44" s="2357">
        <v>1</v>
      </c>
      <c r="I44" s="2467">
        <f>H44/C44*100</f>
        <v>0.29673590504451042</v>
      </c>
      <c r="J44" s="2357">
        <v>1</v>
      </c>
      <c r="K44" s="2467">
        <f>J44/C44*100</f>
        <v>0.29673590504451042</v>
      </c>
      <c r="L44" s="2400"/>
      <c r="M44" s="2356"/>
      <c r="N44" s="2400"/>
      <c r="O44" s="2400"/>
      <c r="P44" s="2357"/>
      <c r="Q44" s="2357"/>
      <c r="R44" s="2357"/>
      <c r="S44" s="2357"/>
      <c r="T44" s="2357"/>
      <c r="U44" s="2357"/>
      <c r="V44" s="2357"/>
      <c r="W44" s="2357"/>
      <c r="X44" s="2357"/>
      <c r="Z44" s="2356" t="s">
        <v>2209</v>
      </c>
      <c r="AA44" s="2369">
        <v>2033</v>
      </c>
      <c r="AB44" s="2359">
        <v>368</v>
      </c>
      <c r="AC44" s="2401">
        <f>AB44/AA44*100</f>
        <v>18.10132808657157</v>
      </c>
      <c r="AD44" s="2359">
        <v>1043</v>
      </c>
      <c r="AE44" s="2401">
        <f>AD44/AA44*100</f>
        <v>51.303492375799308</v>
      </c>
      <c r="AF44" s="2357">
        <v>622</v>
      </c>
      <c r="AG44" s="2401">
        <f>AF44/AA44*100</f>
        <v>30.595179537629118</v>
      </c>
      <c r="AH44" s="2400"/>
      <c r="AI44" s="2400"/>
      <c r="AJ44" s="2400"/>
      <c r="AK44" s="2400"/>
      <c r="AL44" s="2400"/>
      <c r="AM44" s="2400"/>
      <c r="AN44" s="2400"/>
      <c r="AO44" s="2400"/>
      <c r="AP44" s="2400"/>
      <c r="AQ44" s="2400"/>
      <c r="AR44" s="2400"/>
      <c r="AS44" s="2400"/>
      <c r="AT44" s="2400"/>
      <c r="AU44" s="2400"/>
      <c r="AV44" s="2400"/>
      <c r="AW44" s="2400"/>
      <c r="AX44" s="2356" t="s">
        <v>2151</v>
      </c>
      <c r="AY44" s="2369">
        <v>661</v>
      </c>
      <c r="AZ44" s="2357">
        <v>2</v>
      </c>
      <c r="BA44" s="2357">
        <v>14</v>
      </c>
      <c r="BB44" s="2468">
        <v>374</v>
      </c>
      <c r="BC44" s="2400">
        <f>BB44/AY44*100</f>
        <v>56.580937972768531</v>
      </c>
      <c r="BD44" s="2468">
        <v>267</v>
      </c>
      <c r="BE44" s="2400">
        <f>BD44/AY44*100</f>
        <v>40.393343419062028</v>
      </c>
      <c r="BF44" s="2468">
        <v>4</v>
      </c>
      <c r="BG44" s="2400">
        <f>BF44/AY44*100</f>
        <v>0.60514372163388808</v>
      </c>
      <c r="BH44" s="2357"/>
      <c r="BI44" s="2400"/>
      <c r="BJ44" s="2400"/>
      <c r="BK44" s="2400"/>
      <c r="BL44" s="2356" t="s">
        <v>2151</v>
      </c>
      <c r="BM44" s="2370">
        <v>814</v>
      </c>
      <c r="BN44" s="2357">
        <v>10</v>
      </c>
      <c r="BO44" s="2357">
        <v>57</v>
      </c>
      <c r="BP44" s="2468">
        <v>418</v>
      </c>
      <c r="BQ44" s="2400">
        <f>(BP44/BM44)*100</f>
        <v>51.351351351351347</v>
      </c>
      <c r="BR44" s="2468">
        <v>317</v>
      </c>
      <c r="BS44" s="2400">
        <f>(BR44/BM44)*100</f>
        <v>38.943488943488944</v>
      </c>
      <c r="BT44" s="2357">
        <v>12</v>
      </c>
      <c r="BU44" s="2400">
        <f>(BT44/BM44)*100</f>
        <v>1.4742014742014742</v>
      </c>
      <c r="BV44" s="2400"/>
      <c r="BW44" s="2400"/>
      <c r="BX44" s="2400"/>
      <c r="BZ44" s="2356" t="s">
        <v>2352</v>
      </c>
      <c r="CA44" s="2473">
        <v>2793</v>
      </c>
      <c r="CB44" s="2435">
        <v>2055</v>
      </c>
      <c r="CC44" s="2369">
        <v>1404</v>
      </c>
      <c r="CD44" s="2434">
        <f>CC44/CB44*100</f>
        <v>68.321167883211672</v>
      </c>
      <c r="CE44" s="2369">
        <v>551</v>
      </c>
      <c r="CF44" s="2434">
        <f>CE44/CB44*100</f>
        <v>26.812652068126518</v>
      </c>
      <c r="CH44" s="2394"/>
      <c r="CJ44" s="2356" t="s">
        <v>4056</v>
      </c>
      <c r="CK44" s="2370">
        <v>1077</v>
      </c>
      <c r="CL44" s="2354">
        <v>0</v>
      </c>
      <c r="CM44" s="2359">
        <v>170</v>
      </c>
      <c r="CN44" s="2359">
        <v>896</v>
      </c>
      <c r="CO44" s="2401">
        <f>CN44/CK44*100</f>
        <v>83.194057567316619</v>
      </c>
      <c r="CP44" s="2471">
        <v>11</v>
      </c>
      <c r="CQ44" s="2401">
        <f>CP44/CK44*100</f>
        <v>1.021355617455896</v>
      </c>
      <c r="CR44" s="2359"/>
      <c r="CS44" s="2401"/>
      <c r="CT44" s="2401"/>
      <c r="CU44" s="2401"/>
      <c r="CX44" s="2368" t="s">
        <v>4114</v>
      </c>
      <c r="CY44" s="2368"/>
      <c r="CZ44" s="2368"/>
      <c r="DC44" s="2356" t="s">
        <v>4056</v>
      </c>
      <c r="DD44" s="2391">
        <v>9818</v>
      </c>
      <c r="DE44" s="2357">
        <v>486</v>
      </c>
      <c r="DF44" s="2358">
        <f>DE44/DD44*100</f>
        <v>4.9500916683642284</v>
      </c>
      <c r="DG44" s="2357">
        <v>498</v>
      </c>
      <c r="DH44" s="2358">
        <f>DG44/DD44*100</f>
        <v>5.0723161540028521</v>
      </c>
      <c r="DI44" s="2357">
        <v>474</v>
      </c>
      <c r="DJ44" s="2358">
        <f>DI44/DD44*100</f>
        <v>4.8278671827256057</v>
      </c>
      <c r="DS44" s="2356"/>
      <c r="DT44" s="2359"/>
      <c r="DU44" s="2357"/>
      <c r="DV44" s="2358"/>
      <c r="DW44" s="2357"/>
      <c r="DX44" s="2358"/>
      <c r="DY44" s="2357"/>
      <c r="DZ44" s="2358"/>
      <c r="EH44" s="2403"/>
      <c r="EI44" s="2356"/>
      <c r="EJ44" s="2357"/>
      <c r="EK44" s="2357"/>
      <c r="EL44" s="2358"/>
      <c r="EM44" s="2357"/>
      <c r="EN44" s="2358"/>
      <c r="EO44" s="2357"/>
      <c r="EP44" s="2358"/>
      <c r="EQ44" s="2358"/>
      <c r="EU44" s="2401"/>
      <c r="EV44" s="2356"/>
      <c r="EW44" s="2357"/>
      <c r="EX44" s="2357"/>
      <c r="EY44" s="2357"/>
      <c r="EZ44" s="2401"/>
      <c r="FA44" s="2357"/>
      <c r="FB44" s="2401"/>
      <c r="FC44" s="2357"/>
      <c r="FD44" s="2401"/>
      <c r="FE44" s="2469"/>
      <c r="FG44" s="2357"/>
      <c r="FH44" s="2358"/>
      <c r="FI44" s="2400"/>
      <c r="FJ44" s="2401"/>
      <c r="FK44" s="2357"/>
      <c r="FL44" s="2401"/>
      <c r="FV44" s="2356"/>
      <c r="FW44" s="2357"/>
      <c r="FX44" s="2357"/>
      <c r="FY44" s="2357"/>
      <c r="FZ44" s="2401"/>
      <c r="GA44" s="2357"/>
      <c r="GB44" s="2358"/>
      <c r="GC44" s="2357"/>
      <c r="GD44" s="2400"/>
    </row>
    <row r="45" spans="1:186" ht="12.95" customHeight="1">
      <c r="A45" s="2356" t="s">
        <v>2151</v>
      </c>
      <c r="B45" s="2369">
        <v>1079</v>
      </c>
      <c r="C45" s="2357">
        <v>632</v>
      </c>
      <c r="D45" s="2357">
        <v>4</v>
      </c>
      <c r="E45" s="2467">
        <f>D45/C45*100</f>
        <v>0.63291139240506333</v>
      </c>
      <c r="F45" s="2357">
        <v>2</v>
      </c>
      <c r="G45" s="2467">
        <f>F45/C45*100</f>
        <v>0.31645569620253167</v>
      </c>
      <c r="H45" s="2357">
        <v>0</v>
      </c>
      <c r="I45" s="2467">
        <f>H45/C45*100</f>
        <v>0</v>
      </c>
      <c r="J45" s="2357">
        <v>1</v>
      </c>
      <c r="K45" s="2467">
        <f>J45/C45*100</f>
        <v>0.15822784810126583</v>
      </c>
      <c r="L45" s="2400"/>
      <c r="M45" s="2356"/>
      <c r="N45" s="2400"/>
      <c r="O45" s="2400"/>
      <c r="P45" s="2357"/>
      <c r="Q45" s="2357"/>
      <c r="R45" s="2357"/>
      <c r="S45" s="2357"/>
      <c r="T45" s="2357"/>
      <c r="U45" s="2357"/>
      <c r="V45" s="2357"/>
      <c r="W45" s="2357"/>
      <c r="X45" s="2357"/>
      <c r="Z45" s="2356" t="s">
        <v>2352</v>
      </c>
      <c r="AA45" s="2369">
        <v>2055</v>
      </c>
      <c r="AB45" s="2359">
        <v>516</v>
      </c>
      <c r="AC45" s="2401">
        <f>AB45/AA45*100</f>
        <v>25.10948905109489</v>
      </c>
      <c r="AD45" s="2359">
        <v>1020</v>
      </c>
      <c r="AE45" s="2401">
        <f>AD45/AA45*100</f>
        <v>49.635036496350367</v>
      </c>
      <c r="AF45" s="2357">
        <v>519</v>
      </c>
      <c r="AG45" s="2401">
        <f>AF45/AA45*100</f>
        <v>25.255474452554743</v>
      </c>
      <c r="AH45" s="2400"/>
      <c r="AI45" s="2400"/>
      <c r="AJ45" s="2400"/>
      <c r="AK45" s="2400"/>
      <c r="AL45" s="2400"/>
      <c r="AM45" s="2400"/>
      <c r="AN45" s="2400"/>
      <c r="AO45" s="2400"/>
      <c r="AP45" s="2400"/>
      <c r="AQ45" s="2400"/>
      <c r="AR45" s="2400"/>
      <c r="AS45" s="2400"/>
      <c r="AT45" s="2400"/>
      <c r="AU45" s="2400"/>
      <c r="AV45" s="2400"/>
      <c r="AW45" s="2400"/>
      <c r="AX45" s="2356" t="s">
        <v>4052</v>
      </c>
      <c r="AY45" s="2369">
        <v>1188</v>
      </c>
      <c r="AZ45" s="2357">
        <v>2</v>
      </c>
      <c r="BA45" s="2357">
        <v>45</v>
      </c>
      <c r="BB45" s="2468">
        <v>628</v>
      </c>
      <c r="BC45" s="2400">
        <f>BB45/AY45*100</f>
        <v>52.861952861952865</v>
      </c>
      <c r="BD45" s="2468">
        <v>511</v>
      </c>
      <c r="BE45" s="2400">
        <f>BD45/AY45*100</f>
        <v>43.013468013468014</v>
      </c>
      <c r="BF45" s="2468">
        <v>2</v>
      </c>
      <c r="BG45" s="2400">
        <f>BF45/AY45*100</f>
        <v>0.16835016835016833</v>
      </c>
      <c r="BH45" s="2357"/>
      <c r="BI45" s="2401"/>
      <c r="BJ45" s="2400"/>
      <c r="BK45" s="2400"/>
      <c r="BL45" s="2356" t="s">
        <v>4052</v>
      </c>
      <c r="BM45" s="2370">
        <v>1393</v>
      </c>
      <c r="BN45" s="2357">
        <v>9</v>
      </c>
      <c r="BO45" s="2357">
        <v>84</v>
      </c>
      <c r="BP45" s="2468">
        <v>710</v>
      </c>
      <c r="BQ45" s="2400">
        <f>(BP45/BM45)*100</f>
        <v>50.969131371141415</v>
      </c>
      <c r="BR45" s="2468">
        <v>584</v>
      </c>
      <c r="BS45" s="2400">
        <f>(BR45/BM45)*100</f>
        <v>41.92390524048816</v>
      </c>
      <c r="BT45" s="2357">
        <v>6</v>
      </c>
      <c r="BU45" s="2400">
        <f>(BT45/BM45)*100</f>
        <v>0.4307250538406317</v>
      </c>
      <c r="BV45" s="2400"/>
      <c r="BW45" s="2400"/>
      <c r="BX45" s="2400"/>
      <c r="BZ45" s="2356" t="s">
        <v>2261</v>
      </c>
      <c r="CA45" s="2473">
        <v>1838</v>
      </c>
      <c r="CB45" s="2435">
        <v>1397</v>
      </c>
      <c r="CC45" s="2369">
        <v>928</v>
      </c>
      <c r="CD45" s="2434">
        <f>CC45/CB45*100</f>
        <v>66.428060128847534</v>
      </c>
      <c r="CE45" s="2369">
        <v>401</v>
      </c>
      <c r="CF45" s="2434">
        <f>CE45/CB45*100</f>
        <v>28.704366499642092</v>
      </c>
      <c r="CH45" s="2394"/>
      <c r="CJ45" s="2356" t="s">
        <v>2209</v>
      </c>
      <c r="CK45" s="2370">
        <v>1737</v>
      </c>
      <c r="CL45" s="2354">
        <v>0</v>
      </c>
      <c r="CM45" s="2359">
        <v>282</v>
      </c>
      <c r="CN45" s="2359">
        <v>1425</v>
      </c>
      <c r="CO45" s="2401">
        <f>CN45/CK45*100</f>
        <v>82.037996545768564</v>
      </c>
      <c r="CP45" s="2471">
        <v>30</v>
      </c>
      <c r="CQ45" s="2401">
        <f>CP45/CK45*100</f>
        <v>1.7271157167530224</v>
      </c>
      <c r="CR45" s="2359"/>
      <c r="CS45" s="2401"/>
      <c r="CT45" s="2401"/>
      <c r="CU45" s="2401"/>
      <c r="CX45" s="2356" t="s">
        <v>3984</v>
      </c>
      <c r="CY45" s="2476" t="s">
        <v>3985</v>
      </c>
      <c r="CZ45" s="2450" t="s">
        <v>3986</v>
      </c>
      <c r="DA45" s="2356"/>
      <c r="DB45" s="2356"/>
      <c r="DC45" s="2356" t="s">
        <v>2209</v>
      </c>
      <c r="DD45" s="2391">
        <v>17727</v>
      </c>
      <c r="DE45" s="2357">
        <v>914</v>
      </c>
      <c r="DF45" s="2358">
        <f>DE45/DD45*100</f>
        <v>5.1559767586167995</v>
      </c>
      <c r="DG45" s="2357">
        <v>886</v>
      </c>
      <c r="DH45" s="2358">
        <f>DG45/DD45*100</f>
        <v>4.9980256106504202</v>
      </c>
      <c r="DI45" s="2357">
        <v>853</v>
      </c>
      <c r="DJ45" s="2358">
        <f>DI45/DD45*100</f>
        <v>4.8118689005471875</v>
      </c>
      <c r="DK45" s="2356"/>
      <c r="DL45" s="2356"/>
      <c r="DM45" s="2356"/>
      <c r="DN45" s="2356"/>
      <c r="DO45" s="2356"/>
      <c r="DP45" s="2356"/>
      <c r="DQ45" s="2356"/>
      <c r="DS45" s="2356"/>
      <c r="DT45" s="2359"/>
      <c r="DU45" s="2357"/>
      <c r="DV45" s="2358"/>
      <c r="DW45" s="2357"/>
      <c r="DX45" s="2358"/>
      <c r="DY45" s="2357"/>
      <c r="DZ45" s="2358"/>
      <c r="EH45" s="2403"/>
      <c r="EI45" s="2356"/>
      <c r="EJ45" s="2357"/>
      <c r="EK45" s="2357"/>
      <c r="EL45" s="2358"/>
      <c r="EM45" s="2357"/>
      <c r="EN45" s="2358"/>
      <c r="EO45" s="2357"/>
      <c r="EP45" s="2358"/>
      <c r="EQ45" s="2358"/>
      <c r="EU45" s="2401"/>
      <c r="EV45" s="2356"/>
      <c r="EW45" s="2357"/>
      <c r="EX45" s="2357"/>
      <c r="EY45" s="2357"/>
      <c r="EZ45" s="2401"/>
      <c r="FA45" s="2357"/>
      <c r="FB45" s="2401"/>
      <c r="FC45" s="2357"/>
      <c r="FD45" s="2401"/>
      <c r="FE45" s="2469"/>
      <c r="FG45" s="2357"/>
      <c r="FH45" s="2358"/>
      <c r="FI45" s="2400"/>
      <c r="FJ45" s="2401"/>
      <c r="FK45" s="2357"/>
      <c r="FL45" s="2401"/>
      <c r="FV45" s="2356"/>
      <c r="FW45" s="2357"/>
      <c r="FX45" s="2357"/>
      <c r="FY45" s="2357"/>
      <c r="FZ45" s="2401"/>
      <c r="GA45" s="2357"/>
      <c r="GB45" s="2358"/>
      <c r="GC45" s="2357"/>
      <c r="GD45" s="2400"/>
    </row>
    <row r="46" spans="1:186" ht="12.95" customHeight="1">
      <c r="A46" s="2356" t="s">
        <v>4052</v>
      </c>
      <c r="B46" s="2369">
        <v>1632</v>
      </c>
      <c r="C46" s="2357">
        <v>926</v>
      </c>
      <c r="D46" s="2357">
        <v>1</v>
      </c>
      <c r="E46" s="2467">
        <f>D46/C46*100</f>
        <v>0.10799136069114472</v>
      </c>
      <c r="F46" s="2357">
        <v>0</v>
      </c>
      <c r="G46" s="2467">
        <f>F46/C46*100</f>
        <v>0</v>
      </c>
      <c r="H46" s="2357">
        <v>2</v>
      </c>
      <c r="I46" s="2467">
        <f>H46/C46*100</f>
        <v>0.21598272138228944</v>
      </c>
      <c r="J46" s="2357">
        <v>2</v>
      </c>
      <c r="K46" s="2467">
        <f>J46/C46*100</f>
        <v>0.21598272138228944</v>
      </c>
      <c r="L46" s="2400"/>
      <c r="M46" s="2356"/>
      <c r="N46" s="2400"/>
      <c r="O46" s="2400"/>
      <c r="P46" s="2357"/>
      <c r="Q46" s="2357"/>
      <c r="R46" s="2357"/>
      <c r="S46" s="2357"/>
      <c r="T46" s="2357"/>
      <c r="U46" s="2357"/>
      <c r="V46" s="2357"/>
      <c r="W46" s="2357"/>
      <c r="X46" s="2357"/>
      <c r="Z46" s="2356" t="s">
        <v>2261</v>
      </c>
      <c r="AA46" s="2369">
        <v>1397</v>
      </c>
      <c r="AB46" s="2359">
        <v>384</v>
      </c>
      <c r="AC46" s="2401">
        <f>AB46/AA46*100</f>
        <v>27.487473156764498</v>
      </c>
      <c r="AD46" s="2359">
        <v>765</v>
      </c>
      <c r="AE46" s="2401">
        <f>AD46/AA46*100</f>
        <v>54.760200429491768</v>
      </c>
      <c r="AF46" s="2357">
        <v>248</v>
      </c>
      <c r="AG46" s="2401">
        <f>AF46/AA46*100</f>
        <v>17.752326413743734</v>
      </c>
      <c r="AH46" s="2400"/>
      <c r="AI46" s="2400"/>
      <c r="AJ46" s="2400"/>
      <c r="AK46" s="2400"/>
      <c r="AL46" s="2400"/>
      <c r="AM46" s="2400"/>
      <c r="AN46" s="2400"/>
      <c r="AO46" s="2400"/>
      <c r="AP46" s="2400"/>
      <c r="AQ46" s="2400"/>
      <c r="AR46" s="2400"/>
      <c r="AS46" s="2400"/>
      <c r="AT46" s="2400"/>
      <c r="AU46" s="2400"/>
      <c r="AV46" s="2400"/>
      <c r="AW46" s="2400"/>
      <c r="AX46" s="2356" t="s">
        <v>4056</v>
      </c>
      <c r="AY46" s="2369">
        <v>1216</v>
      </c>
      <c r="AZ46" s="2357">
        <v>1</v>
      </c>
      <c r="BA46" s="2357">
        <v>26</v>
      </c>
      <c r="BB46" s="2468">
        <v>591</v>
      </c>
      <c r="BC46" s="2401">
        <f>BB46/AY46*100</f>
        <v>48.601973684210527</v>
      </c>
      <c r="BD46" s="2468">
        <v>582</v>
      </c>
      <c r="BE46" s="2400">
        <f>BD46/AY46*100</f>
        <v>47.861842105263158</v>
      </c>
      <c r="BF46" s="2468">
        <v>16</v>
      </c>
      <c r="BG46" s="2400">
        <f>BF46/AY46*100</f>
        <v>1.3157894736842104</v>
      </c>
      <c r="BH46" s="2357"/>
      <c r="BI46" s="2400"/>
      <c r="BJ46" s="2400"/>
      <c r="BK46" s="2400"/>
      <c r="BL46" s="2356" t="s">
        <v>4056</v>
      </c>
      <c r="BM46" s="2370">
        <v>1218</v>
      </c>
      <c r="BN46" s="2357">
        <v>3</v>
      </c>
      <c r="BO46" s="2357">
        <v>64</v>
      </c>
      <c r="BP46" s="2468">
        <v>710</v>
      </c>
      <c r="BQ46" s="2400">
        <f>(BP46/BM46)*100</f>
        <v>58.292282430213461</v>
      </c>
      <c r="BR46" s="2468">
        <v>419</v>
      </c>
      <c r="BS46" s="2400">
        <f>(BR46/BM46)*100</f>
        <v>34.400656814449917</v>
      </c>
      <c r="BT46" s="2357">
        <v>22</v>
      </c>
      <c r="BU46" s="2400">
        <f>(BT46/BM46)*100</f>
        <v>1.8062397372742198</v>
      </c>
      <c r="BV46" s="2400"/>
      <c r="BW46" s="2400"/>
      <c r="BX46" s="2400"/>
      <c r="BZ46" s="2356" t="s">
        <v>2251</v>
      </c>
      <c r="CA46" s="2473">
        <v>1616</v>
      </c>
      <c r="CB46" s="2435">
        <v>1218</v>
      </c>
      <c r="CC46" s="2369">
        <v>799</v>
      </c>
      <c r="CD46" s="2434">
        <f>CC46/CB46*100</f>
        <v>65.599343185550083</v>
      </c>
      <c r="CE46" s="2369">
        <v>353</v>
      </c>
      <c r="CF46" s="2434">
        <f>CE46/CB46*100</f>
        <v>28.981937602627255</v>
      </c>
      <c r="CH46" s="2394"/>
      <c r="CJ46" s="2356" t="s">
        <v>2352</v>
      </c>
      <c r="CK46" s="2370">
        <v>1492</v>
      </c>
      <c r="CL46" s="2354">
        <v>1</v>
      </c>
      <c r="CM46" s="2359">
        <v>220</v>
      </c>
      <c r="CN46" s="2359">
        <v>1246</v>
      </c>
      <c r="CO46" s="2401">
        <f>CN46/CK46*100</f>
        <v>83.512064343163544</v>
      </c>
      <c r="CP46" s="2471">
        <v>25</v>
      </c>
      <c r="CQ46" s="2401">
        <f>CP46/CK46*100</f>
        <v>1.6756032171581769</v>
      </c>
      <c r="CR46" s="2359"/>
      <c r="CS46" s="2401"/>
      <c r="CT46" s="2401"/>
      <c r="CU46" s="2401"/>
      <c r="CX46" s="2368" t="s">
        <v>4016</v>
      </c>
      <c r="CY46" s="2475" t="s">
        <v>4017</v>
      </c>
      <c r="CZ46" s="2372" t="s">
        <v>4018</v>
      </c>
      <c r="DA46" s="2361"/>
      <c r="DB46" s="2361"/>
      <c r="DC46" s="2356" t="s">
        <v>2352</v>
      </c>
      <c r="DD46" s="2391">
        <v>17874</v>
      </c>
      <c r="DE46" s="2357">
        <v>823</v>
      </c>
      <c r="DF46" s="2358">
        <f>DE46/DD46*100</f>
        <v>4.6044533959941809</v>
      </c>
      <c r="DG46" s="2357">
        <v>867</v>
      </c>
      <c r="DH46" s="2358">
        <f>DG46/DD46*100</f>
        <v>4.8506210137630079</v>
      </c>
      <c r="DI46" s="2357">
        <v>883</v>
      </c>
      <c r="DJ46" s="2358">
        <f>DI46/DD46*100</f>
        <v>4.9401365111334901</v>
      </c>
      <c r="DK46" s="2361"/>
      <c r="DL46" s="2361"/>
      <c r="DM46" s="2361"/>
      <c r="DN46" s="2361"/>
      <c r="DO46" s="2361"/>
      <c r="DP46" s="2361"/>
      <c r="DQ46" s="2361"/>
      <c r="DS46" s="2356"/>
      <c r="DT46" s="2359"/>
      <c r="DU46" s="2357"/>
      <c r="DV46" s="2358"/>
      <c r="DW46" s="2357"/>
      <c r="DX46" s="2358"/>
      <c r="DY46" s="2357"/>
      <c r="DZ46" s="2358"/>
      <c r="EH46" s="2403"/>
      <c r="EI46" s="2356"/>
      <c r="EJ46" s="2357"/>
      <c r="EK46" s="2357"/>
      <c r="EL46" s="2358"/>
      <c r="EM46" s="2357"/>
      <c r="EN46" s="2358"/>
      <c r="EO46" s="2357"/>
      <c r="EP46" s="2358"/>
      <c r="EQ46" s="2358"/>
      <c r="EU46" s="2401"/>
      <c r="EV46" s="2356"/>
      <c r="EW46" s="2357"/>
      <c r="EX46" s="2357"/>
      <c r="EY46" s="2357"/>
      <c r="EZ46" s="2401"/>
      <c r="FA46" s="2357"/>
      <c r="FB46" s="2401"/>
      <c r="FC46" s="2357"/>
      <c r="FD46" s="2401"/>
      <c r="FE46" s="2469"/>
      <c r="FG46" s="2357"/>
      <c r="FH46" s="2358"/>
      <c r="FI46" s="2400"/>
      <c r="FJ46" s="2401"/>
      <c r="FK46" s="2357"/>
      <c r="FL46" s="2401"/>
      <c r="FV46" s="2356"/>
      <c r="FW46" s="2357"/>
      <c r="FX46" s="2357"/>
      <c r="FY46" s="2357"/>
      <c r="FZ46" s="2401"/>
      <c r="GA46" s="2357"/>
      <c r="GB46" s="2358"/>
      <c r="GC46" s="2357"/>
      <c r="GD46" s="2400"/>
    </row>
    <row r="47" spans="1:186" ht="12.95" customHeight="1">
      <c r="A47" s="2356" t="s">
        <v>4055</v>
      </c>
      <c r="B47" s="2369">
        <v>1815</v>
      </c>
      <c r="C47" s="2357">
        <v>964</v>
      </c>
      <c r="D47" s="2357">
        <v>5</v>
      </c>
      <c r="E47" s="2467">
        <f>D47/C47*100</f>
        <v>0.51867219917012441</v>
      </c>
      <c r="F47" s="2357">
        <v>2</v>
      </c>
      <c r="G47" s="2467">
        <f>F47/C47*100</f>
        <v>0.2074688796680498</v>
      </c>
      <c r="H47" s="2357">
        <v>3</v>
      </c>
      <c r="I47" s="2467">
        <f>H47/C47*100</f>
        <v>0.31120331950207469</v>
      </c>
      <c r="J47" s="2357">
        <v>1</v>
      </c>
      <c r="K47" s="2467">
        <f>J47/C47*100</f>
        <v>0.1037344398340249</v>
      </c>
      <c r="L47" s="2400"/>
      <c r="M47" s="2356"/>
      <c r="N47" s="2400"/>
      <c r="O47" s="2400"/>
      <c r="P47" s="2357"/>
      <c r="Q47" s="2357"/>
      <c r="R47" s="2357"/>
      <c r="S47" s="2357"/>
      <c r="T47" s="2357"/>
      <c r="U47" s="2357"/>
      <c r="V47" s="2357"/>
      <c r="W47" s="2357"/>
      <c r="X47" s="2357"/>
      <c r="Z47" s="2356" t="s">
        <v>2251</v>
      </c>
      <c r="AA47" s="2369">
        <v>1218</v>
      </c>
      <c r="AB47" s="2359">
        <v>242</v>
      </c>
      <c r="AC47" s="2401">
        <f>AB47/AA47*100</f>
        <v>19.868637110016422</v>
      </c>
      <c r="AD47" s="2359">
        <v>664</v>
      </c>
      <c r="AE47" s="2401">
        <f>AD47/AA47*100</f>
        <v>54.515599343185549</v>
      </c>
      <c r="AF47" s="2357">
        <v>312</v>
      </c>
      <c r="AG47" s="2401">
        <f>AF47/AA47*100</f>
        <v>25.615763546798032</v>
      </c>
      <c r="AH47" s="2400"/>
      <c r="AI47" s="2400"/>
      <c r="AJ47" s="2400"/>
      <c r="AK47" s="2400"/>
      <c r="AL47" s="2400"/>
      <c r="AM47" s="2400"/>
      <c r="AN47" s="2400"/>
      <c r="AO47" s="2400"/>
      <c r="AP47" s="2400"/>
      <c r="AQ47" s="2400"/>
      <c r="AR47" s="2400"/>
      <c r="AS47" s="2400"/>
      <c r="AT47" s="2400"/>
      <c r="AU47" s="2400"/>
      <c r="AV47" s="2400"/>
      <c r="AW47" s="2400"/>
      <c r="AX47" s="2356" t="s">
        <v>2209</v>
      </c>
      <c r="AY47" s="2369">
        <v>1943</v>
      </c>
      <c r="AZ47" s="2357">
        <v>2</v>
      </c>
      <c r="BA47" s="2357">
        <v>45</v>
      </c>
      <c r="BB47" s="2468">
        <v>973</v>
      </c>
      <c r="BC47" s="2400">
        <f>BB47/AY47*100</f>
        <v>50.077200205867214</v>
      </c>
      <c r="BD47" s="2468">
        <v>915</v>
      </c>
      <c r="BE47" s="2400">
        <f>BD47/AY47*100</f>
        <v>47.092125579001539</v>
      </c>
      <c r="BF47" s="2468">
        <v>8</v>
      </c>
      <c r="BG47" s="2400">
        <f>BF47/AY47*100</f>
        <v>0.4117344312918168</v>
      </c>
      <c r="BH47" s="2357"/>
      <c r="BI47" s="2401"/>
      <c r="BJ47" s="2400"/>
      <c r="BK47" s="2400"/>
      <c r="BL47" s="2356" t="s">
        <v>2209</v>
      </c>
      <c r="BM47" s="2370">
        <v>2033</v>
      </c>
      <c r="BN47" s="2357">
        <v>6</v>
      </c>
      <c r="BO47" s="2357">
        <v>121</v>
      </c>
      <c r="BP47" s="2468">
        <v>1035</v>
      </c>
      <c r="BQ47" s="2400">
        <f>(BP47/BM47)*100</f>
        <v>50.909985243482538</v>
      </c>
      <c r="BR47" s="2468">
        <v>849</v>
      </c>
      <c r="BS47" s="2400">
        <f>(BR47/BM47)*100</f>
        <v>41.760944417117564</v>
      </c>
      <c r="BT47" s="2357">
        <v>22</v>
      </c>
      <c r="BU47" s="2400">
        <f>(BT47/BM47)*100</f>
        <v>1.0821446138711266</v>
      </c>
      <c r="BV47" s="2400"/>
      <c r="BW47" s="2400"/>
      <c r="BX47" s="2400"/>
      <c r="BZ47" s="2356" t="s">
        <v>2260</v>
      </c>
      <c r="CA47" s="2473">
        <v>2275</v>
      </c>
      <c r="CB47" s="2435">
        <v>1608</v>
      </c>
      <c r="CC47" s="2369">
        <v>1085</v>
      </c>
      <c r="CD47" s="2434">
        <f>CC47/CB47*100</f>
        <v>67.475124378109456</v>
      </c>
      <c r="CE47" s="2369">
        <v>459</v>
      </c>
      <c r="CF47" s="2434">
        <f>CE47/CB47*100</f>
        <v>28.544776119402986</v>
      </c>
      <c r="CH47" s="2394"/>
      <c r="CJ47" s="2356" t="s">
        <v>2261</v>
      </c>
      <c r="CK47" s="2370">
        <v>1079</v>
      </c>
      <c r="CL47" s="2354">
        <v>0</v>
      </c>
      <c r="CM47" s="2359">
        <v>148</v>
      </c>
      <c r="CN47" s="2359">
        <v>912</v>
      </c>
      <c r="CO47" s="2401">
        <f>CN47/CK47*100</f>
        <v>84.522706209453204</v>
      </c>
      <c r="CP47" s="2471">
        <v>19</v>
      </c>
      <c r="CQ47" s="2401">
        <f>CP47/CK47*100</f>
        <v>1.7608897126969416</v>
      </c>
      <c r="CR47" s="2359"/>
      <c r="CS47" s="2401"/>
      <c r="CT47" s="2401"/>
      <c r="CU47" s="2401"/>
      <c r="CX47" s="2399" t="s">
        <v>4035</v>
      </c>
      <c r="CY47" s="2474" t="s">
        <v>4036</v>
      </c>
      <c r="CZ47" s="2357">
        <v>18993</v>
      </c>
      <c r="DA47" s="2361"/>
      <c r="DB47" s="2361"/>
      <c r="DC47" s="2356" t="s">
        <v>2261</v>
      </c>
      <c r="DD47" s="2391">
        <v>10189</v>
      </c>
      <c r="DE47" s="2357">
        <v>526</v>
      </c>
      <c r="DF47" s="2358">
        <f>DE47/DD47*100</f>
        <v>5.1624300716458924</v>
      </c>
      <c r="DG47" s="2357">
        <v>504</v>
      </c>
      <c r="DH47" s="2358">
        <f>DG47/DD47*100</f>
        <v>4.9465109431740109</v>
      </c>
      <c r="DI47" s="2357">
        <v>462</v>
      </c>
      <c r="DJ47" s="2358">
        <f>DI47/DD47*100</f>
        <v>4.5343016979095108</v>
      </c>
      <c r="DK47" s="2361"/>
      <c r="DL47" s="2361"/>
      <c r="DM47" s="2361"/>
      <c r="DN47" s="2361"/>
      <c r="DO47" s="2361"/>
      <c r="DP47" s="2361"/>
      <c r="DQ47" s="2361"/>
      <c r="DS47" s="2356"/>
      <c r="DT47" s="2359"/>
      <c r="DU47" s="2357"/>
      <c r="DV47" s="2358"/>
      <c r="DW47" s="2357"/>
      <c r="DX47" s="2358"/>
      <c r="DY47" s="2357"/>
      <c r="DZ47" s="2358"/>
      <c r="EH47" s="2403"/>
      <c r="EI47" s="2356"/>
      <c r="EJ47" s="2357"/>
      <c r="EK47" s="2357"/>
      <c r="EL47" s="2358"/>
      <c r="EM47" s="2357"/>
      <c r="EN47" s="2358"/>
      <c r="EO47" s="2357"/>
      <c r="EP47" s="2358"/>
      <c r="EQ47" s="2358"/>
      <c r="EU47" s="2401"/>
      <c r="EV47" s="2356"/>
      <c r="EW47" s="2357"/>
      <c r="EX47" s="2357"/>
      <c r="EY47" s="2357"/>
      <c r="EZ47" s="2401"/>
      <c r="FA47" s="2357"/>
      <c r="FB47" s="2401"/>
      <c r="FC47" s="2357"/>
      <c r="FD47" s="2401"/>
      <c r="FE47" s="2469"/>
      <c r="FG47" s="2357"/>
      <c r="FH47" s="2358"/>
      <c r="FI47" s="2400"/>
      <c r="FJ47" s="2401"/>
      <c r="FK47" s="2357"/>
      <c r="FL47" s="2401"/>
      <c r="FV47" s="2356"/>
      <c r="FW47" s="2357"/>
      <c r="FX47" s="2357"/>
      <c r="FY47" s="2357"/>
      <c r="FZ47" s="2401"/>
      <c r="GA47" s="2357"/>
      <c r="GB47" s="2358"/>
      <c r="GC47" s="2357"/>
      <c r="GD47" s="2400"/>
    </row>
    <row r="48" spans="1:186" ht="12.95" customHeight="1">
      <c r="A48" s="2356" t="s">
        <v>2209</v>
      </c>
      <c r="B48" s="2369">
        <v>3130</v>
      </c>
      <c r="C48" s="2357">
        <v>1808</v>
      </c>
      <c r="D48" s="2357">
        <v>6</v>
      </c>
      <c r="E48" s="2467">
        <f>D48/C48*100</f>
        <v>0.33185840707964603</v>
      </c>
      <c r="F48" s="2357">
        <v>2</v>
      </c>
      <c r="G48" s="2467">
        <f>F48/C48*100</f>
        <v>0.11061946902654868</v>
      </c>
      <c r="H48" s="2357">
        <v>3</v>
      </c>
      <c r="I48" s="2467">
        <f>H48/C48*100</f>
        <v>0.16592920353982302</v>
      </c>
      <c r="J48" s="2357">
        <v>1</v>
      </c>
      <c r="K48" s="2467">
        <f>J48/C48*100</f>
        <v>5.5309734513274339E-2</v>
      </c>
      <c r="L48" s="2400"/>
      <c r="M48" s="2356"/>
      <c r="N48" s="2400"/>
      <c r="O48" s="2400"/>
      <c r="P48" s="2357"/>
      <c r="Q48" s="2357"/>
      <c r="R48" s="2357"/>
      <c r="S48" s="2357"/>
      <c r="T48" s="2357"/>
      <c r="U48" s="2357"/>
      <c r="V48" s="2357"/>
      <c r="W48" s="2357"/>
      <c r="X48" s="2357"/>
      <c r="Z48" s="2356" t="s">
        <v>2260</v>
      </c>
      <c r="AA48" s="2369">
        <v>1608</v>
      </c>
      <c r="AB48" s="2359">
        <v>502</v>
      </c>
      <c r="AC48" s="2401">
        <f>AB48/AA48*100</f>
        <v>31.218905472636816</v>
      </c>
      <c r="AD48" s="2359">
        <v>759</v>
      </c>
      <c r="AE48" s="2401">
        <f>AD48/AA48*100</f>
        <v>47.201492537313435</v>
      </c>
      <c r="AF48" s="2357">
        <v>347</v>
      </c>
      <c r="AG48" s="2401">
        <f>AF48/AA48*100</f>
        <v>21.579601990049753</v>
      </c>
      <c r="AH48" s="2400"/>
      <c r="AI48" s="2400"/>
      <c r="AJ48" s="2400"/>
      <c r="AK48" s="2400"/>
      <c r="AL48" s="2400"/>
      <c r="AM48" s="2400"/>
      <c r="AN48" s="2400"/>
      <c r="AO48" s="2400"/>
      <c r="AP48" s="2400"/>
      <c r="AQ48" s="2400"/>
      <c r="AR48" s="2400"/>
      <c r="AS48" s="2400"/>
      <c r="AT48" s="2400"/>
      <c r="AU48" s="2400"/>
      <c r="AV48" s="2400"/>
      <c r="AW48" s="2400"/>
      <c r="AX48" s="2356" t="s">
        <v>2352</v>
      </c>
      <c r="AY48" s="2369">
        <v>1924</v>
      </c>
      <c r="AZ48" s="2357">
        <v>2</v>
      </c>
      <c r="BA48" s="2357">
        <v>37</v>
      </c>
      <c r="BB48" s="2468">
        <v>912</v>
      </c>
      <c r="BC48" s="2400">
        <f>BB48/AY48*100</f>
        <v>47.401247401247403</v>
      </c>
      <c r="BD48" s="2468">
        <v>950</v>
      </c>
      <c r="BE48" s="2400">
        <f>BD48/AY48*100</f>
        <v>49.376299376299379</v>
      </c>
      <c r="BF48" s="2468">
        <v>23</v>
      </c>
      <c r="BG48" s="2400">
        <f>BF48/AY48*100</f>
        <v>1.1954261954261955</v>
      </c>
      <c r="BH48" s="2357"/>
      <c r="BI48" s="2400"/>
      <c r="BJ48" s="2400"/>
      <c r="BK48" s="2400"/>
      <c r="BL48" s="2356" t="s">
        <v>2352</v>
      </c>
      <c r="BM48" s="2370">
        <v>2055</v>
      </c>
      <c r="BN48" s="2357">
        <v>15</v>
      </c>
      <c r="BO48" s="2357">
        <v>99</v>
      </c>
      <c r="BP48" s="2468">
        <v>992</v>
      </c>
      <c r="BQ48" s="2400">
        <f>(BP48/BM48)*100</f>
        <v>48.272506082725059</v>
      </c>
      <c r="BR48" s="2468">
        <v>926</v>
      </c>
      <c r="BS48" s="2400">
        <f>(BR48/BM48)*100</f>
        <v>45.06082725060827</v>
      </c>
      <c r="BT48" s="2357">
        <v>23</v>
      </c>
      <c r="BU48" s="2400">
        <f>(BT48/BM48)*100</f>
        <v>1.1192214111922141</v>
      </c>
      <c r="BV48" s="2400"/>
      <c r="BW48" s="2400"/>
      <c r="BX48" s="2400"/>
      <c r="BZ48" s="2356" t="s">
        <v>2253</v>
      </c>
      <c r="CA48" s="2473">
        <v>3525</v>
      </c>
      <c r="CB48" s="2435">
        <v>2535</v>
      </c>
      <c r="CC48" s="2369">
        <v>1733</v>
      </c>
      <c r="CD48" s="2434">
        <f>CC48/CB48*100</f>
        <v>68.362919132149898</v>
      </c>
      <c r="CE48" s="2369">
        <v>701</v>
      </c>
      <c r="CF48" s="2434">
        <f>CE48/CB48*100</f>
        <v>27.652859960552266</v>
      </c>
      <c r="CH48" s="2394"/>
      <c r="CJ48" s="2356" t="s">
        <v>2251</v>
      </c>
      <c r="CK48" s="2370">
        <v>1126</v>
      </c>
      <c r="CL48" s="2354">
        <v>0</v>
      </c>
      <c r="CM48" s="2359">
        <v>160</v>
      </c>
      <c r="CN48" s="2359">
        <v>947</v>
      </c>
      <c r="CO48" s="2401">
        <f>CN48/CK48*100</f>
        <v>84.103019538188278</v>
      </c>
      <c r="CP48" s="2471">
        <v>19</v>
      </c>
      <c r="CQ48" s="2401">
        <f>CP48/CK48*100</f>
        <v>1.6873889875666075</v>
      </c>
      <c r="CR48" s="2359"/>
      <c r="CS48" s="2401"/>
      <c r="CT48" s="2401"/>
      <c r="CU48" s="2401"/>
      <c r="CX48" s="2399" t="s">
        <v>4115</v>
      </c>
      <c r="CY48" s="2427" t="s">
        <v>4039</v>
      </c>
      <c r="CZ48" s="2357">
        <v>17228</v>
      </c>
      <c r="DA48" s="876"/>
      <c r="DB48" s="876"/>
      <c r="DC48" s="2356" t="s">
        <v>2251</v>
      </c>
      <c r="DD48" s="2391">
        <v>10709</v>
      </c>
      <c r="DE48" s="2357">
        <v>574</v>
      </c>
      <c r="DF48" s="2358">
        <f>DE48/DD48*100</f>
        <v>5.3599775889438792</v>
      </c>
      <c r="DG48" s="2357">
        <v>581</v>
      </c>
      <c r="DH48" s="2358">
        <f>DG48/DD48*100</f>
        <v>5.4253431692968537</v>
      </c>
      <c r="DI48" s="2357">
        <v>486</v>
      </c>
      <c r="DJ48" s="2358">
        <f>DI48/DD48*100</f>
        <v>4.5382388645064902</v>
      </c>
      <c r="DK48" s="876"/>
      <c r="DL48" s="876"/>
      <c r="DM48" s="876"/>
      <c r="DN48" s="876"/>
      <c r="DO48" s="876"/>
      <c r="DP48" s="876"/>
      <c r="DQ48" s="876"/>
      <c r="DS48" s="2356"/>
      <c r="DT48" s="2359"/>
      <c r="DU48" s="2357"/>
      <c r="DV48" s="2358"/>
      <c r="DW48" s="2357"/>
      <c r="DX48" s="2358"/>
      <c r="DY48" s="2357"/>
      <c r="DZ48" s="2358"/>
      <c r="EH48" s="2403"/>
      <c r="EI48" s="2356"/>
      <c r="EJ48" s="2357"/>
      <c r="EK48" s="2357"/>
      <c r="EL48" s="2358"/>
      <c r="EM48" s="2357"/>
      <c r="EN48" s="2358"/>
      <c r="EO48" s="2357"/>
      <c r="EP48" s="2358"/>
      <c r="EQ48" s="2358"/>
      <c r="EU48" s="2401"/>
      <c r="EV48" s="2356"/>
      <c r="EW48" s="2357"/>
      <c r="EX48" s="2357"/>
      <c r="EY48" s="2357"/>
      <c r="EZ48" s="2401"/>
      <c r="FA48" s="2357"/>
      <c r="FB48" s="2401"/>
      <c r="FC48" s="2357"/>
      <c r="FD48" s="2401"/>
      <c r="FE48" s="2469"/>
      <c r="FG48" s="2357"/>
      <c r="FH48" s="2358"/>
      <c r="FI48" s="2400"/>
      <c r="FJ48" s="2401"/>
      <c r="FK48" s="2357"/>
      <c r="FL48" s="2401"/>
      <c r="FV48" s="2356"/>
      <c r="FW48" s="2357"/>
      <c r="FX48" s="2357"/>
      <c r="FY48" s="2357"/>
      <c r="FZ48" s="2401"/>
      <c r="GA48" s="2357"/>
      <c r="GB48" s="2358"/>
      <c r="GC48" s="2357"/>
      <c r="GD48" s="2400"/>
    </row>
    <row r="49" spans="1:187" ht="12.95" customHeight="1">
      <c r="A49" s="2356" t="s">
        <v>2352</v>
      </c>
      <c r="B49" s="2369">
        <v>2997</v>
      </c>
      <c r="C49" s="2357">
        <v>1762</v>
      </c>
      <c r="D49" s="2357">
        <v>9</v>
      </c>
      <c r="E49" s="2467">
        <f>D49/C49*100</f>
        <v>0.51078320090805907</v>
      </c>
      <c r="F49" s="2357">
        <v>3</v>
      </c>
      <c r="G49" s="2467">
        <f>F49/C49*100</f>
        <v>0.170261066969353</v>
      </c>
      <c r="H49" s="2357">
        <v>0</v>
      </c>
      <c r="I49" s="2467">
        <f>H49/C49*100</f>
        <v>0</v>
      </c>
      <c r="J49" s="2357">
        <v>1</v>
      </c>
      <c r="K49" s="2467">
        <f>J49/C49*100</f>
        <v>5.6753688989784334E-2</v>
      </c>
      <c r="L49" s="2400"/>
      <c r="M49" s="2356"/>
      <c r="N49" s="2400"/>
      <c r="O49" s="2400"/>
      <c r="P49" s="2357"/>
      <c r="Q49" s="2357"/>
      <c r="R49" s="2357"/>
      <c r="S49" s="2357"/>
      <c r="T49" s="2357"/>
      <c r="U49" s="2357"/>
      <c r="V49" s="2357"/>
      <c r="W49" s="2357"/>
      <c r="X49" s="2357"/>
      <c r="Z49" s="2356" t="s">
        <v>2253</v>
      </c>
      <c r="AA49" s="2369">
        <v>2535</v>
      </c>
      <c r="AB49" s="2359">
        <v>638</v>
      </c>
      <c r="AC49" s="2401">
        <f>AB49/AA49*100</f>
        <v>25.167652859960555</v>
      </c>
      <c r="AD49" s="2359">
        <v>1257</v>
      </c>
      <c r="AE49" s="2401">
        <f>AD49/AA49*100</f>
        <v>49.585798816568051</v>
      </c>
      <c r="AF49" s="2357">
        <v>640</v>
      </c>
      <c r="AG49" s="2401">
        <f>AF49/AA49*100</f>
        <v>25.246548323471401</v>
      </c>
      <c r="AH49" s="2400"/>
      <c r="AI49" s="2400"/>
      <c r="AJ49" s="2400"/>
      <c r="AK49" s="2400"/>
      <c r="AL49" s="2400"/>
      <c r="AM49" s="2400"/>
      <c r="AN49" s="2400"/>
      <c r="AO49" s="2400"/>
      <c r="AP49" s="2400"/>
      <c r="AQ49" s="2400"/>
      <c r="AR49" s="2400"/>
      <c r="AS49" s="2400"/>
      <c r="AT49" s="2400"/>
      <c r="AU49" s="2400"/>
      <c r="AV49" s="2400"/>
      <c r="AW49" s="2400"/>
      <c r="AX49" s="2356" t="s">
        <v>2261</v>
      </c>
      <c r="AY49" s="2369">
        <v>1216</v>
      </c>
      <c r="AZ49" s="2357">
        <v>1</v>
      </c>
      <c r="BA49" s="2357">
        <v>36</v>
      </c>
      <c r="BB49" s="2468">
        <v>602</v>
      </c>
      <c r="BC49" s="2401">
        <f>BB49/AY49*100</f>
        <v>49.506578947368425</v>
      </c>
      <c r="BD49" s="2468">
        <v>570</v>
      </c>
      <c r="BE49" s="2400">
        <f>BD49/AY49*100</f>
        <v>46.875</v>
      </c>
      <c r="BF49" s="2468">
        <v>7</v>
      </c>
      <c r="BG49" s="2400">
        <f>BF49/AY49*100</f>
        <v>0.57565789473684204</v>
      </c>
      <c r="BH49" s="2357"/>
      <c r="BI49" s="2401"/>
      <c r="BJ49" s="2400"/>
      <c r="BK49" s="2400"/>
      <c r="BL49" s="2356" t="s">
        <v>2261</v>
      </c>
      <c r="BM49" s="2370">
        <v>1397</v>
      </c>
      <c r="BN49" s="2357">
        <v>3</v>
      </c>
      <c r="BO49" s="2357">
        <v>66</v>
      </c>
      <c r="BP49" s="2468">
        <v>595</v>
      </c>
      <c r="BQ49" s="2400">
        <f>(BP49/BM49)*100</f>
        <v>42.591267000715824</v>
      </c>
      <c r="BR49" s="2468">
        <v>718</v>
      </c>
      <c r="BS49" s="2400">
        <f>(BR49/BM49)*100</f>
        <v>51.395848246241947</v>
      </c>
      <c r="BT49" s="2357">
        <v>15</v>
      </c>
      <c r="BU49" s="2400">
        <f>(BT49/BM49)*100</f>
        <v>1.0737294201861132</v>
      </c>
      <c r="BV49" s="2400"/>
      <c r="BW49" s="2400"/>
      <c r="BX49" s="2400"/>
      <c r="BZ49" s="2356" t="s">
        <v>2185</v>
      </c>
      <c r="CA49" s="2473">
        <v>4350</v>
      </c>
      <c r="CB49" s="2435">
        <v>2952</v>
      </c>
      <c r="CC49" s="2369">
        <v>1964</v>
      </c>
      <c r="CD49" s="2434">
        <f>CC49/CB49*100</f>
        <v>66.531165311653112</v>
      </c>
      <c r="CE49" s="2369">
        <v>847</v>
      </c>
      <c r="CF49" s="2434">
        <f>CE49/CB49*100</f>
        <v>28.692411924119241</v>
      </c>
      <c r="CH49" s="2394"/>
      <c r="CJ49" s="2356" t="s">
        <v>2260</v>
      </c>
      <c r="CK49" s="2370">
        <v>1183</v>
      </c>
      <c r="CL49" s="2354">
        <v>0</v>
      </c>
      <c r="CM49" s="2359">
        <v>184</v>
      </c>
      <c r="CN49" s="2359">
        <v>981</v>
      </c>
      <c r="CO49" s="2401">
        <f>CN49/CK49*100</f>
        <v>82.92476754015216</v>
      </c>
      <c r="CP49" s="2471">
        <v>18</v>
      </c>
      <c r="CQ49" s="2401">
        <f>CP49/CK49*100</f>
        <v>1.521555367709214</v>
      </c>
      <c r="CR49" s="2359"/>
      <c r="CS49" s="2401"/>
      <c r="CT49" s="2401"/>
      <c r="CU49" s="2401"/>
      <c r="CX49" s="2399" t="s">
        <v>4116</v>
      </c>
      <c r="CY49" s="2427" t="s">
        <v>4036</v>
      </c>
      <c r="CZ49" s="2357">
        <v>15195</v>
      </c>
      <c r="DA49" s="876"/>
      <c r="DB49" s="876"/>
      <c r="DC49" s="2356" t="s">
        <v>2260</v>
      </c>
      <c r="DD49" s="2391">
        <v>12037</v>
      </c>
      <c r="DE49" s="2357">
        <v>561</v>
      </c>
      <c r="DF49" s="2358">
        <f>DE49/DD49*100</f>
        <v>4.6606297250145392</v>
      </c>
      <c r="DG49" s="2357">
        <v>584</v>
      </c>
      <c r="DH49" s="2358">
        <f>DG49/DD49*100</f>
        <v>4.8517072360222642</v>
      </c>
      <c r="DI49" s="2357">
        <v>594</v>
      </c>
      <c r="DJ49" s="2358">
        <f>DI49/DD49*100</f>
        <v>4.9347844147212756</v>
      </c>
      <c r="DK49" s="876"/>
      <c r="DL49" s="876"/>
      <c r="DM49" s="876"/>
      <c r="DN49" s="876"/>
      <c r="DO49" s="876"/>
      <c r="DP49" s="876"/>
      <c r="DQ49" s="876"/>
      <c r="DS49" s="2356"/>
      <c r="DT49" s="2359"/>
      <c r="DU49" s="2357"/>
      <c r="DV49" s="2358"/>
      <c r="DW49" s="2357"/>
      <c r="DX49" s="2358"/>
      <c r="DY49" s="2357"/>
      <c r="DZ49" s="2358"/>
      <c r="EH49" s="2403"/>
      <c r="EI49" s="2356"/>
      <c r="EJ49" s="2357"/>
      <c r="EK49" s="2357"/>
      <c r="EL49" s="2358"/>
      <c r="EM49" s="2357"/>
      <c r="EN49" s="2358"/>
      <c r="EO49" s="2357"/>
      <c r="EP49" s="2358"/>
      <c r="EQ49" s="2358"/>
      <c r="EU49" s="2401"/>
      <c r="EV49" s="2356"/>
      <c r="EW49" s="2357"/>
      <c r="EX49" s="2357"/>
      <c r="EY49" s="2357"/>
      <c r="EZ49" s="2401"/>
      <c r="FA49" s="2357"/>
      <c r="FB49" s="2401"/>
      <c r="FC49" s="2357"/>
      <c r="FD49" s="2401"/>
      <c r="FE49" s="2469"/>
      <c r="FG49" s="2357"/>
      <c r="FH49" s="2358"/>
      <c r="FI49" s="2400"/>
      <c r="FJ49" s="2401"/>
      <c r="FK49" s="2357"/>
      <c r="FL49" s="2401"/>
      <c r="FV49" s="2356"/>
      <c r="FW49" s="2357"/>
      <c r="FX49" s="2357"/>
      <c r="FY49" s="2357"/>
      <c r="FZ49" s="2401"/>
      <c r="GA49" s="2357"/>
      <c r="GB49" s="2358"/>
      <c r="GC49" s="2357"/>
      <c r="GD49" s="2400"/>
    </row>
    <row r="50" spans="1:187" ht="12.95" customHeight="1">
      <c r="A50" s="2356" t="s">
        <v>2261</v>
      </c>
      <c r="B50" s="2369">
        <v>1696</v>
      </c>
      <c r="C50" s="2357">
        <v>1012</v>
      </c>
      <c r="D50" s="2357">
        <v>4</v>
      </c>
      <c r="E50" s="2467">
        <f>D50/C50*100</f>
        <v>0.39525691699604742</v>
      </c>
      <c r="F50" s="2357">
        <v>3</v>
      </c>
      <c r="G50" s="2467">
        <f>F50/C50*100</f>
        <v>0.29644268774703553</v>
      </c>
      <c r="H50" s="2357">
        <v>1</v>
      </c>
      <c r="I50" s="2467">
        <f>H50/C50*100</f>
        <v>9.8814229249011856E-2</v>
      </c>
      <c r="J50" s="2357">
        <v>1</v>
      </c>
      <c r="K50" s="2467">
        <f>J50/C50*100</f>
        <v>9.8814229249011856E-2</v>
      </c>
      <c r="L50" s="2400"/>
      <c r="M50" s="2356"/>
      <c r="N50" s="2400"/>
      <c r="O50" s="2400"/>
      <c r="P50" s="2357"/>
      <c r="Q50" s="2357"/>
      <c r="R50" s="2357"/>
      <c r="S50" s="2357"/>
      <c r="T50" s="2357"/>
      <c r="U50" s="2357"/>
      <c r="V50" s="2357"/>
      <c r="W50" s="2357"/>
      <c r="X50" s="2357"/>
      <c r="Z50" s="2356" t="s">
        <v>2185</v>
      </c>
      <c r="AA50" s="2369">
        <v>2952</v>
      </c>
      <c r="AB50" s="2359">
        <v>699</v>
      </c>
      <c r="AC50" s="2401">
        <f>AB50/AA50*100</f>
        <v>23.678861788617887</v>
      </c>
      <c r="AD50" s="2359">
        <v>1422</v>
      </c>
      <c r="AE50" s="2401">
        <f>AD50/AA50*100</f>
        <v>48.170731707317074</v>
      </c>
      <c r="AF50" s="2357">
        <v>831</v>
      </c>
      <c r="AG50" s="2401">
        <f>AF50/AA50*100</f>
        <v>28.150406504065039</v>
      </c>
      <c r="AH50" s="2400"/>
      <c r="AI50" s="2400"/>
      <c r="AJ50" s="2400"/>
      <c r="AK50" s="2400"/>
      <c r="AL50" s="2400"/>
      <c r="AM50" s="2400"/>
      <c r="AN50" s="2400"/>
      <c r="AO50" s="2400"/>
      <c r="AP50" s="2400"/>
      <c r="AQ50" s="2400"/>
      <c r="AR50" s="2400"/>
      <c r="AS50" s="2400"/>
      <c r="AT50" s="2400"/>
      <c r="AU50" s="2400"/>
      <c r="AV50" s="2400"/>
      <c r="AW50" s="2400"/>
      <c r="AX50" s="2356" t="s">
        <v>2251</v>
      </c>
      <c r="AY50" s="2369">
        <v>1109</v>
      </c>
      <c r="AZ50" s="2357">
        <v>1</v>
      </c>
      <c r="BA50" s="2357">
        <v>22</v>
      </c>
      <c r="BB50" s="2468">
        <v>503</v>
      </c>
      <c r="BC50" s="2400">
        <f>BB50/AY50*100</f>
        <v>45.356176735798016</v>
      </c>
      <c r="BD50" s="2468">
        <v>575</v>
      </c>
      <c r="BE50" s="2400">
        <f>BD50/AY50*100</f>
        <v>51.848512173128945</v>
      </c>
      <c r="BF50" s="2468">
        <v>8</v>
      </c>
      <c r="BG50" s="2400">
        <f>BF50/AY50*100</f>
        <v>0.7213706041478809</v>
      </c>
      <c r="BH50" s="2357"/>
      <c r="BI50" s="2400"/>
      <c r="BJ50" s="2400"/>
      <c r="BK50" s="2400"/>
      <c r="BL50" s="2356" t="s">
        <v>2251</v>
      </c>
      <c r="BM50" s="2370">
        <v>1218</v>
      </c>
      <c r="BN50" s="2357">
        <v>1</v>
      </c>
      <c r="BO50" s="2357">
        <v>63</v>
      </c>
      <c r="BP50" s="2468">
        <v>557</v>
      </c>
      <c r="BQ50" s="2400">
        <f>(BP50/BM50)*100</f>
        <v>45.730706075533661</v>
      </c>
      <c r="BR50" s="2468">
        <v>580</v>
      </c>
      <c r="BS50" s="2400">
        <f>(BR50/BM50)*100</f>
        <v>47.619047619047613</v>
      </c>
      <c r="BT50" s="2357">
        <v>17</v>
      </c>
      <c r="BU50" s="2400">
        <f>(BT50/BM50)*100</f>
        <v>1.3957307060755337</v>
      </c>
      <c r="BV50" s="2400"/>
      <c r="BW50" s="2400"/>
      <c r="BX50" s="2400"/>
      <c r="BZ50" s="2356" t="s">
        <v>2202</v>
      </c>
      <c r="CA50" s="2473">
        <v>4455</v>
      </c>
      <c r="CB50" s="2435">
        <v>2957</v>
      </c>
      <c r="CC50" s="2369">
        <v>1785</v>
      </c>
      <c r="CD50" s="2434">
        <f>CC50/CB50*100</f>
        <v>60.36523503550896</v>
      </c>
      <c r="CE50" s="2369">
        <v>1007</v>
      </c>
      <c r="CF50" s="2434">
        <f>CE50/CB50*100</f>
        <v>34.054785255326344</v>
      </c>
      <c r="CH50" s="2394"/>
      <c r="CJ50" s="2356" t="s">
        <v>2253</v>
      </c>
      <c r="CK50" s="2370">
        <v>1914</v>
      </c>
      <c r="CL50" s="2354">
        <v>0</v>
      </c>
      <c r="CM50" s="2359">
        <v>263</v>
      </c>
      <c r="CN50" s="2359">
        <v>1626</v>
      </c>
      <c r="CO50" s="2401">
        <f>CN50/CK50*100</f>
        <v>84.952978056426332</v>
      </c>
      <c r="CP50" s="2471">
        <v>25</v>
      </c>
      <c r="CQ50" s="2401">
        <f>CP50/CK50*100</f>
        <v>1.3061650992685474</v>
      </c>
      <c r="CR50" s="2359"/>
      <c r="CS50" s="2401"/>
      <c r="CT50" s="2401"/>
      <c r="CU50" s="2401"/>
      <c r="CX50" s="2399" t="s">
        <v>4040</v>
      </c>
      <c r="CY50" s="2427" t="s">
        <v>4036</v>
      </c>
      <c r="CZ50" s="2357">
        <v>15121</v>
      </c>
      <c r="DA50" s="876"/>
      <c r="DB50" s="876"/>
      <c r="DC50" s="2356" t="s">
        <v>2253</v>
      </c>
      <c r="DD50" s="2391">
        <v>21729</v>
      </c>
      <c r="DE50" s="2357">
        <v>1069</v>
      </c>
      <c r="DF50" s="2358">
        <f>DE50/DD50*100</f>
        <v>4.9196925767407613</v>
      </c>
      <c r="DG50" s="2357">
        <v>1095</v>
      </c>
      <c r="DH50" s="2358">
        <f>DG50/DD50*100</f>
        <v>5.0393483363247276</v>
      </c>
      <c r="DI50" s="2357">
        <v>982</v>
      </c>
      <c r="DJ50" s="2358">
        <f>DI50/DD50*100</f>
        <v>4.5193059965944133</v>
      </c>
      <c r="DK50" s="876"/>
      <c r="DL50" s="876"/>
      <c r="DM50" s="876"/>
      <c r="DN50" s="876"/>
      <c r="DO50" s="876"/>
      <c r="DP50" s="876"/>
      <c r="DQ50" s="876"/>
      <c r="DS50" s="2356"/>
      <c r="DT50" s="2359"/>
      <c r="DU50" s="2357"/>
      <c r="DV50" s="2358"/>
      <c r="DW50" s="2357"/>
      <c r="DX50" s="2358"/>
      <c r="DY50" s="2357"/>
      <c r="DZ50" s="2358"/>
      <c r="EH50" s="2403"/>
      <c r="EI50" s="2356"/>
      <c r="EJ50" s="2357"/>
      <c r="EK50" s="2357"/>
      <c r="EL50" s="2358"/>
      <c r="EM50" s="2357"/>
      <c r="EN50" s="2358"/>
      <c r="EO50" s="2357"/>
      <c r="EP50" s="2358"/>
      <c r="EQ50" s="2358"/>
      <c r="EU50" s="2401"/>
      <c r="EV50" s="2356"/>
      <c r="EW50" s="2357"/>
      <c r="EX50" s="2357"/>
      <c r="EY50" s="2357"/>
      <c r="EZ50" s="2401"/>
      <c r="FA50" s="2357"/>
      <c r="FB50" s="2401"/>
      <c r="FC50" s="2357"/>
      <c r="FD50" s="2401"/>
      <c r="FE50" s="2469"/>
      <c r="FG50" s="2357"/>
      <c r="FH50" s="2358"/>
      <c r="FI50" s="2400"/>
      <c r="FJ50" s="2401"/>
      <c r="FK50" s="2357"/>
      <c r="FL50" s="2401"/>
      <c r="FV50" s="2356"/>
      <c r="FW50" s="2357"/>
      <c r="FX50" s="2357"/>
      <c r="FY50" s="2357"/>
      <c r="FZ50" s="2401"/>
      <c r="GA50" s="2357"/>
      <c r="GB50" s="2358"/>
      <c r="GC50" s="2357"/>
      <c r="GD50" s="2400"/>
    </row>
    <row r="51" spans="1:187" ht="12.95" customHeight="1">
      <c r="A51" s="2356" t="s">
        <v>2251</v>
      </c>
      <c r="B51" s="2369">
        <v>1662</v>
      </c>
      <c r="C51" s="2357">
        <v>1117</v>
      </c>
      <c r="D51" s="2357">
        <v>5</v>
      </c>
      <c r="E51" s="2467">
        <f>D51/C51*100</f>
        <v>0.44762757385854968</v>
      </c>
      <c r="F51" s="2357">
        <v>2</v>
      </c>
      <c r="G51" s="2467">
        <f>F51/C51*100</f>
        <v>0.17905102954341987</v>
      </c>
      <c r="H51" s="2357">
        <v>1</v>
      </c>
      <c r="I51" s="2467">
        <f>H51/C51*100</f>
        <v>8.9525514771709933E-2</v>
      </c>
      <c r="J51" s="2357">
        <v>1</v>
      </c>
      <c r="K51" s="2467">
        <f>J51/C51*100</f>
        <v>8.9525514771709933E-2</v>
      </c>
      <c r="L51" s="2400"/>
      <c r="M51" s="2356"/>
      <c r="N51" s="2400"/>
      <c r="O51" s="2400"/>
      <c r="P51" s="2357"/>
      <c r="Q51" s="2357"/>
      <c r="R51" s="2357"/>
      <c r="S51" s="2357"/>
      <c r="T51" s="2357"/>
      <c r="U51" s="2357"/>
      <c r="V51" s="2357"/>
      <c r="W51" s="2357"/>
      <c r="X51" s="2357"/>
      <c r="Z51" s="2356" t="s">
        <v>2202</v>
      </c>
      <c r="AA51" s="2369">
        <v>2957</v>
      </c>
      <c r="AB51" s="2359">
        <v>785</v>
      </c>
      <c r="AC51" s="2401">
        <f>AB51/AA51*100</f>
        <v>26.547176192086575</v>
      </c>
      <c r="AD51" s="2359">
        <v>1471</v>
      </c>
      <c r="AE51" s="2401">
        <f>AD51/AA51*100</f>
        <v>49.74636455867433</v>
      </c>
      <c r="AF51" s="2357">
        <v>701</v>
      </c>
      <c r="AG51" s="2401">
        <f>AF51/AA51*100</f>
        <v>23.706459249239092</v>
      </c>
      <c r="AH51" s="2400"/>
      <c r="AI51" s="2400"/>
      <c r="AJ51" s="2400"/>
      <c r="AK51" s="2400"/>
      <c r="AL51" s="2400"/>
      <c r="AM51" s="2400"/>
      <c r="AN51" s="2400"/>
      <c r="AO51" s="2400"/>
      <c r="AP51" s="2400"/>
      <c r="AQ51" s="2400"/>
      <c r="AR51" s="2400"/>
      <c r="AS51" s="2400"/>
      <c r="AT51" s="2400"/>
      <c r="AU51" s="2400"/>
      <c r="AV51" s="2400"/>
      <c r="AW51" s="2400"/>
      <c r="AX51" s="2356" t="s">
        <v>2260</v>
      </c>
      <c r="AY51" s="2369">
        <v>1430</v>
      </c>
      <c r="AZ51" s="2357">
        <v>4</v>
      </c>
      <c r="BA51" s="2357">
        <v>24</v>
      </c>
      <c r="BB51" s="2468">
        <v>628</v>
      </c>
      <c r="BC51" s="2400">
        <f>BB51/AY51*100</f>
        <v>43.916083916083913</v>
      </c>
      <c r="BD51" s="2468">
        <v>763</v>
      </c>
      <c r="BE51" s="2400">
        <f>BD51/AY51*100</f>
        <v>53.356643356643353</v>
      </c>
      <c r="BF51" s="2468">
        <v>11</v>
      </c>
      <c r="BG51" s="2400">
        <f>BF51/AY51*100</f>
        <v>0.76923076923076927</v>
      </c>
      <c r="BH51" s="2357"/>
      <c r="BI51" s="2401"/>
      <c r="BJ51" s="2400"/>
      <c r="BK51" s="2400"/>
      <c r="BL51" s="2356" t="s">
        <v>2260</v>
      </c>
      <c r="BM51" s="2370">
        <v>1608</v>
      </c>
      <c r="BN51" s="2357">
        <v>5</v>
      </c>
      <c r="BO51" s="2357">
        <v>67</v>
      </c>
      <c r="BP51" s="2468">
        <v>722</v>
      </c>
      <c r="BQ51" s="2400">
        <f>(BP51/BM51)*100</f>
        <v>44.900497512437809</v>
      </c>
      <c r="BR51" s="2468">
        <v>799</v>
      </c>
      <c r="BS51" s="2400">
        <f>(BR51/BM51)*100</f>
        <v>49.689054726368163</v>
      </c>
      <c r="BT51" s="2357">
        <v>15</v>
      </c>
      <c r="BU51" s="2400">
        <f>(BT51/BM51)*100</f>
        <v>0.93283582089552231</v>
      </c>
      <c r="BV51" s="2400"/>
      <c r="BW51" s="2400"/>
      <c r="BX51" s="2400"/>
      <c r="BZ51" s="2356" t="s">
        <v>2177</v>
      </c>
      <c r="CA51" s="2473">
        <v>13353</v>
      </c>
      <c r="CB51" s="2435">
        <v>8037</v>
      </c>
      <c r="CC51" s="2369">
        <v>4691</v>
      </c>
      <c r="CD51" s="2434">
        <f>CC51/CB51*100</f>
        <v>58.367550080875951</v>
      </c>
      <c r="CE51" s="2369">
        <v>2851</v>
      </c>
      <c r="CF51" s="2434">
        <f>CE51/CB51*100</f>
        <v>35.473435361453276</v>
      </c>
      <c r="CH51" s="2394"/>
      <c r="CJ51" s="2356" t="s">
        <v>2185</v>
      </c>
      <c r="CK51" s="2370">
        <v>2411</v>
      </c>
      <c r="CL51" s="2354">
        <v>1</v>
      </c>
      <c r="CM51" s="2359">
        <v>357</v>
      </c>
      <c r="CN51" s="2359">
        <v>2023</v>
      </c>
      <c r="CO51" s="2401">
        <f>CN51/CK51*100</f>
        <v>83.907092492741597</v>
      </c>
      <c r="CP51" s="2471">
        <v>30</v>
      </c>
      <c r="CQ51" s="2401">
        <f>CP51/CK51*100</f>
        <v>1.2442969722107009</v>
      </c>
      <c r="CR51" s="2359"/>
      <c r="CS51" s="2401"/>
      <c r="CT51" s="2401"/>
      <c r="CU51" s="2401"/>
      <c r="CX51" s="2399" t="s">
        <v>4117</v>
      </c>
      <c r="CY51" s="2427" t="s">
        <v>4039</v>
      </c>
      <c r="CZ51" s="2357">
        <v>14892</v>
      </c>
      <c r="DA51" s="876"/>
      <c r="DB51" s="876"/>
      <c r="DC51" s="2356" t="s">
        <v>2185</v>
      </c>
      <c r="DD51" s="2391">
        <v>26978</v>
      </c>
      <c r="DE51" s="2357">
        <v>1353</v>
      </c>
      <c r="DF51" s="2358">
        <f>DE51/DD51*100</f>
        <v>5.0151975683890582</v>
      </c>
      <c r="DG51" s="2357">
        <v>1379</v>
      </c>
      <c r="DH51" s="2358">
        <f>DG51/DD51*100</f>
        <v>5.1115723923196681</v>
      </c>
      <c r="DI51" s="2357">
        <v>1321</v>
      </c>
      <c r="DJ51" s="2358">
        <f>DI51/DD51*100</f>
        <v>4.8965824004744603</v>
      </c>
      <c r="DK51" s="876"/>
      <c r="DL51" s="876"/>
      <c r="DM51" s="876"/>
      <c r="DN51" s="876"/>
      <c r="DO51" s="876"/>
      <c r="DP51" s="876"/>
      <c r="DQ51" s="876"/>
      <c r="DS51" s="2356"/>
      <c r="DT51" s="2359"/>
      <c r="DU51" s="2357"/>
      <c r="DV51" s="2358"/>
      <c r="DW51" s="2357"/>
      <c r="DX51" s="2358"/>
      <c r="DY51" s="2357"/>
      <c r="DZ51" s="2358"/>
      <c r="EH51" s="2403"/>
      <c r="EI51" s="2356"/>
      <c r="EJ51" s="2357"/>
      <c r="EK51" s="2357"/>
      <c r="EL51" s="2358"/>
      <c r="EM51" s="2357"/>
      <c r="EN51" s="2358"/>
      <c r="EO51" s="2357"/>
      <c r="EP51" s="2358"/>
      <c r="EQ51" s="2358"/>
      <c r="EU51" s="2401"/>
      <c r="EV51" s="2356"/>
      <c r="EW51" s="2357"/>
      <c r="EX51" s="2357"/>
      <c r="EY51" s="2357"/>
      <c r="EZ51" s="2401"/>
      <c r="FA51" s="2357"/>
      <c r="FB51" s="2401"/>
      <c r="FC51" s="2357"/>
      <c r="FD51" s="2401"/>
      <c r="FE51" s="2469"/>
      <c r="FG51" s="2357"/>
      <c r="FH51" s="2358"/>
      <c r="FI51" s="2400"/>
      <c r="FJ51" s="2401"/>
      <c r="FK51" s="2357"/>
      <c r="FL51" s="2401"/>
      <c r="FV51" s="2356"/>
      <c r="FW51" s="2357"/>
      <c r="FX51" s="2357"/>
      <c r="FY51" s="2357"/>
      <c r="FZ51" s="2401"/>
      <c r="GA51" s="2357"/>
      <c r="GB51" s="2358"/>
      <c r="GC51" s="2357"/>
      <c r="GD51" s="2400"/>
    </row>
    <row r="52" spans="1:187" ht="12.95" customHeight="1">
      <c r="A52" s="2356" t="s">
        <v>4067</v>
      </c>
      <c r="B52" s="2369">
        <v>2393</v>
      </c>
      <c r="C52" s="2357">
        <v>1175</v>
      </c>
      <c r="D52" s="2357">
        <v>6</v>
      </c>
      <c r="E52" s="2467">
        <f>D52/C52*100</f>
        <v>0.51063829787234039</v>
      </c>
      <c r="F52" s="2357">
        <v>0</v>
      </c>
      <c r="G52" s="2467">
        <f>F52/C52*100</f>
        <v>0</v>
      </c>
      <c r="H52" s="2357">
        <v>3</v>
      </c>
      <c r="I52" s="2467">
        <f>H52/C52*100</f>
        <v>0.25531914893617019</v>
      </c>
      <c r="J52" s="2357">
        <v>2</v>
      </c>
      <c r="K52" s="2467">
        <f>J52/C52*100</f>
        <v>0.1702127659574468</v>
      </c>
      <c r="L52" s="2400"/>
      <c r="M52" s="2356"/>
      <c r="N52" s="2400"/>
      <c r="O52" s="2400"/>
      <c r="P52" s="2357"/>
      <c r="Q52" s="2357"/>
      <c r="R52" s="2357"/>
      <c r="S52" s="2357"/>
      <c r="T52" s="2357"/>
      <c r="U52" s="2357"/>
      <c r="V52" s="2357"/>
      <c r="W52" s="2357"/>
      <c r="X52" s="2357"/>
      <c r="Z52" s="2356" t="s">
        <v>2177</v>
      </c>
      <c r="AA52" s="2369">
        <v>8037</v>
      </c>
      <c r="AB52" s="2359">
        <v>2214</v>
      </c>
      <c r="AC52" s="2401">
        <f>AB52/AA52*100</f>
        <v>27.547592385218366</v>
      </c>
      <c r="AD52" s="2359">
        <v>3468</v>
      </c>
      <c r="AE52" s="2401">
        <f>AD52/AA52*100</f>
        <v>43.150429264650988</v>
      </c>
      <c r="AF52" s="2357">
        <v>2355</v>
      </c>
      <c r="AG52" s="2401">
        <f>AF52/AA52*100</f>
        <v>29.301978350130646</v>
      </c>
      <c r="AH52" s="2400"/>
      <c r="AI52" s="2400"/>
      <c r="AJ52" s="2400"/>
      <c r="AK52" s="2400"/>
      <c r="AL52" s="2400"/>
      <c r="AM52" s="2400"/>
      <c r="AN52" s="2400"/>
      <c r="AO52" s="2400"/>
      <c r="AP52" s="2400"/>
      <c r="AQ52" s="2400"/>
      <c r="AR52" s="2400"/>
      <c r="AS52" s="2400"/>
      <c r="AT52" s="2400"/>
      <c r="AU52" s="2400"/>
      <c r="AV52" s="2400"/>
      <c r="AW52" s="2400"/>
      <c r="AX52" s="2356" t="s">
        <v>2253</v>
      </c>
      <c r="AY52" s="2369">
        <v>2454</v>
      </c>
      <c r="AZ52" s="2357">
        <v>4</v>
      </c>
      <c r="BA52" s="2357">
        <v>72</v>
      </c>
      <c r="BB52" s="2468">
        <v>1058</v>
      </c>
      <c r="BC52" s="2401">
        <f>BB52/AY52*100</f>
        <v>43.113284433577832</v>
      </c>
      <c r="BD52" s="2468">
        <v>1298</v>
      </c>
      <c r="BE52" s="2400">
        <f>BD52/AY52*100</f>
        <v>52.893235533822335</v>
      </c>
      <c r="BF52" s="2468">
        <v>22</v>
      </c>
      <c r="BG52" s="2400">
        <f>BF52/AY52*100</f>
        <v>0.8964955175224123</v>
      </c>
      <c r="BH52" s="2357"/>
      <c r="BI52" s="2400"/>
      <c r="BJ52" s="2400"/>
      <c r="BK52" s="2400"/>
      <c r="BL52" s="2356" t="s">
        <v>2253</v>
      </c>
      <c r="BM52" s="2370">
        <v>2535</v>
      </c>
      <c r="BN52" s="2357">
        <v>12</v>
      </c>
      <c r="BO52" s="2357">
        <v>129</v>
      </c>
      <c r="BP52" s="2468">
        <v>1215</v>
      </c>
      <c r="BQ52" s="2400">
        <f>(BP52/BM52)*100</f>
        <v>47.928994082840234</v>
      </c>
      <c r="BR52" s="2468">
        <v>1150</v>
      </c>
      <c r="BS52" s="2400">
        <f>(BR52/BM52)*100</f>
        <v>45.364891518737672</v>
      </c>
      <c r="BT52" s="2357">
        <v>29</v>
      </c>
      <c r="BU52" s="2400">
        <f>(BT52/BM52)*100</f>
        <v>1.1439842209072979</v>
      </c>
      <c r="BV52" s="2400"/>
      <c r="BW52" s="2400"/>
      <c r="BX52" s="2400"/>
      <c r="BZ52" s="2368" t="s">
        <v>2208</v>
      </c>
      <c r="CA52" s="2472">
        <v>6030</v>
      </c>
      <c r="CB52" s="2433">
        <v>3703</v>
      </c>
      <c r="CC52" s="2367">
        <v>2410</v>
      </c>
      <c r="CD52" s="2432">
        <f>CC52/CB52*100</f>
        <v>65.082365649473388</v>
      </c>
      <c r="CE52" s="2367">
        <v>1114</v>
      </c>
      <c r="CF52" s="2432">
        <f>CE52/CB52*100</f>
        <v>30.083715906022146</v>
      </c>
      <c r="CH52" s="2394"/>
      <c r="CJ52" s="2356" t="s">
        <v>2202</v>
      </c>
      <c r="CK52" s="2370">
        <v>2320</v>
      </c>
      <c r="CL52" s="2354">
        <v>2</v>
      </c>
      <c r="CM52" s="2359">
        <v>425</v>
      </c>
      <c r="CN52" s="2359">
        <v>1856</v>
      </c>
      <c r="CO52" s="2401">
        <f>CN52/CK52*100</f>
        <v>80</v>
      </c>
      <c r="CP52" s="2471">
        <v>40</v>
      </c>
      <c r="CQ52" s="2401">
        <f>CP52/CK52*100</f>
        <v>1.7241379310344827</v>
      </c>
      <c r="CR52" s="2359"/>
      <c r="CS52" s="2401"/>
      <c r="CT52" s="2401"/>
      <c r="CU52" s="2401"/>
      <c r="CX52" s="2399" t="s">
        <v>4038</v>
      </c>
      <c r="CY52" s="2427" t="s">
        <v>4039</v>
      </c>
      <c r="CZ52" s="2357">
        <v>13848</v>
      </c>
      <c r="DA52" s="876"/>
      <c r="DB52" s="876"/>
      <c r="DC52" s="2356" t="s">
        <v>2202</v>
      </c>
      <c r="DD52" s="2391">
        <v>23110</v>
      </c>
      <c r="DE52" s="2357">
        <v>1168</v>
      </c>
      <c r="DF52" s="2358">
        <f>DE52/DD52*100</f>
        <v>5.0540891389009088</v>
      </c>
      <c r="DG52" s="2357">
        <v>1166</v>
      </c>
      <c r="DH52" s="2358">
        <f>DG52/DD52*100</f>
        <v>5.0454348766767634</v>
      </c>
      <c r="DI52" s="2357">
        <v>1072</v>
      </c>
      <c r="DJ52" s="2358">
        <f>DI52/DD52*100</f>
        <v>4.63868455214193</v>
      </c>
      <c r="DK52" s="876"/>
      <c r="DL52" s="876"/>
      <c r="DM52" s="876"/>
      <c r="DN52" s="876"/>
      <c r="DO52" s="876"/>
      <c r="DP52" s="876"/>
      <c r="DQ52" s="876"/>
      <c r="DS52" s="2356"/>
      <c r="DT52" s="2359"/>
      <c r="DU52" s="2357"/>
      <c r="DV52" s="2358"/>
      <c r="DW52" s="2357"/>
      <c r="DX52" s="2358"/>
      <c r="DY52" s="2357"/>
      <c r="DZ52" s="2358"/>
      <c r="EH52" s="2403"/>
      <c r="EI52" s="2356"/>
      <c r="EJ52" s="2357"/>
      <c r="EK52" s="2357"/>
      <c r="EL52" s="2358"/>
      <c r="EM52" s="2357"/>
      <c r="EN52" s="2358"/>
      <c r="EO52" s="2357"/>
      <c r="EP52" s="2358"/>
      <c r="EQ52" s="2358"/>
      <c r="EU52" s="2401"/>
      <c r="EV52" s="2356"/>
      <c r="EW52" s="2357"/>
      <c r="EX52" s="2357"/>
      <c r="EY52" s="2357"/>
      <c r="EZ52" s="2401"/>
      <c r="FA52" s="2357"/>
      <c r="FB52" s="2401"/>
      <c r="FC52" s="2357"/>
      <c r="FD52" s="2401"/>
      <c r="FE52" s="2469"/>
      <c r="FG52" s="2357"/>
      <c r="FH52" s="2358"/>
      <c r="FI52" s="2400"/>
      <c r="FJ52" s="2401"/>
      <c r="FK52" s="2357"/>
      <c r="FL52" s="2401"/>
      <c r="FV52" s="2356"/>
      <c r="FW52" s="2357"/>
      <c r="FX52" s="2357"/>
      <c r="FY52" s="2357"/>
      <c r="FZ52" s="2401"/>
      <c r="GA52" s="2357"/>
      <c r="GB52" s="2358"/>
      <c r="GC52" s="2357"/>
      <c r="GD52" s="2400"/>
    </row>
    <row r="53" spans="1:187" ht="12.95" customHeight="1">
      <c r="A53" s="2356" t="s">
        <v>2253</v>
      </c>
      <c r="B53" s="2369">
        <v>4092</v>
      </c>
      <c r="C53" s="2357">
        <v>2173</v>
      </c>
      <c r="D53" s="2357">
        <v>14</v>
      </c>
      <c r="E53" s="2467">
        <f>D53/C53*100</f>
        <v>0.6442705936493327</v>
      </c>
      <c r="F53" s="2357">
        <v>3</v>
      </c>
      <c r="G53" s="2467">
        <f>F53/C53*100</f>
        <v>0.13805798435342845</v>
      </c>
      <c r="H53" s="2357">
        <v>1</v>
      </c>
      <c r="I53" s="2467">
        <f>H53/C53*100</f>
        <v>4.6019328117809483E-2</v>
      </c>
      <c r="J53" s="2357">
        <v>1</v>
      </c>
      <c r="K53" s="2467">
        <f>J53/C53*100</f>
        <v>4.6019328117809483E-2</v>
      </c>
      <c r="L53" s="2400"/>
      <c r="M53" s="2356"/>
      <c r="N53" s="2400"/>
      <c r="O53" s="2400"/>
      <c r="P53" s="2400"/>
      <c r="Q53" s="2400"/>
      <c r="R53" s="2400"/>
      <c r="S53" s="2400"/>
      <c r="T53" s="2400"/>
      <c r="U53" s="2400"/>
      <c r="V53" s="2400"/>
      <c r="W53" s="2464"/>
      <c r="X53" s="2400"/>
      <c r="Z53" s="2368" t="s">
        <v>2208</v>
      </c>
      <c r="AA53" s="2367">
        <v>3703</v>
      </c>
      <c r="AB53" s="2429">
        <v>835</v>
      </c>
      <c r="AC53" s="2428">
        <f>AB53/AA53*100</f>
        <v>22.549284364029166</v>
      </c>
      <c r="AD53" s="2429">
        <v>1833</v>
      </c>
      <c r="AE53" s="2428">
        <f>AD53/AA53*100</f>
        <v>49.500405076964618</v>
      </c>
      <c r="AF53" s="2366">
        <v>1035</v>
      </c>
      <c r="AG53" s="2428">
        <f>AF53/AA53*100</f>
        <v>27.950310559006208</v>
      </c>
      <c r="AH53" s="2400"/>
      <c r="AI53" s="2400"/>
      <c r="AJ53" s="2400"/>
      <c r="AK53" s="2400"/>
      <c r="AL53" s="2400"/>
      <c r="AM53" s="2400"/>
      <c r="AN53" s="2400"/>
      <c r="AO53" s="2400"/>
      <c r="AP53" s="2400"/>
      <c r="AQ53" s="2400"/>
      <c r="AR53" s="2400"/>
      <c r="AS53" s="2400"/>
      <c r="AT53" s="2400"/>
      <c r="AU53" s="2400"/>
      <c r="AV53" s="2400"/>
      <c r="AW53" s="2400"/>
      <c r="AX53" s="2356" t="s">
        <v>2185</v>
      </c>
      <c r="AY53" s="2369">
        <v>2926</v>
      </c>
      <c r="AZ53" s="2357">
        <v>2</v>
      </c>
      <c r="BA53" s="2357">
        <v>61</v>
      </c>
      <c r="BB53" s="2468">
        <v>1325</v>
      </c>
      <c r="BC53" s="2400">
        <f>BB53/AY53*100</f>
        <v>45.283663704716339</v>
      </c>
      <c r="BD53" s="2468">
        <v>1516</v>
      </c>
      <c r="BE53" s="2400">
        <f>BD53/AY53*100</f>
        <v>51.811346548188652</v>
      </c>
      <c r="BF53" s="2468">
        <v>22</v>
      </c>
      <c r="BG53" s="2400">
        <f>BF53/AY53*100</f>
        <v>0.75187969924812026</v>
      </c>
      <c r="BH53" s="2357"/>
      <c r="BI53" s="2401"/>
      <c r="BJ53" s="2400"/>
      <c r="BK53" s="2400"/>
      <c r="BL53" s="2356" t="s">
        <v>2185</v>
      </c>
      <c r="BM53" s="2370">
        <v>2952</v>
      </c>
      <c r="BN53" s="2357">
        <v>18</v>
      </c>
      <c r="BO53" s="2357">
        <v>152</v>
      </c>
      <c r="BP53" s="2468">
        <v>1508</v>
      </c>
      <c r="BQ53" s="2400">
        <f>(BP53/BM53)*100</f>
        <v>51.084010840108398</v>
      </c>
      <c r="BR53" s="2468">
        <v>1235</v>
      </c>
      <c r="BS53" s="2400">
        <f>(BR53/BM53)*100</f>
        <v>41.836043360433607</v>
      </c>
      <c r="BT53" s="2357">
        <v>39</v>
      </c>
      <c r="BU53" s="2400">
        <f>(BT53/BM53)*100</f>
        <v>1.321138211382114</v>
      </c>
      <c r="BV53" s="2400"/>
      <c r="BW53" s="2400"/>
      <c r="BX53" s="2400"/>
      <c r="BZ53" s="2356" t="s">
        <v>4069</v>
      </c>
      <c r="CA53" s="2356"/>
      <c r="CB53" s="2356"/>
      <c r="CC53" s="2356"/>
      <c r="CD53" s="2356"/>
      <c r="CE53" s="2356"/>
      <c r="CF53" s="2356"/>
      <c r="CH53" s="2394"/>
      <c r="CJ53" s="2356" t="s">
        <v>2177</v>
      </c>
      <c r="CK53" s="2370">
        <v>5479</v>
      </c>
      <c r="CL53" s="2354">
        <v>2</v>
      </c>
      <c r="CM53" s="2359">
        <v>891</v>
      </c>
      <c r="CN53" s="2359">
        <v>4522</v>
      </c>
      <c r="CO53" s="2401">
        <f>CN53/CK53*100</f>
        <v>82.533308997992336</v>
      </c>
      <c r="CP53" s="2471">
        <v>64</v>
      </c>
      <c r="CQ53" s="2401">
        <f>CP53/CK53*100</f>
        <v>1.1680963679503558</v>
      </c>
      <c r="CR53" s="2359"/>
      <c r="CS53" s="2401"/>
      <c r="CT53" s="2401"/>
      <c r="CU53" s="2401"/>
      <c r="CX53" s="2399" t="s">
        <v>4081</v>
      </c>
      <c r="CY53" s="2427" t="s">
        <v>4036</v>
      </c>
      <c r="CZ53" s="2357">
        <v>13571</v>
      </c>
      <c r="DA53" s="876"/>
      <c r="DB53" s="876"/>
      <c r="DC53" s="2356" t="s">
        <v>2177</v>
      </c>
      <c r="DD53" s="2391">
        <v>64230</v>
      </c>
      <c r="DE53" s="2357">
        <v>3468</v>
      </c>
      <c r="DF53" s="2358">
        <f>DE53/DD53*100</f>
        <v>5.3993460999532932</v>
      </c>
      <c r="DG53" s="2357">
        <v>2971</v>
      </c>
      <c r="DH53" s="2358">
        <f>DG53/DD53*100</f>
        <v>4.6255643780165032</v>
      </c>
      <c r="DI53" s="2357">
        <v>3031</v>
      </c>
      <c r="DJ53" s="2358">
        <f>DI53/DD53*100</f>
        <v>4.7189786704032386</v>
      </c>
      <c r="DK53" s="876"/>
      <c r="DL53" s="876"/>
      <c r="DM53" s="876"/>
      <c r="DN53" s="876"/>
      <c r="DO53" s="876"/>
      <c r="DP53" s="876"/>
      <c r="DQ53" s="876"/>
      <c r="DS53" s="2356"/>
      <c r="DT53" s="2359"/>
      <c r="DU53" s="2357"/>
      <c r="DV53" s="2358"/>
      <c r="DW53" s="2357"/>
      <c r="DX53" s="2358"/>
      <c r="DY53" s="2357"/>
      <c r="DZ53" s="2358"/>
      <c r="EH53" s="2403"/>
      <c r="EI53" s="2356"/>
      <c r="EJ53" s="2357"/>
      <c r="EK53" s="2357"/>
      <c r="EL53" s="2358"/>
      <c r="EM53" s="2357"/>
      <c r="EN53" s="2358"/>
      <c r="EO53" s="2357"/>
      <c r="EP53" s="2358"/>
      <c r="EQ53" s="2358"/>
      <c r="EU53" s="2401"/>
      <c r="EV53" s="2356"/>
      <c r="EW53" s="2357"/>
      <c r="EX53" s="2357"/>
      <c r="EY53" s="2357"/>
      <c r="EZ53" s="2401"/>
      <c r="FA53" s="2357"/>
      <c r="FB53" s="2401"/>
      <c r="FC53" s="2357"/>
      <c r="FD53" s="2401"/>
      <c r="FE53" s="2469"/>
      <c r="FG53" s="2357"/>
      <c r="FH53" s="2358"/>
      <c r="FI53" s="2400"/>
      <c r="FJ53" s="2401"/>
      <c r="FK53" s="2357"/>
      <c r="FL53" s="2401"/>
      <c r="FV53" s="2356"/>
      <c r="FW53" s="2357"/>
      <c r="FX53" s="2357"/>
      <c r="FY53" s="2357"/>
      <c r="FZ53" s="2401"/>
      <c r="GA53" s="2357"/>
      <c r="GB53" s="2358"/>
      <c r="GC53" s="2357"/>
      <c r="GD53" s="2400"/>
    </row>
    <row r="54" spans="1:187" ht="12.95" customHeight="1">
      <c r="A54" s="2356" t="s">
        <v>2185</v>
      </c>
      <c r="B54" s="2369">
        <v>5482</v>
      </c>
      <c r="C54" s="2357">
        <v>2607</v>
      </c>
      <c r="D54" s="2357">
        <v>8</v>
      </c>
      <c r="E54" s="2467">
        <f>D54/C54*100</f>
        <v>0.30686612965093979</v>
      </c>
      <c r="F54" s="2357">
        <v>3</v>
      </c>
      <c r="G54" s="2467">
        <f>F54/C54*100</f>
        <v>0.11507479861910241</v>
      </c>
      <c r="H54" s="2357">
        <v>4</v>
      </c>
      <c r="I54" s="2467">
        <f>H54/C54*100</f>
        <v>0.15343306482546989</v>
      </c>
      <c r="J54" s="2357">
        <v>3</v>
      </c>
      <c r="K54" s="2467">
        <f>J54/C54*100</f>
        <v>0.11507479861910241</v>
      </c>
      <c r="L54" s="2400"/>
      <c r="M54" s="2400"/>
      <c r="N54" s="2400"/>
      <c r="O54" s="2400"/>
      <c r="P54" s="2400"/>
      <c r="Q54" s="2400"/>
      <c r="R54" s="2400"/>
      <c r="S54" s="2400"/>
      <c r="T54" s="2400"/>
      <c r="U54" s="2400"/>
      <c r="V54" s="2400"/>
      <c r="W54" s="2464"/>
      <c r="X54" s="2400"/>
      <c r="Z54" s="2356" t="s">
        <v>4069</v>
      </c>
      <c r="AA54" s="2357"/>
      <c r="AB54" s="2356"/>
      <c r="AC54" s="2356"/>
      <c r="AD54" s="2356"/>
      <c r="AE54" s="2356"/>
      <c r="AF54" s="2356"/>
      <c r="AG54" s="2356"/>
      <c r="AH54" s="2400"/>
      <c r="AI54" s="2400"/>
      <c r="AJ54" s="2400"/>
      <c r="AK54" s="2400"/>
      <c r="AL54" s="2400"/>
      <c r="AM54" s="2400"/>
      <c r="AN54" s="2400"/>
      <c r="AO54" s="2400"/>
      <c r="AP54" s="2400"/>
      <c r="AQ54" s="2400"/>
      <c r="AR54" s="2400"/>
      <c r="AS54" s="2400"/>
      <c r="AT54" s="2400"/>
      <c r="AU54" s="2400"/>
      <c r="AV54" s="2400"/>
      <c r="AW54" s="2400"/>
      <c r="AX54" s="2356" t="s">
        <v>2202</v>
      </c>
      <c r="AY54" s="2369">
        <v>2761</v>
      </c>
      <c r="AZ54" s="2357">
        <v>6</v>
      </c>
      <c r="BA54" s="2357">
        <v>81</v>
      </c>
      <c r="BB54" s="2468">
        <v>1155</v>
      </c>
      <c r="BC54" s="2400">
        <f>BB54/AY54*100</f>
        <v>41.832669322709165</v>
      </c>
      <c r="BD54" s="2468">
        <v>1503</v>
      </c>
      <c r="BE54" s="2400">
        <f>BD54/AY54*100</f>
        <v>54.436798261499455</v>
      </c>
      <c r="BF54" s="2468">
        <v>16</v>
      </c>
      <c r="BG54" s="2400">
        <f>BF54/AY54*100</f>
        <v>0.57950018109380663</v>
      </c>
      <c r="BH54" s="2357"/>
      <c r="BI54" s="2400"/>
      <c r="BJ54" s="2400"/>
      <c r="BK54" s="2400"/>
      <c r="BL54" s="2356" t="s">
        <v>2202</v>
      </c>
      <c r="BM54" s="2370">
        <v>2957</v>
      </c>
      <c r="BN54" s="2357">
        <v>21</v>
      </c>
      <c r="BO54" s="2357">
        <v>149</v>
      </c>
      <c r="BP54" s="2468">
        <v>1384</v>
      </c>
      <c r="BQ54" s="2400">
        <f>(BP54/BM54)*100</f>
        <v>46.804193439296583</v>
      </c>
      <c r="BR54" s="2468">
        <v>1366</v>
      </c>
      <c r="BS54" s="2400">
        <f>(BR54/BM54)*100</f>
        <v>46.195468380114981</v>
      </c>
      <c r="BT54" s="2357">
        <v>37</v>
      </c>
      <c r="BU54" s="2400">
        <f>(BT54/BM54)*100</f>
        <v>1.2512681772066283</v>
      </c>
      <c r="BV54" s="2400"/>
      <c r="BW54" s="2400"/>
      <c r="BX54" s="2400"/>
      <c r="CH54" s="2394"/>
      <c r="CJ54" s="2368" t="s">
        <v>2208</v>
      </c>
      <c r="CK54" s="2431">
        <v>2975</v>
      </c>
      <c r="CL54" s="2411">
        <v>0</v>
      </c>
      <c r="CM54" s="2429">
        <v>503</v>
      </c>
      <c r="CN54" s="2429">
        <v>2446</v>
      </c>
      <c r="CO54" s="2428">
        <f>CN54/CK54*100</f>
        <v>82.21848739495799</v>
      </c>
      <c r="CP54" s="2470">
        <v>26</v>
      </c>
      <c r="CQ54" s="2428">
        <f>CP54/CK54*100</f>
        <v>0.87394957983193278</v>
      </c>
      <c r="CR54" s="2359"/>
      <c r="CS54" s="2401"/>
      <c r="CT54" s="2401"/>
      <c r="CU54" s="2401"/>
      <c r="CX54" s="2399" t="s">
        <v>4118</v>
      </c>
      <c r="CY54" s="2427" t="s">
        <v>4039</v>
      </c>
      <c r="CZ54" s="2357">
        <v>13468</v>
      </c>
      <c r="DA54" s="876"/>
      <c r="DB54" s="876"/>
      <c r="DC54" s="2368" t="s">
        <v>2208</v>
      </c>
      <c r="DD54" s="2390">
        <v>34295</v>
      </c>
      <c r="DE54" s="2366">
        <v>1840</v>
      </c>
      <c r="DF54" s="2365">
        <f>DE54/DD54*100</f>
        <v>5.3652135879865872</v>
      </c>
      <c r="DG54" s="2366">
        <v>1565</v>
      </c>
      <c r="DH54" s="2365">
        <f>DG54/DD54*100</f>
        <v>4.5633474267385923</v>
      </c>
      <c r="DI54" s="2366">
        <v>1720</v>
      </c>
      <c r="DJ54" s="2365">
        <f>DI54/DD54*100</f>
        <v>5.0153083539874617</v>
      </c>
      <c r="DK54" s="876"/>
      <c r="DL54" s="876"/>
      <c r="DM54" s="876"/>
      <c r="DN54" s="876"/>
      <c r="DO54" s="876"/>
      <c r="DP54" s="876"/>
      <c r="DQ54" s="876"/>
      <c r="DS54" s="2356"/>
      <c r="DT54" s="2359"/>
      <c r="DU54" s="2357"/>
      <c r="DV54" s="2358"/>
      <c r="DW54" s="2357"/>
      <c r="DX54" s="2358"/>
      <c r="DY54" s="2357"/>
      <c r="DZ54" s="2358"/>
      <c r="EH54" s="2403"/>
      <c r="EI54" s="2356"/>
      <c r="EJ54" s="2357"/>
      <c r="EK54" s="2357"/>
      <c r="EL54" s="2358"/>
      <c r="EM54" s="2357"/>
      <c r="EN54" s="2358"/>
      <c r="EO54" s="2357"/>
      <c r="EP54" s="2358"/>
      <c r="EQ54" s="2358"/>
      <c r="EU54" s="2401"/>
      <c r="EV54" s="2356"/>
      <c r="EW54" s="2357"/>
      <c r="EX54" s="2357"/>
      <c r="EY54" s="2357"/>
      <c r="EZ54" s="2401"/>
      <c r="FA54" s="2357"/>
      <c r="FB54" s="2401"/>
      <c r="FC54" s="2357"/>
      <c r="FD54" s="2401"/>
      <c r="FE54" s="2469"/>
      <c r="FG54" s="2357"/>
      <c r="FH54" s="2358"/>
      <c r="FI54" s="2400"/>
      <c r="FJ54" s="2401"/>
      <c r="FK54" s="2357"/>
      <c r="FL54" s="2401"/>
      <c r="FV54" s="2356"/>
      <c r="FW54" s="2357"/>
      <c r="FX54" s="2357"/>
      <c r="FY54" s="2357"/>
      <c r="FZ54" s="2401"/>
      <c r="GA54" s="2357"/>
      <c r="GB54" s="2358"/>
      <c r="GC54" s="2357"/>
      <c r="GD54" s="2400"/>
    </row>
    <row r="55" spans="1:187" ht="12.95" customHeight="1">
      <c r="A55" s="2356" t="s">
        <v>2202</v>
      </c>
      <c r="B55" s="2369">
        <v>5922</v>
      </c>
      <c r="C55" s="2357">
        <v>2351</v>
      </c>
      <c r="D55" s="2357">
        <v>13</v>
      </c>
      <c r="E55" s="2467">
        <f>D55/C55*100</f>
        <v>0.552956188855806</v>
      </c>
      <c r="F55" s="2357">
        <v>6</v>
      </c>
      <c r="G55" s="2467">
        <f>F55/C55*100</f>
        <v>0.25521054870267973</v>
      </c>
      <c r="H55" s="2357">
        <v>5</v>
      </c>
      <c r="I55" s="2467">
        <f>H55/C55*100</f>
        <v>0.21267545725223311</v>
      </c>
      <c r="J55" s="2357">
        <v>3</v>
      </c>
      <c r="K55" s="2467">
        <f>J55/C55*100</f>
        <v>0.12760527435133986</v>
      </c>
      <c r="L55" s="2400"/>
      <c r="M55" s="2400"/>
      <c r="N55" s="2400"/>
      <c r="O55" s="2400"/>
      <c r="P55" s="2400"/>
      <c r="Q55" s="2400"/>
      <c r="R55" s="2400"/>
      <c r="S55" s="2400"/>
      <c r="T55" s="2400"/>
      <c r="U55" s="2400"/>
      <c r="V55" s="2400"/>
      <c r="W55" s="2464"/>
      <c r="X55" s="2400"/>
      <c r="AH55" s="2400"/>
      <c r="AI55" s="2400"/>
      <c r="AJ55" s="2400"/>
      <c r="AK55" s="2400"/>
      <c r="AL55" s="2400"/>
      <c r="AM55" s="2400"/>
      <c r="AN55" s="2400"/>
      <c r="AO55" s="2400"/>
      <c r="AP55" s="2400"/>
      <c r="AQ55" s="2400"/>
      <c r="AR55" s="2400"/>
      <c r="AS55" s="2400"/>
      <c r="AT55" s="2400"/>
      <c r="AU55" s="2400"/>
      <c r="AV55" s="2400"/>
      <c r="AW55" s="2400"/>
      <c r="AX55" s="2356" t="s">
        <v>2177</v>
      </c>
      <c r="AY55" s="2369">
        <v>7260</v>
      </c>
      <c r="AZ55" s="2357">
        <v>25</v>
      </c>
      <c r="BA55" s="2357">
        <v>175</v>
      </c>
      <c r="BB55" s="2468">
        <v>3215</v>
      </c>
      <c r="BC55" s="2401">
        <f>BB55/AY55*100</f>
        <v>44.28374655647383</v>
      </c>
      <c r="BD55" s="2468">
        <v>3815</v>
      </c>
      <c r="BE55" s="2400">
        <f>BD55/AY55*100</f>
        <v>52.548209366391184</v>
      </c>
      <c r="BF55" s="2468">
        <v>30</v>
      </c>
      <c r="BG55" s="2400">
        <f>BF55/AY55*100</f>
        <v>0.41322314049586778</v>
      </c>
      <c r="BH55" s="2357"/>
      <c r="BI55" s="2401"/>
      <c r="BJ55" s="2400"/>
      <c r="BK55" s="2400"/>
      <c r="BL55" s="2356" t="s">
        <v>2177</v>
      </c>
      <c r="BM55" s="2370">
        <v>8037</v>
      </c>
      <c r="BN55" s="2357">
        <v>86</v>
      </c>
      <c r="BO55" s="2357">
        <v>501</v>
      </c>
      <c r="BP55" s="2468">
        <v>4627</v>
      </c>
      <c r="BQ55" s="2400">
        <f>(BP55/BM55)*100</f>
        <v>57.571233047156902</v>
      </c>
      <c r="BR55" s="2468">
        <v>2749</v>
      </c>
      <c r="BS55" s="2400">
        <f>(BR55/BM55)*100</f>
        <v>34.204305088963544</v>
      </c>
      <c r="BT55" s="2357">
        <v>74</v>
      </c>
      <c r="BU55" s="2400">
        <f>(BT55/BM55)*100</f>
        <v>0.92074157023765091</v>
      </c>
      <c r="BV55" s="2400"/>
      <c r="BW55" s="2400"/>
      <c r="BX55" s="2400"/>
      <c r="CH55" s="2394"/>
      <c r="CJ55" s="2356" t="s">
        <v>4069</v>
      </c>
      <c r="CK55" s="2356"/>
      <c r="CL55" s="2356"/>
      <c r="CM55" s="2356"/>
      <c r="CN55" s="2356"/>
      <c r="CO55" s="2356"/>
      <c r="CP55" s="2356"/>
      <c r="CQ55" s="2356"/>
      <c r="CR55" s="2356"/>
      <c r="CS55" s="2356"/>
      <c r="CX55" s="2399" t="s">
        <v>4088</v>
      </c>
      <c r="CY55" s="2427" t="s">
        <v>4039</v>
      </c>
      <c r="CZ55" s="2357">
        <v>13225</v>
      </c>
      <c r="DA55" s="876"/>
      <c r="DB55" s="876"/>
      <c r="DC55" s="2356" t="s">
        <v>4069</v>
      </c>
      <c r="DD55" s="2356"/>
      <c r="DE55" s="2356"/>
      <c r="DF55" s="2356"/>
      <c r="DG55" s="2356"/>
      <c r="DH55" s="2356"/>
      <c r="DI55" s="2356"/>
      <c r="DJ55" s="2356"/>
      <c r="DK55" s="876"/>
      <c r="DL55" s="876"/>
      <c r="DM55" s="876"/>
      <c r="DN55" s="876"/>
      <c r="DO55" s="876"/>
      <c r="DP55" s="876"/>
      <c r="DQ55" s="876"/>
      <c r="DS55" s="2356"/>
      <c r="DT55" s="2356"/>
      <c r="DU55" s="2356"/>
      <c r="DV55" s="2356"/>
      <c r="DW55" s="2356"/>
      <c r="DX55" s="2356"/>
      <c r="DY55" s="2356"/>
      <c r="DZ55" s="2356"/>
      <c r="EI55" s="2356"/>
      <c r="EJ55" s="2356"/>
      <c r="EK55" s="2356"/>
      <c r="EL55" s="2356"/>
      <c r="EM55" s="2356"/>
      <c r="EN55" s="2356"/>
      <c r="EO55" s="2356"/>
      <c r="EP55" s="2356"/>
      <c r="EQ55" s="2356"/>
      <c r="EU55" s="2356"/>
      <c r="EV55" s="2356"/>
      <c r="EW55" s="2356"/>
      <c r="EX55" s="2356"/>
      <c r="EY55" s="2356"/>
      <c r="EZ55" s="2356"/>
      <c r="FA55" s="2356"/>
      <c r="FB55" s="2356"/>
      <c r="FC55" s="2356"/>
      <c r="FD55" s="2356"/>
      <c r="FE55" s="2356"/>
      <c r="FF55" s="2356"/>
      <c r="FG55" s="2356"/>
      <c r="FH55" s="2356"/>
      <c r="FI55" s="2356"/>
      <c r="FJ55" s="2356"/>
      <c r="FK55" s="2356"/>
      <c r="FL55" s="2356"/>
      <c r="FM55" s="2356"/>
      <c r="FV55" s="2356"/>
      <c r="FW55" s="2356"/>
      <c r="FX55" s="2356"/>
      <c r="FY55" s="2356"/>
      <c r="FZ55" s="2356"/>
      <c r="GA55" s="2356"/>
      <c r="GB55" s="2356"/>
      <c r="GC55" s="2356"/>
      <c r="GD55" s="2356"/>
      <c r="GE55" s="2356"/>
    </row>
    <row r="56" spans="1:187" ht="12.95" customHeight="1">
      <c r="A56" s="2356" t="s">
        <v>2177</v>
      </c>
      <c r="B56" s="2369">
        <v>15649</v>
      </c>
      <c r="C56" s="2357">
        <v>6237</v>
      </c>
      <c r="D56" s="2357">
        <v>19</v>
      </c>
      <c r="E56" s="2467">
        <f>D56/C56*100</f>
        <v>0.30463363796697129</v>
      </c>
      <c r="F56" s="2357">
        <v>9</v>
      </c>
      <c r="G56" s="2467">
        <f>F56/C56*100</f>
        <v>0.14430014430014429</v>
      </c>
      <c r="H56" s="2357">
        <v>11</v>
      </c>
      <c r="I56" s="2467">
        <f>H56/C56*100</f>
        <v>0.17636684303350969</v>
      </c>
      <c r="J56" s="2357">
        <v>8</v>
      </c>
      <c r="K56" s="2467">
        <f>J56/C56*100</f>
        <v>0.1282667949334616</v>
      </c>
      <c r="L56" s="2356"/>
      <c r="M56" s="2356"/>
      <c r="N56" s="2356"/>
      <c r="O56" s="2356"/>
      <c r="P56" s="2356"/>
      <c r="Q56" s="2356"/>
      <c r="R56" s="2356"/>
      <c r="S56" s="2356"/>
      <c r="T56" s="2356"/>
      <c r="U56" s="2356"/>
      <c r="V56" s="2356"/>
      <c r="W56" s="2459"/>
      <c r="X56" s="2356"/>
      <c r="AH56" s="2400"/>
      <c r="AI56" s="2400"/>
      <c r="AJ56" s="2400"/>
      <c r="AK56" s="2400"/>
      <c r="AL56" s="2400"/>
      <c r="AM56" s="2400"/>
      <c r="AN56" s="2400"/>
      <c r="AO56" s="2400"/>
      <c r="AP56" s="2400"/>
      <c r="AQ56" s="2400"/>
      <c r="AR56" s="2400"/>
      <c r="AS56" s="2400"/>
      <c r="AT56" s="2400"/>
      <c r="AU56" s="2400"/>
      <c r="AV56" s="2400"/>
      <c r="AW56" s="2400"/>
      <c r="AX56" s="2368" t="s">
        <v>2208</v>
      </c>
      <c r="AY56" s="2367">
        <v>3544</v>
      </c>
      <c r="AZ56" s="2368">
        <v>10</v>
      </c>
      <c r="BA56" s="2366">
        <v>99</v>
      </c>
      <c r="BB56" s="2466">
        <v>1628</v>
      </c>
      <c r="BC56" s="2410">
        <f>BB56/AY56*100</f>
        <v>45.936794582392778</v>
      </c>
      <c r="BD56" s="2466">
        <v>1792</v>
      </c>
      <c r="BE56" s="2410">
        <f>BD56/AY56*100</f>
        <v>50.564334085778782</v>
      </c>
      <c r="BF56" s="2466">
        <v>15</v>
      </c>
      <c r="BG56" s="2410">
        <f>BF56/AY56*100</f>
        <v>0.42325056433408581</v>
      </c>
      <c r="BH56" s="2357"/>
      <c r="BI56" s="2400"/>
      <c r="BJ56" s="2400"/>
      <c r="BK56" s="2400"/>
      <c r="BL56" s="2368" t="s">
        <v>2208</v>
      </c>
      <c r="BM56" s="2431">
        <v>3703</v>
      </c>
      <c r="BN56" s="2368">
        <v>38</v>
      </c>
      <c r="BO56" s="2366">
        <v>185</v>
      </c>
      <c r="BP56" s="2466">
        <v>2142</v>
      </c>
      <c r="BQ56" s="2410">
        <f>(BP56/BM56)*100</f>
        <v>57.844990548204159</v>
      </c>
      <c r="BR56" s="2466">
        <v>1305</v>
      </c>
      <c r="BS56" s="2410">
        <f>(BR56/BM56)*100</f>
        <v>35.241695922225226</v>
      </c>
      <c r="BT56" s="2366">
        <v>33</v>
      </c>
      <c r="BU56" s="2410">
        <f>(BT56/BM56)*100</f>
        <v>0.89116932217121259</v>
      </c>
      <c r="BV56" s="2400"/>
      <c r="BW56" s="2400"/>
      <c r="BX56" s="2400"/>
      <c r="CH56" s="2394"/>
      <c r="CR56" s="2356"/>
      <c r="CS56" s="2356"/>
      <c r="CT56" s="2409"/>
      <c r="CX56" s="2399" t="s">
        <v>4041</v>
      </c>
      <c r="CY56" s="2427" t="s">
        <v>4036</v>
      </c>
      <c r="CZ56" s="2357">
        <v>11850</v>
      </c>
      <c r="DA56" s="876"/>
      <c r="DB56" s="876"/>
      <c r="DC56" s="2356" t="s">
        <v>4076</v>
      </c>
      <c r="DD56" s="2356"/>
      <c r="DE56" s="2356"/>
      <c r="DF56" s="2356"/>
      <c r="DG56" s="2357" t="s">
        <v>3348</v>
      </c>
      <c r="DH56" s="2356"/>
      <c r="DI56" s="2357" t="s">
        <v>3348</v>
      </c>
      <c r="DJ56" s="2356"/>
      <c r="DK56" s="876"/>
      <c r="DL56" s="876"/>
      <c r="DM56" s="876"/>
      <c r="DN56" s="876"/>
      <c r="DO56" s="876"/>
      <c r="DP56" s="876"/>
      <c r="DQ56" s="876"/>
      <c r="DS56" s="2356"/>
      <c r="DT56" s="2356"/>
      <c r="DU56" s="2356"/>
      <c r="DV56" s="2356"/>
      <c r="DW56" s="2357"/>
      <c r="DX56" s="2356"/>
      <c r="DY56" s="2357"/>
      <c r="DZ56" s="2356"/>
      <c r="EI56" s="2356"/>
      <c r="EJ56" s="2356"/>
      <c r="EK56" s="2356"/>
      <c r="EL56" s="2356"/>
      <c r="EM56" s="2357"/>
      <c r="EN56" s="2356"/>
      <c r="EO56" s="2357"/>
      <c r="EP56" s="2356"/>
      <c r="EQ56" s="2356"/>
      <c r="EU56" s="2356"/>
      <c r="EV56" s="2356"/>
      <c r="EW56" s="2356"/>
      <c r="EX56" s="2356"/>
      <c r="EY56" s="2356"/>
      <c r="EZ56" s="2356"/>
      <c r="FA56" s="2356"/>
      <c r="FB56" s="2356"/>
      <c r="FC56" s="2356"/>
      <c r="FD56" s="2356"/>
      <c r="FE56" s="2356"/>
      <c r="FF56" s="2356"/>
      <c r="FG56" s="2356"/>
      <c r="FH56" s="2356"/>
      <c r="FI56" s="2356"/>
      <c r="FJ56" s="2356"/>
      <c r="FK56" s="2356"/>
      <c r="FL56" s="2356"/>
      <c r="FM56" s="2356"/>
      <c r="FV56" s="2356"/>
      <c r="FW56" s="2356"/>
      <c r="FX56" s="2356"/>
      <c r="FY56" s="2356"/>
      <c r="FZ56" s="2356"/>
      <c r="GA56" s="2356"/>
      <c r="GB56" s="2356"/>
      <c r="GC56" s="2356"/>
      <c r="GD56" s="2356"/>
      <c r="GE56" s="2356"/>
    </row>
    <row r="57" spans="1:187" ht="12.95" customHeight="1">
      <c r="A57" s="2368" t="s">
        <v>2208</v>
      </c>
      <c r="B57" s="2367">
        <v>7522</v>
      </c>
      <c r="C57" s="2366">
        <v>3385</v>
      </c>
      <c r="D57" s="2366">
        <v>10</v>
      </c>
      <c r="E57" s="2465">
        <f>D57/C57*100</f>
        <v>0.29542097488921715</v>
      </c>
      <c r="F57" s="2366">
        <v>2</v>
      </c>
      <c r="G57" s="2465">
        <f>F57/C57*100</f>
        <v>5.9084194977843424E-2</v>
      </c>
      <c r="H57" s="2366">
        <v>3</v>
      </c>
      <c r="I57" s="2465">
        <f>H57/C57*100</f>
        <v>8.862629246676515E-2</v>
      </c>
      <c r="J57" s="2411">
        <v>4</v>
      </c>
      <c r="K57" s="2465">
        <f>J57/C57*100</f>
        <v>0.11816838995568685</v>
      </c>
      <c r="L57" s="2400"/>
      <c r="M57" s="2400"/>
      <c r="N57" s="2400"/>
      <c r="O57" s="2400"/>
      <c r="P57" s="2400"/>
      <c r="Q57" s="2400"/>
      <c r="R57" s="2400"/>
      <c r="S57" s="2400"/>
      <c r="T57" s="2400"/>
      <c r="U57" s="2400"/>
      <c r="V57" s="2400"/>
      <c r="W57" s="2464"/>
      <c r="X57" s="2400"/>
      <c r="Z57" s="2356"/>
      <c r="AA57" s="2356"/>
      <c r="AB57" s="2356"/>
      <c r="AC57" s="2356"/>
      <c r="AD57" s="2356"/>
      <c r="AE57" s="2356"/>
      <c r="AF57" s="2356"/>
      <c r="AG57" s="2356"/>
      <c r="AH57" s="2400"/>
      <c r="AI57" s="2400"/>
      <c r="AJ57" s="2400"/>
      <c r="AK57" s="2400"/>
      <c r="AL57" s="2400"/>
      <c r="AM57" s="2400"/>
      <c r="AN57" s="2400"/>
      <c r="AO57" s="2400"/>
      <c r="AP57" s="2400"/>
      <c r="AQ57" s="2400"/>
      <c r="AR57" s="2400"/>
      <c r="AS57" s="2400"/>
      <c r="AT57" s="2400"/>
      <c r="AU57" s="2400"/>
      <c r="AV57" s="2400"/>
      <c r="AW57" s="2400"/>
      <c r="AX57" s="2356" t="s">
        <v>4069</v>
      </c>
      <c r="AY57" s="2356"/>
      <c r="AZ57" s="2356"/>
      <c r="BA57" s="2356"/>
      <c r="BB57" s="2356"/>
      <c r="BC57" s="2356"/>
      <c r="BD57" s="2356"/>
      <c r="BE57" s="2356"/>
      <c r="BF57" s="2356"/>
      <c r="BG57" s="2356"/>
      <c r="BH57" s="2356"/>
      <c r="BI57" s="2356"/>
      <c r="BJ57" s="2400"/>
      <c r="BK57" s="2400"/>
      <c r="BL57" s="2356" t="s">
        <v>4069</v>
      </c>
      <c r="BM57" s="2356"/>
      <c r="BN57" s="2356"/>
      <c r="BO57" s="2356"/>
      <c r="BP57" s="2356"/>
      <c r="BQ57" s="2356"/>
      <c r="BR57" s="2356"/>
      <c r="BS57" s="2356"/>
      <c r="BT57" s="2356"/>
      <c r="BU57" s="2356"/>
      <c r="BV57" s="2356"/>
      <c r="BW57" s="2356"/>
      <c r="BX57" s="2400"/>
      <c r="BZ57" s="2356"/>
      <c r="CA57" s="2356"/>
      <c r="CB57" s="2356"/>
      <c r="CC57" s="2356"/>
      <c r="CD57" s="2356"/>
      <c r="CE57" s="2356"/>
      <c r="CF57" s="2356"/>
      <c r="CG57" s="2356"/>
      <c r="CH57" s="2393"/>
      <c r="CJ57" s="2356"/>
      <c r="CK57" s="2364"/>
      <c r="CN57" s="2362"/>
      <c r="CO57" s="2362"/>
      <c r="CP57" s="2463"/>
      <c r="CQ57" s="2463"/>
      <c r="CR57" s="2462"/>
      <c r="CS57" s="2462"/>
      <c r="CT57" s="2409"/>
      <c r="CX57" s="2399" t="s">
        <v>4119</v>
      </c>
      <c r="CY57" s="2427" t="s">
        <v>4036</v>
      </c>
      <c r="CZ57" s="2357">
        <v>11530</v>
      </c>
      <c r="DA57" s="876"/>
      <c r="DB57" s="876"/>
      <c r="DC57" s="2356" t="s">
        <v>4078</v>
      </c>
      <c r="DD57" s="2356"/>
      <c r="DE57" s="2356"/>
      <c r="DF57" s="2356"/>
      <c r="DG57" s="2356"/>
      <c r="DH57" s="2356"/>
      <c r="DI57" s="2356"/>
      <c r="DJ57" s="2356"/>
      <c r="DK57" s="876"/>
      <c r="DL57" s="876"/>
      <c r="DM57" s="876"/>
      <c r="DN57" s="876"/>
      <c r="DO57" s="876"/>
      <c r="DP57" s="876"/>
      <c r="DQ57" s="876"/>
      <c r="DS57" s="2356"/>
      <c r="DT57" s="2356"/>
      <c r="DU57" s="2356"/>
      <c r="DV57" s="2356"/>
      <c r="DW57" s="2356"/>
      <c r="DX57" s="2356"/>
      <c r="DY57" s="2356"/>
      <c r="DZ57" s="2356"/>
      <c r="EI57" s="2356"/>
      <c r="EJ57" s="2356"/>
      <c r="EK57" s="2356"/>
      <c r="EL57" s="2356"/>
      <c r="EM57" s="2356"/>
      <c r="EN57" s="2356"/>
      <c r="EO57" s="2356"/>
      <c r="EP57" s="2356"/>
      <c r="EQ57" s="2356"/>
      <c r="EU57" s="2356"/>
      <c r="EV57" s="2356"/>
      <c r="EW57" s="2356"/>
      <c r="EX57" s="2356"/>
      <c r="EY57" s="2356"/>
      <c r="EZ57" s="2356"/>
      <c r="FA57" s="2356"/>
      <c r="FB57" s="2356"/>
      <c r="FC57" s="2356"/>
      <c r="FD57" s="2356"/>
      <c r="FE57" s="2356"/>
      <c r="FF57" s="2356"/>
      <c r="FG57" s="2356"/>
      <c r="FH57" s="2356"/>
      <c r="FI57" s="2356"/>
      <c r="FJ57" s="2356"/>
      <c r="FK57" s="2356"/>
      <c r="FL57" s="2356"/>
      <c r="FM57" s="2356"/>
      <c r="FV57" s="2356"/>
      <c r="FW57" s="2356"/>
      <c r="FX57" s="2356"/>
      <c r="FY57" s="2356"/>
      <c r="FZ57" s="2356"/>
      <c r="GA57" s="2356"/>
      <c r="GB57" s="2356"/>
      <c r="GC57" s="2356"/>
      <c r="GD57" s="2356"/>
      <c r="GE57" s="2356"/>
    </row>
    <row r="58" spans="1:187" ht="12.95" customHeight="1">
      <c r="A58" s="2356" t="s">
        <v>4069</v>
      </c>
      <c r="B58" s="2356"/>
      <c r="C58" s="2356"/>
      <c r="D58" s="2356"/>
      <c r="E58" s="2356"/>
      <c r="F58" s="2356"/>
      <c r="G58" s="2356"/>
      <c r="H58" s="2356"/>
      <c r="I58" s="2356"/>
      <c r="L58" s="2356"/>
      <c r="M58" s="2356"/>
      <c r="N58" s="2356"/>
      <c r="O58" s="2356"/>
      <c r="P58" s="2356"/>
      <c r="Q58" s="2356"/>
      <c r="R58" s="2356"/>
      <c r="S58" s="2356"/>
      <c r="T58" s="2356"/>
      <c r="U58" s="2356"/>
      <c r="V58" s="2356"/>
      <c r="W58" s="2459"/>
      <c r="X58" s="2356"/>
      <c r="Z58" s="2356"/>
      <c r="AA58" s="2361"/>
      <c r="AB58" s="2437"/>
      <c r="AC58" s="2437"/>
      <c r="AD58" s="2437"/>
      <c r="AE58" s="2437"/>
      <c r="AF58" s="2437"/>
      <c r="AG58" s="2437"/>
      <c r="AH58" s="2400"/>
      <c r="AI58" s="2400"/>
      <c r="AJ58" s="2400"/>
      <c r="AK58" s="2400"/>
      <c r="AL58" s="2400"/>
      <c r="AM58" s="2400"/>
      <c r="AN58" s="2400"/>
      <c r="AO58" s="2400"/>
      <c r="AP58" s="2400"/>
      <c r="AQ58" s="2400"/>
      <c r="AR58" s="2400"/>
      <c r="AS58" s="2400"/>
      <c r="AT58" s="2400"/>
      <c r="AU58" s="2400"/>
      <c r="AV58" s="2400"/>
      <c r="AW58" s="2400"/>
      <c r="AX58" s="2356" t="s">
        <v>4076</v>
      </c>
      <c r="AY58" s="2356"/>
      <c r="AZ58" s="2400"/>
      <c r="BA58" s="2400"/>
      <c r="BB58" s="2400"/>
      <c r="BC58" s="2400"/>
      <c r="BD58" s="2400"/>
      <c r="BE58" s="2400"/>
      <c r="BF58" s="2400"/>
      <c r="BG58" s="2400"/>
      <c r="BH58" s="2400"/>
      <c r="BI58" s="2400"/>
      <c r="BJ58" s="2400"/>
      <c r="BK58" s="2400"/>
      <c r="BL58" s="2356" t="s">
        <v>4076</v>
      </c>
      <c r="BM58" s="2356"/>
      <c r="BN58" s="2400"/>
      <c r="BO58" s="2400"/>
      <c r="BP58" s="2400"/>
      <c r="BQ58" s="2400"/>
      <c r="BR58" s="2400"/>
      <c r="BS58" s="2400"/>
      <c r="BT58" s="2400"/>
      <c r="BU58" s="2400"/>
      <c r="BV58" s="2400"/>
      <c r="BW58" s="2400"/>
      <c r="BX58" s="2400"/>
      <c r="BZ58" s="2368" t="s">
        <v>4120</v>
      </c>
      <c r="CA58" s="2368"/>
      <c r="CB58" s="2368"/>
      <c r="CC58" s="2356"/>
      <c r="CD58" s="2356"/>
      <c r="CE58" s="2368"/>
      <c r="CF58" s="2368"/>
      <c r="CG58" s="2459"/>
      <c r="CJ58" s="2356"/>
      <c r="CK58" s="2364"/>
      <c r="CL58" s="2405"/>
      <c r="CM58" s="2405"/>
      <c r="CN58" s="2362"/>
      <c r="CO58" s="2362"/>
      <c r="CP58" s="2463"/>
      <c r="CQ58" s="2463"/>
      <c r="CR58" s="2462"/>
      <c r="CS58" s="2462"/>
      <c r="CT58" s="2361"/>
      <c r="CX58" s="2399" t="s">
        <v>4058</v>
      </c>
      <c r="CY58" s="2427" t="s">
        <v>4039</v>
      </c>
      <c r="CZ58" s="2357">
        <v>11246</v>
      </c>
      <c r="DA58" s="876"/>
      <c r="DB58" s="876"/>
      <c r="DC58" s="876"/>
      <c r="DD58" s="876"/>
      <c r="DE58" s="876"/>
      <c r="DF58" s="876"/>
      <c r="DG58" s="876"/>
      <c r="DH58" s="876"/>
      <c r="DI58" s="876"/>
      <c r="DJ58" s="876"/>
      <c r="DK58" s="876"/>
      <c r="DL58" s="876"/>
      <c r="DM58" s="876"/>
      <c r="DN58" s="876"/>
      <c r="DO58" s="876"/>
      <c r="DP58" s="876"/>
      <c r="DQ58" s="876"/>
      <c r="FK58" s="2356"/>
      <c r="FL58" s="2356"/>
      <c r="FM58" s="2356"/>
      <c r="FV58" s="2356"/>
      <c r="FW58" s="2356"/>
      <c r="FX58" s="2356"/>
      <c r="FY58" s="2356"/>
      <c r="FZ58" s="2356"/>
      <c r="GA58" s="2356"/>
      <c r="GB58" s="2356"/>
      <c r="GC58" s="2356"/>
      <c r="GD58" s="2356"/>
      <c r="GE58" s="2356"/>
    </row>
    <row r="59" spans="1:187" ht="12.95" customHeight="1">
      <c r="A59" s="2356" t="s">
        <v>4076</v>
      </c>
      <c r="B59" s="2356"/>
      <c r="C59" s="2356"/>
      <c r="D59" s="2400" t="s">
        <v>4077</v>
      </c>
      <c r="E59" s="2400"/>
      <c r="F59" s="2400"/>
      <c r="G59" s="2400"/>
      <c r="H59" s="2400"/>
      <c r="I59" s="2400"/>
      <c r="L59" s="2356"/>
      <c r="M59" s="2356"/>
      <c r="N59" s="2356"/>
      <c r="O59" s="2356"/>
      <c r="P59" s="2356"/>
      <c r="Q59" s="2356"/>
      <c r="R59" s="2356"/>
      <c r="S59" s="2356"/>
      <c r="T59" s="2356"/>
      <c r="U59" s="2356"/>
      <c r="V59" s="2356"/>
      <c r="W59" s="2459"/>
      <c r="X59" s="2356"/>
      <c r="Z59" s="2356"/>
      <c r="AA59" s="2361"/>
      <c r="AB59" s="2437"/>
      <c r="AC59" s="2437"/>
      <c r="AD59" s="2437"/>
      <c r="AE59" s="2437"/>
      <c r="AF59" s="2437"/>
      <c r="AG59" s="2437"/>
      <c r="AH59" s="2400"/>
      <c r="AI59" s="2400"/>
      <c r="AJ59" s="2400"/>
      <c r="AK59" s="2400"/>
      <c r="AL59" s="2400"/>
      <c r="AM59" s="2400"/>
      <c r="AN59" s="2400"/>
      <c r="AO59" s="2400"/>
      <c r="AP59" s="2400"/>
      <c r="AQ59" s="2400"/>
      <c r="AR59" s="2400"/>
      <c r="AS59" s="2400"/>
      <c r="AT59" s="2400"/>
      <c r="AU59" s="2400"/>
      <c r="AV59" s="2400"/>
      <c r="AW59" s="2400"/>
      <c r="AX59" s="2356" t="s">
        <v>4078</v>
      </c>
      <c r="AY59" s="2356"/>
      <c r="AZ59" s="2356"/>
      <c r="BA59" s="2356"/>
      <c r="BB59" s="2356"/>
      <c r="BC59" s="2356"/>
      <c r="BD59" s="2356"/>
      <c r="BE59" s="2356"/>
      <c r="BF59" s="2356"/>
      <c r="BG59" s="2356"/>
      <c r="BH59" s="2356"/>
      <c r="BI59" s="2356"/>
      <c r="BJ59" s="2400"/>
      <c r="BK59" s="2400"/>
      <c r="BL59" s="2356" t="s">
        <v>4078</v>
      </c>
      <c r="BM59" s="2356"/>
      <c r="BN59" s="2356"/>
      <c r="BO59" s="2356"/>
      <c r="BP59" s="2356"/>
      <c r="BQ59" s="2356"/>
      <c r="BR59" s="2356"/>
      <c r="BS59" s="2356"/>
      <c r="BT59" s="2356"/>
      <c r="BU59" s="2356"/>
      <c r="BV59" s="2356"/>
      <c r="BW59" s="2356"/>
      <c r="BX59" s="2400"/>
      <c r="BZ59" s="2387"/>
      <c r="CA59" s="2461"/>
      <c r="CB59" s="2460"/>
      <c r="CC59" s="2420" t="s">
        <v>4121</v>
      </c>
      <c r="CD59" s="2421"/>
      <c r="CE59" s="2420" t="s">
        <v>4122</v>
      </c>
      <c r="CF59" s="2419"/>
      <c r="CG59" s="2459"/>
      <c r="CJ59" s="2356"/>
      <c r="CK59" s="2361"/>
      <c r="CL59" s="2405"/>
      <c r="CM59" s="2405"/>
      <c r="CN59" s="2361"/>
      <c r="CO59" s="2361"/>
      <c r="CP59" s="2369"/>
      <c r="CQ59" s="2361"/>
      <c r="CR59" s="2361"/>
      <c r="CS59" s="2361"/>
      <c r="CT59" s="2357"/>
      <c r="CX59" s="2399" t="s">
        <v>4123</v>
      </c>
      <c r="CY59" s="2427" t="s">
        <v>4039</v>
      </c>
      <c r="CZ59" s="2357">
        <v>10226</v>
      </c>
      <c r="DA59" s="876"/>
      <c r="DB59" s="876"/>
      <c r="DC59" s="876"/>
      <c r="DD59" s="876"/>
      <c r="DE59" s="876"/>
      <c r="DF59" s="876"/>
      <c r="DG59" s="876"/>
      <c r="DH59" s="876"/>
      <c r="DI59" s="876"/>
      <c r="DJ59" s="876"/>
      <c r="DK59" s="876"/>
      <c r="DL59" s="876"/>
      <c r="DM59" s="876"/>
      <c r="DN59" s="876"/>
      <c r="DO59" s="876"/>
      <c r="DP59" s="876"/>
      <c r="DQ59" s="876"/>
      <c r="FK59" s="2356"/>
      <c r="FL59" s="2356"/>
      <c r="FM59" s="2356"/>
      <c r="FV59" s="2356"/>
      <c r="FW59" s="2356"/>
      <c r="FX59" s="2356"/>
      <c r="FY59" s="2356"/>
      <c r="FZ59" s="2356"/>
      <c r="GA59" s="2356"/>
      <c r="GB59" s="2356"/>
      <c r="GC59" s="2356"/>
      <c r="GD59" s="2356"/>
      <c r="GE59" s="2356"/>
    </row>
    <row r="60" spans="1:187" ht="12.95" customHeight="1">
      <c r="A60" s="2356" t="s">
        <v>4078</v>
      </c>
      <c r="B60" s="2356"/>
      <c r="C60" s="2356"/>
      <c r="D60" s="2356" t="s">
        <v>4080</v>
      </c>
      <c r="E60" s="2356"/>
      <c r="F60" s="2356"/>
      <c r="G60" s="2356"/>
      <c r="H60" s="2356"/>
      <c r="I60" s="2356"/>
      <c r="Z60" s="2356" t="s">
        <v>4124</v>
      </c>
      <c r="AA60" s="2356"/>
      <c r="AB60" s="2368"/>
      <c r="AC60" s="2368"/>
      <c r="AD60" s="2368"/>
      <c r="AE60" s="2368"/>
      <c r="AF60" s="2356"/>
      <c r="AG60" s="2356"/>
      <c r="AH60" s="2400"/>
      <c r="AI60" s="2400"/>
      <c r="AJ60" s="2400"/>
      <c r="AK60" s="2400"/>
      <c r="AL60" s="2400"/>
      <c r="AM60" s="2400"/>
      <c r="AN60" s="2400"/>
      <c r="AO60" s="2400"/>
      <c r="AP60" s="2400"/>
      <c r="AQ60" s="2400"/>
      <c r="AR60" s="2400"/>
      <c r="AS60" s="2400"/>
      <c r="AT60" s="2400"/>
      <c r="AU60" s="2400"/>
      <c r="AV60" s="2400"/>
      <c r="AW60" s="2400"/>
      <c r="AX60" s="2400"/>
      <c r="AY60" s="2400"/>
      <c r="AZ60" s="2400"/>
      <c r="BA60" s="2400"/>
      <c r="BB60" s="2400"/>
      <c r="BC60" s="2400"/>
      <c r="BD60" s="2400"/>
      <c r="BE60" s="2400"/>
      <c r="BF60" s="2400"/>
      <c r="BG60" s="2400"/>
      <c r="BH60" s="2400"/>
      <c r="BI60" s="2400"/>
      <c r="BJ60" s="2400"/>
      <c r="BK60" s="2400"/>
      <c r="BL60" s="2400"/>
      <c r="BM60" s="2400"/>
      <c r="BN60" s="2400"/>
      <c r="BO60" s="2400"/>
      <c r="BP60" s="2400"/>
      <c r="BQ60" s="2400"/>
      <c r="BR60" s="2400"/>
      <c r="BS60" s="2400"/>
      <c r="BT60" s="2400"/>
      <c r="BU60" s="2400"/>
      <c r="BV60" s="2400"/>
      <c r="BW60" s="2400"/>
      <c r="BX60" s="2400"/>
      <c r="BZ60" s="2356" t="s">
        <v>4013</v>
      </c>
      <c r="CA60" s="2418" t="s">
        <v>3991</v>
      </c>
      <c r="CB60" s="2450" t="s">
        <v>129</v>
      </c>
      <c r="CC60" s="2415" t="s">
        <v>4125</v>
      </c>
      <c r="CD60" s="2416"/>
      <c r="CE60" s="2415" t="s">
        <v>4126</v>
      </c>
      <c r="CF60" s="2414"/>
      <c r="CG60" s="2361"/>
      <c r="CJ60" s="2368" t="s">
        <v>4127</v>
      </c>
      <c r="CK60" s="2368"/>
      <c r="CL60" s="2368"/>
      <c r="CM60" s="2368"/>
      <c r="CN60" s="2356"/>
      <c r="CO60" s="2356"/>
      <c r="CP60" s="2356"/>
      <c r="CQ60" s="2356"/>
      <c r="CR60" s="2356"/>
      <c r="CS60" s="2356"/>
      <c r="CT60" s="2356"/>
      <c r="CU60" s="2356"/>
      <c r="CX60" s="2399" t="s">
        <v>4062</v>
      </c>
      <c r="CY60" s="2427" t="s">
        <v>4036</v>
      </c>
      <c r="CZ60" s="2357">
        <v>9976</v>
      </c>
      <c r="DA60" s="876"/>
      <c r="DB60" s="876"/>
      <c r="DC60" s="876"/>
      <c r="DD60" s="876"/>
      <c r="DE60" s="876"/>
      <c r="DF60" s="876"/>
      <c r="DG60" s="876"/>
      <c r="DH60" s="876"/>
      <c r="DI60" s="876"/>
      <c r="DJ60" s="876"/>
      <c r="DK60" s="876"/>
      <c r="DL60" s="876"/>
      <c r="DQ60" s="876"/>
      <c r="FK60" s="2356"/>
      <c r="FL60" s="2356"/>
      <c r="FM60" s="2356"/>
      <c r="FV60" s="2356"/>
      <c r="FW60" s="2356"/>
      <c r="FX60" s="2356"/>
      <c r="FY60" s="2356"/>
      <c r="FZ60" s="2356"/>
      <c r="GA60" s="2356"/>
      <c r="GB60" s="2356"/>
      <c r="GC60" s="2356"/>
      <c r="GD60" s="2356"/>
      <c r="GE60" s="2356"/>
    </row>
    <row r="61" spans="1:187" ht="12.95" customHeight="1">
      <c r="A61" s="2356" t="s">
        <v>4128</v>
      </c>
      <c r="B61" s="2356"/>
      <c r="C61" s="2356"/>
      <c r="D61" s="2356" t="s">
        <v>4083</v>
      </c>
      <c r="E61" s="2356"/>
      <c r="F61" s="2356"/>
      <c r="G61" s="2356"/>
      <c r="H61" s="2356"/>
      <c r="I61" s="2356"/>
      <c r="Z61" s="2458"/>
      <c r="AA61" s="2457"/>
      <c r="AB61" s="2420" t="s">
        <v>4129</v>
      </c>
      <c r="AC61" s="2421"/>
      <c r="AD61" s="2420" t="s">
        <v>4130</v>
      </c>
      <c r="AE61" s="2421"/>
      <c r="AF61" s="2420" t="s">
        <v>3975</v>
      </c>
      <c r="AG61" s="2419"/>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c r="BZ61" s="2368" t="s">
        <v>4020</v>
      </c>
      <c r="CA61" s="2374" t="s">
        <v>4021</v>
      </c>
      <c r="CB61" s="2372" t="s">
        <v>3972</v>
      </c>
      <c r="CC61" s="2373" t="s">
        <v>1665</v>
      </c>
      <c r="CD61" s="2373" t="s">
        <v>1666</v>
      </c>
      <c r="CE61" s="2373" t="s">
        <v>1665</v>
      </c>
      <c r="CF61" s="2372" t="s">
        <v>1666</v>
      </c>
      <c r="CG61" s="2369"/>
      <c r="CJ61" s="2387"/>
      <c r="CK61" s="2386"/>
      <c r="CM61" s="2456"/>
      <c r="CN61" s="2383" t="s">
        <v>4131</v>
      </c>
      <c r="CO61" s="2385"/>
      <c r="CP61" s="2383" t="s">
        <v>4132</v>
      </c>
      <c r="CQ61" s="2385"/>
      <c r="CR61" s="2383" t="s">
        <v>4133</v>
      </c>
      <c r="CS61" s="2385"/>
      <c r="CT61" s="2455" t="s">
        <v>3978</v>
      </c>
      <c r="CU61" s="2454"/>
      <c r="CV61" s="2401"/>
      <c r="CW61" s="2401"/>
      <c r="CX61" s="2453" t="s">
        <v>4134</v>
      </c>
      <c r="CY61" s="2452" t="s">
        <v>4036</v>
      </c>
      <c r="CZ61" s="2366">
        <v>9774</v>
      </c>
      <c r="DA61" s="876"/>
      <c r="DB61" s="876"/>
      <c r="DC61" s="2368" t="s">
        <v>4135</v>
      </c>
      <c r="DD61" s="2368"/>
      <c r="DE61" s="2356"/>
      <c r="DF61" s="2356"/>
      <c r="DG61" s="2356"/>
      <c r="DH61" s="2356"/>
      <c r="DI61" s="2368"/>
      <c r="DJ61" s="2368"/>
      <c r="DK61" s="876"/>
      <c r="DL61" s="876"/>
      <c r="DQ61" s="876"/>
      <c r="DS61" s="2356"/>
      <c r="DT61" s="2356"/>
      <c r="DU61" s="2356"/>
      <c r="DV61" s="2356"/>
      <c r="DW61" s="2356"/>
      <c r="DX61" s="2356"/>
      <c r="DY61" s="2356"/>
      <c r="DZ61" s="2356"/>
      <c r="EI61" s="2356"/>
      <c r="EJ61" s="2356"/>
      <c r="EK61" s="2356"/>
      <c r="EL61" s="2356"/>
      <c r="EM61" s="2356"/>
      <c r="EN61" s="2356"/>
      <c r="EO61" s="2356"/>
      <c r="EP61" s="2356"/>
      <c r="EQ61" s="2356"/>
      <c r="EU61" s="2356"/>
      <c r="EV61" s="2356"/>
      <c r="EW61" s="2356"/>
      <c r="EX61" s="2356"/>
      <c r="EY61" s="2356"/>
      <c r="EZ61" s="2356"/>
      <c r="FA61" s="2356"/>
      <c r="FB61" s="2356"/>
      <c r="FC61" s="2356"/>
      <c r="FD61" s="2356"/>
      <c r="FE61" s="2356"/>
      <c r="FF61" s="2356"/>
      <c r="FG61" s="2356"/>
      <c r="FH61" s="2356"/>
      <c r="FI61" s="2356"/>
      <c r="FJ61" s="2356"/>
      <c r="FK61" s="2362"/>
      <c r="FL61" s="2362"/>
      <c r="FM61" s="2409"/>
      <c r="FV61" s="2399"/>
      <c r="FW61" s="2356"/>
      <c r="FX61" s="2356"/>
      <c r="FY61" s="2356"/>
      <c r="FZ61" s="2356"/>
      <c r="GA61" s="2356"/>
      <c r="GB61" s="2356"/>
      <c r="GC61" s="2356"/>
      <c r="GD61" s="2356"/>
      <c r="GE61" s="2356"/>
    </row>
    <row r="62" spans="1:187" ht="14.1" customHeight="1">
      <c r="A62" s="2356" t="s">
        <v>4084</v>
      </c>
      <c r="Z62" s="2451"/>
      <c r="AA62" s="2450"/>
      <c r="AB62" s="2445" t="s">
        <v>4136</v>
      </c>
      <c r="AC62" s="2444"/>
      <c r="AD62" s="2445" t="s">
        <v>4137</v>
      </c>
      <c r="AE62" s="2444"/>
      <c r="AF62" s="2445" t="s">
        <v>4002</v>
      </c>
      <c r="AG62" s="2437"/>
      <c r="BZ62" s="2356" t="s">
        <v>3503</v>
      </c>
      <c r="CA62" s="2369">
        <f>SUM(CA63:CA81)</f>
        <v>51975</v>
      </c>
      <c r="CB62" s="2369">
        <f>SUM(CB63:CB81)</f>
        <v>37373</v>
      </c>
      <c r="CC62" s="2369">
        <f>SUM(CC63:CC81)</f>
        <v>23260</v>
      </c>
      <c r="CD62" s="2434">
        <f>CC62/CB62*100</f>
        <v>62.237444144168251</v>
      </c>
      <c r="CE62" s="2369">
        <f>SUM(CE63:CE81)</f>
        <v>11608</v>
      </c>
      <c r="CF62" s="2434">
        <f>CE62/CB62*100</f>
        <v>31.05985604580847</v>
      </c>
      <c r="CG62" s="2369"/>
      <c r="CJ62" s="2356" t="s">
        <v>3990</v>
      </c>
      <c r="CK62" s="2381" t="s">
        <v>129</v>
      </c>
      <c r="CL62" s="2449" t="s">
        <v>4007</v>
      </c>
      <c r="CM62" s="2448" t="s">
        <v>2450</v>
      </c>
      <c r="CN62" s="2377"/>
      <c r="CO62" s="2380"/>
      <c r="CP62" s="2377"/>
      <c r="CQ62" s="2380"/>
      <c r="CR62" s="2377"/>
      <c r="CS62" s="2380"/>
      <c r="CT62" s="2447"/>
      <c r="CU62" s="2446"/>
      <c r="CV62" s="2401"/>
      <c r="CW62" s="2401"/>
      <c r="CX62" s="2356" t="s">
        <v>4069</v>
      </c>
      <c r="CY62" s="2356"/>
      <c r="CZ62" s="2356"/>
      <c r="DA62" s="876"/>
      <c r="DB62" s="876"/>
      <c r="DC62" s="2387"/>
      <c r="DD62" s="2386"/>
      <c r="DE62" s="2383" t="s">
        <v>4138</v>
      </c>
      <c r="DF62" s="2382"/>
      <c r="DG62" s="2383" t="s">
        <v>4139</v>
      </c>
      <c r="DH62" s="2382"/>
      <c r="DI62" s="2383" t="s">
        <v>4140</v>
      </c>
      <c r="DJ62" s="2382"/>
      <c r="DK62" s="876"/>
      <c r="DL62" s="876"/>
      <c r="DQ62" s="876"/>
      <c r="DS62" s="2356"/>
      <c r="DT62" s="2364"/>
      <c r="DU62" s="2362"/>
      <c r="DV62" s="2362"/>
      <c r="DW62" s="2362"/>
      <c r="DX62" s="2362"/>
      <c r="DY62" s="2362"/>
      <c r="DZ62" s="2362"/>
      <c r="EI62" s="2356"/>
      <c r="EJ62" s="2364"/>
      <c r="EK62" s="2362"/>
      <c r="EL62" s="2362"/>
      <c r="EM62" s="2363"/>
      <c r="EN62" s="2363"/>
      <c r="EO62" s="2362"/>
      <c r="EP62" s="2362"/>
      <c r="EQ62" s="2408"/>
      <c r="EU62" s="2408"/>
      <c r="EV62" s="2356"/>
      <c r="EW62" s="2364"/>
      <c r="EX62" s="2364"/>
      <c r="EY62" s="2362"/>
      <c r="EZ62" s="2362"/>
      <c r="FA62" s="2362"/>
      <c r="FB62" s="2362"/>
      <c r="FC62" s="2362"/>
      <c r="FD62" s="2362"/>
      <c r="FE62" s="2409"/>
      <c r="FG62" s="2362"/>
      <c r="FH62" s="2362"/>
      <c r="FI62" s="2409"/>
      <c r="FJ62" s="2408"/>
      <c r="FK62" s="2362"/>
      <c r="FL62" s="2362"/>
      <c r="FM62" s="2409"/>
      <c r="FV62" s="2356"/>
      <c r="FW62" s="2364"/>
      <c r="FX62" s="2364"/>
      <c r="FY62" s="2362"/>
      <c r="FZ62" s="2362"/>
      <c r="GA62" s="2362"/>
      <c r="GB62" s="2362"/>
      <c r="GC62" s="2362"/>
      <c r="GD62" s="2362"/>
    </row>
    <row r="63" spans="1:187" ht="12.95" customHeight="1">
      <c r="J63" s="2439"/>
      <c r="K63" s="2439"/>
      <c r="Z63" s="2356" t="s">
        <v>4013</v>
      </c>
      <c r="AA63" s="2418" t="s">
        <v>129</v>
      </c>
      <c r="AB63" s="2445" t="s">
        <v>4027</v>
      </c>
      <c r="AC63" s="2444"/>
      <c r="AD63" s="2445" t="s">
        <v>4028</v>
      </c>
      <c r="AE63" s="2444"/>
      <c r="AF63" s="2415" t="s">
        <v>4029</v>
      </c>
      <c r="AG63" s="2414"/>
      <c r="BZ63" s="2360" t="s">
        <v>2384</v>
      </c>
      <c r="CA63" s="2443">
        <v>497</v>
      </c>
      <c r="CB63" s="2442">
        <v>396</v>
      </c>
      <c r="CC63" s="2369">
        <v>241</v>
      </c>
      <c r="CD63" s="2434">
        <f>CC63/CB63*100</f>
        <v>60.858585858585855</v>
      </c>
      <c r="CE63" s="2369">
        <v>126</v>
      </c>
      <c r="CF63" s="2434">
        <f>CE63/CB63*100</f>
        <v>31.818181818181817</v>
      </c>
      <c r="CG63" s="2369"/>
      <c r="CJ63" s="2375" t="s">
        <v>4020</v>
      </c>
      <c r="CK63" s="2372" t="s">
        <v>3972</v>
      </c>
      <c r="CL63" s="2441" t="s">
        <v>4034</v>
      </c>
      <c r="CM63" s="2441" t="s">
        <v>4034</v>
      </c>
      <c r="CN63" s="2373" t="s">
        <v>1665</v>
      </c>
      <c r="CO63" s="2373" t="s">
        <v>1666</v>
      </c>
      <c r="CP63" s="2440" t="s">
        <v>1665</v>
      </c>
      <c r="CQ63" s="2371" t="s">
        <v>1666</v>
      </c>
      <c r="CR63" s="2440" t="s">
        <v>1665</v>
      </c>
      <c r="CS63" s="2371" t="s">
        <v>1666</v>
      </c>
      <c r="CT63" s="2440" t="s">
        <v>1665</v>
      </c>
      <c r="CU63" s="2371" t="s">
        <v>1666</v>
      </c>
      <c r="CV63" s="2401"/>
      <c r="CW63" s="2401"/>
      <c r="DA63" s="2356"/>
      <c r="DB63" s="2356"/>
      <c r="DC63" s="2356" t="s">
        <v>4013</v>
      </c>
      <c r="DD63" s="2381" t="s">
        <v>4019</v>
      </c>
      <c r="DE63" s="2377"/>
      <c r="DF63" s="2376"/>
      <c r="DG63" s="2377"/>
      <c r="DH63" s="2376"/>
      <c r="DI63" s="2377"/>
      <c r="DJ63" s="2376"/>
      <c r="DK63" s="2356"/>
      <c r="DL63" s="2356"/>
      <c r="DQ63" s="2356"/>
      <c r="DS63" s="2356"/>
      <c r="DT63" s="2364"/>
      <c r="DU63" s="2362"/>
      <c r="DV63" s="2362"/>
      <c r="DW63" s="2362"/>
      <c r="DX63" s="2362"/>
      <c r="DY63" s="2362"/>
      <c r="DZ63" s="2362"/>
      <c r="EI63" s="2356"/>
      <c r="EJ63" s="2364"/>
      <c r="EK63" s="2362"/>
      <c r="EL63" s="2362"/>
      <c r="EM63" s="2363"/>
      <c r="EN63" s="2363"/>
      <c r="EO63" s="2362"/>
      <c r="EP63" s="2362"/>
      <c r="EQ63" s="2408"/>
      <c r="EU63" s="2408"/>
      <c r="EV63" s="2356"/>
      <c r="EW63" s="2364"/>
      <c r="EX63" s="2364"/>
      <c r="EY63" s="2362"/>
      <c r="EZ63" s="2362"/>
      <c r="FA63" s="2362"/>
      <c r="FB63" s="2362"/>
      <c r="FC63" s="2362"/>
      <c r="FD63" s="2362"/>
      <c r="FE63" s="2409"/>
      <c r="FG63" s="2362"/>
      <c r="FH63" s="2362"/>
      <c r="FI63" s="2409"/>
      <c r="FJ63" s="2408"/>
      <c r="FK63" s="2361"/>
      <c r="FL63" s="2361"/>
      <c r="FM63" s="2361"/>
      <c r="FV63" s="2356"/>
      <c r="FW63" s="2364"/>
      <c r="FX63" s="2364"/>
      <c r="FY63" s="2362"/>
      <c r="FZ63" s="2362"/>
      <c r="GA63" s="2362"/>
      <c r="GB63" s="2362"/>
      <c r="GC63" s="2362"/>
      <c r="GD63" s="2362"/>
    </row>
    <row r="64" spans="1:187" ht="12.95" customHeight="1">
      <c r="A64" s="2439"/>
      <c r="B64" s="2439"/>
      <c r="C64" s="2439"/>
      <c r="D64" s="2439"/>
      <c r="E64" s="2439"/>
      <c r="F64" s="2439"/>
      <c r="G64" s="2439"/>
      <c r="H64" s="2439"/>
      <c r="I64" s="2439"/>
      <c r="J64" s="2438"/>
      <c r="K64" s="2438"/>
      <c r="Z64" s="2375" t="s">
        <v>4020</v>
      </c>
      <c r="AA64" s="2372" t="s">
        <v>3986</v>
      </c>
      <c r="AB64" s="2373" t="s">
        <v>1665</v>
      </c>
      <c r="AC64" s="2373" t="s">
        <v>1666</v>
      </c>
      <c r="AD64" s="2373" t="s">
        <v>1665</v>
      </c>
      <c r="AE64" s="2373" t="s">
        <v>1666</v>
      </c>
      <c r="AF64" s="2373" t="s">
        <v>1665</v>
      </c>
      <c r="AG64" s="2371" t="s">
        <v>1666</v>
      </c>
      <c r="BZ64" s="2356" t="s">
        <v>2252</v>
      </c>
      <c r="CA64" s="2357">
        <v>1162</v>
      </c>
      <c r="CB64" s="2435">
        <v>896</v>
      </c>
      <c r="CC64" s="2369">
        <v>563</v>
      </c>
      <c r="CD64" s="2434">
        <f>CC64/CB64*100</f>
        <v>62.834821428571431</v>
      </c>
      <c r="CE64" s="2369">
        <v>279</v>
      </c>
      <c r="CF64" s="2434">
        <f>CE64/CB64*100</f>
        <v>31.138392857142854</v>
      </c>
      <c r="CG64" s="2369"/>
      <c r="CJ64" s="2356" t="s">
        <v>3503</v>
      </c>
      <c r="CK64" s="2357">
        <v>30623</v>
      </c>
      <c r="CL64" s="2354">
        <v>34</v>
      </c>
      <c r="CM64" s="2359">
        <v>915</v>
      </c>
      <c r="CN64" s="2359">
        <v>9174</v>
      </c>
      <c r="CO64" s="2401">
        <f>(CN64/CK64)*100</f>
        <v>29.957874799986939</v>
      </c>
      <c r="CP64" s="2359">
        <v>14131</v>
      </c>
      <c r="CQ64" s="2401">
        <f>(CP64/CK64)*100</f>
        <v>46.145054370897689</v>
      </c>
      <c r="CR64" s="2359">
        <v>6320</v>
      </c>
      <c r="CS64" s="2401">
        <f>CR64/CK64*100</f>
        <v>20.63808248701956</v>
      </c>
      <c r="CT64" s="2401">
        <v>49</v>
      </c>
      <c r="CU64" s="2401">
        <f>(CT64/CK64)*100</f>
        <v>0.16001044966201874</v>
      </c>
      <c r="CV64" s="2401"/>
      <c r="CW64" s="2401"/>
      <c r="DC64" s="2375" t="s">
        <v>4020</v>
      </c>
      <c r="DD64" s="2374" t="s">
        <v>3986</v>
      </c>
      <c r="DE64" s="2373" t="s">
        <v>1665</v>
      </c>
      <c r="DF64" s="2373" t="s">
        <v>1666</v>
      </c>
      <c r="DG64" s="2373" t="s">
        <v>1665</v>
      </c>
      <c r="DH64" s="2371" t="s">
        <v>1666</v>
      </c>
      <c r="DI64" s="2372" t="s">
        <v>1665</v>
      </c>
      <c r="DJ64" s="2371" t="s">
        <v>1666</v>
      </c>
      <c r="DS64" s="2356"/>
      <c r="DT64" s="2361"/>
      <c r="DU64" s="2361"/>
      <c r="DV64" s="2361"/>
      <c r="DW64" s="2361"/>
      <c r="DX64" s="2361"/>
      <c r="DY64" s="2361"/>
      <c r="DZ64" s="2361"/>
      <c r="EI64" s="2356"/>
      <c r="EJ64" s="2361"/>
      <c r="EK64" s="2361"/>
      <c r="EL64" s="2361"/>
      <c r="EM64" s="2361"/>
      <c r="EN64" s="2361"/>
      <c r="EO64" s="2361"/>
      <c r="EP64" s="2361"/>
      <c r="EQ64" s="2361"/>
      <c r="EU64" s="2361"/>
      <c r="EV64" s="2356"/>
      <c r="EW64" s="2361"/>
      <c r="EX64" s="2361"/>
      <c r="EY64" s="2361"/>
      <c r="EZ64" s="2361"/>
      <c r="FA64" s="2361"/>
      <c r="FB64" s="2361"/>
      <c r="FC64" s="2361"/>
      <c r="FD64" s="2361"/>
      <c r="FE64" s="2361"/>
      <c r="FG64" s="2361"/>
      <c r="FH64" s="2361"/>
      <c r="FI64" s="2361"/>
      <c r="FJ64" s="2361"/>
      <c r="FK64" s="2357"/>
      <c r="FL64" s="2401"/>
      <c r="FV64" s="2356"/>
      <c r="FW64" s="2361"/>
      <c r="FX64" s="2361"/>
      <c r="FY64" s="2361"/>
      <c r="FZ64" s="2405"/>
      <c r="GA64" s="2361"/>
      <c r="GB64" s="2361"/>
      <c r="GC64" s="2361"/>
      <c r="GD64" s="2361"/>
    </row>
    <row r="65" spans="1:186" ht="12.95" customHeight="1">
      <c r="J65" s="2437"/>
      <c r="K65" s="2437"/>
      <c r="Z65" s="2356" t="s">
        <v>3503</v>
      </c>
      <c r="AA65" s="2359">
        <f>SUM(AA66:AA84)</f>
        <v>37373</v>
      </c>
      <c r="AB65" s="2357">
        <f>SUM(AB66:AB84)</f>
        <v>22512</v>
      </c>
      <c r="AC65" s="2401">
        <f>AB65/AA65*100</f>
        <v>60.235999250796027</v>
      </c>
      <c r="AD65" s="2357">
        <f>SUM(AD66:AD84)</f>
        <v>12712</v>
      </c>
      <c r="AE65" s="2401">
        <f>AD65/AA65*100</f>
        <v>34.01386027345945</v>
      </c>
      <c r="AF65" s="2357">
        <f>SUM(AF66:AF84)</f>
        <v>2149</v>
      </c>
      <c r="AG65" s="2401">
        <f>AF65/AA65*100</f>
        <v>5.750140475744522</v>
      </c>
      <c r="BZ65" s="2356" t="s">
        <v>2195</v>
      </c>
      <c r="CA65" s="2357">
        <v>903</v>
      </c>
      <c r="CB65" s="2435">
        <v>686</v>
      </c>
      <c r="CC65" s="2369">
        <v>465</v>
      </c>
      <c r="CD65" s="2434">
        <f>CC65/CB65*100</f>
        <v>67.78425655976676</v>
      </c>
      <c r="CE65" s="2369">
        <v>175</v>
      </c>
      <c r="CF65" s="2434">
        <f>CE65/CB65*100</f>
        <v>25.510204081632654</v>
      </c>
      <c r="CG65" s="2369"/>
      <c r="CJ65" s="2360" t="s">
        <v>2384</v>
      </c>
      <c r="CK65" s="2370">
        <v>309</v>
      </c>
      <c r="CL65" s="2354">
        <v>0</v>
      </c>
      <c r="CM65" s="2359">
        <v>14</v>
      </c>
      <c r="CN65" s="2359">
        <v>66</v>
      </c>
      <c r="CO65" s="2401">
        <f>(CN65/CK65)*100</f>
        <v>21.359223300970871</v>
      </c>
      <c r="CP65" s="2359">
        <v>144</v>
      </c>
      <c r="CQ65" s="2401">
        <f>(CP65/CK65)*100</f>
        <v>46.601941747572816</v>
      </c>
      <c r="CR65" s="2359">
        <v>84</v>
      </c>
      <c r="CS65" s="2401">
        <f>CR65/CK65*100</f>
        <v>27.184466019417474</v>
      </c>
      <c r="CT65" s="2401">
        <v>1</v>
      </c>
      <c r="CU65" s="2401">
        <f>(CT65/CK65)*100</f>
        <v>0.3236245954692557</v>
      </c>
      <c r="CV65" s="2401"/>
      <c r="CW65" s="2401"/>
      <c r="DC65" s="2356" t="s">
        <v>3503</v>
      </c>
      <c r="DD65" s="2359">
        <f>SUM(DD66:DD84)</f>
        <v>303682</v>
      </c>
      <c r="DE65" s="2357">
        <f>SUM(DE66:DE84)</f>
        <v>14185</v>
      </c>
      <c r="DF65" s="2358">
        <f>DE65/DD65*100</f>
        <v>4.6710045376413483</v>
      </c>
      <c r="DG65" s="2357">
        <f>SUM(DG66:DG84)</f>
        <v>14020</v>
      </c>
      <c r="DH65" s="2358">
        <f>DG65/DD65*100</f>
        <v>4.6166713865161588</v>
      </c>
      <c r="DI65" s="2359">
        <f>SUM(DI66:DI84)</f>
        <v>13149</v>
      </c>
      <c r="DJ65" s="2358">
        <f>DI65/DD65*100</f>
        <v>4.3298582069401546</v>
      </c>
      <c r="DS65" s="2356"/>
      <c r="DT65" s="2357"/>
      <c r="DU65" s="2357"/>
      <c r="DV65" s="2358"/>
      <c r="DW65" s="2357"/>
      <c r="DX65" s="2358"/>
      <c r="DY65" s="2357"/>
      <c r="DZ65" s="2358"/>
      <c r="EI65" s="2356"/>
      <c r="EJ65" s="2357"/>
      <c r="EK65" s="2357"/>
      <c r="EL65" s="2358"/>
      <c r="EM65" s="2357"/>
      <c r="EN65" s="2358"/>
      <c r="EO65" s="2357"/>
      <c r="EP65" s="2358"/>
      <c r="EQ65" s="2358"/>
      <c r="EU65" s="2401"/>
      <c r="EV65" s="2356"/>
      <c r="EW65" s="2357"/>
      <c r="EX65" s="2357"/>
      <c r="EY65" s="2359"/>
      <c r="EZ65" s="2401"/>
      <c r="FA65" s="2359"/>
      <c r="FB65" s="2401"/>
      <c r="FC65" s="2359"/>
      <c r="FD65" s="2401"/>
      <c r="FE65" s="2401"/>
      <c r="FG65" s="2357"/>
      <c r="FH65" s="2358"/>
      <c r="FI65" s="2400"/>
      <c r="FJ65" s="2401"/>
      <c r="FK65" s="2357"/>
      <c r="FL65" s="2401"/>
      <c r="FV65" s="2356"/>
      <c r="FW65" s="2357"/>
      <c r="FX65" s="2357"/>
      <c r="FY65" s="2357"/>
      <c r="FZ65" s="2401"/>
      <c r="GA65" s="2357"/>
      <c r="GB65" s="2400"/>
      <c r="GC65" s="2357"/>
      <c r="GD65" s="2400"/>
    </row>
    <row r="66" spans="1:186" ht="12.95" customHeight="1">
      <c r="A66" s="2424" t="s">
        <v>4141</v>
      </c>
      <c r="B66" s="2424"/>
      <c r="C66" s="2424"/>
      <c r="D66" s="2424"/>
      <c r="E66" s="2424"/>
      <c r="F66" s="2424"/>
      <c r="G66" s="2424"/>
      <c r="H66" s="2424"/>
      <c r="I66" s="2424"/>
      <c r="J66" s="2369"/>
      <c r="K66" s="2369"/>
      <c r="Z66" s="2360" t="s">
        <v>2384</v>
      </c>
      <c r="AA66" s="2359">
        <f>SUM(AB66+AD66+AF66)</f>
        <v>396</v>
      </c>
      <c r="AB66" s="2359">
        <v>258</v>
      </c>
      <c r="AC66" s="2401">
        <f>AB66/AA66*100</f>
        <v>65.151515151515156</v>
      </c>
      <c r="AD66" s="2359">
        <v>107</v>
      </c>
      <c r="AE66" s="2401">
        <f>AD66/AA66*100</f>
        <v>27.020202020202021</v>
      </c>
      <c r="AF66" s="2357">
        <v>31</v>
      </c>
      <c r="AG66" s="2401">
        <f>AF66/AA66*100</f>
        <v>7.8282828282828287</v>
      </c>
      <c r="BZ66" s="2356" t="s">
        <v>4042</v>
      </c>
      <c r="CA66" s="2357">
        <v>2556</v>
      </c>
      <c r="CB66" s="2435">
        <v>1858</v>
      </c>
      <c r="CC66" s="2369">
        <v>1175</v>
      </c>
      <c r="CD66" s="2434">
        <f>CC66/CB66*100</f>
        <v>63.240043057050585</v>
      </c>
      <c r="CE66" s="2369">
        <v>519</v>
      </c>
      <c r="CF66" s="2434">
        <f>CE66/CB66*100</f>
        <v>27.933261571582346</v>
      </c>
      <c r="CG66" s="2369"/>
      <c r="CJ66" s="2356" t="s">
        <v>2252</v>
      </c>
      <c r="CK66" s="2370">
        <v>704</v>
      </c>
      <c r="CL66" s="2354">
        <v>0</v>
      </c>
      <c r="CM66" s="2359">
        <v>14</v>
      </c>
      <c r="CN66" s="2359">
        <v>197</v>
      </c>
      <c r="CO66" s="2401">
        <f>(CN66/CK66)*100</f>
        <v>27.982954545454547</v>
      </c>
      <c r="CP66" s="2359">
        <v>342</v>
      </c>
      <c r="CQ66" s="2401">
        <f>(CP66/CK66)*100</f>
        <v>48.579545454545453</v>
      </c>
      <c r="CR66" s="2359">
        <v>150</v>
      </c>
      <c r="CS66" s="2401">
        <f>CR66/CK66*100</f>
        <v>21.306818181818183</v>
      </c>
      <c r="CT66" s="2401">
        <v>1</v>
      </c>
      <c r="CU66" s="2401">
        <f>(CT66/CK66)*100</f>
        <v>0.14204545454545456</v>
      </c>
      <c r="CV66" s="2401"/>
      <c r="CW66" s="2401"/>
      <c r="DC66" s="2360" t="s">
        <v>2384</v>
      </c>
      <c r="DD66" s="2392">
        <v>2373</v>
      </c>
      <c r="DE66" s="2357">
        <v>118</v>
      </c>
      <c r="DF66" s="2358">
        <f>DE66/DD66*100</f>
        <v>4.9726085124315214</v>
      </c>
      <c r="DG66" s="2357">
        <v>130</v>
      </c>
      <c r="DH66" s="2358">
        <f>DG66/DD66*100</f>
        <v>5.4782975136957432</v>
      </c>
      <c r="DI66" s="2357">
        <v>93</v>
      </c>
      <c r="DJ66" s="2358">
        <f>DI66/DD66*100</f>
        <v>3.9190897597977248</v>
      </c>
      <c r="DS66" s="2360"/>
      <c r="DT66" s="2359"/>
      <c r="DU66" s="2357"/>
      <c r="DV66" s="2358"/>
      <c r="DW66" s="2357"/>
      <c r="DX66" s="2358"/>
      <c r="DY66" s="2357"/>
      <c r="DZ66" s="2358"/>
      <c r="EI66" s="2360"/>
      <c r="EJ66" s="2357"/>
      <c r="EK66" s="2357"/>
      <c r="EL66" s="2358"/>
      <c r="EM66" s="2357"/>
      <c r="EN66" s="2358"/>
      <c r="EO66" s="2357"/>
      <c r="EP66" s="2358"/>
      <c r="EQ66" s="2358"/>
      <c r="EU66" s="2401"/>
      <c r="EV66" s="2360"/>
      <c r="EW66" s="2357"/>
      <c r="EX66" s="2357"/>
      <c r="EZ66" s="2401"/>
      <c r="FB66" s="2401"/>
      <c r="FD66" s="2401"/>
      <c r="FE66" s="2401"/>
      <c r="FG66" s="2357"/>
      <c r="FH66" s="2358"/>
      <c r="FI66" s="2400"/>
      <c r="FJ66" s="2401"/>
      <c r="FK66" s="2357"/>
      <c r="FL66" s="2401"/>
      <c r="FV66" s="2360"/>
      <c r="FW66" s="2357"/>
      <c r="FX66" s="2357"/>
      <c r="FY66" s="2357"/>
      <c r="FZ66" s="2401"/>
      <c r="GA66" s="2357"/>
      <c r="GB66" s="2400"/>
      <c r="GC66" s="2357"/>
      <c r="GD66" s="2400"/>
    </row>
    <row r="67" spans="1:186" ht="12.95" customHeight="1">
      <c r="A67" s="2387"/>
      <c r="B67" s="2423"/>
      <c r="C67" s="2422"/>
      <c r="D67" s="2420" t="s">
        <v>4142</v>
      </c>
      <c r="E67" s="2421"/>
      <c r="F67" s="2420" t="s">
        <v>3970</v>
      </c>
      <c r="G67" s="2421"/>
      <c r="H67" s="2420" t="s">
        <v>4143</v>
      </c>
      <c r="I67" s="2419"/>
      <c r="J67" s="2357"/>
      <c r="K67" s="2400"/>
      <c r="Z67" s="2356" t="s">
        <v>2252</v>
      </c>
      <c r="AA67" s="2359">
        <f>SUM(AB67+AD67+AF67)</f>
        <v>896</v>
      </c>
      <c r="AB67" s="2359">
        <v>536</v>
      </c>
      <c r="AC67" s="2401">
        <f>AB67/AA67*100</f>
        <v>59.821428571428569</v>
      </c>
      <c r="AD67" s="2359">
        <v>322</v>
      </c>
      <c r="AE67" s="2401">
        <f>AD67/AA67*100</f>
        <v>35.9375</v>
      </c>
      <c r="AF67" s="2357">
        <v>38</v>
      </c>
      <c r="AG67" s="2401">
        <f>AF67/AA67*100</f>
        <v>4.2410714285714288</v>
      </c>
      <c r="BZ67" s="2356" t="s">
        <v>4045</v>
      </c>
      <c r="CA67" s="2357">
        <v>1809</v>
      </c>
      <c r="CB67" s="2435">
        <v>1378</v>
      </c>
      <c r="CC67" s="2369">
        <v>916</v>
      </c>
      <c r="CD67" s="2434">
        <f>CC67/CB67*100</f>
        <v>66.473149492017413</v>
      </c>
      <c r="CE67" s="2369">
        <v>377</v>
      </c>
      <c r="CF67" s="2434">
        <f>CE67/CB67*100</f>
        <v>27.358490566037734</v>
      </c>
      <c r="CG67" s="2369"/>
      <c r="CJ67" s="2356" t="s">
        <v>2195</v>
      </c>
      <c r="CK67" s="2370">
        <v>548</v>
      </c>
      <c r="CL67" s="2354">
        <v>0</v>
      </c>
      <c r="CM67" s="2359">
        <v>11</v>
      </c>
      <c r="CN67" s="2359">
        <v>144</v>
      </c>
      <c r="CO67" s="2401">
        <f>(CN67/CK67)*100</f>
        <v>26.277372262773724</v>
      </c>
      <c r="CP67" s="2359">
        <v>265</v>
      </c>
      <c r="CQ67" s="2401">
        <f>(CP67/CK67)*100</f>
        <v>48.357664233576642</v>
      </c>
      <c r="CR67" s="2359">
        <v>127</v>
      </c>
      <c r="CS67" s="2401">
        <f>CR67/CK67*100</f>
        <v>23.175182481751825</v>
      </c>
      <c r="CT67" s="2401">
        <v>1</v>
      </c>
      <c r="CU67" s="2401">
        <f>(CT67/CK67)*100</f>
        <v>0.18248175182481752</v>
      </c>
      <c r="CV67" s="2401"/>
      <c r="CW67" s="2401"/>
      <c r="DC67" s="2356" t="s">
        <v>2252</v>
      </c>
      <c r="DD67" s="2392">
        <v>5195</v>
      </c>
      <c r="DE67" s="2357">
        <v>234</v>
      </c>
      <c r="DF67" s="2358">
        <f>DE67/DD67*100</f>
        <v>4.504331087584216</v>
      </c>
      <c r="DG67" s="2357">
        <v>239</v>
      </c>
      <c r="DH67" s="2358">
        <f>DG67/DD67*100</f>
        <v>4.6005774783445617</v>
      </c>
      <c r="DI67" s="2357">
        <v>182</v>
      </c>
      <c r="DJ67" s="2358">
        <f>DI67/DD67*100</f>
        <v>3.5033686236766122</v>
      </c>
      <c r="DS67" s="2356"/>
      <c r="DT67" s="2359"/>
      <c r="DU67" s="2357"/>
      <c r="DV67" s="2358"/>
      <c r="DW67" s="2357"/>
      <c r="DX67" s="2358"/>
      <c r="DY67" s="2357"/>
      <c r="DZ67" s="2358"/>
      <c r="EI67" s="2356"/>
      <c r="EJ67" s="2357"/>
      <c r="EK67" s="2357"/>
      <c r="EL67" s="2358"/>
      <c r="EM67" s="2357"/>
      <c r="EN67" s="2358"/>
      <c r="EO67" s="2357"/>
      <c r="EP67" s="2358"/>
      <c r="EQ67" s="2358"/>
      <c r="EU67" s="2401"/>
      <c r="EV67" s="2356"/>
      <c r="EW67" s="2357"/>
      <c r="EX67" s="2357"/>
      <c r="EZ67" s="2401"/>
      <c r="FB67" s="2401"/>
      <c r="FD67" s="2401"/>
      <c r="FE67" s="2401"/>
      <c r="FG67" s="2357"/>
      <c r="FH67" s="2358"/>
      <c r="FI67" s="2400"/>
      <c r="FJ67" s="2401"/>
      <c r="FK67" s="2357"/>
      <c r="FL67" s="2401"/>
      <c r="FV67" s="2356"/>
      <c r="FW67" s="2357"/>
      <c r="FX67" s="2357"/>
      <c r="FY67" s="2357"/>
      <c r="FZ67" s="2401"/>
      <c r="GA67" s="2357"/>
      <c r="GB67" s="2400"/>
      <c r="GC67" s="2357"/>
      <c r="GD67" s="2400"/>
    </row>
    <row r="68" spans="1:186" ht="12.95" customHeight="1">
      <c r="A68" s="2356" t="s">
        <v>3990</v>
      </c>
      <c r="B68" s="2418" t="s">
        <v>3991</v>
      </c>
      <c r="C68" s="2417" t="s">
        <v>129</v>
      </c>
      <c r="D68" s="2415" t="s">
        <v>4144</v>
      </c>
      <c r="E68" s="2416"/>
      <c r="F68" s="2415" t="s">
        <v>4145</v>
      </c>
      <c r="G68" s="2416"/>
      <c r="H68" s="2415" t="s">
        <v>4146</v>
      </c>
      <c r="I68" s="2414"/>
      <c r="J68" s="2357"/>
      <c r="K68" s="2400"/>
      <c r="Z68" s="2356" t="s">
        <v>2195</v>
      </c>
      <c r="AA68" s="2359">
        <f>SUM(AB68+AD68+AF68)</f>
        <v>686</v>
      </c>
      <c r="AB68" s="2359">
        <v>419</v>
      </c>
      <c r="AC68" s="2401">
        <f>AB68/AA68*100</f>
        <v>61.078717201166178</v>
      </c>
      <c r="AD68" s="2359">
        <v>239</v>
      </c>
      <c r="AE68" s="2401">
        <f>AD68/AA68*100</f>
        <v>34.839650145772595</v>
      </c>
      <c r="AF68" s="2357">
        <v>28</v>
      </c>
      <c r="AG68" s="2401">
        <f>AF68/AA68*100</f>
        <v>4.0816326530612246</v>
      </c>
      <c r="BZ68" s="2356" t="s">
        <v>4048</v>
      </c>
      <c r="CA68" s="2357">
        <v>762</v>
      </c>
      <c r="CB68" s="2435">
        <v>573</v>
      </c>
      <c r="CC68" s="2369">
        <v>372</v>
      </c>
      <c r="CD68" s="2434">
        <f>CC68/CB68*100</f>
        <v>64.921465968586389</v>
      </c>
      <c r="CE68" s="2369">
        <v>137</v>
      </c>
      <c r="CF68" s="2434">
        <f>CE68/CB68*100</f>
        <v>23.909249563699824</v>
      </c>
      <c r="CG68" s="2369"/>
      <c r="CJ68" s="2356" t="s">
        <v>4042</v>
      </c>
      <c r="CK68" s="2370">
        <v>1463</v>
      </c>
      <c r="CL68" s="2354">
        <v>1</v>
      </c>
      <c r="CM68" s="2359">
        <v>73</v>
      </c>
      <c r="CN68" s="2359">
        <v>477</v>
      </c>
      <c r="CO68" s="2401">
        <f>(CN68/CK68)*100</f>
        <v>32.60423786739576</v>
      </c>
      <c r="CP68" s="2359">
        <v>667</v>
      </c>
      <c r="CQ68" s="2401">
        <f>(CP68/CK68)*100</f>
        <v>45.591250854408749</v>
      </c>
      <c r="CR68" s="2359">
        <v>242</v>
      </c>
      <c r="CS68" s="2401">
        <f>CR68/CK68*100</f>
        <v>16.541353383458645</v>
      </c>
      <c r="CT68" s="2401">
        <v>3</v>
      </c>
      <c r="CU68" s="2401">
        <f>(CT68/CK68)*100</f>
        <v>0.20505809979494191</v>
      </c>
      <c r="CV68" s="2401"/>
      <c r="CW68" s="2401"/>
      <c r="DC68" s="2356" t="s">
        <v>2195</v>
      </c>
      <c r="DD68" s="2392">
        <v>4852</v>
      </c>
      <c r="DE68" s="2357">
        <v>217</v>
      </c>
      <c r="DF68" s="2358">
        <f>DE68/DD68*100</f>
        <v>4.4723825226710634</v>
      </c>
      <c r="DG68" s="2357">
        <v>236</v>
      </c>
      <c r="DH68" s="2358">
        <f>DG68/DD68*100</f>
        <v>4.863973619126134</v>
      </c>
      <c r="DI68" s="2357">
        <v>177</v>
      </c>
      <c r="DJ68" s="2358">
        <f>DI68/DD68*100</f>
        <v>3.6479802143446003</v>
      </c>
      <c r="DS68" s="2356"/>
      <c r="DT68" s="2359"/>
      <c r="DU68" s="2357"/>
      <c r="DV68" s="2358"/>
      <c r="DW68" s="2357"/>
      <c r="DX68" s="2358"/>
      <c r="DY68" s="2357"/>
      <c r="DZ68" s="2358"/>
      <c r="EI68" s="2356"/>
      <c r="EJ68" s="2357"/>
      <c r="EK68" s="2357"/>
      <c r="EL68" s="2358"/>
      <c r="EM68" s="2357"/>
      <c r="EN68" s="2358"/>
      <c r="EO68" s="2357"/>
      <c r="EP68" s="2358"/>
      <c r="EQ68" s="2358"/>
      <c r="EU68" s="2401"/>
      <c r="EV68" s="2356"/>
      <c r="EW68" s="2357"/>
      <c r="EX68" s="2357"/>
      <c r="EZ68" s="2401"/>
      <c r="FB68" s="2401"/>
      <c r="FD68" s="2401"/>
      <c r="FE68" s="2401"/>
      <c r="FG68" s="2357"/>
      <c r="FH68" s="2358"/>
      <c r="FI68" s="2400"/>
      <c r="FJ68" s="2401"/>
      <c r="FK68" s="2357"/>
      <c r="FL68" s="2401"/>
      <c r="FV68" s="2356"/>
      <c r="FW68" s="2357"/>
      <c r="FX68" s="2357"/>
      <c r="FY68" s="2357"/>
      <c r="FZ68" s="2401"/>
      <c r="GA68" s="2357"/>
      <c r="GB68" s="2400"/>
      <c r="GC68" s="2357"/>
      <c r="GD68" s="2400"/>
    </row>
    <row r="69" spans="1:186" ht="12.95" customHeight="1">
      <c r="A69" s="2368" t="s">
        <v>4020</v>
      </c>
      <c r="B69" s="2374" t="s">
        <v>4021</v>
      </c>
      <c r="C69" s="2412" t="s">
        <v>3972</v>
      </c>
      <c r="D69" s="2413" t="s">
        <v>1665</v>
      </c>
      <c r="E69" s="2413" t="s">
        <v>1666</v>
      </c>
      <c r="F69" s="2413" t="s">
        <v>1665</v>
      </c>
      <c r="G69" s="2413" t="s">
        <v>1666</v>
      </c>
      <c r="H69" s="2413" t="s">
        <v>1665</v>
      </c>
      <c r="I69" s="2412" t="s">
        <v>1666</v>
      </c>
      <c r="J69" s="2357"/>
      <c r="K69" s="2400"/>
      <c r="Z69" s="2356" t="s">
        <v>4042</v>
      </c>
      <c r="AA69" s="2359">
        <f>SUM(AB69+AD69+AF69)</f>
        <v>1858</v>
      </c>
      <c r="AB69" s="2359">
        <v>1070</v>
      </c>
      <c r="AC69" s="2401">
        <f>AB69/AA69*100</f>
        <v>57.588805166846072</v>
      </c>
      <c r="AD69" s="2359">
        <v>684</v>
      </c>
      <c r="AE69" s="2401">
        <f>AD69/AA69*100</f>
        <v>36.813778256189451</v>
      </c>
      <c r="AF69" s="2357">
        <v>104</v>
      </c>
      <c r="AG69" s="2401">
        <f>AF69/AA69*100</f>
        <v>5.5974165769644779</v>
      </c>
      <c r="BZ69" s="2356" t="s">
        <v>2151</v>
      </c>
      <c r="CA69" s="2357">
        <v>1283</v>
      </c>
      <c r="CB69" s="2435">
        <v>928</v>
      </c>
      <c r="CC69" s="2369">
        <v>629</v>
      </c>
      <c r="CD69" s="2434">
        <f>CC69/CB69*100</f>
        <v>67.78017241379311</v>
      </c>
      <c r="CE69" s="2369">
        <v>226</v>
      </c>
      <c r="CF69" s="2434">
        <f>CE69/CB69*100</f>
        <v>24.353448275862068</v>
      </c>
      <c r="CG69" s="2369"/>
      <c r="CJ69" s="2356" t="s">
        <v>4045</v>
      </c>
      <c r="CK69" s="2370">
        <v>1177</v>
      </c>
      <c r="CL69" s="2354">
        <v>1</v>
      </c>
      <c r="CM69" s="2359">
        <v>27</v>
      </c>
      <c r="CN69" s="2359">
        <v>369</v>
      </c>
      <c r="CO69" s="2401">
        <f>(CN69/CK69)*100</f>
        <v>31.350892098555651</v>
      </c>
      <c r="CP69" s="2359">
        <v>558</v>
      </c>
      <c r="CQ69" s="2401">
        <f>(CP69/CK69)*100</f>
        <v>47.408666100254884</v>
      </c>
      <c r="CR69" s="2359">
        <v>222</v>
      </c>
      <c r="CS69" s="2401">
        <f>CR69/CK69*100</f>
        <v>18.861512319456246</v>
      </c>
      <c r="CT69" s="2401">
        <v>0</v>
      </c>
      <c r="CU69" s="2401">
        <f>(CT69/CK69)*100</f>
        <v>0</v>
      </c>
      <c r="CV69" s="2401"/>
      <c r="CW69" s="2401"/>
      <c r="CX69" s="2356"/>
      <c r="CY69" s="2356"/>
      <c r="CZ69" s="2356"/>
      <c r="DC69" s="2356" t="s">
        <v>4042</v>
      </c>
      <c r="DD69" s="2391">
        <v>12458</v>
      </c>
      <c r="DE69" s="2357">
        <v>663</v>
      </c>
      <c r="DF69" s="2358">
        <f>DE69/DD69*100</f>
        <v>5.32188152191363</v>
      </c>
      <c r="DG69" s="2357">
        <v>558</v>
      </c>
      <c r="DH69" s="2358">
        <f>DG69/DD69*100</f>
        <v>4.4790496066784398</v>
      </c>
      <c r="DI69" s="2357">
        <v>548</v>
      </c>
      <c r="DJ69" s="2358">
        <f>DI69/DD69*100</f>
        <v>4.3987799004655646</v>
      </c>
      <c r="DS69" s="2356"/>
      <c r="DT69" s="2359"/>
      <c r="DU69" s="2357"/>
      <c r="DV69" s="2358"/>
      <c r="DW69" s="2357"/>
      <c r="DX69" s="2358"/>
      <c r="DY69" s="2357"/>
      <c r="DZ69" s="2358"/>
      <c r="EI69" s="2356"/>
      <c r="EJ69" s="2357"/>
      <c r="EK69" s="2357"/>
      <c r="EL69" s="2358"/>
      <c r="EM69" s="2357"/>
      <c r="EN69" s="2358"/>
      <c r="EO69" s="2357"/>
      <c r="EP69" s="2358"/>
      <c r="EQ69" s="2358"/>
      <c r="EU69" s="2401"/>
      <c r="EV69" s="2356"/>
      <c r="EW69" s="2357"/>
      <c r="EX69" s="2357"/>
      <c r="EY69" s="2357"/>
      <c r="EZ69" s="2401"/>
      <c r="FA69" s="2357"/>
      <c r="FB69" s="2401"/>
      <c r="FC69" s="2357"/>
      <c r="FD69" s="2401"/>
      <c r="FE69" s="2401"/>
      <c r="FG69" s="2357"/>
      <c r="FH69" s="2358"/>
      <c r="FI69" s="2400"/>
      <c r="FJ69" s="2401"/>
      <c r="FK69" s="2357"/>
      <c r="FL69" s="2401"/>
      <c r="FV69" s="2356"/>
      <c r="FW69" s="2357"/>
      <c r="FX69" s="2357"/>
      <c r="FY69" s="2357"/>
      <c r="FZ69" s="2401"/>
      <c r="GA69" s="2357"/>
      <c r="GB69" s="2400"/>
      <c r="GC69" s="2357"/>
      <c r="GD69" s="2400"/>
    </row>
    <row r="70" spans="1:186" ht="12.95" customHeight="1">
      <c r="A70" s="2356" t="s">
        <v>3503</v>
      </c>
      <c r="B70" s="2369">
        <f>SUM(B71:B89)</f>
        <v>54878</v>
      </c>
      <c r="C70" s="2357">
        <f>SUM(C71:C89)</f>
        <v>29377</v>
      </c>
      <c r="D70" s="2357">
        <f>SUM(D71:D89)</f>
        <v>14610</v>
      </c>
      <c r="E70" s="2400">
        <f>D70/C70*100</f>
        <v>49.732784150866323</v>
      </c>
      <c r="F70" s="2357">
        <f>SUM(F71:F89)</f>
        <v>11058</v>
      </c>
      <c r="G70" s="2400">
        <f>F70/C70*100</f>
        <v>37.641692480511963</v>
      </c>
      <c r="H70" s="2357">
        <f>SUM(H71:H89)</f>
        <v>138</v>
      </c>
      <c r="I70" s="2400">
        <f>H70/C70*100</f>
        <v>0.46975525070633484</v>
      </c>
      <c r="J70" s="2357"/>
      <c r="K70" s="2400"/>
      <c r="Z70" s="2356" t="s">
        <v>4045</v>
      </c>
      <c r="AA70" s="2359">
        <f>SUM(AB70+AD70+AF70)</f>
        <v>1378</v>
      </c>
      <c r="AB70" s="2359">
        <v>819</v>
      </c>
      <c r="AC70" s="2401">
        <f>AB70/AA70*100</f>
        <v>59.433962264150942</v>
      </c>
      <c r="AD70" s="2359">
        <v>484</v>
      </c>
      <c r="AE70" s="2401">
        <f>AD70/AA70*100</f>
        <v>35.123367198838892</v>
      </c>
      <c r="AF70" s="2357">
        <v>75</v>
      </c>
      <c r="AG70" s="2401">
        <f>AF70/AA70*100</f>
        <v>5.4426705370101596</v>
      </c>
      <c r="BZ70" s="2356" t="s">
        <v>4052</v>
      </c>
      <c r="CA70" s="2357">
        <v>1945</v>
      </c>
      <c r="CB70" s="2435">
        <v>1454</v>
      </c>
      <c r="CC70" s="2369">
        <v>933</v>
      </c>
      <c r="CD70" s="2434">
        <f>CC70/CB70*100</f>
        <v>64.167812929848694</v>
      </c>
      <c r="CE70" s="2369">
        <v>393</v>
      </c>
      <c r="CF70" s="2434">
        <f>CE70/CB70*100</f>
        <v>27.028885832187072</v>
      </c>
      <c r="CG70" s="2369"/>
      <c r="CJ70" s="2356" t="s">
        <v>4048</v>
      </c>
      <c r="CK70" s="2370">
        <v>436</v>
      </c>
      <c r="CL70" s="864">
        <v>1</v>
      </c>
      <c r="CM70" s="2359">
        <v>24</v>
      </c>
      <c r="CN70" s="2359">
        <v>162</v>
      </c>
      <c r="CO70" s="2401">
        <f>(CN70/CK70)*100</f>
        <v>37.155963302752291</v>
      </c>
      <c r="CP70" s="2359">
        <v>210</v>
      </c>
      <c r="CQ70" s="2401">
        <f>(CP70/CK70)*100</f>
        <v>48.165137614678898</v>
      </c>
      <c r="CR70" s="2359">
        <v>39</v>
      </c>
      <c r="CS70" s="2401">
        <f>CR70/CK70*100</f>
        <v>8.9449541284403669</v>
      </c>
      <c r="CT70" s="864">
        <v>0</v>
      </c>
      <c r="CU70" s="2401">
        <f>(CT70/CK70)*100</f>
        <v>0</v>
      </c>
      <c r="CV70" s="2401"/>
      <c r="CW70" s="2401"/>
      <c r="CX70" s="2356"/>
      <c r="CY70" s="2427"/>
      <c r="CZ70" s="2361"/>
      <c r="DC70" s="2356" t="s">
        <v>4045</v>
      </c>
      <c r="DD70" s="2391">
        <v>11911</v>
      </c>
      <c r="DE70" s="2357">
        <v>585</v>
      </c>
      <c r="DF70" s="2358">
        <f>DE70/DD70*100</f>
        <v>4.9114264125598188</v>
      </c>
      <c r="DG70" s="2357">
        <v>562</v>
      </c>
      <c r="DH70" s="2358">
        <f>DG70/DD70*100</f>
        <v>4.7183275963395177</v>
      </c>
      <c r="DI70" s="2357">
        <v>508</v>
      </c>
      <c r="DJ70" s="2358">
        <f>DI70/DD70*100</f>
        <v>4.2649651582570733</v>
      </c>
      <c r="DS70" s="2356"/>
      <c r="DT70" s="2359"/>
      <c r="DU70" s="2357"/>
      <c r="DV70" s="2358"/>
      <c r="DW70" s="2357"/>
      <c r="DX70" s="2358"/>
      <c r="DY70" s="2357"/>
      <c r="DZ70" s="2358"/>
      <c r="EI70" s="2356"/>
      <c r="EJ70" s="2357"/>
      <c r="EK70" s="2357"/>
      <c r="EL70" s="2358"/>
      <c r="EM70" s="2357"/>
      <c r="EN70" s="2358"/>
      <c r="EO70" s="2357"/>
      <c r="EP70" s="2358"/>
      <c r="EQ70" s="2358"/>
      <c r="EU70" s="2401"/>
      <c r="EV70" s="2356"/>
      <c r="EW70" s="2357"/>
      <c r="EX70" s="2357"/>
      <c r="EY70" s="2357"/>
      <c r="EZ70" s="2401"/>
      <c r="FA70" s="2357"/>
      <c r="FB70" s="2401"/>
      <c r="FC70" s="2357"/>
      <c r="FD70" s="2401"/>
      <c r="FE70" s="2401"/>
      <c r="FG70" s="2357"/>
      <c r="FH70" s="2358"/>
      <c r="FI70" s="2400"/>
      <c r="FJ70" s="2401"/>
      <c r="FK70" s="2357"/>
      <c r="FL70" s="2401"/>
      <c r="FV70" s="2356"/>
      <c r="FW70" s="2357"/>
      <c r="FX70" s="2357"/>
      <c r="FY70" s="2369"/>
      <c r="FZ70" s="2401"/>
      <c r="GA70" s="2357"/>
      <c r="GB70" s="2400"/>
      <c r="GC70" s="2357"/>
      <c r="GD70" s="2400"/>
    </row>
    <row r="71" spans="1:186" ht="12.95" customHeight="1">
      <c r="A71" s="2360" t="s">
        <v>2250</v>
      </c>
      <c r="B71" s="2370">
        <v>439</v>
      </c>
      <c r="C71" s="2357">
        <v>265</v>
      </c>
      <c r="D71" s="2357">
        <v>130</v>
      </c>
      <c r="E71" s="2400">
        <f>D71/C71*100</f>
        <v>49.056603773584904</v>
      </c>
      <c r="F71" s="2357">
        <v>107</v>
      </c>
      <c r="G71" s="2400">
        <f>F71/C71*100</f>
        <v>40.377358490566039</v>
      </c>
      <c r="H71" s="2357">
        <v>2</v>
      </c>
      <c r="I71" s="2400">
        <f>H71/C71*100</f>
        <v>0.75471698113207553</v>
      </c>
      <c r="J71" s="2357"/>
      <c r="K71" s="2400"/>
      <c r="Z71" s="2356" t="s">
        <v>4048</v>
      </c>
      <c r="AA71" s="2359">
        <f>SUM(AB71+AD71+AF71)</f>
        <v>573</v>
      </c>
      <c r="AB71" s="2359">
        <v>356</v>
      </c>
      <c r="AC71" s="2401">
        <f>AB71/AA71*100</f>
        <v>62.129144851657934</v>
      </c>
      <c r="AD71" s="2359">
        <v>197</v>
      </c>
      <c r="AE71" s="2401">
        <f>AD71/AA71*100</f>
        <v>34.380453752181502</v>
      </c>
      <c r="AF71" s="2357">
        <v>20</v>
      </c>
      <c r="AG71" s="2401">
        <f>AF71/AA71*100</f>
        <v>3.4904013961605584</v>
      </c>
      <c r="BZ71" s="2356" t="s">
        <v>4056</v>
      </c>
      <c r="CA71" s="2357">
        <v>1771</v>
      </c>
      <c r="CB71" s="2435">
        <v>1331</v>
      </c>
      <c r="CC71" s="2369">
        <v>861</v>
      </c>
      <c r="CD71" s="2434">
        <f>CC71/CB71*100</f>
        <v>64.68820435762585</v>
      </c>
      <c r="CE71" s="2369">
        <v>395</v>
      </c>
      <c r="CF71" s="2434">
        <f>CE71/CB71*100</f>
        <v>29.676934635612323</v>
      </c>
      <c r="CG71" s="2369"/>
      <c r="CJ71" s="2356" t="s">
        <v>2151</v>
      </c>
      <c r="CK71" s="2370">
        <v>701</v>
      </c>
      <c r="CL71" s="2354">
        <v>0</v>
      </c>
      <c r="CM71" s="2359">
        <v>22</v>
      </c>
      <c r="CN71" s="2359">
        <v>238</v>
      </c>
      <c r="CO71" s="2401">
        <f>(CN71/CK71)*100</f>
        <v>33.951497860199716</v>
      </c>
      <c r="CP71" s="2359">
        <v>381</v>
      </c>
      <c r="CQ71" s="2401">
        <f>(CP71/CK71)*100</f>
        <v>54.350927246790306</v>
      </c>
      <c r="CR71" s="2359">
        <v>59</v>
      </c>
      <c r="CS71" s="2401">
        <f>CR71/CK71*100</f>
        <v>8.4165477888730376</v>
      </c>
      <c r="CT71" s="2401">
        <v>1</v>
      </c>
      <c r="CU71" s="2401">
        <f>(CT71/CK71)*100</f>
        <v>0.14265335235378032</v>
      </c>
      <c r="CV71" s="2401"/>
      <c r="CW71" s="2401"/>
      <c r="CX71" s="2356"/>
      <c r="CY71" s="2427"/>
      <c r="CZ71" s="2361"/>
      <c r="DC71" s="2356" t="s">
        <v>4048</v>
      </c>
      <c r="DD71" s="2391">
        <v>3126</v>
      </c>
      <c r="DE71" s="2357">
        <v>162</v>
      </c>
      <c r="DF71" s="2358">
        <f>DE71/DD71*100</f>
        <v>5.182341650671785</v>
      </c>
      <c r="DG71" s="2357">
        <v>147</v>
      </c>
      <c r="DH71" s="2358">
        <f>DG71/DD71*100</f>
        <v>4.702495201535509</v>
      </c>
      <c r="DI71" s="2357">
        <v>152</v>
      </c>
      <c r="DJ71" s="2358">
        <f>DI71/DD71*100</f>
        <v>4.8624440179142674</v>
      </c>
      <c r="DS71" s="2356"/>
      <c r="DT71" s="2359"/>
      <c r="DU71" s="2357"/>
      <c r="DV71" s="2358"/>
      <c r="DW71" s="2357"/>
      <c r="DX71" s="2358"/>
      <c r="DY71" s="2357"/>
      <c r="DZ71" s="2358"/>
      <c r="EI71" s="2356"/>
      <c r="EJ71" s="2357"/>
      <c r="EK71" s="2357"/>
      <c r="EL71" s="2358"/>
      <c r="EM71" s="2357"/>
      <c r="EN71" s="2358"/>
      <c r="EO71" s="2357"/>
      <c r="EP71" s="2358"/>
      <c r="EQ71" s="2358"/>
      <c r="EU71" s="2401"/>
      <c r="EV71" s="2356"/>
      <c r="EW71" s="2357"/>
      <c r="EX71" s="2357"/>
      <c r="EZ71" s="2401"/>
      <c r="FB71" s="2401"/>
      <c r="FD71" s="2401"/>
      <c r="FE71" s="2401"/>
      <c r="FG71" s="2357"/>
      <c r="FH71" s="2358"/>
      <c r="FI71" s="2400"/>
      <c r="FJ71" s="2401"/>
      <c r="FK71" s="2357"/>
      <c r="FL71" s="2401"/>
      <c r="FV71" s="2356"/>
      <c r="FW71" s="2357"/>
      <c r="FX71" s="2357"/>
      <c r="FY71" s="2369"/>
      <c r="FZ71" s="2401"/>
      <c r="GA71" s="2357"/>
      <c r="GB71" s="2400"/>
      <c r="GC71" s="2357"/>
      <c r="GD71" s="2400"/>
    </row>
    <row r="72" spans="1:186" ht="12.95" customHeight="1">
      <c r="A72" s="2356" t="s">
        <v>2252</v>
      </c>
      <c r="B72" s="2369">
        <v>1058</v>
      </c>
      <c r="C72" s="2357">
        <v>657</v>
      </c>
      <c r="D72" s="2357">
        <v>348</v>
      </c>
      <c r="E72" s="2400">
        <f>D72/C72*100</f>
        <v>52.968036529680361</v>
      </c>
      <c r="F72" s="2357">
        <v>233</v>
      </c>
      <c r="G72" s="2400">
        <f>F72/C72*100</f>
        <v>35.464231354642308</v>
      </c>
      <c r="H72" s="2357">
        <v>4</v>
      </c>
      <c r="I72" s="2400">
        <f>H72/C72*100</f>
        <v>0.60882800608828003</v>
      </c>
      <c r="J72" s="2357"/>
      <c r="K72" s="2400"/>
      <c r="Z72" s="2356" t="s">
        <v>2151</v>
      </c>
      <c r="AA72" s="2359">
        <f>SUM(AB72+AD72+AF72)</f>
        <v>928</v>
      </c>
      <c r="AB72" s="2359">
        <v>486</v>
      </c>
      <c r="AC72" s="2401">
        <f>AB72/AA72*100</f>
        <v>52.370689655172406</v>
      </c>
      <c r="AD72" s="2359">
        <v>418</v>
      </c>
      <c r="AE72" s="2401">
        <f>AD72/AA72*100</f>
        <v>45.043103448275865</v>
      </c>
      <c r="AF72" s="2357">
        <v>24</v>
      </c>
      <c r="AG72" s="2401">
        <f>AF72/AA72*100</f>
        <v>2.5862068965517242</v>
      </c>
      <c r="BZ72" s="2356" t="s">
        <v>2209</v>
      </c>
      <c r="CA72" s="2357">
        <v>2596</v>
      </c>
      <c r="CB72" s="2435">
        <v>1945</v>
      </c>
      <c r="CC72" s="2369">
        <v>1311</v>
      </c>
      <c r="CD72" s="2434">
        <f>CC72/CB72*100</f>
        <v>67.403598971722374</v>
      </c>
      <c r="CE72" s="2369">
        <v>518</v>
      </c>
      <c r="CF72" s="2434">
        <f>CE72/CB72*100</f>
        <v>26.632390745501283</v>
      </c>
      <c r="CG72" s="2369"/>
      <c r="CJ72" s="2356" t="s">
        <v>4052</v>
      </c>
      <c r="CK72" s="2370">
        <v>1156</v>
      </c>
      <c r="CL72" s="864">
        <v>1</v>
      </c>
      <c r="CM72" s="2359">
        <v>34</v>
      </c>
      <c r="CN72" s="2359">
        <v>390</v>
      </c>
      <c r="CO72" s="2401">
        <f>(CN72/CK72)*100</f>
        <v>33.737024221453289</v>
      </c>
      <c r="CP72" s="2359">
        <v>557</v>
      </c>
      <c r="CQ72" s="2401">
        <f>(CP72/CK72)*100</f>
        <v>48.183391003460208</v>
      </c>
      <c r="CR72" s="2359">
        <v>174</v>
      </c>
      <c r="CS72" s="2401">
        <f>CR72/CK72*100</f>
        <v>15.051903114186851</v>
      </c>
      <c r="CT72" s="2401">
        <v>0</v>
      </c>
      <c r="CU72" s="2401">
        <f>(CT72/CK72)*100</f>
        <v>0</v>
      </c>
      <c r="CV72" s="2401"/>
      <c r="CW72" s="2401"/>
      <c r="CX72" s="2399"/>
      <c r="CY72" s="2427"/>
      <c r="CZ72" s="2357"/>
      <c r="DC72" s="2356" t="s">
        <v>2151</v>
      </c>
      <c r="DD72" s="2391">
        <v>6182</v>
      </c>
      <c r="DE72" s="2357">
        <v>281</v>
      </c>
      <c r="DF72" s="2358">
        <f>DE72/DD72*100</f>
        <v>4.5454545454545459</v>
      </c>
      <c r="DG72" s="2357">
        <v>282</v>
      </c>
      <c r="DH72" s="2358">
        <f>DG72/DD72*100</f>
        <v>4.5616305402782267</v>
      </c>
      <c r="DI72" s="2357">
        <v>220</v>
      </c>
      <c r="DJ72" s="2358">
        <f>DI72/DD72*100</f>
        <v>3.5587188612099649</v>
      </c>
      <c r="DS72" s="2356"/>
      <c r="DT72" s="2359"/>
      <c r="DU72" s="2357"/>
      <c r="DV72" s="2358"/>
      <c r="DW72" s="2357"/>
      <c r="DX72" s="2358"/>
      <c r="DY72" s="2357"/>
      <c r="DZ72" s="2358"/>
      <c r="EI72" s="2356"/>
      <c r="EJ72" s="2357"/>
      <c r="EK72" s="2357"/>
      <c r="EL72" s="2358"/>
      <c r="EM72" s="2357"/>
      <c r="EN72" s="2358"/>
      <c r="EO72" s="2357"/>
      <c r="EP72" s="2358"/>
      <c r="EQ72" s="2358"/>
      <c r="EU72" s="2401"/>
      <c r="EV72" s="2356"/>
      <c r="EW72" s="2357"/>
      <c r="EX72" s="2357"/>
      <c r="EY72" s="2357"/>
      <c r="EZ72" s="2401"/>
      <c r="FA72" s="2357"/>
      <c r="FB72" s="2401"/>
      <c r="FC72" s="2357"/>
      <c r="FD72" s="2401"/>
      <c r="FE72" s="2401"/>
      <c r="FG72" s="2357"/>
      <c r="FH72" s="2358"/>
      <c r="FI72" s="2400"/>
      <c r="FJ72" s="2401"/>
      <c r="FK72" s="2357"/>
      <c r="FL72" s="2401"/>
      <c r="FV72" s="2356"/>
      <c r="FW72" s="2357"/>
      <c r="FX72" s="2357"/>
      <c r="FY72" s="2357"/>
      <c r="FZ72" s="2401"/>
      <c r="GA72" s="2357"/>
      <c r="GB72" s="2400"/>
      <c r="GC72" s="2357"/>
      <c r="GD72" s="2400"/>
    </row>
    <row r="73" spans="1:186" ht="12.95" customHeight="1">
      <c r="A73" s="2356" t="s">
        <v>2195</v>
      </c>
      <c r="B73" s="2369">
        <v>885</v>
      </c>
      <c r="C73" s="2357">
        <v>532</v>
      </c>
      <c r="D73" s="2357">
        <v>275</v>
      </c>
      <c r="E73" s="2400">
        <f>D73/C73*100</f>
        <v>51.691729323308266</v>
      </c>
      <c r="F73" s="2357">
        <v>199</v>
      </c>
      <c r="G73" s="2400">
        <f>F73/C73*100</f>
        <v>37.406015037593988</v>
      </c>
      <c r="H73" s="2357">
        <v>1</v>
      </c>
      <c r="I73" s="2400">
        <f>H73/C73*100</f>
        <v>0.18796992481203006</v>
      </c>
      <c r="J73" s="2357"/>
      <c r="K73" s="2400"/>
      <c r="Z73" s="2356" t="s">
        <v>4052</v>
      </c>
      <c r="AA73" s="2359">
        <f>SUM(AB73+AD73+AF73)</f>
        <v>1454</v>
      </c>
      <c r="AB73" s="2359">
        <v>825</v>
      </c>
      <c r="AC73" s="2401">
        <f>AB73/AA73*100</f>
        <v>56.740027510316374</v>
      </c>
      <c r="AD73" s="2359">
        <v>602</v>
      </c>
      <c r="AE73" s="2401">
        <f>AD73/AA73*100</f>
        <v>41.403026134800555</v>
      </c>
      <c r="AF73" s="2357">
        <v>27</v>
      </c>
      <c r="AG73" s="2401">
        <f>AF73/AA73*100</f>
        <v>1.8569463548830811</v>
      </c>
      <c r="BZ73" s="2356" t="s">
        <v>2352</v>
      </c>
      <c r="CA73" s="2357">
        <v>2427</v>
      </c>
      <c r="CB73" s="2435">
        <v>1876</v>
      </c>
      <c r="CC73" s="2369">
        <v>1275</v>
      </c>
      <c r="CD73" s="2434">
        <f>CC73/CB73*100</f>
        <v>67.96375266524521</v>
      </c>
      <c r="CE73" s="2369">
        <v>502</v>
      </c>
      <c r="CF73" s="2434">
        <f>CE73/CB73*100</f>
        <v>26.759061833688701</v>
      </c>
      <c r="CG73" s="2369"/>
      <c r="CJ73" s="2356" t="s">
        <v>4056</v>
      </c>
      <c r="CK73" s="2370">
        <v>1121</v>
      </c>
      <c r="CL73" s="2354">
        <v>3</v>
      </c>
      <c r="CM73" s="2359">
        <v>26</v>
      </c>
      <c r="CN73" s="2359">
        <v>417</v>
      </c>
      <c r="CO73" s="2401">
        <f>(CN73/CK73)*100</f>
        <v>37.198929527207852</v>
      </c>
      <c r="CP73" s="2359">
        <v>507</v>
      </c>
      <c r="CQ73" s="2401">
        <f>(CP73/CK73)*100</f>
        <v>45.227475468331846</v>
      </c>
      <c r="CR73" s="2359">
        <v>166</v>
      </c>
      <c r="CS73" s="2401">
        <f>CR73/CK73*100</f>
        <v>14.80820695807315</v>
      </c>
      <c r="CT73" s="2401">
        <v>2</v>
      </c>
      <c r="CU73" s="2401">
        <f>(CT73/CK73)*100</f>
        <v>0.17841213202497772</v>
      </c>
      <c r="CV73" s="2401"/>
      <c r="CW73" s="2401"/>
      <c r="CX73" s="2399"/>
      <c r="CY73" s="2427"/>
      <c r="CZ73" s="2357"/>
      <c r="DC73" s="2356" t="s">
        <v>4052</v>
      </c>
      <c r="DD73" s="2391">
        <v>8889</v>
      </c>
      <c r="DE73" s="2357">
        <v>367</v>
      </c>
      <c r="DF73" s="2358">
        <f>DE73/DD73*100</f>
        <v>4.1286983912701096</v>
      </c>
      <c r="DG73" s="2357">
        <v>367</v>
      </c>
      <c r="DH73" s="2358">
        <f>DG73/DD73*100</f>
        <v>4.1286983912701096</v>
      </c>
      <c r="DI73" s="2357">
        <v>345</v>
      </c>
      <c r="DJ73" s="2358">
        <f>DI73/DD73*100</f>
        <v>3.8812014849814376</v>
      </c>
      <c r="DS73" s="2356"/>
      <c r="DT73" s="2359"/>
      <c r="DU73" s="2357"/>
      <c r="DV73" s="2358"/>
      <c r="DW73" s="2357"/>
      <c r="DX73" s="2358"/>
      <c r="DY73" s="2357"/>
      <c r="DZ73" s="2358"/>
      <c r="EI73" s="2356"/>
      <c r="EJ73" s="2357"/>
      <c r="EK73" s="2357"/>
      <c r="EL73" s="2358"/>
      <c r="EM73" s="2357"/>
      <c r="EN73" s="2358"/>
      <c r="EO73" s="2357"/>
      <c r="EP73" s="2358"/>
      <c r="EQ73" s="2358"/>
      <c r="EU73" s="2401"/>
      <c r="EV73" s="2356"/>
      <c r="EW73" s="2357"/>
      <c r="EX73" s="2357"/>
      <c r="EY73" s="2357"/>
      <c r="EZ73" s="2401"/>
      <c r="FA73" s="2357"/>
      <c r="FB73" s="2401"/>
      <c r="FC73" s="2357"/>
      <c r="FD73" s="2401"/>
      <c r="FE73" s="2401"/>
      <c r="FG73" s="2357"/>
      <c r="FH73" s="2358"/>
      <c r="FI73" s="2400"/>
      <c r="FJ73" s="2401"/>
      <c r="FK73" s="2357"/>
      <c r="FL73" s="2401"/>
      <c r="FV73" s="2356"/>
      <c r="FW73" s="2357"/>
      <c r="FX73" s="2357"/>
      <c r="FY73" s="2357"/>
      <c r="FZ73" s="2401"/>
      <c r="GA73" s="2357"/>
      <c r="GB73" s="2400"/>
      <c r="GC73" s="2357"/>
      <c r="GD73" s="2400"/>
    </row>
    <row r="74" spans="1:186" ht="12.95" customHeight="1">
      <c r="A74" s="2356" t="s">
        <v>4042</v>
      </c>
      <c r="B74" s="2369">
        <v>2327</v>
      </c>
      <c r="C74" s="2357">
        <v>1335</v>
      </c>
      <c r="D74" s="2357">
        <v>630</v>
      </c>
      <c r="E74" s="2400">
        <f>D74/C74*100</f>
        <v>47.191011235955052</v>
      </c>
      <c r="F74" s="2357">
        <v>465</v>
      </c>
      <c r="G74" s="2400">
        <f>F74/C74*100</f>
        <v>34.831460674157306</v>
      </c>
      <c r="H74" s="2357">
        <v>6</v>
      </c>
      <c r="I74" s="2400">
        <f>H74/C74*100</f>
        <v>0.44943820224719105</v>
      </c>
      <c r="J74" s="2357"/>
      <c r="K74" s="2400"/>
      <c r="Z74" s="2356" t="s">
        <v>4056</v>
      </c>
      <c r="AA74" s="2359">
        <f>SUM(AB74+AD74+AF74)</f>
        <v>1331</v>
      </c>
      <c r="AB74" s="2359">
        <v>698</v>
      </c>
      <c r="AC74" s="2401">
        <f>AB74/AA74*100</f>
        <v>52.441773102930121</v>
      </c>
      <c r="AD74" s="2359">
        <v>591</v>
      </c>
      <c r="AE74" s="2401">
        <f>AD74/AA74*100</f>
        <v>44.402704733283244</v>
      </c>
      <c r="AF74" s="2357">
        <v>42</v>
      </c>
      <c r="AG74" s="2401">
        <f>AF74/AA74*100</f>
        <v>3.1555221637866269</v>
      </c>
      <c r="BZ74" s="2356" t="s">
        <v>2261</v>
      </c>
      <c r="CA74" s="2357">
        <v>1877</v>
      </c>
      <c r="CB74" s="2435">
        <v>1456</v>
      </c>
      <c r="CC74" s="2369">
        <v>957</v>
      </c>
      <c r="CD74" s="2434">
        <f>CC74/CB74*100</f>
        <v>65.728021978021971</v>
      </c>
      <c r="CE74" s="2369">
        <v>415</v>
      </c>
      <c r="CF74" s="2434">
        <f>CE74/CB74*100</f>
        <v>28.502747252747252</v>
      </c>
      <c r="CG74" s="2369"/>
      <c r="CJ74" s="2356" t="s">
        <v>2209</v>
      </c>
      <c r="CK74" s="2370">
        <v>1760</v>
      </c>
      <c r="CL74" s="2354">
        <v>0</v>
      </c>
      <c r="CM74" s="2359">
        <v>54</v>
      </c>
      <c r="CN74" s="2359">
        <v>586</v>
      </c>
      <c r="CO74" s="2401">
        <f>(CN74/CK74)*100</f>
        <v>33.295454545454547</v>
      </c>
      <c r="CP74" s="2359">
        <v>813</v>
      </c>
      <c r="CQ74" s="2401">
        <f>(CP74/CK74)*100</f>
        <v>46.193181818181813</v>
      </c>
      <c r="CR74" s="2359">
        <v>299</v>
      </c>
      <c r="CS74" s="2401">
        <f>CR74/CK74*100</f>
        <v>16.988636363636363</v>
      </c>
      <c r="CT74" s="2401">
        <v>7</v>
      </c>
      <c r="CU74" s="2401">
        <f>(CT74/CK74)*100</f>
        <v>0.39772727272727271</v>
      </c>
      <c r="CV74" s="2401"/>
      <c r="CW74" s="2401"/>
      <c r="CX74" s="2399"/>
      <c r="CY74" s="2427"/>
      <c r="CZ74" s="2357"/>
      <c r="DC74" s="2356" t="s">
        <v>4056</v>
      </c>
      <c r="DD74" s="2391">
        <v>9818</v>
      </c>
      <c r="DE74" s="2357">
        <v>394</v>
      </c>
      <c r="DF74" s="2358">
        <f>DE74/DD74*100</f>
        <v>4.0130372784681203</v>
      </c>
      <c r="DG74" s="2357">
        <v>399</v>
      </c>
      <c r="DH74" s="2358">
        <f>DG74/DD74*100</f>
        <v>4.0639641474842128</v>
      </c>
      <c r="DI74" s="2357">
        <v>353</v>
      </c>
      <c r="DJ74" s="2358">
        <f>DI74/DD74*100</f>
        <v>3.5954369525361582</v>
      </c>
      <c r="DS74" s="2356"/>
      <c r="DT74" s="2359"/>
      <c r="DU74" s="2357"/>
      <c r="DV74" s="2358"/>
      <c r="DW74" s="2357"/>
      <c r="DX74" s="2358"/>
      <c r="DY74" s="2357"/>
      <c r="DZ74" s="2358"/>
      <c r="EI74" s="2356"/>
      <c r="EJ74" s="2357"/>
      <c r="EK74" s="2357"/>
      <c r="EL74" s="2358"/>
      <c r="EM74" s="2357"/>
      <c r="EN74" s="2358"/>
      <c r="EO74" s="2357"/>
      <c r="EP74" s="2358"/>
      <c r="EQ74" s="2358"/>
      <c r="EU74" s="2401"/>
      <c r="EV74" s="2356"/>
      <c r="EW74" s="2357"/>
      <c r="EX74" s="2357"/>
      <c r="EY74" s="2357"/>
      <c r="EZ74" s="2401"/>
      <c r="FA74" s="2357"/>
      <c r="FB74" s="2401"/>
      <c r="FC74" s="2357"/>
      <c r="FD74" s="2401"/>
      <c r="FE74" s="2401"/>
      <c r="FG74" s="2357"/>
      <c r="FH74" s="2358"/>
      <c r="FI74" s="2400"/>
      <c r="FJ74" s="2401"/>
      <c r="FK74" s="2357"/>
      <c r="FL74" s="2401"/>
      <c r="FV74" s="2356"/>
      <c r="FW74" s="2357"/>
      <c r="FX74" s="2357"/>
      <c r="FY74" s="2357"/>
      <c r="FZ74" s="2401"/>
      <c r="GA74" s="2357"/>
      <c r="GB74" s="2400"/>
      <c r="GC74" s="2357"/>
      <c r="GD74" s="2400"/>
    </row>
    <row r="75" spans="1:186" ht="12.95" customHeight="1">
      <c r="A75" s="2356" t="s">
        <v>4045</v>
      </c>
      <c r="B75" s="2369">
        <v>1872</v>
      </c>
      <c r="C75" s="2357">
        <v>1114</v>
      </c>
      <c r="D75" s="2357">
        <v>587</v>
      </c>
      <c r="E75" s="2400">
        <f>D75/C75*100</f>
        <v>52.692998204667859</v>
      </c>
      <c r="F75" s="2357">
        <v>380</v>
      </c>
      <c r="G75" s="2400">
        <f>F75/C75*100</f>
        <v>34.111310592459603</v>
      </c>
      <c r="H75" s="2357">
        <v>6</v>
      </c>
      <c r="I75" s="2400">
        <f>H75/C75*100</f>
        <v>0.53859964093357271</v>
      </c>
      <c r="J75" s="2357"/>
      <c r="K75" s="2400"/>
      <c r="Z75" s="2356" t="s">
        <v>2209</v>
      </c>
      <c r="AA75" s="2359">
        <f>SUM(AB75+AD75+AF75)</f>
        <v>1945</v>
      </c>
      <c r="AB75" s="2359">
        <v>1189</v>
      </c>
      <c r="AC75" s="2401">
        <f>AB75/AA75*100</f>
        <v>61.131105398457585</v>
      </c>
      <c r="AD75" s="2359">
        <v>684</v>
      </c>
      <c r="AE75" s="2401">
        <f>AD75/AA75*100</f>
        <v>35.167095115681235</v>
      </c>
      <c r="AF75" s="2357">
        <v>72</v>
      </c>
      <c r="AG75" s="2401">
        <f>AF75/AA75*100</f>
        <v>3.7017994858611827</v>
      </c>
      <c r="BZ75" s="2356" t="s">
        <v>2251</v>
      </c>
      <c r="CA75" s="2357">
        <v>1779</v>
      </c>
      <c r="CB75" s="2435">
        <v>1391</v>
      </c>
      <c r="CC75" s="2369">
        <v>946</v>
      </c>
      <c r="CD75" s="2434">
        <f>CC75/CB75*100</f>
        <v>68.008626887131555</v>
      </c>
      <c r="CE75" s="2369">
        <v>391</v>
      </c>
      <c r="CF75" s="2434">
        <f>CE75/CB75*100</f>
        <v>28.109273903666427</v>
      </c>
      <c r="CG75" s="2369"/>
      <c r="CJ75" s="2356" t="s">
        <v>2352</v>
      </c>
      <c r="CK75" s="2370">
        <v>1674</v>
      </c>
      <c r="CL75" s="2354">
        <v>2</v>
      </c>
      <c r="CM75" s="2359">
        <v>40</v>
      </c>
      <c r="CN75" s="2359">
        <v>478</v>
      </c>
      <c r="CO75" s="2401">
        <f>(CN75/CK75)*100</f>
        <v>28.55436081242533</v>
      </c>
      <c r="CP75" s="2359">
        <v>801</v>
      </c>
      <c r="CQ75" s="2401">
        <f>(CP75/CK75)*100</f>
        <v>47.8494623655914</v>
      </c>
      <c r="CR75" s="2359">
        <v>351</v>
      </c>
      <c r="CS75" s="2401">
        <f>CR75/CK75*100</f>
        <v>20.967741935483872</v>
      </c>
      <c r="CT75" s="2401">
        <v>2</v>
      </c>
      <c r="CU75" s="2401">
        <f>(CT75/CK75)*100</f>
        <v>0.11947431302270012</v>
      </c>
      <c r="CV75" s="2401"/>
      <c r="CW75" s="2401"/>
      <c r="CX75" s="2399"/>
      <c r="CY75" s="2427"/>
      <c r="CZ75" s="2357"/>
      <c r="DC75" s="2356" t="s">
        <v>2209</v>
      </c>
      <c r="DD75" s="2391">
        <v>17727</v>
      </c>
      <c r="DE75" s="2357">
        <v>751</v>
      </c>
      <c r="DF75" s="2358">
        <f>DE75/DD75*100</f>
        <v>4.2364754329553787</v>
      </c>
      <c r="DG75" s="2357">
        <v>785</v>
      </c>
      <c r="DH75" s="2358">
        <f>DG75/DD75*100</f>
        <v>4.4282732554859816</v>
      </c>
      <c r="DI75" s="2357">
        <v>654</v>
      </c>
      <c r="DJ75" s="2358">
        <f>DI75/DD75*100</f>
        <v>3.6892875275004231</v>
      </c>
      <c r="DS75" s="2356"/>
      <c r="DT75" s="2359"/>
      <c r="DU75" s="2357"/>
      <c r="DV75" s="2358"/>
      <c r="DW75" s="2357"/>
      <c r="DX75" s="2358"/>
      <c r="DY75" s="2357"/>
      <c r="DZ75" s="2358"/>
      <c r="EI75" s="2356"/>
      <c r="EJ75" s="2357"/>
      <c r="EK75" s="2357"/>
      <c r="EL75" s="2358"/>
      <c r="EM75" s="2357"/>
      <c r="EN75" s="2358"/>
      <c r="EO75" s="2357"/>
      <c r="EP75" s="2358"/>
      <c r="EQ75" s="2358"/>
      <c r="EU75" s="2401"/>
      <c r="EV75" s="2356"/>
      <c r="EW75" s="2357"/>
      <c r="EX75" s="2357"/>
      <c r="EY75" s="2357"/>
      <c r="EZ75" s="2401"/>
      <c r="FA75" s="2357"/>
      <c r="FB75" s="2401"/>
      <c r="FC75" s="2357"/>
      <c r="FD75" s="2401"/>
      <c r="FE75" s="2401"/>
      <c r="FG75" s="2357"/>
      <c r="FH75" s="2358"/>
      <c r="FI75" s="2400"/>
      <c r="FJ75" s="2401"/>
      <c r="FK75" s="2357"/>
      <c r="FL75" s="2401"/>
      <c r="FV75" s="2356"/>
      <c r="FW75" s="2357"/>
      <c r="FX75" s="2357"/>
      <c r="FY75" s="2357"/>
      <c r="FZ75" s="2401"/>
      <c r="GA75" s="2357"/>
      <c r="GB75" s="2400"/>
      <c r="GC75" s="2357"/>
      <c r="GD75" s="2400"/>
    </row>
    <row r="76" spans="1:186" ht="12.95" customHeight="1">
      <c r="A76" s="2356" t="s">
        <v>4048</v>
      </c>
      <c r="B76" s="2369">
        <v>684</v>
      </c>
      <c r="C76" s="2357">
        <v>456</v>
      </c>
      <c r="D76" s="2357">
        <v>207</v>
      </c>
      <c r="E76" s="2400">
        <f>D76/C76*100</f>
        <v>45.394736842105267</v>
      </c>
      <c r="F76" s="2357">
        <v>160</v>
      </c>
      <c r="G76" s="2400">
        <f>F76/C76*100</f>
        <v>35.087719298245609</v>
      </c>
      <c r="H76" s="2357">
        <v>5</v>
      </c>
      <c r="I76" s="2400">
        <f>H76/C76*100</f>
        <v>1.0964912280701753</v>
      </c>
      <c r="J76" s="2357"/>
      <c r="K76" s="2400"/>
      <c r="Z76" s="2356" t="s">
        <v>2352</v>
      </c>
      <c r="AA76" s="2359">
        <f>SUM(AB76+AD76+AF76)</f>
        <v>1876</v>
      </c>
      <c r="AB76" s="2359">
        <v>1190</v>
      </c>
      <c r="AC76" s="2401">
        <f>AB76/AA76*100</f>
        <v>63.432835820895527</v>
      </c>
      <c r="AD76" s="2359">
        <v>607</v>
      </c>
      <c r="AE76" s="2401">
        <f>AD76/AA76*100</f>
        <v>32.356076759061835</v>
      </c>
      <c r="AF76" s="2357">
        <v>79</v>
      </c>
      <c r="AG76" s="2401">
        <f>AF76/AA76*100</f>
        <v>4.2110874200426442</v>
      </c>
      <c r="BZ76" s="2356" t="s">
        <v>2260</v>
      </c>
      <c r="CA76" s="2357">
        <v>2044</v>
      </c>
      <c r="CB76" s="2435">
        <v>1516</v>
      </c>
      <c r="CC76" s="2369">
        <v>949</v>
      </c>
      <c r="CD76" s="2434">
        <f>CC76/CB76*100</f>
        <v>62.598944591029024</v>
      </c>
      <c r="CE76" s="2369">
        <v>491</v>
      </c>
      <c r="CF76" s="2434">
        <f>CE76/CB76*100</f>
        <v>32.387862796833772</v>
      </c>
      <c r="CG76" s="2369"/>
      <c r="CJ76" s="2356" t="s">
        <v>2261</v>
      </c>
      <c r="CK76" s="2370">
        <v>1204</v>
      </c>
      <c r="CL76" s="2354">
        <v>0</v>
      </c>
      <c r="CM76" s="2359">
        <v>28</v>
      </c>
      <c r="CN76" s="2359">
        <v>376</v>
      </c>
      <c r="CO76" s="2401">
        <f>(CN76/CK76)*100</f>
        <v>31.229235880398669</v>
      </c>
      <c r="CP76" s="2359">
        <v>540</v>
      </c>
      <c r="CQ76" s="2401">
        <f>(CP76/CK76)*100</f>
        <v>44.85049833887043</v>
      </c>
      <c r="CR76" s="2359">
        <v>256</v>
      </c>
      <c r="CS76" s="2401">
        <f>CR76/CK76*100</f>
        <v>21.262458471760798</v>
      </c>
      <c r="CT76" s="2401">
        <v>4</v>
      </c>
      <c r="CU76" s="2401">
        <f>(CT76/CK76)*100</f>
        <v>0.33222591362126247</v>
      </c>
      <c r="CV76" s="2401"/>
      <c r="CW76" s="2401"/>
      <c r="CX76" s="2399"/>
      <c r="CY76" s="2427"/>
      <c r="CZ76" s="2357"/>
      <c r="DC76" s="2356" t="s">
        <v>2352</v>
      </c>
      <c r="DD76" s="2391">
        <v>17874</v>
      </c>
      <c r="DE76" s="2357">
        <v>788</v>
      </c>
      <c r="DF76" s="2358">
        <f>DE76/DD76*100</f>
        <v>4.4086382454962516</v>
      </c>
      <c r="DG76" s="2357">
        <v>820</v>
      </c>
      <c r="DH76" s="2358">
        <f>DG76/DD76*100</f>
        <v>4.5876692402372159</v>
      </c>
      <c r="DI76" s="2357">
        <v>733</v>
      </c>
      <c r="DJ76" s="2358">
        <f>DI76/DD76*100</f>
        <v>4.100928723285219</v>
      </c>
      <c r="DS76" s="2356"/>
      <c r="DT76" s="2359"/>
      <c r="DU76" s="2357"/>
      <c r="DV76" s="2358"/>
      <c r="DW76" s="2357"/>
      <c r="DX76" s="2358"/>
      <c r="DY76" s="2357"/>
      <c r="DZ76" s="2358"/>
      <c r="EI76" s="2356"/>
      <c r="EJ76" s="2357"/>
      <c r="EK76" s="2357"/>
      <c r="EL76" s="2358"/>
      <c r="EM76" s="2357"/>
      <c r="EN76" s="2358"/>
      <c r="EO76" s="2357"/>
      <c r="EP76" s="2358"/>
      <c r="EQ76" s="2358"/>
      <c r="EU76" s="2401"/>
      <c r="EV76" s="2356"/>
      <c r="EW76" s="2357"/>
      <c r="EX76" s="2357"/>
      <c r="EY76" s="2357"/>
      <c r="EZ76" s="2401"/>
      <c r="FA76" s="2357"/>
      <c r="FB76" s="2401"/>
      <c r="FC76" s="2357"/>
      <c r="FD76" s="2401"/>
      <c r="FE76" s="2401"/>
      <c r="FG76" s="2357"/>
      <c r="FH76" s="2358"/>
      <c r="FI76" s="2400"/>
      <c r="FJ76" s="2401"/>
      <c r="FK76" s="2357"/>
      <c r="FL76" s="2401"/>
      <c r="FV76" s="2356"/>
      <c r="FW76" s="2357"/>
      <c r="FX76" s="2357"/>
      <c r="FY76" s="2357"/>
      <c r="FZ76" s="2401"/>
      <c r="GA76" s="2357"/>
      <c r="GB76" s="2400"/>
      <c r="GC76" s="2357"/>
      <c r="GD76" s="2400"/>
    </row>
    <row r="77" spans="1:186" ht="12.95" customHeight="1">
      <c r="A77" s="2356" t="s">
        <v>2151</v>
      </c>
      <c r="B77" s="2369">
        <v>1288</v>
      </c>
      <c r="C77" s="2357">
        <v>839</v>
      </c>
      <c r="D77" s="2357">
        <v>401</v>
      </c>
      <c r="E77" s="2400">
        <f>D77/C77*100</f>
        <v>47.794994040524436</v>
      </c>
      <c r="F77" s="2357">
        <v>261</v>
      </c>
      <c r="G77" s="2400">
        <f>F77/C77*100</f>
        <v>31.108462455303933</v>
      </c>
      <c r="H77" s="2357">
        <v>9</v>
      </c>
      <c r="I77" s="2400">
        <f>H77/C77*100</f>
        <v>1.0727056019070322</v>
      </c>
      <c r="J77" s="2357"/>
      <c r="K77" s="2400"/>
      <c r="Z77" s="2356" t="s">
        <v>2261</v>
      </c>
      <c r="AA77" s="2359">
        <f>SUM(AB77+AD77+AF77)</f>
        <v>1456</v>
      </c>
      <c r="AB77" s="2359">
        <v>914</v>
      </c>
      <c r="AC77" s="2401">
        <f>AB77/AA77*100</f>
        <v>62.77472527472527</v>
      </c>
      <c r="AD77" s="2359">
        <v>461</v>
      </c>
      <c r="AE77" s="2401">
        <f>AD77/AA77*100</f>
        <v>31.662087912087912</v>
      </c>
      <c r="AF77" s="2357">
        <v>81</v>
      </c>
      <c r="AG77" s="2401">
        <f>AF77/AA77*100</f>
        <v>5.563186813186813</v>
      </c>
      <c r="BZ77" s="2356" t="s">
        <v>2253</v>
      </c>
      <c r="CA77" s="2357">
        <v>3432</v>
      </c>
      <c r="CB77" s="2435">
        <v>2562</v>
      </c>
      <c r="CC77" s="2369">
        <v>1632</v>
      </c>
      <c r="CD77" s="2434">
        <f>CC77/CB77*100</f>
        <v>63.700234192037477</v>
      </c>
      <c r="CE77" s="2369">
        <v>789</v>
      </c>
      <c r="CF77" s="2434">
        <f>CE77/CB77*100</f>
        <v>30.79625292740047</v>
      </c>
      <c r="CG77" s="2369"/>
      <c r="CJ77" s="2356" t="s">
        <v>2251</v>
      </c>
      <c r="CK77" s="2370">
        <v>1087</v>
      </c>
      <c r="CL77" s="2354">
        <v>1</v>
      </c>
      <c r="CM77" s="2359">
        <v>24</v>
      </c>
      <c r="CN77" s="2359">
        <v>290</v>
      </c>
      <c r="CO77" s="2401">
        <f>(CN77/CK77)*100</f>
        <v>26.678932842686294</v>
      </c>
      <c r="CP77" s="2359">
        <v>524</v>
      </c>
      <c r="CQ77" s="2401">
        <f>(CP77/CK77)*100</f>
        <v>48.206071757129713</v>
      </c>
      <c r="CR77" s="2359">
        <v>247</v>
      </c>
      <c r="CS77" s="2401">
        <f>CR77/CK77*100</f>
        <v>22.723091076356948</v>
      </c>
      <c r="CT77" s="2401">
        <v>1</v>
      </c>
      <c r="CU77" s="2401">
        <f>(CT77/CK77)*100</f>
        <v>9.1996320147194111E-2</v>
      </c>
      <c r="CV77" s="2401"/>
      <c r="CW77" s="2401"/>
      <c r="CX77" s="2399"/>
      <c r="CY77" s="2427"/>
      <c r="CZ77" s="2357"/>
      <c r="DC77" s="2356" t="s">
        <v>2261</v>
      </c>
      <c r="DD77" s="2391">
        <v>10189</v>
      </c>
      <c r="DE77" s="2357">
        <v>454</v>
      </c>
      <c r="DF77" s="2358">
        <f>DE77/DD77*100</f>
        <v>4.4557856511924632</v>
      </c>
      <c r="DG77" s="2357">
        <v>485</v>
      </c>
      <c r="DH77" s="2358">
        <f>DG77/DD77*100</f>
        <v>4.7600353322210225</v>
      </c>
      <c r="DI77" s="2357">
        <v>371</v>
      </c>
      <c r="DJ77" s="2358">
        <f>DI77/DD77*100</f>
        <v>3.6411816665030918</v>
      </c>
      <c r="DS77" s="2356"/>
      <c r="DT77" s="2359"/>
      <c r="DU77" s="2357"/>
      <c r="DV77" s="2358"/>
      <c r="DW77" s="2357"/>
      <c r="DX77" s="2358"/>
      <c r="DY77" s="2357"/>
      <c r="DZ77" s="2358"/>
      <c r="EI77" s="2356"/>
      <c r="EJ77" s="2357"/>
      <c r="EK77" s="2357"/>
      <c r="EL77" s="2358"/>
      <c r="EM77" s="2357"/>
      <c r="EN77" s="2358"/>
      <c r="EO77" s="2357"/>
      <c r="EP77" s="2358"/>
      <c r="EQ77" s="2358"/>
      <c r="EU77" s="2401"/>
      <c r="EV77" s="2356"/>
      <c r="EW77" s="2357"/>
      <c r="EX77" s="2357"/>
      <c r="EY77" s="2357"/>
      <c r="EZ77" s="2401"/>
      <c r="FA77" s="2357"/>
      <c r="FB77" s="2401"/>
      <c r="FC77" s="2357"/>
      <c r="FD77" s="2401"/>
      <c r="FE77" s="2401"/>
      <c r="FG77" s="2357"/>
      <c r="FH77" s="2358"/>
      <c r="FI77" s="2400"/>
      <c r="FJ77" s="2401"/>
      <c r="FK77" s="2357"/>
      <c r="FL77" s="2401"/>
      <c r="FV77" s="2356"/>
      <c r="FW77" s="2357"/>
      <c r="FX77" s="2357"/>
      <c r="FY77" s="2357"/>
      <c r="FZ77" s="2401"/>
      <c r="GA77" s="2357"/>
      <c r="GB77" s="2400"/>
      <c r="GC77" s="2357"/>
      <c r="GD77" s="2400"/>
    </row>
    <row r="78" spans="1:186" ht="12.95" customHeight="1">
      <c r="A78" s="2356" t="s">
        <v>4052</v>
      </c>
      <c r="B78" s="2369">
        <v>1945</v>
      </c>
      <c r="C78" s="2357">
        <v>1386</v>
      </c>
      <c r="D78" s="2357">
        <v>704</v>
      </c>
      <c r="E78" s="2400">
        <f>D78/C78*100</f>
        <v>50.793650793650791</v>
      </c>
      <c r="F78" s="2357">
        <v>415</v>
      </c>
      <c r="G78" s="2400">
        <f>F78/C78*100</f>
        <v>29.942279942279942</v>
      </c>
      <c r="H78" s="2357">
        <v>6</v>
      </c>
      <c r="I78" s="2400">
        <f>H78/C78*100</f>
        <v>0.4329004329004329</v>
      </c>
      <c r="J78" s="2357"/>
      <c r="K78" s="2400"/>
      <c r="Z78" s="2356" t="s">
        <v>2251</v>
      </c>
      <c r="AA78" s="2359">
        <f>SUM(AB78+AD78+AF78)</f>
        <v>1391</v>
      </c>
      <c r="AB78" s="2359">
        <v>749</v>
      </c>
      <c r="AC78" s="2401">
        <f>AB78/AA78*100</f>
        <v>53.846153846153847</v>
      </c>
      <c r="AD78" s="2359">
        <v>587</v>
      </c>
      <c r="AE78" s="2401">
        <f>AD78/AA78*100</f>
        <v>42.199856218547808</v>
      </c>
      <c r="AF78" s="2357">
        <v>55</v>
      </c>
      <c r="AG78" s="2401">
        <f>AF78/AA78*100</f>
        <v>3.9539899352983463</v>
      </c>
      <c r="BZ78" s="2356" t="s">
        <v>2185</v>
      </c>
      <c r="CA78" s="2357">
        <v>3929</v>
      </c>
      <c r="CB78" s="2435">
        <v>2737</v>
      </c>
      <c r="CC78" s="2369">
        <v>1799</v>
      </c>
      <c r="CD78" s="2434">
        <f>CC78/CB78*100</f>
        <v>65.728900255754468</v>
      </c>
      <c r="CE78" s="2369">
        <v>761</v>
      </c>
      <c r="CF78" s="2434">
        <f>CE78/CB78*100</f>
        <v>27.804165144318599</v>
      </c>
      <c r="CG78" s="2369"/>
      <c r="CJ78" s="2356" t="s">
        <v>2260</v>
      </c>
      <c r="CK78" s="2370">
        <v>1279</v>
      </c>
      <c r="CL78" s="2354">
        <v>0</v>
      </c>
      <c r="CM78" s="2359">
        <v>26</v>
      </c>
      <c r="CN78" s="2359">
        <v>354</v>
      </c>
      <c r="CO78" s="2401">
        <f>(CN78/CK78)*100</f>
        <v>27.677873338545737</v>
      </c>
      <c r="CP78" s="2359">
        <v>604</v>
      </c>
      <c r="CQ78" s="2401">
        <f>(CP78/CK78)*100</f>
        <v>47.224394057857701</v>
      </c>
      <c r="CR78" s="2359">
        <v>295</v>
      </c>
      <c r="CS78" s="2401">
        <f>CR78/CK78*100</f>
        <v>23.064894448788113</v>
      </c>
      <c r="CT78" s="2401">
        <v>0</v>
      </c>
      <c r="CU78" s="2401">
        <f>(CT78/CK78)*100</f>
        <v>0</v>
      </c>
      <c r="CV78" s="2401"/>
      <c r="CW78" s="2401"/>
      <c r="CX78" s="2399"/>
      <c r="CY78" s="2427"/>
      <c r="CZ78" s="2357"/>
      <c r="DC78" s="2356" t="s">
        <v>2251</v>
      </c>
      <c r="DD78" s="2391">
        <v>10709</v>
      </c>
      <c r="DE78" s="2357">
        <v>447</v>
      </c>
      <c r="DF78" s="2358">
        <f>DE78/DD78*100</f>
        <v>4.1740592025399197</v>
      </c>
      <c r="DG78" s="2357">
        <v>496</v>
      </c>
      <c r="DH78" s="2358">
        <f>DG78/DD78*100</f>
        <v>4.6316182650107391</v>
      </c>
      <c r="DI78" s="2357">
        <v>417</v>
      </c>
      <c r="DJ78" s="2358">
        <f>DI78/DD78*100</f>
        <v>3.8939210010271736</v>
      </c>
      <c r="DS78" s="2356"/>
      <c r="DT78" s="2359"/>
      <c r="DU78" s="2357"/>
      <c r="DV78" s="2358"/>
      <c r="DW78" s="2357"/>
      <c r="DX78" s="2358"/>
      <c r="DY78" s="2357"/>
      <c r="DZ78" s="2358"/>
      <c r="EI78" s="2356"/>
      <c r="EJ78" s="2357"/>
      <c r="EK78" s="2357"/>
      <c r="EL78" s="2358"/>
      <c r="EM78" s="2357"/>
      <c r="EN78" s="2358"/>
      <c r="EO78" s="2357"/>
      <c r="EP78" s="2358"/>
      <c r="EQ78" s="2358"/>
      <c r="EU78" s="2401"/>
      <c r="EV78" s="2356"/>
      <c r="EW78" s="2357"/>
      <c r="EX78" s="2357"/>
      <c r="EY78" s="2357"/>
      <c r="EZ78" s="2401"/>
      <c r="FA78" s="2357"/>
      <c r="FB78" s="2401"/>
      <c r="FC78" s="2357"/>
      <c r="FD78" s="2401"/>
      <c r="FE78" s="2401"/>
      <c r="FG78" s="2357"/>
      <c r="FH78" s="2358"/>
      <c r="FI78" s="2400"/>
      <c r="FJ78" s="2401"/>
      <c r="FK78" s="2436"/>
      <c r="FL78" s="2401"/>
      <c r="FV78" s="2356"/>
      <c r="FW78" s="2357"/>
      <c r="FX78" s="2357"/>
      <c r="FY78" s="2356"/>
      <c r="FZ78" s="2401"/>
      <c r="GA78" s="2356"/>
      <c r="GB78" s="2400"/>
      <c r="GC78" s="2356"/>
      <c r="GD78" s="2400"/>
    </row>
    <row r="79" spans="1:186" ht="12.95" customHeight="1">
      <c r="A79" s="2356" t="s">
        <v>4055</v>
      </c>
      <c r="B79" s="2369">
        <v>1713</v>
      </c>
      <c r="C79" s="2357">
        <v>1077</v>
      </c>
      <c r="D79" s="2357">
        <v>547</v>
      </c>
      <c r="E79" s="2400">
        <f>D79/C79*100</f>
        <v>50.789229340761381</v>
      </c>
      <c r="F79" s="2357">
        <v>377</v>
      </c>
      <c r="G79" s="2400">
        <f>F79/C79*100</f>
        <v>35.004642525533889</v>
      </c>
      <c r="H79" s="2357">
        <v>7</v>
      </c>
      <c r="I79" s="2400">
        <f>H79/C79*100</f>
        <v>0.64995357474466109</v>
      </c>
      <c r="J79" s="2357"/>
      <c r="K79" s="2400"/>
      <c r="Z79" s="2356" t="s">
        <v>2260</v>
      </c>
      <c r="AA79" s="2359">
        <f>SUM(AB79+AD79+AF79)</f>
        <v>1516</v>
      </c>
      <c r="AB79" s="2359">
        <v>1036</v>
      </c>
      <c r="AC79" s="2401">
        <f>AB79/AA79*100</f>
        <v>68.337730870712392</v>
      </c>
      <c r="AD79" s="2359">
        <v>408</v>
      </c>
      <c r="AE79" s="2401">
        <f>AD79/AA79*100</f>
        <v>26.912928759894463</v>
      </c>
      <c r="AF79" s="2357">
        <v>72</v>
      </c>
      <c r="AG79" s="2401">
        <f>AF79/AA79*100</f>
        <v>4.7493403693931393</v>
      </c>
      <c r="BZ79" s="2356" t="s">
        <v>2202</v>
      </c>
      <c r="CA79" s="2357">
        <v>4326</v>
      </c>
      <c r="CB79" s="2435">
        <v>2963</v>
      </c>
      <c r="CC79" s="2369">
        <v>1657</v>
      </c>
      <c r="CD79" s="2434">
        <f>CC79/CB79*100</f>
        <v>55.923050961862977</v>
      </c>
      <c r="CE79" s="2369">
        <v>1102</v>
      </c>
      <c r="CF79" s="2434">
        <f>CE79/CB79*100</f>
        <v>37.192035099561252</v>
      </c>
      <c r="CG79" s="2369"/>
      <c r="CJ79" s="2356" t="s">
        <v>2253</v>
      </c>
      <c r="CK79" s="2370">
        <v>2078</v>
      </c>
      <c r="CL79" s="2354">
        <v>2</v>
      </c>
      <c r="CM79" s="2359">
        <v>50</v>
      </c>
      <c r="CN79" s="2359">
        <v>613</v>
      </c>
      <c r="CO79" s="2401">
        <f>(CN79/CK79)*100</f>
        <v>29.499518768046194</v>
      </c>
      <c r="CP79" s="2359">
        <v>957</v>
      </c>
      <c r="CQ79" s="2401">
        <f>(CP79/CK79)*100</f>
        <v>46.053897978825795</v>
      </c>
      <c r="CR79" s="2359">
        <v>453</v>
      </c>
      <c r="CS79" s="2401">
        <f>CR79/CK79*100</f>
        <v>21.799807507218478</v>
      </c>
      <c r="CT79" s="2401">
        <v>3</v>
      </c>
      <c r="CU79" s="2401">
        <f>(CT79/CK79)*100</f>
        <v>0.14436958614051973</v>
      </c>
      <c r="CV79" s="2401"/>
      <c r="CW79" s="2401"/>
      <c r="CX79" s="2399"/>
      <c r="CY79" s="2427"/>
      <c r="CZ79" s="2357"/>
      <c r="DC79" s="2356" t="s">
        <v>2260</v>
      </c>
      <c r="DD79" s="2391">
        <v>12037</v>
      </c>
      <c r="DE79" s="2357">
        <v>585</v>
      </c>
      <c r="DF79" s="2358">
        <f>DE79/DD79*100</f>
        <v>4.8600149538921658</v>
      </c>
      <c r="DG79" s="2357">
        <v>588</v>
      </c>
      <c r="DH79" s="2358">
        <f>DG79/DD79*100</f>
        <v>4.8849381075018687</v>
      </c>
      <c r="DI79" s="2357">
        <v>553</v>
      </c>
      <c r="DJ79" s="2358">
        <f>DI79/DD79*100</f>
        <v>4.5941679820553292</v>
      </c>
      <c r="DS79" s="2356"/>
      <c r="DT79" s="2359"/>
      <c r="DU79" s="2357"/>
      <c r="DV79" s="2358"/>
      <c r="DW79" s="2357"/>
      <c r="DX79" s="2358"/>
      <c r="DY79" s="2357"/>
      <c r="DZ79" s="2358"/>
      <c r="EI79" s="2356"/>
      <c r="EJ79" s="2357"/>
      <c r="EK79" s="2357"/>
      <c r="EL79" s="2358"/>
      <c r="EM79" s="2357"/>
      <c r="EN79" s="2358"/>
      <c r="EO79" s="2357"/>
      <c r="EP79" s="2358"/>
      <c r="EQ79" s="2358"/>
      <c r="EU79" s="2401"/>
      <c r="EV79" s="2356"/>
      <c r="EW79" s="2357"/>
      <c r="EX79" s="2357"/>
      <c r="EY79" s="2357"/>
      <c r="EZ79" s="2401"/>
      <c r="FA79" s="2357"/>
      <c r="FB79" s="2401"/>
      <c r="FC79" s="2357"/>
      <c r="FD79" s="2401"/>
      <c r="FE79" s="2401"/>
      <c r="FG79" s="2357"/>
      <c r="FH79" s="2358"/>
      <c r="FI79" s="2400"/>
      <c r="FJ79" s="2401"/>
      <c r="FK79" s="2369"/>
      <c r="FL79" s="2401"/>
      <c r="FV79" s="2356"/>
      <c r="FW79" s="2357"/>
      <c r="FX79" s="2357"/>
      <c r="FY79" s="2357"/>
      <c r="FZ79" s="2401"/>
      <c r="GA79" s="2357"/>
      <c r="GB79" s="2400"/>
      <c r="GC79" s="2356"/>
      <c r="GD79" s="2400"/>
    </row>
    <row r="80" spans="1:186" ht="12.95" customHeight="1">
      <c r="A80" s="2356" t="s">
        <v>2209</v>
      </c>
      <c r="B80" s="2369">
        <v>2990</v>
      </c>
      <c r="C80" s="2357">
        <v>1737</v>
      </c>
      <c r="D80" s="2357">
        <v>902</v>
      </c>
      <c r="E80" s="2400">
        <f>D80/C80*100</f>
        <v>51.928612550374211</v>
      </c>
      <c r="F80" s="2357">
        <v>592</v>
      </c>
      <c r="G80" s="2400">
        <f>F80/C80*100</f>
        <v>34.081750143926307</v>
      </c>
      <c r="H80" s="2357">
        <v>11</v>
      </c>
      <c r="I80" s="2400">
        <f>H80/C80*100</f>
        <v>0.63327576280944153</v>
      </c>
      <c r="J80" s="2357"/>
      <c r="K80" s="2400"/>
      <c r="Z80" s="2356" t="s">
        <v>2253</v>
      </c>
      <c r="AA80" s="2359">
        <f>SUM(AB80+AD80+AF80)</f>
        <v>2562</v>
      </c>
      <c r="AB80" s="2359">
        <v>1678</v>
      </c>
      <c r="AC80" s="2401">
        <f>AB80/AA80*100</f>
        <v>65.495706479313029</v>
      </c>
      <c r="AD80" s="2359">
        <v>761</v>
      </c>
      <c r="AE80" s="2401">
        <f>AD80/AA80*100</f>
        <v>29.703356752537079</v>
      </c>
      <c r="AF80" s="2357">
        <v>123</v>
      </c>
      <c r="AG80" s="2401">
        <f>AF80/AA80*100</f>
        <v>4.8009367681498825</v>
      </c>
      <c r="BZ80" s="2356" t="s">
        <v>2177</v>
      </c>
      <c r="CA80" s="2357">
        <v>11471</v>
      </c>
      <c r="CB80" s="2435">
        <v>7820</v>
      </c>
      <c r="CC80" s="2369">
        <v>4403</v>
      </c>
      <c r="CD80" s="2434">
        <f>CC80/CB80*100</f>
        <v>56.304347826086953</v>
      </c>
      <c r="CE80" s="2369">
        <v>2842</v>
      </c>
      <c r="CF80" s="2434">
        <f>CE80/CB80*100</f>
        <v>36.34271099744246</v>
      </c>
      <c r="CG80" s="2369"/>
      <c r="CJ80" s="2356" t="s">
        <v>2185</v>
      </c>
      <c r="CK80" s="2370">
        <v>2407</v>
      </c>
      <c r="CL80" s="2354">
        <v>2</v>
      </c>
      <c r="CM80" s="2359">
        <v>52</v>
      </c>
      <c r="CN80" s="2359">
        <v>819</v>
      </c>
      <c r="CO80" s="2401">
        <f>(CN80/CK80)*100</f>
        <v>34.02575820523473</v>
      </c>
      <c r="CP80" s="2359">
        <v>1050</v>
      </c>
      <c r="CQ80" s="2401">
        <f>(CP80/CK80)*100</f>
        <v>43.622766929788121</v>
      </c>
      <c r="CR80" s="2359">
        <v>479</v>
      </c>
      <c r="CS80" s="2401">
        <f>CR80/CK80*100</f>
        <v>19.900290818446198</v>
      </c>
      <c r="CT80" s="2401">
        <v>5</v>
      </c>
      <c r="CU80" s="2401">
        <f>(CT80/CK80)*100</f>
        <v>0.2077274615704196</v>
      </c>
      <c r="CV80" s="2401"/>
      <c r="CW80" s="2401"/>
      <c r="CX80" s="2399"/>
      <c r="CY80" s="2427"/>
      <c r="CZ80" s="2357"/>
      <c r="DC80" s="2356" t="s">
        <v>2253</v>
      </c>
      <c r="DD80" s="2391">
        <v>21729</v>
      </c>
      <c r="DE80" s="2357">
        <v>983</v>
      </c>
      <c r="DF80" s="2358">
        <f>DE80/DD80*100</f>
        <v>4.5239081411937967</v>
      </c>
      <c r="DG80" s="2357">
        <v>1090</v>
      </c>
      <c r="DH80" s="2358">
        <f>DG80/DD80*100</f>
        <v>5.0163376133278108</v>
      </c>
      <c r="DI80" s="2357">
        <v>867</v>
      </c>
      <c r="DJ80" s="2358">
        <f>DI80/DD80*100</f>
        <v>3.990059367665332</v>
      </c>
      <c r="DS80" s="2356"/>
      <c r="DT80" s="2359"/>
      <c r="DU80" s="2357"/>
      <c r="DV80" s="2358"/>
      <c r="DW80" s="2357"/>
      <c r="DX80" s="2358"/>
      <c r="DY80" s="2357"/>
      <c r="DZ80" s="2358"/>
      <c r="EI80" s="2356"/>
      <c r="EJ80" s="2357"/>
      <c r="EK80" s="2357"/>
      <c r="EL80" s="2358"/>
      <c r="EM80" s="2357"/>
      <c r="EN80" s="2358"/>
      <c r="EO80" s="2357"/>
      <c r="EP80" s="2358"/>
      <c r="EQ80" s="2358"/>
      <c r="EU80" s="2401"/>
      <c r="EV80" s="2356"/>
      <c r="EW80" s="2357"/>
      <c r="EX80" s="2357"/>
      <c r="EY80" s="2357"/>
      <c r="EZ80" s="2401"/>
      <c r="FA80" s="2357"/>
      <c r="FB80" s="2401"/>
      <c r="FC80" s="2357"/>
      <c r="FD80" s="2401"/>
      <c r="FE80" s="2401"/>
      <c r="FG80" s="2357"/>
      <c r="FH80" s="2358"/>
      <c r="FI80" s="2400"/>
      <c r="FJ80" s="2401"/>
      <c r="FK80" s="2369"/>
      <c r="FL80" s="2401"/>
      <c r="FV80" s="2356"/>
      <c r="FW80" s="2357"/>
      <c r="FX80" s="2357"/>
      <c r="FY80" s="2357"/>
      <c r="FZ80" s="2401"/>
      <c r="GA80" s="2357"/>
      <c r="GB80" s="2400"/>
      <c r="GC80" s="2357"/>
      <c r="GD80" s="2400"/>
    </row>
    <row r="81" spans="1:187" ht="12.95" customHeight="1">
      <c r="A81" s="2356" t="s">
        <v>2352</v>
      </c>
      <c r="B81" s="2369">
        <v>2764</v>
      </c>
      <c r="C81" s="2357">
        <v>1492</v>
      </c>
      <c r="D81" s="2357">
        <v>814</v>
      </c>
      <c r="E81" s="2400">
        <f>D81/C81*100</f>
        <v>54.557640750670245</v>
      </c>
      <c r="F81" s="2357">
        <v>511</v>
      </c>
      <c r="G81" s="2400">
        <f>F81/C81*100</f>
        <v>34.249329758713138</v>
      </c>
      <c r="H81" s="2357">
        <v>7</v>
      </c>
      <c r="I81" s="2400">
        <f>H81/C81*100</f>
        <v>0.46916890080428952</v>
      </c>
      <c r="J81" s="2357"/>
      <c r="K81" s="2400"/>
      <c r="Z81" s="2356" t="s">
        <v>2185</v>
      </c>
      <c r="AA81" s="2359">
        <f>SUM(AB81+AD81+AF81)</f>
        <v>2737</v>
      </c>
      <c r="AB81" s="2359">
        <v>1691</v>
      </c>
      <c r="AC81" s="2401">
        <f>AB81/AA81*100</f>
        <v>61.782974059188888</v>
      </c>
      <c r="AD81" s="2359">
        <v>906</v>
      </c>
      <c r="AE81" s="2401">
        <f>AD81/AA81*100</f>
        <v>33.101936426744608</v>
      </c>
      <c r="AF81" s="2357">
        <v>140</v>
      </c>
      <c r="AG81" s="2401">
        <f>AF81/AA81*100</f>
        <v>5.1150895140664963</v>
      </c>
      <c r="BZ81" s="2368" t="s">
        <v>2208</v>
      </c>
      <c r="CA81" s="2366">
        <v>5406</v>
      </c>
      <c r="CB81" s="2433">
        <v>3607</v>
      </c>
      <c r="CC81" s="2367">
        <v>2176</v>
      </c>
      <c r="CD81" s="2432">
        <f>CC81/CB81*100</f>
        <v>60.327141668976992</v>
      </c>
      <c r="CE81" s="2367">
        <v>1170</v>
      </c>
      <c r="CF81" s="2432">
        <f>CE81/CB81*100</f>
        <v>32.436928195176044</v>
      </c>
      <c r="CG81" s="2356"/>
      <c r="CJ81" s="2356" t="s">
        <v>2202</v>
      </c>
      <c r="CK81" s="2370">
        <v>2392</v>
      </c>
      <c r="CL81" s="2354">
        <v>4</v>
      </c>
      <c r="CM81" s="2359">
        <v>90</v>
      </c>
      <c r="CN81" s="2359">
        <v>554</v>
      </c>
      <c r="CO81" s="2401">
        <f>(CN81/CK81)*100</f>
        <v>23.160535117056856</v>
      </c>
      <c r="CP81" s="2359">
        <v>1075</v>
      </c>
      <c r="CQ81" s="2401">
        <f>(CP81/CK81)*100</f>
        <v>44.941471571906355</v>
      </c>
      <c r="CR81" s="2359">
        <v>663</v>
      </c>
      <c r="CS81" s="2401">
        <f>CR81/CK81*100</f>
        <v>27.717391304347828</v>
      </c>
      <c r="CT81" s="2401">
        <v>6</v>
      </c>
      <c r="CU81" s="2401">
        <f>(CT81/CK81)*100</f>
        <v>0.25083612040133779</v>
      </c>
      <c r="CX81" s="2399"/>
      <c r="CY81" s="2427"/>
      <c r="CZ81" s="2357"/>
      <c r="DC81" s="2356" t="s">
        <v>2185</v>
      </c>
      <c r="DD81" s="2391">
        <v>26978</v>
      </c>
      <c r="DE81" s="2357">
        <v>1233</v>
      </c>
      <c r="DF81" s="2358">
        <f>DE81/DD81*100</f>
        <v>4.5703906887093186</v>
      </c>
      <c r="DG81" s="2357">
        <v>1322</v>
      </c>
      <c r="DH81" s="2358">
        <f>DG81/DD81*100</f>
        <v>4.9002891244717919</v>
      </c>
      <c r="DI81" s="2357">
        <v>1127</v>
      </c>
      <c r="DJ81" s="2358">
        <f>DI81/DD81*100</f>
        <v>4.1774779449922157</v>
      </c>
      <c r="DS81" s="2356"/>
      <c r="DT81" s="2359"/>
      <c r="DU81" s="2357"/>
      <c r="DV81" s="2358"/>
      <c r="DW81" s="2357"/>
      <c r="DX81" s="2358"/>
      <c r="DY81" s="2357"/>
      <c r="DZ81" s="2358"/>
      <c r="EI81" s="2356"/>
      <c r="EJ81" s="2357"/>
      <c r="EK81" s="2357"/>
      <c r="EL81" s="2358"/>
      <c r="EM81" s="2357"/>
      <c r="EN81" s="2358"/>
      <c r="EO81" s="2357"/>
      <c r="EP81" s="2358"/>
      <c r="EQ81" s="2358"/>
      <c r="EU81" s="2401"/>
      <c r="EV81" s="2356"/>
      <c r="EW81" s="2357"/>
      <c r="EX81" s="2357"/>
      <c r="EY81" s="2357"/>
      <c r="EZ81" s="2401"/>
      <c r="FA81" s="2357"/>
      <c r="FB81" s="2401"/>
      <c r="FC81" s="2357"/>
      <c r="FD81" s="2401"/>
      <c r="FE81" s="2401"/>
      <c r="FG81" s="2357"/>
      <c r="FH81" s="2358"/>
      <c r="FI81" s="2400"/>
      <c r="FJ81" s="2401"/>
      <c r="FK81" s="2369"/>
      <c r="FL81" s="2401"/>
      <c r="FV81" s="2356"/>
      <c r="FW81" s="2357"/>
      <c r="FX81" s="2357"/>
      <c r="FY81" s="2357"/>
      <c r="FZ81" s="2401"/>
      <c r="GA81" s="2357"/>
      <c r="GB81" s="2400"/>
      <c r="GC81" s="2357"/>
      <c r="GD81" s="2400"/>
    </row>
    <row r="82" spans="1:187" ht="12.75" customHeight="1">
      <c r="A82" s="2356" t="s">
        <v>2261</v>
      </c>
      <c r="B82" s="2369">
        <v>1688</v>
      </c>
      <c r="C82" s="2357">
        <v>1079</v>
      </c>
      <c r="D82" s="2357">
        <v>578</v>
      </c>
      <c r="E82" s="2400">
        <f>D82/C82*100</f>
        <v>53.568118628359599</v>
      </c>
      <c r="F82" s="2357">
        <v>385</v>
      </c>
      <c r="G82" s="2400">
        <f>F82/C82*100</f>
        <v>35.68118628359592</v>
      </c>
      <c r="H82" s="2357">
        <v>1</v>
      </c>
      <c r="I82" s="2400">
        <f>H82/C82*100</f>
        <v>9.2678405931417976E-2</v>
      </c>
      <c r="J82" s="2357"/>
      <c r="K82" s="2400"/>
      <c r="Z82" s="2356" t="s">
        <v>2202</v>
      </c>
      <c r="AA82" s="2359">
        <f>SUM(AB82+AD82+AF82)</f>
        <v>2963</v>
      </c>
      <c r="AB82" s="2359">
        <v>1918</v>
      </c>
      <c r="AC82" s="2401">
        <f>AB82/AA82*100</f>
        <v>64.731690853864336</v>
      </c>
      <c r="AD82" s="2359">
        <v>820</v>
      </c>
      <c r="AE82" s="2401">
        <f>AD82/AA82*100</f>
        <v>27.674654066824168</v>
      </c>
      <c r="AF82" s="2357">
        <v>225</v>
      </c>
      <c r="AG82" s="2401">
        <f>AF82/AA82*100</f>
        <v>7.5936550793115094</v>
      </c>
      <c r="BZ82" s="2356" t="s">
        <v>4069</v>
      </c>
      <c r="CA82" s="2356"/>
      <c r="CB82" s="2356"/>
      <c r="CC82" s="2356"/>
      <c r="CD82" s="2356"/>
      <c r="CE82" s="2356"/>
      <c r="CF82" s="2356"/>
      <c r="CG82" s="2369"/>
      <c r="CJ82" s="2356" t="s">
        <v>2177</v>
      </c>
      <c r="CK82" s="2370">
        <v>6219</v>
      </c>
      <c r="CL82" s="2354">
        <v>11</v>
      </c>
      <c r="CM82" s="2359">
        <v>235</v>
      </c>
      <c r="CN82" s="2359">
        <v>1756</v>
      </c>
      <c r="CO82" s="2401">
        <f>(CN82/CK82)*100</f>
        <v>28.236050812027656</v>
      </c>
      <c r="CP82" s="2359">
        <v>2789</v>
      </c>
      <c r="CQ82" s="2401">
        <f>(CP82/CK82)*100</f>
        <v>44.846438334137325</v>
      </c>
      <c r="CR82" s="2359">
        <v>1420</v>
      </c>
      <c r="CS82" s="2401">
        <f>CR82/CK82*100</f>
        <v>22.833252934555397</v>
      </c>
      <c r="CT82" s="2401">
        <v>8</v>
      </c>
      <c r="CU82" s="2401">
        <f>(CT82/CK82)*100</f>
        <v>0.12863804470172052</v>
      </c>
      <c r="CX82" s="2399"/>
      <c r="CY82" s="2427"/>
      <c r="CZ82" s="2357"/>
      <c r="DC82" s="2356" t="s">
        <v>2202</v>
      </c>
      <c r="DD82" s="2391">
        <v>23110</v>
      </c>
      <c r="DE82" s="2357">
        <v>1189</v>
      </c>
      <c r="DF82" s="2358">
        <f>DE82/DD82*100</f>
        <v>5.1449588922544347</v>
      </c>
      <c r="DG82" s="2357">
        <v>1102</v>
      </c>
      <c r="DH82" s="2358">
        <f>DG82/DD82*100</f>
        <v>4.7684984855041108</v>
      </c>
      <c r="DI82" s="2357">
        <v>1085</v>
      </c>
      <c r="DJ82" s="2358">
        <f>DI82/DD82*100</f>
        <v>4.694937256598875</v>
      </c>
      <c r="DS82" s="2356"/>
      <c r="DT82" s="2359"/>
      <c r="DU82" s="2357"/>
      <c r="DV82" s="2358"/>
      <c r="DW82" s="2357"/>
      <c r="DX82" s="2358"/>
      <c r="DY82" s="2357"/>
      <c r="DZ82" s="2358"/>
      <c r="EI82" s="2356"/>
      <c r="EJ82" s="2357"/>
      <c r="EK82" s="2357"/>
      <c r="EL82" s="2358"/>
      <c r="EM82" s="2357"/>
      <c r="EN82" s="2358"/>
      <c r="EO82" s="2357"/>
      <c r="EP82" s="2358"/>
      <c r="EQ82" s="2358"/>
      <c r="EU82" s="2401"/>
      <c r="EV82" s="2356"/>
      <c r="EW82" s="2357"/>
      <c r="EX82" s="2357"/>
      <c r="EY82" s="2357"/>
      <c r="EZ82" s="2401"/>
      <c r="FA82" s="2357"/>
      <c r="FB82" s="2401"/>
      <c r="FC82" s="2357"/>
      <c r="FD82" s="2401"/>
      <c r="FE82" s="2401"/>
      <c r="FG82" s="2357"/>
      <c r="FH82" s="2358"/>
      <c r="FI82" s="2400"/>
      <c r="FJ82" s="2401"/>
      <c r="FK82" s="2369"/>
      <c r="FL82" s="2401"/>
      <c r="FV82" s="2356"/>
      <c r="FW82" s="2357"/>
      <c r="FX82" s="2357"/>
      <c r="FY82" s="2357"/>
      <c r="FZ82" s="2401"/>
      <c r="GA82" s="2357"/>
      <c r="GB82" s="2400"/>
      <c r="GC82" s="2357"/>
      <c r="GD82" s="2400"/>
    </row>
    <row r="83" spans="1:187" ht="12.75" customHeight="1">
      <c r="A83" s="2356" t="s">
        <v>2251</v>
      </c>
      <c r="B83" s="2369">
        <v>1650</v>
      </c>
      <c r="C83" s="2357">
        <v>1126</v>
      </c>
      <c r="D83" s="2357">
        <v>564</v>
      </c>
      <c r="E83" s="2400">
        <f>D83/C83*100</f>
        <v>50.088809946714029</v>
      </c>
      <c r="F83" s="2357">
        <v>427</v>
      </c>
      <c r="G83" s="2400">
        <f>F83/C83*100</f>
        <v>37.921847246891652</v>
      </c>
      <c r="H83" s="2357">
        <v>5</v>
      </c>
      <c r="I83" s="2400">
        <f>H83/C83*100</f>
        <v>0.44404973357015981</v>
      </c>
      <c r="J83" s="2357"/>
      <c r="K83" s="2400"/>
      <c r="Z83" s="2356" t="s">
        <v>2177</v>
      </c>
      <c r="AA83" s="2359">
        <f>SUM(AB83+AD83+AF83)</f>
        <v>7820</v>
      </c>
      <c r="AB83" s="2359">
        <v>4544</v>
      </c>
      <c r="AC83" s="2401">
        <f>AB83/AA83*100</f>
        <v>58.107416879795394</v>
      </c>
      <c r="AD83" s="2359">
        <v>2626</v>
      </c>
      <c r="AE83" s="2401">
        <f>AD83/AA83*100</f>
        <v>33.580562659846549</v>
      </c>
      <c r="AF83" s="2357">
        <v>650</v>
      </c>
      <c r="AG83" s="2401">
        <f>AF83/AA83*100</f>
        <v>8.3120204603580561</v>
      </c>
      <c r="CG83" s="2369"/>
      <c r="CJ83" s="2368" t="s">
        <v>2208</v>
      </c>
      <c r="CK83" s="2431">
        <v>2909</v>
      </c>
      <c r="CL83" s="2411">
        <v>5</v>
      </c>
      <c r="CM83" s="2429">
        <v>71</v>
      </c>
      <c r="CN83" s="2429">
        <v>888</v>
      </c>
      <c r="CO83" s="2428">
        <f>(CN83/CK83)*100</f>
        <v>30.525953936060503</v>
      </c>
      <c r="CP83" s="2429">
        <v>1347</v>
      </c>
      <c r="CQ83" s="2428">
        <f>(CP83/CK83)*100</f>
        <v>46.304572017875557</v>
      </c>
      <c r="CR83" s="2429">
        <v>594</v>
      </c>
      <c r="CS83" s="2428">
        <f>CR83/CK83*100</f>
        <v>20.419388105878308</v>
      </c>
      <c r="CT83" s="2428">
        <v>4</v>
      </c>
      <c r="CU83" s="2428">
        <f>(CT83/CK83)*100</f>
        <v>0.13750429700928155</v>
      </c>
      <c r="CX83" s="2399"/>
      <c r="CY83" s="2427"/>
      <c r="CZ83" s="2357"/>
      <c r="DC83" s="2356" t="s">
        <v>2177</v>
      </c>
      <c r="DD83" s="2391">
        <v>64230</v>
      </c>
      <c r="DE83" s="2357">
        <v>3093</v>
      </c>
      <c r="DF83" s="2358">
        <f>DE83/DD83*100</f>
        <v>4.8155067725361977</v>
      </c>
      <c r="DG83" s="2357">
        <v>2913</v>
      </c>
      <c r="DH83" s="2358">
        <f>DG83/DD83*100</f>
        <v>4.5352638953759925</v>
      </c>
      <c r="DI83" s="2357">
        <v>3120</v>
      </c>
      <c r="DJ83" s="2358">
        <f>DI83/DD83*100</f>
        <v>4.8575432041102289</v>
      </c>
      <c r="DS83" s="2356"/>
      <c r="DT83" s="2359"/>
      <c r="DU83" s="2357"/>
      <c r="DV83" s="2358"/>
      <c r="DW83" s="2357"/>
      <c r="DX83" s="2358"/>
      <c r="DY83" s="2357"/>
      <c r="DZ83" s="2358"/>
      <c r="EI83" s="2356"/>
      <c r="EJ83" s="2357"/>
      <c r="EK83" s="2357"/>
      <c r="EL83" s="2358"/>
      <c r="EM83" s="2357"/>
      <c r="EN83" s="2358"/>
      <c r="EO83" s="2357"/>
      <c r="EP83" s="2358"/>
      <c r="EQ83" s="2358"/>
      <c r="EU83" s="2401"/>
      <c r="EV83" s="2356"/>
      <c r="EW83" s="2357"/>
      <c r="EX83" s="2357"/>
      <c r="EY83" s="2357"/>
      <c r="EZ83" s="2401"/>
      <c r="FA83" s="2357"/>
      <c r="FB83" s="2401"/>
      <c r="FC83" s="2357"/>
      <c r="FD83" s="2401"/>
      <c r="FE83" s="2401"/>
      <c r="FG83" s="2357"/>
      <c r="FH83" s="2358"/>
      <c r="FI83" s="2400"/>
      <c r="FJ83" s="2401"/>
      <c r="FK83" s="2430"/>
      <c r="FL83" s="2401"/>
      <c r="FV83" s="2356"/>
      <c r="FW83" s="2357"/>
      <c r="FX83" s="2357"/>
      <c r="FY83" s="2357"/>
      <c r="FZ83" s="2401"/>
      <c r="GA83" s="2357"/>
      <c r="GB83" s="2400"/>
      <c r="GC83" s="2357"/>
      <c r="GD83" s="2400"/>
    </row>
    <row r="84" spans="1:187" ht="12.75" customHeight="1">
      <c r="A84" s="2356" t="s">
        <v>4067</v>
      </c>
      <c r="B84" s="2369">
        <v>2191</v>
      </c>
      <c r="C84" s="2357">
        <v>1183</v>
      </c>
      <c r="D84" s="2357">
        <v>561</v>
      </c>
      <c r="E84" s="2400">
        <f>D84/C84*100</f>
        <v>47.421808960270504</v>
      </c>
      <c r="F84" s="2357">
        <v>495</v>
      </c>
      <c r="G84" s="2400">
        <f>F84/C84*100</f>
        <v>41.84277261200338</v>
      </c>
      <c r="H84" s="2357">
        <v>4</v>
      </c>
      <c r="I84" s="2400">
        <f>H84/C84*100</f>
        <v>0.33812341504649196</v>
      </c>
      <c r="J84" s="2357"/>
      <c r="K84" s="2400"/>
      <c r="Z84" s="2368" t="s">
        <v>2208</v>
      </c>
      <c r="AA84" s="2429">
        <f>SUM(AB84+AD84+AF84)</f>
        <v>3607</v>
      </c>
      <c r="AB84" s="2429">
        <v>2136</v>
      </c>
      <c r="AC84" s="2428">
        <f>AB84/AA84*100</f>
        <v>59.218186858885502</v>
      </c>
      <c r="AD84" s="2429">
        <v>1208</v>
      </c>
      <c r="AE84" s="2428">
        <f>AD84/AA84*100</f>
        <v>33.490435264762965</v>
      </c>
      <c r="AF84" s="2366">
        <v>263</v>
      </c>
      <c r="AG84" s="2428">
        <f>AF84/AA84*100</f>
        <v>7.2913778763515387</v>
      </c>
      <c r="CG84" s="2356"/>
      <c r="CJ84" s="2356" t="s">
        <v>4069</v>
      </c>
      <c r="CK84" s="2356"/>
      <c r="CL84" s="2356"/>
      <c r="CM84" s="2356"/>
      <c r="CN84" s="2356"/>
      <c r="CO84" s="2356"/>
      <c r="CP84" s="2356"/>
      <c r="CQ84" s="2356"/>
      <c r="CR84" s="2356"/>
      <c r="CS84" s="2356"/>
      <c r="CX84" s="2399"/>
      <c r="CY84" s="2427"/>
      <c r="CZ84" s="2357"/>
      <c r="DC84" s="2368" t="s">
        <v>2208</v>
      </c>
      <c r="DD84" s="2390">
        <v>34295</v>
      </c>
      <c r="DE84" s="2366">
        <v>1641</v>
      </c>
      <c r="DF84" s="2365">
        <f>DE84/DD84*100</f>
        <v>4.784954074938037</v>
      </c>
      <c r="DG84" s="2366">
        <v>1499</v>
      </c>
      <c r="DH84" s="2365">
        <f>DG84/DD84*100</f>
        <v>4.3708995480390724</v>
      </c>
      <c r="DI84" s="2366">
        <v>1644</v>
      </c>
      <c r="DJ84" s="2365">
        <f>DI84/DD84*100</f>
        <v>4.793701705788016</v>
      </c>
      <c r="DS84" s="2356"/>
      <c r="DT84" s="2359"/>
      <c r="DU84" s="2357"/>
      <c r="DV84" s="2358"/>
      <c r="DW84" s="2357"/>
      <c r="DX84" s="2358"/>
      <c r="DY84" s="2357"/>
      <c r="DZ84" s="2358"/>
      <c r="EI84" s="2356"/>
      <c r="EJ84" s="2357"/>
      <c r="EK84" s="2357"/>
      <c r="EL84" s="2358"/>
      <c r="EM84" s="2357"/>
      <c r="EN84" s="2358"/>
      <c r="EO84" s="2357"/>
      <c r="EP84" s="2358"/>
      <c r="EQ84" s="2358"/>
      <c r="EU84" s="2401"/>
      <c r="EV84" s="2356"/>
      <c r="EW84" s="2357"/>
      <c r="EX84" s="2357"/>
      <c r="EY84" s="2357"/>
      <c r="EZ84" s="2401"/>
      <c r="FA84" s="2357"/>
      <c r="FB84" s="2401"/>
      <c r="FC84" s="2357"/>
      <c r="FD84" s="2401"/>
      <c r="FE84" s="2401"/>
      <c r="FG84" s="2357"/>
      <c r="FH84" s="2358"/>
      <c r="FI84" s="2400"/>
      <c r="FJ84" s="2401"/>
      <c r="FK84" s="2356"/>
      <c r="FL84" s="2356"/>
      <c r="FM84" s="2356"/>
      <c r="FV84" s="2356"/>
      <c r="FW84" s="2357"/>
      <c r="FX84" s="2357"/>
      <c r="FY84" s="2357"/>
      <c r="FZ84" s="2401"/>
      <c r="GA84" s="2357"/>
      <c r="GB84" s="2400"/>
      <c r="GC84" s="2357"/>
      <c r="GD84" s="2400"/>
    </row>
    <row r="85" spans="1:187" ht="12.75" customHeight="1">
      <c r="A85" s="2356" t="s">
        <v>2253</v>
      </c>
      <c r="B85" s="2369">
        <v>3535</v>
      </c>
      <c r="C85" s="2357">
        <v>1914</v>
      </c>
      <c r="D85" s="2357">
        <v>895</v>
      </c>
      <c r="E85" s="2400">
        <f>D85/C85*100</f>
        <v>46.760710553814</v>
      </c>
      <c r="F85" s="2357">
        <v>786</v>
      </c>
      <c r="G85" s="2400">
        <f>F85/C85*100</f>
        <v>41.065830721003131</v>
      </c>
      <c r="H85" s="2357">
        <v>5</v>
      </c>
      <c r="I85" s="2400">
        <f>H85/C85*100</f>
        <v>0.2612330198537095</v>
      </c>
      <c r="J85" s="2357"/>
      <c r="K85" s="2400"/>
      <c r="Z85" s="2356" t="s">
        <v>4069</v>
      </c>
      <c r="AA85" s="2357"/>
      <c r="AB85" s="2356"/>
      <c r="AC85" s="2356"/>
      <c r="AD85" s="2356"/>
      <c r="AE85" s="2356"/>
      <c r="AF85" s="2356"/>
      <c r="AG85" s="2356"/>
      <c r="CT85" s="2409"/>
      <c r="CX85" s="2399"/>
      <c r="CY85" s="2427"/>
      <c r="CZ85" s="2357"/>
      <c r="DC85" s="2356" t="s">
        <v>4069</v>
      </c>
      <c r="DD85" s="2356"/>
      <c r="DE85" s="2356"/>
      <c r="DF85" s="2356"/>
      <c r="DG85" s="2356"/>
      <c r="DH85" s="2358"/>
      <c r="DI85" s="2356"/>
      <c r="DJ85" s="2356"/>
      <c r="DS85" s="2356"/>
      <c r="DT85" s="2356"/>
      <c r="DU85" s="2356"/>
      <c r="DV85" s="2356"/>
      <c r="DW85" s="2356"/>
      <c r="DX85" s="2356"/>
      <c r="DY85" s="2356"/>
      <c r="DZ85" s="2356"/>
      <c r="EI85" s="2356"/>
      <c r="EJ85" s="2356"/>
      <c r="EK85" s="2356"/>
      <c r="EL85" s="2356"/>
      <c r="EM85" s="2356"/>
      <c r="EN85" s="2356"/>
      <c r="EO85" s="2356"/>
      <c r="EP85" s="2356"/>
      <c r="EQ85" s="2356"/>
      <c r="EU85" s="2356"/>
      <c r="EV85" s="2356"/>
      <c r="EW85" s="2356"/>
      <c r="EX85" s="2356"/>
      <c r="EY85" s="2356"/>
      <c r="EZ85" s="2356"/>
      <c r="FA85" s="2356"/>
      <c r="FB85" s="2356"/>
      <c r="FC85" s="2356"/>
      <c r="FD85" s="2356"/>
      <c r="FE85" s="2356"/>
      <c r="FF85" s="2356"/>
      <c r="FG85" s="2356"/>
      <c r="FH85" s="2356"/>
      <c r="FI85" s="2356"/>
      <c r="FJ85" s="2356"/>
      <c r="FK85" s="2356"/>
      <c r="FL85" s="2356"/>
      <c r="FM85" s="2356"/>
      <c r="FV85" s="2356"/>
      <c r="FW85" s="2356"/>
      <c r="FX85" s="2356"/>
      <c r="FY85" s="2356"/>
      <c r="FZ85" s="2356"/>
      <c r="GA85" s="2356"/>
      <c r="GB85" s="2356"/>
      <c r="GC85" s="2356"/>
      <c r="GD85" s="2356"/>
      <c r="GE85" s="2356"/>
    </row>
    <row r="86" spans="1:187" ht="12.75" customHeight="1">
      <c r="A86" s="2356" t="s">
        <v>2185</v>
      </c>
      <c r="B86" s="2369">
        <v>3542</v>
      </c>
      <c r="C86" s="2357">
        <v>2411</v>
      </c>
      <c r="D86" s="2357">
        <v>1238</v>
      </c>
      <c r="E86" s="2400">
        <f>D86/C86*100</f>
        <v>51.347988386561596</v>
      </c>
      <c r="F86" s="2357">
        <v>914</v>
      </c>
      <c r="G86" s="2400">
        <f>F86/C86*100</f>
        <v>37.909581086686025</v>
      </c>
      <c r="H86" s="2357">
        <v>9</v>
      </c>
      <c r="I86" s="2400">
        <f>H86/C86*100</f>
        <v>0.37328909166321028</v>
      </c>
      <c r="J86" s="2357"/>
      <c r="K86" s="2400"/>
      <c r="CC86" s="2359"/>
      <c r="CE86" s="2359"/>
      <c r="CT86" s="2361"/>
      <c r="CX86" s="2399"/>
      <c r="CY86" s="2427"/>
      <c r="CZ86" s="2357"/>
      <c r="DC86" s="2356" t="s">
        <v>4076</v>
      </c>
      <c r="DD86" s="2356"/>
      <c r="DE86" s="2356"/>
      <c r="DF86" s="2356"/>
      <c r="DG86" s="2357" t="s">
        <v>3348</v>
      </c>
      <c r="DH86" s="2356"/>
      <c r="DI86" s="2357" t="s">
        <v>3348</v>
      </c>
      <c r="DJ86" s="2356"/>
      <c r="DS86" s="2356"/>
      <c r="DT86" s="2356"/>
      <c r="DU86" s="2356"/>
      <c r="DV86" s="2356"/>
      <c r="DW86" s="2357"/>
      <c r="DX86" s="2356"/>
      <c r="DY86" s="2357"/>
      <c r="DZ86" s="2356"/>
      <c r="EI86" s="2356"/>
      <c r="EJ86" s="2356"/>
      <c r="EK86" s="2356"/>
      <c r="EL86" s="2356"/>
      <c r="EM86" s="2357"/>
      <c r="EN86" s="2356"/>
      <c r="EO86" s="2357"/>
      <c r="EP86" s="2356"/>
      <c r="EQ86" s="2356"/>
      <c r="EU86" s="2356"/>
      <c r="EV86" s="2356"/>
      <c r="EW86" s="2356"/>
      <c r="EX86" s="2356"/>
      <c r="EY86" s="2356"/>
      <c r="EZ86" s="2356"/>
      <c r="FA86" s="2356"/>
      <c r="FB86" s="2356"/>
      <c r="FC86" s="2356"/>
      <c r="FD86" s="2356"/>
      <c r="FE86" s="2356"/>
      <c r="FF86" s="2356"/>
      <c r="FG86" s="2356"/>
      <c r="FH86" s="2356"/>
      <c r="FI86" s="2356"/>
      <c r="FJ86" s="2356"/>
      <c r="FK86" s="2356"/>
      <c r="FL86" s="2356"/>
      <c r="FM86" s="2356"/>
      <c r="FV86" s="2356"/>
      <c r="FW86" s="2356"/>
      <c r="FX86" s="2356"/>
      <c r="FY86" s="2356"/>
      <c r="FZ86" s="2356"/>
      <c r="GA86" s="2356"/>
      <c r="GB86" s="2356"/>
      <c r="GC86" s="2356"/>
      <c r="GD86" s="2356"/>
      <c r="GE86" s="2356"/>
    </row>
    <row r="87" spans="1:187" ht="12.75" customHeight="1">
      <c r="A87" s="2356" t="s">
        <v>2202</v>
      </c>
      <c r="B87" s="2369">
        <v>4624</v>
      </c>
      <c r="C87" s="2357">
        <v>2320</v>
      </c>
      <c r="D87" s="2357">
        <v>1111</v>
      </c>
      <c r="E87" s="2400">
        <f>D87/C87*100</f>
        <v>47.887931034482762</v>
      </c>
      <c r="F87" s="2357">
        <v>942</v>
      </c>
      <c r="G87" s="2400">
        <f>F87/C87*100</f>
        <v>40.603448275862071</v>
      </c>
      <c r="H87" s="2357">
        <v>7</v>
      </c>
      <c r="I87" s="2400">
        <f>H87/C87*100</f>
        <v>0.30172413793103448</v>
      </c>
      <c r="J87" s="2356"/>
      <c r="K87" s="2356"/>
      <c r="BZ87" s="2393"/>
      <c r="CA87" s="2393"/>
      <c r="CB87" s="2393"/>
      <c r="CC87" s="2393"/>
      <c r="CD87" s="2393"/>
      <c r="CE87" s="2393"/>
      <c r="CF87" s="2393"/>
      <c r="CG87" s="2426"/>
      <c r="CT87" s="2357"/>
      <c r="CX87" s="2356"/>
      <c r="CY87" s="2356"/>
      <c r="CZ87" s="2356"/>
      <c r="DC87" s="2356" t="s">
        <v>4078</v>
      </c>
      <c r="DD87" s="2356"/>
      <c r="DE87" s="2356"/>
      <c r="DF87" s="2356"/>
      <c r="DG87" s="2356"/>
      <c r="DH87" s="2356"/>
      <c r="DI87" s="2356"/>
      <c r="DJ87" s="2356"/>
      <c r="DS87" s="2356"/>
      <c r="DT87" s="2356"/>
      <c r="DU87" s="2356"/>
      <c r="DV87" s="2356"/>
      <c r="DW87" s="2356"/>
      <c r="DX87" s="2356"/>
      <c r="DY87" s="2356"/>
      <c r="DZ87" s="2356"/>
      <c r="EI87" s="2356"/>
      <c r="EJ87" s="2356"/>
      <c r="EK87" s="2356"/>
      <c r="EL87" s="2356"/>
      <c r="EM87" s="2356"/>
      <c r="EN87" s="2356"/>
      <c r="EO87" s="2356"/>
      <c r="EP87" s="2356"/>
      <c r="EQ87" s="2356"/>
      <c r="EU87" s="2356"/>
      <c r="EV87" s="2356"/>
      <c r="EW87" s="2356"/>
      <c r="EX87" s="2356"/>
      <c r="EY87" s="2356"/>
      <c r="EZ87" s="2356"/>
      <c r="FA87" s="2356"/>
      <c r="FB87" s="2356"/>
      <c r="FC87" s="2356"/>
      <c r="FD87" s="2356"/>
      <c r="FE87" s="2356"/>
      <c r="FF87" s="2356"/>
      <c r="FG87" s="2356"/>
      <c r="FH87" s="2356"/>
      <c r="FI87" s="2356"/>
      <c r="FJ87" s="2356"/>
      <c r="FK87" s="2356"/>
      <c r="FL87" s="2356"/>
      <c r="FM87" s="2356"/>
      <c r="FV87" s="2356"/>
      <c r="FW87" s="2356"/>
      <c r="FX87" s="2356"/>
      <c r="FY87" s="2356"/>
      <c r="FZ87" s="2356"/>
      <c r="GA87" s="2356"/>
      <c r="GB87" s="2356"/>
      <c r="GC87" s="2356"/>
      <c r="GD87" s="2356"/>
      <c r="GE87" s="2356"/>
    </row>
    <row r="88" spans="1:187" ht="12.75" customHeight="1">
      <c r="A88" s="2356" t="s">
        <v>2177</v>
      </c>
      <c r="B88" s="2369">
        <v>13470</v>
      </c>
      <c r="C88" s="2357">
        <v>5479</v>
      </c>
      <c r="D88" s="2357">
        <v>2696</v>
      </c>
      <c r="E88" s="2400">
        <f>D88/C88*100</f>
        <v>49.206059499908747</v>
      </c>
      <c r="F88" s="2357">
        <v>2210</v>
      </c>
      <c r="G88" s="2400">
        <f>F88/C88*100</f>
        <v>40.335827705785725</v>
      </c>
      <c r="H88" s="2357">
        <v>23</v>
      </c>
      <c r="I88" s="2400">
        <f>H88/C88*100</f>
        <v>0.41978463223215912</v>
      </c>
      <c r="J88" s="2400"/>
      <c r="K88" s="2400"/>
      <c r="BZ88" s="2393"/>
      <c r="CA88" s="2393"/>
      <c r="CB88" s="2393"/>
      <c r="CC88" s="2393"/>
      <c r="CD88" s="2393"/>
      <c r="CE88" s="2393"/>
      <c r="CF88" s="2393"/>
      <c r="CG88" s="2426"/>
      <c r="CT88" s="2357"/>
      <c r="FK88" s="2356"/>
      <c r="FL88" s="2356"/>
      <c r="FM88" s="2356"/>
      <c r="FV88" s="2356"/>
      <c r="FW88" s="2356"/>
      <c r="FX88" s="2356"/>
      <c r="FY88" s="2356"/>
      <c r="FZ88" s="2356"/>
      <c r="GA88" s="2356"/>
      <c r="GB88" s="2356"/>
      <c r="GC88" s="2356"/>
      <c r="GD88" s="2356"/>
      <c r="GE88" s="2356"/>
    </row>
    <row r="89" spans="1:187" ht="12.75" customHeight="1">
      <c r="A89" s="2368" t="s">
        <v>2208</v>
      </c>
      <c r="B89" s="2367">
        <v>6213</v>
      </c>
      <c r="C89" s="2366">
        <v>2975</v>
      </c>
      <c r="D89" s="2366">
        <v>1422</v>
      </c>
      <c r="E89" s="2410">
        <f>D89/C89*100</f>
        <v>47.798319327731093</v>
      </c>
      <c r="F89" s="2366">
        <v>1199</v>
      </c>
      <c r="G89" s="2410">
        <f>F89/C89*100</f>
        <v>40.30252100840336</v>
      </c>
      <c r="H89" s="2366">
        <v>20</v>
      </c>
      <c r="I89" s="2410">
        <f>H89/C89*100</f>
        <v>0.67226890756302526</v>
      </c>
      <c r="J89" s="2356"/>
      <c r="K89" s="2356"/>
      <c r="BZ89" s="2393"/>
      <c r="CA89" s="2393"/>
      <c r="CB89" s="2393"/>
      <c r="CC89" s="2426"/>
      <c r="CD89" s="2426"/>
      <c r="CE89" s="2393"/>
      <c r="CF89" s="2393"/>
      <c r="CG89" s="2393"/>
      <c r="CT89" s="2357"/>
      <c r="FK89" s="2356"/>
      <c r="FL89" s="2356"/>
      <c r="FM89" s="2356"/>
      <c r="FV89" s="2356"/>
      <c r="FW89" s="2356"/>
      <c r="FX89" s="2356"/>
      <c r="FY89" s="2356"/>
      <c r="FZ89" s="2356"/>
      <c r="GA89" s="2356"/>
      <c r="GB89" s="2356"/>
      <c r="GC89" s="2356"/>
      <c r="GD89" s="2356"/>
      <c r="GE89" s="2356"/>
    </row>
    <row r="90" spans="1:187" ht="12.75" customHeight="1">
      <c r="A90" s="2356" t="s">
        <v>4069</v>
      </c>
      <c r="B90" s="2356"/>
      <c r="C90" s="2356"/>
      <c r="D90" s="2356"/>
      <c r="E90" s="2356"/>
      <c r="F90" s="2356"/>
      <c r="G90" s="2356"/>
      <c r="H90" s="2356"/>
      <c r="I90" s="2356"/>
      <c r="J90" s="2356"/>
      <c r="K90" s="2356"/>
      <c r="CT90" s="2357"/>
      <c r="FK90" s="2362"/>
      <c r="FL90" s="2362"/>
      <c r="FM90" s="2409"/>
      <c r="FV90" s="2356"/>
      <c r="FW90" s="2356"/>
      <c r="FX90" s="2356"/>
      <c r="FY90" s="2356"/>
      <c r="FZ90" s="2356"/>
      <c r="GA90" s="2356"/>
      <c r="GB90" s="2356"/>
      <c r="GC90" s="2356"/>
      <c r="GD90" s="2356"/>
      <c r="GE90" s="2356"/>
    </row>
    <row r="91" spans="1:187" ht="12.75" customHeight="1">
      <c r="A91" s="2356" t="s">
        <v>4076</v>
      </c>
      <c r="B91" s="2356"/>
      <c r="C91" s="2356"/>
      <c r="D91" s="2400" t="s">
        <v>4077</v>
      </c>
      <c r="E91" s="2400"/>
      <c r="F91" s="2400"/>
      <c r="G91" s="2400"/>
      <c r="H91" s="2400"/>
      <c r="I91" s="2400"/>
      <c r="CT91" s="2357"/>
      <c r="DC91" s="2368" t="s">
        <v>4147</v>
      </c>
      <c r="DD91" s="2368"/>
      <c r="DE91" s="2356"/>
      <c r="DF91" s="2356"/>
      <c r="DG91" s="2356"/>
      <c r="DH91" s="2356"/>
      <c r="DI91" s="2368"/>
      <c r="DJ91" s="2368"/>
      <c r="DS91" s="2356"/>
      <c r="DT91" s="2356"/>
      <c r="DU91" s="2356"/>
      <c r="DV91" s="2356"/>
      <c r="DW91" s="2356"/>
      <c r="DX91" s="2356"/>
      <c r="DY91" s="2356"/>
      <c r="DZ91" s="2356"/>
      <c r="EI91" s="2356"/>
      <c r="EJ91" s="2356"/>
      <c r="EK91" s="2356"/>
      <c r="EL91" s="2356"/>
      <c r="EM91" s="2356"/>
      <c r="EN91" s="2356"/>
      <c r="EO91" s="2356"/>
      <c r="EP91" s="2356"/>
      <c r="EQ91" s="2356"/>
      <c r="EU91" s="2356"/>
      <c r="EV91" s="2356"/>
      <c r="EW91" s="2356"/>
      <c r="EX91" s="2356"/>
      <c r="EY91" s="2356"/>
      <c r="EZ91" s="2356"/>
      <c r="FA91" s="2356"/>
      <c r="FB91" s="2356"/>
      <c r="FC91" s="2356"/>
      <c r="FD91" s="2356"/>
      <c r="FE91" s="2356"/>
      <c r="FF91" s="2356"/>
      <c r="FG91" s="2356"/>
      <c r="FH91" s="2356"/>
      <c r="FI91" s="2356"/>
      <c r="FJ91" s="2356"/>
      <c r="FK91" s="2362"/>
      <c r="FL91" s="2362"/>
      <c r="FM91" s="2409"/>
      <c r="FV91" s="2399"/>
      <c r="FW91" s="2356"/>
      <c r="FX91" s="2356"/>
      <c r="FY91" s="2356"/>
      <c r="FZ91" s="2356"/>
      <c r="GA91" s="2356"/>
      <c r="GB91" s="2356"/>
      <c r="GC91" s="2356"/>
      <c r="GD91" s="2356"/>
      <c r="GE91" s="2356"/>
    </row>
    <row r="92" spans="1:187" ht="12.75" customHeight="1">
      <c r="A92" s="2356" t="s">
        <v>4078</v>
      </c>
      <c r="B92" s="2356"/>
      <c r="C92" s="2356"/>
      <c r="D92" s="2356" t="s">
        <v>4080</v>
      </c>
      <c r="E92" s="2356"/>
      <c r="F92" s="2356"/>
      <c r="G92" s="2356"/>
      <c r="H92" s="2356"/>
      <c r="I92" s="2356"/>
      <c r="CT92" s="2357"/>
      <c r="DC92" s="2387"/>
      <c r="DD92" s="2386"/>
      <c r="DE92" s="2383" t="s">
        <v>4148</v>
      </c>
      <c r="DF92" s="2385"/>
      <c r="DG92" s="2383" t="s">
        <v>4149</v>
      </c>
      <c r="DH92" s="2382"/>
      <c r="DI92" s="2383" t="s">
        <v>4150</v>
      </c>
      <c r="DJ92" s="2382"/>
      <c r="DS92" s="2356"/>
      <c r="DT92" s="2364"/>
      <c r="DU92" s="2362"/>
      <c r="DV92" s="2362"/>
      <c r="DW92" s="2362"/>
      <c r="DX92" s="2363"/>
      <c r="DY92" s="2362"/>
      <c r="DZ92" s="2362"/>
      <c r="EI92" s="2356"/>
      <c r="EJ92" s="2364"/>
      <c r="EK92" s="2362"/>
      <c r="EL92" s="2362"/>
      <c r="EM92" s="2363"/>
      <c r="EN92" s="2363"/>
      <c r="EO92" s="2362"/>
      <c r="EP92" s="2362"/>
      <c r="EQ92" s="2408"/>
      <c r="EU92" s="2408"/>
      <c r="EV92" s="2356"/>
      <c r="EW92" s="2364"/>
      <c r="EX92" s="2364"/>
      <c r="EY92" s="2362"/>
      <c r="EZ92" s="2362"/>
      <c r="FA92" s="2362"/>
      <c r="FB92" s="2362"/>
      <c r="FC92" s="2362"/>
      <c r="FD92" s="2362"/>
      <c r="FE92" s="2409"/>
      <c r="FG92" s="2362"/>
      <c r="FH92" s="2362"/>
      <c r="FI92" s="2409"/>
      <c r="FJ92" s="2408"/>
      <c r="FK92" s="2361"/>
      <c r="FL92" s="2361"/>
      <c r="FM92" s="2361"/>
      <c r="FV92" s="2356"/>
      <c r="FW92" s="2364"/>
      <c r="FX92" s="2364"/>
      <c r="FY92" s="2362"/>
      <c r="FZ92" s="2362"/>
      <c r="GA92" s="2362"/>
      <c r="GB92" s="2362"/>
      <c r="GC92" s="2362"/>
      <c r="GD92" s="2362"/>
    </row>
    <row r="93" spans="1:187" ht="12.75" customHeight="1">
      <c r="A93" s="2356" t="s">
        <v>4082</v>
      </c>
      <c r="B93" s="2356"/>
      <c r="C93" s="2356"/>
      <c r="D93" s="2356" t="s">
        <v>4083</v>
      </c>
      <c r="E93" s="2356"/>
      <c r="F93" s="2356"/>
      <c r="G93" s="2356"/>
      <c r="H93" s="2356"/>
      <c r="I93" s="2356"/>
      <c r="CT93" s="2357"/>
      <c r="DC93" s="2356" t="s">
        <v>4013</v>
      </c>
      <c r="DD93" s="2381" t="s">
        <v>4019</v>
      </c>
      <c r="DE93" s="2377"/>
      <c r="DF93" s="2380"/>
      <c r="DG93" s="2377"/>
      <c r="DH93" s="2376"/>
      <c r="DI93" s="2377"/>
      <c r="DJ93" s="2376"/>
      <c r="DS93" s="2356"/>
      <c r="DT93" s="2364"/>
      <c r="DU93" s="2362"/>
      <c r="DV93" s="2362"/>
      <c r="DW93" s="2363"/>
      <c r="DX93" s="2363"/>
      <c r="DY93" s="2362"/>
      <c r="DZ93" s="2362"/>
      <c r="EI93" s="2356"/>
      <c r="EJ93" s="2364"/>
      <c r="EK93" s="2362"/>
      <c r="EL93" s="2362"/>
      <c r="EM93" s="2363"/>
      <c r="EN93" s="2363"/>
      <c r="EO93" s="2362"/>
      <c r="EP93" s="2362"/>
      <c r="EQ93" s="2408"/>
      <c r="EU93" s="2408"/>
      <c r="EV93" s="2356"/>
      <c r="EW93" s="2364"/>
      <c r="EX93" s="2364"/>
      <c r="EY93" s="2362"/>
      <c r="EZ93" s="2362"/>
      <c r="FA93" s="2362"/>
      <c r="FB93" s="2362"/>
      <c r="FC93" s="2362"/>
      <c r="FD93" s="2362"/>
      <c r="FE93" s="2409"/>
      <c r="FG93" s="2362"/>
      <c r="FH93" s="2362"/>
      <c r="FI93" s="2409"/>
      <c r="FJ93" s="2408"/>
      <c r="FK93" s="2357"/>
      <c r="FL93" s="2401"/>
      <c r="FV93" s="2356"/>
      <c r="FW93" s="2364"/>
      <c r="FX93" s="2364"/>
      <c r="FY93" s="2362"/>
      <c r="FZ93" s="2362"/>
      <c r="GA93" s="2362"/>
      <c r="GB93" s="2362"/>
      <c r="GC93" s="2362"/>
      <c r="GD93" s="2362"/>
    </row>
    <row r="94" spans="1:187" ht="12.75" customHeight="1">
      <c r="A94" s="2356" t="s">
        <v>4084</v>
      </c>
      <c r="CT94" s="2357"/>
      <c r="DC94" s="2375" t="s">
        <v>4020</v>
      </c>
      <c r="DD94" s="2374" t="s">
        <v>3986</v>
      </c>
      <c r="DE94" s="2373" t="s">
        <v>1665</v>
      </c>
      <c r="DF94" s="2373" t="s">
        <v>1666</v>
      </c>
      <c r="DG94" s="2373" t="s">
        <v>1665</v>
      </c>
      <c r="DH94" s="2371" t="s">
        <v>1666</v>
      </c>
      <c r="DI94" s="2372" t="s">
        <v>1665</v>
      </c>
      <c r="DJ94" s="2371" t="s">
        <v>1666</v>
      </c>
      <c r="DS94" s="2356"/>
      <c r="DT94" s="2361"/>
      <c r="DU94" s="2361"/>
      <c r="DV94" s="2361"/>
      <c r="DW94" s="2361"/>
      <c r="DX94" s="2361"/>
      <c r="DY94" s="2361"/>
      <c r="DZ94" s="2361"/>
      <c r="EI94" s="2356"/>
      <c r="EJ94" s="2361"/>
      <c r="EK94" s="2361"/>
      <c r="EL94" s="2361"/>
      <c r="EM94" s="2361"/>
      <c r="EN94" s="2361"/>
      <c r="EO94" s="2361"/>
      <c r="EP94" s="2361"/>
      <c r="EQ94" s="2361"/>
      <c r="EU94" s="2361"/>
      <c r="EV94" s="2356"/>
      <c r="EW94" s="2361"/>
      <c r="EX94" s="2361"/>
      <c r="EY94" s="2361"/>
      <c r="EZ94" s="2361"/>
      <c r="FA94" s="2361"/>
      <c r="FB94" s="2361"/>
      <c r="FC94" s="2361"/>
      <c r="FD94" s="2361"/>
      <c r="FE94" s="2361"/>
      <c r="FG94" s="2361"/>
      <c r="FH94" s="2361"/>
      <c r="FI94" s="2361"/>
      <c r="FJ94" s="2361"/>
      <c r="FK94" s="2357"/>
      <c r="FL94" s="2401"/>
      <c r="FV94" s="2356"/>
      <c r="FW94" s="2361"/>
      <c r="FX94" s="2361"/>
      <c r="FY94" s="2361"/>
      <c r="FZ94" s="2405"/>
      <c r="GA94" s="2361"/>
      <c r="GB94" s="2361"/>
      <c r="GC94" s="2361"/>
      <c r="GD94" s="2361"/>
    </row>
    <row r="95" spans="1:187" ht="12.75" customHeight="1">
      <c r="A95" s="2393"/>
      <c r="B95" s="2393"/>
      <c r="C95" s="2393"/>
      <c r="D95" s="2393"/>
      <c r="E95" s="2393"/>
      <c r="F95" s="2393"/>
      <c r="G95" s="2393"/>
      <c r="H95" s="2393"/>
      <c r="I95" s="2400"/>
      <c r="L95" s="2393"/>
      <c r="M95" s="2393"/>
      <c r="N95" s="2393"/>
      <c r="O95" s="2393"/>
      <c r="P95" s="2393"/>
      <c r="Q95" s="2393"/>
      <c r="R95" s="2393"/>
      <c r="S95" s="2393"/>
      <c r="T95" s="2393"/>
      <c r="U95" s="2393"/>
      <c r="V95" s="2393"/>
      <c r="W95" s="2402"/>
      <c r="X95" s="2393"/>
      <c r="CT95" s="2357"/>
      <c r="DC95" s="2356" t="s">
        <v>3503</v>
      </c>
      <c r="DD95" s="2359">
        <f>SUM(DD96:DD114)</f>
        <v>303682</v>
      </c>
      <c r="DE95" s="2357">
        <f>SUM(DE96:DE114)</f>
        <v>12503</v>
      </c>
      <c r="DF95" s="2358">
        <f>DE95/DD95*100</f>
        <v>4.1171356879894105</v>
      </c>
      <c r="DG95" s="2357">
        <f>SUM(DG96:DG114)</f>
        <v>12254</v>
      </c>
      <c r="DH95" s="2358">
        <f>DG95/DD95*100</f>
        <v>4.0351420235641227</v>
      </c>
      <c r="DI95" s="2357">
        <f>SUM(DI96:DI114)</f>
        <v>12143</v>
      </c>
      <c r="DJ95" s="2358">
        <f>DI95/DD95*100</f>
        <v>3.9985906309889949</v>
      </c>
      <c r="DS95" s="2356"/>
      <c r="DT95" s="2357"/>
      <c r="DU95" s="2357"/>
      <c r="DV95" s="2358"/>
      <c r="DW95" s="2357"/>
      <c r="DX95" s="2358"/>
      <c r="DY95" s="2357"/>
      <c r="DZ95" s="2358"/>
      <c r="EI95" s="2356"/>
      <c r="EJ95" s="2357"/>
      <c r="EK95" s="2357"/>
      <c r="EL95" s="2358"/>
      <c r="EM95" s="2357"/>
      <c r="EN95" s="2358"/>
      <c r="EO95" s="2357"/>
      <c r="EP95" s="2358"/>
      <c r="EQ95" s="2358"/>
      <c r="EU95" s="2401"/>
      <c r="EV95" s="2356"/>
      <c r="EW95" s="2357"/>
      <c r="EX95" s="2357"/>
      <c r="EY95" s="2359"/>
      <c r="EZ95" s="2401"/>
      <c r="FA95" s="2359"/>
      <c r="FB95" s="2401"/>
      <c r="FC95" s="2359"/>
      <c r="FD95" s="2401"/>
      <c r="FE95" s="2401"/>
      <c r="FG95" s="2357"/>
      <c r="FH95" s="2358"/>
      <c r="FI95" s="2400"/>
      <c r="FJ95" s="2401"/>
      <c r="FK95" s="2357"/>
      <c r="FL95" s="2401"/>
      <c r="FV95" s="2356"/>
      <c r="FW95" s="2357"/>
      <c r="FX95" s="2357"/>
      <c r="FY95" s="2357"/>
      <c r="FZ95" s="2401"/>
      <c r="GA95" s="2357"/>
      <c r="GB95" s="2358"/>
      <c r="GC95" s="2357"/>
      <c r="GD95" s="2400"/>
    </row>
    <row r="96" spans="1:187" ht="12.75" customHeight="1">
      <c r="A96" s="2425"/>
      <c r="B96" s="2425"/>
      <c r="C96" s="2425"/>
      <c r="D96" s="2425"/>
      <c r="E96" s="2425"/>
      <c r="F96" s="2425"/>
      <c r="G96" s="2425"/>
      <c r="H96" s="2425"/>
      <c r="I96" s="2425"/>
      <c r="L96" s="2393"/>
      <c r="M96" s="2393"/>
      <c r="N96" s="2393"/>
      <c r="O96" s="2393"/>
      <c r="P96" s="2393"/>
      <c r="Q96" s="2393"/>
      <c r="R96" s="2393"/>
      <c r="S96" s="2393"/>
      <c r="T96" s="2393"/>
      <c r="U96" s="2393"/>
      <c r="V96" s="2393"/>
      <c r="W96" s="2402"/>
      <c r="X96" s="2393"/>
      <c r="CT96" s="2357"/>
      <c r="DC96" s="2360" t="s">
        <v>2384</v>
      </c>
      <c r="DD96" s="2392">
        <v>2373</v>
      </c>
      <c r="DE96" s="2357">
        <v>68</v>
      </c>
      <c r="DF96" s="2358">
        <f>DE96/DD96*100</f>
        <v>2.8655710071639273</v>
      </c>
      <c r="DG96" s="2357">
        <v>115</v>
      </c>
      <c r="DH96" s="2358">
        <f>DG96/DD96*100</f>
        <v>4.8461862621154657</v>
      </c>
      <c r="DI96" s="2357">
        <v>110</v>
      </c>
      <c r="DJ96" s="2358">
        <f>DI96/DD96*100</f>
        <v>4.6354825115887071</v>
      </c>
      <c r="DS96" s="2360"/>
      <c r="DT96" s="2359"/>
      <c r="DU96" s="2357"/>
      <c r="DV96" s="2358"/>
      <c r="DW96" s="2357"/>
      <c r="DX96" s="2358"/>
      <c r="DY96" s="2357"/>
      <c r="DZ96" s="2358"/>
      <c r="EI96" s="2360"/>
      <c r="EJ96" s="2357"/>
      <c r="EK96" s="2357"/>
      <c r="EL96" s="2358"/>
      <c r="EM96" s="2357"/>
      <c r="EN96" s="2358"/>
      <c r="EO96" s="2357"/>
      <c r="EP96" s="2358"/>
      <c r="EQ96" s="2358"/>
      <c r="EU96" s="2401"/>
      <c r="EV96" s="2360"/>
      <c r="EW96" s="2357"/>
      <c r="EX96" s="2357"/>
      <c r="EZ96" s="2401"/>
      <c r="FB96" s="2401"/>
      <c r="FD96" s="2401"/>
      <c r="FE96" s="2401"/>
      <c r="FG96" s="2357"/>
      <c r="FH96" s="2358"/>
      <c r="FI96" s="2400"/>
      <c r="FJ96" s="2401"/>
      <c r="FK96" s="2357"/>
      <c r="FL96" s="2401"/>
      <c r="FV96" s="2360"/>
      <c r="FW96" s="2357"/>
      <c r="FX96" s="2357"/>
      <c r="FY96" s="2357"/>
      <c r="FZ96" s="2401"/>
      <c r="GA96" s="2357"/>
      <c r="GB96" s="2358"/>
      <c r="GC96" s="2357"/>
      <c r="GD96" s="2400"/>
    </row>
    <row r="97" spans="1:186" ht="12.75" customHeight="1">
      <c r="A97" s="2424" t="s">
        <v>4151</v>
      </c>
      <c r="B97" s="2424"/>
      <c r="C97" s="2424"/>
      <c r="D97" s="2424"/>
      <c r="E97" s="2424"/>
      <c r="F97" s="2424"/>
      <c r="G97" s="2424"/>
      <c r="H97" s="2424"/>
      <c r="I97" s="2424"/>
      <c r="L97" s="2393"/>
      <c r="M97" s="2393"/>
      <c r="N97" s="2393"/>
      <c r="O97" s="2393"/>
      <c r="P97" s="2393"/>
      <c r="Q97" s="2393"/>
      <c r="R97" s="2393"/>
      <c r="S97" s="2393"/>
      <c r="T97" s="2393"/>
      <c r="U97" s="2393"/>
      <c r="V97" s="2393"/>
      <c r="W97" s="2402"/>
      <c r="X97" s="2393"/>
      <c r="CT97" s="2357"/>
      <c r="DC97" s="2356" t="s">
        <v>2252</v>
      </c>
      <c r="DD97" s="2392">
        <v>5195</v>
      </c>
      <c r="DE97" s="2357">
        <v>204</v>
      </c>
      <c r="DF97" s="2358">
        <f>DE97/DD97*100</f>
        <v>3.9268527430221369</v>
      </c>
      <c r="DG97" s="2357">
        <v>197</v>
      </c>
      <c r="DH97" s="2358">
        <f>DG97/DD97*100</f>
        <v>3.7921077959576515</v>
      </c>
      <c r="DI97" s="2357">
        <v>225</v>
      </c>
      <c r="DJ97" s="2358">
        <f>DI97/DD97*100</f>
        <v>4.3310875842155916</v>
      </c>
      <c r="DS97" s="2356"/>
      <c r="DT97" s="2359"/>
      <c r="DU97" s="2357"/>
      <c r="DV97" s="2358"/>
      <c r="DW97" s="2357"/>
      <c r="DX97" s="2358"/>
      <c r="DY97" s="2357"/>
      <c r="DZ97" s="2358"/>
      <c r="EI97" s="2356"/>
      <c r="EJ97" s="2357"/>
      <c r="EK97" s="2357"/>
      <c r="EL97" s="2358"/>
      <c r="EM97" s="2357"/>
      <c r="EN97" s="2358"/>
      <c r="EO97" s="2357"/>
      <c r="EP97" s="2358"/>
      <c r="EQ97" s="2358"/>
      <c r="EU97" s="2401"/>
      <c r="EV97" s="2356"/>
      <c r="EW97" s="2357"/>
      <c r="EX97" s="2357"/>
      <c r="EZ97" s="2401"/>
      <c r="FB97" s="2401"/>
      <c r="FD97" s="2401"/>
      <c r="FE97" s="2401"/>
      <c r="FG97" s="2357"/>
      <c r="FH97" s="2358"/>
      <c r="FI97" s="2400"/>
      <c r="FJ97" s="2401"/>
      <c r="FK97" s="2357"/>
      <c r="FL97" s="2401"/>
      <c r="FV97" s="2356"/>
      <c r="FW97" s="2357"/>
      <c r="FX97" s="2357"/>
      <c r="FY97" s="2357"/>
      <c r="FZ97" s="2401"/>
      <c r="GA97" s="2357"/>
      <c r="GB97" s="2358"/>
      <c r="GC97" s="2357"/>
      <c r="GD97" s="2400"/>
    </row>
    <row r="98" spans="1:186" ht="12.75" customHeight="1">
      <c r="A98" s="2387"/>
      <c r="B98" s="2423"/>
      <c r="C98" s="2422"/>
      <c r="D98" s="2420" t="s">
        <v>4152</v>
      </c>
      <c r="E98" s="2421"/>
      <c r="F98" s="2420" t="s">
        <v>4153</v>
      </c>
      <c r="G98" s="2421"/>
      <c r="H98" s="2420" t="s">
        <v>4154</v>
      </c>
      <c r="I98" s="2419"/>
      <c r="J98" s="2420" t="s">
        <v>4155</v>
      </c>
      <c r="K98" s="2419"/>
      <c r="L98" s="2393"/>
      <c r="M98" s="2393"/>
      <c r="N98" s="2393"/>
      <c r="O98" s="2393"/>
      <c r="P98" s="2393"/>
      <c r="Q98" s="2393"/>
      <c r="R98" s="2393"/>
      <c r="S98" s="2393"/>
      <c r="T98" s="2393"/>
      <c r="U98" s="2393"/>
      <c r="V98" s="2393"/>
      <c r="W98" s="2402"/>
      <c r="X98" s="2393"/>
      <c r="CT98" s="2357"/>
      <c r="DC98" s="2356" t="s">
        <v>2195</v>
      </c>
      <c r="DD98" s="2392">
        <v>4852</v>
      </c>
      <c r="DE98" s="2357">
        <v>180</v>
      </c>
      <c r="DF98" s="2358">
        <f>DE98/DD98*100</f>
        <v>3.7098103874690849</v>
      </c>
      <c r="DG98" s="2357">
        <v>204</v>
      </c>
      <c r="DH98" s="2358">
        <f>DG98/DD98*100</f>
        <v>4.2044517724649628</v>
      </c>
      <c r="DI98" s="2357">
        <v>195</v>
      </c>
      <c r="DJ98" s="2358">
        <f>DI98/DD98*100</f>
        <v>4.0189612530915086</v>
      </c>
      <c r="DS98" s="2356"/>
      <c r="DT98" s="2359"/>
      <c r="DU98" s="2357"/>
      <c r="DV98" s="2358"/>
      <c r="DW98" s="2357"/>
      <c r="DX98" s="2358"/>
      <c r="DY98" s="2357"/>
      <c r="DZ98" s="2358"/>
      <c r="EI98" s="2356"/>
      <c r="EJ98" s="2357"/>
      <c r="EK98" s="2357"/>
      <c r="EL98" s="2358"/>
      <c r="EM98" s="2357"/>
      <c r="EN98" s="2358"/>
      <c r="EO98" s="2357"/>
      <c r="EP98" s="2358"/>
      <c r="EQ98" s="2358"/>
      <c r="EU98" s="2401"/>
      <c r="EV98" s="2356"/>
      <c r="EW98" s="2357"/>
      <c r="EX98" s="2357"/>
      <c r="EZ98" s="2401"/>
      <c r="FB98" s="2401"/>
      <c r="FD98" s="2401"/>
      <c r="FE98" s="2401"/>
      <c r="FG98" s="2357"/>
      <c r="FH98" s="2358"/>
      <c r="FI98" s="2400"/>
      <c r="FJ98" s="2401"/>
      <c r="FK98" s="2357"/>
      <c r="FL98" s="2401"/>
      <c r="FV98" s="2356"/>
      <c r="FW98" s="2357"/>
      <c r="FX98" s="2357"/>
      <c r="FY98" s="2357"/>
      <c r="FZ98" s="2401"/>
      <c r="GA98" s="2357"/>
      <c r="GB98" s="2358"/>
      <c r="GC98" s="2357"/>
      <c r="GD98" s="2400"/>
    </row>
    <row r="99" spans="1:186" ht="12.75" customHeight="1">
      <c r="A99" s="2356" t="s">
        <v>3990</v>
      </c>
      <c r="B99" s="2418" t="s">
        <v>3991</v>
      </c>
      <c r="C99" s="2417" t="s">
        <v>129</v>
      </c>
      <c r="D99" s="2415" t="s">
        <v>4156</v>
      </c>
      <c r="E99" s="2416"/>
      <c r="F99" s="2415" t="s">
        <v>4157</v>
      </c>
      <c r="G99" s="2416"/>
      <c r="H99" s="2415" t="s">
        <v>4158</v>
      </c>
      <c r="I99" s="2414"/>
      <c r="J99" s="2415" t="s">
        <v>4159</v>
      </c>
      <c r="K99" s="2414"/>
      <c r="L99" s="2393"/>
      <c r="M99" s="2393"/>
      <c r="N99" s="2393"/>
      <c r="O99" s="2393"/>
      <c r="P99" s="2393"/>
      <c r="Q99" s="2393"/>
      <c r="R99" s="2393"/>
      <c r="S99" s="2393"/>
      <c r="T99" s="2393"/>
      <c r="U99" s="2393"/>
      <c r="V99" s="2393"/>
      <c r="W99" s="2402"/>
      <c r="X99" s="2393"/>
      <c r="CT99" s="2357"/>
      <c r="DC99" s="2356" t="s">
        <v>4042</v>
      </c>
      <c r="DD99" s="2391">
        <v>12458</v>
      </c>
      <c r="DE99" s="2357">
        <v>474</v>
      </c>
      <c r="DF99" s="2358">
        <f>DE99/DD99*100</f>
        <v>3.8047840744902874</v>
      </c>
      <c r="DG99" s="2357">
        <v>513</v>
      </c>
      <c r="DH99" s="2358">
        <f>DG99/DD99*100</f>
        <v>4.1178359287205009</v>
      </c>
      <c r="DI99" s="2357">
        <v>477</v>
      </c>
      <c r="DJ99" s="2358">
        <f>DI99/DD99*100</f>
        <v>3.8288649863541497</v>
      </c>
      <c r="DS99" s="2356"/>
      <c r="DT99" s="2359"/>
      <c r="DU99" s="2357"/>
      <c r="DV99" s="2358"/>
      <c r="DW99" s="2357"/>
      <c r="DX99" s="2358"/>
      <c r="DY99" s="2357"/>
      <c r="DZ99" s="2358"/>
      <c r="EI99" s="2356"/>
      <c r="EJ99" s="2357"/>
      <c r="EK99" s="2357"/>
      <c r="EL99" s="2358"/>
      <c r="EM99" s="2357"/>
      <c r="EN99" s="2358"/>
      <c r="EO99" s="2357"/>
      <c r="EP99" s="2358"/>
      <c r="EQ99" s="2358"/>
      <c r="EU99" s="2401"/>
      <c r="EV99" s="2356"/>
      <c r="EW99" s="2357"/>
      <c r="EX99" s="2357"/>
      <c r="EY99" s="2357"/>
      <c r="EZ99" s="2401"/>
      <c r="FA99" s="2357"/>
      <c r="FB99" s="2401"/>
      <c r="FC99" s="2357"/>
      <c r="FD99" s="2401"/>
      <c r="FE99" s="2401"/>
      <c r="FG99" s="2357"/>
      <c r="FH99" s="2358"/>
      <c r="FI99" s="2400"/>
      <c r="FJ99" s="2401"/>
      <c r="FK99" s="2357"/>
      <c r="FL99" s="2401"/>
      <c r="FV99" s="2356"/>
      <c r="FW99" s="2357"/>
      <c r="FX99" s="2357"/>
      <c r="FY99" s="2357"/>
      <c r="FZ99" s="2401"/>
      <c r="GA99" s="2357"/>
      <c r="GB99" s="2358"/>
      <c r="GC99" s="2357"/>
      <c r="GD99" s="2400"/>
    </row>
    <row r="100" spans="1:186" ht="12.75" customHeight="1">
      <c r="A100" s="2368" t="s">
        <v>4020</v>
      </c>
      <c r="B100" s="2374" t="s">
        <v>4021</v>
      </c>
      <c r="C100" s="2412" t="s">
        <v>3972</v>
      </c>
      <c r="D100" s="2413" t="s">
        <v>1665</v>
      </c>
      <c r="E100" s="2413" t="s">
        <v>1666</v>
      </c>
      <c r="F100" s="2413" t="s">
        <v>1665</v>
      </c>
      <c r="G100" s="2413" t="s">
        <v>1666</v>
      </c>
      <c r="H100" s="2413" t="s">
        <v>1665</v>
      </c>
      <c r="I100" s="2412" t="s">
        <v>1666</v>
      </c>
      <c r="J100" s="2413" t="s">
        <v>1665</v>
      </c>
      <c r="K100" s="2412" t="s">
        <v>1666</v>
      </c>
      <c r="L100" s="2396"/>
      <c r="M100" s="2396"/>
      <c r="N100" s="2396"/>
      <c r="O100" s="2396"/>
      <c r="P100" s="2396"/>
      <c r="Q100" s="2396"/>
      <c r="R100" s="2396"/>
      <c r="S100" s="2396"/>
      <c r="T100" s="2396"/>
      <c r="U100" s="2396"/>
      <c r="V100" s="2396"/>
      <c r="W100" s="2402"/>
      <c r="X100" s="2396"/>
      <c r="CT100" s="2357"/>
      <c r="DC100" s="2356" t="s">
        <v>4045</v>
      </c>
      <c r="DD100" s="2391">
        <v>11911</v>
      </c>
      <c r="DE100" s="2357">
        <v>442</v>
      </c>
      <c r="DF100" s="2358">
        <f>DE100/DD100*100</f>
        <v>3.7108555117118627</v>
      </c>
      <c r="DG100" s="2357">
        <v>464</v>
      </c>
      <c r="DH100" s="2358">
        <f>DG100/DD100*100</f>
        <v>3.8955587272269332</v>
      </c>
      <c r="DI100" s="2357">
        <v>483</v>
      </c>
      <c r="DJ100" s="2358">
        <f>DI100/DD100*100</f>
        <v>4.0550751406263119</v>
      </c>
      <c r="DS100" s="2356"/>
      <c r="DT100" s="2359"/>
      <c r="DU100" s="2357"/>
      <c r="DV100" s="2358"/>
      <c r="DW100" s="2357"/>
      <c r="DX100" s="2358"/>
      <c r="DY100" s="2357"/>
      <c r="DZ100" s="2358"/>
      <c r="EI100" s="2356"/>
      <c r="EJ100" s="2357"/>
      <c r="EK100" s="2357"/>
      <c r="EL100" s="2358"/>
      <c r="EM100" s="2357"/>
      <c r="EN100" s="2358"/>
      <c r="EO100" s="2357"/>
      <c r="EP100" s="2358"/>
      <c r="EQ100" s="2358"/>
      <c r="EU100" s="2401"/>
      <c r="EV100" s="2356"/>
      <c r="EW100" s="2357"/>
      <c r="EX100" s="2357"/>
      <c r="EY100" s="2357"/>
      <c r="EZ100" s="2401"/>
      <c r="FA100" s="2357"/>
      <c r="FB100" s="2401"/>
      <c r="FC100" s="2357"/>
      <c r="FD100" s="2401"/>
      <c r="FE100" s="2401"/>
      <c r="FG100" s="2357"/>
      <c r="FH100" s="2358"/>
      <c r="FI100" s="2400"/>
      <c r="FJ100" s="2401"/>
      <c r="FK100" s="2357"/>
      <c r="FL100" s="2401"/>
      <c r="FV100" s="2356"/>
      <c r="FW100" s="2357"/>
      <c r="FX100" s="2357"/>
      <c r="FY100" s="2357"/>
      <c r="FZ100" s="2401"/>
      <c r="GA100" s="2357"/>
      <c r="GB100" s="2358"/>
      <c r="GC100" s="2357"/>
      <c r="GD100" s="2400"/>
    </row>
    <row r="101" spans="1:186" ht="12.75" customHeight="1">
      <c r="A101" s="2356" t="s">
        <v>3503</v>
      </c>
      <c r="B101" s="2369">
        <f>SUM(B102:B120)</f>
        <v>54878</v>
      </c>
      <c r="C101" s="2357">
        <f>SUM(C102:C120)</f>
        <v>29377</v>
      </c>
      <c r="D101" s="2357">
        <f>SUM(D102:D120)</f>
        <v>140</v>
      </c>
      <c r="E101" s="2400">
        <f>D101/C101*100</f>
        <v>0.47656329781802093</v>
      </c>
      <c r="F101" s="2357">
        <f>SUM(F102:F120)</f>
        <v>185</v>
      </c>
      <c r="G101" s="2400">
        <f>F101/C101*100</f>
        <v>0.62974435783095617</v>
      </c>
      <c r="H101" s="2357">
        <f>SUM(H102:H120)</f>
        <v>169</v>
      </c>
      <c r="I101" s="2400">
        <f>H101/C101*100</f>
        <v>0.57527998093746813</v>
      </c>
      <c r="J101" s="2359">
        <f>SUM(J102:J120)</f>
        <v>86</v>
      </c>
      <c r="K101" s="2401">
        <f>J101/C101*100</f>
        <v>0.29274602580249859</v>
      </c>
      <c r="L101" s="2393"/>
      <c r="M101" s="2393"/>
      <c r="N101" s="2393"/>
      <c r="O101" s="2393"/>
      <c r="P101" s="2393"/>
      <c r="Q101" s="2393"/>
      <c r="R101" s="2393"/>
      <c r="S101" s="2393"/>
      <c r="T101" s="2393"/>
      <c r="U101" s="2393"/>
      <c r="V101" s="2393"/>
      <c r="W101" s="2402"/>
      <c r="X101" s="2393"/>
      <c r="CT101" s="2357"/>
      <c r="DC101" s="2356" t="s">
        <v>4048</v>
      </c>
      <c r="DD101" s="2391">
        <v>3126</v>
      </c>
      <c r="DE101" s="2357">
        <v>103</v>
      </c>
      <c r="DF101" s="2358">
        <f>DE101/DD101*100</f>
        <v>3.2949456174024312</v>
      </c>
      <c r="DG101" s="2357">
        <v>126</v>
      </c>
      <c r="DH101" s="2358">
        <f>DG101/DD101*100</f>
        <v>4.0307101727447217</v>
      </c>
      <c r="DI101" s="2357">
        <v>105</v>
      </c>
      <c r="DJ101" s="2358">
        <f>DI101/DD101*100</f>
        <v>3.3589251439539352</v>
      </c>
      <c r="DS101" s="2356"/>
      <c r="DT101" s="2359"/>
      <c r="DU101" s="2357"/>
      <c r="DV101" s="2358"/>
      <c r="DW101" s="2357"/>
      <c r="DX101" s="2358"/>
      <c r="DY101" s="2357"/>
      <c r="DZ101" s="2358"/>
      <c r="EI101" s="2356"/>
      <c r="EJ101" s="2357"/>
      <c r="EK101" s="2357"/>
      <c r="EL101" s="2358"/>
      <c r="EM101" s="2357"/>
      <c r="EN101" s="2358"/>
      <c r="EO101" s="2357"/>
      <c r="EP101" s="2358"/>
      <c r="EQ101" s="2358"/>
      <c r="EU101" s="2401"/>
      <c r="EV101" s="2356"/>
      <c r="EW101" s="2357"/>
      <c r="EX101" s="2357"/>
      <c r="EZ101" s="2401"/>
      <c r="FB101" s="2401"/>
      <c r="FD101" s="2401"/>
      <c r="FE101" s="2401"/>
      <c r="FG101" s="2357"/>
      <c r="FH101" s="2358"/>
      <c r="FI101" s="2400"/>
      <c r="FJ101" s="2401"/>
      <c r="FK101" s="2357"/>
      <c r="FL101" s="2401"/>
      <c r="FV101" s="2356"/>
      <c r="FW101" s="2357"/>
      <c r="FX101" s="2357"/>
      <c r="FY101" s="2357"/>
      <c r="FZ101" s="2401"/>
      <c r="GA101" s="2357"/>
      <c r="GB101" s="2358"/>
      <c r="GC101" s="2357"/>
      <c r="GD101" s="2400"/>
    </row>
    <row r="102" spans="1:186" ht="12.75" customHeight="1">
      <c r="A102" s="2360" t="s">
        <v>2250</v>
      </c>
      <c r="B102" s="2370">
        <v>439</v>
      </c>
      <c r="C102" s="2357">
        <v>265</v>
      </c>
      <c r="D102" s="2357">
        <v>0</v>
      </c>
      <c r="E102" s="2400">
        <f>D102/C102*100</f>
        <v>0</v>
      </c>
      <c r="F102" s="2357">
        <v>0</v>
      </c>
      <c r="G102" s="2400">
        <f>F102/C102*100</f>
        <v>0</v>
      </c>
      <c r="H102" s="2357">
        <v>2</v>
      </c>
      <c r="I102" s="2400">
        <f>H102/C102*100</f>
        <v>0.75471698113207553</v>
      </c>
      <c r="J102" s="2357">
        <v>1</v>
      </c>
      <c r="K102" s="2400">
        <v>0</v>
      </c>
      <c r="L102" s="2393"/>
      <c r="M102" s="2393"/>
      <c r="N102" s="2393"/>
      <c r="O102" s="2393"/>
      <c r="P102" s="2393"/>
      <c r="Q102" s="2393"/>
      <c r="R102" s="2393"/>
      <c r="S102" s="2393"/>
      <c r="T102" s="2393"/>
      <c r="U102" s="2393"/>
      <c r="V102" s="2393"/>
      <c r="W102" s="2402"/>
      <c r="X102" s="2393"/>
      <c r="CT102" s="2357"/>
      <c r="DC102" s="2356" t="s">
        <v>2151</v>
      </c>
      <c r="DD102" s="2391">
        <v>6182</v>
      </c>
      <c r="DE102" s="2357">
        <v>284</v>
      </c>
      <c r="DF102" s="2358">
        <f>DE102/DD102*100</f>
        <v>4.5939825299255901</v>
      </c>
      <c r="DG102" s="2357">
        <v>218</v>
      </c>
      <c r="DH102" s="2358">
        <f>DG102/DD102*100</f>
        <v>3.5263668715626006</v>
      </c>
      <c r="DI102" s="2357">
        <v>204</v>
      </c>
      <c r="DJ102" s="2358">
        <f>DI102/DD102*100</f>
        <v>3.2999029440310581</v>
      </c>
      <c r="DS102" s="2356"/>
      <c r="DT102" s="2359"/>
      <c r="DU102" s="2357"/>
      <c r="DV102" s="2358"/>
      <c r="DW102" s="2357"/>
      <c r="DX102" s="2358"/>
      <c r="DY102" s="2357"/>
      <c r="DZ102" s="2358"/>
      <c r="EI102" s="2356"/>
      <c r="EJ102" s="2357"/>
      <c r="EK102" s="2357"/>
      <c r="EL102" s="2358"/>
      <c r="EM102" s="2357"/>
      <c r="EN102" s="2358"/>
      <c r="EO102" s="2357"/>
      <c r="EP102" s="2358"/>
      <c r="EQ102" s="2358"/>
      <c r="EU102" s="2401"/>
      <c r="EV102" s="2356"/>
      <c r="EW102" s="2357"/>
      <c r="EX102" s="2357"/>
      <c r="EY102" s="2357"/>
      <c r="EZ102" s="2401"/>
      <c r="FA102" s="2357"/>
      <c r="FB102" s="2401"/>
      <c r="FC102" s="2357"/>
      <c r="FD102" s="2401"/>
      <c r="FE102" s="2401"/>
      <c r="FG102" s="2357"/>
      <c r="FH102" s="2358"/>
      <c r="FI102" s="2400"/>
      <c r="FJ102" s="2401"/>
      <c r="FK102" s="2357"/>
      <c r="FL102" s="2401"/>
      <c r="FV102" s="2356"/>
      <c r="FW102" s="2357"/>
      <c r="FX102" s="2357"/>
      <c r="FY102" s="2357"/>
      <c r="FZ102" s="2401"/>
      <c r="GA102" s="2357"/>
      <c r="GB102" s="2358"/>
      <c r="GC102" s="2357"/>
      <c r="GD102" s="2400"/>
    </row>
    <row r="103" spans="1:186" ht="12.75" customHeight="1">
      <c r="A103" s="2356" t="s">
        <v>2252</v>
      </c>
      <c r="B103" s="2369">
        <v>1058</v>
      </c>
      <c r="C103" s="2357">
        <v>657</v>
      </c>
      <c r="D103" s="2357">
        <v>4</v>
      </c>
      <c r="E103" s="2400">
        <f>D103/C103*100</f>
        <v>0.60882800608828003</v>
      </c>
      <c r="F103" s="2357">
        <v>3</v>
      </c>
      <c r="G103" s="2400">
        <f>F103/C103*100</f>
        <v>0.45662100456621002</v>
      </c>
      <c r="H103" s="2357">
        <v>2</v>
      </c>
      <c r="I103" s="2400">
        <f>H103/C103*100</f>
        <v>0.30441400304414001</v>
      </c>
      <c r="J103" s="2357">
        <v>0</v>
      </c>
      <c r="K103" s="2400">
        <v>0</v>
      </c>
      <c r="L103" s="2393"/>
      <c r="M103" s="2393"/>
      <c r="N103" s="2393"/>
      <c r="O103" s="2393"/>
      <c r="P103" s="2393"/>
      <c r="Q103" s="2393"/>
      <c r="R103" s="2393"/>
      <c r="S103" s="2393"/>
      <c r="T103" s="2393"/>
      <c r="U103" s="2393"/>
      <c r="V103" s="2393"/>
      <c r="W103" s="2402"/>
      <c r="X103" s="2393"/>
      <c r="CT103" s="2357"/>
      <c r="DC103" s="2356" t="s">
        <v>4052</v>
      </c>
      <c r="DD103" s="2391">
        <v>8889</v>
      </c>
      <c r="DE103" s="2357">
        <v>395</v>
      </c>
      <c r="DF103" s="2358">
        <f>DE103/DD103*100</f>
        <v>4.4436944538193277</v>
      </c>
      <c r="DG103" s="2357">
        <v>326</v>
      </c>
      <c r="DH103" s="2358">
        <f>DG103/DD103*100</f>
        <v>3.6674541568230397</v>
      </c>
      <c r="DI103" s="2357">
        <v>328</v>
      </c>
      <c r="DJ103" s="2358">
        <f>DI103/DD103*100</f>
        <v>3.6899538755765549</v>
      </c>
      <c r="DS103" s="2356"/>
      <c r="DT103" s="2359"/>
      <c r="DU103" s="2357"/>
      <c r="DV103" s="2358"/>
      <c r="DW103" s="2357"/>
      <c r="DX103" s="2358"/>
      <c r="DY103" s="2357"/>
      <c r="DZ103" s="2358"/>
      <c r="EI103" s="2356"/>
      <c r="EJ103" s="2357"/>
      <c r="EK103" s="2357"/>
      <c r="EL103" s="2358"/>
      <c r="EM103" s="2357"/>
      <c r="EN103" s="2358"/>
      <c r="EO103" s="2357"/>
      <c r="EP103" s="2358"/>
      <c r="EQ103" s="2358"/>
      <c r="EU103" s="2401"/>
      <c r="EV103" s="2356"/>
      <c r="EW103" s="2357"/>
      <c r="EX103" s="2357"/>
      <c r="EY103" s="2357"/>
      <c r="EZ103" s="2401"/>
      <c r="FA103" s="2357"/>
      <c r="FB103" s="2401"/>
      <c r="FC103" s="2357"/>
      <c r="FD103" s="2401"/>
      <c r="FE103" s="2401"/>
      <c r="FG103" s="2357"/>
      <c r="FH103" s="2358"/>
      <c r="FI103" s="2400"/>
      <c r="FJ103" s="2401"/>
      <c r="FK103" s="2357"/>
      <c r="FL103" s="2401"/>
      <c r="FV103" s="2356"/>
      <c r="FW103" s="2357"/>
      <c r="FX103" s="2357"/>
      <c r="FY103" s="2357"/>
      <c r="FZ103" s="2401"/>
      <c r="GA103" s="2357"/>
      <c r="GB103" s="2358"/>
      <c r="GC103" s="2357"/>
      <c r="GD103" s="2400"/>
    </row>
    <row r="104" spans="1:186" ht="12.75" customHeight="1">
      <c r="A104" s="2356" t="s">
        <v>2195</v>
      </c>
      <c r="B104" s="2369">
        <v>885</v>
      </c>
      <c r="C104" s="2357">
        <v>532</v>
      </c>
      <c r="D104" s="2357">
        <v>4</v>
      </c>
      <c r="E104" s="2400">
        <f>D104/C104*100</f>
        <v>0.75187969924812026</v>
      </c>
      <c r="F104" s="2357">
        <v>2</v>
      </c>
      <c r="G104" s="2400">
        <f>F104/C104*100</f>
        <v>0.37593984962406013</v>
      </c>
      <c r="H104" s="2357">
        <v>4</v>
      </c>
      <c r="I104" s="2400">
        <f>H104/C104*100</f>
        <v>0.75187969924812026</v>
      </c>
      <c r="J104" s="2357">
        <v>3</v>
      </c>
      <c r="K104" s="2400">
        <v>1</v>
      </c>
      <c r="L104" s="2393"/>
      <c r="M104" s="2393"/>
      <c r="N104" s="2393"/>
      <c r="O104" s="2393"/>
      <c r="P104" s="2393"/>
      <c r="Q104" s="2393"/>
      <c r="R104" s="2393"/>
      <c r="S104" s="2393"/>
      <c r="T104" s="2393"/>
      <c r="U104" s="2393"/>
      <c r="V104" s="2393"/>
      <c r="W104" s="2402"/>
      <c r="X104" s="2393"/>
      <c r="CT104" s="2357"/>
      <c r="DC104" s="2356" t="s">
        <v>4056</v>
      </c>
      <c r="DD104" s="2391">
        <v>9818</v>
      </c>
      <c r="DE104" s="2357">
        <v>380</v>
      </c>
      <c r="DF104" s="2358">
        <f>DE104/DD104*100</f>
        <v>3.8704420452230597</v>
      </c>
      <c r="DG104" s="2357">
        <v>371</v>
      </c>
      <c r="DH104" s="2358">
        <f>DG104/DD104*100</f>
        <v>3.7787736809940924</v>
      </c>
      <c r="DI104" s="2357">
        <v>398</v>
      </c>
      <c r="DJ104" s="2358">
        <f>DI104/DD104*100</f>
        <v>4.0537787736809943</v>
      </c>
      <c r="DS104" s="2356"/>
      <c r="DT104" s="2359"/>
      <c r="DU104" s="2357"/>
      <c r="DV104" s="2358"/>
      <c r="DW104" s="2357"/>
      <c r="DX104" s="2358"/>
      <c r="DY104" s="2357"/>
      <c r="DZ104" s="2358"/>
      <c r="EI104" s="2356"/>
      <c r="EJ104" s="2357"/>
      <c r="EK104" s="2357"/>
      <c r="EL104" s="2358"/>
      <c r="EM104" s="2357"/>
      <c r="EN104" s="2358"/>
      <c r="EO104" s="2357"/>
      <c r="EP104" s="2358"/>
      <c r="EQ104" s="2358"/>
      <c r="EU104" s="2401"/>
      <c r="EV104" s="2356"/>
      <c r="EW104" s="2357"/>
      <c r="EX104" s="2357"/>
      <c r="EY104" s="2357"/>
      <c r="EZ104" s="2401"/>
      <c r="FA104" s="2357"/>
      <c r="FB104" s="2401"/>
      <c r="FC104" s="2357"/>
      <c r="FD104" s="2401"/>
      <c r="FE104" s="2401"/>
      <c r="FG104" s="2357"/>
      <c r="FH104" s="2358"/>
      <c r="FI104" s="2400"/>
      <c r="FJ104" s="2401"/>
      <c r="FK104" s="2357"/>
      <c r="FL104" s="2401"/>
      <c r="FV104" s="2356"/>
      <c r="FW104" s="2357"/>
      <c r="FX104" s="2357"/>
      <c r="FY104" s="2357"/>
      <c r="FZ104" s="2401"/>
      <c r="GA104" s="2357"/>
      <c r="GB104" s="2358"/>
      <c r="GC104" s="2357"/>
      <c r="GD104" s="2400"/>
    </row>
    <row r="105" spans="1:186" ht="12.75" customHeight="1">
      <c r="A105" s="2356" t="s">
        <v>4042</v>
      </c>
      <c r="B105" s="2369">
        <v>2327</v>
      </c>
      <c r="C105" s="2357">
        <v>1335</v>
      </c>
      <c r="D105" s="2357">
        <v>9</v>
      </c>
      <c r="E105" s="2400">
        <f>D105/C105*100</f>
        <v>0.6741573033707865</v>
      </c>
      <c r="F105" s="2357">
        <v>4</v>
      </c>
      <c r="G105" s="2400">
        <f>F105/C105*100</f>
        <v>0.29962546816479402</v>
      </c>
      <c r="H105" s="2357">
        <v>7</v>
      </c>
      <c r="I105" s="2400">
        <f>H105/C105*100</f>
        <v>0.52434456928838957</v>
      </c>
      <c r="J105" s="2357">
        <v>4</v>
      </c>
      <c r="K105" s="2400">
        <v>0</v>
      </c>
      <c r="L105" s="2393"/>
      <c r="M105" s="2393"/>
      <c r="N105" s="2393"/>
      <c r="O105" s="2393"/>
      <c r="P105" s="2393"/>
      <c r="Q105" s="2393"/>
      <c r="R105" s="2393"/>
      <c r="S105" s="2393"/>
      <c r="T105" s="2393"/>
      <c r="U105" s="2393"/>
      <c r="V105" s="2393"/>
      <c r="W105" s="2402"/>
      <c r="X105" s="2393"/>
      <c r="CT105" s="2357"/>
      <c r="DC105" s="2356" t="s">
        <v>2209</v>
      </c>
      <c r="DD105" s="2391">
        <v>17727</v>
      </c>
      <c r="DE105" s="2357">
        <v>683</v>
      </c>
      <c r="DF105" s="2358">
        <f>DE105/DD105*100</f>
        <v>3.8528797878941727</v>
      </c>
      <c r="DG105" s="2357">
        <v>636</v>
      </c>
      <c r="DH105" s="2358">
        <f>DG105/DD105*100</f>
        <v>3.5877475038077513</v>
      </c>
      <c r="DI105" s="2357">
        <v>736</v>
      </c>
      <c r="DJ105" s="2358">
        <f>DI105/DD105*100</f>
        <v>4.1518587465448187</v>
      </c>
      <c r="DS105" s="2356"/>
      <c r="DT105" s="2359"/>
      <c r="DU105" s="2357"/>
      <c r="DV105" s="2358"/>
      <c r="DW105" s="2357"/>
      <c r="DX105" s="2358"/>
      <c r="DY105" s="2357"/>
      <c r="DZ105" s="2358"/>
      <c r="EI105" s="2356"/>
      <c r="EJ105" s="2357"/>
      <c r="EK105" s="2357"/>
      <c r="EL105" s="2358"/>
      <c r="EM105" s="2357"/>
      <c r="EN105" s="2358"/>
      <c r="EO105" s="2357"/>
      <c r="EP105" s="2358"/>
      <c r="EQ105" s="2358"/>
      <c r="EU105" s="2401"/>
      <c r="EV105" s="2356"/>
      <c r="EW105" s="2357"/>
      <c r="EX105" s="2357"/>
      <c r="EY105" s="2357"/>
      <c r="EZ105" s="2401"/>
      <c r="FA105" s="2357"/>
      <c r="FB105" s="2401"/>
      <c r="FC105" s="2357"/>
      <c r="FD105" s="2401"/>
      <c r="FE105" s="2401"/>
      <c r="FG105" s="2357"/>
      <c r="FH105" s="2358"/>
      <c r="FI105" s="2400"/>
      <c r="FJ105" s="2401"/>
      <c r="FK105" s="2357"/>
      <c r="FL105" s="2401"/>
      <c r="FV105" s="2356"/>
      <c r="FW105" s="2357"/>
      <c r="FX105" s="2357"/>
      <c r="FY105" s="2357"/>
      <c r="FZ105" s="2401"/>
      <c r="GA105" s="2357"/>
      <c r="GB105" s="2358"/>
      <c r="GC105" s="2357"/>
      <c r="GD105" s="2400"/>
    </row>
    <row r="106" spans="1:186" ht="12.75" customHeight="1">
      <c r="A106" s="2356" t="s">
        <v>4045</v>
      </c>
      <c r="B106" s="2369">
        <v>1872</v>
      </c>
      <c r="C106" s="2357">
        <v>1114</v>
      </c>
      <c r="D106" s="2357">
        <v>4</v>
      </c>
      <c r="E106" s="2400">
        <f>D106/C106*100</f>
        <v>0.35906642728904847</v>
      </c>
      <c r="F106" s="2357">
        <v>9</v>
      </c>
      <c r="G106" s="2400">
        <f>F106/C106*100</f>
        <v>0.80789946140035895</v>
      </c>
      <c r="H106" s="2357">
        <v>8</v>
      </c>
      <c r="I106" s="2400">
        <f>H106/C106*100</f>
        <v>0.71813285457809695</v>
      </c>
      <c r="J106" s="2357">
        <v>5</v>
      </c>
      <c r="K106" s="2400">
        <v>0</v>
      </c>
      <c r="L106" s="2393"/>
      <c r="M106" s="2393"/>
      <c r="N106" s="2393"/>
      <c r="O106" s="2393"/>
      <c r="P106" s="2393"/>
      <c r="Q106" s="2393"/>
      <c r="R106" s="2393"/>
      <c r="S106" s="2393"/>
      <c r="T106" s="2393"/>
      <c r="U106" s="2393"/>
      <c r="V106" s="2393"/>
      <c r="W106" s="2402"/>
      <c r="X106" s="2393"/>
      <c r="CT106" s="2357"/>
      <c r="DC106" s="2356" t="s">
        <v>2352</v>
      </c>
      <c r="DD106" s="2391">
        <v>17874</v>
      </c>
      <c r="DE106" s="2357">
        <v>689</v>
      </c>
      <c r="DF106" s="2358">
        <f>DE106/DD106*100</f>
        <v>3.8547611055163924</v>
      </c>
      <c r="DG106" s="2357">
        <v>744</v>
      </c>
      <c r="DH106" s="2358">
        <f>DG106/DD106*100</f>
        <v>4.1624706277274255</v>
      </c>
      <c r="DI106" s="2357">
        <v>790</v>
      </c>
      <c r="DJ106" s="2358">
        <f>DI106/DD106*100</f>
        <v>4.4198276826675622</v>
      </c>
      <c r="DS106" s="2356"/>
      <c r="DT106" s="2359"/>
      <c r="DU106" s="2357"/>
      <c r="DV106" s="2358"/>
      <c r="DW106" s="2357"/>
      <c r="DX106" s="2358"/>
      <c r="DY106" s="2357"/>
      <c r="DZ106" s="2358"/>
      <c r="EI106" s="2356"/>
      <c r="EJ106" s="2357"/>
      <c r="EK106" s="2357"/>
      <c r="EL106" s="2358"/>
      <c r="EM106" s="2357"/>
      <c r="EN106" s="2358"/>
      <c r="EO106" s="2357"/>
      <c r="EP106" s="2358"/>
      <c r="EQ106" s="2358"/>
      <c r="EU106" s="2401"/>
      <c r="EV106" s="2356"/>
      <c r="EW106" s="2357"/>
      <c r="EX106" s="2357"/>
      <c r="EY106" s="2357"/>
      <c r="EZ106" s="2401"/>
      <c r="FA106" s="2357"/>
      <c r="FB106" s="2401"/>
      <c r="FC106" s="2357"/>
      <c r="FD106" s="2401"/>
      <c r="FE106" s="2401"/>
      <c r="FG106" s="2357"/>
      <c r="FH106" s="2358"/>
      <c r="FI106" s="2400"/>
      <c r="FJ106" s="2401"/>
      <c r="FK106" s="2357"/>
      <c r="FL106" s="2401"/>
      <c r="FV106" s="2356"/>
      <c r="FW106" s="2357"/>
      <c r="FX106" s="2357"/>
      <c r="FY106" s="2357"/>
      <c r="FZ106" s="2401"/>
      <c r="GA106" s="2357"/>
      <c r="GB106" s="2358"/>
      <c r="GC106" s="2357"/>
      <c r="GD106" s="2400"/>
    </row>
    <row r="107" spans="1:186" ht="12.75" customHeight="1">
      <c r="A107" s="2356" t="s">
        <v>4048</v>
      </c>
      <c r="B107" s="2369">
        <v>684</v>
      </c>
      <c r="C107" s="2357">
        <v>456</v>
      </c>
      <c r="D107" s="2357">
        <v>4</v>
      </c>
      <c r="E107" s="2400">
        <f>D107/C107*100</f>
        <v>0.8771929824561403</v>
      </c>
      <c r="F107" s="2357">
        <v>2</v>
      </c>
      <c r="G107" s="2400">
        <f>F107/C107*100</f>
        <v>0.43859649122807015</v>
      </c>
      <c r="H107" s="2357">
        <v>4</v>
      </c>
      <c r="I107" s="2400">
        <f>H107/C107*100</f>
        <v>0.8771929824561403</v>
      </c>
      <c r="J107" s="2357">
        <v>7</v>
      </c>
      <c r="K107" s="2400">
        <v>2</v>
      </c>
      <c r="L107" s="2393"/>
      <c r="M107" s="2393"/>
      <c r="N107" s="2393"/>
      <c r="O107" s="2393"/>
      <c r="P107" s="2393"/>
      <c r="Q107" s="2393"/>
      <c r="R107" s="2393"/>
      <c r="S107" s="2393"/>
      <c r="T107" s="2393"/>
      <c r="U107" s="2393"/>
      <c r="V107" s="2393"/>
      <c r="W107" s="2402"/>
      <c r="X107" s="2393"/>
      <c r="CT107" s="2356"/>
      <c r="DC107" s="2356" t="s">
        <v>2261</v>
      </c>
      <c r="DD107" s="2391">
        <v>10189</v>
      </c>
      <c r="DE107" s="2357">
        <v>398</v>
      </c>
      <c r="DF107" s="2358">
        <f>DE107/DD107*100</f>
        <v>3.9061733241731282</v>
      </c>
      <c r="DG107" s="2357">
        <v>422</v>
      </c>
      <c r="DH107" s="2358">
        <f>DG107/DD107*100</f>
        <v>4.141721464324271</v>
      </c>
      <c r="DI107" s="2357">
        <v>418</v>
      </c>
      <c r="DJ107" s="2358">
        <f>DI107/DD107*100</f>
        <v>4.1024634409657468</v>
      </c>
      <c r="DS107" s="2356"/>
      <c r="DT107" s="2359"/>
      <c r="DU107" s="2357"/>
      <c r="DV107" s="2358"/>
      <c r="DW107" s="2357"/>
      <c r="DX107" s="2358"/>
      <c r="DY107" s="2357"/>
      <c r="DZ107" s="2358"/>
      <c r="EI107" s="2356"/>
      <c r="EJ107" s="2357"/>
      <c r="EK107" s="2357"/>
      <c r="EL107" s="2358"/>
      <c r="EM107" s="2357"/>
      <c r="EN107" s="2358"/>
      <c r="EO107" s="2357"/>
      <c r="EP107" s="2358"/>
      <c r="EQ107" s="2358"/>
      <c r="EU107" s="2401"/>
      <c r="EV107" s="2356"/>
      <c r="EW107" s="2357"/>
      <c r="EX107" s="2357"/>
      <c r="EY107" s="2357"/>
      <c r="EZ107" s="2401"/>
      <c r="FA107" s="2357"/>
      <c r="FB107" s="2401"/>
      <c r="FC107" s="2357"/>
      <c r="FD107" s="2401"/>
      <c r="FE107" s="2401"/>
      <c r="FG107" s="2357"/>
      <c r="FH107" s="2358"/>
      <c r="FI107" s="2400"/>
      <c r="FJ107" s="2401"/>
      <c r="FK107" s="2357"/>
      <c r="FL107" s="2401"/>
      <c r="FV107" s="2356"/>
      <c r="FW107" s="2357"/>
      <c r="FX107" s="2357"/>
      <c r="FY107" s="2357"/>
      <c r="FZ107" s="2401"/>
      <c r="GA107" s="2357"/>
      <c r="GB107" s="2358"/>
      <c r="GC107" s="2357"/>
      <c r="GD107" s="2400"/>
    </row>
    <row r="108" spans="1:186" ht="12.75" customHeight="1">
      <c r="A108" s="2356" t="s">
        <v>2151</v>
      </c>
      <c r="B108" s="2369">
        <v>1288</v>
      </c>
      <c r="C108" s="2357">
        <v>839</v>
      </c>
      <c r="D108" s="2357">
        <v>8</v>
      </c>
      <c r="E108" s="2400">
        <f>D108/C108*100</f>
        <v>0.95351609058402853</v>
      </c>
      <c r="F108" s="2357">
        <v>10</v>
      </c>
      <c r="G108" s="2400">
        <f>F108/C108*100</f>
        <v>1.1918951132300357</v>
      </c>
      <c r="H108" s="2357">
        <v>5</v>
      </c>
      <c r="I108" s="2400">
        <f>H108/C108*100</f>
        <v>0.59594755661501786</v>
      </c>
      <c r="J108" s="2357">
        <v>6</v>
      </c>
      <c r="K108" s="2400">
        <v>1</v>
      </c>
      <c r="L108" s="2393"/>
      <c r="M108" s="2393"/>
      <c r="N108" s="2393"/>
      <c r="O108" s="2393"/>
      <c r="P108" s="2393"/>
      <c r="Q108" s="2393"/>
      <c r="R108" s="2393"/>
      <c r="S108" s="2393"/>
      <c r="T108" s="2393"/>
      <c r="U108" s="2393"/>
      <c r="V108" s="2393"/>
      <c r="W108" s="2402"/>
      <c r="X108" s="2393"/>
      <c r="DC108" s="2356" t="s">
        <v>2251</v>
      </c>
      <c r="DD108" s="2391">
        <v>10709</v>
      </c>
      <c r="DE108" s="2357">
        <v>417</v>
      </c>
      <c r="DF108" s="2358">
        <f>DE108/DD108*100</f>
        <v>3.8939210010271736</v>
      </c>
      <c r="DG108" s="2357">
        <v>422</v>
      </c>
      <c r="DH108" s="2358">
        <f>DG108/DD108*100</f>
        <v>3.9406107012792977</v>
      </c>
      <c r="DI108" s="2357">
        <v>425</v>
      </c>
      <c r="DJ108" s="2358">
        <f>DI108/DD108*100</f>
        <v>3.9686245214305722</v>
      </c>
      <c r="DS108" s="2356"/>
      <c r="DT108" s="2359"/>
      <c r="DU108" s="2357"/>
      <c r="DV108" s="2358"/>
      <c r="DW108" s="2357"/>
      <c r="DX108" s="2358"/>
      <c r="DY108" s="2357"/>
      <c r="DZ108" s="2358"/>
      <c r="EI108" s="2356"/>
      <c r="EJ108" s="2357"/>
      <c r="EK108" s="2357"/>
      <c r="EL108" s="2358"/>
      <c r="EM108" s="2357"/>
      <c r="EN108" s="2358"/>
      <c r="EO108" s="2357"/>
      <c r="EP108" s="2358"/>
      <c r="EQ108" s="2358"/>
      <c r="EU108" s="2401"/>
      <c r="EV108" s="2356"/>
      <c r="EW108" s="2357"/>
      <c r="EX108" s="2357"/>
      <c r="EY108" s="2357"/>
      <c r="EZ108" s="2401"/>
      <c r="FA108" s="2357"/>
      <c r="FB108" s="2401"/>
      <c r="FC108" s="2357"/>
      <c r="FD108" s="2401"/>
      <c r="FE108" s="2401"/>
      <c r="FG108" s="2357"/>
      <c r="FH108" s="2358"/>
      <c r="FI108" s="2400"/>
      <c r="FJ108" s="2401"/>
      <c r="FK108" s="2357"/>
      <c r="FL108" s="2401"/>
      <c r="FV108" s="2356"/>
      <c r="FW108" s="2357"/>
      <c r="FX108" s="2357"/>
      <c r="FY108" s="2357"/>
      <c r="FZ108" s="2401"/>
      <c r="GA108" s="2357"/>
      <c r="GB108" s="2358"/>
      <c r="GC108" s="2357"/>
      <c r="GD108" s="2400"/>
    </row>
    <row r="109" spans="1:186" ht="15">
      <c r="A109" s="2356" t="s">
        <v>4052</v>
      </c>
      <c r="B109" s="2369">
        <v>1945</v>
      </c>
      <c r="C109" s="2357">
        <v>1386</v>
      </c>
      <c r="D109" s="2357">
        <v>7</v>
      </c>
      <c r="E109" s="2400">
        <f>D109/C109*100</f>
        <v>0.50505050505050508</v>
      </c>
      <c r="F109" s="2357">
        <v>9</v>
      </c>
      <c r="G109" s="2400">
        <f>F109/C109*100</f>
        <v>0.64935064935064934</v>
      </c>
      <c r="H109" s="2357">
        <v>2</v>
      </c>
      <c r="I109" s="2400">
        <f>H109/C109*100</f>
        <v>0.14430014430014429</v>
      </c>
      <c r="J109" s="2357">
        <v>2</v>
      </c>
      <c r="K109" s="2400">
        <v>0</v>
      </c>
      <c r="L109" s="2393"/>
      <c r="M109" s="2393"/>
      <c r="N109" s="2393"/>
      <c r="O109" s="2393"/>
      <c r="P109" s="2393"/>
      <c r="Q109" s="2393"/>
      <c r="R109" s="2393"/>
      <c r="S109" s="2393"/>
      <c r="T109" s="2393"/>
      <c r="U109" s="2393"/>
      <c r="V109" s="2393"/>
      <c r="W109" s="2402"/>
      <c r="X109" s="2393"/>
      <c r="DC109" s="2356" t="s">
        <v>2260</v>
      </c>
      <c r="DD109" s="2391">
        <v>12037</v>
      </c>
      <c r="DE109" s="2357">
        <v>501</v>
      </c>
      <c r="DF109" s="2358">
        <f>DE109/DD109*100</f>
        <v>4.1621666528204706</v>
      </c>
      <c r="DG109" s="2357">
        <v>519</v>
      </c>
      <c r="DH109" s="2358">
        <f>DG109/DD109*100</f>
        <v>4.3117055744786903</v>
      </c>
      <c r="DI109" s="2357">
        <v>518</v>
      </c>
      <c r="DJ109" s="2358">
        <f>DI109/DD109*100</f>
        <v>4.3033978566087896</v>
      </c>
      <c r="DS109" s="2356"/>
      <c r="DT109" s="2359"/>
      <c r="DU109" s="2357"/>
      <c r="DV109" s="2358"/>
      <c r="DW109" s="2357"/>
      <c r="DX109" s="2358"/>
      <c r="DY109" s="2357"/>
      <c r="DZ109" s="2358"/>
      <c r="EI109" s="2356"/>
      <c r="EJ109" s="2357"/>
      <c r="EK109" s="2357"/>
      <c r="EL109" s="2358"/>
      <c r="EM109" s="2357"/>
      <c r="EN109" s="2358"/>
      <c r="EO109" s="2357"/>
      <c r="EP109" s="2358"/>
      <c r="EQ109" s="2358"/>
      <c r="EU109" s="2401"/>
      <c r="EV109" s="2356"/>
      <c r="EW109" s="2357"/>
      <c r="EX109" s="2357"/>
      <c r="EY109" s="2357"/>
      <c r="EZ109" s="2401"/>
      <c r="FA109" s="2357"/>
      <c r="FB109" s="2401"/>
      <c r="FC109" s="2357"/>
      <c r="FD109" s="2401"/>
      <c r="FE109" s="2401"/>
      <c r="FG109" s="2357"/>
      <c r="FH109" s="2358"/>
      <c r="FI109" s="2400"/>
      <c r="FJ109" s="2401"/>
      <c r="FK109" s="2357"/>
      <c r="FL109" s="2401"/>
      <c r="FV109" s="2356"/>
      <c r="FW109" s="2357"/>
      <c r="FX109" s="2357"/>
      <c r="FY109" s="2357"/>
      <c r="FZ109" s="2401"/>
      <c r="GA109" s="2357"/>
      <c r="GB109" s="2358"/>
      <c r="GC109" s="2357"/>
      <c r="GD109" s="2400"/>
    </row>
    <row r="110" spans="1:186" ht="15">
      <c r="A110" s="2356" t="s">
        <v>4055</v>
      </c>
      <c r="B110" s="2369">
        <v>1713</v>
      </c>
      <c r="C110" s="2357">
        <v>1077</v>
      </c>
      <c r="D110" s="2357">
        <v>2</v>
      </c>
      <c r="E110" s="2400">
        <f>D110/C110*100</f>
        <v>0.18570102135561745</v>
      </c>
      <c r="F110" s="2357">
        <v>6</v>
      </c>
      <c r="G110" s="2400">
        <f>F110/C110*100</f>
        <v>0.55710306406685239</v>
      </c>
      <c r="H110" s="2357">
        <v>5</v>
      </c>
      <c r="I110" s="2400">
        <f>H110/C110*100</f>
        <v>0.46425255338904359</v>
      </c>
      <c r="J110" s="2357">
        <v>5</v>
      </c>
      <c r="K110" s="2400">
        <v>0</v>
      </c>
      <c r="L110" s="2393"/>
      <c r="M110" s="2393"/>
      <c r="N110" s="2393"/>
      <c r="O110" s="2393"/>
      <c r="P110" s="2393"/>
      <c r="Q110" s="2393"/>
      <c r="R110" s="2393"/>
      <c r="S110" s="2393"/>
      <c r="T110" s="2393"/>
      <c r="U110" s="2393"/>
      <c r="V110" s="2393"/>
      <c r="W110" s="2402"/>
      <c r="X110" s="2393"/>
      <c r="DC110" s="2356" t="s">
        <v>2253</v>
      </c>
      <c r="DD110" s="2391">
        <v>21729</v>
      </c>
      <c r="DE110" s="2357">
        <v>875</v>
      </c>
      <c r="DF110" s="2358">
        <f>DE110/DD110*100</f>
        <v>4.0268765244603983</v>
      </c>
      <c r="DG110" s="2357">
        <v>913</v>
      </c>
      <c r="DH110" s="2358">
        <f>DG110/DD110*100</f>
        <v>4.2017580192369648</v>
      </c>
      <c r="DI110" s="2357">
        <v>904</v>
      </c>
      <c r="DJ110" s="2358">
        <f>DI110/DD110*100</f>
        <v>4.1603387178425146</v>
      </c>
      <c r="DS110" s="2356"/>
      <c r="DT110" s="2359"/>
      <c r="DU110" s="2357"/>
      <c r="DV110" s="2358"/>
      <c r="DW110" s="2357"/>
      <c r="DX110" s="2358"/>
      <c r="DY110" s="2357"/>
      <c r="DZ110" s="2358"/>
      <c r="EI110" s="2356"/>
      <c r="EJ110" s="2357"/>
      <c r="EK110" s="2357"/>
      <c r="EL110" s="2358"/>
      <c r="EM110" s="2357"/>
      <c r="EN110" s="2358"/>
      <c r="EO110" s="2357"/>
      <c r="EP110" s="2358"/>
      <c r="EQ110" s="2358"/>
      <c r="EU110" s="2401"/>
      <c r="EV110" s="2356"/>
      <c r="EW110" s="2357"/>
      <c r="EX110" s="2357"/>
      <c r="EY110" s="2357"/>
      <c r="EZ110" s="2401"/>
      <c r="FA110" s="2357"/>
      <c r="FB110" s="2401"/>
      <c r="FC110" s="2357"/>
      <c r="FD110" s="2401"/>
      <c r="FE110" s="2401"/>
      <c r="FG110" s="2357"/>
      <c r="FH110" s="2358"/>
      <c r="FI110" s="2400"/>
      <c r="FJ110" s="2401"/>
      <c r="FK110" s="2357"/>
      <c r="FL110" s="2401"/>
      <c r="FV110" s="2356"/>
      <c r="FW110" s="2357"/>
      <c r="FX110" s="2357"/>
      <c r="FY110" s="2357"/>
      <c r="FZ110" s="2401"/>
      <c r="GA110" s="2357"/>
      <c r="GB110" s="2358"/>
      <c r="GC110" s="2357"/>
      <c r="GD110" s="2400"/>
    </row>
    <row r="111" spans="1:186" ht="15">
      <c r="A111" s="2356" t="s">
        <v>2209</v>
      </c>
      <c r="B111" s="2369">
        <v>2990</v>
      </c>
      <c r="C111" s="2357">
        <v>1737</v>
      </c>
      <c r="D111" s="2357">
        <v>7</v>
      </c>
      <c r="E111" s="2400">
        <f>D111/C111*100</f>
        <v>0.40299366724237184</v>
      </c>
      <c r="F111" s="2357">
        <v>17</v>
      </c>
      <c r="G111" s="2400">
        <f>F111/C111*100</f>
        <v>0.97869890616004607</v>
      </c>
      <c r="H111" s="2357">
        <v>14</v>
      </c>
      <c r="I111" s="2400">
        <f>H111/C111*100</f>
        <v>0.80598733448474369</v>
      </c>
      <c r="J111" s="2357">
        <v>4</v>
      </c>
      <c r="K111" s="2400">
        <v>0</v>
      </c>
      <c r="L111" s="2393"/>
      <c r="M111" s="2393"/>
      <c r="N111" s="2393"/>
      <c r="O111" s="2393"/>
      <c r="P111" s="2393"/>
      <c r="Q111" s="2393"/>
      <c r="R111" s="2393"/>
      <c r="S111" s="2393"/>
      <c r="T111" s="2393"/>
      <c r="U111" s="2393"/>
      <c r="V111" s="2393"/>
      <c r="W111" s="2402"/>
      <c r="X111" s="2393"/>
      <c r="CT111" s="2356"/>
      <c r="DC111" s="2356" t="s">
        <v>2185</v>
      </c>
      <c r="DD111" s="2391">
        <v>26978</v>
      </c>
      <c r="DE111" s="2357">
        <v>1071</v>
      </c>
      <c r="DF111" s="2358">
        <f>DE111/DD111*100</f>
        <v>3.9699014011416711</v>
      </c>
      <c r="DG111" s="2357">
        <v>1097</v>
      </c>
      <c r="DH111" s="2358">
        <f>DG111/DD111*100</f>
        <v>4.066276225072281</v>
      </c>
      <c r="DI111" s="2357">
        <v>1110</v>
      </c>
      <c r="DJ111" s="2358">
        <f>DI111/DD111*100</f>
        <v>4.114463637037586</v>
      </c>
      <c r="DS111" s="2356"/>
      <c r="DT111" s="2359"/>
      <c r="DU111" s="2357"/>
      <c r="DV111" s="2358"/>
      <c r="DW111" s="2357"/>
      <c r="DX111" s="2358"/>
      <c r="DY111" s="2357"/>
      <c r="DZ111" s="2358"/>
      <c r="EI111" s="2356"/>
      <c r="EJ111" s="2357"/>
      <c r="EK111" s="2357"/>
      <c r="EL111" s="2358"/>
      <c r="EM111" s="2357"/>
      <c r="EN111" s="2358"/>
      <c r="EO111" s="2357"/>
      <c r="EP111" s="2358"/>
      <c r="EQ111" s="2358"/>
      <c r="EU111" s="2401"/>
      <c r="EV111" s="2356"/>
      <c r="EW111" s="2357"/>
      <c r="EX111" s="2357"/>
      <c r="EY111" s="2357"/>
      <c r="EZ111" s="2401"/>
      <c r="FA111" s="2357"/>
      <c r="FB111" s="2401"/>
      <c r="FC111" s="2357"/>
      <c r="FD111" s="2401"/>
      <c r="FE111" s="2401"/>
      <c r="FG111" s="2357"/>
      <c r="FH111" s="2358"/>
      <c r="FI111" s="2400"/>
      <c r="FJ111" s="2401"/>
      <c r="FK111" s="2357"/>
      <c r="FL111" s="2401"/>
      <c r="FV111" s="2356"/>
      <c r="FW111" s="2357"/>
      <c r="FX111" s="2357"/>
      <c r="FY111" s="2357"/>
      <c r="FZ111" s="2401"/>
      <c r="GA111" s="2357"/>
      <c r="GB111" s="2358"/>
      <c r="GC111" s="2357"/>
      <c r="GD111" s="2400"/>
    </row>
    <row r="112" spans="1:186" ht="15">
      <c r="A112" s="2356" t="s">
        <v>2352</v>
      </c>
      <c r="B112" s="2369">
        <v>2764</v>
      </c>
      <c r="C112" s="2357">
        <v>1492</v>
      </c>
      <c r="D112" s="2357">
        <v>11</v>
      </c>
      <c r="E112" s="2400">
        <f>D112/C112*100</f>
        <v>0.73726541554959779</v>
      </c>
      <c r="F112" s="2357">
        <v>7</v>
      </c>
      <c r="G112" s="2400">
        <f>F112/C112*100</f>
        <v>0.46916890080428952</v>
      </c>
      <c r="H112" s="2357">
        <v>9</v>
      </c>
      <c r="I112" s="2400">
        <f>H112/C112*100</f>
        <v>0.60321715817694366</v>
      </c>
      <c r="J112" s="2357">
        <v>2</v>
      </c>
      <c r="K112" s="2400">
        <v>0</v>
      </c>
      <c r="L112" s="2393"/>
      <c r="M112" s="2393"/>
      <c r="N112" s="2393"/>
      <c r="O112" s="2393"/>
      <c r="P112" s="2393"/>
      <c r="Q112" s="2393"/>
      <c r="R112" s="2393"/>
      <c r="S112" s="2393"/>
      <c r="T112" s="2393"/>
      <c r="U112" s="2393"/>
      <c r="V112" s="2393"/>
      <c r="W112" s="2402"/>
      <c r="X112" s="2393"/>
      <c r="CJ112" s="2356"/>
      <c r="CK112" s="2356"/>
      <c r="CL112" s="2356"/>
      <c r="CM112" s="2356"/>
      <c r="CN112" s="2356"/>
      <c r="CO112" s="2356"/>
      <c r="CP112" s="2356"/>
      <c r="CQ112" s="2356"/>
      <c r="CR112" s="2356"/>
      <c r="CS112" s="2356"/>
      <c r="CT112" s="2409"/>
      <c r="DC112" s="2356" t="s">
        <v>2202</v>
      </c>
      <c r="DD112" s="2391">
        <v>23110</v>
      </c>
      <c r="DE112" s="2357">
        <v>925</v>
      </c>
      <c r="DF112" s="2358">
        <f>DE112/DD112*100</f>
        <v>4.0025962786672435</v>
      </c>
      <c r="DG112" s="2357">
        <v>1067</v>
      </c>
      <c r="DH112" s="2358">
        <f>DG112/DD112*100</f>
        <v>4.6170488965815668</v>
      </c>
      <c r="DI112" s="2357">
        <v>883</v>
      </c>
      <c r="DJ112" s="2358">
        <f>DI112/DD112*100</f>
        <v>3.8208567719601905</v>
      </c>
      <c r="DS112" s="2356"/>
      <c r="DT112" s="2359"/>
      <c r="DU112" s="2357"/>
      <c r="DV112" s="2358"/>
      <c r="DW112" s="2357"/>
      <c r="DX112" s="2358"/>
      <c r="DY112" s="2357"/>
      <c r="DZ112" s="2358"/>
      <c r="EI112" s="2356"/>
      <c r="EJ112" s="2357"/>
      <c r="EK112" s="2357"/>
      <c r="EL112" s="2358"/>
      <c r="EM112" s="2357"/>
      <c r="EN112" s="2358"/>
      <c r="EO112" s="2357"/>
      <c r="EP112" s="2358"/>
      <c r="EQ112" s="2358"/>
      <c r="EU112" s="2401"/>
      <c r="EV112" s="2356"/>
      <c r="EW112" s="2357"/>
      <c r="EX112" s="2357"/>
      <c r="EY112" s="2357"/>
      <c r="EZ112" s="2401"/>
      <c r="FA112" s="2357"/>
      <c r="FB112" s="2401"/>
      <c r="FC112" s="2357"/>
      <c r="FD112" s="2401"/>
      <c r="FE112" s="2401"/>
      <c r="FG112" s="2357"/>
      <c r="FH112" s="2358"/>
      <c r="FI112" s="2400"/>
      <c r="FJ112" s="2401"/>
      <c r="FK112" s="2357"/>
      <c r="FL112" s="2401"/>
      <c r="FV112" s="2356"/>
      <c r="FW112" s="2357"/>
      <c r="FX112" s="2357"/>
      <c r="FY112" s="2357"/>
      <c r="FZ112" s="2401"/>
      <c r="GA112" s="2357"/>
      <c r="GB112" s="2358"/>
      <c r="GC112" s="2357"/>
      <c r="GD112" s="2400"/>
    </row>
    <row r="113" spans="1:187" ht="15">
      <c r="A113" s="2356" t="s">
        <v>2261</v>
      </c>
      <c r="B113" s="2369">
        <v>1688</v>
      </c>
      <c r="C113" s="2357">
        <v>1079</v>
      </c>
      <c r="D113" s="2357">
        <v>6</v>
      </c>
      <c r="E113" s="2400">
        <f>D113/C113*100</f>
        <v>0.55607043558850788</v>
      </c>
      <c r="F113" s="2357">
        <v>9</v>
      </c>
      <c r="G113" s="2400">
        <f>F113/C113*100</f>
        <v>0.83410565338276188</v>
      </c>
      <c r="H113" s="2357">
        <v>8</v>
      </c>
      <c r="I113" s="2400">
        <f>H113/C113*100</f>
        <v>0.74142724745134381</v>
      </c>
      <c r="J113" s="2357">
        <v>1</v>
      </c>
      <c r="K113" s="2400">
        <v>0</v>
      </c>
      <c r="L113" s="2393"/>
      <c r="M113" s="2393"/>
      <c r="N113" s="2393"/>
      <c r="O113" s="2393"/>
      <c r="P113" s="2393"/>
      <c r="Q113" s="2393"/>
      <c r="R113" s="2393"/>
      <c r="S113" s="2393"/>
      <c r="T113" s="2393"/>
      <c r="U113" s="2393"/>
      <c r="V113" s="2393"/>
      <c r="W113" s="2402"/>
      <c r="X113" s="2393"/>
      <c r="CJ113" s="2356"/>
      <c r="CK113" s="2364"/>
      <c r="CL113" s="2409"/>
      <c r="CM113" s="2409"/>
      <c r="CN113" s="2409"/>
      <c r="CO113" s="2409"/>
      <c r="CP113" s="2409"/>
      <c r="CQ113" s="2409"/>
      <c r="CR113" s="2409"/>
      <c r="CS113" s="2409"/>
      <c r="CT113" s="2409"/>
      <c r="DC113" s="2356" t="s">
        <v>2177</v>
      </c>
      <c r="DD113" s="2391">
        <v>64230</v>
      </c>
      <c r="DE113" s="2357">
        <v>2859</v>
      </c>
      <c r="DF113" s="2358">
        <f>DE113/DD113*100</f>
        <v>4.4511910322279311</v>
      </c>
      <c r="DG113" s="2357">
        <v>2540</v>
      </c>
      <c r="DH113" s="2358">
        <f>DG113/DD113*100</f>
        <v>3.9545383777051226</v>
      </c>
      <c r="DI113" s="2357">
        <v>2443</v>
      </c>
      <c r="DJ113" s="2358">
        <f>DI113/DD113*100</f>
        <v>3.8035186050132332</v>
      </c>
      <c r="DS113" s="2356"/>
      <c r="DT113" s="2359"/>
      <c r="DU113" s="2357"/>
      <c r="DV113" s="2358"/>
      <c r="DW113" s="2357"/>
      <c r="DX113" s="2358"/>
      <c r="DY113" s="2357"/>
      <c r="DZ113" s="2358"/>
      <c r="EI113" s="2356"/>
      <c r="EJ113" s="2357"/>
      <c r="EK113" s="2357"/>
      <c r="EL113" s="2358"/>
      <c r="EM113" s="2357"/>
      <c r="EN113" s="2358"/>
      <c r="EO113" s="2357"/>
      <c r="EP113" s="2358"/>
      <c r="EQ113" s="2358"/>
      <c r="EU113" s="2401"/>
      <c r="EV113" s="2356"/>
      <c r="EW113" s="2357"/>
      <c r="EX113" s="2357"/>
      <c r="EY113" s="2357"/>
      <c r="EZ113" s="2401"/>
      <c r="FA113" s="2357"/>
      <c r="FB113" s="2401"/>
      <c r="FC113" s="2357"/>
      <c r="FD113" s="2401"/>
      <c r="FE113" s="2401"/>
      <c r="FG113" s="2357"/>
      <c r="FH113" s="2358"/>
      <c r="FI113" s="2400"/>
      <c r="FJ113" s="2401"/>
      <c r="FK113" s="2400"/>
      <c r="FL113" s="2400"/>
      <c r="FM113" s="2400"/>
      <c r="FV113" s="2356"/>
      <c r="FW113" s="2357"/>
      <c r="FX113" s="2357"/>
      <c r="FY113" s="2357"/>
      <c r="FZ113" s="2401"/>
      <c r="GA113" s="2357"/>
      <c r="GB113" s="2358"/>
      <c r="GC113" s="2357"/>
      <c r="GD113" s="2400"/>
    </row>
    <row r="114" spans="1:187" ht="15">
      <c r="A114" s="2356" t="s">
        <v>2251</v>
      </c>
      <c r="B114" s="2369">
        <v>1650</v>
      </c>
      <c r="C114" s="2357">
        <v>1126</v>
      </c>
      <c r="D114" s="2357">
        <v>2</v>
      </c>
      <c r="E114" s="2400">
        <f>D114/C114*100</f>
        <v>0.17761989342806395</v>
      </c>
      <c r="F114" s="2357">
        <v>10</v>
      </c>
      <c r="G114" s="2400">
        <f>F114/C114*100</f>
        <v>0.88809946714031962</v>
      </c>
      <c r="H114" s="2357">
        <v>6</v>
      </c>
      <c r="I114" s="2400">
        <f>H114/C114*100</f>
        <v>0.53285968028419184</v>
      </c>
      <c r="J114" s="2357">
        <v>2</v>
      </c>
      <c r="K114" s="2400">
        <v>0</v>
      </c>
      <c r="L114" s="2393"/>
      <c r="M114" s="2393"/>
      <c r="N114" s="2393"/>
      <c r="O114" s="2393"/>
      <c r="P114" s="2393"/>
      <c r="Q114" s="2393"/>
      <c r="R114" s="2393"/>
      <c r="S114" s="2393"/>
      <c r="T114" s="2393"/>
      <c r="U114" s="2393"/>
      <c r="V114" s="2393"/>
      <c r="W114" s="2402"/>
      <c r="X114" s="2393"/>
      <c r="CJ114" s="2356"/>
      <c r="CK114" s="2364"/>
      <c r="CL114" s="2409"/>
      <c r="CM114" s="2409"/>
      <c r="CN114" s="2409"/>
      <c r="CO114" s="2409"/>
      <c r="CP114" s="2409"/>
      <c r="CQ114" s="2409"/>
      <c r="CR114" s="2409"/>
      <c r="CS114" s="2409"/>
      <c r="CT114" s="2361"/>
      <c r="DC114" s="2368" t="s">
        <v>2208</v>
      </c>
      <c r="DD114" s="2390">
        <v>34295</v>
      </c>
      <c r="DE114" s="2366">
        <v>1555</v>
      </c>
      <c r="DF114" s="2365">
        <f>DE114/DD114*100</f>
        <v>4.5341886572386647</v>
      </c>
      <c r="DG114" s="2366">
        <v>1360</v>
      </c>
      <c r="DH114" s="2365">
        <f>DG114/DD114*100</f>
        <v>3.9655926519900859</v>
      </c>
      <c r="DI114" s="2366">
        <v>1391</v>
      </c>
      <c r="DJ114" s="2365">
        <f>DI114/DD114*100</f>
        <v>4.0559848374398602</v>
      </c>
      <c r="DS114" s="2356"/>
      <c r="DT114" s="2359"/>
      <c r="DU114" s="2357"/>
      <c r="DV114" s="2358"/>
      <c r="DW114" s="2357"/>
      <c r="DX114" s="2358"/>
      <c r="DY114" s="2357"/>
      <c r="DZ114" s="2358"/>
      <c r="EI114" s="2356"/>
      <c r="EJ114" s="2357"/>
      <c r="EK114" s="2357"/>
      <c r="EL114" s="2358"/>
      <c r="EM114" s="2357"/>
      <c r="EN114" s="2358"/>
      <c r="EO114" s="2357"/>
      <c r="EP114" s="2358"/>
      <c r="EQ114" s="2358"/>
      <c r="EU114" s="2401"/>
      <c r="EV114" s="2356"/>
      <c r="EW114" s="2357"/>
      <c r="EX114" s="2357"/>
      <c r="EY114" s="2357"/>
      <c r="EZ114" s="2401"/>
      <c r="FA114" s="2357"/>
      <c r="FB114" s="2401"/>
      <c r="FC114" s="2357"/>
      <c r="FD114" s="2401"/>
      <c r="FE114" s="2401"/>
      <c r="FG114" s="2357"/>
      <c r="FH114" s="2358"/>
      <c r="FI114" s="2400"/>
      <c r="FJ114" s="2401"/>
      <c r="FK114" s="2400"/>
      <c r="FL114" s="2400"/>
      <c r="FM114" s="2400"/>
      <c r="FV114" s="2356"/>
      <c r="FW114" s="2357"/>
      <c r="FX114" s="2357"/>
      <c r="FY114" s="2357"/>
      <c r="FZ114" s="2401"/>
      <c r="GA114" s="2357"/>
      <c r="GB114" s="2358"/>
      <c r="GC114" s="2357"/>
      <c r="GD114" s="2400"/>
    </row>
    <row r="115" spans="1:187">
      <c r="A115" s="2356" t="s">
        <v>4067</v>
      </c>
      <c r="B115" s="2369">
        <v>2191</v>
      </c>
      <c r="C115" s="2357">
        <v>1183</v>
      </c>
      <c r="D115" s="2357">
        <v>9</v>
      </c>
      <c r="E115" s="2400">
        <f>D115/C115*100</f>
        <v>0.76077768385460698</v>
      </c>
      <c r="F115" s="2357">
        <v>7</v>
      </c>
      <c r="G115" s="2400">
        <f>F115/C115*100</f>
        <v>0.59171597633136097</v>
      </c>
      <c r="H115" s="2357">
        <v>2</v>
      </c>
      <c r="I115" s="2400">
        <f>H115/C115*100</f>
        <v>0.16906170752324598</v>
      </c>
      <c r="J115" s="2357">
        <v>7</v>
      </c>
      <c r="K115" s="2400">
        <v>1</v>
      </c>
      <c r="L115" s="2393"/>
      <c r="M115" s="2393"/>
      <c r="N115" s="2393"/>
      <c r="O115" s="2393"/>
      <c r="P115" s="2393"/>
      <c r="Q115" s="2393"/>
      <c r="R115" s="2393"/>
      <c r="S115" s="2393"/>
      <c r="T115" s="2393"/>
      <c r="U115" s="2393"/>
      <c r="V115" s="2393"/>
      <c r="W115" s="2402"/>
      <c r="X115" s="2393"/>
      <c r="CJ115" s="2356"/>
      <c r="CK115" s="2361"/>
      <c r="CL115" s="2361"/>
      <c r="CM115" s="2361"/>
      <c r="CN115" s="2361"/>
      <c r="CO115" s="2361"/>
      <c r="CP115" s="2369"/>
      <c r="CQ115" s="2361"/>
      <c r="CR115" s="2361"/>
      <c r="CS115" s="2361"/>
      <c r="CT115" s="2357"/>
      <c r="DC115" s="2356" t="s">
        <v>4069</v>
      </c>
      <c r="DD115" s="2356"/>
      <c r="DE115" s="2356"/>
      <c r="DF115" s="2356"/>
      <c r="DG115" s="2356"/>
      <c r="DH115" s="2356"/>
      <c r="DI115" s="2356"/>
      <c r="DJ115" s="2356"/>
      <c r="DS115" s="2356"/>
      <c r="DT115" s="2356"/>
      <c r="DU115" s="2356"/>
      <c r="DV115" s="2356"/>
      <c r="DW115" s="2356"/>
      <c r="DX115" s="2356"/>
      <c r="DY115" s="2356"/>
      <c r="DZ115" s="2356"/>
      <c r="EI115" s="2356"/>
      <c r="EJ115" s="2356"/>
      <c r="EK115" s="2356"/>
      <c r="EL115" s="2356"/>
      <c r="EM115" s="2356"/>
      <c r="EN115" s="2356"/>
      <c r="EO115" s="2356"/>
      <c r="EP115" s="2356"/>
      <c r="EQ115" s="2356"/>
      <c r="EU115" s="2356"/>
      <c r="EV115" s="2356"/>
      <c r="EW115" s="2356"/>
      <c r="EX115" s="2356"/>
      <c r="EY115" s="2356"/>
      <c r="EZ115" s="2356"/>
      <c r="FA115" s="2356"/>
      <c r="FB115" s="2356"/>
      <c r="FC115" s="2356"/>
      <c r="FD115" s="2356"/>
      <c r="FE115" s="2356"/>
      <c r="FF115" s="2356"/>
      <c r="FG115" s="2356"/>
      <c r="FH115" s="2356"/>
      <c r="FI115" s="2356"/>
      <c r="FJ115" s="2356"/>
      <c r="FK115" s="2357"/>
      <c r="FL115" s="2357"/>
      <c r="FM115" s="2356"/>
      <c r="FV115" s="2356"/>
      <c r="FW115" s="2356"/>
      <c r="FX115" s="2356"/>
      <c r="FY115" s="2356"/>
      <c r="FZ115" s="2356"/>
      <c r="GA115" s="2356"/>
      <c r="GB115" s="2356"/>
      <c r="GC115" s="2356"/>
      <c r="GD115" s="2356"/>
      <c r="GE115" s="2356"/>
    </row>
    <row r="116" spans="1:187">
      <c r="A116" s="2356" t="s">
        <v>2253</v>
      </c>
      <c r="B116" s="2369">
        <v>3535</v>
      </c>
      <c r="C116" s="2357">
        <v>1914</v>
      </c>
      <c r="D116" s="2357">
        <v>7</v>
      </c>
      <c r="E116" s="2400">
        <f>D116/C116*100</f>
        <v>0.36572622779519331</v>
      </c>
      <c r="F116" s="2357">
        <v>18</v>
      </c>
      <c r="G116" s="2400">
        <f>F116/C116*100</f>
        <v>0.94043887147335425</v>
      </c>
      <c r="H116" s="2357">
        <v>10</v>
      </c>
      <c r="I116" s="2400">
        <f>H116/C116*100</f>
        <v>0.52246603970741901</v>
      </c>
      <c r="J116" s="2357">
        <v>5</v>
      </c>
      <c r="K116" s="2400">
        <v>0</v>
      </c>
      <c r="L116" s="2393"/>
      <c r="M116" s="2393"/>
      <c r="N116" s="2393"/>
      <c r="O116" s="2393"/>
      <c r="P116" s="2393"/>
      <c r="Q116" s="2393"/>
      <c r="R116" s="2393"/>
      <c r="S116" s="2393"/>
      <c r="T116" s="2393"/>
      <c r="U116" s="2393"/>
      <c r="V116" s="2393"/>
      <c r="W116" s="2402"/>
      <c r="X116" s="2393"/>
      <c r="CJ116" s="2356"/>
      <c r="CK116" s="2357"/>
      <c r="CL116" s="2357"/>
      <c r="CM116" s="2400"/>
      <c r="CN116" s="2357"/>
      <c r="CO116" s="2400"/>
      <c r="CP116" s="2357"/>
      <c r="CQ116" s="2400"/>
      <c r="CR116" s="2400"/>
      <c r="CS116" s="2400"/>
      <c r="CT116" s="2357"/>
      <c r="DC116" s="2356" t="s">
        <v>4076</v>
      </c>
      <c r="DD116" s="2356"/>
      <c r="DE116" s="2356"/>
      <c r="DF116" s="2356"/>
      <c r="DG116" s="2357" t="s">
        <v>3348</v>
      </c>
      <c r="DH116" s="2356"/>
      <c r="DI116" s="2357" t="s">
        <v>3348</v>
      </c>
      <c r="DJ116" s="2356"/>
      <c r="DS116" s="2356"/>
      <c r="DT116" s="2356"/>
      <c r="DU116" s="2356"/>
      <c r="DV116" s="2356"/>
      <c r="DW116" s="2357"/>
      <c r="DX116" s="2356"/>
      <c r="DY116" s="2357"/>
      <c r="DZ116" s="2356"/>
      <c r="EI116" s="2356"/>
      <c r="EJ116" s="2356"/>
      <c r="EK116" s="2356"/>
      <c r="EL116" s="2356"/>
      <c r="EM116" s="2357"/>
      <c r="EN116" s="2356"/>
      <c r="EO116" s="2357"/>
      <c r="EP116" s="2356"/>
      <c r="EQ116" s="2356"/>
      <c r="EU116" s="2356"/>
      <c r="EV116" s="2356"/>
      <c r="EW116" s="2356"/>
      <c r="EX116" s="2356"/>
      <c r="EY116" s="2356"/>
      <c r="EZ116" s="2356"/>
      <c r="FA116" s="2356"/>
      <c r="FB116" s="2356"/>
      <c r="FC116" s="2356"/>
      <c r="FD116" s="2356"/>
      <c r="FE116" s="2356"/>
      <c r="FF116" s="2356"/>
      <c r="FG116" s="2356"/>
      <c r="FH116" s="2356"/>
      <c r="FI116" s="2356"/>
      <c r="FJ116" s="2356"/>
      <c r="FK116" s="2356"/>
      <c r="FL116" s="2356"/>
      <c r="FM116" s="2356"/>
      <c r="FV116" s="2356"/>
      <c r="FW116" s="2356"/>
      <c r="FX116" s="2356"/>
      <c r="FY116" s="2356"/>
      <c r="FZ116" s="2356"/>
      <c r="GA116" s="2356"/>
      <c r="GB116" s="2356"/>
      <c r="GC116" s="2356"/>
      <c r="GD116" s="2356"/>
      <c r="GE116" s="2356"/>
    </row>
    <row r="117" spans="1:187">
      <c r="A117" s="2356" t="s">
        <v>2185</v>
      </c>
      <c r="B117" s="2369">
        <v>3542</v>
      </c>
      <c r="C117" s="2357">
        <v>2411</v>
      </c>
      <c r="D117" s="2357">
        <v>8</v>
      </c>
      <c r="E117" s="2400">
        <f>D117/C117*100</f>
        <v>0.33181252592285354</v>
      </c>
      <c r="F117" s="2357">
        <v>18</v>
      </c>
      <c r="G117" s="2400">
        <f>F117/C117*100</f>
        <v>0.74657818332642056</v>
      </c>
      <c r="H117" s="2357">
        <v>17</v>
      </c>
      <c r="I117" s="2400">
        <f>H117/C117*100</f>
        <v>0.70510161758606382</v>
      </c>
      <c r="J117" s="2357">
        <v>3</v>
      </c>
      <c r="K117" s="2400">
        <v>0</v>
      </c>
      <c r="L117" s="2393"/>
      <c r="M117" s="2393"/>
      <c r="N117" s="2393"/>
      <c r="O117" s="2393"/>
      <c r="P117" s="2393"/>
      <c r="Q117" s="2393"/>
      <c r="R117" s="2393"/>
      <c r="S117" s="2393"/>
      <c r="T117" s="2393"/>
      <c r="U117" s="2393"/>
      <c r="V117" s="2393"/>
      <c r="W117" s="2402"/>
      <c r="X117" s="2393"/>
      <c r="CJ117" s="2360"/>
      <c r="CK117" s="2357"/>
      <c r="CL117" s="2357"/>
      <c r="CM117" s="2400"/>
      <c r="CN117" s="2357"/>
      <c r="CO117" s="2400"/>
      <c r="CP117" s="2357"/>
      <c r="CQ117" s="2400"/>
      <c r="CR117" s="2400"/>
      <c r="CS117" s="2400"/>
      <c r="CT117" s="2357"/>
      <c r="DC117" s="2356" t="s">
        <v>4078</v>
      </c>
      <c r="DD117" s="2356"/>
      <c r="DE117" s="2356"/>
      <c r="DF117" s="2356"/>
      <c r="DG117" s="2356"/>
      <c r="DH117" s="2356"/>
      <c r="DI117" s="2356"/>
      <c r="DJ117" s="2356"/>
      <c r="DS117" s="2356"/>
      <c r="DT117" s="2356"/>
      <c r="DU117" s="2356"/>
      <c r="DV117" s="2356"/>
      <c r="DW117" s="2356"/>
      <c r="DX117" s="2356"/>
      <c r="DY117" s="2356"/>
      <c r="DZ117" s="2356"/>
      <c r="EI117" s="2356"/>
      <c r="EJ117" s="2356"/>
      <c r="EK117" s="2356"/>
      <c r="EL117" s="2356"/>
      <c r="EM117" s="2356"/>
      <c r="EN117" s="2356"/>
      <c r="EO117" s="2356"/>
      <c r="EP117" s="2356"/>
      <c r="EQ117" s="2356"/>
      <c r="EU117" s="2356"/>
      <c r="EV117" s="2356"/>
      <c r="EW117" s="2356"/>
      <c r="EX117" s="2356"/>
      <c r="EY117" s="2356"/>
      <c r="EZ117" s="2356"/>
      <c r="FA117" s="2356"/>
      <c r="FB117" s="2356"/>
      <c r="FC117" s="2356"/>
      <c r="FD117" s="2356"/>
      <c r="FE117" s="2356"/>
      <c r="FF117" s="2356"/>
      <c r="FG117" s="2357"/>
      <c r="FH117" s="2357"/>
      <c r="FI117" s="2356"/>
      <c r="FJ117" s="2356"/>
      <c r="FK117" s="2356"/>
      <c r="FL117" s="2356"/>
      <c r="FM117" s="2356"/>
      <c r="FV117" s="2356"/>
      <c r="FW117" s="2356"/>
      <c r="FX117" s="2356"/>
      <c r="FY117" s="2356"/>
      <c r="FZ117" s="2356"/>
      <c r="GA117" s="2356"/>
      <c r="GB117" s="2356"/>
      <c r="GC117" s="2356"/>
      <c r="GD117" s="2356"/>
      <c r="GE117" s="2356"/>
    </row>
    <row r="118" spans="1:187">
      <c r="A118" s="2356" t="s">
        <v>2202</v>
      </c>
      <c r="B118" s="2369">
        <v>4624</v>
      </c>
      <c r="C118" s="2357">
        <v>2320</v>
      </c>
      <c r="D118" s="2357">
        <v>7</v>
      </c>
      <c r="E118" s="2400">
        <f>D118/C118*100</f>
        <v>0.30172413793103448</v>
      </c>
      <c r="F118" s="2357">
        <v>13</v>
      </c>
      <c r="G118" s="2400">
        <f>F118/C118*100</f>
        <v>0.56034482758620685</v>
      </c>
      <c r="H118" s="2357">
        <v>15</v>
      </c>
      <c r="I118" s="2400">
        <f>H118/C118*100</f>
        <v>0.64655172413793105</v>
      </c>
      <c r="J118" s="2357">
        <v>3</v>
      </c>
      <c r="K118" s="2400">
        <v>0</v>
      </c>
      <c r="L118" s="2393"/>
      <c r="M118" s="2393"/>
      <c r="N118" s="2393"/>
      <c r="O118" s="2393"/>
      <c r="P118" s="2393"/>
      <c r="Q118" s="2393"/>
      <c r="R118" s="2393"/>
      <c r="S118" s="2393"/>
      <c r="T118" s="2393"/>
      <c r="U118" s="2393"/>
      <c r="V118" s="2393"/>
      <c r="W118" s="2402"/>
      <c r="X118" s="2393"/>
      <c r="CJ118" s="2356"/>
      <c r="CK118" s="2357"/>
      <c r="CL118" s="2357"/>
      <c r="CM118" s="2400"/>
      <c r="CN118" s="2357"/>
      <c r="CO118" s="2400"/>
      <c r="CP118" s="2357"/>
      <c r="CQ118" s="2400"/>
      <c r="CR118" s="2400"/>
      <c r="CS118" s="2400"/>
      <c r="CT118" s="2357"/>
      <c r="FK118" s="2356"/>
      <c r="FL118" s="2356"/>
      <c r="FM118" s="2356"/>
      <c r="FV118" s="2356"/>
      <c r="FW118" s="2356"/>
      <c r="FX118" s="2356"/>
      <c r="FY118" s="2356"/>
      <c r="FZ118" s="2356"/>
      <c r="GA118" s="2356"/>
      <c r="GB118" s="2356"/>
      <c r="GC118" s="2356"/>
      <c r="GD118" s="2356"/>
      <c r="GE118" s="2356"/>
    </row>
    <row r="119" spans="1:187">
      <c r="A119" s="2356" t="s">
        <v>2177</v>
      </c>
      <c r="B119" s="2369">
        <v>13470</v>
      </c>
      <c r="C119" s="2357">
        <v>5479</v>
      </c>
      <c r="D119" s="2357">
        <v>23</v>
      </c>
      <c r="E119" s="2400">
        <f>D119/C119*100</f>
        <v>0.41978463223215912</v>
      </c>
      <c r="F119" s="2357">
        <v>23</v>
      </c>
      <c r="G119" s="2400">
        <f>F119/C119*100</f>
        <v>0.41978463223215912</v>
      </c>
      <c r="H119" s="2357">
        <v>28</v>
      </c>
      <c r="I119" s="2400">
        <f>H119/C119*100</f>
        <v>0.5110421609782807</v>
      </c>
      <c r="J119" s="2357">
        <v>17</v>
      </c>
      <c r="K119" s="2400">
        <v>0</v>
      </c>
      <c r="L119" s="2393"/>
      <c r="M119" s="2393"/>
      <c r="N119" s="2393"/>
      <c r="O119" s="2393"/>
      <c r="P119" s="2393"/>
      <c r="Q119" s="2393"/>
      <c r="R119" s="2393"/>
      <c r="S119" s="2393"/>
      <c r="T119" s="2393"/>
      <c r="U119" s="2393"/>
      <c r="V119" s="2393"/>
      <c r="W119" s="2402"/>
      <c r="X119" s="2393"/>
      <c r="CJ119" s="2356"/>
      <c r="CK119" s="2357"/>
      <c r="CL119" s="2357"/>
      <c r="CM119" s="2400"/>
      <c r="CN119" s="2357"/>
      <c r="CO119" s="2400"/>
      <c r="CP119" s="2357"/>
      <c r="CQ119" s="2400"/>
      <c r="CR119" s="2400"/>
      <c r="CS119" s="2400"/>
      <c r="CT119" s="2357"/>
      <c r="FK119" s="2356"/>
      <c r="FL119" s="2356"/>
      <c r="FM119" s="2356"/>
      <c r="FV119" s="2356"/>
      <c r="FW119" s="2356"/>
      <c r="FX119" s="2356"/>
      <c r="FY119" s="2356"/>
      <c r="FZ119" s="2356"/>
      <c r="GA119" s="2356"/>
      <c r="GB119" s="2356"/>
      <c r="GC119" s="2356"/>
      <c r="GD119" s="2356"/>
      <c r="GE119" s="2356"/>
    </row>
    <row r="120" spans="1:187">
      <c r="A120" s="2368" t="s">
        <v>2208</v>
      </c>
      <c r="B120" s="2367">
        <v>6213</v>
      </c>
      <c r="C120" s="2366">
        <v>2975</v>
      </c>
      <c r="D120" s="2366">
        <v>18</v>
      </c>
      <c r="E120" s="2410">
        <f>D120/C120*100</f>
        <v>0.60504201680672265</v>
      </c>
      <c r="F120" s="2366">
        <v>18</v>
      </c>
      <c r="G120" s="2410">
        <f>F120/C120*100</f>
        <v>0.60504201680672265</v>
      </c>
      <c r="H120" s="2366">
        <v>21</v>
      </c>
      <c r="I120" s="2410">
        <f>H120/C120*100</f>
        <v>0.70588235294117652</v>
      </c>
      <c r="J120" s="2411">
        <v>9</v>
      </c>
      <c r="K120" s="2410">
        <v>0</v>
      </c>
      <c r="L120" s="2393"/>
      <c r="M120" s="2393"/>
      <c r="N120" s="2393"/>
      <c r="O120" s="2393"/>
      <c r="P120" s="2393"/>
      <c r="Q120" s="2393"/>
      <c r="R120" s="2393"/>
      <c r="S120" s="2393"/>
      <c r="T120" s="2393"/>
      <c r="U120" s="2393"/>
      <c r="V120" s="2393"/>
      <c r="W120" s="2402"/>
      <c r="X120" s="2393"/>
      <c r="CJ120" s="2356"/>
      <c r="CK120" s="2357"/>
      <c r="CL120" s="2357"/>
      <c r="CM120" s="2400"/>
      <c r="CN120" s="2357"/>
      <c r="CO120" s="2400"/>
      <c r="CP120" s="2357"/>
      <c r="CQ120" s="2400"/>
      <c r="CR120" s="2400"/>
      <c r="CS120" s="2400"/>
      <c r="CT120" s="2357"/>
      <c r="FK120" s="2356"/>
      <c r="FL120" s="2356"/>
      <c r="FM120" s="2356"/>
      <c r="FV120" s="2356"/>
      <c r="FW120" s="2356"/>
      <c r="FX120" s="2356"/>
      <c r="FY120" s="2356"/>
      <c r="FZ120" s="2356"/>
      <c r="GA120" s="2356"/>
      <c r="GB120" s="2356"/>
      <c r="GC120" s="2356"/>
      <c r="GD120" s="2356"/>
      <c r="GE120" s="2356"/>
    </row>
    <row r="121" spans="1:187" ht="12.75" customHeight="1">
      <c r="A121" s="2356" t="s">
        <v>4069</v>
      </c>
      <c r="B121" s="2356"/>
      <c r="C121" s="2356"/>
      <c r="D121" s="2356"/>
      <c r="E121" s="2356"/>
      <c r="F121" s="2356"/>
      <c r="G121" s="2356"/>
      <c r="H121" s="2356"/>
      <c r="I121" s="2356"/>
      <c r="L121" s="2393"/>
      <c r="M121" s="2393"/>
      <c r="N121" s="2393"/>
      <c r="O121" s="2393"/>
      <c r="P121" s="2393"/>
      <c r="Q121" s="2393"/>
      <c r="R121" s="2393"/>
      <c r="S121" s="2393"/>
      <c r="T121" s="2393"/>
      <c r="U121" s="2393"/>
      <c r="V121" s="2393"/>
      <c r="W121" s="2402"/>
      <c r="X121" s="2393"/>
      <c r="CJ121" s="2356"/>
      <c r="CK121" s="2357"/>
      <c r="CL121" s="2357"/>
      <c r="CM121" s="2400"/>
      <c r="CN121" s="2357"/>
      <c r="CO121" s="2400"/>
      <c r="CP121" s="2357"/>
      <c r="CQ121" s="2400"/>
      <c r="CR121" s="2400"/>
      <c r="CS121" s="2400"/>
      <c r="CT121" s="2357"/>
      <c r="DC121" s="2368" t="s">
        <v>4160</v>
      </c>
      <c r="DD121" s="2368"/>
      <c r="DE121" s="2356"/>
      <c r="DF121" s="2356"/>
      <c r="DG121" s="2356"/>
      <c r="DH121" s="2356"/>
      <c r="DI121" s="2368"/>
      <c r="DJ121" s="2368"/>
      <c r="DS121" s="2356"/>
      <c r="DT121" s="2356"/>
      <c r="DU121" s="2356"/>
      <c r="DV121" s="2356"/>
      <c r="DW121" s="2356"/>
      <c r="DX121" s="2356"/>
      <c r="DY121" s="2356"/>
      <c r="DZ121" s="2356"/>
      <c r="EI121" s="2356"/>
      <c r="EJ121" s="2356"/>
      <c r="EK121" s="2356"/>
      <c r="EL121" s="2356"/>
      <c r="EM121" s="2356"/>
      <c r="EN121" s="2356"/>
      <c r="EO121" s="2356"/>
      <c r="EP121" s="2356"/>
      <c r="EQ121" s="2356"/>
      <c r="EU121" s="2356"/>
      <c r="EV121" s="2356"/>
      <c r="EW121" s="2356"/>
      <c r="EX121" s="2356"/>
      <c r="EY121" s="2356"/>
      <c r="EZ121" s="2356"/>
      <c r="FA121" s="2356"/>
      <c r="FB121" s="2356"/>
      <c r="FC121" s="2356"/>
      <c r="FD121" s="2356"/>
      <c r="FE121" s="2356"/>
      <c r="FF121" s="2356"/>
      <c r="FG121" s="2356"/>
      <c r="FH121" s="2356"/>
      <c r="FI121" s="2356"/>
      <c r="FJ121" s="2356"/>
      <c r="FK121" s="2362"/>
      <c r="FL121" s="2362"/>
      <c r="FM121" s="2409"/>
      <c r="FV121" s="2356"/>
      <c r="FW121" s="2356"/>
      <c r="FX121" s="2356"/>
      <c r="FY121" s="2356"/>
      <c r="FZ121" s="2356"/>
      <c r="GA121" s="2356"/>
      <c r="GB121" s="2356"/>
      <c r="GC121" s="2356"/>
      <c r="GD121" s="2356"/>
      <c r="GE121" s="2356"/>
    </row>
    <row r="122" spans="1:187" ht="12.75" customHeight="1">
      <c r="A122" s="2356" t="s">
        <v>4076</v>
      </c>
      <c r="B122" s="2356"/>
      <c r="C122" s="2356"/>
      <c r="D122" s="2400" t="s">
        <v>4077</v>
      </c>
      <c r="E122" s="2400"/>
      <c r="F122" s="2400"/>
      <c r="G122" s="2400"/>
      <c r="H122" s="2400"/>
      <c r="I122" s="2400"/>
      <c r="L122" s="2393"/>
      <c r="M122" s="2393"/>
      <c r="N122" s="2393"/>
      <c r="O122" s="2393"/>
      <c r="P122" s="2393"/>
      <c r="Q122" s="2393"/>
      <c r="R122" s="2393"/>
      <c r="S122" s="2393"/>
      <c r="T122" s="2393"/>
      <c r="U122" s="2393"/>
      <c r="V122" s="2393"/>
      <c r="W122" s="2402"/>
      <c r="X122" s="2393"/>
      <c r="CJ122" s="2356"/>
      <c r="CK122" s="2357"/>
      <c r="CL122" s="2357"/>
      <c r="CM122" s="2400"/>
      <c r="CN122" s="2357"/>
      <c r="CO122" s="2400"/>
      <c r="CP122" s="2357"/>
      <c r="CQ122" s="2400"/>
      <c r="CR122" s="2400"/>
      <c r="CS122" s="2400"/>
      <c r="CT122" s="2357"/>
      <c r="DC122" s="2387"/>
      <c r="DD122" s="2386"/>
      <c r="DE122" s="2383" t="s">
        <v>4161</v>
      </c>
      <c r="DF122" s="2384"/>
      <c r="DG122" s="2383" t="s">
        <v>4162</v>
      </c>
      <c r="DH122" s="2382"/>
      <c r="DI122" s="2383" t="s">
        <v>4163</v>
      </c>
      <c r="DJ122" s="2382"/>
      <c r="DS122" s="2356"/>
      <c r="DT122" s="2364"/>
      <c r="DU122" s="2362"/>
      <c r="DV122" s="2362"/>
      <c r="DW122" s="2362"/>
      <c r="DX122" s="2363"/>
      <c r="DY122" s="2362"/>
      <c r="DZ122" s="2362"/>
      <c r="EI122" s="2356"/>
      <c r="EJ122" s="2364"/>
      <c r="EK122" s="2362"/>
      <c r="EL122" s="2362"/>
      <c r="EM122" s="2363"/>
      <c r="EN122" s="2363"/>
      <c r="EO122" s="2362"/>
      <c r="EP122" s="2362"/>
      <c r="EQ122" s="2408"/>
      <c r="EU122" s="2408"/>
      <c r="EV122" s="2356"/>
      <c r="EW122" s="2364"/>
      <c r="EX122" s="2364"/>
      <c r="EY122" s="2362"/>
      <c r="EZ122" s="2362"/>
      <c r="FA122" s="2362"/>
      <c r="FB122" s="2362"/>
      <c r="FC122" s="2362"/>
      <c r="FD122" s="2362"/>
      <c r="FE122" s="2409"/>
      <c r="FG122" s="2362"/>
      <c r="FH122" s="2362"/>
      <c r="FI122" s="2409"/>
      <c r="FJ122" s="2408"/>
      <c r="FK122" s="2362"/>
      <c r="FL122" s="2362"/>
      <c r="FM122" s="2409"/>
      <c r="FV122" s="2356"/>
      <c r="FW122" s="2356"/>
      <c r="FX122" s="2356"/>
      <c r="FY122" s="2356"/>
      <c r="FZ122" s="2356"/>
      <c r="GA122" s="2356"/>
      <c r="GB122" s="2356"/>
      <c r="GC122" s="2356"/>
      <c r="GD122" s="2356"/>
      <c r="GE122" s="2356"/>
    </row>
    <row r="123" spans="1:187">
      <c r="A123" s="2356" t="s">
        <v>4078</v>
      </c>
      <c r="B123" s="2356"/>
      <c r="C123" s="2356"/>
      <c r="D123" s="2356" t="s">
        <v>4080</v>
      </c>
      <c r="E123" s="2356"/>
      <c r="F123" s="2356"/>
      <c r="G123" s="2356"/>
      <c r="H123" s="2356"/>
      <c r="I123" s="2356"/>
      <c r="L123" s="2393"/>
      <c r="M123" s="2393"/>
      <c r="N123" s="2393"/>
      <c r="O123" s="2393"/>
      <c r="P123" s="2393"/>
      <c r="Q123" s="2393"/>
      <c r="R123" s="2393"/>
      <c r="S123" s="2393"/>
      <c r="T123" s="2393"/>
      <c r="U123" s="2393"/>
      <c r="V123" s="2393"/>
      <c r="W123" s="2402"/>
      <c r="X123" s="2393"/>
      <c r="CJ123" s="2356"/>
      <c r="CK123" s="2357"/>
      <c r="CL123" s="2357"/>
      <c r="CM123" s="2400"/>
      <c r="CN123" s="2357"/>
      <c r="CO123" s="2400"/>
      <c r="CP123" s="2357"/>
      <c r="CQ123" s="2400"/>
      <c r="CR123" s="2400"/>
      <c r="CS123" s="2400"/>
      <c r="CT123" s="2357"/>
      <c r="DC123" s="2356" t="s">
        <v>4013</v>
      </c>
      <c r="DD123" s="2381" t="s">
        <v>4019</v>
      </c>
      <c r="DE123" s="2379"/>
      <c r="DF123" s="2378"/>
      <c r="DG123" s="2377"/>
      <c r="DH123" s="2376"/>
      <c r="DI123" s="2377"/>
      <c r="DJ123" s="2376"/>
      <c r="DS123" s="2356"/>
      <c r="DT123" s="2364"/>
      <c r="DU123" s="2362"/>
      <c r="DV123" s="2362"/>
      <c r="DW123" s="2363"/>
      <c r="DX123" s="2363"/>
      <c r="DY123" s="2362"/>
      <c r="DZ123" s="2362"/>
      <c r="EI123" s="2356"/>
      <c r="EJ123" s="2364"/>
      <c r="EK123" s="2362"/>
      <c r="EL123" s="2362"/>
      <c r="EM123" s="2363"/>
      <c r="EN123" s="2363"/>
      <c r="EO123" s="2362"/>
      <c r="EP123" s="2362"/>
      <c r="EQ123" s="2408"/>
      <c r="EU123" s="2408"/>
      <c r="EV123" s="2356"/>
      <c r="EW123" s="2364"/>
      <c r="EX123" s="2364"/>
      <c r="EY123" s="2362"/>
      <c r="EZ123" s="2362"/>
      <c r="FA123" s="2362"/>
      <c r="FB123" s="2362"/>
      <c r="FC123" s="2362"/>
      <c r="FD123" s="2362"/>
      <c r="FE123" s="2409"/>
      <c r="FG123" s="2362"/>
      <c r="FH123" s="2362"/>
      <c r="FI123" s="2409"/>
      <c r="FJ123" s="2408"/>
      <c r="FK123" s="2361"/>
      <c r="FL123" s="2361"/>
      <c r="FM123" s="2361"/>
      <c r="FV123" s="2356"/>
      <c r="FW123" s="2356"/>
      <c r="FX123" s="2356"/>
      <c r="FY123" s="2356"/>
      <c r="FZ123" s="2356"/>
      <c r="GA123" s="2356"/>
      <c r="GB123" s="2356"/>
      <c r="GC123" s="2356"/>
      <c r="GD123" s="2356"/>
      <c r="GE123" s="2356"/>
    </row>
    <row r="124" spans="1:187">
      <c r="A124" s="2356" t="s">
        <v>4128</v>
      </c>
      <c r="B124" s="2356"/>
      <c r="C124" s="2356"/>
      <c r="D124" s="2356" t="s">
        <v>4083</v>
      </c>
      <c r="E124" s="2356"/>
      <c r="F124" s="2356"/>
      <c r="G124" s="2356"/>
      <c r="H124" s="2356"/>
      <c r="I124" s="2356"/>
      <c r="L124" s="2393"/>
      <c r="M124" s="2393"/>
      <c r="N124" s="2393"/>
      <c r="O124" s="2393"/>
      <c r="P124" s="2393"/>
      <c r="Q124" s="2393"/>
      <c r="R124" s="2393"/>
      <c r="S124" s="2393"/>
      <c r="T124" s="2393"/>
      <c r="U124" s="2393"/>
      <c r="V124" s="2393"/>
      <c r="W124" s="2402"/>
      <c r="X124" s="2393"/>
      <c r="CJ124" s="2356"/>
      <c r="CK124" s="2357"/>
      <c r="CL124" s="2357"/>
      <c r="CM124" s="2400"/>
      <c r="CN124" s="2357"/>
      <c r="CO124" s="2400"/>
      <c r="CP124" s="2357"/>
      <c r="CQ124" s="2400"/>
      <c r="CR124" s="2400"/>
      <c r="CS124" s="2400"/>
      <c r="CT124" s="2357"/>
      <c r="DC124" s="2375" t="s">
        <v>4020</v>
      </c>
      <c r="DD124" s="2374" t="s">
        <v>3986</v>
      </c>
      <c r="DE124" s="2373" t="s">
        <v>1665</v>
      </c>
      <c r="DF124" s="2373" t="s">
        <v>1666</v>
      </c>
      <c r="DG124" s="2373" t="s">
        <v>1665</v>
      </c>
      <c r="DH124" s="2371" t="s">
        <v>1666</v>
      </c>
      <c r="DI124" s="2372" t="s">
        <v>1665</v>
      </c>
      <c r="DJ124" s="2371" t="s">
        <v>1666</v>
      </c>
      <c r="DS124" s="2356"/>
      <c r="DT124" s="2361"/>
      <c r="DU124" s="2361"/>
      <c r="DV124" s="2361"/>
      <c r="DW124" s="2361"/>
      <c r="DX124" s="2361"/>
      <c r="DY124" s="2361"/>
      <c r="DZ124" s="2361"/>
      <c r="EI124" s="2356"/>
      <c r="EJ124" s="2361"/>
      <c r="EK124" s="2361"/>
      <c r="EL124" s="2361"/>
      <c r="EM124" s="2361"/>
      <c r="EN124" s="2361"/>
      <c r="EO124" s="2361"/>
      <c r="EP124" s="2361"/>
      <c r="EQ124" s="2361"/>
      <c r="EU124" s="2361"/>
      <c r="EV124" s="2356"/>
      <c r="EW124" s="2361"/>
      <c r="EX124" s="2361"/>
      <c r="EY124" s="2361"/>
      <c r="EZ124" s="2361"/>
      <c r="FA124" s="2361"/>
      <c r="FB124" s="2361"/>
      <c r="FC124" s="2361"/>
      <c r="FD124" s="2361"/>
      <c r="FE124" s="2361"/>
      <c r="FG124" s="2361"/>
      <c r="FH124" s="2361"/>
      <c r="FI124" s="2361"/>
      <c r="FJ124" s="2361"/>
      <c r="FK124" s="2357"/>
      <c r="FL124" s="2401"/>
      <c r="FV124" s="2356"/>
      <c r="FW124" s="2356"/>
      <c r="FX124" s="2356"/>
      <c r="FY124" s="2356"/>
      <c r="FZ124" s="2356"/>
      <c r="GA124" s="2356"/>
      <c r="GB124" s="2356"/>
      <c r="GC124" s="2356"/>
      <c r="GD124" s="2356"/>
      <c r="GE124" s="2356"/>
    </row>
    <row r="125" spans="1:187" ht="13.15" customHeight="1">
      <c r="A125" s="2356" t="s">
        <v>4084</v>
      </c>
      <c r="L125" s="2394"/>
      <c r="M125" s="2394"/>
      <c r="N125" s="2394"/>
      <c r="O125" s="2394"/>
      <c r="P125" s="2394"/>
      <c r="Q125" s="2394"/>
      <c r="R125" s="2394"/>
      <c r="S125" s="2394"/>
      <c r="T125" s="2394"/>
      <c r="U125" s="2394"/>
      <c r="V125" s="2394"/>
      <c r="W125" s="2407"/>
      <c r="X125" s="2394"/>
      <c r="CJ125" s="2356"/>
      <c r="CK125" s="2357"/>
      <c r="CL125" s="2357"/>
      <c r="CM125" s="2400"/>
      <c r="CN125" s="2357"/>
      <c r="CO125" s="2400"/>
      <c r="CP125" s="2357"/>
      <c r="CQ125" s="2400"/>
      <c r="CR125" s="2400"/>
      <c r="CS125" s="2400"/>
      <c r="CT125" s="2357"/>
      <c r="DC125" s="2356" t="s">
        <v>3503</v>
      </c>
      <c r="DD125" s="2359">
        <f>SUM(DD126:DD144)</f>
        <v>303682</v>
      </c>
      <c r="DE125" s="2357">
        <f>SUM(DE126:DE144)</f>
        <v>12077</v>
      </c>
      <c r="DF125" s="2358">
        <f>DE125/DD125*100</f>
        <v>3.9768573705389194</v>
      </c>
      <c r="DG125" s="2357">
        <f>SUM(DG126:DG144)</f>
        <v>11627</v>
      </c>
      <c r="DH125" s="2358">
        <f>DG125/DD125*100</f>
        <v>3.8286760492884002</v>
      </c>
      <c r="DI125" s="2357">
        <f>SUM(DI126:DI144)</f>
        <v>11526</v>
      </c>
      <c r="DJ125" s="2358">
        <f>DI125/DD125*100</f>
        <v>3.7954175749632841</v>
      </c>
      <c r="DM125" s="2406"/>
      <c r="DS125" s="2356"/>
      <c r="DT125" s="2357"/>
      <c r="DU125" s="2357"/>
      <c r="DV125" s="2358"/>
      <c r="DW125" s="2357"/>
      <c r="DX125" s="2358"/>
      <c r="DY125" s="2357"/>
      <c r="DZ125" s="2358"/>
      <c r="EI125" s="2356"/>
      <c r="EJ125" s="2357"/>
      <c r="EK125" s="2357"/>
      <c r="EL125" s="2358"/>
      <c r="EM125" s="2357"/>
      <c r="EN125" s="2358"/>
      <c r="EO125" s="2357"/>
      <c r="EP125" s="2358"/>
      <c r="EQ125" s="2358"/>
      <c r="EU125" s="2401"/>
      <c r="EV125" s="2356"/>
      <c r="EW125" s="2357"/>
      <c r="EX125" s="2357"/>
      <c r="EY125" s="2359"/>
      <c r="EZ125" s="2401"/>
      <c r="FA125" s="2359"/>
      <c r="FB125" s="2401"/>
      <c r="FC125" s="2359"/>
      <c r="FD125" s="2401"/>
      <c r="FE125" s="2401"/>
      <c r="FG125" s="2357"/>
      <c r="FH125" s="2358"/>
      <c r="FI125" s="2400"/>
      <c r="FJ125" s="2401"/>
      <c r="FK125" s="2357"/>
      <c r="FL125" s="2401"/>
      <c r="FV125" s="2356"/>
      <c r="FW125" s="2364"/>
      <c r="FX125" s="2364"/>
      <c r="FY125" s="2362"/>
      <c r="FZ125" s="2362"/>
      <c r="GA125" s="2362"/>
      <c r="GB125" s="2362"/>
      <c r="GC125" s="2362"/>
      <c r="GD125" s="2362"/>
    </row>
    <row r="126" spans="1:187" ht="15">
      <c r="L126" s="2393"/>
      <c r="M126" s="2393"/>
      <c r="N126" s="2393"/>
      <c r="O126" s="2393"/>
      <c r="P126" s="2393"/>
      <c r="Q126" s="2393"/>
      <c r="R126" s="2393"/>
      <c r="S126" s="2393"/>
      <c r="T126" s="2393"/>
      <c r="U126" s="2393"/>
      <c r="V126" s="2393"/>
      <c r="W126" s="2402"/>
      <c r="X126" s="2393"/>
      <c r="CJ126" s="2356"/>
      <c r="CK126" s="2357"/>
      <c r="CL126" s="2357"/>
      <c r="CM126" s="2400"/>
      <c r="CN126" s="2357"/>
      <c r="CO126" s="2400"/>
      <c r="CP126" s="2357"/>
      <c r="CQ126" s="2400"/>
      <c r="CR126" s="2400"/>
      <c r="CS126" s="2400"/>
      <c r="CT126" s="2357"/>
      <c r="DC126" s="2360" t="s">
        <v>2384</v>
      </c>
      <c r="DD126" s="2392">
        <v>2373</v>
      </c>
      <c r="DE126" s="2357">
        <v>85</v>
      </c>
      <c r="DF126" s="2358">
        <f>DE126/DD126*100</f>
        <v>3.5819637589549091</v>
      </c>
      <c r="DG126" s="2357">
        <v>98</v>
      </c>
      <c r="DH126" s="2358">
        <f>DG126/DD126*100</f>
        <v>4.1297935103244834</v>
      </c>
      <c r="DI126" s="2357">
        <v>114</v>
      </c>
      <c r="DJ126" s="2358">
        <f>DI126/DD126*100</f>
        <v>4.8040455120101138</v>
      </c>
      <c r="DM126" s="2406"/>
      <c r="DS126" s="2360"/>
      <c r="DT126" s="2359"/>
      <c r="DU126" s="2357"/>
      <c r="DV126" s="2358"/>
      <c r="DW126" s="2357"/>
      <c r="DX126" s="2358"/>
      <c r="DY126" s="2357"/>
      <c r="DZ126" s="2358"/>
      <c r="EH126" s="2403"/>
      <c r="EI126" s="2360"/>
      <c r="EJ126" s="2357"/>
      <c r="EK126" s="2357"/>
      <c r="EL126" s="2358"/>
      <c r="EM126" s="2357"/>
      <c r="EN126" s="2358"/>
      <c r="EO126" s="2357"/>
      <c r="EP126" s="2358"/>
      <c r="EQ126" s="2358"/>
      <c r="EU126" s="2401"/>
      <c r="EV126" s="2360"/>
      <c r="EW126" s="2357"/>
      <c r="EX126" s="2357"/>
      <c r="EZ126" s="2401"/>
      <c r="FB126" s="2401"/>
      <c r="FD126" s="2401"/>
      <c r="FE126" s="2401"/>
      <c r="FG126" s="2357"/>
      <c r="FH126" s="2358"/>
      <c r="FI126" s="2400"/>
      <c r="FJ126" s="2401"/>
      <c r="FK126" s="2357"/>
      <c r="FL126" s="2401"/>
      <c r="FV126" s="2356"/>
      <c r="FW126" s="2364"/>
      <c r="FX126" s="2364"/>
      <c r="FY126" s="2362"/>
      <c r="FZ126" s="2362"/>
      <c r="GA126" s="2362"/>
      <c r="GB126" s="2362"/>
      <c r="GC126" s="2362"/>
      <c r="GD126" s="2362"/>
    </row>
    <row r="127" spans="1:187" ht="15">
      <c r="I127" s="2393"/>
      <c r="L127" s="2393"/>
      <c r="M127" s="2393"/>
      <c r="N127" s="2393"/>
      <c r="O127" s="2393"/>
      <c r="P127" s="2393"/>
      <c r="Q127" s="2393"/>
      <c r="R127" s="2393"/>
      <c r="S127" s="2393"/>
      <c r="T127" s="2393"/>
      <c r="U127" s="2393"/>
      <c r="V127" s="2393"/>
      <c r="W127" s="2402"/>
      <c r="X127" s="2393"/>
      <c r="CJ127" s="2356"/>
      <c r="CK127" s="2357"/>
      <c r="CL127" s="2357"/>
      <c r="CM127" s="2400"/>
      <c r="CN127" s="2357"/>
      <c r="CO127" s="2400"/>
      <c r="CP127" s="2357"/>
      <c r="CQ127" s="2400"/>
      <c r="CR127" s="2400"/>
      <c r="CS127" s="2400"/>
      <c r="CT127" s="2357"/>
      <c r="DC127" s="2356" t="s">
        <v>2252</v>
      </c>
      <c r="DD127" s="2392">
        <v>5195</v>
      </c>
      <c r="DE127" s="2357">
        <v>204</v>
      </c>
      <c r="DF127" s="2358">
        <f>DE127/DD127*100</f>
        <v>3.9268527430221369</v>
      </c>
      <c r="DG127" s="2357">
        <v>191</v>
      </c>
      <c r="DH127" s="2358">
        <f>DG127/DD127*100</f>
        <v>3.6766121270452361</v>
      </c>
      <c r="DI127" s="2357">
        <v>217</v>
      </c>
      <c r="DJ127" s="2358">
        <f>DI127/DD127*100</f>
        <v>4.1770933589990369</v>
      </c>
      <c r="DM127" s="2399"/>
      <c r="DN127" s="2404"/>
      <c r="DO127" s="2404"/>
      <c r="DP127" s="876"/>
      <c r="DS127" s="2356"/>
      <c r="DT127" s="2359"/>
      <c r="DU127" s="2357"/>
      <c r="DV127" s="2358"/>
      <c r="DW127" s="2357"/>
      <c r="DX127" s="2358"/>
      <c r="DY127" s="2357"/>
      <c r="DZ127" s="2358"/>
      <c r="EH127" s="2403"/>
      <c r="EI127" s="2356"/>
      <c r="EJ127" s="2357"/>
      <c r="EK127" s="2357"/>
      <c r="EL127" s="2358"/>
      <c r="EM127" s="2357"/>
      <c r="EN127" s="2358"/>
      <c r="EO127" s="2357"/>
      <c r="EP127" s="2358"/>
      <c r="EQ127" s="2358"/>
      <c r="EU127" s="2401"/>
      <c r="EV127" s="2356"/>
      <c r="EW127" s="2357"/>
      <c r="EX127" s="2357"/>
      <c r="EZ127" s="2401"/>
      <c r="FB127" s="2401"/>
      <c r="FD127" s="2401"/>
      <c r="FE127" s="2401"/>
      <c r="FG127" s="2357"/>
      <c r="FH127" s="2358"/>
      <c r="FI127" s="2400"/>
      <c r="FJ127" s="2401"/>
      <c r="FK127" s="2357"/>
      <c r="FL127" s="2401"/>
      <c r="FV127" s="2356"/>
      <c r="FW127" s="2361"/>
      <c r="FX127" s="2361"/>
      <c r="FY127" s="2361"/>
      <c r="FZ127" s="2405"/>
      <c r="GA127" s="2361"/>
      <c r="GB127" s="2361"/>
      <c r="GC127" s="2361"/>
      <c r="GD127" s="2361"/>
    </row>
    <row r="128" spans="1:187" ht="15">
      <c r="I128" s="2393"/>
      <c r="CJ128" s="2356"/>
      <c r="CK128" s="2357"/>
      <c r="CL128" s="2357"/>
      <c r="CM128" s="2400"/>
      <c r="CN128" s="2357"/>
      <c r="CO128" s="2400"/>
      <c r="CP128" s="2357"/>
      <c r="CQ128" s="2400"/>
      <c r="CR128" s="2400"/>
      <c r="CS128" s="2400"/>
      <c r="CT128" s="2357"/>
      <c r="DC128" s="2356" t="s">
        <v>2195</v>
      </c>
      <c r="DD128" s="2392">
        <v>4852</v>
      </c>
      <c r="DE128" s="2357">
        <v>184</v>
      </c>
      <c r="DF128" s="2358">
        <f>DE128/DD128*100</f>
        <v>3.7922506183017313</v>
      </c>
      <c r="DG128" s="2357">
        <v>186</v>
      </c>
      <c r="DH128" s="2358">
        <f>DG128/DD128*100</f>
        <v>3.8334707337180545</v>
      </c>
      <c r="DI128" s="2357">
        <v>211</v>
      </c>
      <c r="DJ128" s="2358">
        <f>DI128/DD128*100</f>
        <v>4.3487221764220942</v>
      </c>
      <c r="DM128" s="2399"/>
      <c r="DN128" s="2404"/>
      <c r="DO128" s="2404"/>
      <c r="DP128" s="876"/>
      <c r="DS128" s="2356"/>
      <c r="DT128" s="2359"/>
      <c r="DU128" s="2357"/>
      <c r="DV128" s="2358"/>
      <c r="DW128" s="2357"/>
      <c r="DX128" s="2358"/>
      <c r="DY128" s="2357"/>
      <c r="DZ128" s="2358"/>
      <c r="EH128" s="2403"/>
      <c r="EI128" s="2356"/>
      <c r="EJ128" s="2357"/>
      <c r="EK128" s="2357"/>
      <c r="EL128" s="2358"/>
      <c r="EM128" s="2357"/>
      <c r="EN128" s="2358"/>
      <c r="EO128" s="2357"/>
      <c r="EP128" s="2358"/>
      <c r="EQ128" s="2358"/>
      <c r="EU128" s="2401"/>
      <c r="EV128" s="2356"/>
      <c r="EW128" s="2357"/>
      <c r="EX128" s="2357"/>
      <c r="EZ128" s="2401"/>
      <c r="FB128" s="2401"/>
      <c r="FD128" s="2401"/>
      <c r="FE128" s="2401"/>
      <c r="FG128" s="2357"/>
      <c r="FH128" s="2358"/>
      <c r="FI128" s="2400"/>
      <c r="FJ128" s="2401"/>
      <c r="FK128" s="2357"/>
      <c r="FL128" s="2401"/>
      <c r="FV128" s="2356"/>
      <c r="FW128" s="2357"/>
      <c r="FX128" s="2357"/>
      <c r="FY128" s="2357"/>
      <c r="FZ128" s="2401"/>
      <c r="GA128" s="2357"/>
      <c r="GB128" s="2358"/>
      <c r="GC128" s="2357"/>
      <c r="GD128" s="2400"/>
    </row>
    <row r="129" spans="88:186" ht="15">
      <c r="CJ129" s="2356"/>
      <c r="CK129" s="2357"/>
      <c r="CL129" s="2357"/>
      <c r="CM129" s="2400"/>
      <c r="CN129" s="2357"/>
      <c r="CO129" s="2400"/>
      <c r="CP129" s="2357"/>
      <c r="CQ129" s="2400"/>
      <c r="CR129" s="2400"/>
      <c r="CS129" s="2400"/>
      <c r="CT129" s="2357"/>
      <c r="DC129" s="2356" t="s">
        <v>4042</v>
      </c>
      <c r="DD129" s="2391">
        <v>12458</v>
      </c>
      <c r="DE129" s="2357">
        <v>443</v>
      </c>
      <c r="DF129" s="2358">
        <f>DE129/DD129*100</f>
        <v>3.5559479852303739</v>
      </c>
      <c r="DG129" s="2357">
        <v>522</v>
      </c>
      <c r="DH129" s="2358">
        <f>DG129/DD129*100</f>
        <v>4.1900786643120886</v>
      </c>
      <c r="DI129" s="2357">
        <v>469</v>
      </c>
      <c r="DJ129" s="2358">
        <f>DI129/DD129*100</f>
        <v>3.7646492213838498</v>
      </c>
      <c r="DM129" s="2399"/>
      <c r="DN129" s="2404"/>
      <c r="DO129" s="2404"/>
      <c r="DP129" s="876"/>
      <c r="DS129" s="2356"/>
      <c r="DT129" s="2359"/>
      <c r="DU129" s="2357"/>
      <c r="DV129" s="2358"/>
      <c r="DW129" s="2357"/>
      <c r="DX129" s="2358"/>
      <c r="DY129" s="2357"/>
      <c r="DZ129" s="2358"/>
      <c r="EH129" s="2403"/>
      <c r="EI129" s="2356"/>
      <c r="EJ129" s="2357"/>
      <c r="EK129" s="2357"/>
      <c r="EL129" s="2358"/>
      <c r="EM129" s="2357"/>
      <c r="EN129" s="2358"/>
      <c r="EO129" s="2357"/>
      <c r="EP129" s="2358"/>
      <c r="EQ129" s="2358"/>
      <c r="EU129" s="2401"/>
      <c r="EV129" s="2356"/>
      <c r="EW129" s="2357"/>
      <c r="EX129" s="2357"/>
      <c r="EY129" s="2357"/>
      <c r="EZ129" s="2401"/>
      <c r="FA129" s="2357"/>
      <c r="FB129" s="2401"/>
      <c r="FC129" s="2357"/>
      <c r="FD129" s="2401"/>
      <c r="FE129" s="2401"/>
      <c r="FG129" s="2357"/>
      <c r="FH129" s="2358"/>
      <c r="FI129" s="2400"/>
      <c r="FJ129" s="2401"/>
      <c r="FK129" s="2369"/>
      <c r="FL129" s="2401"/>
      <c r="FV129" s="2360"/>
      <c r="FW129" s="2357"/>
      <c r="FX129" s="2357"/>
      <c r="FY129" s="2357"/>
      <c r="FZ129" s="2401"/>
      <c r="GA129" s="2357"/>
      <c r="GB129" s="2358"/>
      <c r="GC129" s="2357"/>
      <c r="GD129" s="2400"/>
    </row>
    <row r="130" spans="88:186" ht="15">
      <c r="CJ130" s="2356"/>
      <c r="CK130" s="2357"/>
      <c r="CL130" s="2357"/>
      <c r="CM130" s="2400"/>
      <c r="CN130" s="2357"/>
      <c r="CO130" s="2400"/>
      <c r="CP130" s="2357"/>
      <c r="CQ130" s="2400"/>
      <c r="CR130" s="2400"/>
      <c r="CS130" s="2400"/>
      <c r="CT130" s="2357"/>
      <c r="DC130" s="2356" t="s">
        <v>4045</v>
      </c>
      <c r="DD130" s="2391">
        <v>11911</v>
      </c>
      <c r="DE130" s="2357">
        <v>448</v>
      </c>
      <c r="DF130" s="2358">
        <f>DE130/DD130*100</f>
        <v>3.7612291159432458</v>
      </c>
      <c r="DG130" s="2357">
        <v>443</v>
      </c>
      <c r="DH130" s="2358">
        <f>DG130/DD130*100</f>
        <v>3.7192511124170933</v>
      </c>
      <c r="DI130" s="2357">
        <v>503</v>
      </c>
      <c r="DJ130" s="2358">
        <f>DI130/DD130*100</f>
        <v>4.2229871547309203</v>
      </c>
      <c r="DM130" s="2399"/>
      <c r="DN130" s="2404"/>
      <c r="DO130" s="2404"/>
      <c r="DP130" s="2356"/>
      <c r="DS130" s="2356"/>
      <c r="DT130" s="2359"/>
      <c r="DU130" s="2357"/>
      <c r="DV130" s="2358"/>
      <c r="DW130" s="2357"/>
      <c r="DX130" s="2358"/>
      <c r="DY130" s="2357"/>
      <c r="DZ130" s="2358"/>
      <c r="EH130" s="2403"/>
      <c r="EI130" s="2356"/>
      <c r="EJ130" s="2357"/>
      <c r="EK130" s="2357"/>
      <c r="EL130" s="2358"/>
      <c r="EM130" s="2357"/>
      <c r="EN130" s="2358"/>
      <c r="EO130" s="2357"/>
      <c r="EP130" s="2358"/>
      <c r="EQ130" s="2358"/>
      <c r="EU130" s="2401"/>
      <c r="EV130" s="2356"/>
      <c r="EW130" s="2357"/>
      <c r="EX130" s="2357"/>
      <c r="EY130" s="2357"/>
      <c r="EZ130" s="2401"/>
      <c r="FA130" s="2357"/>
      <c r="FB130" s="2401"/>
      <c r="FC130" s="2357"/>
      <c r="FD130" s="2401"/>
      <c r="FE130" s="2401"/>
      <c r="FG130" s="2357"/>
      <c r="FH130" s="2358"/>
      <c r="FI130" s="2400"/>
      <c r="FJ130" s="2401"/>
      <c r="FK130" s="2369"/>
      <c r="FL130" s="2401"/>
      <c r="FV130" s="2356"/>
      <c r="FW130" s="2357"/>
      <c r="FX130" s="2357"/>
      <c r="FY130" s="2357"/>
      <c r="FZ130" s="2401"/>
      <c r="GA130" s="2357"/>
      <c r="GB130" s="2358"/>
      <c r="GC130" s="2357"/>
      <c r="GD130" s="2400"/>
    </row>
    <row r="131" spans="88:186" ht="15">
      <c r="CJ131" s="2356"/>
      <c r="CK131" s="2357"/>
      <c r="CL131" s="2357"/>
      <c r="CM131" s="2400"/>
      <c r="CN131" s="2357"/>
      <c r="CO131" s="2400"/>
      <c r="CP131" s="2357"/>
      <c r="CQ131" s="2400"/>
      <c r="CR131" s="2400"/>
      <c r="CS131" s="2400"/>
      <c r="CT131" s="2357"/>
      <c r="DC131" s="2356" t="s">
        <v>4048</v>
      </c>
      <c r="DD131" s="2391">
        <v>3126</v>
      </c>
      <c r="DE131" s="2357">
        <v>96</v>
      </c>
      <c r="DF131" s="2358">
        <f>DE131/DD131*100</f>
        <v>3.0710172744721689</v>
      </c>
      <c r="DG131" s="2357">
        <v>124</v>
      </c>
      <c r="DH131" s="2358">
        <f>DG131/DD131*100</f>
        <v>3.9667306461932181</v>
      </c>
      <c r="DI131" s="2357">
        <v>102</v>
      </c>
      <c r="DJ131" s="2358">
        <f>DI131/DD131*100</f>
        <v>3.262955854126679</v>
      </c>
      <c r="DM131" s="2399"/>
      <c r="DN131" s="2404"/>
      <c r="DO131" s="2404"/>
      <c r="DS131" s="2356"/>
      <c r="DT131" s="2359"/>
      <c r="DU131" s="2357"/>
      <c r="DV131" s="2358"/>
      <c r="DW131" s="2357"/>
      <c r="DX131" s="2358"/>
      <c r="DY131" s="2357"/>
      <c r="DZ131" s="2358"/>
      <c r="EH131" s="2403"/>
      <c r="EI131" s="2356"/>
      <c r="EJ131" s="2357"/>
      <c r="EK131" s="2357"/>
      <c r="EL131" s="2358"/>
      <c r="EM131" s="2357"/>
      <c r="EN131" s="2358"/>
      <c r="EO131" s="2357"/>
      <c r="EP131" s="2358"/>
      <c r="EQ131" s="2358"/>
      <c r="EU131" s="2401"/>
      <c r="EV131" s="2356"/>
      <c r="EW131" s="2357"/>
      <c r="EX131" s="2357"/>
      <c r="EZ131" s="2401"/>
      <c r="FB131" s="2401"/>
      <c r="FD131" s="2401"/>
      <c r="FE131" s="2401"/>
      <c r="FG131" s="2357"/>
      <c r="FH131" s="2358"/>
      <c r="FI131" s="2400"/>
      <c r="FJ131" s="2401"/>
      <c r="FK131" s="2357"/>
      <c r="FL131" s="2401"/>
      <c r="FV131" s="2356"/>
      <c r="FW131" s="2357"/>
      <c r="FX131" s="2357"/>
      <c r="FY131" s="2357"/>
      <c r="FZ131" s="2401"/>
      <c r="GA131" s="2357"/>
      <c r="GB131" s="2358"/>
      <c r="GC131" s="2357"/>
      <c r="GD131" s="2400"/>
    </row>
    <row r="132" spans="88:186" ht="15">
      <c r="CJ132" s="2356"/>
      <c r="CK132" s="2357"/>
      <c r="CL132" s="2357"/>
      <c r="CM132" s="2400"/>
      <c r="CN132" s="2357"/>
      <c r="CO132" s="2400"/>
      <c r="CP132" s="2357"/>
      <c r="CQ132" s="2400"/>
      <c r="CR132" s="2400"/>
      <c r="CS132" s="2400"/>
      <c r="CT132" s="2357"/>
      <c r="DC132" s="2356" t="s">
        <v>2151</v>
      </c>
      <c r="DD132" s="2391">
        <v>6182</v>
      </c>
      <c r="DE132" s="2357">
        <v>239</v>
      </c>
      <c r="DF132" s="2358">
        <f>DE132/DD132*100</f>
        <v>3.866062762859916</v>
      </c>
      <c r="DG132" s="2357">
        <v>211</v>
      </c>
      <c r="DH132" s="2358">
        <f>DG132/DD132*100</f>
        <v>3.4131349077968296</v>
      </c>
      <c r="DI132" s="2357">
        <v>180</v>
      </c>
      <c r="DJ132" s="2358">
        <f>DI132/DD132*100</f>
        <v>2.9116790682626981</v>
      </c>
      <c r="DM132" s="2399"/>
      <c r="DN132" s="2404"/>
      <c r="DO132" s="2404"/>
      <c r="DS132" s="2356"/>
      <c r="DT132" s="2359"/>
      <c r="DU132" s="2357"/>
      <c r="DV132" s="2358"/>
      <c r="DW132" s="2357"/>
      <c r="DX132" s="2358"/>
      <c r="DY132" s="2357"/>
      <c r="DZ132" s="2358"/>
      <c r="EH132" s="2403"/>
      <c r="EI132" s="2356"/>
      <c r="EJ132" s="2357"/>
      <c r="EK132" s="2357"/>
      <c r="EL132" s="2358"/>
      <c r="EM132" s="2357"/>
      <c r="EN132" s="2358"/>
      <c r="EO132" s="2357"/>
      <c r="EP132" s="2358"/>
      <c r="EQ132" s="2358"/>
      <c r="EU132" s="2401"/>
      <c r="EV132" s="2356"/>
      <c r="EW132" s="2357"/>
      <c r="EX132" s="2357"/>
      <c r="EY132" s="2357"/>
      <c r="EZ132" s="2401"/>
      <c r="FA132" s="2357"/>
      <c r="FB132" s="2401"/>
      <c r="FC132" s="2357"/>
      <c r="FD132" s="2401"/>
      <c r="FE132" s="2401"/>
      <c r="FG132" s="2357"/>
      <c r="FH132" s="2358"/>
      <c r="FI132" s="2400"/>
      <c r="FJ132" s="2401"/>
      <c r="FK132" s="2357"/>
      <c r="FL132" s="2401"/>
      <c r="FV132" s="2356"/>
      <c r="FW132" s="2357"/>
      <c r="FX132" s="2357"/>
      <c r="FY132" s="2357"/>
      <c r="FZ132" s="2401"/>
      <c r="GA132" s="2357"/>
      <c r="GB132" s="2358"/>
      <c r="GC132" s="2357"/>
      <c r="GD132" s="2400"/>
    </row>
    <row r="133" spans="88:186" ht="15">
      <c r="CJ133" s="2356"/>
      <c r="CK133" s="2357"/>
      <c r="CL133" s="2357"/>
      <c r="CM133" s="2400"/>
      <c r="CN133" s="2357"/>
      <c r="CO133" s="2400"/>
      <c r="CP133" s="2357"/>
      <c r="CQ133" s="2400"/>
      <c r="CR133" s="2400"/>
      <c r="CS133" s="2400"/>
      <c r="CT133" s="2357"/>
      <c r="DC133" s="2356" t="s">
        <v>4052</v>
      </c>
      <c r="DD133" s="2391">
        <v>8889</v>
      </c>
      <c r="DE133" s="2357">
        <v>378</v>
      </c>
      <c r="DF133" s="2358">
        <f>DE133/DD133*100</f>
        <v>4.252446844414445</v>
      </c>
      <c r="DG133" s="2357">
        <v>333</v>
      </c>
      <c r="DH133" s="2358">
        <f>DG133/DD133*100</f>
        <v>3.7462031724603442</v>
      </c>
      <c r="DI133" s="2357">
        <v>345</v>
      </c>
      <c r="DJ133" s="2358">
        <f>DI133/DD133*100</f>
        <v>3.8812014849814376</v>
      </c>
      <c r="DM133" s="2399"/>
      <c r="DN133" s="2404"/>
      <c r="DO133" s="2404"/>
      <c r="DS133" s="2356"/>
      <c r="DT133" s="2359"/>
      <c r="DU133" s="2357"/>
      <c r="DV133" s="2358"/>
      <c r="DW133" s="2357"/>
      <c r="DX133" s="2358"/>
      <c r="DY133" s="2357"/>
      <c r="DZ133" s="2358"/>
      <c r="EH133" s="2403"/>
      <c r="EI133" s="2356"/>
      <c r="EJ133" s="2357"/>
      <c r="EK133" s="2357"/>
      <c r="EL133" s="2358"/>
      <c r="EM133" s="2357"/>
      <c r="EN133" s="2358"/>
      <c r="EO133" s="2357"/>
      <c r="EP133" s="2358"/>
      <c r="EQ133" s="2358"/>
      <c r="EU133" s="2401"/>
      <c r="EV133" s="2356"/>
      <c r="EW133" s="2357"/>
      <c r="EX133" s="2357"/>
      <c r="EY133" s="2357"/>
      <c r="EZ133" s="2401"/>
      <c r="FA133" s="2357"/>
      <c r="FB133" s="2401"/>
      <c r="FC133" s="2357"/>
      <c r="FD133" s="2401"/>
      <c r="FE133" s="2401"/>
      <c r="FG133" s="2357"/>
      <c r="FH133" s="2358"/>
      <c r="FI133" s="2400"/>
      <c r="FJ133" s="2401"/>
      <c r="FK133" s="2357"/>
      <c r="FL133" s="2401"/>
      <c r="FV133" s="2356"/>
      <c r="FW133" s="2357"/>
      <c r="FX133" s="2357"/>
      <c r="FY133" s="2357"/>
      <c r="FZ133" s="2401"/>
      <c r="GA133" s="2357"/>
      <c r="GB133" s="2358"/>
      <c r="GC133" s="2369"/>
      <c r="GD133" s="2400"/>
    </row>
    <row r="134" spans="88:186" ht="15">
      <c r="CJ134" s="2356"/>
      <c r="CK134" s="2357"/>
      <c r="CL134" s="2357"/>
      <c r="CM134" s="2400"/>
      <c r="CN134" s="2357"/>
      <c r="CO134" s="2400"/>
      <c r="CP134" s="2357"/>
      <c r="CQ134" s="2400"/>
      <c r="CR134" s="2400"/>
      <c r="CS134" s="2400"/>
      <c r="CT134" s="2357"/>
      <c r="DC134" s="2356" t="s">
        <v>4056</v>
      </c>
      <c r="DD134" s="2391">
        <v>9818</v>
      </c>
      <c r="DE134" s="2357">
        <v>398</v>
      </c>
      <c r="DF134" s="2358">
        <f>DE134/DD134*100</f>
        <v>4.0537787736809943</v>
      </c>
      <c r="DG134" s="2357">
        <v>364</v>
      </c>
      <c r="DH134" s="2358">
        <f>DG134/DD134*100</f>
        <v>3.707476064371563</v>
      </c>
      <c r="DI134" s="2357">
        <v>573</v>
      </c>
      <c r="DJ134" s="2358">
        <f>DI134/DD134*100</f>
        <v>5.836219189244245</v>
      </c>
      <c r="DM134" s="2399"/>
      <c r="DN134" s="2404"/>
      <c r="DO134" s="2404"/>
      <c r="DS134" s="2356"/>
      <c r="DT134" s="2359"/>
      <c r="DU134" s="2357"/>
      <c r="DV134" s="2358"/>
      <c r="DW134" s="2357"/>
      <c r="DX134" s="2358"/>
      <c r="DY134" s="2357"/>
      <c r="DZ134" s="2358"/>
      <c r="EH134" s="2403"/>
      <c r="EI134" s="2356"/>
      <c r="EJ134" s="2357"/>
      <c r="EK134" s="2357"/>
      <c r="EL134" s="2358"/>
      <c r="EM134" s="2357"/>
      <c r="EN134" s="2358"/>
      <c r="EO134" s="2357"/>
      <c r="EP134" s="2358"/>
      <c r="EQ134" s="2358"/>
      <c r="EU134" s="2401"/>
      <c r="EV134" s="2356"/>
      <c r="EW134" s="2357"/>
      <c r="EX134" s="2357"/>
      <c r="EY134" s="2357"/>
      <c r="EZ134" s="2401"/>
      <c r="FA134" s="2357"/>
      <c r="FB134" s="2401"/>
      <c r="FC134" s="2357"/>
      <c r="FD134" s="2401"/>
      <c r="FE134" s="2401"/>
      <c r="FG134" s="2357"/>
      <c r="FH134" s="2358"/>
      <c r="FI134" s="2400"/>
      <c r="FJ134" s="2401"/>
      <c r="FK134" s="2357"/>
      <c r="FL134" s="2401"/>
      <c r="FV134" s="2356"/>
      <c r="FW134" s="2357"/>
      <c r="FX134" s="2357"/>
      <c r="FY134" s="2357"/>
      <c r="FZ134" s="2401"/>
      <c r="GA134" s="2357"/>
      <c r="GB134" s="2358"/>
      <c r="GC134" s="2369"/>
      <c r="GD134" s="2400"/>
    </row>
    <row r="135" spans="88:186" ht="15">
      <c r="CJ135" s="2356"/>
      <c r="CK135" s="2357"/>
      <c r="CL135" s="2357"/>
      <c r="CM135" s="2400"/>
      <c r="CN135" s="2357"/>
      <c r="CO135" s="2400"/>
      <c r="CP135" s="2357"/>
      <c r="CQ135" s="2400"/>
      <c r="CR135" s="2400"/>
      <c r="CS135" s="2400"/>
      <c r="CT135" s="2356"/>
      <c r="DC135" s="2356" t="s">
        <v>2209</v>
      </c>
      <c r="DD135" s="2391">
        <v>17727</v>
      </c>
      <c r="DE135" s="2357">
        <v>739</v>
      </c>
      <c r="DF135" s="2358">
        <f>DE135/DD135*100</f>
        <v>4.1687820838269305</v>
      </c>
      <c r="DG135" s="2357">
        <v>650</v>
      </c>
      <c r="DH135" s="2358">
        <f>DG135/DD135*100</f>
        <v>3.6667230777909405</v>
      </c>
      <c r="DI135" s="2357">
        <v>698</v>
      </c>
      <c r="DJ135" s="2358">
        <f>DI135/DD135*100</f>
        <v>3.9374964743047332</v>
      </c>
      <c r="DM135" s="2399"/>
      <c r="DN135" s="2404"/>
      <c r="DO135" s="2404"/>
      <c r="DS135" s="2356"/>
      <c r="DT135" s="2359"/>
      <c r="DU135" s="2357"/>
      <c r="DV135" s="2358"/>
      <c r="DW135" s="2357"/>
      <c r="DX135" s="2358"/>
      <c r="DY135" s="2357"/>
      <c r="DZ135" s="2358"/>
      <c r="EH135" s="2403"/>
      <c r="EI135" s="2356"/>
      <c r="EJ135" s="2357"/>
      <c r="EK135" s="2357"/>
      <c r="EL135" s="2358"/>
      <c r="EM135" s="2357"/>
      <c r="EN135" s="2358"/>
      <c r="EO135" s="2357"/>
      <c r="EP135" s="2358"/>
      <c r="EQ135" s="2358"/>
      <c r="EU135" s="2401"/>
      <c r="EV135" s="2356"/>
      <c r="EW135" s="2357"/>
      <c r="EX135" s="2357"/>
      <c r="EY135" s="2357"/>
      <c r="EZ135" s="2401"/>
      <c r="FA135" s="2357"/>
      <c r="FB135" s="2401"/>
      <c r="FC135" s="2357"/>
      <c r="FD135" s="2401"/>
      <c r="FE135" s="2401"/>
      <c r="FG135" s="2357"/>
      <c r="FH135" s="2358"/>
      <c r="FI135" s="2400"/>
      <c r="FJ135" s="2401"/>
      <c r="FK135" s="2357"/>
      <c r="FL135" s="2401"/>
      <c r="FV135" s="2356"/>
      <c r="FW135" s="2357"/>
      <c r="FX135" s="2357"/>
      <c r="FY135" s="2357"/>
      <c r="FZ135" s="2401"/>
      <c r="GA135" s="2357"/>
      <c r="GB135" s="2358"/>
      <c r="GC135" s="2357"/>
      <c r="GD135" s="2400"/>
    </row>
    <row r="136" spans="88:186" ht="15">
      <c r="CJ136" s="2356"/>
      <c r="CK136" s="2356"/>
      <c r="CL136" s="2356"/>
      <c r="CM136" s="2356"/>
      <c r="CN136" s="2356"/>
      <c r="CO136" s="2356"/>
      <c r="CP136" s="2356"/>
      <c r="CQ136" s="2356"/>
      <c r="CR136" s="2356"/>
      <c r="CS136" s="2356"/>
      <c r="DC136" s="2356" t="s">
        <v>2352</v>
      </c>
      <c r="DD136" s="2391">
        <v>17874</v>
      </c>
      <c r="DE136" s="2357">
        <v>707</v>
      </c>
      <c r="DF136" s="2358">
        <f>DE136/DD136*100</f>
        <v>3.9554660400581851</v>
      </c>
      <c r="DG136" s="2357">
        <v>658</v>
      </c>
      <c r="DH136" s="2358">
        <f>DG136/DD136*100</f>
        <v>3.681324829361083</v>
      </c>
      <c r="DI136" s="2357">
        <v>746</v>
      </c>
      <c r="DJ136" s="2358">
        <f>DI136/DD136*100</f>
        <v>4.1736600648987352</v>
      </c>
      <c r="DM136" s="2399"/>
      <c r="DN136" s="2404"/>
      <c r="DO136" s="2404"/>
      <c r="DS136" s="2356"/>
      <c r="DT136" s="2359"/>
      <c r="DU136" s="2357"/>
      <c r="DV136" s="2358"/>
      <c r="DW136" s="2357"/>
      <c r="DX136" s="2358"/>
      <c r="DY136" s="2357"/>
      <c r="DZ136" s="2358"/>
      <c r="EH136" s="2403"/>
      <c r="EI136" s="2356"/>
      <c r="EJ136" s="2357"/>
      <c r="EK136" s="2357"/>
      <c r="EL136" s="2358"/>
      <c r="EM136" s="2357"/>
      <c r="EN136" s="2358"/>
      <c r="EO136" s="2357"/>
      <c r="EP136" s="2358"/>
      <c r="EQ136" s="2358"/>
      <c r="EU136" s="2401"/>
      <c r="EV136" s="2356"/>
      <c r="EW136" s="2357"/>
      <c r="EX136" s="2357"/>
      <c r="EY136" s="2357"/>
      <c r="EZ136" s="2401"/>
      <c r="FA136" s="2357"/>
      <c r="FB136" s="2401"/>
      <c r="FC136" s="2357"/>
      <c r="FD136" s="2401"/>
      <c r="FE136" s="2401"/>
      <c r="FG136" s="2357"/>
      <c r="FH136" s="2358"/>
      <c r="FI136" s="2400"/>
      <c r="FJ136" s="2401"/>
      <c r="FK136" s="2357"/>
      <c r="FL136" s="2401"/>
      <c r="FV136" s="2356"/>
      <c r="FW136" s="2357"/>
      <c r="FX136" s="2357"/>
      <c r="FY136" s="2357"/>
      <c r="FZ136" s="2401"/>
      <c r="GA136" s="2357"/>
      <c r="GB136" s="2358"/>
      <c r="GC136" s="2357"/>
      <c r="GD136" s="2400"/>
    </row>
    <row r="137" spans="88:186" ht="15">
      <c r="DC137" s="2356" t="s">
        <v>2261</v>
      </c>
      <c r="DD137" s="2391">
        <v>10189</v>
      </c>
      <c r="DE137" s="2357">
        <v>414</v>
      </c>
      <c r="DF137" s="2358">
        <f>DE137/DD137*100</f>
        <v>4.0632054176072234</v>
      </c>
      <c r="DG137" s="2357">
        <v>356</v>
      </c>
      <c r="DH137" s="2358">
        <f>DG137/DD137*100</f>
        <v>3.4939640789086268</v>
      </c>
      <c r="DI137" s="2357">
        <v>409</v>
      </c>
      <c r="DJ137" s="2358">
        <f>DI137/DD137*100</f>
        <v>4.014132888409069</v>
      </c>
      <c r="DM137" s="2399"/>
      <c r="DS137" s="2356"/>
      <c r="DT137" s="2359"/>
      <c r="DU137" s="2357"/>
      <c r="DV137" s="2358"/>
      <c r="DW137" s="2357"/>
      <c r="DX137" s="2358"/>
      <c r="DY137" s="2357"/>
      <c r="DZ137" s="2358"/>
      <c r="EH137" s="2403"/>
      <c r="EI137" s="2356"/>
      <c r="EJ137" s="2357"/>
      <c r="EK137" s="2357"/>
      <c r="EL137" s="2358"/>
      <c r="EM137" s="2357"/>
      <c r="EN137" s="2358"/>
      <c r="EO137" s="2357"/>
      <c r="EP137" s="2358"/>
      <c r="EQ137" s="2358"/>
      <c r="EU137" s="2401"/>
      <c r="EV137" s="2356"/>
      <c r="EW137" s="2357"/>
      <c r="EX137" s="2357"/>
      <c r="EY137" s="2357"/>
      <c r="EZ137" s="2401"/>
      <c r="FA137" s="2357"/>
      <c r="FB137" s="2401"/>
      <c r="FC137" s="2357"/>
      <c r="FD137" s="2401"/>
      <c r="FE137" s="2401"/>
      <c r="FG137" s="2357"/>
      <c r="FH137" s="2358"/>
      <c r="FI137" s="2400"/>
      <c r="FJ137" s="2401"/>
      <c r="FK137" s="2357"/>
      <c r="FL137" s="2401"/>
      <c r="FV137" s="2356"/>
      <c r="FW137" s="2357"/>
      <c r="FX137" s="2357"/>
      <c r="FY137" s="2357"/>
      <c r="FZ137" s="2401"/>
      <c r="GA137" s="2357"/>
      <c r="GB137" s="2358"/>
      <c r="GC137" s="2357"/>
      <c r="GD137" s="2400"/>
    </row>
    <row r="138" spans="88:186" ht="15">
      <c r="DC138" s="2356" t="s">
        <v>2251</v>
      </c>
      <c r="DD138" s="2391">
        <v>10709</v>
      </c>
      <c r="DE138" s="2357">
        <v>432</v>
      </c>
      <c r="DF138" s="2358">
        <f>DE138/DD138*100</f>
        <v>4.0339901017835462</v>
      </c>
      <c r="DG138" s="2357">
        <v>391</v>
      </c>
      <c r="DH138" s="2358">
        <f>DG138/DD138*100</f>
        <v>3.6511345597161267</v>
      </c>
      <c r="DI138" s="2357">
        <v>453</v>
      </c>
      <c r="DJ138" s="2358">
        <f>DI138/DD138*100</f>
        <v>4.2300868428424687</v>
      </c>
      <c r="DM138" s="2399"/>
      <c r="DS138" s="2356"/>
      <c r="DT138" s="2359"/>
      <c r="DU138" s="2357"/>
      <c r="DV138" s="2358"/>
      <c r="DW138" s="2357"/>
      <c r="DX138" s="2358"/>
      <c r="DY138" s="2357"/>
      <c r="DZ138" s="2358"/>
      <c r="EH138" s="2403"/>
      <c r="EI138" s="2356"/>
      <c r="EJ138" s="2357"/>
      <c r="EK138" s="2357"/>
      <c r="EL138" s="2358"/>
      <c r="EM138" s="2357"/>
      <c r="EN138" s="2358"/>
      <c r="EO138" s="2357"/>
      <c r="EP138" s="2358"/>
      <c r="EQ138" s="2358"/>
      <c r="EU138" s="2401"/>
      <c r="EV138" s="2356"/>
      <c r="EW138" s="2357"/>
      <c r="EX138" s="2357"/>
      <c r="EY138" s="2357"/>
      <c r="EZ138" s="2401"/>
      <c r="FA138" s="2357"/>
      <c r="FB138" s="2401"/>
      <c r="FC138" s="2357"/>
      <c r="FD138" s="2401"/>
      <c r="FE138" s="2401"/>
      <c r="FG138" s="2357"/>
      <c r="FH138" s="2358"/>
      <c r="FI138" s="2400"/>
      <c r="FJ138" s="2401"/>
      <c r="FK138" s="2357"/>
      <c r="FL138" s="2401"/>
      <c r="FV138" s="2356"/>
      <c r="FW138" s="2357"/>
      <c r="FX138" s="2357"/>
      <c r="FY138" s="2357"/>
      <c r="FZ138" s="2401"/>
      <c r="GA138" s="2357"/>
      <c r="GB138" s="2358"/>
      <c r="GC138" s="2357"/>
      <c r="GD138" s="2400"/>
    </row>
    <row r="139" spans="88:186" ht="15">
      <c r="DC139" s="2356" t="s">
        <v>2260</v>
      </c>
      <c r="DD139" s="2391">
        <v>12037</v>
      </c>
      <c r="DE139" s="2357">
        <v>460</v>
      </c>
      <c r="DF139" s="2358">
        <f>DE139/DD139*100</f>
        <v>3.8215502201545237</v>
      </c>
      <c r="DG139" s="2357">
        <v>437</v>
      </c>
      <c r="DH139" s="2358">
        <f>DG139/DD139*100</f>
        <v>3.6304727091467974</v>
      </c>
      <c r="DI139" s="2357">
        <v>456</v>
      </c>
      <c r="DJ139" s="2358">
        <f>DI139/DD139*100</f>
        <v>3.7883193486749192</v>
      </c>
      <c r="DM139" s="2399"/>
      <c r="DS139" s="2356"/>
      <c r="DT139" s="2359"/>
      <c r="DU139" s="2357"/>
      <c r="DV139" s="2358"/>
      <c r="DW139" s="2357"/>
      <c r="DX139" s="2358"/>
      <c r="DY139" s="2357"/>
      <c r="DZ139" s="2358"/>
      <c r="EH139" s="2403"/>
      <c r="EI139" s="2356"/>
      <c r="EJ139" s="2357"/>
      <c r="EK139" s="2357"/>
      <c r="EL139" s="2358"/>
      <c r="EM139" s="2357"/>
      <c r="EN139" s="2358"/>
      <c r="EO139" s="2357"/>
      <c r="EP139" s="2358"/>
      <c r="EQ139" s="2358"/>
      <c r="EU139" s="2401"/>
      <c r="EV139" s="2356"/>
      <c r="EW139" s="2357"/>
      <c r="EX139" s="2357"/>
      <c r="EY139" s="2357"/>
      <c r="EZ139" s="2401"/>
      <c r="FA139" s="2357"/>
      <c r="FB139" s="2401"/>
      <c r="FC139" s="2357"/>
      <c r="FD139" s="2401"/>
      <c r="FE139" s="2401"/>
      <c r="FG139" s="2357"/>
      <c r="FH139" s="2358"/>
      <c r="FI139" s="2400"/>
      <c r="FJ139" s="2401"/>
      <c r="FK139" s="2357"/>
      <c r="FL139" s="2401"/>
      <c r="FV139" s="2356"/>
      <c r="FW139" s="2357"/>
      <c r="FX139" s="2357"/>
      <c r="FY139" s="2357"/>
      <c r="FZ139" s="2401"/>
      <c r="GA139" s="2357"/>
      <c r="GB139" s="2358"/>
      <c r="GC139" s="2357"/>
      <c r="GD139" s="2400"/>
    </row>
    <row r="140" spans="88:186" ht="15">
      <c r="CN140" s="2356"/>
      <c r="CO140" s="2393"/>
      <c r="DC140" s="2356" t="s">
        <v>2253</v>
      </c>
      <c r="DD140" s="2391">
        <v>21729</v>
      </c>
      <c r="DE140" s="2357">
        <v>859</v>
      </c>
      <c r="DF140" s="2358">
        <f>DE140/DD140*100</f>
        <v>3.9532422108702656</v>
      </c>
      <c r="DG140" s="2357">
        <v>830</v>
      </c>
      <c r="DH140" s="2358">
        <f>DG140/DD140*100</f>
        <v>3.8197800174881493</v>
      </c>
      <c r="DI140" s="2357">
        <v>863</v>
      </c>
      <c r="DJ140" s="2358">
        <f>DI140/DD140*100</f>
        <v>3.9716507892677986</v>
      </c>
      <c r="DM140" s="2399"/>
      <c r="DS140" s="2356"/>
      <c r="DT140" s="2359"/>
      <c r="DU140" s="2357"/>
      <c r="DV140" s="2358"/>
      <c r="DW140" s="2357"/>
      <c r="DX140" s="2358"/>
      <c r="DY140" s="2357"/>
      <c r="DZ140" s="2358"/>
      <c r="EH140" s="2403"/>
      <c r="EI140" s="2356"/>
      <c r="EJ140" s="2357"/>
      <c r="EK140" s="2357"/>
      <c r="EL140" s="2358"/>
      <c r="EM140" s="2357"/>
      <c r="EN140" s="2358"/>
      <c r="EO140" s="2357"/>
      <c r="EP140" s="2358"/>
      <c r="EQ140" s="2358"/>
      <c r="EU140" s="2401"/>
      <c r="EV140" s="2356"/>
      <c r="EW140" s="2357"/>
      <c r="EX140" s="2357"/>
      <c r="EY140" s="2357"/>
      <c r="EZ140" s="2401"/>
      <c r="FA140" s="2357"/>
      <c r="FB140" s="2401"/>
      <c r="FC140" s="2357"/>
      <c r="FD140" s="2401"/>
      <c r="FE140" s="2401"/>
      <c r="FG140" s="2357"/>
      <c r="FH140" s="2358"/>
      <c r="FI140" s="2400"/>
      <c r="FJ140" s="2401"/>
      <c r="FK140" s="2357"/>
      <c r="FL140" s="2401"/>
      <c r="FV140" s="2356"/>
      <c r="FW140" s="2357"/>
      <c r="FX140" s="2357"/>
      <c r="FY140" s="2357"/>
      <c r="FZ140" s="2401"/>
      <c r="GA140" s="2357"/>
      <c r="GB140" s="2358"/>
      <c r="GC140" s="2357"/>
      <c r="GD140" s="2400"/>
    </row>
    <row r="141" spans="88:186" ht="15">
      <c r="CN141" s="2356"/>
      <c r="CO141" s="2393"/>
      <c r="DC141" s="2356" t="s">
        <v>2185</v>
      </c>
      <c r="DD141" s="2391">
        <v>26978</v>
      </c>
      <c r="DE141" s="2357">
        <v>1084</v>
      </c>
      <c r="DF141" s="2358">
        <f>DE141/DD141*100</f>
        <v>4.0180888131069761</v>
      </c>
      <c r="DG141" s="2357">
        <v>1027</v>
      </c>
      <c r="DH141" s="2358">
        <f>DG141/DD141*100</f>
        <v>3.8068055452591003</v>
      </c>
      <c r="DI141" s="2357">
        <v>1073</v>
      </c>
      <c r="DJ141" s="2358">
        <f>DI141/DD141*100</f>
        <v>3.9773148491363335</v>
      </c>
      <c r="DM141" s="2399"/>
      <c r="DS141" s="2356"/>
      <c r="DT141" s="2359"/>
      <c r="DU141" s="2357"/>
      <c r="DV141" s="2358"/>
      <c r="DW141" s="2357"/>
      <c r="DX141" s="2358"/>
      <c r="DY141" s="2357"/>
      <c r="DZ141" s="2358"/>
      <c r="EH141" s="2403"/>
      <c r="EI141" s="2356"/>
      <c r="EJ141" s="2357"/>
      <c r="EK141" s="2357"/>
      <c r="EL141" s="2358"/>
      <c r="EM141" s="2357"/>
      <c r="EN141" s="2358"/>
      <c r="EO141" s="2357"/>
      <c r="EP141" s="2358"/>
      <c r="EQ141" s="2358"/>
      <c r="EU141" s="2401"/>
      <c r="EV141" s="2356"/>
      <c r="EW141" s="2357"/>
      <c r="EX141" s="2357"/>
      <c r="EY141" s="2357"/>
      <c r="EZ141" s="2401"/>
      <c r="FA141" s="2357"/>
      <c r="FB141" s="2401"/>
      <c r="FC141" s="2357"/>
      <c r="FD141" s="2401"/>
      <c r="FE141" s="2401"/>
      <c r="FG141" s="2357"/>
      <c r="FH141" s="2358"/>
      <c r="FI141" s="2400"/>
      <c r="FJ141" s="2401"/>
      <c r="FK141" s="2357"/>
      <c r="FL141" s="2401"/>
      <c r="FV141" s="2356"/>
      <c r="FW141" s="2357"/>
      <c r="FX141" s="2357"/>
      <c r="FY141" s="2357"/>
      <c r="FZ141" s="2401"/>
      <c r="GA141" s="2357"/>
      <c r="GB141" s="2358"/>
      <c r="GC141" s="2357"/>
      <c r="GD141" s="2400"/>
    </row>
    <row r="142" spans="88:186" ht="15">
      <c r="CN142" s="2356"/>
      <c r="CO142" s="2393"/>
      <c r="DC142" s="2356" t="s">
        <v>2202</v>
      </c>
      <c r="DD142" s="2391">
        <v>23110</v>
      </c>
      <c r="DE142" s="2357">
        <v>923</v>
      </c>
      <c r="DF142" s="2358">
        <f>DE142/DD142*100</f>
        <v>3.9939420164430981</v>
      </c>
      <c r="DG142" s="2357">
        <v>917</v>
      </c>
      <c r="DH142" s="2358">
        <f>DG142/DD142*100</f>
        <v>3.9679792297706622</v>
      </c>
      <c r="DI142" s="2357">
        <v>890</v>
      </c>
      <c r="DJ142" s="2358">
        <f>DI142/DD142*100</f>
        <v>3.8511466897446991</v>
      </c>
      <c r="DM142" s="2399"/>
      <c r="DS142" s="2356"/>
      <c r="DT142" s="2359"/>
      <c r="DU142" s="2357"/>
      <c r="DV142" s="2358"/>
      <c r="DW142" s="2357"/>
      <c r="DX142" s="2358"/>
      <c r="DY142" s="2357"/>
      <c r="DZ142" s="2358"/>
      <c r="EH142" s="2403"/>
      <c r="EI142" s="2356"/>
      <c r="EJ142" s="2357"/>
      <c r="EK142" s="2357"/>
      <c r="EL142" s="2358"/>
      <c r="EM142" s="2357"/>
      <c r="EN142" s="2358"/>
      <c r="EO142" s="2357"/>
      <c r="EP142" s="2358"/>
      <c r="EQ142" s="2358"/>
      <c r="EU142" s="2401"/>
      <c r="EV142" s="2356"/>
      <c r="EW142" s="2357"/>
      <c r="EX142" s="2357"/>
      <c r="EY142" s="2357"/>
      <c r="EZ142" s="2401"/>
      <c r="FA142" s="2357"/>
      <c r="FB142" s="2401"/>
      <c r="FC142" s="2357"/>
      <c r="FD142" s="2401"/>
      <c r="FE142" s="2401"/>
      <c r="FG142" s="2357"/>
      <c r="FH142" s="2358"/>
      <c r="FI142" s="2400"/>
      <c r="FJ142" s="2401"/>
      <c r="FK142" s="2357"/>
      <c r="FL142" s="2401"/>
      <c r="FV142" s="2356"/>
      <c r="FW142" s="2357"/>
      <c r="FX142" s="2357"/>
      <c r="FY142" s="2357"/>
      <c r="FZ142" s="2401"/>
      <c r="GA142" s="2357"/>
      <c r="GB142" s="2358"/>
      <c r="GC142" s="2357"/>
      <c r="GD142" s="2400"/>
    </row>
    <row r="143" spans="88:186" ht="15">
      <c r="CN143" s="2361"/>
      <c r="CO143" s="2393"/>
      <c r="DC143" s="2356" t="s">
        <v>2177</v>
      </c>
      <c r="DD143" s="2391">
        <v>64230</v>
      </c>
      <c r="DE143" s="2357">
        <v>2613</v>
      </c>
      <c r="DF143" s="2358">
        <f>DE143/DD143*100</f>
        <v>4.0681924334423165</v>
      </c>
      <c r="DG143" s="2357">
        <v>2593</v>
      </c>
      <c r="DH143" s="2358">
        <f>DG143/DD143*100</f>
        <v>4.0370543359800717</v>
      </c>
      <c r="DI143" s="2357">
        <v>2081</v>
      </c>
      <c r="DJ143" s="2358">
        <f>DI143/DD143*100</f>
        <v>3.2399190409465985</v>
      </c>
      <c r="DM143" s="2399"/>
      <c r="DS143" s="2356"/>
      <c r="DT143" s="2359"/>
      <c r="DU143" s="2357"/>
      <c r="DV143" s="2358"/>
      <c r="DW143" s="2357"/>
      <c r="DX143" s="2358"/>
      <c r="DY143" s="2357"/>
      <c r="DZ143" s="2358"/>
      <c r="EH143" s="2403"/>
      <c r="EI143" s="2356"/>
      <c r="EJ143" s="2357"/>
      <c r="EK143" s="2357"/>
      <c r="EL143" s="2358"/>
      <c r="EM143" s="2357"/>
      <c r="EN143" s="2358"/>
      <c r="EO143" s="2357"/>
      <c r="EP143" s="2358"/>
      <c r="EQ143" s="2358"/>
      <c r="EU143" s="2401"/>
      <c r="EV143" s="2356"/>
      <c r="EW143" s="2357"/>
      <c r="EX143" s="2357"/>
      <c r="EY143" s="2357"/>
      <c r="EZ143" s="2401"/>
      <c r="FA143" s="2357"/>
      <c r="FB143" s="2401"/>
      <c r="FC143" s="2357"/>
      <c r="FD143" s="2401"/>
      <c r="FE143" s="2401"/>
      <c r="FG143" s="2357"/>
      <c r="FH143" s="2358"/>
      <c r="FI143" s="2400"/>
      <c r="FJ143" s="2401"/>
      <c r="FK143" s="2357"/>
      <c r="FL143" s="2401"/>
      <c r="FV143" s="2356"/>
      <c r="FW143" s="2357"/>
      <c r="FX143" s="2357"/>
      <c r="FY143" s="2357"/>
      <c r="FZ143" s="2401"/>
      <c r="GA143" s="2357"/>
      <c r="GB143" s="2358"/>
      <c r="GC143" s="2357"/>
      <c r="GD143" s="2400"/>
    </row>
    <row r="144" spans="88:186" ht="15">
      <c r="CN144" s="2356"/>
      <c r="CO144" s="2393"/>
      <c r="DC144" s="2368" t="s">
        <v>2208</v>
      </c>
      <c r="DD144" s="2390">
        <v>34295</v>
      </c>
      <c r="DE144" s="2366">
        <v>1371</v>
      </c>
      <c r="DF144" s="2365">
        <f>DE144/DD144*100</f>
        <v>3.9976672984400059</v>
      </c>
      <c r="DG144" s="2366">
        <v>1296</v>
      </c>
      <c r="DH144" s="2365">
        <f>DG144/DD144*100</f>
        <v>3.7789765271905527</v>
      </c>
      <c r="DI144" s="2366">
        <v>1143</v>
      </c>
      <c r="DJ144" s="2365">
        <f>DI144/DD144*100</f>
        <v>3.3328473538416676</v>
      </c>
      <c r="DM144" s="2399"/>
      <c r="DS144" s="2356"/>
      <c r="DT144" s="2359"/>
      <c r="DU144" s="2357"/>
      <c r="DV144" s="2358"/>
      <c r="DW144" s="2357"/>
      <c r="DX144" s="2358"/>
      <c r="DY144" s="2357"/>
      <c r="DZ144" s="2358"/>
      <c r="EH144" s="2403"/>
      <c r="EI144" s="2356"/>
      <c r="EJ144" s="2357"/>
      <c r="EK144" s="2357"/>
      <c r="EL144" s="2358"/>
      <c r="EM144" s="2357"/>
      <c r="EN144" s="2358"/>
      <c r="EO144" s="2357"/>
      <c r="EP144" s="2358"/>
      <c r="EQ144" s="2358"/>
      <c r="EU144" s="2401"/>
      <c r="EV144" s="2356"/>
      <c r="EW144" s="2357"/>
      <c r="EX144" s="2357"/>
      <c r="EY144" s="2357"/>
      <c r="EZ144" s="2401"/>
      <c r="FA144" s="2357"/>
      <c r="FB144" s="2401"/>
      <c r="FC144" s="2357"/>
      <c r="FD144" s="2401"/>
      <c r="FE144" s="2401"/>
      <c r="FG144" s="2357"/>
      <c r="FH144" s="2358"/>
      <c r="FI144" s="2400"/>
      <c r="FJ144" s="2401"/>
      <c r="FK144" s="2356"/>
      <c r="FL144" s="2356"/>
      <c r="FM144" s="2356"/>
      <c r="FV144" s="2356"/>
      <c r="FW144" s="2357"/>
      <c r="FX144" s="2357"/>
      <c r="FY144" s="2357"/>
      <c r="FZ144" s="2401"/>
      <c r="GA144" s="2357"/>
      <c r="GB144" s="2358"/>
      <c r="GC144" s="2357"/>
      <c r="GD144" s="2400"/>
    </row>
    <row r="145" spans="92:187">
      <c r="CN145" s="2356"/>
      <c r="CO145" s="2402"/>
      <c r="DC145" s="2356" t="s">
        <v>4069</v>
      </c>
      <c r="DD145" s="2356"/>
      <c r="DE145" s="2356"/>
      <c r="DF145" s="2356"/>
      <c r="DG145" s="2356"/>
      <c r="DH145" s="2356"/>
      <c r="DI145" s="2356"/>
      <c r="DJ145" s="2356"/>
      <c r="DM145" s="2399"/>
      <c r="DS145" s="2356"/>
      <c r="DT145" s="2356"/>
      <c r="DU145" s="2356"/>
      <c r="DV145" s="2356"/>
      <c r="DW145" s="2356"/>
      <c r="DX145" s="2356"/>
      <c r="DY145" s="2356"/>
      <c r="DZ145" s="2356"/>
      <c r="EI145" s="2356"/>
      <c r="EJ145" s="2356"/>
      <c r="EK145" s="2356"/>
      <c r="EL145" s="2356"/>
      <c r="EM145" s="2356"/>
      <c r="EN145" s="2356"/>
      <c r="EO145" s="2356"/>
      <c r="EP145" s="2356"/>
      <c r="EQ145" s="2356"/>
      <c r="EU145" s="2356"/>
      <c r="EV145" s="2356"/>
      <c r="EW145" s="2356"/>
      <c r="EX145" s="2356"/>
      <c r="EY145" s="2356"/>
      <c r="EZ145" s="2356"/>
      <c r="FA145" s="2356"/>
      <c r="FB145" s="2356"/>
      <c r="FC145" s="2356"/>
      <c r="FD145" s="2356"/>
      <c r="FE145" s="2356"/>
      <c r="FF145" s="2356"/>
      <c r="FG145" s="2356"/>
      <c r="FH145" s="2356"/>
      <c r="FI145" s="2356"/>
      <c r="FJ145" s="2356"/>
      <c r="FK145" s="2356"/>
      <c r="FL145" s="2356"/>
      <c r="FM145" s="2356"/>
      <c r="FV145" s="2356"/>
      <c r="FW145" s="2357"/>
      <c r="FX145" s="2357"/>
      <c r="FY145" s="2357"/>
      <c r="FZ145" s="2401"/>
      <c r="GA145" s="2357"/>
      <c r="GB145" s="2358"/>
      <c r="GC145" s="2357"/>
      <c r="GD145" s="2400"/>
    </row>
    <row r="146" spans="92:187">
      <c r="CN146" s="2356"/>
      <c r="CO146" s="2393"/>
      <c r="DC146" s="2356" t="s">
        <v>4076</v>
      </c>
      <c r="DD146" s="2356"/>
      <c r="DE146" s="2356"/>
      <c r="DF146" s="2356"/>
      <c r="DG146" s="2357" t="s">
        <v>3348</v>
      </c>
      <c r="DH146" s="2356"/>
      <c r="DI146" s="2357" t="s">
        <v>3348</v>
      </c>
      <c r="DJ146" s="2356"/>
      <c r="DM146" s="2399"/>
      <c r="DS146" s="2356"/>
      <c r="DT146" s="2356"/>
      <c r="DU146" s="2356"/>
      <c r="DV146" s="2356"/>
      <c r="DW146" s="2357"/>
      <c r="DX146" s="2356"/>
      <c r="DY146" s="2357"/>
      <c r="DZ146" s="2356"/>
      <c r="EI146" s="2356"/>
      <c r="EJ146" s="2356"/>
      <c r="EK146" s="2356"/>
      <c r="EL146" s="2356"/>
      <c r="EM146" s="2357"/>
      <c r="EN146" s="2356"/>
      <c r="EO146" s="2357"/>
      <c r="EP146" s="2356"/>
      <c r="EQ146" s="2356"/>
      <c r="EU146" s="2356"/>
      <c r="EV146" s="2356"/>
      <c r="EW146" s="2356"/>
      <c r="EX146" s="2356"/>
      <c r="EY146" s="2356"/>
      <c r="EZ146" s="2356"/>
      <c r="FA146" s="2356"/>
      <c r="FB146" s="2356"/>
      <c r="FC146" s="2356"/>
      <c r="FD146" s="2356"/>
      <c r="FE146" s="2356"/>
      <c r="FF146" s="2356"/>
      <c r="FG146" s="2356"/>
      <c r="FH146" s="2356"/>
      <c r="FI146" s="2356"/>
      <c r="FJ146" s="2356"/>
      <c r="FK146" s="2357"/>
      <c r="FL146" s="2357"/>
      <c r="FM146" s="2356"/>
      <c r="FV146" s="2356"/>
      <c r="FW146" s="2357"/>
      <c r="FX146" s="2357"/>
      <c r="FY146" s="2357"/>
      <c r="FZ146" s="2401"/>
      <c r="GA146" s="2357"/>
      <c r="GB146" s="2358"/>
      <c r="GC146" s="2357"/>
      <c r="GD146" s="2400"/>
    </row>
    <row r="147" spans="92:187">
      <c r="CN147" s="2356"/>
      <c r="CO147" s="2393"/>
      <c r="DC147" s="2356" t="s">
        <v>4078</v>
      </c>
      <c r="DD147" s="2356"/>
      <c r="DE147" s="2356"/>
      <c r="DF147" s="2356"/>
      <c r="DG147" s="2356"/>
      <c r="DH147" s="2356"/>
      <c r="DI147" s="2356"/>
      <c r="DJ147" s="2356"/>
      <c r="DM147" s="2399"/>
      <c r="DS147" s="2356"/>
      <c r="DT147" s="2356"/>
      <c r="DU147" s="2356"/>
      <c r="DV147" s="2356"/>
      <c r="DW147" s="2356"/>
      <c r="DX147" s="2356"/>
      <c r="DY147" s="2356"/>
      <c r="DZ147" s="2356"/>
      <c r="EI147" s="2356"/>
      <c r="EJ147" s="2356"/>
      <c r="EK147" s="2356"/>
      <c r="EL147" s="2356"/>
      <c r="EM147" s="2356"/>
      <c r="EN147" s="2356"/>
      <c r="EO147" s="2356"/>
      <c r="EP147" s="2356"/>
      <c r="EQ147" s="2356"/>
      <c r="EU147" s="2356"/>
      <c r="EV147" s="2356"/>
      <c r="EW147" s="2356"/>
      <c r="EX147" s="2356"/>
      <c r="EY147" s="2356"/>
      <c r="EZ147" s="2356"/>
      <c r="FA147" s="2356"/>
      <c r="FB147" s="2356"/>
      <c r="FC147" s="2356"/>
      <c r="FD147" s="2356"/>
      <c r="FE147" s="2356"/>
      <c r="FF147" s="2356"/>
      <c r="FG147" s="2356"/>
      <c r="FH147" s="2356"/>
      <c r="FI147" s="2356"/>
      <c r="FJ147" s="2356"/>
      <c r="FV147" s="2356"/>
      <c r="FW147" s="2357"/>
      <c r="FX147" s="2357"/>
      <c r="FY147" s="2357"/>
      <c r="FZ147" s="2401"/>
      <c r="GA147" s="2357"/>
      <c r="GB147" s="2358"/>
      <c r="GC147" s="2357"/>
      <c r="GD147" s="2400"/>
    </row>
    <row r="148" spans="92:187">
      <c r="CN148" s="2356"/>
      <c r="CO148" s="2393"/>
      <c r="DM148" s="2399"/>
      <c r="FG148" s="2357"/>
      <c r="FH148" s="2357"/>
      <c r="FV148" s="2356"/>
      <c r="FW148" s="2356"/>
      <c r="FX148" s="2356"/>
      <c r="FY148" s="2356"/>
      <c r="FZ148" s="2356"/>
      <c r="GA148" s="2356"/>
      <c r="GB148" s="2356"/>
      <c r="GC148" s="2356"/>
      <c r="GD148" s="2356"/>
      <c r="GE148" s="2356"/>
    </row>
    <row r="149" spans="92:187">
      <c r="CN149" s="2356"/>
      <c r="CO149" s="2393"/>
      <c r="DM149" s="2399"/>
      <c r="FV149" s="2356"/>
      <c r="FW149" s="2356"/>
      <c r="FX149" s="2356"/>
      <c r="FY149" s="2356"/>
      <c r="FZ149" s="2356"/>
      <c r="GA149" s="2356"/>
      <c r="GB149" s="2356"/>
      <c r="GC149" s="2356"/>
      <c r="GD149" s="2356"/>
      <c r="GE149" s="2356"/>
    </row>
    <row r="150" spans="92:187">
      <c r="CN150" s="2356"/>
      <c r="CO150" s="2393"/>
      <c r="DC150" s="2368" t="s">
        <v>4164</v>
      </c>
      <c r="DD150" s="2368"/>
      <c r="DE150" s="2356"/>
      <c r="DF150" s="2356"/>
      <c r="DG150" s="2356"/>
      <c r="DH150" s="2356"/>
      <c r="DI150" s="2368"/>
      <c r="DJ150" s="2368"/>
      <c r="DM150" s="2399"/>
      <c r="FV150" s="2356"/>
      <c r="FW150" s="2356"/>
      <c r="FX150" s="2356"/>
      <c r="FY150" s="2356"/>
      <c r="FZ150" s="2356"/>
      <c r="GA150" s="2356"/>
      <c r="GB150" s="2356"/>
      <c r="GC150" s="2356"/>
      <c r="GD150" s="2356"/>
      <c r="GE150" s="2356"/>
    </row>
    <row r="151" spans="92:187">
      <c r="CN151" s="2356"/>
      <c r="CO151" s="2393"/>
      <c r="DC151" s="2387"/>
      <c r="DD151" s="2386"/>
      <c r="DE151" s="2383" t="s">
        <v>3987</v>
      </c>
      <c r="DF151" s="2382"/>
      <c r="DG151" s="2383" t="s">
        <v>3988</v>
      </c>
      <c r="DH151" s="2384"/>
      <c r="DI151" s="2383" t="s">
        <v>4165</v>
      </c>
      <c r="DJ151" s="2382"/>
    </row>
    <row r="152" spans="92:187" ht="25.5" customHeight="1">
      <c r="CN152" s="2356"/>
      <c r="CO152" s="2393"/>
      <c r="DC152" s="2356" t="s">
        <v>4013</v>
      </c>
      <c r="DD152" s="2381" t="s">
        <v>4019</v>
      </c>
      <c r="DE152" s="2377"/>
      <c r="DF152" s="2376"/>
      <c r="DG152" s="2379"/>
      <c r="DH152" s="2378"/>
      <c r="DI152" s="2377"/>
      <c r="DJ152" s="2376"/>
      <c r="EV152" s="2356"/>
    </row>
    <row r="153" spans="92:187">
      <c r="CN153" s="2356"/>
      <c r="CO153" s="2393"/>
      <c r="DC153" s="2375" t="s">
        <v>4020</v>
      </c>
      <c r="DD153" s="2374" t="s">
        <v>3986</v>
      </c>
      <c r="DE153" s="2373" t="s">
        <v>1665</v>
      </c>
      <c r="DF153" s="2373" t="s">
        <v>1666</v>
      </c>
      <c r="DG153" s="2373" t="s">
        <v>1665</v>
      </c>
      <c r="DH153" s="2371" t="s">
        <v>1666</v>
      </c>
      <c r="DI153" s="2372" t="s">
        <v>1665</v>
      </c>
      <c r="DJ153" s="2371" t="s">
        <v>1666</v>
      </c>
      <c r="EV153" s="2360"/>
    </row>
    <row r="154" spans="92:187">
      <c r="CN154" s="2356"/>
      <c r="CO154" s="2393"/>
      <c r="DC154" s="2356" t="s">
        <v>3503</v>
      </c>
      <c r="DD154" s="2359">
        <f>SUM(DD155:DD173)</f>
        <v>372151</v>
      </c>
      <c r="DE154" s="2357">
        <f>SUM(DE155:DE173)</f>
        <v>22127</v>
      </c>
      <c r="DF154" s="2358">
        <f>DE154/DD154*100</f>
        <v>5.9457048348654169</v>
      </c>
      <c r="DG154" s="2357">
        <f>SUM(DG155:DG173)</f>
        <v>21515</v>
      </c>
      <c r="DH154" s="2358">
        <f>DG154/DD154*100</f>
        <v>5.7812554581339297</v>
      </c>
      <c r="DI154" s="2357">
        <f>SUM(DI155:DI173)</f>
        <v>17915</v>
      </c>
      <c r="DJ154" s="2358">
        <f>DI154/DD154*100</f>
        <v>4.8139061832428238</v>
      </c>
      <c r="EV154" s="2356"/>
      <c r="FK154" s="2356" t="s">
        <v>2276</v>
      </c>
      <c r="FL154" s="2356" t="s">
        <v>2201</v>
      </c>
      <c r="FM154" s="2356" t="s">
        <v>2209</v>
      </c>
      <c r="FN154" s="2356" t="s">
        <v>2352</v>
      </c>
      <c r="FO154" s="2356" t="s">
        <v>2261</v>
      </c>
      <c r="FP154" s="2356" t="s">
        <v>2251</v>
      </c>
      <c r="FQ154" s="2356" t="s">
        <v>4067</v>
      </c>
      <c r="FR154" s="2356" t="s">
        <v>2253</v>
      </c>
      <c r="FS154" s="2356" t="s">
        <v>2185</v>
      </c>
      <c r="FT154" s="2356" t="s">
        <v>2202</v>
      </c>
      <c r="FU154" s="2356" t="s">
        <v>2177</v>
      </c>
      <c r="FV154" s="2356" t="s">
        <v>2208</v>
      </c>
    </row>
    <row r="155" spans="92:187" ht="15">
      <c r="CN155" s="2356"/>
      <c r="CO155" s="2393"/>
      <c r="DC155" s="2360" t="s">
        <v>2384</v>
      </c>
      <c r="DD155" s="2392">
        <v>2641</v>
      </c>
      <c r="DE155" s="2354">
        <v>166</v>
      </c>
      <c r="DF155" s="2358">
        <f>DE155/DD155*100</f>
        <v>6.2854979174555101</v>
      </c>
      <c r="DG155" s="2357">
        <v>142</v>
      </c>
      <c r="DH155" s="2358">
        <f>DG155/DD155*100</f>
        <v>5.376751230594472</v>
      </c>
      <c r="DI155" s="2357">
        <v>126</v>
      </c>
      <c r="DJ155" s="2358">
        <f>DI155/DD155*100</f>
        <v>4.7709201060204469</v>
      </c>
      <c r="EV155" s="2356"/>
      <c r="FK155" s="2354">
        <v>802</v>
      </c>
      <c r="FL155" s="2354">
        <v>782</v>
      </c>
      <c r="FM155" s="2354">
        <v>1163</v>
      </c>
      <c r="FN155" s="2354">
        <v>1016</v>
      </c>
      <c r="FO155" s="2354">
        <v>829</v>
      </c>
      <c r="FP155" s="2354">
        <v>749</v>
      </c>
      <c r="FQ155" s="2354">
        <v>970</v>
      </c>
      <c r="FR155" s="2354">
        <v>1521</v>
      </c>
      <c r="FS155" s="2354">
        <v>1542</v>
      </c>
      <c r="FT155" s="2354">
        <v>1789</v>
      </c>
      <c r="FU155" s="2354">
        <v>4350</v>
      </c>
      <c r="FV155" s="2354">
        <v>1870</v>
      </c>
      <c r="FY155" s="2354">
        <f>SUM(FK155:FV155)</f>
        <v>17383</v>
      </c>
    </row>
    <row r="156" spans="92:187" ht="15">
      <c r="CN156" s="2356"/>
      <c r="CO156" s="2393"/>
      <c r="CP156" s="2393"/>
      <c r="DC156" s="2356" t="s">
        <v>2252</v>
      </c>
      <c r="DD156" s="2392">
        <v>6674</v>
      </c>
      <c r="DE156" s="2357">
        <v>437</v>
      </c>
      <c r="DF156" s="2358">
        <f>DE156/DD156*100</f>
        <v>6.5477974228348819</v>
      </c>
      <c r="DG156" s="2357">
        <v>397</v>
      </c>
      <c r="DH156" s="2358">
        <f>DG156/DD156*100</f>
        <v>5.9484566976326043</v>
      </c>
      <c r="DI156" s="2357">
        <v>390</v>
      </c>
      <c r="DJ156" s="2358">
        <f>DI156/DD156*100</f>
        <v>5.8435720707222059</v>
      </c>
      <c r="EV156" s="2356"/>
      <c r="FK156" s="2354">
        <v>810</v>
      </c>
      <c r="FL156" s="2354">
        <v>777</v>
      </c>
      <c r="FM156" s="2354">
        <v>1137</v>
      </c>
      <c r="FN156" s="2354">
        <v>997</v>
      </c>
      <c r="FO156" s="2354">
        <v>873</v>
      </c>
      <c r="FP156" s="2354">
        <v>835</v>
      </c>
      <c r="FQ156" s="2354">
        <v>1032</v>
      </c>
      <c r="FR156" s="2354">
        <v>1538</v>
      </c>
      <c r="FS156" s="2354">
        <v>1463</v>
      </c>
      <c r="FT156" s="2354">
        <v>1789</v>
      </c>
      <c r="FU156" s="2354">
        <v>3857</v>
      </c>
      <c r="FV156" s="2354">
        <v>1702</v>
      </c>
      <c r="FY156" s="2354">
        <f>SUM(FK156:FV156)</f>
        <v>16810</v>
      </c>
    </row>
    <row r="157" spans="92:187" ht="15">
      <c r="CN157" s="2356"/>
      <c r="CO157" s="2393"/>
      <c r="CP157" s="2393"/>
      <c r="DC157" s="2356" t="s">
        <v>2195</v>
      </c>
      <c r="DD157" s="2392">
        <v>6029</v>
      </c>
      <c r="DE157" s="2357">
        <v>366</v>
      </c>
      <c r="DF157" s="2358">
        <f>DE157/DD157*100</f>
        <v>6.0706584839940287</v>
      </c>
      <c r="DG157" s="2357">
        <v>355</v>
      </c>
      <c r="DH157" s="2358">
        <f>DG157/DD157*100</f>
        <v>5.8882069995024056</v>
      </c>
      <c r="DI157" s="2357">
        <v>307</v>
      </c>
      <c r="DJ157" s="2358">
        <f>DI157/DD157*100</f>
        <v>5.0920550671753189</v>
      </c>
      <c r="EV157" s="2398"/>
      <c r="FK157" s="2354">
        <v>732</v>
      </c>
      <c r="FL157" s="2354">
        <v>814</v>
      </c>
      <c r="FM157" s="2354">
        <v>1129</v>
      </c>
      <c r="FN157" s="2354">
        <v>911</v>
      </c>
      <c r="FO157" s="2354">
        <v>762</v>
      </c>
      <c r="FP157" s="2354">
        <v>757</v>
      </c>
      <c r="FQ157" s="2354">
        <v>942</v>
      </c>
      <c r="FR157" s="2354">
        <v>1414</v>
      </c>
      <c r="FS157" s="2354">
        <v>1361</v>
      </c>
      <c r="FT157" s="2354">
        <v>1728</v>
      </c>
      <c r="FU157" s="2354">
        <v>3714</v>
      </c>
      <c r="FV157" s="2354">
        <v>1670</v>
      </c>
      <c r="FY157" s="2354">
        <f>SUM(FK157:FV157)</f>
        <v>15934</v>
      </c>
    </row>
    <row r="158" spans="92:187" ht="15">
      <c r="CN158" s="2356"/>
      <c r="CO158" s="2393"/>
      <c r="CP158" s="2393"/>
      <c r="DC158" s="2356" t="s">
        <v>4042</v>
      </c>
      <c r="DD158" s="2391">
        <v>15094</v>
      </c>
      <c r="DE158" s="2357">
        <v>873</v>
      </c>
      <c r="DF158" s="2358">
        <f>DE158/DD158*100</f>
        <v>5.7837551344905256</v>
      </c>
      <c r="DG158" s="2357">
        <v>925</v>
      </c>
      <c r="DH158" s="2358">
        <f>DG158/DD158*100</f>
        <v>6.1282628859149337</v>
      </c>
      <c r="DI158" s="2357">
        <v>667</v>
      </c>
      <c r="DJ158" s="2358">
        <f>DI158/DD158*100</f>
        <v>4.4189744269246063</v>
      </c>
      <c r="EV158" s="2360"/>
      <c r="EW158" s="2356"/>
      <c r="EX158" s="2356"/>
      <c r="EY158" s="2356"/>
      <c r="EZ158" s="2356"/>
      <c r="FA158" s="2356"/>
      <c r="FB158" s="2356"/>
      <c r="FC158" s="2356"/>
      <c r="FD158" s="2356"/>
      <c r="FE158" s="2356"/>
      <c r="FF158" s="2356"/>
      <c r="FK158" s="2354">
        <v>589</v>
      </c>
      <c r="FL158" s="2354">
        <v>619</v>
      </c>
      <c r="FM158" s="2354">
        <v>891</v>
      </c>
      <c r="FN158" s="2354">
        <v>811</v>
      </c>
      <c r="FO158" s="2354">
        <v>651</v>
      </c>
      <c r="FP158" s="2354">
        <v>635</v>
      </c>
      <c r="FQ158" s="2354">
        <v>789</v>
      </c>
      <c r="FR158" s="2354">
        <v>1226</v>
      </c>
      <c r="FS158" s="2354">
        <v>1141</v>
      </c>
      <c r="FT158" s="2354">
        <v>1603</v>
      </c>
      <c r="FU158" s="2354">
        <v>3129</v>
      </c>
      <c r="FV158" s="2354">
        <v>1528</v>
      </c>
      <c r="FY158" s="2354">
        <f>SUM(FK158:FV158)</f>
        <v>13612</v>
      </c>
    </row>
    <row r="159" spans="92:187" ht="15">
      <c r="CP159" s="2393"/>
      <c r="DC159" s="2356" t="s">
        <v>4045</v>
      </c>
      <c r="DD159" s="2391">
        <v>13062</v>
      </c>
      <c r="DE159" s="2357">
        <v>737</v>
      </c>
      <c r="DF159" s="2358">
        <f>DE159/DD159*100</f>
        <v>5.6423212371765423</v>
      </c>
      <c r="DG159" s="2357">
        <v>738</v>
      </c>
      <c r="DH159" s="2358">
        <f>DG159/DD159*100</f>
        <v>5.6499770326136884</v>
      </c>
      <c r="DI159" s="2357">
        <v>593</v>
      </c>
      <c r="DJ159" s="2358">
        <f>DI159/DD159*100</f>
        <v>4.5398866942275307</v>
      </c>
      <c r="EV159" s="2356"/>
      <c r="FK159" s="2354">
        <v>625</v>
      </c>
      <c r="FL159" s="2354">
        <v>671</v>
      </c>
      <c r="FM159" s="2354">
        <v>926</v>
      </c>
      <c r="FN159" s="2354">
        <v>743</v>
      </c>
      <c r="FO159" s="2354">
        <v>667</v>
      </c>
      <c r="FP159" s="2354">
        <v>578</v>
      </c>
      <c r="FQ159" s="2354">
        <v>768</v>
      </c>
      <c r="FR159" s="2354">
        <v>1150</v>
      </c>
      <c r="FS159" s="2354">
        <v>1031</v>
      </c>
      <c r="FT159" s="2354">
        <v>1486</v>
      </c>
      <c r="FU159" s="2354">
        <v>2887</v>
      </c>
      <c r="FV159" s="2354">
        <v>1316</v>
      </c>
      <c r="FY159" s="2354">
        <f>SUM(FK159:FV159)</f>
        <v>12848</v>
      </c>
    </row>
    <row r="160" spans="92:187" ht="15">
      <c r="CP160" s="2393"/>
      <c r="DC160" s="2356" t="s">
        <v>4048</v>
      </c>
      <c r="DD160" s="2391">
        <v>3675</v>
      </c>
      <c r="DE160" s="2357">
        <v>188</v>
      </c>
      <c r="DF160" s="2358">
        <f>DE160/DD160*100</f>
        <v>5.1156462585034017</v>
      </c>
      <c r="DG160" s="2357">
        <v>218</v>
      </c>
      <c r="DH160" s="2358">
        <f>DG160/DD160*100</f>
        <v>5.9319727891156466</v>
      </c>
      <c r="DI160" s="2357">
        <v>191</v>
      </c>
      <c r="DJ160" s="2358">
        <f>DI160/DD160*100</f>
        <v>5.1972789115646263</v>
      </c>
      <c r="EV160" s="2356"/>
      <c r="FK160" s="2354">
        <v>537</v>
      </c>
      <c r="FL160" s="2354">
        <v>505</v>
      </c>
      <c r="FM160" s="2354">
        <v>796</v>
      </c>
      <c r="FN160" s="2354">
        <v>738</v>
      </c>
      <c r="FO160" s="2354">
        <v>619</v>
      </c>
      <c r="FP160" s="2354">
        <v>545</v>
      </c>
      <c r="FQ160" s="2354">
        <v>769</v>
      </c>
      <c r="FR160" s="2354">
        <v>1048</v>
      </c>
      <c r="FS160" s="2354">
        <v>1125</v>
      </c>
      <c r="FT160" s="2354">
        <v>1523</v>
      </c>
      <c r="FU160" s="2354">
        <v>3535</v>
      </c>
      <c r="FV160" s="2354">
        <v>1401</v>
      </c>
      <c r="FY160" s="2354">
        <f>SUM(FK160:FV160)</f>
        <v>13141</v>
      </c>
    </row>
    <row r="161" spans="94:181" ht="15">
      <c r="CP161" s="2393"/>
      <c r="DC161" s="2356" t="s">
        <v>2151</v>
      </c>
      <c r="DD161" s="2391">
        <v>7493</v>
      </c>
      <c r="DE161" s="2357">
        <v>472</v>
      </c>
      <c r="DF161" s="2358">
        <f>DE161/DD161*100</f>
        <v>6.2992125984251963</v>
      </c>
      <c r="DG161" s="2357">
        <v>485</v>
      </c>
      <c r="DH161" s="2358">
        <f>DG161/DD161*100</f>
        <v>6.4727078606699591</v>
      </c>
      <c r="DI161" s="2357">
        <v>341</v>
      </c>
      <c r="DJ161" s="2358">
        <f>DI161/DD161*100</f>
        <v>4.5509141865741354</v>
      </c>
      <c r="EV161" s="2356"/>
      <c r="FK161" s="2354">
        <v>601</v>
      </c>
      <c r="FL161" s="2354">
        <v>534</v>
      </c>
      <c r="FM161" s="2354">
        <v>832</v>
      </c>
      <c r="FN161" s="2354">
        <v>698</v>
      </c>
      <c r="FO161" s="2354">
        <v>648</v>
      </c>
      <c r="FP161" s="2354">
        <v>492</v>
      </c>
      <c r="FQ161" s="2354">
        <v>681</v>
      </c>
      <c r="FR161" s="2354">
        <v>1071</v>
      </c>
      <c r="FS161" s="2354">
        <v>1029</v>
      </c>
      <c r="FT161" s="2354">
        <v>1319</v>
      </c>
      <c r="FU161" s="2354">
        <v>3022</v>
      </c>
      <c r="FV161" s="2354">
        <v>1198</v>
      </c>
      <c r="FY161" s="2354">
        <f>SUM(FK161:FV161)</f>
        <v>12125</v>
      </c>
    </row>
    <row r="162" spans="94:181" ht="15">
      <c r="CP162" s="2393"/>
      <c r="DC162" s="2356" t="s">
        <v>4052</v>
      </c>
      <c r="DD162" s="2391">
        <v>12842</v>
      </c>
      <c r="DE162" s="2357">
        <v>847</v>
      </c>
      <c r="DF162" s="2358">
        <f>DE162/DD162*100</f>
        <v>6.5955458651300427</v>
      </c>
      <c r="DG162" s="2357">
        <v>948</v>
      </c>
      <c r="DH162" s="2358">
        <f>DG162/DD162*100</f>
        <v>7.3820277215387016</v>
      </c>
      <c r="DI162" s="2357">
        <v>590</v>
      </c>
      <c r="DJ162" s="2358">
        <f>DI162/DD162*100</f>
        <v>4.5942999532783055</v>
      </c>
      <c r="EV162" s="2356"/>
      <c r="FK162" s="2354">
        <v>489</v>
      </c>
      <c r="FL162" s="2354">
        <v>562</v>
      </c>
      <c r="FM162" s="2354">
        <v>860</v>
      </c>
      <c r="FN162" s="2354">
        <v>733</v>
      </c>
      <c r="FO162" s="2354">
        <v>720</v>
      </c>
      <c r="FP162" s="2354">
        <v>562</v>
      </c>
      <c r="FQ162" s="2354">
        <v>736</v>
      </c>
      <c r="FR162" s="2354">
        <v>1125</v>
      </c>
      <c r="FS162" s="2354">
        <v>1042</v>
      </c>
      <c r="FT162" s="2354">
        <v>1377</v>
      </c>
      <c r="FU162" s="2354">
        <v>2835</v>
      </c>
      <c r="FV162" s="2354">
        <v>1151</v>
      </c>
      <c r="FY162" s="2354">
        <f>SUM(FK162:FV162)</f>
        <v>12192</v>
      </c>
    </row>
    <row r="163" spans="94:181" ht="15">
      <c r="CP163" s="2393"/>
      <c r="DC163" s="2356" t="s">
        <v>4056</v>
      </c>
      <c r="DD163" s="2391">
        <v>13576</v>
      </c>
      <c r="DE163" s="2357">
        <v>848</v>
      </c>
      <c r="DF163" s="2358">
        <f>DE163/DD163*100</f>
        <v>6.2463170300530351</v>
      </c>
      <c r="DG163" s="2357">
        <v>850</v>
      </c>
      <c r="DH163" s="2358">
        <f>DG163/DD163*100</f>
        <v>6.2610489098408957</v>
      </c>
      <c r="DI163" s="2357">
        <v>615</v>
      </c>
      <c r="DJ163" s="2358">
        <f>DI163/DD163*100</f>
        <v>4.5300530347672359</v>
      </c>
      <c r="EV163" s="2356"/>
      <c r="FG163" s="2395"/>
      <c r="FH163" s="2395"/>
      <c r="FI163" s="2395"/>
      <c r="FJ163" s="2395"/>
      <c r="FK163" s="2354">
        <v>483</v>
      </c>
      <c r="FL163" s="2354">
        <v>535</v>
      </c>
      <c r="FM163" s="2354">
        <v>837</v>
      </c>
      <c r="FN163" s="2354">
        <v>687</v>
      </c>
      <c r="FO163" s="2354">
        <v>574</v>
      </c>
      <c r="FP163" s="2354">
        <v>494</v>
      </c>
      <c r="FQ163" s="2354">
        <v>727</v>
      </c>
      <c r="FR163" s="2354">
        <v>1016</v>
      </c>
      <c r="FS163" s="2354">
        <v>1045</v>
      </c>
      <c r="FT163" s="2354">
        <v>1287</v>
      </c>
      <c r="FU163" s="2354">
        <v>2750</v>
      </c>
      <c r="FV163" s="2354">
        <v>1122</v>
      </c>
      <c r="FY163" s="2354">
        <f>SUM(FK163:FV163)</f>
        <v>11557</v>
      </c>
    </row>
    <row r="164" spans="94:181" ht="15">
      <c r="CP164" s="2393"/>
      <c r="DC164" s="2356" t="s">
        <v>2209</v>
      </c>
      <c r="DD164" s="2391">
        <v>21041</v>
      </c>
      <c r="DE164" s="2357">
        <v>1436</v>
      </c>
      <c r="DF164" s="2358">
        <f>DE164/DD164*100</f>
        <v>6.8247706858039061</v>
      </c>
      <c r="DG164" s="2357">
        <v>1369</v>
      </c>
      <c r="DH164" s="2358">
        <f>DG164/DD164*100</f>
        <v>6.5063447554774019</v>
      </c>
      <c r="DI164" s="2357">
        <v>977</v>
      </c>
      <c r="DJ164" s="2358">
        <f>DI164/DD164*100</f>
        <v>4.6433154317760561</v>
      </c>
      <c r="EV164" s="2356"/>
      <c r="FK164" s="2354">
        <v>351</v>
      </c>
      <c r="FL164" s="2354">
        <v>357</v>
      </c>
      <c r="FM164" s="2354">
        <v>515</v>
      </c>
      <c r="FN164" s="2354">
        <v>511</v>
      </c>
      <c r="FO164" s="2354">
        <v>371</v>
      </c>
      <c r="FP164" s="2354">
        <v>378</v>
      </c>
      <c r="FQ164" s="2354">
        <v>583</v>
      </c>
      <c r="FR164" s="2354">
        <v>831</v>
      </c>
      <c r="FS164" s="2354">
        <v>842</v>
      </c>
      <c r="FT164" s="2354">
        <v>1397</v>
      </c>
      <c r="FU164" s="2354">
        <v>3780</v>
      </c>
      <c r="FV164" s="2354">
        <v>1432</v>
      </c>
      <c r="FY164" s="2354">
        <f>SUM(FK164:FV164)</f>
        <v>11348</v>
      </c>
    </row>
    <row r="165" spans="94:181" ht="15">
      <c r="CP165" s="2393"/>
      <c r="DC165" s="2356" t="s">
        <v>2352</v>
      </c>
      <c r="DD165" s="2391">
        <v>20781</v>
      </c>
      <c r="DE165" s="2357">
        <v>1279</v>
      </c>
      <c r="DF165" s="2358">
        <f>DE165/DD165*100</f>
        <v>6.1546605071940714</v>
      </c>
      <c r="DG165" s="2357">
        <v>1275</v>
      </c>
      <c r="DH165" s="2358">
        <f>DG165/DD165*100</f>
        <v>6.1354121553341994</v>
      </c>
      <c r="DI165" s="2357">
        <v>976</v>
      </c>
      <c r="DJ165" s="2358">
        <f>DI165/DD165*100</f>
        <v>4.6965978538087674</v>
      </c>
      <c r="EV165" s="2356"/>
      <c r="FK165" s="2354">
        <v>503</v>
      </c>
      <c r="FL165" s="2354">
        <v>502</v>
      </c>
      <c r="FM165" s="2354">
        <v>671</v>
      </c>
      <c r="FN165" s="2354">
        <v>615</v>
      </c>
      <c r="FO165" s="2354">
        <v>496</v>
      </c>
      <c r="FP165" s="2354">
        <v>428</v>
      </c>
      <c r="FQ165" s="2354">
        <v>638</v>
      </c>
      <c r="FR165" s="2354">
        <v>907</v>
      </c>
      <c r="FS165" s="2354">
        <v>912</v>
      </c>
      <c r="FT165" s="2354">
        <v>1210</v>
      </c>
      <c r="FU165" s="2354">
        <v>2669</v>
      </c>
      <c r="FV165" s="2354">
        <v>1203</v>
      </c>
      <c r="FY165" s="2354">
        <f>SUM(FK165:FV165)</f>
        <v>10754</v>
      </c>
    </row>
    <row r="166" spans="94:181" ht="15">
      <c r="CP166" s="2393"/>
      <c r="DC166" s="2356" t="s">
        <v>2261</v>
      </c>
      <c r="DD166" s="2391">
        <v>13233</v>
      </c>
      <c r="DE166" s="2357">
        <v>820</v>
      </c>
      <c r="DF166" s="2358">
        <f>DE166/DD166*100</f>
        <v>6.1966296380261463</v>
      </c>
      <c r="DG166" s="2357">
        <v>805</v>
      </c>
      <c r="DH166" s="2358">
        <f>DG166/DD166*100</f>
        <v>6.0832766568427417</v>
      </c>
      <c r="DI166" s="2357">
        <v>644</v>
      </c>
      <c r="DJ166" s="2358">
        <f>DI166/DD166*100</f>
        <v>4.8666213254741937</v>
      </c>
      <c r="EV166" s="2356"/>
      <c r="FK166" s="2354">
        <v>497</v>
      </c>
      <c r="FL166" s="2354">
        <v>537</v>
      </c>
      <c r="FM166" s="2354">
        <v>688</v>
      </c>
      <c r="FN166" s="2354">
        <v>600</v>
      </c>
      <c r="FO166" s="2354">
        <v>501</v>
      </c>
      <c r="FP166" s="2354">
        <v>475</v>
      </c>
      <c r="FQ166" s="2354">
        <v>618</v>
      </c>
      <c r="FR166" s="2354">
        <v>938</v>
      </c>
      <c r="FS166" s="2354">
        <v>777</v>
      </c>
      <c r="FT166" s="2354">
        <v>1107</v>
      </c>
      <c r="FU166" s="2354">
        <v>2170</v>
      </c>
      <c r="FV166" s="2354">
        <v>979</v>
      </c>
      <c r="FY166" s="2354">
        <f>SUM(FK166:FV166)</f>
        <v>9887</v>
      </c>
    </row>
    <row r="167" spans="94:181" ht="15">
      <c r="CP167" s="2393"/>
      <c r="DC167" s="2356" t="s">
        <v>2251</v>
      </c>
      <c r="DD167" s="2391">
        <v>11678</v>
      </c>
      <c r="DE167" s="2357">
        <v>773</v>
      </c>
      <c r="DF167" s="2358">
        <f>DE167/DD167*100</f>
        <v>6.6192841239938351</v>
      </c>
      <c r="DG167" s="2357">
        <v>685</v>
      </c>
      <c r="DH167" s="2358">
        <f>DG167/DD167*100</f>
        <v>5.865730433293372</v>
      </c>
      <c r="DI167" s="2357">
        <v>569</v>
      </c>
      <c r="DJ167" s="2358">
        <f>DI167/DD167*100</f>
        <v>4.8724096591882171</v>
      </c>
      <c r="EV167" s="2356"/>
      <c r="FK167" s="2354">
        <v>310</v>
      </c>
      <c r="FL167" s="2354">
        <v>340</v>
      </c>
      <c r="FM167" s="2354">
        <v>429</v>
      </c>
      <c r="FN167" s="2354">
        <v>418</v>
      </c>
      <c r="FO167" s="2354">
        <v>301</v>
      </c>
      <c r="FP167" s="2354">
        <v>296</v>
      </c>
      <c r="FQ167" s="2354">
        <v>487</v>
      </c>
      <c r="FR167" s="2354">
        <v>675</v>
      </c>
      <c r="FS167" s="2354">
        <v>643</v>
      </c>
      <c r="FT167" s="2354">
        <v>1032</v>
      </c>
      <c r="FU167" s="2354">
        <v>2838</v>
      </c>
      <c r="FV167" s="2354">
        <v>1048</v>
      </c>
      <c r="FY167" s="2354">
        <f>SUM(FK167:FV167)</f>
        <v>8817</v>
      </c>
    </row>
    <row r="168" spans="94:181" ht="15">
      <c r="CP168" s="2393"/>
      <c r="DC168" s="2356" t="s">
        <v>2260</v>
      </c>
      <c r="DD168" s="2391">
        <v>15424</v>
      </c>
      <c r="DE168" s="2357">
        <v>932</v>
      </c>
      <c r="DF168" s="2358">
        <f>DE168/DD168*100</f>
        <v>6.0425311203319501</v>
      </c>
      <c r="DG168" s="2357">
        <v>874</v>
      </c>
      <c r="DH168" s="2358">
        <f>DG168/DD168*100</f>
        <v>5.6664937759336098</v>
      </c>
      <c r="DI168" s="2357">
        <v>734</v>
      </c>
      <c r="DJ168" s="2358">
        <f>DI168/DD168*100</f>
        <v>4.7588174273858916</v>
      </c>
      <c r="EV168" s="2356"/>
      <c r="FK168" s="2354">
        <v>431</v>
      </c>
      <c r="FL168" s="2354">
        <v>431</v>
      </c>
      <c r="FM168" s="2354">
        <v>583</v>
      </c>
      <c r="FN168" s="2354">
        <v>498</v>
      </c>
      <c r="FO168" s="2354">
        <v>388</v>
      </c>
      <c r="FP168" s="2354">
        <v>361</v>
      </c>
      <c r="FQ168" s="2354">
        <v>471</v>
      </c>
      <c r="FR168" s="2354">
        <v>797</v>
      </c>
      <c r="FS168" s="2354">
        <v>731</v>
      </c>
      <c r="FT168" s="2354">
        <v>853</v>
      </c>
      <c r="FU168" s="2354">
        <v>2268</v>
      </c>
      <c r="FV168" s="2354">
        <v>888</v>
      </c>
      <c r="FY168" s="2354">
        <f>SUM(FK168:FV168)</f>
        <v>8700</v>
      </c>
    </row>
    <row r="169" spans="94:181" ht="15">
      <c r="CP169" s="2393"/>
      <c r="DC169" s="2356" t="s">
        <v>2253</v>
      </c>
      <c r="DD169" s="2391">
        <v>26601</v>
      </c>
      <c r="DE169" s="2357">
        <v>1537</v>
      </c>
      <c r="DF169" s="2358">
        <f>DE169/DD169*100</f>
        <v>5.777978271493553</v>
      </c>
      <c r="DG169" s="2357">
        <v>1550</v>
      </c>
      <c r="DH169" s="2358">
        <f>DG169/DD169*100</f>
        <v>5.8268486147137324</v>
      </c>
      <c r="DI169" s="2357">
        <v>1264</v>
      </c>
      <c r="DJ169" s="2358">
        <f>DI169/DD169*100</f>
        <v>4.7517010638697794</v>
      </c>
      <c r="EV169" s="2356"/>
      <c r="FK169" s="2395">
        <v>421</v>
      </c>
      <c r="FL169" s="2395">
        <v>428</v>
      </c>
      <c r="FM169" s="2395">
        <v>494</v>
      </c>
      <c r="FN169" s="2395">
        <v>470</v>
      </c>
      <c r="FO169" s="2395">
        <v>405</v>
      </c>
      <c r="FP169" s="2395">
        <v>332</v>
      </c>
      <c r="FQ169" s="2395">
        <v>457</v>
      </c>
      <c r="FR169" s="2395">
        <v>705</v>
      </c>
      <c r="FS169" s="2395">
        <v>630</v>
      </c>
      <c r="FT169" s="2395">
        <v>860</v>
      </c>
      <c r="FU169" s="2395">
        <v>1664</v>
      </c>
      <c r="FV169" s="2395">
        <v>696</v>
      </c>
      <c r="FY169" s="2354">
        <f>SUM(FK169:FV169)</f>
        <v>7562</v>
      </c>
    </row>
    <row r="170" spans="94:181" ht="15">
      <c r="CP170" s="2393"/>
      <c r="DC170" s="2356" t="s">
        <v>2185</v>
      </c>
      <c r="DD170" s="2391">
        <v>32594</v>
      </c>
      <c r="DE170" s="2357">
        <v>1955</v>
      </c>
      <c r="DF170" s="2358">
        <f>DE170/DD170*100</f>
        <v>5.99803644842609</v>
      </c>
      <c r="DG170" s="2357">
        <v>1962</v>
      </c>
      <c r="DH170" s="2358">
        <f>DG170/DD170*100</f>
        <v>6.019512793765724</v>
      </c>
      <c r="DI170" s="2357">
        <v>1593</v>
      </c>
      <c r="DJ170" s="2358">
        <f>DI170/DD170*100</f>
        <v>4.8874025894336386</v>
      </c>
      <c r="EV170" s="2356"/>
      <c r="FK170" s="2354">
        <v>987</v>
      </c>
      <c r="FL170" s="2354">
        <v>797</v>
      </c>
      <c r="FM170" s="2354">
        <v>1092</v>
      </c>
      <c r="FN170" s="2354">
        <v>1023</v>
      </c>
      <c r="FO170" s="2354">
        <v>881</v>
      </c>
      <c r="FP170" s="2354">
        <v>851</v>
      </c>
      <c r="FQ170" s="2354">
        <v>836</v>
      </c>
      <c r="FR170" s="2354">
        <v>1414</v>
      </c>
      <c r="FS170" s="2354">
        <v>1384</v>
      </c>
      <c r="FT170" s="2354">
        <v>1402</v>
      </c>
      <c r="FU170" s="2354">
        <v>3392</v>
      </c>
      <c r="FV170" s="2354">
        <v>1511</v>
      </c>
      <c r="FY170" s="2354">
        <f>SUM(FK170:FV170)</f>
        <v>15570</v>
      </c>
    </row>
    <row r="171" spans="94:181" ht="15">
      <c r="CP171" s="2393"/>
      <c r="DC171" s="2356" t="s">
        <v>2202</v>
      </c>
      <c r="DD171" s="2391">
        <v>29326</v>
      </c>
      <c r="DE171" s="2357">
        <v>1553</v>
      </c>
      <c r="DF171" s="2358">
        <f>DE171/DD171*100</f>
        <v>5.295642092341267</v>
      </c>
      <c r="DG171" s="2357">
        <v>1376</v>
      </c>
      <c r="DH171" s="2358">
        <f>DG171/DD171*100</f>
        <v>4.6920821114369504</v>
      </c>
      <c r="DI171" s="2357">
        <v>1326</v>
      </c>
      <c r="DJ171" s="2358">
        <f>DI171/DD171*100</f>
        <v>4.5215849416899676</v>
      </c>
      <c r="EV171" s="2356"/>
      <c r="FK171" s="2354">
        <v>864</v>
      </c>
      <c r="FL171" s="2354">
        <v>674</v>
      </c>
      <c r="FM171" s="2354">
        <v>1006</v>
      </c>
      <c r="FN171" s="2354">
        <v>952</v>
      </c>
      <c r="FO171" s="2354">
        <v>752</v>
      </c>
      <c r="FP171" s="2354">
        <v>673</v>
      </c>
      <c r="FQ171" s="2354">
        <v>715</v>
      </c>
      <c r="FR171" s="2354">
        <v>1261</v>
      </c>
      <c r="FS171" s="2354">
        <v>1334</v>
      </c>
      <c r="FT171" s="2354">
        <v>1161</v>
      </c>
      <c r="FU171" s="2354">
        <v>3474</v>
      </c>
      <c r="FV171" s="2354">
        <v>1472</v>
      </c>
      <c r="FY171" s="2354">
        <f>SUM(FK171:FV171)</f>
        <v>14338</v>
      </c>
    </row>
    <row r="172" spans="94:181" ht="15">
      <c r="CP172" s="2393"/>
      <c r="DC172" s="2356" t="s">
        <v>2177</v>
      </c>
      <c r="DD172" s="2391">
        <v>81164</v>
      </c>
      <c r="DE172" s="2357">
        <v>4696</v>
      </c>
      <c r="DF172" s="2358">
        <f>DE172/DD172*100</f>
        <v>5.7858163717904487</v>
      </c>
      <c r="DG172" s="2357">
        <v>4366</v>
      </c>
      <c r="DH172" s="2358">
        <f>DG172/DD172*100</f>
        <v>5.3792321718988712</v>
      </c>
      <c r="DI172" s="2357">
        <v>4036</v>
      </c>
      <c r="DJ172" s="2358">
        <f>DI172/DD172*100</f>
        <v>4.9726479720072936</v>
      </c>
      <c r="FK172" s="2354">
        <v>940</v>
      </c>
      <c r="FL172" s="2354">
        <v>729</v>
      </c>
      <c r="FM172" s="2354">
        <v>983</v>
      </c>
      <c r="FN172" s="2354">
        <v>877</v>
      </c>
      <c r="FO172" s="2354">
        <v>761</v>
      </c>
      <c r="FP172" s="2354">
        <v>620</v>
      </c>
      <c r="FQ172" s="2354">
        <v>701</v>
      </c>
      <c r="FR172" s="2354">
        <v>1218</v>
      </c>
      <c r="FS172" s="2354">
        <v>1293</v>
      </c>
      <c r="FT172" s="2354">
        <v>1181</v>
      </c>
      <c r="FU172" s="2354">
        <v>3238</v>
      </c>
      <c r="FV172" s="2354">
        <v>1510</v>
      </c>
      <c r="FY172" s="2354">
        <f>SUM(FK172:FV172)</f>
        <v>14051</v>
      </c>
    </row>
    <row r="173" spans="94:181" ht="15">
      <c r="CP173" s="2393"/>
      <c r="DC173" s="2368" t="s">
        <v>2208</v>
      </c>
      <c r="DD173" s="2390">
        <v>39223</v>
      </c>
      <c r="DE173" s="2366">
        <v>2212</v>
      </c>
      <c r="DF173" s="2365">
        <f>DE173/DD173*100</f>
        <v>5.6395482242561759</v>
      </c>
      <c r="DG173" s="2366">
        <v>2195</v>
      </c>
      <c r="DH173" s="2365">
        <f>DG173/DD173*100</f>
        <v>5.596206307523647</v>
      </c>
      <c r="DI173" s="2366">
        <v>1976</v>
      </c>
      <c r="DJ173" s="2365">
        <f>DI173/DD173*100</f>
        <v>5.0378604390281208</v>
      </c>
      <c r="FK173" s="2354">
        <v>833</v>
      </c>
      <c r="FL173" s="2354">
        <v>672</v>
      </c>
      <c r="FM173" s="2354">
        <v>956</v>
      </c>
      <c r="FN173" s="2354">
        <v>902</v>
      </c>
      <c r="FO173" s="2354">
        <v>565</v>
      </c>
      <c r="FP173" s="2354">
        <v>538</v>
      </c>
      <c r="FQ173" s="2354">
        <v>562</v>
      </c>
      <c r="FR173" s="2354">
        <v>1051</v>
      </c>
      <c r="FS173" s="2354">
        <v>1116</v>
      </c>
      <c r="FT173" s="2354">
        <v>865</v>
      </c>
      <c r="FU173" s="2354">
        <v>2946</v>
      </c>
      <c r="FV173" s="2354">
        <v>1279</v>
      </c>
      <c r="FY173" s="2354">
        <f>SUM(FK173:FV173)</f>
        <v>12285</v>
      </c>
    </row>
    <row r="174" spans="94:181">
      <c r="CP174" s="2393"/>
      <c r="DC174" s="2356" t="s">
        <v>4069</v>
      </c>
      <c r="DD174" s="2356"/>
      <c r="DE174" s="2356"/>
      <c r="DF174" s="2356"/>
      <c r="DG174" s="2356"/>
      <c r="DH174" s="2356"/>
      <c r="DI174" s="2356"/>
      <c r="DJ174" s="2356"/>
      <c r="FK174" s="2354">
        <v>775</v>
      </c>
      <c r="FL174" s="2354">
        <v>591</v>
      </c>
      <c r="FM174" s="2354">
        <v>680</v>
      </c>
      <c r="FN174" s="2354">
        <v>720</v>
      </c>
      <c r="FO174" s="2354">
        <v>616</v>
      </c>
      <c r="FP174" s="2354">
        <v>616</v>
      </c>
      <c r="FQ174" s="2354">
        <v>535</v>
      </c>
      <c r="FR174" s="2354">
        <v>944</v>
      </c>
      <c r="FS174" s="2354">
        <v>1033</v>
      </c>
      <c r="FT174" s="2354">
        <v>947</v>
      </c>
      <c r="FU174" s="2354">
        <v>3253</v>
      </c>
      <c r="FV174" s="2354">
        <v>1334</v>
      </c>
      <c r="FY174" s="2354">
        <f>SUM(FK174:FV174)</f>
        <v>12044</v>
      </c>
    </row>
    <row r="175" spans="94:181">
      <c r="DC175" s="2356" t="s">
        <v>4076</v>
      </c>
      <c r="DD175" s="2356"/>
      <c r="DE175" s="2356"/>
      <c r="DF175" s="2356"/>
      <c r="DG175" s="2357" t="s">
        <v>3348</v>
      </c>
      <c r="DH175" s="2356"/>
      <c r="DI175" s="2357" t="s">
        <v>3348</v>
      </c>
      <c r="DJ175" s="2356"/>
      <c r="FK175" s="2354">
        <v>710</v>
      </c>
      <c r="FL175" s="2354">
        <v>583</v>
      </c>
      <c r="FM175" s="2354">
        <v>881</v>
      </c>
      <c r="FN175" s="2354">
        <v>780</v>
      </c>
      <c r="FO175" s="2354">
        <v>650</v>
      </c>
      <c r="FP175" s="2354">
        <v>530</v>
      </c>
      <c r="FQ175" s="2354">
        <v>603</v>
      </c>
      <c r="FR175" s="2354">
        <v>1025</v>
      </c>
      <c r="FS175" s="2354">
        <v>1159</v>
      </c>
      <c r="FT175" s="2354">
        <v>1060</v>
      </c>
      <c r="FU175" s="2354">
        <v>2784</v>
      </c>
      <c r="FV175" s="2354">
        <v>1231</v>
      </c>
      <c r="FY175" s="2354">
        <f>SUM(FK175:FV175)</f>
        <v>11996</v>
      </c>
    </row>
    <row r="176" spans="94:181">
      <c r="DC176" s="2356" t="s">
        <v>4078</v>
      </c>
      <c r="DD176" s="2356"/>
      <c r="DE176" s="2356"/>
      <c r="DF176" s="2356"/>
      <c r="DG176" s="2356"/>
      <c r="DH176" s="2356"/>
      <c r="DI176" s="2356"/>
      <c r="DJ176" s="2356"/>
      <c r="FK176" s="2354">
        <v>651</v>
      </c>
      <c r="FL176" s="2354">
        <v>549</v>
      </c>
      <c r="FM176" s="2354">
        <v>840</v>
      </c>
      <c r="FN176" s="2354">
        <v>770</v>
      </c>
      <c r="FO176" s="2354">
        <v>647</v>
      </c>
      <c r="FP176" s="2354">
        <v>564</v>
      </c>
      <c r="FQ176" s="2354">
        <v>603</v>
      </c>
      <c r="FR176" s="2354">
        <v>1128</v>
      </c>
      <c r="FS176" s="2354">
        <v>1065</v>
      </c>
      <c r="FT176" s="2354">
        <v>998</v>
      </c>
      <c r="FU176" s="2354">
        <v>2766</v>
      </c>
      <c r="FV176" s="2354">
        <v>1233</v>
      </c>
      <c r="FY176" s="2354">
        <f>SUM(FK176:FV176)</f>
        <v>11814</v>
      </c>
    </row>
    <row r="177" spans="10:181">
      <c r="DE177" s="2357"/>
      <c r="DF177" s="2357"/>
      <c r="DG177" s="2357"/>
      <c r="DH177" s="2357"/>
      <c r="DI177" s="2357"/>
      <c r="DJ177" s="2357"/>
      <c r="EV177" s="2398"/>
      <c r="FK177" s="2354">
        <v>683</v>
      </c>
      <c r="FL177" s="2354">
        <v>619</v>
      </c>
      <c r="FM177" s="2354">
        <v>805</v>
      </c>
      <c r="FN177" s="2354">
        <v>757</v>
      </c>
      <c r="FO177" s="2354">
        <v>560</v>
      </c>
      <c r="FP177" s="2354">
        <v>510</v>
      </c>
      <c r="FQ177" s="2354">
        <v>527</v>
      </c>
      <c r="FR177" s="2354">
        <v>940</v>
      </c>
      <c r="FS177" s="2354">
        <v>1140</v>
      </c>
      <c r="FT177" s="2354">
        <v>881</v>
      </c>
      <c r="FU177" s="2354">
        <v>2626</v>
      </c>
      <c r="FV177" s="2354">
        <v>1130</v>
      </c>
      <c r="FY177" s="2354">
        <f>SUM(FK177:FV177)</f>
        <v>11178</v>
      </c>
    </row>
    <row r="178" spans="10:181">
      <c r="DC178" s="2357"/>
      <c r="DD178" s="2357"/>
      <c r="DE178" s="2357"/>
      <c r="DF178" s="2357"/>
      <c r="DG178" s="2357"/>
      <c r="DH178" s="2357"/>
      <c r="DI178" s="2357"/>
      <c r="DJ178" s="2357"/>
      <c r="EV178" s="2360"/>
      <c r="EW178" s="2356"/>
      <c r="EX178" s="2356"/>
      <c r="EY178" s="2356"/>
      <c r="EZ178" s="2356"/>
      <c r="FA178" s="2356"/>
      <c r="FB178" s="2356"/>
      <c r="FC178" s="2356"/>
      <c r="FD178" s="2356"/>
      <c r="FE178" s="2356"/>
      <c r="FF178" s="2356"/>
      <c r="FK178" s="2354">
        <v>739</v>
      </c>
      <c r="FL178" s="2354">
        <v>509</v>
      </c>
      <c r="FM178" s="2354">
        <v>696</v>
      </c>
      <c r="FN178" s="2354">
        <v>723</v>
      </c>
      <c r="FO178" s="2354">
        <v>529</v>
      </c>
      <c r="FP178" s="2354">
        <v>504</v>
      </c>
      <c r="FQ178" s="2354">
        <v>535</v>
      </c>
      <c r="FR178" s="2354">
        <v>999</v>
      </c>
      <c r="FS178" s="2354">
        <v>1060</v>
      </c>
      <c r="FT178" s="2354">
        <v>890</v>
      </c>
      <c r="FU178" s="2354">
        <v>2493</v>
      </c>
      <c r="FV178" s="2354">
        <v>1114</v>
      </c>
      <c r="FY178" s="2354">
        <f>SUM(FK178:FV178)</f>
        <v>10791</v>
      </c>
    </row>
    <row r="179" spans="10:181">
      <c r="DC179" s="2357"/>
      <c r="DD179" s="2357"/>
      <c r="DE179" s="2357"/>
      <c r="DF179" s="2357"/>
      <c r="DG179" s="2357"/>
      <c r="DH179" s="2357"/>
      <c r="DI179" s="2357"/>
      <c r="DJ179" s="2357"/>
      <c r="FK179" s="2354">
        <v>873</v>
      </c>
      <c r="FL179" s="2354">
        <v>613</v>
      </c>
      <c r="FM179" s="2354">
        <v>735</v>
      </c>
      <c r="FN179" s="2354">
        <v>693</v>
      </c>
      <c r="FO179" s="2354">
        <v>524</v>
      </c>
      <c r="FP179" s="2354">
        <v>482</v>
      </c>
      <c r="FQ179" s="2354">
        <v>509</v>
      </c>
      <c r="FR179" s="2354">
        <v>793</v>
      </c>
      <c r="FS179" s="2354">
        <v>927</v>
      </c>
      <c r="FT179" s="2354">
        <v>692</v>
      </c>
      <c r="FU179" s="2354">
        <v>2140</v>
      </c>
      <c r="FV179" s="2354">
        <v>1026</v>
      </c>
      <c r="FY179" s="2354">
        <f>SUM(FK179:FV179)</f>
        <v>10007</v>
      </c>
    </row>
    <row r="180" spans="10:181">
      <c r="DC180" s="2368" t="s">
        <v>4166</v>
      </c>
      <c r="DD180" s="2368"/>
      <c r="DE180" s="2356"/>
      <c r="DF180" s="2356"/>
      <c r="DG180" s="2356"/>
      <c r="DH180" s="2356"/>
      <c r="DI180" s="2356"/>
      <c r="DJ180" s="2356"/>
      <c r="FK180" s="2354">
        <v>857</v>
      </c>
      <c r="FL180" s="2354">
        <v>649</v>
      </c>
      <c r="FM180" s="2354">
        <v>714</v>
      </c>
      <c r="FN180" s="2354">
        <v>648</v>
      </c>
      <c r="FO180" s="2354">
        <v>488</v>
      </c>
      <c r="FP180" s="2354">
        <v>476</v>
      </c>
      <c r="FQ180" s="2354">
        <v>501</v>
      </c>
      <c r="FR180" s="2354">
        <v>837</v>
      </c>
      <c r="FS180" s="2354">
        <v>985</v>
      </c>
      <c r="FT180" s="2354">
        <v>739</v>
      </c>
      <c r="FU180" s="2354">
        <v>2157</v>
      </c>
      <c r="FV180" s="2354">
        <v>925</v>
      </c>
      <c r="FY180" s="2354">
        <f>SUM(FK180:FV180)</f>
        <v>9976</v>
      </c>
    </row>
    <row r="181" spans="10:181">
      <c r="DC181" s="2387"/>
      <c r="DD181" s="2386"/>
      <c r="DE181" s="2383" t="s">
        <v>4167</v>
      </c>
      <c r="DF181" s="2385"/>
      <c r="DG181" s="2383" t="s">
        <v>4094</v>
      </c>
      <c r="DH181" s="2389"/>
      <c r="DI181" s="2383" t="s">
        <v>4168</v>
      </c>
      <c r="DJ181" s="2389"/>
      <c r="FK181" s="2354">
        <v>632</v>
      </c>
      <c r="FL181" s="2354">
        <v>491</v>
      </c>
      <c r="FM181" s="2354">
        <v>597</v>
      </c>
      <c r="FN181" s="2354">
        <v>618</v>
      </c>
      <c r="FO181" s="2354">
        <v>485</v>
      </c>
      <c r="FP181" s="2354">
        <v>651</v>
      </c>
      <c r="FQ181" s="2354">
        <v>484</v>
      </c>
      <c r="FR181" s="2354">
        <v>821</v>
      </c>
      <c r="FS181" s="2354">
        <v>933</v>
      </c>
      <c r="FT181" s="2354">
        <v>792</v>
      </c>
      <c r="FU181" s="2354">
        <v>2314</v>
      </c>
      <c r="FV181" s="2354">
        <v>923</v>
      </c>
      <c r="FY181" s="2354">
        <f>SUM(FK181:FV181)</f>
        <v>9741</v>
      </c>
    </row>
    <row r="182" spans="10:181">
      <c r="DC182" s="2356" t="s">
        <v>4013</v>
      </c>
      <c r="DD182" s="2381" t="s">
        <v>4019</v>
      </c>
      <c r="DE182" s="2377"/>
      <c r="DF182" s="2380"/>
      <c r="DG182" s="2379"/>
      <c r="DH182" s="2388"/>
      <c r="DI182" s="2379"/>
      <c r="DJ182" s="2388"/>
      <c r="FK182" s="2354">
        <v>917</v>
      </c>
      <c r="FL182" s="2354">
        <v>554</v>
      </c>
      <c r="FM182" s="2354">
        <v>618</v>
      </c>
      <c r="FN182" s="2354">
        <v>616</v>
      </c>
      <c r="FO182" s="2354">
        <v>411</v>
      </c>
      <c r="FP182" s="2354">
        <v>442</v>
      </c>
      <c r="FQ182" s="2354">
        <v>539</v>
      </c>
      <c r="FR182" s="2354">
        <v>801</v>
      </c>
      <c r="FS182" s="2354">
        <v>802</v>
      </c>
      <c r="FT182" s="2354">
        <v>605</v>
      </c>
      <c r="FU182" s="2354">
        <v>2045</v>
      </c>
      <c r="FV182" s="2354">
        <v>1047</v>
      </c>
      <c r="FY182" s="2354">
        <f>SUM(FK182:FV182)</f>
        <v>9397</v>
      </c>
    </row>
    <row r="183" spans="10:181">
      <c r="DC183" s="2375" t="s">
        <v>4020</v>
      </c>
      <c r="DD183" s="2374" t="s">
        <v>3986</v>
      </c>
      <c r="DE183" s="2373" t="s">
        <v>1665</v>
      </c>
      <c r="DF183" s="2373" t="s">
        <v>1666</v>
      </c>
      <c r="DG183" s="2373" t="s">
        <v>1665</v>
      </c>
      <c r="DH183" s="2371" t="s">
        <v>1666</v>
      </c>
      <c r="DI183" s="2372" t="s">
        <v>1665</v>
      </c>
      <c r="DJ183" s="2372" t="s">
        <v>1666</v>
      </c>
      <c r="FK183" s="2354">
        <v>636</v>
      </c>
      <c r="FL183" s="2354">
        <v>519</v>
      </c>
      <c r="FM183" s="2354">
        <v>581</v>
      </c>
      <c r="FN183" s="2354">
        <v>599</v>
      </c>
      <c r="FO183" s="2354">
        <v>470</v>
      </c>
      <c r="FP183" s="2354">
        <v>482</v>
      </c>
      <c r="FQ183" s="2354">
        <v>429</v>
      </c>
      <c r="FR183" s="2354">
        <v>746</v>
      </c>
      <c r="FS183" s="2354">
        <v>826</v>
      </c>
      <c r="FT183" s="2354">
        <v>740</v>
      </c>
      <c r="FU183" s="2354">
        <v>2240</v>
      </c>
      <c r="FV183" s="2354">
        <v>1010</v>
      </c>
      <c r="FY183" s="2354">
        <f>SUM(FK183:FV183)</f>
        <v>9278</v>
      </c>
    </row>
    <row r="184" spans="10:181">
      <c r="DC184" s="2356" t="s">
        <v>3503</v>
      </c>
      <c r="DD184" s="2359">
        <f>SUM(DD185:DD203)</f>
        <v>372151</v>
      </c>
      <c r="DE184" s="2357">
        <f>SUM(DE185:DE203)</f>
        <v>17601</v>
      </c>
      <c r="DF184" s="2358">
        <f>DE184/DD184*100</f>
        <v>4.7295318298217666</v>
      </c>
      <c r="DG184" s="2357">
        <f>SUM(DG185:DG203)</f>
        <v>16897</v>
      </c>
      <c r="DH184" s="2358">
        <f>DG184/DD184*100</f>
        <v>4.540361304954172</v>
      </c>
      <c r="DI184" s="2357">
        <f>SUM(DI185:DI203)</f>
        <v>15590</v>
      </c>
      <c r="DJ184" s="2358">
        <f>DI184/DD184*100</f>
        <v>4.1891597765423167</v>
      </c>
      <c r="FK184" s="2354">
        <v>582</v>
      </c>
      <c r="FL184" s="2354">
        <v>542</v>
      </c>
      <c r="FM184" s="2354">
        <v>549</v>
      </c>
      <c r="FN184" s="2354">
        <v>488</v>
      </c>
      <c r="FO184" s="2354">
        <v>336</v>
      </c>
      <c r="FP184" s="2354">
        <v>350</v>
      </c>
      <c r="FQ184" s="2354">
        <v>349</v>
      </c>
      <c r="FR184" s="2354">
        <v>663</v>
      </c>
      <c r="FS184" s="2354">
        <v>653</v>
      </c>
      <c r="FT184" s="2354">
        <v>491</v>
      </c>
      <c r="FU184" s="2354">
        <v>1556</v>
      </c>
      <c r="FV184" s="2354">
        <v>672</v>
      </c>
      <c r="FY184" s="2354">
        <f>SUM(FK184:FV184)</f>
        <v>7231</v>
      </c>
    </row>
    <row r="185" spans="10:181" ht="15">
      <c r="DC185" s="2360" t="s">
        <v>2384</v>
      </c>
      <c r="DD185" s="2392">
        <v>2641</v>
      </c>
      <c r="DE185" s="2357">
        <v>132</v>
      </c>
      <c r="DF185" s="2358">
        <f>DE185/DD185*100</f>
        <v>4.9981067777357069</v>
      </c>
      <c r="DG185" s="2357">
        <v>124</v>
      </c>
      <c r="DH185" s="2358">
        <f>DG185/DD185*100</f>
        <v>4.6951912154486939</v>
      </c>
      <c r="DI185" s="2357">
        <v>124</v>
      </c>
      <c r="DJ185" s="2358">
        <f>DI185/DD185*100</f>
        <v>4.6951912154486939</v>
      </c>
      <c r="FK185" s="2354">
        <f>SUM(FK155:FK184)</f>
        <v>19860</v>
      </c>
      <c r="FL185" s="2354">
        <f>SUM(FL155:FL184)</f>
        <v>17485</v>
      </c>
      <c r="FM185" s="2354">
        <f>SUM(FM155:FM184)</f>
        <v>23684</v>
      </c>
      <c r="FN185" s="2354">
        <f>SUM(FN155:FN184)</f>
        <v>21612</v>
      </c>
      <c r="FO185" s="2354">
        <f>SUM(FO155:FO184)</f>
        <v>17480</v>
      </c>
      <c r="FP185" s="2354">
        <f>SUM(FP155:FP184)</f>
        <v>16206</v>
      </c>
      <c r="FQ185" s="2354">
        <f>SUM(FQ155:FQ184)</f>
        <v>19096</v>
      </c>
      <c r="FR185" s="2354">
        <f>SUM(FR155:FR184)</f>
        <v>30603</v>
      </c>
      <c r="FS185" s="2354">
        <f>SUM(FS155:FS184)</f>
        <v>31024</v>
      </c>
      <c r="FT185" s="2354">
        <f>SUM(FT155:FT184)</f>
        <v>33804</v>
      </c>
      <c r="FU185" s="2354">
        <f>SUM(FU155:FU184)</f>
        <v>84892</v>
      </c>
      <c r="FV185" s="2354">
        <f>SUM(FV155:FV184)</f>
        <v>36621</v>
      </c>
      <c r="FW185" s="2354">
        <f>SUM(FK185:FV185)</f>
        <v>352367</v>
      </c>
      <c r="FY185" s="2354">
        <f>SUM(FY155:FY184)</f>
        <v>352367</v>
      </c>
    </row>
    <row r="186" spans="10:181" ht="15">
      <c r="DC186" s="2356" t="s">
        <v>2252</v>
      </c>
      <c r="DD186" s="2392">
        <v>6674</v>
      </c>
      <c r="DE186" s="2357">
        <v>307</v>
      </c>
      <c r="DF186" s="2358">
        <f>DE186/DD186*100</f>
        <v>4.5999400659274796</v>
      </c>
      <c r="DG186" s="2357">
        <v>294</v>
      </c>
      <c r="DH186" s="2358">
        <f>DG186/DD186*100</f>
        <v>4.4051543302367397</v>
      </c>
      <c r="DI186" s="2357">
        <v>278</v>
      </c>
      <c r="DJ186" s="2358">
        <f>DI186/DD186*100</f>
        <v>4.1654180401558287</v>
      </c>
    </row>
    <row r="187" spans="10:181" ht="15">
      <c r="DC187" s="2356" t="s">
        <v>2195</v>
      </c>
      <c r="DD187" s="2392">
        <v>6029</v>
      </c>
      <c r="DE187" s="2357">
        <v>278</v>
      </c>
      <c r="DF187" s="2358">
        <f>DE187/DD187*100</f>
        <v>4.6110466080610379</v>
      </c>
      <c r="DG187" s="2357">
        <v>252</v>
      </c>
      <c r="DH187" s="2358">
        <f>DG187/DD187*100</f>
        <v>4.1797976447172003</v>
      </c>
      <c r="DI187" s="2357">
        <v>252</v>
      </c>
      <c r="DJ187" s="2358">
        <f>DI187/DD187*100</f>
        <v>4.1797976447172003</v>
      </c>
    </row>
    <row r="188" spans="10:181" ht="15">
      <c r="DC188" s="2356" t="s">
        <v>4042</v>
      </c>
      <c r="DD188" s="2391">
        <v>15094</v>
      </c>
      <c r="DE188" s="2357">
        <v>616</v>
      </c>
      <c r="DF188" s="2358">
        <f>DE188/DD188*100</f>
        <v>4.0810918245660526</v>
      </c>
      <c r="DG188" s="2357">
        <v>648</v>
      </c>
      <c r="DH188" s="2358">
        <f>DG188/DD188*100</f>
        <v>4.2930965946733801</v>
      </c>
      <c r="DI188" s="2357">
        <v>622</v>
      </c>
      <c r="DJ188" s="2358">
        <f>DI188/DD188*100</f>
        <v>4.1208427189611774</v>
      </c>
    </row>
    <row r="189" spans="10:181" ht="15">
      <c r="DC189" s="2356" t="s">
        <v>4045</v>
      </c>
      <c r="DD189" s="2391">
        <v>13062</v>
      </c>
      <c r="DE189" s="2357">
        <v>615</v>
      </c>
      <c r="DF189" s="2358">
        <f>DE189/DD189*100</f>
        <v>4.7083141938447408</v>
      </c>
      <c r="DG189" s="2357">
        <v>566</v>
      </c>
      <c r="DH189" s="2358">
        <f>DG189/DD189*100</f>
        <v>4.3331802174245908</v>
      </c>
      <c r="DI189" s="2357">
        <v>500</v>
      </c>
      <c r="DJ189" s="2358">
        <f>DI189/DD189*100</f>
        <v>3.8278977185729599</v>
      </c>
    </row>
    <row r="190" spans="10:181" ht="15">
      <c r="DC190" s="2356" t="s">
        <v>4048</v>
      </c>
      <c r="DD190" s="2391">
        <v>3675</v>
      </c>
      <c r="DE190" s="2357">
        <v>169</v>
      </c>
      <c r="DF190" s="2358">
        <f>DE190/DD190*100</f>
        <v>4.5986394557823127</v>
      </c>
      <c r="DG190" s="2357">
        <v>183</v>
      </c>
      <c r="DH190" s="2358">
        <f>DG190/DD190*100</f>
        <v>4.9795918367346941</v>
      </c>
      <c r="DI190" s="2357">
        <v>147</v>
      </c>
      <c r="DJ190" s="2358">
        <f>DI190/DD190*100</f>
        <v>4</v>
      </c>
      <c r="FK190" s="2356" t="s">
        <v>2276</v>
      </c>
      <c r="FL190" s="2356" t="s">
        <v>2201</v>
      </c>
      <c r="FM190" s="2356" t="s">
        <v>2209</v>
      </c>
      <c r="FN190" s="2356" t="s">
        <v>2352</v>
      </c>
      <c r="FO190" s="2356" t="s">
        <v>2261</v>
      </c>
      <c r="FP190" s="2356" t="s">
        <v>2251</v>
      </c>
      <c r="FQ190" s="2356" t="s">
        <v>4067</v>
      </c>
      <c r="FR190" s="2356" t="s">
        <v>2253</v>
      </c>
      <c r="FS190" s="2356" t="s">
        <v>2185</v>
      </c>
      <c r="FT190" s="2356" t="s">
        <v>2202</v>
      </c>
      <c r="FU190" s="2356" t="s">
        <v>2177</v>
      </c>
      <c r="FV190" s="2356" t="s">
        <v>2208</v>
      </c>
      <c r="FW190" s="2361" t="s">
        <v>545</v>
      </c>
    </row>
    <row r="191" spans="10:181" ht="15">
      <c r="J191" s="2393"/>
      <c r="K191" s="2393"/>
      <c r="DC191" s="2356" t="s">
        <v>2151</v>
      </c>
      <c r="DD191" s="2391">
        <v>7493</v>
      </c>
      <c r="DE191" s="2357">
        <v>360</v>
      </c>
      <c r="DF191" s="2358">
        <f>DE191/DD191*100</f>
        <v>4.8044841852395566</v>
      </c>
      <c r="DG191" s="2357">
        <v>340</v>
      </c>
      <c r="DH191" s="2358">
        <f>DG191/DD191*100</f>
        <v>4.5375683971706922</v>
      </c>
      <c r="DI191" s="2357">
        <v>295</v>
      </c>
      <c r="DJ191" s="2358">
        <f>DI191/DD191*100</f>
        <v>3.9370078740157481</v>
      </c>
      <c r="EV191" s="2395"/>
      <c r="EW191" s="2395"/>
      <c r="EX191" s="2395"/>
      <c r="EY191" s="2395"/>
      <c r="EZ191" s="2395"/>
      <c r="FA191" s="2395"/>
      <c r="FB191" s="2395"/>
      <c r="FC191" s="2395"/>
      <c r="FD191" s="2395"/>
      <c r="FE191" s="2395"/>
      <c r="FF191" s="2395"/>
      <c r="FK191" s="2354">
        <v>1214</v>
      </c>
      <c r="FL191" s="2354">
        <v>1036</v>
      </c>
      <c r="FM191" s="2354">
        <v>1753</v>
      </c>
      <c r="FN191" s="2354">
        <v>1443</v>
      </c>
      <c r="FO191" s="2354">
        <v>1120</v>
      </c>
      <c r="FP191" s="2354">
        <v>948</v>
      </c>
      <c r="FQ191" s="2354">
        <v>1352</v>
      </c>
      <c r="FR191" s="2354">
        <v>2247</v>
      </c>
      <c r="FS191" s="2354">
        <v>2344</v>
      </c>
      <c r="FT191" s="2354">
        <v>2561</v>
      </c>
      <c r="FU191" s="2354">
        <v>7225</v>
      </c>
      <c r="FV191" s="2354">
        <v>3010</v>
      </c>
      <c r="FW191" s="2359">
        <f>SUM(FK191:FV191)</f>
        <v>26253</v>
      </c>
    </row>
    <row r="192" spans="10:181" ht="15">
      <c r="J192" s="2393"/>
      <c r="K192" s="2393"/>
      <c r="DC192" s="2356" t="s">
        <v>4052</v>
      </c>
      <c r="DD192" s="2391">
        <v>12842</v>
      </c>
      <c r="DE192" s="2357">
        <v>596</v>
      </c>
      <c r="DF192" s="2358">
        <f>DE192/DD192*100</f>
        <v>4.6410216477184241</v>
      </c>
      <c r="DG192" s="2357">
        <v>549</v>
      </c>
      <c r="DH192" s="2358">
        <f>DG192/DD192*100</f>
        <v>4.2750350412708293</v>
      </c>
      <c r="DI192" s="2357">
        <v>417</v>
      </c>
      <c r="DJ192" s="2358">
        <f>DI192/DD192*100</f>
        <v>3.2471577635882256</v>
      </c>
      <c r="FK192" s="2354">
        <v>752</v>
      </c>
      <c r="FL192" s="2354">
        <v>742</v>
      </c>
      <c r="FM192" s="2354">
        <v>1306</v>
      </c>
      <c r="FN192" s="2354">
        <v>1156</v>
      </c>
      <c r="FO192" s="2354">
        <v>995</v>
      </c>
      <c r="FP192" s="2354">
        <v>722</v>
      </c>
      <c r="FQ192" s="2354">
        <v>1110</v>
      </c>
      <c r="FR192" s="2354">
        <v>1820</v>
      </c>
      <c r="FS192" s="2354">
        <v>1829</v>
      </c>
      <c r="FT192" s="2354">
        <v>2151</v>
      </c>
      <c r="FU192" s="2354">
        <v>5413</v>
      </c>
      <c r="FV192" s="2354">
        <v>2078</v>
      </c>
      <c r="FW192" s="2359">
        <f>SUM(FK192:FV192)</f>
        <v>20074</v>
      </c>
    </row>
    <row r="193" spans="1:179" ht="15">
      <c r="J193" s="2393"/>
      <c r="K193" s="2393"/>
      <c r="DC193" s="2356" t="s">
        <v>4056</v>
      </c>
      <c r="DD193" s="2391">
        <v>13576</v>
      </c>
      <c r="DE193" s="2357">
        <v>589</v>
      </c>
      <c r="DF193" s="2358">
        <f>DE193/DD193*100</f>
        <v>4.3385385975250443</v>
      </c>
      <c r="DG193" s="2357">
        <v>648</v>
      </c>
      <c r="DH193" s="2358">
        <f>DG193/DD193*100</f>
        <v>4.7731290512669418</v>
      </c>
      <c r="DI193" s="2357">
        <v>492</v>
      </c>
      <c r="DJ193" s="2358">
        <f>DI193/DD193*100</f>
        <v>3.6240424278137886</v>
      </c>
      <c r="FK193" s="2354">
        <v>781</v>
      </c>
      <c r="FL193" s="2354">
        <v>740</v>
      </c>
      <c r="FM193" s="2354">
        <v>1275</v>
      </c>
      <c r="FN193" s="2354">
        <v>1038</v>
      </c>
      <c r="FO193" s="2354">
        <v>852</v>
      </c>
      <c r="FP193" s="2354">
        <v>631</v>
      </c>
      <c r="FQ193" s="2354">
        <v>1043</v>
      </c>
      <c r="FR193" s="2354">
        <v>1706</v>
      </c>
      <c r="FS193" s="2354">
        <v>1777</v>
      </c>
      <c r="FT193" s="2354">
        <v>1941</v>
      </c>
      <c r="FU193" s="2354">
        <v>5113</v>
      </c>
      <c r="FV193" s="2354">
        <v>2067</v>
      </c>
      <c r="FW193" s="2359">
        <f>SUM(FK193:FV193)</f>
        <v>18964</v>
      </c>
    </row>
    <row r="194" spans="1:179" ht="15">
      <c r="A194" s="2393"/>
      <c r="B194" s="2393"/>
      <c r="C194" s="2397"/>
      <c r="D194" s="2393"/>
      <c r="E194" s="2393"/>
      <c r="F194" s="2393"/>
      <c r="G194" s="2393"/>
      <c r="H194" s="2393"/>
      <c r="I194" s="2393"/>
      <c r="J194" s="2393"/>
      <c r="K194" s="2393"/>
      <c r="DC194" s="2356" t="s">
        <v>2209</v>
      </c>
      <c r="DD194" s="2391">
        <v>21041</v>
      </c>
      <c r="DE194" s="2357">
        <v>984</v>
      </c>
      <c r="DF194" s="2358">
        <f>DE194/DD194*100</f>
        <v>4.6765838125564372</v>
      </c>
      <c r="DG194" s="2357">
        <v>960</v>
      </c>
      <c r="DH194" s="2358">
        <f>DG194/DD194*100</f>
        <v>4.5625207927379874</v>
      </c>
      <c r="DI194" s="2357">
        <v>840</v>
      </c>
      <c r="DJ194" s="2358">
        <f>DI194/DD194*100</f>
        <v>3.9922056936457393</v>
      </c>
      <c r="FK194" s="2354">
        <v>874</v>
      </c>
      <c r="FL194" s="2354">
        <v>752</v>
      </c>
      <c r="FM194" s="2354">
        <v>1167</v>
      </c>
      <c r="FN194" s="2354">
        <v>1082</v>
      </c>
      <c r="FO194" s="2354">
        <v>838</v>
      </c>
      <c r="FP194" s="2354">
        <v>633</v>
      </c>
      <c r="FQ194" s="2354">
        <v>982</v>
      </c>
      <c r="FR194" s="2354">
        <v>1670</v>
      </c>
      <c r="FS194" s="2354">
        <v>1644</v>
      </c>
      <c r="FT194" s="2354">
        <v>1848</v>
      </c>
      <c r="FU194" s="2354">
        <v>4746</v>
      </c>
      <c r="FV194" s="2354">
        <v>1858</v>
      </c>
      <c r="FW194" s="2359">
        <f>SUM(FK194:FV194)</f>
        <v>18094</v>
      </c>
    </row>
    <row r="195" spans="1:179" ht="15">
      <c r="A195" s="2393"/>
      <c r="B195" s="2393"/>
      <c r="C195" s="2393"/>
      <c r="D195" s="2393"/>
      <c r="E195" s="2393"/>
      <c r="F195" s="2393"/>
      <c r="G195" s="2393"/>
      <c r="H195" s="2393"/>
      <c r="I195" s="2393"/>
      <c r="J195" s="2393"/>
      <c r="K195" s="2393"/>
      <c r="DC195" s="2356" t="s">
        <v>2352</v>
      </c>
      <c r="DD195" s="2391">
        <v>20781</v>
      </c>
      <c r="DE195" s="2357">
        <v>924</v>
      </c>
      <c r="DF195" s="2358">
        <f>DE195/DD195*100</f>
        <v>4.4463692796304315</v>
      </c>
      <c r="DG195" s="2357">
        <v>931</v>
      </c>
      <c r="DH195" s="2358">
        <f>DG195/DD195*100</f>
        <v>4.4800538953852076</v>
      </c>
      <c r="DI195" s="2357">
        <v>816</v>
      </c>
      <c r="DJ195" s="2358">
        <f>DI195/DD195*100</f>
        <v>3.9266637794138881</v>
      </c>
      <c r="FK195" s="2354">
        <v>722</v>
      </c>
      <c r="FL195" s="2354">
        <v>689</v>
      </c>
      <c r="FM195" s="2354">
        <v>1163</v>
      </c>
      <c r="FN195" s="2354">
        <v>1035</v>
      </c>
      <c r="FO195" s="2354">
        <v>756</v>
      </c>
      <c r="FP195" s="2354">
        <v>682</v>
      </c>
      <c r="FQ195" s="2354">
        <v>969</v>
      </c>
      <c r="FR195" s="2354">
        <v>1580</v>
      </c>
      <c r="FS195" s="2354">
        <v>1591</v>
      </c>
      <c r="FT195" s="2354">
        <v>1981</v>
      </c>
      <c r="FU195" s="2354">
        <v>4410</v>
      </c>
      <c r="FV195" s="2354">
        <v>1921</v>
      </c>
      <c r="FW195" s="2359">
        <f>SUM(FK195:FV195)</f>
        <v>17499</v>
      </c>
    </row>
    <row r="196" spans="1:179" ht="15">
      <c r="A196" s="2393"/>
      <c r="B196" s="2393"/>
      <c r="C196" s="2393"/>
      <c r="D196" s="2393"/>
      <c r="E196" s="2393"/>
      <c r="F196" s="2393"/>
      <c r="G196" s="2393"/>
      <c r="H196" s="2393"/>
      <c r="I196" s="2393"/>
      <c r="J196" s="2396"/>
      <c r="K196" s="2396"/>
      <c r="DC196" s="2356" t="s">
        <v>2261</v>
      </c>
      <c r="DD196" s="2391">
        <v>13233</v>
      </c>
      <c r="DE196" s="2357">
        <v>627</v>
      </c>
      <c r="DF196" s="2358">
        <f>DE196/DD196*100</f>
        <v>4.7381546134663344</v>
      </c>
      <c r="DG196" s="2357">
        <v>645</v>
      </c>
      <c r="DH196" s="2358">
        <f>DG196/DD196*100</f>
        <v>4.8741781908864201</v>
      </c>
      <c r="DI196" s="2357">
        <v>561</v>
      </c>
      <c r="DJ196" s="2358">
        <f>DI196/DD196*100</f>
        <v>4.2394014962593518</v>
      </c>
      <c r="FK196" s="2354">
        <v>528</v>
      </c>
      <c r="FL196" s="2354">
        <v>506</v>
      </c>
      <c r="FM196" s="2354">
        <v>996</v>
      </c>
      <c r="FN196" s="2354">
        <v>884</v>
      </c>
      <c r="FO196" s="2354">
        <v>681</v>
      </c>
      <c r="FP196" s="2354">
        <v>578</v>
      </c>
      <c r="FQ196" s="2354">
        <v>875</v>
      </c>
      <c r="FR196" s="2354">
        <v>1375</v>
      </c>
      <c r="FS196" s="2354">
        <v>1474</v>
      </c>
      <c r="FT196" s="2354">
        <v>1933</v>
      </c>
      <c r="FU196" s="2354">
        <v>4861</v>
      </c>
      <c r="FV196" s="2354">
        <v>1828</v>
      </c>
      <c r="FW196" s="2359">
        <f>SUM(FK196:FV196)</f>
        <v>16519</v>
      </c>
    </row>
    <row r="197" spans="1:179" ht="15">
      <c r="J197" s="2393"/>
      <c r="K197" s="2393"/>
      <c r="DC197" s="2356" t="s">
        <v>2251</v>
      </c>
      <c r="DD197" s="2391">
        <v>11678</v>
      </c>
      <c r="DE197" s="2357">
        <v>616</v>
      </c>
      <c r="DF197" s="2358">
        <f>DE197/DD197*100</f>
        <v>5.2748758349032361</v>
      </c>
      <c r="DG197" s="2357">
        <v>568</v>
      </c>
      <c r="DH197" s="2358">
        <f>DG197/DD197*100</f>
        <v>4.8638465490666212</v>
      </c>
      <c r="DI197" s="2357">
        <v>472</v>
      </c>
      <c r="DJ197" s="2358">
        <f>DI197/DD197*100</f>
        <v>4.0417879773933896</v>
      </c>
      <c r="FK197" s="2354">
        <v>604</v>
      </c>
      <c r="FL197" s="2354">
        <v>478</v>
      </c>
      <c r="FM197" s="2354">
        <v>736</v>
      </c>
      <c r="FN197" s="2354">
        <v>671</v>
      </c>
      <c r="FO197" s="2354">
        <v>558</v>
      </c>
      <c r="FP197" s="2354">
        <v>420</v>
      </c>
      <c r="FQ197" s="2354">
        <v>720</v>
      </c>
      <c r="FR197" s="2354">
        <v>1144</v>
      </c>
      <c r="FS197" s="2354">
        <v>1087</v>
      </c>
      <c r="FT197" s="2354">
        <v>1500</v>
      </c>
      <c r="FU197" s="2354">
        <v>3498</v>
      </c>
      <c r="FV197" s="2354">
        <v>1457</v>
      </c>
      <c r="FW197" s="2359">
        <f>SUM(FK197:FV197)</f>
        <v>12873</v>
      </c>
    </row>
    <row r="198" spans="1:179" ht="15">
      <c r="J198" s="2393"/>
      <c r="K198" s="2393"/>
      <c r="DC198" s="2356" t="s">
        <v>2260</v>
      </c>
      <c r="DD198" s="2391">
        <v>15424</v>
      </c>
      <c r="DE198" s="2357">
        <v>704</v>
      </c>
      <c r="DF198" s="2358">
        <f>DE198/DD198*100</f>
        <v>4.5643153526970952</v>
      </c>
      <c r="DG198" s="2357">
        <v>715</v>
      </c>
      <c r="DH198" s="2358">
        <f>DG198/DD198*100</f>
        <v>4.6356327800829877</v>
      </c>
      <c r="DI198" s="2357">
        <v>711</v>
      </c>
      <c r="DJ198" s="2358">
        <f>DI198/DD198*100</f>
        <v>4.6096991701244816</v>
      </c>
      <c r="FK198" s="2354">
        <v>572</v>
      </c>
      <c r="FL198" s="2354">
        <v>599</v>
      </c>
      <c r="FM198" s="2354">
        <v>798</v>
      </c>
      <c r="FN198" s="2354">
        <v>712</v>
      </c>
      <c r="FO198" s="2354">
        <v>543</v>
      </c>
      <c r="FP198" s="2354">
        <v>469</v>
      </c>
      <c r="FQ198" s="2354">
        <v>679</v>
      </c>
      <c r="FR198" s="2354">
        <v>1134</v>
      </c>
      <c r="FS198" s="2354">
        <v>1075</v>
      </c>
      <c r="FT198" s="2354">
        <v>1306</v>
      </c>
      <c r="FU198" s="2354">
        <v>2913</v>
      </c>
      <c r="FV198" s="2354">
        <v>1188</v>
      </c>
      <c r="FW198" s="2359">
        <f>SUM(FK198:FV198)</f>
        <v>11988</v>
      </c>
    </row>
    <row r="199" spans="1:179" ht="15">
      <c r="J199" s="2393"/>
      <c r="K199" s="2393"/>
      <c r="DC199" s="2356" t="s">
        <v>2253</v>
      </c>
      <c r="DD199" s="2391">
        <v>26601</v>
      </c>
      <c r="DE199" s="2357">
        <v>1198</v>
      </c>
      <c r="DF199" s="2358">
        <f>DE199/DD199*100</f>
        <v>4.5035900905980979</v>
      </c>
      <c r="DG199" s="2357">
        <v>1217</v>
      </c>
      <c r="DH199" s="2358">
        <f>DG199/DD199*100</f>
        <v>4.5750159768429759</v>
      </c>
      <c r="DI199" s="2357">
        <v>1292</v>
      </c>
      <c r="DJ199" s="2358">
        <f>DI199/DD199*100</f>
        <v>4.8569602646517049</v>
      </c>
      <c r="FK199" s="2354">
        <v>541</v>
      </c>
      <c r="FL199" s="2354">
        <v>470</v>
      </c>
      <c r="FM199" s="2354">
        <v>716</v>
      </c>
      <c r="FN199" s="2354">
        <v>671</v>
      </c>
      <c r="FO199" s="2354">
        <v>550</v>
      </c>
      <c r="FP199" s="2354">
        <v>446</v>
      </c>
      <c r="FQ199" s="2354">
        <v>696</v>
      </c>
      <c r="FR199" s="2354">
        <v>1103</v>
      </c>
      <c r="FS199" s="2354">
        <v>966</v>
      </c>
      <c r="FT199" s="2354">
        <v>1278</v>
      </c>
      <c r="FU199" s="2354">
        <v>2800</v>
      </c>
      <c r="FV199" s="2354">
        <v>1179</v>
      </c>
      <c r="FW199" s="2359">
        <f>SUM(FK199:FV199)</f>
        <v>11416</v>
      </c>
    </row>
    <row r="200" spans="1:179" ht="15">
      <c r="J200" s="2393"/>
      <c r="K200" s="2393"/>
      <c r="DC200" s="2356" t="s">
        <v>2185</v>
      </c>
      <c r="DD200" s="2391">
        <v>32594</v>
      </c>
      <c r="DE200" s="2357">
        <v>1502</v>
      </c>
      <c r="DF200" s="2358">
        <f>DE200/DD200*100</f>
        <v>4.6082101000184084</v>
      </c>
      <c r="DG200" s="2357">
        <v>1541</v>
      </c>
      <c r="DH200" s="2358">
        <f>DG200/DD200*100</f>
        <v>4.727864024053507</v>
      </c>
      <c r="DI200" s="2357">
        <v>1421</v>
      </c>
      <c r="DJ200" s="2358">
        <f>DI200/DD200*100</f>
        <v>4.3596981039455116</v>
      </c>
      <c r="FK200" s="2354">
        <v>477</v>
      </c>
      <c r="FL200" s="2354">
        <v>454</v>
      </c>
      <c r="FM200" s="2354">
        <v>1036</v>
      </c>
      <c r="FN200" s="2354">
        <v>565</v>
      </c>
      <c r="FO200" s="2354">
        <v>460</v>
      </c>
      <c r="FP200" s="2354">
        <v>381</v>
      </c>
      <c r="FQ200" s="2354">
        <v>598</v>
      </c>
      <c r="FR200" s="2354">
        <v>890</v>
      </c>
      <c r="FS200" s="2354">
        <v>901</v>
      </c>
      <c r="FT200" s="2354">
        <v>1020</v>
      </c>
      <c r="FU200" s="2354">
        <v>2426</v>
      </c>
      <c r="FV200" s="2354">
        <v>961</v>
      </c>
      <c r="FW200" s="2359">
        <f>SUM(FK200:FV200)</f>
        <v>10169</v>
      </c>
    </row>
    <row r="201" spans="1:179" ht="15">
      <c r="J201" s="2393"/>
      <c r="K201" s="2393"/>
      <c r="DC201" s="2356" t="s">
        <v>2202</v>
      </c>
      <c r="DD201" s="2391">
        <v>29326</v>
      </c>
      <c r="DE201" s="2357">
        <v>1356</v>
      </c>
      <c r="DF201" s="2358">
        <f>DE201/DD201*100</f>
        <v>4.6238832435381569</v>
      </c>
      <c r="DG201" s="2357">
        <v>1331</v>
      </c>
      <c r="DH201" s="2358">
        <f>DG201/DD201*100</f>
        <v>4.538634658664666</v>
      </c>
      <c r="DI201" s="2357">
        <v>1357</v>
      </c>
      <c r="DJ201" s="2358">
        <f>DI201/DD201*100</f>
        <v>4.6272931869330973</v>
      </c>
      <c r="FK201" s="2354">
        <v>617</v>
      </c>
      <c r="FL201" s="2354">
        <v>655</v>
      </c>
      <c r="FM201" s="2354">
        <v>647</v>
      </c>
      <c r="FN201" s="2354">
        <v>558</v>
      </c>
      <c r="FO201" s="2354">
        <v>464</v>
      </c>
      <c r="FP201" s="2354">
        <v>351</v>
      </c>
      <c r="FQ201" s="2354">
        <v>504</v>
      </c>
      <c r="FR201" s="2354">
        <v>893</v>
      </c>
      <c r="FS201" s="2354">
        <v>883</v>
      </c>
      <c r="FT201" s="2354">
        <v>935</v>
      </c>
      <c r="FU201" s="2354">
        <v>2468</v>
      </c>
      <c r="FV201" s="2354">
        <v>962</v>
      </c>
      <c r="FW201" s="2359">
        <f>SUM(FK201:FV201)</f>
        <v>9937</v>
      </c>
    </row>
    <row r="202" spans="1:179" ht="15">
      <c r="J202" s="2393"/>
      <c r="K202" s="2393"/>
      <c r="DC202" s="2356" t="s">
        <v>2177</v>
      </c>
      <c r="DD202" s="2391">
        <v>81164</v>
      </c>
      <c r="DE202" s="2357">
        <v>4052</v>
      </c>
      <c r="DF202" s="2358">
        <f>DE202/DD202*100</f>
        <v>4.9923611453353702</v>
      </c>
      <c r="DG202" s="2357">
        <v>3641</v>
      </c>
      <c r="DH202" s="2358">
        <f>DG202/DD202*100</f>
        <v>4.4859790054704058</v>
      </c>
      <c r="DI202" s="2357">
        <v>3422</v>
      </c>
      <c r="DJ202" s="2358">
        <f>DI202/DD202*100</f>
        <v>4.2161549455423586</v>
      </c>
      <c r="FK202" s="2354">
        <v>398</v>
      </c>
      <c r="FL202" s="2354">
        <v>347</v>
      </c>
      <c r="FM202" s="2354">
        <v>535</v>
      </c>
      <c r="FN202" s="2354">
        <v>503</v>
      </c>
      <c r="FO202" s="2354">
        <v>354</v>
      </c>
      <c r="FP202" s="2354">
        <v>263</v>
      </c>
      <c r="FQ202" s="2354">
        <v>607</v>
      </c>
      <c r="FR202" s="2354">
        <v>811</v>
      </c>
      <c r="FS202" s="2354">
        <v>829</v>
      </c>
      <c r="FT202" s="2354">
        <v>1099</v>
      </c>
      <c r="FU202" s="2354">
        <v>2756</v>
      </c>
      <c r="FV202" s="2354">
        <v>1009</v>
      </c>
      <c r="FW202" s="2359">
        <f>SUM(FK202:FV202)</f>
        <v>9511</v>
      </c>
    </row>
    <row r="203" spans="1:179" ht="15">
      <c r="J203" s="2393"/>
      <c r="K203" s="2393"/>
      <c r="DC203" s="2368" t="s">
        <v>2208</v>
      </c>
      <c r="DD203" s="2390">
        <v>39223</v>
      </c>
      <c r="DE203" s="2366">
        <v>1976</v>
      </c>
      <c r="DF203" s="2365">
        <f>DE203/DD203*100</f>
        <v>5.0378604390281208</v>
      </c>
      <c r="DG203" s="2366">
        <v>1744</v>
      </c>
      <c r="DH203" s="2365">
        <f>DG203/DD203*100</f>
        <v>4.4463707518547793</v>
      </c>
      <c r="DI203" s="2366">
        <v>1571</v>
      </c>
      <c r="DJ203" s="2365">
        <f>DI203/DD203*100</f>
        <v>4.0053030109884507</v>
      </c>
      <c r="FK203" s="2354">
        <v>404</v>
      </c>
      <c r="FL203" s="2354">
        <v>348</v>
      </c>
      <c r="FM203" s="2354">
        <v>502</v>
      </c>
      <c r="FN203" s="2354">
        <v>417</v>
      </c>
      <c r="FO203" s="2354">
        <v>305</v>
      </c>
      <c r="FP203" s="2354">
        <v>266</v>
      </c>
      <c r="FQ203" s="2354">
        <v>440</v>
      </c>
      <c r="FR203" s="2354">
        <v>677</v>
      </c>
      <c r="FS203" s="2354">
        <v>664</v>
      </c>
      <c r="FT203" s="2354">
        <v>824</v>
      </c>
      <c r="FU203" s="2354">
        <v>1968</v>
      </c>
      <c r="FV203" s="2354">
        <v>763</v>
      </c>
      <c r="FW203" s="2359">
        <f>SUM(FK203:FV203)</f>
        <v>7578</v>
      </c>
    </row>
    <row r="204" spans="1:179">
      <c r="J204" s="2393"/>
      <c r="K204" s="2393"/>
      <c r="DC204" s="2356" t="s">
        <v>4069</v>
      </c>
      <c r="DD204" s="2356"/>
      <c r="DE204" s="2356"/>
      <c r="DF204" s="2356"/>
      <c r="DG204" s="2356"/>
      <c r="DH204" s="2356"/>
      <c r="DI204" s="2356"/>
      <c r="DJ204" s="2356"/>
      <c r="FK204" s="2354">
        <v>352</v>
      </c>
      <c r="FL204" s="2354">
        <v>302</v>
      </c>
      <c r="FM204" s="2354">
        <v>476</v>
      </c>
      <c r="FN204" s="2354">
        <v>419</v>
      </c>
      <c r="FO204" s="2354">
        <v>321</v>
      </c>
      <c r="FP204" s="2354">
        <v>257</v>
      </c>
      <c r="FQ204" s="2354">
        <v>444</v>
      </c>
      <c r="FR204" s="2354">
        <v>694</v>
      </c>
      <c r="FS204" s="2354">
        <v>671</v>
      </c>
      <c r="FT204" s="2354">
        <v>812</v>
      </c>
      <c r="FU204" s="2354">
        <v>2057</v>
      </c>
      <c r="FV204" s="2354">
        <v>865</v>
      </c>
      <c r="FW204" s="2359">
        <f>SUM(FK204:FV204)</f>
        <v>7670</v>
      </c>
    </row>
    <row r="205" spans="1:179">
      <c r="J205" s="2393"/>
      <c r="K205" s="2393"/>
      <c r="DC205" s="2356" t="s">
        <v>4076</v>
      </c>
      <c r="DD205" s="2356"/>
      <c r="DE205" s="2356"/>
      <c r="DF205" s="2356"/>
      <c r="DG205" s="2357" t="s">
        <v>3348</v>
      </c>
      <c r="DH205" s="2356"/>
      <c r="DI205" s="2357" t="s">
        <v>3348</v>
      </c>
      <c r="DJ205" s="2356"/>
      <c r="FK205" s="2395">
        <v>385</v>
      </c>
      <c r="FL205" s="2395">
        <v>275</v>
      </c>
      <c r="FM205" s="2395">
        <v>367</v>
      </c>
      <c r="FN205" s="2395">
        <v>384</v>
      </c>
      <c r="FO205" s="2395">
        <v>295</v>
      </c>
      <c r="FP205" s="2395">
        <v>206</v>
      </c>
      <c r="FQ205" s="2395">
        <v>338</v>
      </c>
      <c r="FR205" s="2395">
        <v>565</v>
      </c>
      <c r="FS205" s="2395">
        <v>559</v>
      </c>
      <c r="FT205" s="2395">
        <v>739</v>
      </c>
      <c r="FU205" s="2395">
        <v>1805</v>
      </c>
      <c r="FV205" s="2395">
        <v>651</v>
      </c>
      <c r="FW205" s="2359">
        <f>SUM(FK205:FV205)</f>
        <v>6569</v>
      </c>
    </row>
    <row r="206" spans="1:179">
      <c r="J206" s="2393"/>
      <c r="K206" s="2393"/>
      <c r="DC206" s="2356" t="s">
        <v>4078</v>
      </c>
      <c r="DD206" s="2356"/>
      <c r="DE206" s="2356"/>
      <c r="DF206" s="2356"/>
      <c r="DG206" s="2356"/>
      <c r="DH206" s="2356"/>
      <c r="DI206" s="2356"/>
      <c r="DJ206" s="2356"/>
      <c r="FK206" s="2354">
        <v>1191</v>
      </c>
      <c r="FL206" s="2354">
        <v>930</v>
      </c>
      <c r="FM206" s="2354">
        <v>1576</v>
      </c>
      <c r="FN206" s="2354">
        <v>1301</v>
      </c>
      <c r="FO206" s="2354">
        <v>989</v>
      </c>
      <c r="FP206" s="2354">
        <v>847</v>
      </c>
      <c r="FQ206" s="2354">
        <v>1106</v>
      </c>
      <c r="FR206" s="2354">
        <v>1887</v>
      </c>
      <c r="FS206" s="2354">
        <v>1977</v>
      </c>
      <c r="FT206" s="2354">
        <v>2009</v>
      </c>
      <c r="FU206" s="2354">
        <v>6311</v>
      </c>
      <c r="FV206" s="2354">
        <v>2527</v>
      </c>
      <c r="FW206" s="2359">
        <f>SUM(FK206:FV206)</f>
        <v>22651</v>
      </c>
    </row>
    <row r="207" spans="1:179">
      <c r="J207" s="2393"/>
      <c r="K207" s="2393"/>
      <c r="DC207" s="876"/>
      <c r="DD207" s="876"/>
      <c r="DE207" s="876"/>
      <c r="DF207" s="876"/>
      <c r="DG207" s="876"/>
      <c r="DH207" s="876"/>
      <c r="DI207" s="876"/>
      <c r="DJ207" s="876"/>
      <c r="FK207" s="2354">
        <v>1083</v>
      </c>
      <c r="FL207" s="2354">
        <v>905</v>
      </c>
      <c r="FM207" s="2354">
        <v>1534</v>
      </c>
      <c r="FN207" s="2354">
        <v>1287</v>
      </c>
      <c r="FO207" s="2354">
        <v>989</v>
      </c>
      <c r="FP207" s="2354">
        <v>844</v>
      </c>
      <c r="FQ207" s="2354">
        <v>1048</v>
      </c>
      <c r="FR207" s="2354">
        <v>1870</v>
      </c>
      <c r="FS207" s="2354">
        <v>1939</v>
      </c>
      <c r="FT207" s="2354">
        <v>1849</v>
      </c>
      <c r="FU207" s="2354">
        <v>5518</v>
      </c>
      <c r="FV207" s="2354">
        <v>2208</v>
      </c>
      <c r="FW207" s="2359">
        <f>SUM(FK207:FV207)</f>
        <v>21074</v>
      </c>
    </row>
    <row r="208" spans="1:179">
      <c r="J208" s="2393"/>
      <c r="K208" s="2393"/>
      <c r="DC208" s="876"/>
      <c r="DD208" s="876"/>
      <c r="DE208" s="876"/>
      <c r="DF208" s="876"/>
      <c r="DG208" s="876"/>
      <c r="DH208" s="876"/>
      <c r="DI208" s="876"/>
      <c r="DJ208" s="876"/>
      <c r="FK208" s="2354">
        <v>952</v>
      </c>
      <c r="FL208" s="2354">
        <v>821</v>
      </c>
      <c r="FM208" s="2354">
        <v>1340</v>
      </c>
      <c r="FN208" s="2354">
        <v>1136</v>
      </c>
      <c r="FO208" s="2354">
        <v>957</v>
      </c>
      <c r="FP208" s="2354">
        <v>714</v>
      </c>
      <c r="FQ208" s="2354">
        <v>1018</v>
      </c>
      <c r="FR208" s="2354">
        <v>1691</v>
      </c>
      <c r="FS208" s="2354">
        <v>1777</v>
      </c>
      <c r="FT208" s="2354">
        <v>1868</v>
      </c>
      <c r="FU208" s="2354">
        <v>4866</v>
      </c>
      <c r="FV208" s="2354">
        <v>2098</v>
      </c>
      <c r="FW208" s="2359">
        <f>SUM(FK208:FV208)</f>
        <v>19238</v>
      </c>
    </row>
    <row r="209" spans="10:180">
      <c r="J209" s="2393"/>
      <c r="K209" s="2393"/>
      <c r="DC209" s="876"/>
      <c r="DD209" s="876"/>
      <c r="DE209" s="876"/>
      <c r="DF209" s="876"/>
      <c r="DG209" s="876"/>
      <c r="DH209" s="876"/>
      <c r="DI209" s="876"/>
      <c r="DJ209" s="876"/>
      <c r="FK209" s="2354">
        <v>815</v>
      </c>
      <c r="FL209" s="2354">
        <v>785</v>
      </c>
      <c r="FM209" s="2354">
        <v>1313</v>
      </c>
      <c r="FN209" s="2354">
        <v>1212</v>
      </c>
      <c r="FO209" s="2354">
        <v>963</v>
      </c>
      <c r="FP209" s="2354">
        <v>762</v>
      </c>
      <c r="FQ209" s="2354">
        <v>1006</v>
      </c>
      <c r="FR209" s="2354">
        <v>1862</v>
      </c>
      <c r="FS209" s="2354">
        <v>1779</v>
      </c>
      <c r="FT209" s="2354">
        <v>1831</v>
      </c>
      <c r="FU209" s="2354">
        <v>4814</v>
      </c>
      <c r="FV209" s="2354">
        <v>2040</v>
      </c>
      <c r="FW209" s="2359">
        <f>SUM(FK209:FV209)</f>
        <v>19182</v>
      </c>
    </row>
    <row r="210" spans="10:180">
      <c r="J210" s="2393"/>
      <c r="K210" s="2393"/>
      <c r="DC210" s="2368" t="s">
        <v>4169</v>
      </c>
      <c r="DD210" s="2368"/>
      <c r="DE210" s="2356"/>
      <c r="DF210" s="2356"/>
      <c r="DG210" s="2356"/>
      <c r="DH210" s="2356"/>
      <c r="DI210" s="2368"/>
      <c r="DJ210" s="2368"/>
      <c r="FK210" s="2354">
        <v>1024</v>
      </c>
      <c r="FL210" s="2354">
        <v>863</v>
      </c>
      <c r="FM210" s="2354">
        <v>1223</v>
      </c>
      <c r="FN210" s="2354">
        <v>1064</v>
      </c>
      <c r="FO210" s="2354">
        <v>787</v>
      </c>
      <c r="FP210" s="2354">
        <v>720</v>
      </c>
      <c r="FQ210" s="2354">
        <v>918</v>
      </c>
      <c r="FR210" s="2354">
        <v>1538</v>
      </c>
      <c r="FS210" s="2354">
        <v>1823</v>
      </c>
      <c r="FT210" s="2354">
        <v>1464</v>
      </c>
      <c r="FU210" s="2354">
        <v>4586</v>
      </c>
      <c r="FV210" s="2354">
        <v>1942</v>
      </c>
      <c r="FW210" s="2359">
        <f>SUM(FK210:FV210)</f>
        <v>17952</v>
      </c>
    </row>
    <row r="211" spans="10:180">
      <c r="J211" s="2393"/>
      <c r="K211" s="2393"/>
      <c r="DC211" s="2387"/>
      <c r="DD211" s="2386"/>
      <c r="DE211" s="2383" t="s">
        <v>4170</v>
      </c>
      <c r="DF211" s="2382"/>
      <c r="DG211" s="2383" t="s">
        <v>4171</v>
      </c>
      <c r="DH211" s="2382"/>
      <c r="DI211" s="2383" t="s">
        <v>4148</v>
      </c>
      <c r="DJ211" s="2382"/>
      <c r="FK211" s="2354">
        <v>852</v>
      </c>
      <c r="FL211" s="2354">
        <v>710</v>
      </c>
      <c r="FM211" s="2354">
        <v>999</v>
      </c>
      <c r="FN211" s="2354">
        <v>1003</v>
      </c>
      <c r="FO211" s="2354">
        <v>753</v>
      </c>
      <c r="FP211" s="2354">
        <v>914</v>
      </c>
      <c r="FQ211" s="2354">
        <v>836</v>
      </c>
      <c r="FR211" s="2354">
        <v>1434</v>
      </c>
      <c r="FS211" s="2354">
        <v>1552</v>
      </c>
      <c r="FT211" s="2354">
        <v>1544</v>
      </c>
      <c r="FU211" s="2354">
        <v>4284</v>
      </c>
      <c r="FV211" s="2354">
        <v>1734</v>
      </c>
      <c r="FW211" s="2359">
        <f>SUM(FK211:FV211)</f>
        <v>16615</v>
      </c>
    </row>
    <row r="212" spans="10:180">
      <c r="J212" s="2393"/>
      <c r="K212" s="2393"/>
      <c r="DC212" s="2356" t="s">
        <v>4013</v>
      </c>
      <c r="DD212" s="2381" t="s">
        <v>4019</v>
      </c>
      <c r="DE212" s="2377"/>
      <c r="DF212" s="2376"/>
      <c r="DG212" s="2377"/>
      <c r="DH212" s="2376"/>
      <c r="DI212" s="2377"/>
      <c r="DJ212" s="2376"/>
      <c r="FK212" s="2354">
        <v>1160</v>
      </c>
      <c r="FL212" s="2354">
        <v>877</v>
      </c>
      <c r="FM212" s="2354">
        <v>1094</v>
      </c>
      <c r="FN212" s="2354">
        <v>972</v>
      </c>
      <c r="FO212" s="2354">
        <v>712</v>
      </c>
      <c r="FP212" s="2354">
        <v>644</v>
      </c>
      <c r="FQ212" s="2354">
        <v>783</v>
      </c>
      <c r="FR212" s="2354">
        <v>1344</v>
      </c>
      <c r="FS212" s="2354">
        <v>1502</v>
      </c>
      <c r="FT212" s="2354">
        <v>1219</v>
      </c>
      <c r="FU212" s="2354">
        <v>3881</v>
      </c>
      <c r="FV212" s="2354">
        <v>1654</v>
      </c>
      <c r="FW212" s="2359">
        <f>SUM(FK212:FV212)</f>
        <v>15842</v>
      </c>
    </row>
    <row r="213" spans="10:180">
      <c r="J213" s="2393"/>
      <c r="K213" s="2393"/>
      <c r="DC213" s="2375" t="s">
        <v>4020</v>
      </c>
      <c r="DD213" s="2374" t="s">
        <v>3986</v>
      </c>
      <c r="DE213" s="2373" t="s">
        <v>1665</v>
      </c>
      <c r="DF213" s="2373" t="s">
        <v>1666</v>
      </c>
      <c r="DG213" s="2373" t="s">
        <v>1665</v>
      </c>
      <c r="DH213" s="2371" t="s">
        <v>1666</v>
      </c>
      <c r="DI213" s="2372" t="s">
        <v>1665</v>
      </c>
      <c r="DJ213" s="2371" t="s">
        <v>1666</v>
      </c>
      <c r="FK213" s="2354">
        <v>778</v>
      </c>
      <c r="FL213" s="2354">
        <v>577</v>
      </c>
      <c r="FM213" s="2354">
        <v>855</v>
      </c>
      <c r="FN213" s="2354">
        <v>845</v>
      </c>
      <c r="FO213" s="2354">
        <v>630</v>
      </c>
      <c r="FP213" s="2354">
        <v>657</v>
      </c>
      <c r="FQ213" s="2354">
        <v>712</v>
      </c>
      <c r="FR213" s="2354">
        <v>1181</v>
      </c>
      <c r="FS213" s="2354">
        <v>1385</v>
      </c>
      <c r="FT213" s="2354">
        <v>1441</v>
      </c>
      <c r="FU213" s="2354">
        <v>5154</v>
      </c>
      <c r="FV213" s="2354">
        <v>1906</v>
      </c>
      <c r="FW213" s="2359">
        <f>SUM(FK213:FV213)</f>
        <v>16121</v>
      </c>
    </row>
    <row r="214" spans="10:180">
      <c r="J214" s="2393"/>
      <c r="K214" s="2393"/>
      <c r="DC214" s="2356" t="s">
        <v>3503</v>
      </c>
      <c r="DD214" s="2359">
        <f>SUM(DD215:DD233)</f>
        <v>372151</v>
      </c>
      <c r="DE214" s="2357">
        <f>SUM(DE215:DE233)</f>
        <v>14212</v>
      </c>
      <c r="DF214" s="2358">
        <f>DE214/DD214*100</f>
        <v>3.8188799707645558</v>
      </c>
      <c r="DG214" s="2357">
        <f>SUM(DG215:DG233)</f>
        <v>13903</v>
      </c>
      <c r="DH214" s="2358">
        <f>DG214/DD214*100</f>
        <v>3.7358491580030684</v>
      </c>
      <c r="DI214" s="2357">
        <f>SUM(DI215:DI233)</f>
        <v>13709</v>
      </c>
      <c r="DJ214" s="2358">
        <f>DI214/DD214*100</f>
        <v>3.6837197804117143</v>
      </c>
      <c r="FK214" s="2354">
        <v>775</v>
      </c>
      <c r="FL214" s="2354">
        <v>591</v>
      </c>
      <c r="FM214" s="2354">
        <v>947</v>
      </c>
      <c r="FN214" s="2354">
        <v>889</v>
      </c>
      <c r="FO214" s="2354">
        <v>637</v>
      </c>
      <c r="FP214" s="2354">
        <v>634</v>
      </c>
      <c r="FQ214" s="2354">
        <v>754</v>
      </c>
      <c r="FR214" s="2354">
        <v>1302</v>
      </c>
      <c r="FS214" s="2354">
        <v>1419</v>
      </c>
      <c r="FT214" s="2354">
        <v>1506</v>
      </c>
      <c r="FU214" s="2354">
        <v>3964</v>
      </c>
      <c r="FV214" s="2354">
        <v>1614</v>
      </c>
      <c r="FW214" s="2359">
        <f>SUM(FK214:FV214)</f>
        <v>15032</v>
      </c>
    </row>
    <row r="215" spans="10:180" ht="15">
      <c r="J215" s="2393"/>
      <c r="K215" s="2393"/>
      <c r="DC215" s="2360" t="s">
        <v>2384</v>
      </c>
      <c r="DD215" s="2392">
        <v>2641</v>
      </c>
      <c r="DE215" s="2357">
        <v>130</v>
      </c>
      <c r="DF215" s="2358">
        <f>DE215/DD215*100</f>
        <v>4.922377887163953</v>
      </c>
      <c r="DG215" s="2357">
        <v>80</v>
      </c>
      <c r="DH215" s="2358">
        <f>DG215/DD215*100</f>
        <v>3.0291556228701251</v>
      </c>
      <c r="DI215" s="2357">
        <v>66</v>
      </c>
      <c r="DJ215" s="2358">
        <f>DI215/DD215*100</f>
        <v>2.4990533888678534</v>
      </c>
      <c r="FK215" s="2354">
        <v>664</v>
      </c>
      <c r="FL215" s="2354">
        <v>588</v>
      </c>
      <c r="FM215" s="2354">
        <v>828</v>
      </c>
      <c r="FN215" s="2354">
        <v>818</v>
      </c>
      <c r="FO215" s="2354">
        <v>634</v>
      </c>
      <c r="FP215" s="2354">
        <v>607</v>
      </c>
      <c r="FQ215" s="2354">
        <v>686</v>
      </c>
      <c r="FR215" s="2354">
        <v>1162</v>
      </c>
      <c r="FS215" s="2354">
        <v>1201</v>
      </c>
      <c r="FT215" s="2354">
        <v>1146</v>
      </c>
      <c r="FU215" s="2354">
        <v>3015</v>
      </c>
      <c r="FV215" s="2354">
        <v>1332</v>
      </c>
      <c r="FW215" s="2359">
        <f>SUM(FK215:FV215)</f>
        <v>12681</v>
      </c>
    </row>
    <row r="216" spans="10:180" ht="15">
      <c r="J216" s="2393"/>
      <c r="K216" s="2393"/>
      <c r="DC216" s="2356" t="s">
        <v>2252</v>
      </c>
      <c r="DD216" s="2392">
        <v>6674</v>
      </c>
      <c r="DE216" s="2357">
        <v>257</v>
      </c>
      <c r="DF216" s="2358">
        <f>DE216/DD216*100</f>
        <v>3.8507641594246329</v>
      </c>
      <c r="DG216" s="2357">
        <v>262</v>
      </c>
      <c r="DH216" s="2358">
        <f>DG216/DD216*100</f>
        <v>3.9256817500749177</v>
      </c>
      <c r="DI216" s="2357">
        <v>259</v>
      </c>
      <c r="DJ216" s="2358">
        <f>DI216/DD216*100</f>
        <v>3.8807311956847466</v>
      </c>
      <c r="FK216" s="2354">
        <v>739</v>
      </c>
      <c r="FL216" s="2354">
        <v>533</v>
      </c>
      <c r="FM216" s="2354">
        <v>749</v>
      </c>
      <c r="FN216" s="2354">
        <v>731</v>
      </c>
      <c r="FO216" s="2354">
        <v>525</v>
      </c>
      <c r="FP216" s="2354">
        <v>466</v>
      </c>
      <c r="FQ216" s="2354">
        <v>612</v>
      </c>
      <c r="FR216" s="2354">
        <v>977</v>
      </c>
      <c r="FS216" s="2354">
        <v>1080</v>
      </c>
      <c r="FT216" s="2354">
        <v>1021</v>
      </c>
      <c r="FU216" s="2354">
        <v>3024</v>
      </c>
      <c r="FV216" s="2354">
        <v>1238</v>
      </c>
      <c r="FW216" s="2359">
        <f>SUM(FK216:FV216)</f>
        <v>11695</v>
      </c>
    </row>
    <row r="217" spans="10:180" ht="15">
      <c r="J217" s="2393"/>
      <c r="K217" s="2393"/>
      <c r="DC217" s="2356" t="s">
        <v>2195</v>
      </c>
      <c r="DD217" s="2392">
        <v>6029</v>
      </c>
      <c r="DE217" s="2357">
        <v>257</v>
      </c>
      <c r="DF217" s="2358">
        <f>DE217/DD217*100</f>
        <v>4.2627301376679378</v>
      </c>
      <c r="DG217" s="2357">
        <v>208</v>
      </c>
      <c r="DH217" s="2358">
        <f>DG217/DD217*100</f>
        <v>3.4499917067507049</v>
      </c>
      <c r="DI217" s="2357">
        <v>196</v>
      </c>
      <c r="DJ217" s="2358">
        <f>DI217/DD217*100</f>
        <v>3.2509537236689332</v>
      </c>
      <c r="FK217" s="2354">
        <v>580</v>
      </c>
      <c r="FL217" s="2354">
        <v>492</v>
      </c>
      <c r="FM217" s="2354">
        <v>869</v>
      </c>
      <c r="FN217" s="2354">
        <v>762</v>
      </c>
      <c r="FO217" s="2354">
        <v>619</v>
      </c>
      <c r="FP217" s="2354">
        <v>444</v>
      </c>
      <c r="FQ217" s="2354">
        <v>654</v>
      </c>
      <c r="FR217" s="2354">
        <v>1092</v>
      </c>
      <c r="FS217" s="2354">
        <v>1069</v>
      </c>
      <c r="FT217" s="2354">
        <v>902</v>
      </c>
      <c r="FU217" s="2354">
        <v>2697</v>
      </c>
      <c r="FV217" s="2354">
        <v>1053</v>
      </c>
      <c r="FW217" s="2359">
        <f>SUM(FK217:FV217)</f>
        <v>11233</v>
      </c>
    </row>
    <row r="218" spans="10:180" ht="15">
      <c r="J218" s="2393"/>
      <c r="K218" s="2393"/>
      <c r="DC218" s="2356" t="s">
        <v>4042</v>
      </c>
      <c r="DD218" s="2391">
        <v>15094</v>
      </c>
      <c r="DE218" s="2357">
        <v>555</v>
      </c>
      <c r="DF218" s="2358">
        <f>DE218/DD218*100</f>
        <v>3.6769577315489599</v>
      </c>
      <c r="DG218" s="2357">
        <v>567</v>
      </c>
      <c r="DH218" s="2358">
        <f>DG218/DD218*100</f>
        <v>3.7564595203392073</v>
      </c>
      <c r="DI218" s="2357">
        <v>547</v>
      </c>
      <c r="DJ218" s="2358">
        <f>DI218/DD218*100</f>
        <v>3.623956539022128</v>
      </c>
      <c r="FK218" s="2354">
        <v>608</v>
      </c>
      <c r="FL218" s="2354">
        <v>496</v>
      </c>
      <c r="FM218" s="2354">
        <v>684</v>
      </c>
      <c r="FN218" s="2354">
        <v>833</v>
      </c>
      <c r="FO218" s="2354">
        <v>411</v>
      </c>
      <c r="FP218" s="2354">
        <v>379</v>
      </c>
      <c r="FQ218" s="2354">
        <v>519</v>
      </c>
      <c r="FR218" s="2354">
        <v>942</v>
      </c>
      <c r="FS218" s="2354">
        <v>950</v>
      </c>
      <c r="FT218" s="2354">
        <v>905</v>
      </c>
      <c r="FU218" s="2354">
        <v>3238</v>
      </c>
      <c r="FV218" s="2354">
        <v>1220</v>
      </c>
      <c r="FW218" s="2359">
        <f>SUM(FK218:FV218)</f>
        <v>11185</v>
      </c>
    </row>
    <row r="219" spans="10:180" ht="15">
      <c r="J219" s="2393"/>
      <c r="K219" s="2393"/>
      <c r="DC219" s="2356" t="s">
        <v>4045</v>
      </c>
      <c r="DD219" s="2391">
        <v>13062</v>
      </c>
      <c r="DE219" s="2357">
        <v>515</v>
      </c>
      <c r="DF219" s="2358">
        <f>DE219/DD219*100</f>
        <v>3.942734650130149</v>
      </c>
      <c r="DG219" s="2357">
        <v>516</v>
      </c>
      <c r="DH219" s="2358">
        <f>DG219/DD219*100</f>
        <v>3.9503904455672942</v>
      </c>
      <c r="DI219" s="2357">
        <v>499</v>
      </c>
      <c r="DJ219" s="2358">
        <f>DI219/DD219*100</f>
        <v>3.8202419231358133</v>
      </c>
      <c r="FK219" s="2354">
        <v>760</v>
      </c>
      <c r="FL219" s="2354">
        <v>449</v>
      </c>
      <c r="FM219" s="2354">
        <v>599</v>
      </c>
      <c r="FN219" s="2354">
        <v>645</v>
      </c>
      <c r="FO219" s="2354">
        <v>442</v>
      </c>
      <c r="FP219" s="2354">
        <v>404</v>
      </c>
      <c r="FQ219" s="2354">
        <v>614</v>
      </c>
      <c r="FR219" s="2354">
        <v>868</v>
      </c>
      <c r="FS219" s="2354">
        <v>987</v>
      </c>
      <c r="FT219" s="2354">
        <v>854</v>
      </c>
      <c r="FU219" s="2354">
        <v>2902</v>
      </c>
      <c r="FV219" s="2354">
        <v>1443</v>
      </c>
      <c r="FW219" s="2359">
        <f>SUM(FK219:FV219)</f>
        <v>10967</v>
      </c>
    </row>
    <row r="220" spans="10:180" ht="15">
      <c r="J220" s="2393"/>
      <c r="K220" s="2393"/>
      <c r="DC220" s="2356" t="s">
        <v>4048</v>
      </c>
      <c r="DD220" s="2391">
        <v>3675</v>
      </c>
      <c r="DE220" s="2357">
        <v>123</v>
      </c>
      <c r="DF220" s="2358">
        <f>DE220/DD220*100</f>
        <v>3.3469387755102038</v>
      </c>
      <c r="DG220" s="2357">
        <v>282</v>
      </c>
      <c r="DH220" s="2358">
        <f>DG220/DD220*100</f>
        <v>7.6734693877551026</v>
      </c>
      <c r="DI220" s="2357">
        <v>120</v>
      </c>
      <c r="DJ220" s="2358">
        <f>DI220/DD220*100</f>
        <v>3.2653061224489797</v>
      </c>
      <c r="FK220" s="2354">
        <v>655</v>
      </c>
      <c r="FL220" s="2354">
        <v>557</v>
      </c>
      <c r="FM220" s="2354">
        <v>669</v>
      </c>
      <c r="FN220" s="2354">
        <v>614</v>
      </c>
      <c r="FO220" s="2354">
        <v>500</v>
      </c>
      <c r="FP220" s="2354">
        <v>455</v>
      </c>
      <c r="FQ220" s="2354">
        <v>515</v>
      </c>
      <c r="FR220" s="2354">
        <v>832</v>
      </c>
      <c r="FS220" s="2354">
        <v>992</v>
      </c>
      <c r="FT220" s="2354">
        <v>781</v>
      </c>
      <c r="FU220" s="2354">
        <v>2844</v>
      </c>
      <c r="FV220" s="2354">
        <v>1087</v>
      </c>
      <c r="FW220" s="2359">
        <f>SUM(FK220:FV220)</f>
        <v>10501</v>
      </c>
    </row>
    <row r="221" spans="10:180" ht="15">
      <c r="J221" s="2394"/>
      <c r="K221" s="2394"/>
      <c r="DC221" s="2356" t="s">
        <v>2151</v>
      </c>
      <c r="DD221" s="2391">
        <v>7493</v>
      </c>
      <c r="DE221" s="2357">
        <v>244</v>
      </c>
      <c r="DF221" s="2358">
        <f>DE221/DD221*100</f>
        <v>3.2563726144401444</v>
      </c>
      <c r="DG221" s="2357">
        <v>379</v>
      </c>
      <c r="DH221" s="2358">
        <f>DG221/DD221*100</f>
        <v>5.0580541839049777</v>
      </c>
      <c r="DI221" s="2357">
        <v>297</v>
      </c>
      <c r="DJ221" s="2358">
        <f>DI221/DD221*100</f>
        <v>3.9636994528226346</v>
      </c>
      <c r="FK221" s="2354">
        <f>SUM(FK191:FK220)</f>
        <v>21857</v>
      </c>
      <c r="FL221" s="2354">
        <f>SUM(FL191:FL220)</f>
        <v>18567</v>
      </c>
      <c r="FM221" s="2354">
        <f>SUM(FM191:FM220)</f>
        <v>28752</v>
      </c>
      <c r="FN221" s="2354">
        <f>SUM(FN191:FN220)</f>
        <v>25650</v>
      </c>
      <c r="FO221" s="2354">
        <f>SUM(FO191:FO220)</f>
        <v>19640</v>
      </c>
      <c r="FP221" s="2354">
        <f>SUM(FP191:FP220)</f>
        <v>16744</v>
      </c>
      <c r="FQ221" s="2354">
        <f>SUM(FQ191:FQ220)</f>
        <v>23138</v>
      </c>
      <c r="FR221" s="2354">
        <f>SUM(FR191:FR220)</f>
        <v>38291</v>
      </c>
      <c r="FS221" s="2354">
        <f>SUM(FS191:FS220)</f>
        <v>39726</v>
      </c>
      <c r="FT221" s="2354">
        <f>SUM(FT191:FT220)</f>
        <v>42268</v>
      </c>
      <c r="FU221" s="2354">
        <f>SUM(FU191:FU220)</f>
        <v>115557</v>
      </c>
      <c r="FV221" s="2354">
        <f>SUM(FV191:FV220)</f>
        <v>46893</v>
      </c>
      <c r="FW221" s="2359">
        <f>SUM(FK221:FV221)</f>
        <v>437083</v>
      </c>
      <c r="FX221" s="2359"/>
    </row>
    <row r="222" spans="10:180" ht="15">
      <c r="J222" s="2393"/>
      <c r="K222" s="2393"/>
      <c r="DC222" s="2356" t="s">
        <v>4052</v>
      </c>
      <c r="DD222" s="2391">
        <v>12842</v>
      </c>
      <c r="DE222" s="2357">
        <v>516</v>
      </c>
      <c r="DF222" s="2358">
        <f>DE222/DD222*100</f>
        <v>4.0180657218501787</v>
      </c>
      <c r="DG222" s="2357">
        <v>617</v>
      </c>
      <c r="DH222" s="2358">
        <f>DG222/DD222*100</f>
        <v>4.8045475782588376</v>
      </c>
      <c r="DI222" s="2357">
        <v>500</v>
      </c>
      <c r="DJ222" s="2358">
        <f>DI222/DD222*100</f>
        <v>3.8934745366765298</v>
      </c>
    </row>
    <row r="223" spans="10:180" ht="15">
      <c r="J223" s="2393"/>
      <c r="K223" s="2393"/>
      <c r="DC223" s="2356" t="s">
        <v>4056</v>
      </c>
      <c r="DD223" s="2391">
        <v>13576</v>
      </c>
      <c r="DE223" s="2357">
        <v>572</v>
      </c>
      <c r="DF223" s="2358">
        <f>DE223/DD223*100</f>
        <v>4.213317619328226</v>
      </c>
      <c r="DG223" s="2357">
        <v>595</v>
      </c>
      <c r="DH223" s="2358">
        <f>DG223/DD223*100</f>
        <v>4.3827342368886271</v>
      </c>
      <c r="DI223" s="2357">
        <v>475</v>
      </c>
      <c r="DJ223" s="2358">
        <f>DI223/DD223*100</f>
        <v>3.4988214496169712</v>
      </c>
    </row>
    <row r="224" spans="10:180" ht="15">
      <c r="DC224" s="2356" t="s">
        <v>2209</v>
      </c>
      <c r="DD224" s="2391">
        <v>21041</v>
      </c>
      <c r="DE224" s="2357">
        <v>807</v>
      </c>
      <c r="DF224" s="2358">
        <f>DE224/DD224*100</f>
        <v>3.8353690413953707</v>
      </c>
      <c r="DG224" s="2357">
        <v>873</v>
      </c>
      <c r="DH224" s="2358">
        <f>DG224/DD224*100</f>
        <v>4.1490423458961079</v>
      </c>
      <c r="DI224" s="2357">
        <v>743</v>
      </c>
      <c r="DJ224" s="2358">
        <f>DI224/DD224*100</f>
        <v>3.5312009885461717</v>
      </c>
    </row>
    <row r="225" spans="107:114" ht="15">
      <c r="DC225" s="2356" t="s">
        <v>2352</v>
      </c>
      <c r="DD225" s="2391">
        <v>20781</v>
      </c>
      <c r="DE225" s="2357">
        <v>895</v>
      </c>
      <c r="DF225" s="2358">
        <f>DE225/DD225*100</f>
        <v>4.30681872864636</v>
      </c>
      <c r="DG225" s="2357">
        <v>818</v>
      </c>
      <c r="DH225" s="2358">
        <f>DG225/DD225*100</f>
        <v>3.9362879553438237</v>
      </c>
      <c r="DI225" s="2357">
        <v>732</v>
      </c>
      <c r="DJ225" s="2358">
        <f>DI225/DD225*100</f>
        <v>3.5224483903565758</v>
      </c>
    </row>
    <row r="226" spans="107:114" ht="15">
      <c r="DC226" s="2356" t="s">
        <v>2261</v>
      </c>
      <c r="DD226" s="2391">
        <v>13233</v>
      </c>
      <c r="DE226" s="2357">
        <v>510</v>
      </c>
      <c r="DF226" s="2358">
        <f>DE226/DD226*100</f>
        <v>3.8540013602357743</v>
      </c>
      <c r="DG226" s="2357">
        <v>496</v>
      </c>
      <c r="DH226" s="2358">
        <f>DG226/DD226*100</f>
        <v>3.7482052444645961</v>
      </c>
      <c r="DI226" s="2357">
        <v>481</v>
      </c>
      <c r="DJ226" s="2358">
        <f>DI226/DD226*100</f>
        <v>3.634852263281191</v>
      </c>
    </row>
    <row r="227" spans="107:114" ht="15">
      <c r="DC227" s="2356" t="s">
        <v>2251</v>
      </c>
      <c r="DD227" s="2391">
        <v>11678</v>
      </c>
      <c r="DE227" s="2357">
        <v>458</v>
      </c>
      <c r="DF227" s="2358">
        <f>DE227/DD227*100</f>
        <v>3.9219044356910433</v>
      </c>
      <c r="DG227" s="2357">
        <v>427</v>
      </c>
      <c r="DH227" s="2358">
        <f>DG227/DD227*100</f>
        <v>3.656448021921562</v>
      </c>
      <c r="DI227" s="2357">
        <v>413</v>
      </c>
      <c r="DJ227" s="2358">
        <f>DI227/DD227*100</f>
        <v>3.5365644802192153</v>
      </c>
    </row>
    <row r="228" spans="107:114" ht="15">
      <c r="DC228" s="2356" t="s">
        <v>2260</v>
      </c>
      <c r="DD228" s="2391">
        <v>15424</v>
      </c>
      <c r="DE228" s="2357">
        <v>638</v>
      </c>
      <c r="DF228" s="2358">
        <f>DE228/DD228*100</f>
        <v>4.1364107883817427</v>
      </c>
      <c r="DG228" s="2357">
        <v>524</v>
      </c>
      <c r="DH228" s="2358">
        <f>DG228/DD228*100</f>
        <v>3.3973029045643153</v>
      </c>
      <c r="DI228" s="2357">
        <v>595</v>
      </c>
      <c r="DJ228" s="2358">
        <f>DI228/DD228*100</f>
        <v>3.8576244813278011</v>
      </c>
    </row>
    <row r="229" spans="107:114" ht="15">
      <c r="DC229" s="2356" t="s">
        <v>2253</v>
      </c>
      <c r="DD229" s="2391">
        <v>26601</v>
      </c>
      <c r="DE229" s="2357">
        <v>1033</v>
      </c>
      <c r="DF229" s="2358">
        <f>DE229/DD229*100</f>
        <v>3.8833126574188941</v>
      </c>
      <c r="DG229" s="2357">
        <v>1010</v>
      </c>
      <c r="DH229" s="2358">
        <f>DG229/DD229*100</f>
        <v>3.7968497424908842</v>
      </c>
      <c r="DI229" s="2357">
        <v>952</v>
      </c>
      <c r="DJ229" s="2358">
        <f>DI229/DD229*100</f>
        <v>3.5788128265854668</v>
      </c>
    </row>
    <row r="230" spans="107:114" ht="15">
      <c r="DC230" s="2356" t="s">
        <v>2185</v>
      </c>
      <c r="DD230" s="2391">
        <v>32594</v>
      </c>
      <c r="DE230" s="2357">
        <v>1271</v>
      </c>
      <c r="DF230" s="2358">
        <f>DE230/DD230*100</f>
        <v>3.8994907038105175</v>
      </c>
      <c r="DG230" s="2357">
        <v>1171</v>
      </c>
      <c r="DH230" s="2358">
        <f>DG230/DD230*100</f>
        <v>3.5926857703871877</v>
      </c>
      <c r="DI230" s="2357">
        <v>1205</v>
      </c>
      <c r="DJ230" s="2358">
        <f>DI230/DD230*100</f>
        <v>3.6969994477511197</v>
      </c>
    </row>
    <row r="231" spans="107:114" ht="15">
      <c r="DC231" s="2356" t="s">
        <v>2202</v>
      </c>
      <c r="DD231" s="2391">
        <v>29326</v>
      </c>
      <c r="DE231" s="2357">
        <v>1215</v>
      </c>
      <c r="DF231" s="2358">
        <f>DE231/DD231*100</f>
        <v>4.1430812248516675</v>
      </c>
      <c r="DG231" s="2357">
        <v>850</v>
      </c>
      <c r="DH231" s="2358">
        <f>DG231/DD231*100</f>
        <v>2.8984518856986976</v>
      </c>
      <c r="DI231" s="2357">
        <v>981</v>
      </c>
      <c r="DJ231" s="2358">
        <f>DI231/DD231*100</f>
        <v>3.3451544704357907</v>
      </c>
    </row>
    <row r="232" spans="107:114" ht="15">
      <c r="DC232" s="2356" t="s">
        <v>2177</v>
      </c>
      <c r="DD232" s="2391">
        <v>81164</v>
      </c>
      <c r="DE232" s="2357">
        <v>2828</v>
      </c>
      <c r="DF232" s="2358">
        <f>DE232/DD232*100</f>
        <v>3.4843033857375194</v>
      </c>
      <c r="DG232" s="2357">
        <v>2659</v>
      </c>
      <c r="DH232" s="2358">
        <f>DG232/DD232*100</f>
        <v>3.2760829924597115</v>
      </c>
      <c r="DI232" s="2357">
        <v>3103</v>
      </c>
      <c r="DJ232" s="2358">
        <f>DI232/DD232*100</f>
        <v>3.8231235523138341</v>
      </c>
    </row>
    <row r="233" spans="107:114" ht="15">
      <c r="DC233" s="2368" t="s">
        <v>2208</v>
      </c>
      <c r="DD233" s="2390">
        <v>39223</v>
      </c>
      <c r="DE233" s="2366">
        <v>1388</v>
      </c>
      <c r="DF233" s="2365">
        <f>DE233/DD233*100</f>
        <v>3.5387400249853402</v>
      </c>
      <c r="DG233" s="2366">
        <v>1569</v>
      </c>
      <c r="DH233" s="2365">
        <f>DG233/DD233*100</f>
        <v>4.0002039619610938</v>
      </c>
      <c r="DI233" s="2366">
        <v>1545</v>
      </c>
      <c r="DJ233" s="2365">
        <f>DI233/DD233*100</f>
        <v>3.9390153736328175</v>
      </c>
    </row>
    <row r="234" spans="107:114">
      <c r="DC234" s="2356" t="s">
        <v>4069</v>
      </c>
      <c r="DD234" s="2356"/>
      <c r="DE234" s="2356"/>
      <c r="DF234" s="2356"/>
      <c r="DG234" s="2356"/>
      <c r="DH234" s="2358"/>
      <c r="DI234" s="2356"/>
      <c r="DJ234" s="2356"/>
    </row>
    <row r="235" spans="107:114">
      <c r="DC235" s="2356" t="s">
        <v>4076</v>
      </c>
      <c r="DD235" s="2356"/>
      <c r="DE235" s="2356"/>
      <c r="DF235" s="2356"/>
      <c r="DG235" s="2357" t="s">
        <v>3348</v>
      </c>
      <c r="DH235" s="2356"/>
      <c r="DI235" s="2357" t="s">
        <v>3348</v>
      </c>
      <c r="DJ235" s="2356"/>
    </row>
    <row r="236" spans="107:114">
      <c r="DC236" s="2356" t="s">
        <v>4078</v>
      </c>
      <c r="DD236" s="2356"/>
      <c r="DE236" s="2356"/>
      <c r="DF236" s="2356"/>
      <c r="DG236" s="2356"/>
      <c r="DH236" s="2356"/>
      <c r="DI236" s="2356"/>
      <c r="DJ236" s="2356"/>
    </row>
    <row r="240" spans="107:114">
      <c r="DC240" s="2368" t="s">
        <v>4172</v>
      </c>
      <c r="DD240" s="2368"/>
      <c r="DE240" s="2356"/>
      <c r="DF240" s="2356"/>
      <c r="DG240" s="2356"/>
      <c r="DH240" s="2356"/>
      <c r="DI240" s="2368"/>
      <c r="DJ240" s="2368"/>
    </row>
    <row r="241" spans="107:114">
      <c r="DC241" s="2387"/>
      <c r="DD241" s="2386"/>
      <c r="DE241" s="2383" t="s">
        <v>4173</v>
      </c>
      <c r="DF241" s="2385"/>
      <c r="DG241" s="2383" t="s">
        <v>4174</v>
      </c>
      <c r="DH241" s="2385"/>
      <c r="DI241" s="2383" t="s">
        <v>4162</v>
      </c>
      <c r="DJ241" s="2382"/>
    </row>
    <row r="242" spans="107:114">
      <c r="DC242" s="2356" t="s">
        <v>4013</v>
      </c>
      <c r="DD242" s="2381" t="s">
        <v>4019</v>
      </c>
      <c r="DE242" s="2377"/>
      <c r="DF242" s="2380"/>
      <c r="DG242" s="2377"/>
      <c r="DH242" s="2380"/>
      <c r="DI242" s="2377"/>
      <c r="DJ242" s="2376"/>
    </row>
    <row r="243" spans="107:114">
      <c r="DC243" s="2375" t="s">
        <v>4020</v>
      </c>
      <c r="DD243" s="2374" t="s">
        <v>3986</v>
      </c>
      <c r="DE243" s="2373" t="s">
        <v>1665</v>
      </c>
      <c r="DF243" s="2373" t="s">
        <v>1666</v>
      </c>
      <c r="DG243" s="2373" t="s">
        <v>1665</v>
      </c>
      <c r="DH243" s="2371" t="s">
        <v>1666</v>
      </c>
      <c r="DI243" s="2372" t="s">
        <v>1665</v>
      </c>
      <c r="DJ243" s="2371" t="s">
        <v>1666</v>
      </c>
    </row>
    <row r="244" spans="107:114">
      <c r="DC244" s="2356" t="s">
        <v>3503</v>
      </c>
      <c r="DD244" s="2359">
        <f>SUM(DD245:DD263)</f>
        <v>372151</v>
      </c>
      <c r="DE244" s="2357">
        <f>SUM(DE245:DE263)</f>
        <v>13434</v>
      </c>
      <c r="DF244" s="2358">
        <f>DE244/DD244*100</f>
        <v>3.6098250441353104</v>
      </c>
      <c r="DG244" s="2357">
        <f>SUM(DG245:DG263)</f>
        <v>12919</v>
      </c>
      <c r="DH244" s="2358">
        <f>DG244/DD244*100</f>
        <v>3.4714403561994995</v>
      </c>
      <c r="DI244" s="2357">
        <f>SUM(DI245:DI263)</f>
        <v>12492</v>
      </c>
      <c r="DJ244" s="2358">
        <f>DI244/DD244*100</f>
        <v>3.3567019838721381</v>
      </c>
    </row>
    <row r="245" spans="107:114" ht="15">
      <c r="DC245" s="2360" t="s">
        <v>2384</v>
      </c>
      <c r="DD245" s="2392">
        <v>2641</v>
      </c>
      <c r="DE245" s="2357">
        <v>116</v>
      </c>
      <c r="DF245" s="2358">
        <f>DE245/DD245*100</f>
        <v>4.3922756531616809</v>
      </c>
      <c r="DG245" s="2357">
        <v>63</v>
      </c>
      <c r="DH245" s="2358">
        <f>DG245/DD245*100</f>
        <v>2.3854600530102235</v>
      </c>
      <c r="DI245" s="2357">
        <v>85</v>
      </c>
      <c r="DJ245" s="2358">
        <f>DI245/DD245*100</f>
        <v>3.2184778492995081</v>
      </c>
    </row>
    <row r="246" spans="107:114" ht="15">
      <c r="DC246" s="2356" t="s">
        <v>2252</v>
      </c>
      <c r="DD246" s="2392">
        <v>6674</v>
      </c>
      <c r="DE246" s="2357">
        <v>215</v>
      </c>
      <c r="DF246" s="2358">
        <f>DE246/DD246*100</f>
        <v>3.2214563979622413</v>
      </c>
      <c r="DG246" s="2357">
        <v>250</v>
      </c>
      <c r="DH246" s="2358">
        <f>DG246/DD246*100</f>
        <v>3.7458795325142349</v>
      </c>
      <c r="DI246" s="2357">
        <v>183</v>
      </c>
      <c r="DJ246" s="2358">
        <f>DI246/DD246*100</f>
        <v>2.7419838178004197</v>
      </c>
    </row>
    <row r="247" spans="107:114" ht="15">
      <c r="DC247" s="2356" t="s">
        <v>2195</v>
      </c>
      <c r="DD247" s="2392">
        <v>6029</v>
      </c>
      <c r="DE247" s="2357">
        <v>229</v>
      </c>
      <c r="DF247" s="2358">
        <f>DE247/DD247*100</f>
        <v>3.7983081771438045</v>
      </c>
      <c r="DG247" s="2357">
        <v>191</v>
      </c>
      <c r="DH247" s="2358">
        <f>DG247/DD247*100</f>
        <v>3.1680212307181952</v>
      </c>
      <c r="DI247" s="2357">
        <v>196</v>
      </c>
      <c r="DJ247" s="2358">
        <f>DI247/DD247*100</f>
        <v>3.2509537236689332</v>
      </c>
    </row>
    <row r="248" spans="107:114" ht="15">
      <c r="DC248" s="2356" t="s">
        <v>4042</v>
      </c>
      <c r="DD248" s="2391">
        <v>15094</v>
      </c>
      <c r="DE248" s="2357">
        <v>511</v>
      </c>
      <c r="DF248" s="2358">
        <f>DE248/DD248*100</f>
        <v>3.3854511726513845</v>
      </c>
      <c r="DG248" s="2357">
        <v>863</v>
      </c>
      <c r="DH248" s="2358">
        <f>DG248/DD248*100</f>
        <v>5.7175036438319866</v>
      </c>
      <c r="DI248" s="2357">
        <v>537</v>
      </c>
      <c r="DJ248" s="2358">
        <f>DI248/DD248*100</f>
        <v>3.5577050483635881</v>
      </c>
    </row>
    <row r="249" spans="107:114" ht="15">
      <c r="DC249" s="2356" t="s">
        <v>4045</v>
      </c>
      <c r="DD249" s="2391">
        <v>13062</v>
      </c>
      <c r="DE249" s="2357">
        <v>434</v>
      </c>
      <c r="DF249" s="2358">
        <f>DE249/DD249*100</f>
        <v>3.322615219721329</v>
      </c>
      <c r="DG249" s="2357">
        <v>688</v>
      </c>
      <c r="DH249" s="2358">
        <f>DG249/DD249*100</f>
        <v>5.2671872607563923</v>
      </c>
      <c r="DI249" s="2357">
        <v>417</v>
      </c>
      <c r="DJ249" s="2358">
        <f>DI249/DD249*100</f>
        <v>3.1924666972898481</v>
      </c>
    </row>
    <row r="250" spans="107:114" ht="15">
      <c r="DC250" s="2356" t="s">
        <v>4048</v>
      </c>
      <c r="DD250" s="2391">
        <v>3675</v>
      </c>
      <c r="DE250" s="2357">
        <v>123</v>
      </c>
      <c r="DF250" s="2358">
        <f>DE250/DD250*100</f>
        <v>3.3469387755102038</v>
      </c>
      <c r="DG250" s="2357">
        <v>184</v>
      </c>
      <c r="DH250" s="2358">
        <f>DG250/DD250*100</f>
        <v>5.0068027210884356</v>
      </c>
      <c r="DI250" s="2357">
        <v>106</v>
      </c>
      <c r="DJ250" s="2358">
        <f>DI250/DD250*100</f>
        <v>2.8843537414965987</v>
      </c>
    </row>
    <row r="251" spans="107:114" ht="15">
      <c r="DC251" s="2356" t="s">
        <v>2151</v>
      </c>
      <c r="DD251" s="2391">
        <v>7493</v>
      </c>
      <c r="DE251" s="2357">
        <v>246</v>
      </c>
      <c r="DF251" s="2358">
        <f>DE251/DD251*100</f>
        <v>3.2830641932470304</v>
      </c>
      <c r="DG251" s="2357">
        <v>360</v>
      </c>
      <c r="DH251" s="2358">
        <f>DG251/DD251*100</f>
        <v>4.8044841852395566</v>
      </c>
      <c r="DI251" s="2357">
        <v>237</v>
      </c>
      <c r="DJ251" s="2358">
        <f>DI251/DD251*100</f>
        <v>3.1629520886160418</v>
      </c>
    </row>
    <row r="252" spans="107:114" ht="15">
      <c r="DC252" s="2356" t="s">
        <v>4052</v>
      </c>
      <c r="DD252" s="2391">
        <v>12842</v>
      </c>
      <c r="DE252" s="2357">
        <v>432</v>
      </c>
      <c r="DF252" s="2358">
        <f>DE252/DD252*100</f>
        <v>3.3639619996885224</v>
      </c>
      <c r="DG252" s="2357">
        <v>578</v>
      </c>
      <c r="DH252" s="2358">
        <f>DG252/DD252*100</f>
        <v>4.5008565643980685</v>
      </c>
      <c r="DI252" s="2357">
        <v>470</v>
      </c>
      <c r="DJ252" s="2358">
        <f>DI252/DD252*100</f>
        <v>3.6598660644759384</v>
      </c>
    </row>
    <row r="253" spans="107:114" ht="15">
      <c r="DC253" s="2356" t="s">
        <v>4056</v>
      </c>
      <c r="DD253" s="2391">
        <v>13576</v>
      </c>
      <c r="DE253" s="2357">
        <v>448</v>
      </c>
      <c r="DF253" s="2358">
        <f>DE253/DD253*100</f>
        <v>3.2999410724808484</v>
      </c>
      <c r="DG253" s="2357">
        <v>490</v>
      </c>
      <c r="DH253" s="2358">
        <f>DG253/DD253*100</f>
        <v>3.6093105480259284</v>
      </c>
      <c r="DI253" s="2357">
        <v>454</v>
      </c>
      <c r="DJ253" s="2358">
        <f>DI253/DD253*100</f>
        <v>3.3441367118444316</v>
      </c>
    </row>
    <row r="254" spans="107:114" ht="15">
      <c r="DC254" s="2356" t="s">
        <v>2209</v>
      </c>
      <c r="DD254" s="2391">
        <v>21041</v>
      </c>
      <c r="DE254" s="2357">
        <v>718</v>
      </c>
      <c r="DF254" s="2358">
        <f>DE254/DD254*100</f>
        <v>3.4123853429019531</v>
      </c>
      <c r="DG254" s="2357">
        <v>697</v>
      </c>
      <c r="DH254" s="2358">
        <f>DG254/DD254*100</f>
        <v>3.3125802005608098</v>
      </c>
      <c r="DI254" s="2357">
        <v>654</v>
      </c>
      <c r="DJ254" s="2358">
        <f>DI254/DD254*100</f>
        <v>3.1082172900527545</v>
      </c>
    </row>
    <row r="255" spans="107:114" ht="15">
      <c r="DC255" s="2356" t="s">
        <v>2352</v>
      </c>
      <c r="DD255" s="2391">
        <v>20781</v>
      </c>
      <c r="DE255" s="2357">
        <v>764</v>
      </c>
      <c r="DF255" s="2358">
        <f>DE255/DD255*100</f>
        <v>3.6764352052355518</v>
      </c>
      <c r="DG255" s="2357">
        <v>645</v>
      </c>
      <c r="DH255" s="2358">
        <f>DG255/DD255*100</f>
        <v>3.1037967374043598</v>
      </c>
      <c r="DI255" s="2357">
        <v>687</v>
      </c>
      <c r="DJ255" s="2358">
        <f>DI255/DD255*100</f>
        <v>3.3059044319330155</v>
      </c>
    </row>
    <row r="256" spans="107:114" ht="15">
      <c r="DC256" s="2356" t="s">
        <v>2261</v>
      </c>
      <c r="DD256" s="2391">
        <v>13233</v>
      </c>
      <c r="DE256" s="2357">
        <v>487</v>
      </c>
      <c r="DF256" s="2358">
        <f>DE256/DD256*100</f>
        <v>3.6801934557545533</v>
      </c>
      <c r="DG256" s="2357">
        <v>436</v>
      </c>
      <c r="DH256" s="2358">
        <f>DG256/DD256*100</f>
        <v>3.2947933197309758</v>
      </c>
      <c r="DI256" s="2357">
        <v>405</v>
      </c>
      <c r="DJ256" s="2358">
        <f>DI256/DD256*100</f>
        <v>3.0605304919519383</v>
      </c>
    </row>
    <row r="257" spans="107:114" ht="15">
      <c r="DC257" s="2356" t="s">
        <v>2251</v>
      </c>
      <c r="DD257" s="2391">
        <v>11678</v>
      </c>
      <c r="DE257" s="2357">
        <v>426</v>
      </c>
      <c r="DF257" s="2358">
        <f>DE257/DD257*100</f>
        <v>3.6478849117999661</v>
      </c>
      <c r="DG257" s="2357">
        <v>359</v>
      </c>
      <c r="DH257" s="2358">
        <f>DG257/DD257*100</f>
        <v>3.074156533653023</v>
      </c>
      <c r="DI257" s="2357">
        <v>362</v>
      </c>
      <c r="DJ257" s="2358">
        <f>DI257/DD257*100</f>
        <v>3.0998458640178113</v>
      </c>
    </row>
    <row r="258" spans="107:114" ht="15">
      <c r="DC258" s="2356" t="s">
        <v>2260</v>
      </c>
      <c r="DD258" s="2391">
        <v>15424</v>
      </c>
      <c r="DE258" s="2357">
        <v>621</v>
      </c>
      <c r="DF258" s="2358">
        <f>DE258/DD258*100</f>
        <v>4.0261929460580914</v>
      </c>
      <c r="DG258" s="2357">
        <v>415</v>
      </c>
      <c r="DH258" s="2358">
        <f>DG258/DD258*100</f>
        <v>2.6906120331950207</v>
      </c>
      <c r="DI258" s="2357">
        <v>551</v>
      </c>
      <c r="DJ258" s="2358">
        <f>DI258/DD258*100</f>
        <v>3.5723547717842323</v>
      </c>
    </row>
    <row r="259" spans="107:114" ht="15">
      <c r="DC259" s="2356" t="s">
        <v>2253</v>
      </c>
      <c r="DD259" s="2391">
        <v>26601</v>
      </c>
      <c r="DE259" s="2357">
        <v>1040</v>
      </c>
      <c r="DF259" s="2358">
        <f>DE259/DD259*100</f>
        <v>3.9096274576143752</v>
      </c>
      <c r="DG259" s="2357">
        <v>853</v>
      </c>
      <c r="DH259" s="2358">
        <f>DG259/DD259*100</f>
        <v>3.2066463666779446</v>
      </c>
      <c r="DI259" s="2357">
        <v>900</v>
      </c>
      <c r="DJ259" s="2358">
        <f>DI259/DD259*100</f>
        <v>3.3833314537047481</v>
      </c>
    </row>
    <row r="260" spans="107:114" ht="15">
      <c r="DC260" s="2356" t="s">
        <v>2185</v>
      </c>
      <c r="DD260" s="2391">
        <v>32594</v>
      </c>
      <c r="DE260" s="2357">
        <v>1196</v>
      </c>
      <c r="DF260" s="2358">
        <f>DE260/DD260*100</f>
        <v>3.6693870037430201</v>
      </c>
      <c r="DG260" s="2357">
        <v>1031</v>
      </c>
      <c r="DH260" s="2358">
        <f>DG260/DD260*100</f>
        <v>3.1631588635945262</v>
      </c>
      <c r="DI260" s="2357">
        <v>1149</v>
      </c>
      <c r="DJ260" s="2358">
        <f>DI260/DD260*100</f>
        <v>3.5251886850340552</v>
      </c>
    </row>
    <row r="261" spans="107:114" ht="15">
      <c r="DC261" s="2356" t="s">
        <v>2202</v>
      </c>
      <c r="DD261" s="2391">
        <v>29326</v>
      </c>
      <c r="DE261" s="2357">
        <v>1245</v>
      </c>
      <c r="DF261" s="2358">
        <f>DE261/DD261*100</f>
        <v>4.2453795266998569</v>
      </c>
      <c r="DG261" s="2357">
        <v>811</v>
      </c>
      <c r="DH261" s="2358">
        <f>DG261/DD261*100</f>
        <v>2.765464093296051</v>
      </c>
      <c r="DI261" s="2357">
        <v>1048</v>
      </c>
      <c r="DJ261" s="2358">
        <f>DI261/DD261*100</f>
        <v>3.5736206778967468</v>
      </c>
    </row>
    <row r="262" spans="107:114" ht="15">
      <c r="DC262" s="2356" t="s">
        <v>2177</v>
      </c>
      <c r="DD262" s="2391">
        <v>81164</v>
      </c>
      <c r="DE262" s="2357">
        <v>2817</v>
      </c>
      <c r="DF262" s="2358">
        <f>DE262/DD262*100</f>
        <v>3.4707505790744664</v>
      </c>
      <c r="DG262" s="2357">
        <v>2714</v>
      </c>
      <c r="DH262" s="2358">
        <f>DG262/DD262*100</f>
        <v>3.3438470257749744</v>
      </c>
      <c r="DI262" s="2357">
        <v>2798</v>
      </c>
      <c r="DJ262" s="2358">
        <f>DI262/DD262*100</f>
        <v>3.4473411857473755</v>
      </c>
    </row>
    <row r="263" spans="107:114" ht="15">
      <c r="DC263" s="2368" t="s">
        <v>2208</v>
      </c>
      <c r="DD263" s="2390">
        <v>39223</v>
      </c>
      <c r="DE263" s="2366">
        <v>1366</v>
      </c>
      <c r="DF263" s="2365">
        <f>DE263/DD263*100</f>
        <v>3.4826504856844203</v>
      </c>
      <c r="DG263" s="2366">
        <v>1291</v>
      </c>
      <c r="DH263" s="2365">
        <f>DG263/DD263*100</f>
        <v>3.2914361471585551</v>
      </c>
      <c r="DI263" s="2366">
        <v>1253</v>
      </c>
      <c r="DJ263" s="2365">
        <f>DI263/DD263*100</f>
        <v>3.1945542156387834</v>
      </c>
    </row>
    <row r="264" spans="107:114">
      <c r="DC264" s="2356" t="s">
        <v>4069</v>
      </c>
      <c r="DD264" s="2356"/>
      <c r="DE264" s="2356"/>
      <c r="DF264" s="2356"/>
      <c r="DG264" s="2356"/>
      <c r="DH264" s="2356"/>
      <c r="DI264" s="2356"/>
      <c r="DJ264" s="2356"/>
    </row>
    <row r="265" spans="107:114">
      <c r="DC265" s="2356" t="s">
        <v>4076</v>
      </c>
      <c r="DD265" s="2356"/>
      <c r="DE265" s="2356"/>
      <c r="DF265" s="2356"/>
      <c r="DG265" s="2357" t="s">
        <v>3348</v>
      </c>
      <c r="DH265" s="2356"/>
      <c r="DI265" s="2357" t="s">
        <v>3348</v>
      </c>
      <c r="DJ265" s="2356"/>
    </row>
    <row r="266" spans="107:114">
      <c r="DC266" s="2356" t="s">
        <v>4078</v>
      </c>
      <c r="DD266" s="2356"/>
      <c r="DE266" s="2356"/>
      <c r="DF266" s="2356"/>
      <c r="DG266" s="2356"/>
      <c r="DH266" s="2356"/>
      <c r="DI266" s="2356"/>
      <c r="DJ266" s="2356"/>
    </row>
    <row r="270" spans="107:114">
      <c r="DC270" s="2368" t="s">
        <v>4175</v>
      </c>
      <c r="DD270" s="2368"/>
      <c r="DE270" s="2356"/>
      <c r="DF270" s="2356"/>
      <c r="DG270" s="2356"/>
      <c r="DH270" s="2356"/>
      <c r="DI270" s="2368"/>
      <c r="DJ270" s="2368"/>
    </row>
    <row r="271" spans="107:114">
      <c r="DC271" s="2387"/>
      <c r="DD271" s="2386"/>
      <c r="DE271" s="2383" t="s">
        <v>4161</v>
      </c>
      <c r="DF271" s="2384"/>
      <c r="DG271" s="2383" t="s">
        <v>4176</v>
      </c>
      <c r="DH271" s="2384"/>
      <c r="DI271" s="2383" t="s">
        <v>4138</v>
      </c>
      <c r="DJ271" s="2382"/>
    </row>
    <row r="272" spans="107:114" ht="13.15" customHeight="1">
      <c r="DC272" s="2356" t="s">
        <v>4013</v>
      </c>
      <c r="DD272" s="2381" t="s">
        <v>4019</v>
      </c>
      <c r="DE272" s="2379"/>
      <c r="DF272" s="2378"/>
      <c r="DG272" s="2379"/>
      <c r="DH272" s="2378"/>
      <c r="DI272" s="2377"/>
      <c r="DJ272" s="2376"/>
    </row>
    <row r="273" spans="107:114" ht="13.15" customHeight="1">
      <c r="DC273" s="2375" t="s">
        <v>4020</v>
      </c>
      <c r="DD273" s="2374" t="s">
        <v>3986</v>
      </c>
      <c r="DE273" s="2373" t="s">
        <v>1665</v>
      </c>
      <c r="DF273" s="2373" t="s">
        <v>1666</v>
      </c>
      <c r="DG273" s="2373" t="s">
        <v>1665</v>
      </c>
      <c r="DH273" s="2371" t="s">
        <v>1666</v>
      </c>
      <c r="DI273" s="2372" t="s">
        <v>1665</v>
      </c>
      <c r="DJ273" s="2371" t="s">
        <v>1666</v>
      </c>
    </row>
    <row r="274" spans="107:114">
      <c r="DC274" s="2356" t="s">
        <v>3503</v>
      </c>
      <c r="DD274" s="2359">
        <f>SUM(DD275:DD293)</f>
        <v>372151</v>
      </c>
      <c r="DE274" s="2357">
        <f>SUM(DE275:DE293)</f>
        <v>12330</v>
      </c>
      <c r="DF274" s="2358">
        <f>DE274/DD274*100</f>
        <v>3.3131712665020379</v>
      </c>
      <c r="DG274" s="2357">
        <f>SUM(DG275:DG293)</f>
        <v>12233</v>
      </c>
      <c r="DH274" s="2358">
        <f>DG274/DD274*100</f>
        <v>3.2871065777063615</v>
      </c>
      <c r="DI274" s="2357">
        <f>SUM(DI275:DI293)</f>
        <v>12134</v>
      </c>
      <c r="DJ274" s="2358">
        <f>DI274/DD274*100</f>
        <v>3.2605044726468559</v>
      </c>
    </row>
    <row r="275" spans="107:114" ht="13.15" customHeight="1">
      <c r="DC275" s="2360" t="s">
        <v>2384</v>
      </c>
      <c r="DD275" s="2392">
        <v>2641</v>
      </c>
      <c r="DE275" s="2357">
        <v>84</v>
      </c>
      <c r="DF275" s="2358">
        <f>DE275/DD275*100</f>
        <v>3.1806134040136311</v>
      </c>
      <c r="DG275" s="2357">
        <v>114</v>
      </c>
      <c r="DH275" s="2358">
        <f>DG275/DD275*100</f>
        <v>4.3165467625899279</v>
      </c>
      <c r="DI275" s="2357">
        <v>99</v>
      </c>
      <c r="DJ275" s="2358">
        <f>DI275/DD275*100</f>
        <v>3.7485800833017793</v>
      </c>
    </row>
    <row r="276" spans="107:114" ht="15">
      <c r="DC276" s="2356" t="s">
        <v>2252</v>
      </c>
      <c r="DD276" s="2392">
        <v>6674</v>
      </c>
      <c r="DE276" s="2357">
        <v>218</v>
      </c>
      <c r="DF276" s="2358">
        <f>DE276/DD276*100</f>
        <v>3.2664069523524124</v>
      </c>
      <c r="DG276" s="2357">
        <v>202</v>
      </c>
      <c r="DH276" s="2358">
        <f>DG276/DD276*100</f>
        <v>3.0266706622715014</v>
      </c>
      <c r="DI276" s="2357">
        <v>181</v>
      </c>
      <c r="DJ276" s="2358">
        <f>DI276/DD276*100</f>
        <v>2.712016781540306</v>
      </c>
    </row>
    <row r="277" spans="107:114" ht="13.15" customHeight="1">
      <c r="DC277" s="2356" t="s">
        <v>2195</v>
      </c>
      <c r="DD277" s="2392">
        <v>6029</v>
      </c>
      <c r="DE277" s="2357">
        <v>212</v>
      </c>
      <c r="DF277" s="2358">
        <f>DE277/DD277*100</f>
        <v>3.5163377011112953</v>
      </c>
      <c r="DG277" s="2357">
        <v>218</v>
      </c>
      <c r="DH277" s="2358">
        <f>DG277/DD277*100</f>
        <v>3.6158566926521813</v>
      </c>
      <c r="DI277" s="2357">
        <v>216</v>
      </c>
      <c r="DJ277" s="2358">
        <f>DI277/DD277*100</f>
        <v>3.5826836954718861</v>
      </c>
    </row>
    <row r="278" spans="107:114" ht="15">
      <c r="DC278" s="2356" t="s">
        <v>4042</v>
      </c>
      <c r="DD278" s="2391">
        <v>15094</v>
      </c>
      <c r="DE278" s="2357">
        <v>441</v>
      </c>
      <c r="DF278" s="2358">
        <f>DE278/DD278*100</f>
        <v>2.921690738041606</v>
      </c>
      <c r="DG278" s="2357">
        <v>525</v>
      </c>
      <c r="DH278" s="2358">
        <f>DG278/DD278*100</f>
        <v>3.4782032595733403</v>
      </c>
      <c r="DI278" s="2357">
        <v>561</v>
      </c>
      <c r="DJ278" s="2358">
        <f>DI278/DD278*100</f>
        <v>3.7167086259440838</v>
      </c>
    </row>
    <row r="279" spans="107:114" ht="15">
      <c r="DC279" s="2356" t="s">
        <v>4045</v>
      </c>
      <c r="DD279" s="2391">
        <v>13062</v>
      </c>
      <c r="DE279" s="2357">
        <v>420</v>
      </c>
      <c r="DF279" s="2358">
        <f>DE279/DD279*100</f>
        <v>3.215434083601286</v>
      </c>
      <c r="DG279" s="2357">
        <v>442</v>
      </c>
      <c r="DH279" s="2358">
        <f>DG279/DD279*100</f>
        <v>3.3838615832184962</v>
      </c>
      <c r="DI279" s="2357">
        <v>460</v>
      </c>
      <c r="DJ279" s="2358">
        <f>DI279/DD279*100</f>
        <v>3.5216659010871232</v>
      </c>
    </row>
    <row r="280" spans="107:114" ht="15">
      <c r="DC280" s="2356" t="s">
        <v>4048</v>
      </c>
      <c r="DD280" s="2391">
        <v>3675</v>
      </c>
      <c r="DE280" s="2357">
        <v>101</v>
      </c>
      <c r="DF280" s="2358">
        <f>DE280/DD280*100</f>
        <v>2.7482993197278911</v>
      </c>
      <c r="DG280" s="2357">
        <v>102</v>
      </c>
      <c r="DH280" s="2358">
        <f>DG280/DD280*100</f>
        <v>2.7755102040816326</v>
      </c>
      <c r="DI280" s="2357">
        <v>117</v>
      </c>
      <c r="DJ280" s="2358">
        <f>DI280/DD280*100</f>
        <v>3.1836734693877551</v>
      </c>
    </row>
    <row r="281" spans="107:114" ht="15">
      <c r="DC281" s="2356" t="s">
        <v>2151</v>
      </c>
      <c r="DD281" s="2391">
        <v>7493</v>
      </c>
      <c r="DE281" s="2357">
        <v>206</v>
      </c>
      <c r="DF281" s="2358">
        <f>DE281/DD281*100</f>
        <v>2.749232617109302</v>
      </c>
      <c r="DG281" s="2357">
        <v>205</v>
      </c>
      <c r="DH281" s="2358">
        <f>DG281/DD281*100</f>
        <v>2.7358868277058588</v>
      </c>
      <c r="DI281" s="2357">
        <v>214</v>
      </c>
      <c r="DJ281" s="2358">
        <f>DI281/DD281*100</f>
        <v>2.8559989323368478</v>
      </c>
    </row>
    <row r="282" spans="107:114" ht="15">
      <c r="DC282" s="2356" t="s">
        <v>4052</v>
      </c>
      <c r="DD282" s="2391">
        <v>12842</v>
      </c>
      <c r="DE282" s="2357">
        <v>440</v>
      </c>
      <c r="DF282" s="2358">
        <f>DE282/DD282*100</f>
        <v>3.4262575922753467</v>
      </c>
      <c r="DG282" s="2357">
        <v>361</v>
      </c>
      <c r="DH282" s="2358">
        <f>DG282/DD282*100</f>
        <v>2.8110886154804549</v>
      </c>
      <c r="DI282" s="2357">
        <v>357</v>
      </c>
      <c r="DJ282" s="2358">
        <f>DI282/DD282*100</f>
        <v>2.7799408191870425</v>
      </c>
    </row>
    <row r="283" spans="107:114" ht="15">
      <c r="DC283" s="2356" t="s">
        <v>4056</v>
      </c>
      <c r="DD283" s="2391">
        <v>13576</v>
      </c>
      <c r="DE283" s="2357">
        <v>484</v>
      </c>
      <c r="DF283" s="2358">
        <f>DE283/DD283*100</f>
        <v>3.5651149086623453</v>
      </c>
      <c r="DG283" s="2357">
        <v>380</v>
      </c>
      <c r="DH283" s="2358">
        <f>DG283/DD283*100</f>
        <v>2.7990571596935769</v>
      </c>
      <c r="DI283" s="2357">
        <v>377</v>
      </c>
      <c r="DJ283" s="2358">
        <f>DI283/DD283*100</f>
        <v>2.7769593400117856</v>
      </c>
    </row>
    <row r="284" spans="107:114" ht="15">
      <c r="DC284" s="2356" t="s">
        <v>2209</v>
      </c>
      <c r="DD284" s="2391">
        <v>21041</v>
      </c>
      <c r="DE284" s="2357">
        <v>661</v>
      </c>
      <c r="DF284" s="2358">
        <f>DE284/DD284*100</f>
        <v>3.1414856708331351</v>
      </c>
      <c r="DG284" s="2357">
        <v>663</v>
      </c>
      <c r="DH284" s="2358">
        <f>DG284/DD284*100</f>
        <v>3.1509909224846728</v>
      </c>
      <c r="DI284" s="2357">
        <v>595</v>
      </c>
      <c r="DJ284" s="2358">
        <f>DI284/DD284*100</f>
        <v>2.8278123663323984</v>
      </c>
    </row>
    <row r="285" spans="107:114" ht="15">
      <c r="DC285" s="2356" t="s">
        <v>2352</v>
      </c>
      <c r="DD285" s="2391">
        <v>20781</v>
      </c>
      <c r="DE285" s="2357">
        <v>718</v>
      </c>
      <c r="DF285" s="2358">
        <f>DE285/DD285*100</f>
        <v>3.4550791588470235</v>
      </c>
      <c r="DG285" s="2357">
        <v>661</v>
      </c>
      <c r="DH285" s="2358">
        <f>DG285/DD285*100</f>
        <v>3.180790144843848</v>
      </c>
      <c r="DI285" s="2357">
        <v>608</v>
      </c>
      <c r="DJ285" s="2358">
        <f>DI285/DD285*100</f>
        <v>2.9257494827005437</v>
      </c>
    </row>
    <row r="286" spans="107:114" ht="15">
      <c r="DC286" s="2356" t="s">
        <v>2261</v>
      </c>
      <c r="DD286" s="2391">
        <v>13233</v>
      </c>
      <c r="DE286" s="2357">
        <v>447</v>
      </c>
      <c r="DF286" s="2358">
        <f>DE286/DD286*100</f>
        <v>3.3779188392654729</v>
      </c>
      <c r="DG286" s="2357">
        <v>435</v>
      </c>
      <c r="DH286" s="2358">
        <f>DG286/DD286*100</f>
        <v>3.2872364543187489</v>
      </c>
      <c r="DI286" s="2357">
        <v>409</v>
      </c>
      <c r="DJ286" s="2358">
        <f>DI286/DD286*100</f>
        <v>3.0907579536008463</v>
      </c>
    </row>
    <row r="287" spans="107:114" ht="15">
      <c r="DC287" s="2356" t="s">
        <v>2251</v>
      </c>
      <c r="DD287" s="2391">
        <v>11678</v>
      </c>
      <c r="DE287" s="2357">
        <v>396</v>
      </c>
      <c r="DF287" s="2358">
        <f>DE287/DD287*100</f>
        <v>3.3909916081520808</v>
      </c>
      <c r="DG287" s="2357">
        <v>372</v>
      </c>
      <c r="DH287" s="2358">
        <f>DG287/DD287*100</f>
        <v>3.1854769652337729</v>
      </c>
      <c r="DI287" s="2357">
        <v>359</v>
      </c>
      <c r="DJ287" s="2358">
        <f>DI287/DD287*100</f>
        <v>3.074156533653023</v>
      </c>
    </row>
    <row r="288" spans="107:114" ht="15">
      <c r="DC288" s="2356" t="s">
        <v>2260</v>
      </c>
      <c r="DD288" s="2391">
        <v>15424</v>
      </c>
      <c r="DE288" s="2357">
        <v>514</v>
      </c>
      <c r="DF288" s="2358">
        <f>DE288/DD288*100</f>
        <v>3.3324688796680499</v>
      </c>
      <c r="DG288" s="2357">
        <v>560</v>
      </c>
      <c r="DH288" s="2358">
        <f>DG288/DD288*100</f>
        <v>3.6307053941908718</v>
      </c>
      <c r="DI288" s="2357">
        <v>531</v>
      </c>
      <c r="DJ288" s="2358">
        <f>DI288/DD288*100</f>
        <v>3.4426867219917017</v>
      </c>
    </row>
    <row r="289" spans="107:114" ht="15">
      <c r="DC289" s="2356" t="s">
        <v>2253</v>
      </c>
      <c r="DD289" s="2391">
        <v>26601</v>
      </c>
      <c r="DE289" s="2357">
        <v>865</v>
      </c>
      <c r="DF289" s="2358">
        <f>DE289/DD289*100</f>
        <v>3.2517574527273414</v>
      </c>
      <c r="DG289" s="2357">
        <v>870</v>
      </c>
      <c r="DH289" s="2358">
        <f>DG289/DD289*100</f>
        <v>3.2705537385812562</v>
      </c>
      <c r="DI289" s="2357">
        <v>856</v>
      </c>
      <c r="DJ289" s="2358">
        <f>DI289/DD289*100</f>
        <v>3.2179241381902939</v>
      </c>
    </row>
    <row r="290" spans="107:114" ht="15">
      <c r="DC290" s="2356" t="s">
        <v>2185</v>
      </c>
      <c r="DD290" s="2391">
        <v>32594</v>
      </c>
      <c r="DE290" s="2357">
        <v>1120</v>
      </c>
      <c r="DF290" s="2358">
        <f>DE290/DD290*100</f>
        <v>3.4362152543412896</v>
      </c>
      <c r="DG290" s="2357">
        <v>1128</v>
      </c>
      <c r="DH290" s="2358">
        <f>DG290/DD290*100</f>
        <v>3.4607596490151562</v>
      </c>
      <c r="DI290" s="2357">
        <v>1008</v>
      </c>
      <c r="DJ290" s="2358">
        <f>DI290/DD290*100</f>
        <v>3.0925937289071608</v>
      </c>
    </row>
    <row r="291" spans="107:114" ht="15">
      <c r="DC291" s="2356" t="s">
        <v>2202</v>
      </c>
      <c r="DD291" s="2391">
        <v>29326</v>
      </c>
      <c r="DE291" s="2357">
        <v>950</v>
      </c>
      <c r="DF291" s="2358">
        <f>DE291/DD291*100</f>
        <v>3.2394462251926619</v>
      </c>
      <c r="DG291" s="2357">
        <v>1032</v>
      </c>
      <c r="DH291" s="2358">
        <f>DG291/DD291*100</f>
        <v>3.519061583577713</v>
      </c>
      <c r="DI291" s="2357">
        <v>1102</v>
      </c>
      <c r="DJ291" s="2358">
        <f>DI291/DD291*100</f>
        <v>3.7577576212234876</v>
      </c>
    </row>
    <row r="292" spans="107:114" ht="15">
      <c r="DC292" s="2356" t="s">
        <v>2177</v>
      </c>
      <c r="DD292" s="2391">
        <v>81164</v>
      </c>
      <c r="DE292" s="2357">
        <v>2655</v>
      </c>
      <c r="DF292" s="2358">
        <f>DE292/DD292*100</f>
        <v>3.2711546991276923</v>
      </c>
      <c r="DG292" s="2357">
        <v>2725</v>
      </c>
      <c r="DH292" s="2358">
        <f>DG292/DD292*100</f>
        <v>3.3573998324380265</v>
      </c>
      <c r="DI292" s="2357">
        <v>2864</v>
      </c>
      <c r="DJ292" s="2358">
        <f>DI292/DD292*100</f>
        <v>3.5286580257256914</v>
      </c>
    </row>
    <row r="293" spans="107:114" ht="15">
      <c r="DC293" s="2368" t="s">
        <v>2208</v>
      </c>
      <c r="DD293" s="2390">
        <v>39223</v>
      </c>
      <c r="DE293" s="2366">
        <v>1398</v>
      </c>
      <c r="DF293" s="2365">
        <f>DE293/DD293*100</f>
        <v>3.564235270122122</v>
      </c>
      <c r="DG293" s="2366">
        <v>1238</v>
      </c>
      <c r="DH293" s="2365">
        <f>DG293/DD293*100</f>
        <v>3.1563113479336105</v>
      </c>
      <c r="DI293" s="2366">
        <v>1220</v>
      </c>
      <c r="DJ293" s="2365">
        <f>DI293/DD293*100</f>
        <v>3.1104199066874028</v>
      </c>
    </row>
    <row r="294" spans="107:114">
      <c r="DC294" s="2356" t="s">
        <v>4069</v>
      </c>
      <c r="DD294" s="2356"/>
      <c r="DE294" s="2356"/>
      <c r="DF294" s="2356"/>
      <c r="DG294" s="2356"/>
      <c r="DH294" s="2356"/>
      <c r="DI294" s="2356"/>
      <c r="DJ294" s="2356"/>
    </row>
    <row r="295" spans="107:114">
      <c r="DC295" s="2356" t="s">
        <v>4076</v>
      </c>
      <c r="DD295" s="2356"/>
      <c r="DE295" s="2356"/>
      <c r="DF295" s="2356"/>
      <c r="DG295" s="2357" t="s">
        <v>3348</v>
      </c>
      <c r="DH295" s="2356"/>
      <c r="DI295" s="2357" t="s">
        <v>3348</v>
      </c>
      <c r="DJ295" s="2356"/>
    </row>
    <row r="296" spans="107:114">
      <c r="DC296" s="2356" t="s">
        <v>4078</v>
      </c>
      <c r="DD296" s="2356"/>
      <c r="DE296" s="2356"/>
      <c r="DF296" s="2356"/>
      <c r="DG296" s="2356"/>
      <c r="DH296" s="2356"/>
      <c r="DI296" s="2356"/>
      <c r="DJ296" s="2356"/>
    </row>
    <row r="301" spans="107:114">
      <c r="DC301" s="2356"/>
      <c r="DD301" s="2356"/>
      <c r="DE301" s="2356"/>
      <c r="DF301" s="2356"/>
      <c r="DG301" s="2356"/>
      <c r="DH301" s="2356"/>
      <c r="DI301" s="2356"/>
      <c r="DJ301" s="2356"/>
    </row>
    <row r="302" spans="107:114">
      <c r="DC302" s="2368" t="s">
        <v>4177</v>
      </c>
      <c r="DD302" s="2368"/>
      <c r="DE302" s="2356"/>
      <c r="DF302" s="2356"/>
      <c r="DG302" s="2356"/>
      <c r="DH302" s="2356"/>
      <c r="DI302" s="2368"/>
      <c r="DJ302" s="2368"/>
    </row>
    <row r="303" spans="107:114">
      <c r="DC303" s="2387"/>
      <c r="DD303" s="2386"/>
      <c r="DE303" s="2383" t="s">
        <v>3987</v>
      </c>
      <c r="DF303" s="2382"/>
      <c r="DG303" s="2383" t="s">
        <v>4178</v>
      </c>
      <c r="DH303" s="2384"/>
      <c r="DI303" s="2383" t="s">
        <v>4179</v>
      </c>
      <c r="DJ303" s="2382"/>
    </row>
    <row r="304" spans="107:114">
      <c r="DC304" s="2356" t="s">
        <v>4013</v>
      </c>
      <c r="DD304" s="2381" t="s">
        <v>4019</v>
      </c>
      <c r="DE304" s="2377"/>
      <c r="DF304" s="2376"/>
      <c r="DG304" s="2379"/>
      <c r="DH304" s="2378"/>
      <c r="DI304" s="2377"/>
      <c r="DJ304" s="2376"/>
    </row>
    <row r="305" spans="107:114">
      <c r="DC305" s="2375" t="s">
        <v>4020</v>
      </c>
      <c r="DD305" s="2374" t="s">
        <v>3986</v>
      </c>
      <c r="DE305" s="2373" t="s">
        <v>1665</v>
      </c>
      <c r="DF305" s="2373" t="s">
        <v>1666</v>
      </c>
      <c r="DG305" s="2373" t="s">
        <v>1665</v>
      </c>
      <c r="DH305" s="2371" t="s">
        <v>1666</v>
      </c>
      <c r="DI305" s="2372" t="s">
        <v>1665</v>
      </c>
      <c r="DJ305" s="2371" t="s">
        <v>1666</v>
      </c>
    </row>
    <row r="306" spans="107:114">
      <c r="DC306" s="2356" t="s">
        <v>3503</v>
      </c>
      <c r="DD306" s="2359">
        <f>SUM(DD307:DD325)</f>
        <v>294265</v>
      </c>
      <c r="DE306" s="2357">
        <f>SUM(DE307:DE325)</f>
        <v>18993</v>
      </c>
      <c r="DF306" s="2358">
        <f>DE306/DD306*100</f>
        <v>6.454386352437429</v>
      </c>
      <c r="DG306" s="2357">
        <f>SUM(DG307:DG325)</f>
        <v>17228</v>
      </c>
      <c r="DH306" s="2358">
        <f>DG306/DD306*100</f>
        <v>5.854586851987154</v>
      </c>
      <c r="DI306" s="2357">
        <f>SUM(DI307:DI325)</f>
        <v>15195</v>
      </c>
      <c r="DJ306" s="2358">
        <f>DI306/DD306*100</f>
        <v>5.1637129797971211</v>
      </c>
    </row>
    <row r="307" spans="107:114">
      <c r="DC307" s="2360" t="s">
        <v>2384</v>
      </c>
      <c r="DD307" s="2370">
        <v>2635</v>
      </c>
      <c r="DE307" s="2354">
        <v>184</v>
      </c>
      <c r="DF307" s="2358">
        <f>DE307/DD307*100</f>
        <v>6.9829222011385195</v>
      </c>
      <c r="DG307" s="2357">
        <v>168</v>
      </c>
      <c r="DH307" s="2358">
        <f>DG307/DD307*100</f>
        <v>6.375711574952561</v>
      </c>
      <c r="DI307" s="2357">
        <v>131</v>
      </c>
      <c r="DJ307" s="2358">
        <f>DI307/DD307*100</f>
        <v>4.9715370018975333</v>
      </c>
    </row>
    <row r="308" spans="107:114">
      <c r="DC308" s="2356" t="s">
        <v>2252</v>
      </c>
      <c r="DD308" s="2357">
        <v>6606</v>
      </c>
      <c r="DE308" s="2357">
        <v>475</v>
      </c>
      <c r="DF308" s="2358">
        <f>DE308/DD308*100</f>
        <v>7.1904329397517408</v>
      </c>
      <c r="DG308" s="2357">
        <v>389</v>
      </c>
      <c r="DH308" s="2358">
        <f>DG308/DD308*100</f>
        <v>5.888586133817741</v>
      </c>
      <c r="DI308" s="2357">
        <v>364</v>
      </c>
      <c r="DJ308" s="2358">
        <f>DI308/DD308*100</f>
        <v>5.5101422948834387</v>
      </c>
    </row>
    <row r="309" spans="107:114">
      <c r="DC309" s="2356" t="s">
        <v>2195</v>
      </c>
      <c r="DD309" s="2357">
        <v>5177</v>
      </c>
      <c r="DE309" s="2357">
        <v>346</v>
      </c>
      <c r="DF309" s="2358">
        <f>DE309/DD309*100</f>
        <v>6.6834073787908048</v>
      </c>
      <c r="DG309" s="2357">
        <v>323</v>
      </c>
      <c r="DH309" s="2358">
        <f>DG309/DD309*100</f>
        <v>6.2391346339578906</v>
      </c>
      <c r="DI309" s="2357">
        <v>251</v>
      </c>
      <c r="DJ309" s="2358">
        <f>DI309/DD309*100</f>
        <v>4.8483677805678962</v>
      </c>
    </row>
    <row r="310" spans="107:114">
      <c r="DC310" s="2356" t="s">
        <v>4042</v>
      </c>
      <c r="DD310" s="2369">
        <v>12820</v>
      </c>
      <c r="DE310" s="2357">
        <v>809</v>
      </c>
      <c r="DF310" s="2358">
        <f>DE310/DD310*100</f>
        <v>6.3104524180967232</v>
      </c>
      <c r="DG310" s="2357">
        <v>750</v>
      </c>
      <c r="DH310" s="2358">
        <f>DG310/DD310*100</f>
        <v>5.8502340093603742</v>
      </c>
      <c r="DI310" s="2357">
        <v>671</v>
      </c>
      <c r="DJ310" s="2358">
        <f>DI310/DD310*100</f>
        <v>5.2340093603744151</v>
      </c>
    </row>
    <row r="311" spans="107:114">
      <c r="DC311" s="2356" t="s">
        <v>4045</v>
      </c>
      <c r="DD311" s="2369">
        <v>11138</v>
      </c>
      <c r="DE311" s="2357">
        <v>722</v>
      </c>
      <c r="DF311" s="2358">
        <f>DE311/DD311*100</f>
        <v>6.4823128030167005</v>
      </c>
      <c r="DG311" s="2357">
        <v>653</v>
      </c>
      <c r="DH311" s="2358">
        <f>DG311/DD311*100</f>
        <v>5.8628119949721675</v>
      </c>
      <c r="DI311" s="2357">
        <v>572</v>
      </c>
      <c r="DJ311" s="2358">
        <f>DI311/DD311*100</f>
        <v>5.1355719159633688</v>
      </c>
    </row>
    <row r="312" spans="107:114">
      <c r="DC312" s="2356" t="s">
        <v>4048</v>
      </c>
      <c r="DD312" s="2357">
        <v>4229</v>
      </c>
      <c r="DE312" s="2357">
        <v>238</v>
      </c>
      <c r="DF312" s="2358">
        <f>DE312/DD312*100</f>
        <v>5.6278079924331994</v>
      </c>
      <c r="DG312" s="2357">
        <v>201</v>
      </c>
      <c r="DH312" s="2358">
        <f>DG312/DD312*100</f>
        <v>4.7528966658784579</v>
      </c>
      <c r="DI312" s="2357">
        <v>226</v>
      </c>
      <c r="DJ312" s="2358">
        <f>DI312/DD312*100</f>
        <v>5.3440529676046342</v>
      </c>
    </row>
    <row r="313" spans="107:114">
      <c r="DC313" s="2356" t="s">
        <v>2151</v>
      </c>
      <c r="DD313" s="2369">
        <v>8151</v>
      </c>
      <c r="DE313" s="2357">
        <v>531</v>
      </c>
      <c r="DF313" s="2358">
        <f>DE313/DD313*100</f>
        <v>6.5145380934854611</v>
      </c>
      <c r="DG313" s="2357">
        <v>369</v>
      </c>
      <c r="DH313" s="2358">
        <f>DG313/DD313*100</f>
        <v>4.5270518954729475</v>
      </c>
      <c r="DI313" s="2357">
        <v>416</v>
      </c>
      <c r="DJ313" s="2358">
        <f>DI313/DD313*100</f>
        <v>5.1036682615629987</v>
      </c>
    </row>
    <row r="314" spans="107:114">
      <c r="DC314" s="2356" t="s">
        <v>4052</v>
      </c>
      <c r="DD314" s="2369">
        <v>13429</v>
      </c>
      <c r="DE314" s="2357">
        <v>990</v>
      </c>
      <c r="DF314" s="2358">
        <f>DE314/DD314*100</f>
        <v>7.37210514558046</v>
      </c>
      <c r="DG314" s="2357">
        <v>674</v>
      </c>
      <c r="DH314" s="2358">
        <f>DG314/DD314*100</f>
        <v>5.0189887556780102</v>
      </c>
      <c r="DI314" s="2357">
        <v>744</v>
      </c>
      <c r="DJ314" s="2358">
        <f>DI314/DD314*100</f>
        <v>5.540248715466527</v>
      </c>
    </row>
    <row r="315" spans="107:114">
      <c r="DC315" s="2356" t="s">
        <v>4056</v>
      </c>
      <c r="DD315" s="2369">
        <v>10817</v>
      </c>
      <c r="DE315" s="2357">
        <v>734</v>
      </c>
      <c r="DF315" s="2358">
        <f>DE315/DD315*100</f>
        <v>6.7856152352778034</v>
      </c>
      <c r="DG315" s="2357">
        <v>595</v>
      </c>
      <c r="DH315" s="2358">
        <f>DG315/DD315*100</f>
        <v>5.5006009059813259</v>
      </c>
      <c r="DI315" s="2357">
        <v>573</v>
      </c>
      <c r="DJ315" s="2358">
        <f>DI315/DD315*100</f>
        <v>5.2972173430710914</v>
      </c>
    </row>
    <row r="316" spans="107:114">
      <c r="DC316" s="2356" t="s">
        <v>2209</v>
      </c>
      <c r="DD316" s="2369">
        <v>17319</v>
      </c>
      <c r="DE316" s="2357">
        <v>1291</v>
      </c>
      <c r="DF316" s="2358">
        <f>DE316/DD316*100</f>
        <v>7.4542410069865461</v>
      </c>
      <c r="DG316" s="2357">
        <v>938</v>
      </c>
      <c r="DH316" s="2358">
        <f>DG316/DD316*100</f>
        <v>5.4160170910560659</v>
      </c>
      <c r="DI316" s="2357">
        <v>878</v>
      </c>
      <c r="DJ316" s="2358">
        <f>DI316/DD316*100</f>
        <v>5.06957676540216</v>
      </c>
    </row>
    <row r="317" spans="107:114">
      <c r="DC317" s="2356" t="s">
        <v>2352</v>
      </c>
      <c r="DD317" s="2369">
        <v>15001</v>
      </c>
      <c r="DE317" s="2357">
        <v>983</v>
      </c>
      <c r="DF317" s="2358">
        <f>DE317/DD317*100</f>
        <v>6.5528964735684285</v>
      </c>
      <c r="DG317" s="2357">
        <v>894</v>
      </c>
      <c r="DH317" s="2358">
        <f>DG317/DD317*100</f>
        <v>5.9596026931537898</v>
      </c>
      <c r="DI317" s="2357">
        <v>790</v>
      </c>
      <c r="DJ317" s="2358">
        <f>DI317/DD317*100</f>
        <v>5.266315578961402</v>
      </c>
    </row>
    <row r="318" spans="107:114">
      <c r="DC318" s="2356" t="s">
        <v>2261</v>
      </c>
      <c r="DD318" s="2369">
        <v>11200</v>
      </c>
      <c r="DE318" s="2357">
        <v>730</v>
      </c>
      <c r="DF318" s="2358">
        <f>DE318/DD318*100</f>
        <v>6.5178571428571432</v>
      </c>
      <c r="DG318" s="2357">
        <v>650</v>
      </c>
      <c r="DH318" s="2358">
        <f>DG318/DD318*100</f>
        <v>5.8035714285714288</v>
      </c>
      <c r="DI318" s="2357">
        <v>585</v>
      </c>
      <c r="DJ318" s="2358">
        <f>DI318/DD318*100</f>
        <v>5.2232142857142856</v>
      </c>
    </row>
    <row r="319" spans="107:114">
      <c r="DC319" s="2356" t="s">
        <v>2251</v>
      </c>
      <c r="DD319" s="2369">
        <v>11088</v>
      </c>
      <c r="DE319" s="2357">
        <v>780</v>
      </c>
      <c r="DF319" s="2358">
        <f>DE319/DD319*100</f>
        <v>7.0346320346320352</v>
      </c>
      <c r="DG319" s="2357">
        <v>676</v>
      </c>
      <c r="DH319" s="2358">
        <f>DG319/DD319*100</f>
        <v>6.0966810966810971</v>
      </c>
      <c r="DI319" s="2357">
        <v>580</v>
      </c>
      <c r="DJ319" s="2358">
        <f>DI319/DD319*100</f>
        <v>5.2308802308802314</v>
      </c>
    </row>
    <row r="320" spans="107:114">
      <c r="DC320" s="2356" t="s">
        <v>2260</v>
      </c>
      <c r="DD320" s="2369">
        <v>11724</v>
      </c>
      <c r="DE320" s="2357">
        <v>716</v>
      </c>
      <c r="DF320" s="2358">
        <f>DE320/DD320*100</f>
        <v>6.1071306721255549</v>
      </c>
      <c r="DG320" s="2357">
        <v>751</v>
      </c>
      <c r="DH320" s="2358">
        <f>DG320/DD320*100</f>
        <v>6.4056635960423058</v>
      </c>
      <c r="DI320" s="2357">
        <v>589</v>
      </c>
      <c r="DJ320" s="2358">
        <f>DI320/DD320*100</f>
        <v>5.02388263391334</v>
      </c>
    </row>
    <row r="321" spans="107:114">
      <c r="DC321" s="2356" t="s">
        <v>2253</v>
      </c>
      <c r="DD321" s="2369">
        <v>19379</v>
      </c>
      <c r="DE321" s="2357">
        <v>1227</v>
      </c>
      <c r="DF321" s="2358">
        <f>DE321/DD321*100</f>
        <v>6.3315960575881114</v>
      </c>
      <c r="DG321" s="2357">
        <v>1194</v>
      </c>
      <c r="DH321" s="2358">
        <f>DG321/DD321*100</f>
        <v>6.1613086330564011</v>
      </c>
      <c r="DI321" s="2357">
        <v>1008</v>
      </c>
      <c r="DJ321" s="2358">
        <f>DI321/DD321*100</f>
        <v>5.2015067856958561</v>
      </c>
    </row>
    <row r="322" spans="107:114">
      <c r="DC322" s="2356" t="s">
        <v>2185</v>
      </c>
      <c r="DD322" s="2369">
        <v>24787</v>
      </c>
      <c r="DE322" s="2357">
        <v>1658</v>
      </c>
      <c r="DF322" s="2358">
        <f>DE322/DD322*100</f>
        <v>6.6889901964739584</v>
      </c>
      <c r="DG322" s="2357">
        <v>1465</v>
      </c>
      <c r="DH322" s="2358">
        <f>DG322/DD322*100</f>
        <v>5.9103562351232499</v>
      </c>
      <c r="DI322" s="2357">
        <v>1294</v>
      </c>
      <c r="DJ322" s="2358">
        <f>DI322/DD322*100</f>
        <v>5.2204784766208094</v>
      </c>
    </row>
    <row r="323" spans="107:114">
      <c r="DC323" s="2356" t="s">
        <v>2202</v>
      </c>
      <c r="DD323" s="2369">
        <v>22886</v>
      </c>
      <c r="DE323" s="2357">
        <v>1331</v>
      </c>
      <c r="DF323" s="2358">
        <f>DE323/DD323*100</f>
        <v>5.8157825744996945</v>
      </c>
      <c r="DG323" s="2357">
        <v>1490</v>
      </c>
      <c r="DH323" s="2358">
        <f>DG323/DD323*100</f>
        <v>6.5105304553001844</v>
      </c>
      <c r="DI323" s="2357">
        <v>1054</v>
      </c>
      <c r="DJ323" s="2358">
        <f>DI323/DD323*100</f>
        <v>4.6054356375076466</v>
      </c>
    </row>
    <row r="324" spans="107:114">
      <c r="DC324" s="2356" t="s">
        <v>2177</v>
      </c>
      <c r="DD324" s="2369">
        <v>56012</v>
      </c>
      <c r="DE324" s="2357">
        <v>3433</v>
      </c>
      <c r="DF324" s="2358">
        <f>DE324/DD324*100</f>
        <v>6.1290437763336421</v>
      </c>
      <c r="DG324" s="2357">
        <v>3349</v>
      </c>
      <c r="DH324" s="2358">
        <f>DG324/DD324*100</f>
        <v>5.9790759123045056</v>
      </c>
      <c r="DI324" s="2357">
        <v>2877</v>
      </c>
      <c r="DJ324" s="2358">
        <f>DI324/DD324*100</f>
        <v>5.1363993429979296</v>
      </c>
    </row>
    <row r="325" spans="107:114">
      <c r="DC325" s="2368" t="s">
        <v>2208</v>
      </c>
      <c r="DD325" s="2367">
        <v>29867</v>
      </c>
      <c r="DE325" s="2366">
        <v>1815</v>
      </c>
      <c r="DF325" s="2365">
        <f>DE325/DD325*100</f>
        <v>6.0769411055680189</v>
      </c>
      <c r="DG325" s="2366">
        <v>1699</v>
      </c>
      <c r="DH325" s="2365">
        <f>DG325/DD325*100</f>
        <v>5.6885525831184918</v>
      </c>
      <c r="DI325" s="2366">
        <v>1592</v>
      </c>
      <c r="DJ325" s="2365">
        <f>DI325/DD325*100</f>
        <v>5.3302976529279809</v>
      </c>
    </row>
    <row r="326" spans="107:114">
      <c r="DC326" s="2356" t="s">
        <v>4069</v>
      </c>
      <c r="DD326" s="2356"/>
      <c r="DE326" s="2356"/>
      <c r="DF326" s="2356"/>
      <c r="DG326" s="2356"/>
      <c r="DH326" s="2356"/>
      <c r="DI326" s="2356"/>
      <c r="DJ326" s="2356"/>
    </row>
    <row r="327" spans="107:114">
      <c r="DC327" s="2356" t="s">
        <v>4076</v>
      </c>
      <c r="DD327" s="2356"/>
      <c r="DE327" s="2356"/>
      <c r="DF327" s="2356"/>
      <c r="DG327" s="2357" t="s">
        <v>3348</v>
      </c>
      <c r="DH327" s="2356"/>
      <c r="DI327" s="2357" t="s">
        <v>3348</v>
      </c>
      <c r="DJ327" s="2356"/>
    </row>
    <row r="328" spans="107:114">
      <c r="DC328" s="2356" t="s">
        <v>4078</v>
      </c>
      <c r="DD328" s="2356"/>
      <c r="DE328" s="2356"/>
      <c r="DF328" s="2356"/>
      <c r="DG328" s="2356"/>
      <c r="DH328" s="2356"/>
      <c r="DI328" s="2356"/>
      <c r="DJ328" s="2356"/>
    </row>
    <row r="329" spans="107:114">
      <c r="DE329" s="2357"/>
      <c r="DF329" s="2357"/>
      <c r="DG329" s="2357"/>
      <c r="DH329" s="2357"/>
      <c r="DI329" s="2357"/>
      <c r="DJ329" s="2357"/>
    </row>
    <row r="330" spans="107:114">
      <c r="DC330" s="2357"/>
      <c r="DD330" s="2357"/>
      <c r="DE330" s="2357"/>
      <c r="DF330" s="2357"/>
      <c r="DG330" s="2357"/>
      <c r="DH330" s="2357"/>
      <c r="DI330" s="2357"/>
      <c r="DJ330" s="2357"/>
    </row>
    <row r="331" spans="107:114">
      <c r="DC331" s="2357"/>
      <c r="DD331" s="2357"/>
      <c r="DE331" s="2357"/>
      <c r="DF331" s="2357"/>
      <c r="DG331" s="2357"/>
      <c r="DH331" s="2357"/>
      <c r="DI331" s="2357"/>
      <c r="DJ331" s="2357"/>
    </row>
    <row r="332" spans="107:114">
      <c r="DC332" s="2368" t="s">
        <v>4180</v>
      </c>
      <c r="DD332" s="2368"/>
      <c r="DE332" s="2356"/>
      <c r="DF332" s="2356"/>
      <c r="DG332" s="2356"/>
      <c r="DH332" s="2356"/>
      <c r="DI332" s="2356"/>
      <c r="DJ332" s="2356"/>
    </row>
    <row r="333" spans="107:114">
      <c r="DC333" s="2387"/>
      <c r="DD333" s="2386"/>
      <c r="DE333" s="2383" t="s">
        <v>4167</v>
      </c>
      <c r="DF333" s="2385"/>
      <c r="DG333" s="2383" t="s">
        <v>4181</v>
      </c>
      <c r="DH333" s="2389"/>
      <c r="DI333" s="2383" t="s">
        <v>4182</v>
      </c>
      <c r="DJ333" s="2389"/>
    </row>
    <row r="334" spans="107:114">
      <c r="DC334" s="2356" t="s">
        <v>4013</v>
      </c>
      <c r="DD334" s="2381" t="s">
        <v>4019</v>
      </c>
      <c r="DE334" s="2377"/>
      <c r="DF334" s="2380"/>
      <c r="DG334" s="2379"/>
      <c r="DH334" s="2388"/>
      <c r="DI334" s="2379"/>
      <c r="DJ334" s="2388"/>
    </row>
    <row r="335" spans="107:114">
      <c r="DC335" s="2375" t="s">
        <v>4020</v>
      </c>
      <c r="DD335" s="2374" t="s">
        <v>3986</v>
      </c>
      <c r="DE335" s="2373" t="s">
        <v>1665</v>
      </c>
      <c r="DF335" s="2373" t="s">
        <v>1666</v>
      </c>
      <c r="DG335" s="2373" t="s">
        <v>1665</v>
      </c>
      <c r="DH335" s="2371" t="s">
        <v>1666</v>
      </c>
      <c r="DI335" s="2372" t="s">
        <v>1665</v>
      </c>
      <c r="DJ335" s="2372" t="s">
        <v>1666</v>
      </c>
    </row>
    <row r="336" spans="107:114">
      <c r="DC336" s="2356" t="s">
        <v>3503</v>
      </c>
      <c r="DD336" s="2359">
        <f>SUM(DD337:DD355)</f>
        <v>294265</v>
      </c>
      <c r="DE336" s="2357">
        <f>SUM(DE337:DE355)</f>
        <v>15121</v>
      </c>
      <c r="DF336" s="2358">
        <f>DE336/DD336*100</f>
        <v>5.1385655786450988</v>
      </c>
      <c r="DG336" s="2357">
        <f>SUM(DG337:DG355)</f>
        <v>14892</v>
      </c>
      <c r="DH336" s="2358">
        <f>DG336/DD336*100</f>
        <v>5.0607445669719464</v>
      </c>
      <c r="DI336" s="2357">
        <f>SUM(DI337:DI355)</f>
        <v>13848</v>
      </c>
      <c r="DJ336" s="2358">
        <f>DI336/DD336*100</f>
        <v>4.7059623128812467</v>
      </c>
    </row>
    <row r="337" spans="107:114">
      <c r="DC337" s="2360" t="s">
        <v>2384</v>
      </c>
      <c r="DD337" s="2370">
        <v>2635</v>
      </c>
      <c r="DE337" s="2357">
        <v>131</v>
      </c>
      <c r="DF337" s="2358">
        <f>DE337/DD337*100</f>
        <v>4.9715370018975333</v>
      </c>
      <c r="DG337" s="2357">
        <v>149</v>
      </c>
      <c r="DH337" s="2358">
        <f>DG337/DD337*100</f>
        <v>5.6546489563567368</v>
      </c>
      <c r="DI337" s="2357">
        <v>151</v>
      </c>
      <c r="DJ337" s="2358">
        <f>DI337/DD337*100</f>
        <v>5.730550284629981</v>
      </c>
    </row>
    <row r="338" spans="107:114">
      <c r="DC338" s="2356" t="s">
        <v>2252</v>
      </c>
      <c r="DD338" s="2357">
        <v>6606</v>
      </c>
      <c r="DE338" s="2357">
        <v>341</v>
      </c>
      <c r="DF338" s="2358">
        <f>DE338/DD338*100</f>
        <v>5.1619739630638808</v>
      </c>
      <c r="DG338" s="2357">
        <v>319</v>
      </c>
      <c r="DH338" s="2358">
        <f>DG338/DD338*100</f>
        <v>4.8289433848016952</v>
      </c>
      <c r="DI338" s="2357">
        <v>328</v>
      </c>
      <c r="DJ338" s="2358">
        <f>DI338/DD338*100</f>
        <v>4.9651831668180444</v>
      </c>
    </row>
    <row r="339" spans="107:114">
      <c r="DC339" s="2356" t="s">
        <v>2195</v>
      </c>
      <c r="DD339" s="2357">
        <v>5177</v>
      </c>
      <c r="DE339" s="2357">
        <v>261</v>
      </c>
      <c r="DF339" s="2358">
        <f>DE339/DD339*100</f>
        <v>5.0415298435387292</v>
      </c>
      <c r="DG339" s="2357">
        <v>262</v>
      </c>
      <c r="DH339" s="2358">
        <f>DG339/DD339*100</f>
        <v>5.0608460498358117</v>
      </c>
      <c r="DI339" s="2357">
        <v>262</v>
      </c>
      <c r="DJ339" s="2358">
        <f>DI339/DD339*100</f>
        <v>5.0608460498358117</v>
      </c>
    </row>
    <row r="340" spans="107:114">
      <c r="DC340" s="2356" t="s">
        <v>4042</v>
      </c>
      <c r="DD340" s="2369">
        <v>12820</v>
      </c>
      <c r="DE340" s="2357">
        <v>641</v>
      </c>
      <c r="DF340" s="2358">
        <f>DE340/DD340*100</f>
        <v>5</v>
      </c>
      <c r="DG340" s="2357">
        <v>645</v>
      </c>
      <c r="DH340" s="2358">
        <f>DG340/DD340*100</f>
        <v>5.0312012480499222</v>
      </c>
      <c r="DI340" s="2357">
        <v>612</v>
      </c>
      <c r="DJ340" s="2358">
        <f>DI340/DD340*100</f>
        <v>4.7737909516380652</v>
      </c>
    </row>
    <row r="341" spans="107:114">
      <c r="DC341" s="2356" t="s">
        <v>4045</v>
      </c>
      <c r="DD341" s="2369">
        <v>11138</v>
      </c>
      <c r="DE341" s="2357">
        <v>581</v>
      </c>
      <c r="DF341" s="2358">
        <f>DE341/DD341*100</f>
        <v>5.2163763691865688</v>
      </c>
      <c r="DG341" s="2357">
        <v>578</v>
      </c>
      <c r="DH341" s="2358">
        <f>DG341/DD341*100</f>
        <v>5.1894415514455021</v>
      </c>
      <c r="DI341" s="2357">
        <v>491</v>
      </c>
      <c r="DJ341" s="2358">
        <f>DI341/DD341*100</f>
        <v>4.4083318369545701</v>
      </c>
    </row>
    <row r="342" spans="107:114">
      <c r="DC342" s="2356" t="s">
        <v>4048</v>
      </c>
      <c r="DD342" s="2357">
        <v>4229</v>
      </c>
      <c r="DE342" s="2357">
        <v>202</v>
      </c>
      <c r="DF342" s="2358">
        <f>DE342/DD342*100</f>
        <v>4.7765429179475047</v>
      </c>
      <c r="DG342" s="2357">
        <v>211</v>
      </c>
      <c r="DH342" s="2358">
        <f>DG342/DD342*100</f>
        <v>4.9893591865689286</v>
      </c>
      <c r="DI342" s="2357">
        <v>188</v>
      </c>
      <c r="DJ342" s="2358">
        <f>DI342/DD342*100</f>
        <v>4.4454953889808468</v>
      </c>
    </row>
    <row r="343" spans="107:114">
      <c r="DC343" s="2356" t="s">
        <v>2151</v>
      </c>
      <c r="DD343" s="2369">
        <v>8151</v>
      </c>
      <c r="DE343" s="2357">
        <v>430</v>
      </c>
      <c r="DF343" s="2358">
        <f>DE343/DD343*100</f>
        <v>5.2754263280579066</v>
      </c>
      <c r="DG343" s="2357">
        <v>329</v>
      </c>
      <c r="DH343" s="2358">
        <f>DG343/DD343*100</f>
        <v>4.036314562630352</v>
      </c>
      <c r="DI343" s="2357">
        <v>338</v>
      </c>
      <c r="DJ343" s="2358">
        <f>DI343/DD343*100</f>
        <v>4.1467304625199359</v>
      </c>
    </row>
    <row r="344" spans="107:114">
      <c r="DC344" s="2356" t="s">
        <v>4052</v>
      </c>
      <c r="DD344" s="2369">
        <v>13429</v>
      </c>
      <c r="DE344" s="2357">
        <v>725</v>
      </c>
      <c r="DF344" s="2358">
        <f>DE344/DD344*100</f>
        <v>5.3987638692382154</v>
      </c>
      <c r="DG344" s="2357">
        <v>584</v>
      </c>
      <c r="DH344" s="2358">
        <f>DG344/DD344*100</f>
        <v>4.3487973788070597</v>
      </c>
      <c r="DI344" s="2357">
        <v>556</v>
      </c>
      <c r="DJ344" s="2358">
        <f>DI344/DD344*100</f>
        <v>4.1402933948916525</v>
      </c>
    </row>
    <row r="345" spans="107:114">
      <c r="DC345" s="2356" t="s">
        <v>4056</v>
      </c>
      <c r="DD345" s="2369">
        <v>10817</v>
      </c>
      <c r="DE345" s="2357">
        <v>554</v>
      </c>
      <c r="DF345" s="2358">
        <f>DE345/DD345*100</f>
        <v>5.1215679023758902</v>
      </c>
      <c r="DG345" s="2357">
        <v>565</v>
      </c>
      <c r="DH345" s="2358">
        <f>DG345/DD345*100</f>
        <v>5.2232596838310066</v>
      </c>
      <c r="DI345" s="2357">
        <v>427</v>
      </c>
      <c r="DJ345" s="2358">
        <f>DI345/DD345*100</f>
        <v>3.9474900619395394</v>
      </c>
    </row>
    <row r="346" spans="107:114">
      <c r="DC346" s="2356" t="s">
        <v>2209</v>
      </c>
      <c r="DD346" s="2369">
        <v>17319</v>
      </c>
      <c r="DE346" s="2357">
        <v>838</v>
      </c>
      <c r="DF346" s="2358">
        <f>DE346/DD346*100</f>
        <v>4.8386165482995551</v>
      </c>
      <c r="DG346" s="2357">
        <v>853</v>
      </c>
      <c r="DH346" s="2358">
        <f>DG346/DD346*100</f>
        <v>4.9252266297130314</v>
      </c>
      <c r="DI346" s="2357">
        <v>786</v>
      </c>
      <c r="DJ346" s="2358">
        <f>DI346/DD346*100</f>
        <v>4.5383682660661702</v>
      </c>
    </row>
    <row r="347" spans="107:114">
      <c r="DC347" s="2356" t="s">
        <v>2352</v>
      </c>
      <c r="DD347" s="2369">
        <v>15001</v>
      </c>
      <c r="DE347" s="2357">
        <v>722</v>
      </c>
      <c r="DF347" s="2358">
        <f>DE347/DD347*100</f>
        <v>4.8130124658356106</v>
      </c>
      <c r="DG347" s="2357">
        <v>798</v>
      </c>
      <c r="DH347" s="2358">
        <f>DG347/DD347*100</f>
        <v>5.319645356976201</v>
      </c>
      <c r="DI347" s="2357">
        <v>755</v>
      </c>
      <c r="DJ347" s="2358">
        <f>DI347/DD347*100</f>
        <v>5.0329978001466564</v>
      </c>
    </row>
    <row r="348" spans="107:114">
      <c r="DC348" s="2356" t="s">
        <v>2261</v>
      </c>
      <c r="DD348" s="2369">
        <v>11200</v>
      </c>
      <c r="DE348" s="2357">
        <v>538</v>
      </c>
      <c r="DF348" s="2358">
        <f>DE348/DD348*100</f>
        <v>4.8035714285714288</v>
      </c>
      <c r="DG348" s="2357">
        <v>554</v>
      </c>
      <c r="DH348" s="2358">
        <f>DG348/DD348*100</f>
        <v>4.9464285714285721</v>
      </c>
      <c r="DI348" s="2357">
        <v>623</v>
      </c>
      <c r="DJ348" s="2358">
        <f>DI348/DD348*100</f>
        <v>5.5625</v>
      </c>
    </row>
    <row r="349" spans="107:114">
      <c r="DC349" s="2356" t="s">
        <v>2251</v>
      </c>
      <c r="DD349" s="2369">
        <v>11088</v>
      </c>
      <c r="DE349" s="2357">
        <v>560</v>
      </c>
      <c r="DF349" s="2358">
        <f>DE349/DD349*100</f>
        <v>5.0505050505050502</v>
      </c>
      <c r="DG349" s="2357">
        <v>616</v>
      </c>
      <c r="DH349" s="2358">
        <f>DG349/DD349*100</f>
        <v>5.5555555555555554</v>
      </c>
      <c r="DI349" s="2357">
        <v>610</v>
      </c>
      <c r="DJ349" s="2358">
        <f>DI349/DD349*100</f>
        <v>5.5014430014430014</v>
      </c>
    </row>
    <row r="350" spans="107:114">
      <c r="DC350" s="2356" t="s">
        <v>2260</v>
      </c>
      <c r="DD350" s="2369">
        <v>11724</v>
      </c>
      <c r="DE350" s="2357">
        <v>573</v>
      </c>
      <c r="DF350" s="2358">
        <f>DE350/DD350*100</f>
        <v>4.8874104401228244</v>
      </c>
      <c r="DG350" s="2357">
        <v>598</v>
      </c>
      <c r="DH350" s="2358">
        <f>DG350/DD350*100</f>
        <v>5.1006482429205056</v>
      </c>
      <c r="DI350" s="2357">
        <v>633</v>
      </c>
      <c r="DJ350" s="2358">
        <f>DI350/DD350*100</f>
        <v>5.3991811668372565</v>
      </c>
    </row>
    <row r="351" spans="107:114">
      <c r="DC351" s="2356" t="s">
        <v>2253</v>
      </c>
      <c r="DD351" s="2369">
        <v>19379</v>
      </c>
      <c r="DE351" s="2357">
        <v>950</v>
      </c>
      <c r="DF351" s="2358">
        <f>DE351/DD351*100</f>
        <v>4.9022137365189122</v>
      </c>
      <c r="DG351" s="2357">
        <v>1060</v>
      </c>
      <c r="DH351" s="2358">
        <f>DG351/DD351*100</f>
        <v>5.4698384849579442</v>
      </c>
      <c r="DI351" s="2357">
        <v>999</v>
      </c>
      <c r="DJ351" s="2358">
        <f>DI351/DD351*100</f>
        <v>5.1550647608235716</v>
      </c>
    </row>
    <row r="352" spans="107:114">
      <c r="DC352" s="2356" t="s">
        <v>2185</v>
      </c>
      <c r="DD352" s="2369">
        <v>24787</v>
      </c>
      <c r="DE352" s="2357">
        <v>1215</v>
      </c>
      <c r="DF352" s="2358">
        <f>DE352/DD352*100</f>
        <v>4.9017630209383958</v>
      </c>
      <c r="DG352" s="2357">
        <v>1296</v>
      </c>
      <c r="DH352" s="2358">
        <f>DG352/DD352*100</f>
        <v>5.2285472223342877</v>
      </c>
      <c r="DI352" s="2357">
        <v>1183</v>
      </c>
      <c r="DJ352" s="2358">
        <f>DI352/DD352*100</f>
        <v>4.7726630895227338</v>
      </c>
    </row>
    <row r="353" spans="107:114">
      <c r="DC353" s="2356" t="s">
        <v>2202</v>
      </c>
      <c r="DD353" s="2369">
        <v>22886</v>
      </c>
      <c r="DE353" s="2357">
        <v>1062</v>
      </c>
      <c r="DF353" s="2358">
        <f>DE353/DD353*100</f>
        <v>4.6403915057240237</v>
      </c>
      <c r="DG353" s="2357">
        <v>1290</v>
      </c>
      <c r="DH353" s="2358">
        <f>DG353/DD353*100</f>
        <v>5.6366337498907626</v>
      </c>
      <c r="DI353" s="2357">
        <v>1138</v>
      </c>
      <c r="DJ353" s="2358">
        <f>DI353/DD353*100</f>
        <v>4.9724722537796033</v>
      </c>
    </row>
    <row r="354" spans="107:114">
      <c r="DC354" s="2356" t="s">
        <v>2177</v>
      </c>
      <c r="DD354" s="2369">
        <v>56012</v>
      </c>
      <c r="DE354" s="2357">
        <v>3105</v>
      </c>
      <c r="DF354" s="2358">
        <f>DE354/DD354*100</f>
        <v>5.543454973934157</v>
      </c>
      <c r="DG354" s="2357">
        <v>2796</v>
      </c>
      <c r="DH354" s="2358">
        <f>DG354/DD354*100</f>
        <v>4.99178747411269</v>
      </c>
      <c r="DI354" s="2357">
        <v>2494</v>
      </c>
      <c r="DJ354" s="2358">
        <f>DI354/DD354*100</f>
        <v>4.452617296293651</v>
      </c>
    </row>
    <row r="355" spans="107:114">
      <c r="DC355" s="2368" t="s">
        <v>2208</v>
      </c>
      <c r="DD355" s="2367">
        <v>29867</v>
      </c>
      <c r="DE355" s="2366">
        <v>1692</v>
      </c>
      <c r="DF355" s="2365">
        <f>DE355/DD355*100</f>
        <v>5.6651153446948133</v>
      </c>
      <c r="DG355" s="2366">
        <v>1389</v>
      </c>
      <c r="DH355" s="2365">
        <f>DG355/DD355*100</f>
        <v>4.6506177386413095</v>
      </c>
      <c r="DI355" s="2366">
        <v>1274</v>
      </c>
      <c r="DJ355" s="2365">
        <f>DI355/DD355*100</f>
        <v>4.2655773931094521</v>
      </c>
    </row>
    <row r="356" spans="107:114">
      <c r="DC356" s="2356" t="s">
        <v>4069</v>
      </c>
      <c r="DD356" s="2356"/>
      <c r="DE356" s="2356"/>
      <c r="DF356" s="2356"/>
      <c r="DG356" s="2356"/>
      <c r="DH356" s="2356"/>
      <c r="DI356" s="2356"/>
      <c r="DJ356" s="2356"/>
    </row>
    <row r="357" spans="107:114">
      <c r="DC357" s="2356" t="s">
        <v>4076</v>
      </c>
      <c r="DD357" s="2356"/>
      <c r="DE357" s="2356"/>
      <c r="DF357" s="2356"/>
      <c r="DG357" s="2357" t="s">
        <v>3348</v>
      </c>
      <c r="DH357" s="2356"/>
      <c r="DI357" s="2357" t="s">
        <v>3348</v>
      </c>
      <c r="DJ357" s="2356"/>
    </row>
    <row r="358" spans="107:114">
      <c r="DC358" s="2356" t="s">
        <v>4078</v>
      </c>
      <c r="DD358" s="2356"/>
      <c r="DE358" s="2356"/>
      <c r="DF358" s="2356"/>
      <c r="DG358" s="2356"/>
      <c r="DH358" s="2356"/>
      <c r="DI358" s="2356"/>
      <c r="DJ358" s="2356"/>
    </row>
    <row r="359" spans="107:114">
      <c r="DC359" s="876"/>
      <c r="DD359" s="876"/>
      <c r="DE359" s="876"/>
      <c r="DF359" s="876"/>
      <c r="DG359" s="876"/>
      <c r="DH359" s="876"/>
      <c r="DI359" s="876"/>
      <c r="DJ359" s="876"/>
    </row>
    <row r="360" spans="107:114">
      <c r="DC360" s="876"/>
      <c r="DD360" s="876"/>
      <c r="DE360" s="876"/>
      <c r="DF360" s="876"/>
      <c r="DG360" s="876"/>
      <c r="DH360" s="876"/>
      <c r="DI360" s="876"/>
      <c r="DJ360" s="876"/>
    </row>
    <row r="361" spans="107:114">
      <c r="DC361" s="876"/>
      <c r="DD361" s="876"/>
      <c r="DE361" s="876"/>
      <c r="DF361" s="876"/>
      <c r="DG361" s="876"/>
      <c r="DH361" s="876"/>
      <c r="DI361" s="876"/>
      <c r="DJ361" s="876"/>
    </row>
    <row r="362" spans="107:114">
      <c r="DC362" s="2368" t="s">
        <v>4183</v>
      </c>
      <c r="DD362" s="2368"/>
      <c r="DE362" s="2356"/>
      <c r="DF362" s="2356"/>
      <c r="DG362" s="2356"/>
      <c r="DH362" s="2356"/>
      <c r="DI362" s="2368"/>
      <c r="DJ362" s="2368"/>
    </row>
    <row r="363" spans="107:114" ht="12.75" customHeight="1">
      <c r="DC363" s="2387"/>
      <c r="DD363" s="2386"/>
      <c r="DE363" s="2383" t="s">
        <v>4165</v>
      </c>
      <c r="DF363" s="2382"/>
      <c r="DG363" s="2383" t="s">
        <v>4162</v>
      </c>
      <c r="DH363" s="2382"/>
      <c r="DI363" s="2383" t="s">
        <v>4168</v>
      </c>
      <c r="DJ363" s="2382"/>
    </row>
    <row r="364" spans="107:114">
      <c r="DC364" s="2356" t="s">
        <v>4013</v>
      </c>
      <c r="DD364" s="2381" t="s">
        <v>4019</v>
      </c>
      <c r="DE364" s="2377"/>
      <c r="DF364" s="2376"/>
      <c r="DG364" s="2377"/>
      <c r="DH364" s="2376"/>
      <c r="DI364" s="2377"/>
      <c r="DJ364" s="2376"/>
    </row>
    <row r="365" spans="107:114">
      <c r="DC365" s="2375" t="s">
        <v>4020</v>
      </c>
      <c r="DD365" s="2374" t="s">
        <v>3986</v>
      </c>
      <c r="DE365" s="2373" t="s">
        <v>1665</v>
      </c>
      <c r="DF365" s="2373" t="s">
        <v>1666</v>
      </c>
      <c r="DG365" s="2373" t="s">
        <v>1665</v>
      </c>
      <c r="DH365" s="2371" t="s">
        <v>1666</v>
      </c>
      <c r="DI365" s="2372" t="s">
        <v>1665</v>
      </c>
      <c r="DJ365" s="2371" t="s">
        <v>1666</v>
      </c>
    </row>
    <row r="366" spans="107:114">
      <c r="DC366" s="2356" t="s">
        <v>3503</v>
      </c>
      <c r="DD366" s="2359">
        <f>SUM(DD367:DD385)</f>
        <v>294265</v>
      </c>
      <c r="DE366" s="2357">
        <f>SUM(DE367:DE385)</f>
        <v>13571</v>
      </c>
      <c r="DF366" s="2358">
        <f>DE366/DD366*100</f>
        <v>4.6118294734338097</v>
      </c>
      <c r="DG366" s="2357">
        <f>SUM(DG367:DG385)</f>
        <v>13468</v>
      </c>
      <c r="DH366" s="2358">
        <f>DG366/DD366*100</f>
        <v>4.5768270096681567</v>
      </c>
      <c r="DI366" s="2357">
        <f>SUM(DI367:DI385)</f>
        <v>13225</v>
      </c>
      <c r="DJ366" s="2358">
        <f>DI366/DD366*100</f>
        <v>4.4942483815608378</v>
      </c>
    </row>
    <row r="367" spans="107:114">
      <c r="DC367" s="2360" t="s">
        <v>2384</v>
      </c>
      <c r="DD367" s="2370">
        <v>2635</v>
      </c>
      <c r="DE367" s="2357">
        <v>113</v>
      </c>
      <c r="DF367" s="2358">
        <f>DE367/DD367*100</f>
        <v>4.2884250474383299</v>
      </c>
      <c r="DG367" s="2357">
        <v>115</v>
      </c>
      <c r="DH367" s="2358">
        <f>DG367/DD367*100</f>
        <v>4.3643263757115749</v>
      </c>
      <c r="DI367" s="2357">
        <v>119</v>
      </c>
      <c r="DJ367" s="2358">
        <f>DI367/DD367*100</f>
        <v>4.5161290322580641</v>
      </c>
    </row>
    <row r="368" spans="107:114">
      <c r="DC368" s="2356" t="s">
        <v>2252</v>
      </c>
      <c r="DD368" s="2357">
        <v>6606</v>
      </c>
      <c r="DE368" s="2357">
        <v>355</v>
      </c>
      <c r="DF368" s="2358">
        <f>DE368/DD368*100</f>
        <v>5.3739025128670903</v>
      </c>
      <c r="DG368" s="2357">
        <v>305</v>
      </c>
      <c r="DH368" s="2358">
        <f>DG368/DD368*100</f>
        <v>4.6170148349984865</v>
      </c>
      <c r="DI368" s="2357">
        <v>282</v>
      </c>
      <c r="DJ368" s="2358">
        <f>DI368/DD368*100</f>
        <v>4.2688465031789278</v>
      </c>
    </row>
    <row r="369" spans="107:114">
      <c r="DC369" s="2356" t="s">
        <v>2195</v>
      </c>
      <c r="DD369" s="2357">
        <v>5177</v>
      </c>
      <c r="DE369" s="2357">
        <v>247</v>
      </c>
      <c r="DF369" s="2358">
        <f>DE369/DD369*100</f>
        <v>4.7711029553795639</v>
      </c>
      <c r="DG369" s="2357">
        <v>224</v>
      </c>
      <c r="DH369" s="2358">
        <f>DG369/DD369*100</f>
        <v>4.3268302105466487</v>
      </c>
      <c r="DI369" s="2357">
        <v>240</v>
      </c>
      <c r="DJ369" s="2358">
        <f>DI369/DD369*100</f>
        <v>4.6358895112999807</v>
      </c>
    </row>
    <row r="370" spans="107:114">
      <c r="DC370" s="2356" t="s">
        <v>4042</v>
      </c>
      <c r="DD370" s="2369">
        <v>12820</v>
      </c>
      <c r="DE370" s="2357">
        <v>613</v>
      </c>
      <c r="DF370" s="2358">
        <f>DE370/DD370*100</f>
        <v>4.7815912636505464</v>
      </c>
      <c r="DG370" s="2357">
        <v>624</v>
      </c>
      <c r="DH370" s="2358">
        <f>DG370/DD370*100</f>
        <v>4.8673946957878318</v>
      </c>
      <c r="DI370" s="2357">
        <v>568</v>
      </c>
      <c r="DJ370" s="2358">
        <f>DI370/DD370*100</f>
        <v>4.4305772230889238</v>
      </c>
    </row>
    <row r="371" spans="107:114">
      <c r="DC371" s="2356" t="s">
        <v>4045</v>
      </c>
      <c r="DD371" s="2369">
        <v>11138</v>
      </c>
      <c r="DE371" s="2357">
        <v>521</v>
      </c>
      <c r="DF371" s="2358">
        <f>DE371/DD371*100</f>
        <v>4.6776800143652357</v>
      </c>
      <c r="DG371" s="2357">
        <v>484</v>
      </c>
      <c r="DH371" s="2358">
        <f>DG371/DD371*100</f>
        <v>4.3454839288920812</v>
      </c>
      <c r="DI371" s="2357">
        <v>472</v>
      </c>
      <c r="DJ371" s="2358">
        <f>DI371/DD371*100</f>
        <v>4.2377446579278146</v>
      </c>
    </row>
    <row r="372" spans="107:114">
      <c r="DC372" s="2356" t="s">
        <v>4048</v>
      </c>
      <c r="DD372" s="2357">
        <v>4229</v>
      </c>
      <c r="DE372" s="2357">
        <v>238</v>
      </c>
      <c r="DF372" s="2358">
        <f>DE372/DD372*100</f>
        <v>5.6278079924331994</v>
      </c>
      <c r="DG372" s="2357">
        <v>181</v>
      </c>
      <c r="DH372" s="2358">
        <f>DG372/DD372*100</f>
        <v>4.2799716244975174</v>
      </c>
      <c r="DI372" s="2357">
        <v>197</v>
      </c>
      <c r="DJ372" s="2358">
        <f>DI372/DD372*100</f>
        <v>4.6583116576022698</v>
      </c>
    </row>
    <row r="373" spans="107:114">
      <c r="DC373" s="2356" t="s">
        <v>2151</v>
      </c>
      <c r="DD373" s="2369">
        <v>8151</v>
      </c>
      <c r="DE373" s="2357">
        <v>412</v>
      </c>
      <c r="DF373" s="2358">
        <f>DE373/DD373*100</f>
        <v>5.0545945282787388</v>
      </c>
      <c r="DG373" s="2357">
        <v>351</v>
      </c>
      <c r="DH373" s="2358">
        <f>DG373/DD373*100</f>
        <v>4.3062200956937797</v>
      </c>
      <c r="DI373" s="2357">
        <v>297</v>
      </c>
      <c r="DJ373" s="2358">
        <f>DI373/DD373*100</f>
        <v>3.6437246963562751</v>
      </c>
    </row>
    <row r="374" spans="107:114">
      <c r="DC374" s="2356" t="s">
        <v>4052</v>
      </c>
      <c r="DD374" s="2369">
        <v>13429</v>
      </c>
      <c r="DE374" s="2357">
        <v>582</v>
      </c>
      <c r="DF374" s="2358">
        <f>DE374/DD374*100</f>
        <v>4.3339042370988157</v>
      </c>
      <c r="DG374" s="2357">
        <v>699</v>
      </c>
      <c r="DH374" s="2358">
        <f>DG374/DD374*100</f>
        <v>5.2051530270310522</v>
      </c>
      <c r="DI374" s="2357">
        <v>512</v>
      </c>
      <c r="DJ374" s="2358">
        <f>DI374/DD374*100</f>
        <v>3.8126442773102989</v>
      </c>
    </row>
    <row r="375" spans="107:114">
      <c r="DC375" s="2356" t="s">
        <v>4056</v>
      </c>
      <c r="DD375" s="2369">
        <v>10817</v>
      </c>
      <c r="DE375" s="2357">
        <v>479</v>
      </c>
      <c r="DF375" s="2358">
        <f>DE375/DD375*100</f>
        <v>4.4282148470000928</v>
      </c>
      <c r="DG375" s="2357">
        <v>515</v>
      </c>
      <c r="DH375" s="2358">
        <f>DG375/DD375*100</f>
        <v>4.7610243135804753</v>
      </c>
      <c r="DI375" s="2357">
        <v>436</v>
      </c>
      <c r="DJ375" s="2358">
        <f>DI375/DD375*100</f>
        <v>4.0306924285846355</v>
      </c>
    </row>
    <row r="376" spans="107:114">
      <c r="DC376" s="2356" t="s">
        <v>2209</v>
      </c>
      <c r="DD376" s="2369">
        <v>17319</v>
      </c>
      <c r="DE376" s="2357">
        <v>726</v>
      </c>
      <c r="DF376" s="2358">
        <f>DE376/DD376*100</f>
        <v>4.1919279404122642</v>
      </c>
      <c r="DG376" s="2357">
        <v>773</v>
      </c>
      <c r="DH376" s="2358">
        <f>DG376/DD376*100</f>
        <v>4.4633061955078244</v>
      </c>
      <c r="DI376" s="2357">
        <v>768</v>
      </c>
      <c r="DJ376" s="2358">
        <f>DI376/DD376*100</f>
        <v>4.4344361683699987</v>
      </c>
    </row>
    <row r="377" spans="107:114">
      <c r="DC377" s="2356" t="s">
        <v>2352</v>
      </c>
      <c r="DD377" s="2369">
        <v>15001</v>
      </c>
      <c r="DE377" s="2357">
        <v>691</v>
      </c>
      <c r="DF377" s="2358">
        <f>DE377/DD377*100</f>
        <v>4.6063595760282645</v>
      </c>
      <c r="DG377" s="2357">
        <v>662</v>
      </c>
      <c r="DH377" s="2358">
        <f>DG377/DD377*100</f>
        <v>4.4130391307246182</v>
      </c>
      <c r="DI377" s="2357">
        <v>663</v>
      </c>
      <c r="DJ377" s="2358">
        <f>DI377/DD377*100</f>
        <v>4.419705352976468</v>
      </c>
    </row>
    <row r="378" spans="107:114">
      <c r="DC378" s="2356" t="s">
        <v>2261</v>
      </c>
      <c r="DD378" s="2369">
        <v>11200</v>
      </c>
      <c r="DE378" s="2357">
        <v>506</v>
      </c>
      <c r="DF378" s="2358">
        <f>DE378/DD378*100</f>
        <v>4.5178571428571432</v>
      </c>
      <c r="DG378" s="2357">
        <v>480</v>
      </c>
      <c r="DH378" s="2358">
        <f>DG378/DD378*100</f>
        <v>4.2857142857142856</v>
      </c>
      <c r="DI378" s="2357">
        <v>500</v>
      </c>
      <c r="DJ378" s="2358">
        <f>DI378/DD378*100</f>
        <v>4.4642857142857144</v>
      </c>
    </row>
    <row r="379" spans="107:114">
      <c r="DC379" s="2356" t="s">
        <v>2251</v>
      </c>
      <c r="DD379" s="2369">
        <v>11088</v>
      </c>
      <c r="DE379" s="2357">
        <v>497</v>
      </c>
      <c r="DF379" s="2358">
        <f>DE379/DD379*100</f>
        <v>4.4823232323232318</v>
      </c>
      <c r="DG379" s="2357">
        <v>511</v>
      </c>
      <c r="DH379" s="2358">
        <f>DG379/DD379*100</f>
        <v>4.6085858585858581</v>
      </c>
      <c r="DI379" s="2357">
        <v>541</v>
      </c>
      <c r="DJ379" s="2358">
        <f>DI379/DD379*100</f>
        <v>4.879148629148629</v>
      </c>
    </row>
    <row r="380" spans="107:114">
      <c r="DC380" s="2356" t="s">
        <v>2260</v>
      </c>
      <c r="DD380" s="2369">
        <v>11724</v>
      </c>
      <c r="DE380" s="2357">
        <v>494</v>
      </c>
      <c r="DF380" s="2358">
        <f>DE380/DD380*100</f>
        <v>4.2135789832821562</v>
      </c>
      <c r="DG380" s="2357">
        <v>553</v>
      </c>
      <c r="DH380" s="2358">
        <f>DG380/DD380*100</f>
        <v>4.7168201978846813</v>
      </c>
      <c r="DI380" s="2357">
        <v>612</v>
      </c>
      <c r="DJ380" s="2358">
        <f>DI380/DD380*100</f>
        <v>5.2200614124872056</v>
      </c>
    </row>
    <row r="381" spans="107:114">
      <c r="DC381" s="2356" t="s">
        <v>2253</v>
      </c>
      <c r="DD381" s="2369">
        <v>19379</v>
      </c>
      <c r="DE381" s="2357">
        <v>801</v>
      </c>
      <c r="DF381" s="2358">
        <f>DE381/DD381*100</f>
        <v>4.1333402136333142</v>
      </c>
      <c r="DG381" s="2357">
        <v>874</v>
      </c>
      <c r="DH381" s="2358">
        <f>DG381/DD381*100</f>
        <v>4.5100366375973993</v>
      </c>
      <c r="DI381" s="2357">
        <v>1021</v>
      </c>
      <c r="DJ381" s="2358">
        <f>DI381/DD381*100</f>
        <v>5.2685897105113781</v>
      </c>
    </row>
    <row r="382" spans="107:114">
      <c r="DC382" s="2356" t="s">
        <v>2185</v>
      </c>
      <c r="DD382" s="2369">
        <v>24787</v>
      </c>
      <c r="DE382" s="2357">
        <v>1110</v>
      </c>
      <c r="DF382" s="2358">
        <f>DE382/DD382*100</f>
        <v>4.4781538709807567</v>
      </c>
      <c r="DG382" s="2357">
        <v>1135</v>
      </c>
      <c r="DH382" s="2358">
        <f>DG382/DD382*100</f>
        <v>4.5790131923992412</v>
      </c>
      <c r="DI382" s="2357">
        <v>1187</v>
      </c>
      <c r="DJ382" s="2358">
        <f>DI382/DD382*100</f>
        <v>4.7888005809496912</v>
      </c>
    </row>
    <row r="383" spans="107:114">
      <c r="DC383" s="2356" t="s">
        <v>2202</v>
      </c>
      <c r="DD383" s="2369">
        <v>22886</v>
      </c>
      <c r="DE383" s="2357">
        <v>1000</v>
      </c>
      <c r="DF383" s="2358">
        <f>DE383/DD383*100</f>
        <v>4.3694835270471026</v>
      </c>
      <c r="DG383" s="2357">
        <v>1106</v>
      </c>
      <c r="DH383" s="2358">
        <f>DG383/DD383*100</f>
        <v>4.8326487809140959</v>
      </c>
      <c r="DI383" s="2357">
        <v>1118</v>
      </c>
      <c r="DJ383" s="2358">
        <f>DI383/DD383*100</f>
        <v>4.8850825832386615</v>
      </c>
    </row>
    <row r="384" spans="107:114">
      <c r="DC384" s="2356" t="s">
        <v>2177</v>
      </c>
      <c r="DD384" s="2369">
        <v>56012</v>
      </c>
      <c r="DE384" s="2357">
        <v>2710</v>
      </c>
      <c r="DF384" s="2358">
        <f>DE384/DD384*100</f>
        <v>4.8382489466542884</v>
      </c>
      <c r="DG384" s="2357">
        <v>2544</v>
      </c>
      <c r="DH384" s="2358">
        <f>DG384/DD384*100</f>
        <v>4.5418838820252807</v>
      </c>
      <c r="DI384" s="2357">
        <v>2385</v>
      </c>
      <c r="DJ384" s="2358">
        <f>DI384/DD384*100</f>
        <v>4.2580161393987002</v>
      </c>
    </row>
    <row r="385" spans="107:114">
      <c r="DC385" s="2368" t="s">
        <v>2208</v>
      </c>
      <c r="DD385" s="2367">
        <v>29867</v>
      </c>
      <c r="DE385" s="2366">
        <v>1476</v>
      </c>
      <c r="DF385" s="2365">
        <f>DE385/DD385*100</f>
        <v>4.9419091304784546</v>
      </c>
      <c r="DG385" s="2366">
        <v>1332</v>
      </c>
      <c r="DH385" s="2365">
        <f>DG385/DD385*100</f>
        <v>4.4597716543342152</v>
      </c>
      <c r="DI385" s="2366">
        <v>1307</v>
      </c>
      <c r="DJ385" s="2365">
        <f>DI385/DD385*100</f>
        <v>4.3760672313925069</v>
      </c>
    </row>
    <row r="386" spans="107:114">
      <c r="DC386" s="2356" t="s">
        <v>4069</v>
      </c>
      <c r="DD386" s="2356"/>
      <c r="DE386" s="2356"/>
      <c r="DF386" s="2356"/>
      <c r="DG386" s="2356"/>
      <c r="DH386" s="2358"/>
      <c r="DI386" s="2356"/>
      <c r="DJ386" s="2356"/>
    </row>
    <row r="387" spans="107:114">
      <c r="DC387" s="2356" t="s">
        <v>4076</v>
      </c>
      <c r="DD387" s="2356"/>
      <c r="DE387" s="2356"/>
      <c r="DF387" s="2356"/>
      <c r="DG387" s="2357" t="s">
        <v>3348</v>
      </c>
      <c r="DH387" s="2356"/>
      <c r="DI387" s="2357" t="s">
        <v>3348</v>
      </c>
      <c r="DJ387" s="2356"/>
    </row>
    <row r="388" spans="107:114">
      <c r="DC388" s="2356" t="s">
        <v>4078</v>
      </c>
      <c r="DD388" s="2356"/>
      <c r="DE388" s="2356"/>
      <c r="DF388" s="2356"/>
      <c r="DG388" s="2356"/>
      <c r="DH388" s="2356"/>
      <c r="DI388" s="2356"/>
      <c r="DJ388" s="2356"/>
    </row>
    <row r="392" spans="107:114">
      <c r="DC392" s="2368" t="s">
        <v>4184</v>
      </c>
      <c r="DD392" s="2368"/>
      <c r="DE392" s="2356"/>
      <c r="DF392" s="2356"/>
      <c r="DG392" s="2356"/>
      <c r="DH392" s="2356"/>
      <c r="DI392" s="2368"/>
      <c r="DJ392" s="2368"/>
    </row>
    <row r="393" spans="107:114">
      <c r="DC393" s="2387"/>
      <c r="DD393" s="2386"/>
      <c r="DE393" s="2383" t="s">
        <v>4185</v>
      </c>
      <c r="DF393" s="2385"/>
      <c r="DG393" s="2383" t="s">
        <v>4186</v>
      </c>
      <c r="DH393" s="2385"/>
      <c r="DI393" s="2383" t="s">
        <v>4173</v>
      </c>
      <c r="DJ393" s="2382"/>
    </row>
    <row r="394" spans="107:114">
      <c r="DC394" s="2356" t="s">
        <v>4013</v>
      </c>
      <c r="DD394" s="2381" t="s">
        <v>4019</v>
      </c>
      <c r="DE394" s="2377"/>
      <c r="DF394" s="2380"/>
      <c r="DG394" s="2377"/>
      <c r="DH394" s="2380"/>
      <c r="DI394" s="2377"/>
      <c r="DJ394" s="2376"/>
    </row>
    <row r="395" spans="107:114">
      <c r="DC395" s="2375" t="s">
        <v>4020</v>
      </c>
      <c r="DD395" s="2374" t="s">
        <v>3986</v>
      </c>
      <c r="DE395" s="2373" t="s">
        <v>1665</v>
      </c>
      <c r="DF395" s="2373" t="s">
        <v>1666</v>
      </c>
      <c r="DG395" s="2373" t="s">
        <v>1665</v>
      </c>
      <c r="DH395" s="2371" t="s">
        <v>1666</v>
      </c>
      <c r="DI395" s="2372" t="s">
        <v>1665</v>
      </c>
      <c r="DJ395" s="2371" t="s">
        <v>1666</v>
      </c>
    </row>
    <row r="396" spans="107:114">
      <c r="DC396" s="2356" t="s">
        <v>3503</v>
      </c>
      <c r="DD396" s="2359">
        <f>SUM(DD397:DD415)</f>
        <v>294265</v>
      </c>
      <c r="DE396" s="2357">
        <f>SUM(DE397:DE415)</f>
        <v>11850</v>
      </c>
      <c r="DF396" s="2358">
        <f>DE396/DD396*100</f>
        <v>4.0269824817766304</v>
      </c>
      <c r="DG396" s="2357">
        <f>SUM(DG397:DG415)</f>
        <v>11530</v>
      </c>
      <c r="DH396" s="2358">
        <f>DG396/DD396*100</f>
        <v>3.9182369632813963</v>
      </c>
      <c r="DI396" s="2357">
        <f>SUM(DI397:DI415)</f>
        <v>11246</v>
      </c>
      <c r="DJ396" s="2358">
        <f>DI396/DD396*100</f>
        <v>3.821725315616876</v>
      </c>
    </row>
    <row r="397" spans="107:114">
      <c r="DC397" s="2360" t="s">
        <v>2384</v>
      </c>
      <c r="DD397" s="2370">
        <v>2635</v>
      </c>
      <c r="DE397" s="2357">
        <v>111</v>
      </c>
      <c r="DF397" s="2358">
        <f>DE397/DD397*100</f>
        <v>4.2125237191650848</v>
      </c>
      <c r="DG397" s="2357">
        <v>95</v>
      </c>
      <c r="DH397" s="2358">
        <f>DG397/DD397*100</f>
        <v>3.6053130929791273</v>
      </c>
      <c r="DI397" s="2357">
        <v>128</v>
      </c>
      <c r="DJ397" s="2358">
        <f>DI397/DD397*100</f>
        <v>4.8576850094876658</v>
      </c>
    </row>
    <row r="398" spans="107:114">
      <c r="DC398" s="2356" t="s">
        <v>2252</v>
      </c>
      <c r="DD398" s="2357">
        <v>6606</v>
      </c>
      <c r="DE398" s="2357">
        <v>244</v>
      </c>
      <c r="DF398" s="2358">
        <f>DE398/DD398*100</f>
        <v>3.693611867998789</v>
      </c>
      <c r="DG398" s="2357">
        <v>252</v>
      </c>
      <c r="DH398" s="2358">
        <f>DG398/DD398*100</f>
        <v>3.8147138964577656</v>
      </c>
      <c r="DI398" s="2357">
        <v>265</v>
      </c>
      <c r="DJ398" s="2358">
        <f>DI398/DD398*100</f>
        <v>4.0115046927036024</v>
      </c>
    </row>
    <row r="399" spans="107:114">
      <c r="DC399" s="2356" t="s">
        <v>2195</v>
      </c>
      <c r="DD399" s="2357">
        <v>5177</v>
      </c>
      <c r="DE399" s="2357">
        <v>190</v>
      </c>
      <c r="DF399" s="2358">
        <f>DE399/DD399*100</f>
        <v>3.6700791964458181</v>
      </c>
      <c r="DG399" s="2357">
        <v>225</v>
      </c>
      <c r="DH399" s="2358">
        <f>DG399/DD399*100</f>
        <v>4.346146416843732</v>
      </c>
      <c r="DI399" s="2357">
        <v>206</v>
      </c>
      <c r="DJ399" s="2358">
        <f>DI399/DD399*100</f>
        <v>3.9791384971991501</v>
      </c>
    </row>
    <row r="400" spans="107:114">
      <c r="DC400" s="2356" t="s">
        <v>4042</v>
      </c>
      <c r="DD400" s="2369">
        <v>12820</v>
      </c>
      <c r="DE400" s="2357">
        <v>557</v>
      </c>
      <c r="DF400" s="2358">
        <f>DE400/DD400*100</f>
        <v>4.3447737909516375</v>
      </c>
      <c r="DG400" s="2357">
        <v>472</v>
      </c>
      <c r="DH400" s="2358">
        <f>DG400/DD400*100</f>
        <v>3.6817472698907956</v>
      </c>
      <c r="DI400" s="2357">
        <v>523</v>
      </c>
      <c r="DJ400" s="2358">
        <f>DI400/DD400*100</f>
        <v>4.0795631825273011</v>
      </c>
    </row>
    <row r="401" spans="107:114">
      <c r="DC401" s="2356" t="s">
        <v>4045</v>
      </c>
      <c r="DD401" s="2369">
        <v>11138</v>
      </c>
      <c r="DE401" s="2357">
        <v>425</v>
      </c>
      <c r="DF401" s="2358">
        <f>DE401/DD401*100</f>
        <v>3.8157658466511042</v>
      </c>
      <c r="DG401" s="2357">
        <v>434</v>
      </c>
      <c r="DH401" s="2358">
        <f>DG401/DD401*100</f>
        <v>3.8965702998743046</v>
      </c>
      <c r="DI401" s="2357">
        <v>407</v>
      </c>
      <c r="DJ401" s="2358">
        <f>DI401/DD401*100</f>
        <v>3.6541569402047043</v>
      </c>
    </row>
    <row r="402" spans="107:114">
      <c r="DC402" s="2356" t="s">
        <v>4048</v>
      </c>
      <c r="DD402" s="2357">
        <v>4229</v>
      </c>
      <c r="DE402" s="2357">
        <v>199</v>
      </c>
      <c r="DF402" s="2358">
        <f>DE402/DD402*100</f>
        <v>4.7056041617403643</v>
      </c>
      <c r="DG402" s="2357">
        <v>151</v>
      </c>
      <c r="DH402" s="2358">
        <f>DG402/DD402*100</f>
        <v>3.5705840624261054</v>
      </c>
      <c r="DI402" s="2357">
        <v>167</v>
      </c>
      <c r="DJ402" s="2358">
        <f>DI402/DD402*100</f>
        <v>3.9489240955308582</v>
      </c>
    </row>
    <row r="403" spans="107:114">
      <c r="DC403" s="2356" t="s">
        <v>2151</v>
      </c>
      <c r="DD403" s="2369">
        <v>8151</v>
      </c>
      <c r="DE403" s="2357">
        <v>394</v>
      </c>
      <c r="DF403" s="2358">
        <f>DE403/DD403*100</f>
        <v>4.833762728499571</v>
      </c>
      <c r="DG403" s="2357">
        <v>471</v>
      </c>
      <c r="DH403" s="2358">
        <f>DG403/DD403*100</f>
        <v>5.7784320942215679</v>
      </c>
      <c r="DI403" s="2357">
        <v>277</v>
      </c>
      <c r="DJ403" s="2358">
        <f>DI403/DD403*100</f>
        <v>3.3983560299349769</v>
      </c>
    </row>
    <row r="404" spans="107:114">
      <c r="DC404" s="2356" t="s">
        <v>4052</v>
      </c>
      <c r="DD404" s="2369">
        <v>13429</v>
      </c>
      <c r="DE404" s="2357">
        <v>562</v>
      </c>
      <c r="DF404" s="2358">
        <f>DE404/DD404*100</f>
        <v>4.1849728200163829</v>
      </c>
      <c r="DG404" s="2357">
        <v>594</v>
      </c>
      <c r="DH404" s="2358">
        <f>DG404/DD404*100</f>
        <v>4.4232630873482757</v>
      </c>
      <c r="DI404" s="2357">
        <v>486</v>
      </c>
      <c r="DJ404" s="2358">
        <f>DI404/DD404*100</f>
        <v>3.6190334351031348</v>
      </c>
    </row>
    <row r="405" spans="107:114">
      <c r="DC405" s="2356" t="s">
        <v>4056</v>
      </c>
      <c r="DD405" s="2369">
        <v>10817</v>
      </c>
      <c r="DE405" s="2357">
        <v>448</v>
      </c>
      <c r="DF405" s="2358">
        <f>DE405/DD405*100</f>
        <v>4.1416289174447636</v>
      </c>
      <c r="DG405" s="2357">
        <v>487</v>
      </c>
      <c r="DH405" s="2358">
        <f>DG405/DD405*100</f>
        <v>4.5021725062401776</v>
      </c>
      <c r="DI405" s="2357">
        <v>397</v>
      </c>
      <c r="DJ405" s="2358">
        <f>DI405/DD405*100</f>
        <v>3.670148839789221</v>
      </c>
    </row>
    <row r="406" spans="107:114">
      <c r="DC406" s="2356" t="s">
        <v>2209</v>
      </c>
      <c r="DD406" s="2369">
        <v>17319</v>
      </c>
      <c r="DE406" s="2357">
        <v>700</v>
      </c>
      <c r="DF406" s="2358">
        <f>DE406/DD406*100</f>
        <v>4.0418037992955718</v>
      </c>
      <c r="DG406" s="2357">
        <v>704</v>
      </c>
      <c r="DH406" s="2358">
        <f>DG406/DD406*100</f>
        <v>4.0648998210058318</v>
      </c>
      <c r="DI406" s="2357">
        <v>589</v>
      </c>
      <c r="DJ406" s="2358">
        <f>DI406/DD406*100</f>
        <v>3.4008891968358448</v>
      </c>
    </row>
    <row r="407" spans="107:114">
      <c r="DC407" s="2356" t="s">
        <v>2352</v>
      </c>
      <c r="DD407" s="2369">
        <v>15001</v>
      </c>
      <c r="DE407" s="2357">
        <v>604</v>
      </c>
      <c r="DF407" s="2358">
        <f>DE407/DD407*100</f>
        <v>4.0263982401173255</v>
      </c>
      <c r="DG407" s="2357">
        <v>646</v>
      </c>
      <c r="DH407" s="2358">
        <f>DG407/DD407*100</f>
        <v>4.3063795746950202</v>
      </c>
      <c r="DI407" s="2357">
        <v>543</v>
      </c>
      <c r="DJ407" s="2358">
        <f>DI407/DD407*100</f>
        <v>3.6197586827544828</v>
      </c>
    </row>
    <row r="408" spans="107:114">
      <c r="DC408" s="2356" t="s">
        <v>2261</v>
      </c>
      <c r="DD408" s="2369">
        <v>11200</v>
      </c>
      <c r="DE408" s="2357">
        <v>468</v>
      </c>
      <c r="DF408" s="2358">
        <f>DE408/DD408*100</f>
        <v>4.1785714285714288</v>
      </c>
      <c r="DG408" s="2357">
        <v>479</v>
      </c>
      <c r="DH408" s="2358">
        <f>DG408/DD408*100</f>
        <v>4.2767857142857144</v>
      </c>
      <c r="DI408" s="2357">
        <v>460</v>
      </c>
      <c r="DJ408" s="2358">
        <f>DI408/DD408*100</f>
        <v>4.1071428571428568</v>
      </c>
    </row>
    <row r="409" spans="107:114">
      <c r="DC409" s="2356" t="s">
        <v>2251</v>
      </c>
      <c r="DD409" s="2369">
        <v>11088</v>
      </c>
      <c r="DE409" s="2357">
        <v>460</v>
      </c>
      <c r="DF409" s="2358">
        <f>DE409/DD409*100</f>
        <v>4.1486291486291487</v>
      </c>
      <c r="DG409" s="2357">
        <v>443</v>
      </c>
      <c r="DH409" s="2358">
        <f>DG409/DD409*100</f>
        <v>3.9953102453102454</v>
      </c>
      <c r="DI409" s="2357">
        <v>430</v>
      </c>
      <c r="DJ409" s="2358">
        <f>DI409/DD409*100</f>
        <v>3.8780663780663782</v>
      </c>
    </row>
    <row r="410" spans="107:114">
      <c r="DC410" s="2356" t="s">
        <v>2260</v>
      </c>
      <c r="DD410" s="2369">
        <v>11724</v>
      </c>
      <c r="DE410" s="2357">
        <v>466</v>
      </c>
      <c r="DF410" s="2358">
        <f>DE410/DD410*100</f>
        <v>3.9747526441487544</v>
      </c>
      <c r="DG410" s="2357">
        <v>410</v>
      </c>
      <c r="DH410" s="2358">
        <f>DG410/DD410*100</f>
        <v>3.4970999658819517</v>
      </c>
      <c r="DI410" s="2357">
        <v>507</v>
      </c>
      <c r="DJ410" s="2358">
        <f>DI410/DD410*100</f>
        <v>4.3244626407369502</v>
      </c>
    </row>
    <row r="411" spans="107:114">
      <c r="DC411" s="2356" t="s">
        <v>2253</v>
      </c>
      <c r="DD411" s="2369">
        <v>19379</v>
      </c>
      <c r="DE411" s="2357">
        <v>684</v>
      </c>
      <c r="DF411" s="2358">
        <f>DE411/DD411*100</f>
        <v>3.5295938902936168</v>
      </c>
      <c r="DG411" s="2357">
        <v>739</v>
      </c>
      <c r="DH411" s="2358">
        <f>DG411/DD411*100</f>
        <v>3.8134062645131328</v>
      </c>
      <c r="DI411" s="2357">
        <v>790</v>
      </c>
      <c r="DJ411" s="2358">
        <f>DI411/DD411*100</f>
        <v>4.0765777387894104</v>
      </c>
    </row>
    <row r="412" spans="107:114">
      <c r="DC412" s="2356" t="s">
        <v>2185</v>
      </c>
      <c r="DD412" s="2369">
        <v>24787</v>
      </c>
      <c r="DE412" s="2357">
        <v>1026</v>
      </c>
      <c r="DF412" s="2358">
        <f>DE412/DD412*100</f>
        <v>4.1392665510146447</v>
      </c>
      <c r="DG412" s="2357">
        <v>968</v>
      </c>
      <c r="DH412" s="2358">
        <f>DG412/DD412*100</f>
        <v>3.9052729253237586</v>
      </c>
      <c r="DI412" s="2357">
        <v>914</v>
      </c>
      <c r="DJ412" s="2358">
        <f>DI412/DD412*100</f>
        <v>3.6874167910598299</v>
      </c>
    </row>
    <row r="413" spans="107:114">
      <c r="DC413" s="2356" t="s">
        <v>2202</v>
      </c>
      <c r="DD413" s="2369">
        <v>22886</v>
      </c>
      <c r="DE413" s="2357">
        <v>881</v>
      </c>
      <c r="DF413" s="2358">
        <f>DE413/DD413*100</f>
        <v>3.8495149873284977</v>
      </c>
      <c r="DG413" s="2357">
        <v>841</v>
      </c>
      <c r="DH413" s="2358">
        <f>DG413/DD413*100</f>
        <v>3.6747356462466136</v>
      </c>
      <c r="DI413" s="2357">
        <v>1023</v>
      </c>
      <c r="DJ413" s="2358">
        <f>DI413/DD413*100</f>
        <v>4.4699816481691865</v>
      </c>
    </row>
    <row r="414" spans="107:114">
      <c r="DC414" s="2356" t="s">
        <v>2177</v>
      </c>
      <c r="DD414" s="2369">
        <v>56012</v>
      </c>
      <c r="DE414" s="2357">
        <v>2250</v>
      </c>
      <c r="DF414" s="2358">
        <f>DE414/DD414*100</f>
        <v>4.0169963579233015</v>
      </c>
      <c r="DG414" s="2357">
        <v>1968</v>
      </c>
      <c r="DH414" s="2358">
        <f>DG414/DD414*100</f>
        <v>3.5135328143969149</v>
      </c>
      <c r="DI414" s="2357">
        <v>2058</v>
      </c>
      <c r="DJ414" s="2358">
        <f>DI414/DD414*100</f>
        <v>3.6742126687138472</v>
      </c>
    </row>
    <row r="415" spans="107:114">
      <c r="DC415" s="2368" t="s">
        <v>2208</v>
      </c>
      <c r="DD415" s="2367">
        <v>29867</v>
      </c>
      <c r="DE415" s="2366">
        <v>1181</v>
      </c>
      <c r="DF415" s="2365">
        <f>DE415/DD415*100</f>
        <v>3.9541969397662977</v>
      </c>
      <c r="DG415" s="2366">
        <v>1151</v>
      </c>
      <c r="DH415" s="2365">
        <f>DG415/DD415*100</f>
        <v>3.8537516322362473</v>
      </c>
      <c r="DI415" s="2366">
        <v>1076</v>
      </c>
      <c r="DJ415" s="2365">
        <f>DI415/DD415*100</f>
        <v>3.6026383634111223</v>
      </c>
    </row>
    <row r="416" spans="107:114">
      <c r="DC416" s="2356" t="s">
        <v>4069</v>
      </c>
      <c r="DD416" s="2356"/>
      <c r="DE416" s="2356"/>
      <c r="DF416" s="2356"/>
      <c r="DG416" s="2356"/>
      <c r="DH416" s="2356"/>
      <c r="DI416" s="2356"/>
      <c r="DJ416" s="2356"/>
    </row>
    <row r="417" spans="107:114">
      <c r="DC417" s="2356" t="s">
        <v>4076</v>
      </c>
      <c r="DD417" s="2356"/>
      <c r="DE417" s="2356"/>
      <c r="DF417" s="2356"/>
      <c r="DG417" s="2357" t="s">
        <v>3348</v>
      </c>
      <c r="DH417" s="2356"/>
      <c r="DI417" s="2357" t="s">
        <v>3348</v>
      </c>
      <c r="DJ417" s="2356"/>
    </row>
    <row r="418" spans="107:114">
      <c r="DC418" s="2356" t="s">
        <v>4078</v>
      </c>
      <c r="DD418" s="2356"/>
      <c r="DE418" s="2356"/>
      <c r="DF418" s="2356"/>
      <c r="DG418" s="2356"/>
      <c r="DH418" s="2356"/>
      <c r="DI418" s="2356"/>
      <c r="DJ418" s="2356"/>
    </row>
    <row r="422" spans="107:114">
      <c r="DC422" s="2368" t="s">
        <v>4187</v>
      </c>
      <c r="DD422" s="2368"/>
      <c r="DE422" s="2356"/>
      <c r="DF422" s="2356"/>
      <c r="DG422" s="2356"/>
      <c r="DH422" s="2356"/>
      <c r="DI422" s="2368"/>
      <c r="DJ422" s="2368"/>
    </row>
    <row r="423" spans="107:114">
      <c r="DC423" s="2387"/>
      <c r="DD423" s="2386"/>
      <c r="DE423" s="2383" t="s">
        <v>4188</v>
      </c>
      <c r="DF423" s="2385"/>
      <c r="DG423" s="2383" t="s">
        <v>4161</v>
      </c>
      <c r="DH423" s="2384"/>
      <c r="DI423" s="2383" t="s">
        <v>4189</v>
      </c>
      <c r="DJ423" s="2382"/>
    </row>
    <row r="424" spans="107:114">
      <c r="DC424" s="2356" t="s">
        <v>4013</v>
      </c>
      <c r="DD424" s="2381" t="s">
        <v>4019</v>
      </c>
      <c r="DE424" s="2377"/>
      <c r="DF424" s="2380"/>
      <c r="DG424" s="2379"/>
      <c r="DH424" s="2378"/>
      <c r="DI424" s="2377"/>
      <c r="DJ424" s="2376"/>
    </row>
    <row r="425" spans="107:114">
      <c r="DC425" s="2375" t="s">
        <v>4020</v>
      </c>
      <c r="DD425" s="2374" t="s">
        <v>3986</v>
      </c>
      <c r="DE425" s="2373" t="s">
        <v>1665</v>
      </c>
      <c r="DF425" s="2373" t="s">
        <v>1666</v>
      </c>
      <c r="DG425" s="2373" t="s">
        <v>1665</v>
      </c>
      <c r="DH425" s="2371" t="s">
        <v>1666</v>
      </c>
      <c r="DI425" s="2372" t="s">
        <v>1665</v>
      </c>
      <c r="DJ425" s="2371" t="s">
        <v>1666</v>
      </c>
    </row>
    <row r="426" spans="107:114">
      <c r="DC426" s="2356" t="s">
        <v>3503</v>
      </c>
      <c r="DD426" s="2359">
        <f>SUM(DD427:DD445)</f>
        <v>294265</v>
      </c>
      <c r="DE426" s="2357">
        <f>SUM(DE427:DE445)</f>
        <v>10226</v>
      </c>
      <c r="DF426" s="2358">
        <f>DE426/DD426*100</f>
        <v>3.4750989754133181</v>
      </c>
      <c r="DG426" s="2357">
        <f>SUM(DG427:DG445)</f>
        <v>9976</v>
      </c>
      <c r="DH426" s="2358">
        <f>DG426/DD426*100</f>
        <v>3.3901415390889165</v>
      </c>
      <c r="DI426" s="2357">
        <f>SUM(DI427:DI445)</f>
        <v>9774</v>
      </c>
      <c r="DJ426" s="2358">
        <f>DI426/DD426*100</f>
        <v>3.3214959305388003</v>
      </c>
    </row>
    <row r="427" spans="107:114">
      <c r="DC427" s="2360" t="s">
        <v>2384</v>
      </c>
      <c r="DD427" s="2370">
        <v>2635</v>
      </c>
      <c r="DE427" s="2357">
        <v>96</v>
      </c>
      <c r="DF427" s="2358">
        <f>DE427/DD427*100</f>
        <v>3.6432637571157493</v>
      </c>
      <c r="DG427" s="2357">
        <v>88</v>
      </c>
      <c r="DH427" s="2358">
        <f>DG427/DD427*100</f>
        <v>3.3396584440227701</v>
      </c>
      <c r="DI427" s="2357">
        <v>72</v>
      </c>
      <c r="DJ427" s="2358">
        <f>DI427/DD427*100</f>
        <v>2.7324478178368121</v>
      </c>
    </row>
    <row r="428" spans="107:114">
      <c r="DC428" s="2356" t="s">
        <v>2252</v>
      </c>
      <c r="DD428" s="2357">
        <v>6606</v>
      </c>
      <c r="DE428" s="2357">
        <v>229</v>
      </c>
      <c r="DF428" s="2358">
        <f>DE428/DD428*100</f>
        <v>3.4665455646382077</v>
      </c>
      <c r="DG428" s="2357">
        <v>230</v>
      </c>
      <c r="DH428" s="2358">
        <f>DG428/DD428*100</f>
        <v>3.4816833181955795</v>
      </c>
      <c r="DI428" s="2357">
        <v>212</v>
      </c>
      <c r="DJ428" s="2358">
        <f>DI428/DD428*100</f>
        <v>3.2092037541628824</v>
      </c>
    </row>
    <row r="429" spans="107:114">
      <c r="DC429" s="2356" t="s">
        <v>2195</v>
      </c>
      <c r="DD429" s="2357">
        <v>5177</v>
      </c>
      <c r="DE429" s="2357">
        <v>204</v>
      </c>
      <c r="DF429" s="2358">
        <f>DE429/DD429*100</f>
        <v>3.9405060846049835</v>
      </c>
      <c r="DG429" s="2357">
        <v>162</v>
      </c>
      <c r="DH429" s="2358">
        <f>DG429/DD429*100</f>
        <v>3.1292254201274869</v>
      </c>
      <c r="DI429" s="2357">
        <v>147</v>
      </c>
      <c r="DJ429" s="2358">
        <f>DI429/DD429*100</f>
        <v>2.8394823256712378</v>
      </c>
    </row>
    <row r="430" spans="107:114">
      <c r="DC430" s="2356" t="s">
        <v>4042</v>
      </c>
      <c r="DD430" s="2369">
        <v>12820</v>
      </c>
      <c r="DE430" s="2357">
        <v>448</v>
      </c>
      <c r="DF430" s="2358">
        <f>DE430/DD430*100</f>
        <v>3.4945397815912638</v>
      </c>
      <c r="DG430" s="2357">
        <v>394</v>
      </c>
      <c r="DH430" s="2358">
        <f>DG430/DD430*100</f>
        <v>3.0733229329173164</v>
      </c>
      <c r="DI430" s="2357">
        <v>442</v>
      </c>
      <c r="DJ430" s="2358">
        <f>DI430/DD430*100</f>
        <v>3.4477379095163809</v>
      </c>
    </row>
    <row r="431" spans="107:114">
      <c r="DC431" s="2356" t="s">
        <v>4045</v>
      </c>
      <c r="DD431" s="2369">
        <v>11138</v>
      </c>
      <c r="DE431" s="2357">
        <v>425</v>
      </c>
      <c r="DF431" s="2358">
        <f>DE431/DD431*100</f>
        <v>3.8157658466511042</v>
      </c>
      <c r="DG431" s="2357">
        <v>359</v>
      </c>
      <c r="DH431" s="2358">
        <f>DG431/DD431*100</f>
        <v>3.2231998563476387</v>
      </c>
      <c r="DI431" s="2357">
        <v>348</v>
      </c>
      <c r="DJ431" s="2358">
        <f>DI431/DD431*100</f>
        <v>3.1244388579637277</v>
      </c>
    </row>
    <row r="432" spans="107:114">
      <c r="DC432" s="2356" t="s">
        <v>4048</v>
      </c>
      <c r="DD432" s="2357">
        <v>4229</v>
      </c>
      <c r="DE432" s="2357">
        <v>132</v>
      </c>
      <c r="DF432" s="2358">
        <f>DE432/DD432*100</f>
        <v>3.1213052731142112</v>
      </c>
      <c r="DG432" s="2357">
        <v>114</v>
      </c>
      <c r="DH432" s="2358">
        <f>DG432/DD432*100</f>
        <v>2.6956727358713644</v>
      </c>
      <c r="DI432" s="2357">
        <v>153</v>
      </c>
      <c r="DJ432" s="2358">
        <f>DI432/DD432*100</f>
        <v>3.6178765665641994</v>
      </c>
    </row>
    <row r="433" spans="107:114">
      <c r="DC433" s="2356" t="s">
        <v>2151</v>
      </c>
      <c r="DD433" s="2369">
        <v>8151</v>
      </c>
      <c r="DE433" s="2357">
        <v>239</v>
      </c>
      <c r="DF433" s="2358">
        <f>DE433/DD433*100</f>
        <v>2.9321555637345109</v>
      </c>
      <c r="DG433" s="2357">
        <v>233</v>
      </c>
      <c r="DH433" s="2358">
        <f>DG433/DD433*100</f>
        <v>2.858544963808122</v>
      </c>
      <c r="DI433" s="2357">
        <v>293</v>
      </c>
      <c r="DJ433" s="2358">
        <f>DI433/DD433*100</f>
        <v>3.5946509630720156</v>
      </c>
    </row>
    <row r="434" spans="107:114">
      <c r="DC434" s="2356" t="s">
        <v>4052</v>
      </c>
      <c r="DD434" s="2369">
        <v>13429</v>
      </c>
      <c r="DE434" s="2357">
        <v>413</v>
      </c>
      <c r="DF434" s="2358">
        <f>DE434/DD434*100</f>
        <v>3.0754337627522528</v>
      </c>
      <c r="DG434" s="2357">
        <v>451</v>
      </c>
      <c r="DH434" s="2358">
        <f>DG434/DD434*100</f>
        <v>3.3584034552088764</v>
      </c>
      <c r="DI434" s="2357">
        <v>602</v>
      </c>
      <c r="DJ434" s="2358">
        <f>DI434/DD434*100</f>
        <v>4.4828356541812493</v>
      </c>
    </row>
    <row r="435" spans="107:114">
      <c r="DC435" s="2356" t="s">
        <v>4056</v>
      </c>
      <c r="DD435" s="2369">
        <v>10817</v>
      </c>
      <c r="DE435" s="2357">
        <v>334</v>
      </c>
      <c r="DF435" s="2358">
        <f>DE435/DD435*100</f>
        <v>3.0877322732735508</v>
      </c>
      <c r="DG435" s="2357">
        <v>369</v>
      </c>
      <c r="DH435" s="2358">
        <f>DG435/DD435*100</f>
        <v>3.4112970324489225</v>
      </c>
      <c r="DI435" s="2357">
        <v>435</v>
      </c>
      <c r="DJ435" s="2358">
        <f>DI435/DD435*100</f>
        <v>4.0214477211796247</v>
      </c>
    </row>
    <row r="436" spans="107:114">
      <c r="DC436" s="2356" t="s">
        <v>2209</v>
      </c>
      <c r="DD436" s="2369">
        <v>17319</v>
      </c>
      <c r="DE436" s="2357">
        <v>565</v>
      </c>
      <c r="DF436" s="2358">
        <f>DE436/DD436*100</f>
        <v>3.2623130665742828</v>
      </c>
      <c r="DG436" s="2357">
        <v>618</v>
      </c>
      <c r="DH436" s="2358">
        <f>DG436/DD436*100</f>
        <v>3.568335354235233</v>
      </c>
      <c r="DI436" s="2357">
        <v>854</v>
      </c>
      <c r="DJ436" s="2358">
        <f>DI436/DD436*100</f>
        <v>4.9310006351405971</v>
      </c>
    </row>
    <row r="437" spans="107:114">
      <c r="DC437" s="2356" t="s">
        <v>2352</v>
      </c>
      <c r="DD437" s="2369">
        <v>15001</v>
      </c>
      <c r="DE437" s="2357">
        <v>525</v>
      </c>
      <c r="DF437" s="2358">
        <f>DE437/DD437*100</f>
        <v>3.499766682221185</v>
      </c>
      <c r="DG437" s="2357">
        <v>508</v>
      </c>
      <c r="DH437" s="2358">
        <f>DG437/DD437*100</f>
        <v>3.3864409039397372</v>
      </c>
      <c r="DI437" s="2357">
        <v>497</v>
      </c>
      <c r="DJ437" s="2358">
        <f>DI437/DD437*100</f>
        <v>3.3131124591693886</v>
      </c>
    </row>
    <row r="438" spans="107:114">
      <c r="DC438" s="2356" t="s">
        <v>2261</v>
      </c>
      <c r="DD438" s="2369">
        <v>11200</v>
      </c>
      <c r="DE438" s="2357">
        <v>385</v>
      </c>
      <c r="DF438" s="2358">
        <f>DE438/DD438*100</f>
        <v>3.4375000000000004</v>
      </c>
      <c r="DG438" s="2357">
        <v>391</v>
      </c>
      <c r="DH438" s="2358">
        <f>DG438/DD438*100</f>
        <v>3.4910714285714288</v>
      </c>
      <c r="DI438" s="2357">
        <v>392</v>
      </c>
      <c r="DJ438" s="2358">
        <f>DI438/DD438*100</f>
        <v>3.5000000000000004</v>
      </c>
    </row>
    <row r="439" spans="107:114">
      <c r="DC439" s="2356" t="s">
        <v>2251</v>
      </c>
      <c r="DD439" s="2369">
        <v>11088</v>
      </c>
      <c r="DE439" s="2357">
        <v>408</v>
      </c>
      <c r="DF439" s="2358">
        <f>DE439/DD439*100</f>
        <v>3.6796536796536801</v>
      </c>
      <c r="DG439" s="2357">
        <v>355</v>
      </c>
      <c r="DH439" s="2358">
        <f>DG439/DD439*100</f>
        <v>3.2016594516594519</v>
      </c>
      <c r="DI439" s="2357">
        <v>345</v>
      </c>
      <c r="DJ439" s="2358">
        <f>DI439/DD439*100</f>
        <v>3.1114718614718617</v>
      </c>
    </row>
    <row r="440" spans="107:114">
      <c r="DC440" s="2356" t="s">
        <v>2260</v>
      </c>
      <c r="DD440" s="2369">
        <v>11724</v>
      </c>
      <c r="DE440" s="2357">
        <v>455</v>
      </c>
      <c r="DF440" s="2358">
        <f>DE440/DD440*100</f>
        <v>3.8809280109177751</v>
      </c>
      <c r="DG440" s="2357">
        <v>365</v>
      </c>
      <c r="DH440" s="2358">
        <f>DG440/DD440*100</f>
        <v>3.1132719208461275</v>
      </c>
      <c r="DI440" s="2357">
        <v>322</v>
      </c>
      <c r="DJ440" s="2358">
        <f>DI440/DD440*100</f>
        <v>2.7465029000341179</v>
      </c>
    </row>
    <row r="441" spans="107:114">
      <c r="DC441" s="2356" t="s">
        <v>2253</v>
      </c>
      <c r="DD441" s="2369">
        <v>19379</v>
      </c>
      <c r="DE441" s="2357">
        <v>706</v>
      </c>
      <c r="DF441" s="2358">
        <f>DE441/DD441*100</f>
        <v>3.6431188399814234</v>
      </c>
      <c r="DG441" s="2357">
        <v>655</v>
      </c>
      <c r="DH441" s="2358">
        <f>DG441/DD441*100</f>
        <v>3.3799473657051444</v>
      </c>
      <c r="DI441" s="2357">
        <v>572</v>
      </c>
      <c r="DJ441" s="2358">
        <f>DI441/DD441*100</f>
        <v>2.9516486918829661</v>
      </c>
    </row>
    <row r="442" spans="107:114">
      <c r="DC442" s="2356" t="s">
        <v>2185</v>
      </c>
      <c r="DD442" s="2369">
        <v>24787</v>
      </c>
      <c r="DE442" s="2357">
        <v>916</v>
      </c>
      <c r="DF442" s="2358">
        <f>DE442/DD442*100</f>
        <v>3.695485536773309</v>
      </c>
      <c r="DG442" s="2357">
        <v>830</v>
      </c>
      <c r="DH442" s="2358">
        <f>DG442/DD442*100</f>
        <v>3.3485294710937183</v>
      </c>
      <c r="DI442" s="2357">
        <v>803</v>
      </c>
      <c r="DJ442" s="2358">
        <f>DI442/DD442*100</f>
        <v>3.2396014039617538</v>
      </c>
    </row>
    <row r="443" spans="107:114">
      <c r="DC443" s="2356" t="s">
        <v>2202</v>
      </c>
      <c r="DD443" s="2369">
        <v>22886</v>
      </c>
      <c r="DE443" s="2357">
        <v>819</v>
      </c>
      <c r="DF443" s="2358">
        <f>DE443/DD443*100</f>
        <v>3.5786070086515775</v>
      </c>
      <c r="DG443" s="2357">
        <v>778</v>
      </c>
      <c r="DH443" s="2358">
        <f>DG443/DD443*100</f>
        <v>3.3994581840426461</v>
      </c>
      <c r="DI443" s="2357">
        <v>584</v>
      </c>
      <c r="DJ443" s="2358">
        <f>DI443/DD443*100</f>
        <v>2.5517783797955085</v>
      </c>
    </row>
    <row r="444" spans="107:114">
      <c r="DC444" s="2356" t="s">
        <v>2177</v>
      </c>
      <c r="DD444" s="2369">
        <v>56012</v>
      </c>
      <c r="DE444" s="2357">
        <v>1921</v>
      </c>
      <c r="DF444" s="2358">
        <f>DE444/DD444*100</f>
        <v>3.4296222238091838</v>
      </c>
      <c r="DG444" s="2357">
        <v>1939</v>
      </c>
      <c r="DH444" s="2358">
        <f>DG444/DD444*100</f>
        <v>3.4617581946725697</v>
      </c>
      <c r="DI444" s="2357">
        <v>1755</v>
      </c>
      <c r="DJ444" s="2358">
        <f>DI444/DD444*100</f>
        <v>3.1332571591801757</v>
      </c>
    </row>
    <row r="445" spans="107:114">
      <c r="DC445" s="2368" t="s">
        <v>2208</v>
      </c>
      <c r="DD445" s="2367">
        <v>29867</v>
      </c>
      <c r="DE445" s="2366">
        <v>1006</v>
      </c>
      <c r="DF445" s="2365">
        <f>DE445/DD445*100</f>
        <v>3.3682659791743399</v>
      </c>
      <c r="DG445" s="2366">
        <v>1137</v>
      </c>
      <c r="DH445" s="2365">
        <f>DG445/DD445*100</f>
        <v>3.8068771553888907</v>
      </c>
      <c r="DI445" s="2366">
        <v>946</v>
      </c>
      <c r="DJ445" s="2365">
        <f>DI445/DD445*100</f>
        <v>3.1673753641142395</v>
      </c>
    </row>
    <row r="446" spans="107:114">
      <c r="DC446" s="2356" t="s">
        <v>4069</v>
      </c>
      <c r="DD446" s="2356"/>
      <c r="DE446" s="2356"/>
      <c r="DF446" s="2356"/>
      <c r="DG446" s="2356"/>
      <c r="DH446" s="2356"/>
      <c r="DI446" s="2356"/>
      <c r="DJ446" s="2356"/>
    </row>
    <row r="447" spans="107:114">
      <c r="DC447" s="2356" t="s">
        <v>4076</v>
      </c>
      <c r="DD447" s="2356"/>
      <c r="DE447" s="2356"/>
      <c r="DF447" s="2356"/>
      <c r="DG447" s="2357" t="s">
        <v>3348</v>
      </c>
      <c r="DH447" s="2356"/>
      <c r="DI447" s="2357" t="s">
        <v>3348</v>
      </c>
      <c r="DJ447" s="2356"/>
    </row>
    <row r="448" spans="107:114">
      <c r="DC448" s="2356" t="s">
        <v>4078</v>
      </c>
      <c r="DD448" s="2356"/>
      <c r="DE448" s="2356"/>
      <c r="DF448" s="2356"/>
      <c r="DG448" s="2356"/>
      <c r="DH448" s="2356"/>
      <c r="DI448" s="2356"/>
      <c r="DJ448" s="2356"/>
    </row>
    <row r="451" spans="107:114">
      <c r="DC451" s="2356"/>
      <c r="DD451" s="2356"/>
      <c r="DE451" s="2356"/>
      <c r="DF451" s="2356"/>
      <c r="DG451" s="2356"/>
      <c r="DH451" s="2356"/>
      <c r="DI451" s="2356"/>
      <c r="DJ451" s="2356"/>
    </row>
    <row r="452" spans="107:114">
      <c r="DC452" s="2356"/>
      <c r="DD452" s="2356"/>
      <c r="DE452" s="2356"/>
      <c r="DF452" s="2356"/>
      <c r="DG452" s="2356"/>
      <c r="DH452" s="2356"/>
      <c r="DI452" s="2356"/>
      <c r="DJ452" s="2356"/>
    </row>
    <row r="453" spans="107:114">
      <c r="DC453" s="2356"/>
      <c r="DD453" s="2364"/>
      <c r="DE453" s="2362"/>
      <c r="DF453" s="2362"/>
      <c r="DG453" s="2362"/>
      <c r="DH453" s="2363"/>
      <c r="DI453" s="2362"/>
      <c r="DJ453" s="2362"/>
    </row>
    <row r="454" spans="107:114">
      <c r="DC454" s="2356"/>
      <c r="DD454" s="2364"/>
      <c r="DE454" s="2362"/>
      <c r="DF454" s="2362"/>
      <c r="DG454" s="2363"/>
      <c r="DH454" s="2363"/>
      <c r="DI454" s="2362"/>
      <c r="DJ454" s="2362"/>
    </row>
    <row r="455" spans="107:114">
      <c r="DC455" s="2356"/>
      <c r="DD455" s="2361"/>
      <c r="DE455" s="2361"/>
      <c r="DF455" s="2361"/>
      <c r="DG455" s="2361"/>
      <c r="DH455" s="2361"/>
      <c r="DI455" s="2361"/>
      <c r="DJ455" s="2361"/>
    </row>
    <row r="456" spans="107:114">
      <c r="DC456" s="2356"/>
      <c r="DD456" s="2357"/>
      <c r="DE456" s="2357"/>
      <c r="DF456" s="2358"/>
      <c r="DG456" s="2357"/>
      <c r="DH456" s="2358"/>
      <c r="DI456" s="2357"/>
      <c r="DJ456" s="2358"/>
    </row>
    <row r="457" spans="107:114">
      <c r="DC457" s="2360"/>
      <c r="DD457" s="2359"/>
      <c r="DE457" s="2357"/>
      <c r="DF457" s="2358"/>
      <c r="DG457" s="2357"/>
      <c r="DH457" s="2358"/>
      <c r="DI457" s="2357"/>
      <c r="DJ457" s="2358"/>
    </row>
    <row r="458" spans="107:114">
      <c r="DC458" s="2356"/>
      <c r="DD458" s="2359"/>
      <c r="DE458" s="2357"/>
      <c r="DF458" s="2358"/>
      <c r="DG458" s="2357"/>
      <c r="DH458" s="2358"/>
      <c r="DI458" s="2357"/>
      <c r="DJ458" s="2358"/>
    </row>
    <row r="459" spans="107:114">
      <c r="DC459" s="2356"/>
      <c r="DD459" s="2359"/>
      <c r="DE459" s="2357"/>
      <c r="DF459" s="2358"/>
      <c r="DG459" s="2357"/>
      <c r="DH459" s="2358"/>
      <c r="DI459" s="2357"/>
      <c r="DJ459" s="2358"/>
    </row>
    <row r="460" spans="107:114">
      <c r="DC460" s="2356"/>
      <c r="DD460" s="2359"/>
      <c r="DE460" s="2357"/>
      <c r="DF460" s="2358"/>
      <c r="DG460" s="2357"/>
      <c r="DH460" s="2358"/>
      <c r="DI460" s="2357"/>
      <c r="DJ460" s="2358"/>
    </row>
    <row r="461" spans="107:114">
      <c r="DC461" s="2356"/>
      <c r="DD461" s="2359"/>
      <c r="DE461" s="2357"/>
      <c r="DF461" s="2358"/>
      <c r="DG461" s="2357"/>
      <c r="DH461" s="2358"/>
      <c r="DI461" s="2357"/>
      <c r="DJ461" s="2358"/>
    </row>
    <row r="462" spans="107:114">
      <c r="DC462" s="2356"/>
      <c r="DD462" s="2359"/>
      <c r="DE462" s="2357"/>
      <c r="DF462" s="2358"/>
      <c r="DG462" s="2357"/>
      <c r="DH462" s="2358"/>
      <c r="DI462" s="2357"/>
      <c r="DJ462" s="2358"/>
    </row>
    <row r="463" spans="107:114">
      <c r="DC463" s="2356"/>
      <c r="DD463" s="2359"/>
      <c r="DE463" s="2357"/>
      <c r="DF463" s="2358"/>
      <c r="DG463" s="2357"/>
      <c r="DH463" s="2358"/>
      <c r="DI463" s="2357"/>
      <c r="DJ463" s="2358"/>
    </row>
    <row r="464" spans="107:114">
      <c r="DC464" s="2356"/>
      <c r="DD464" s="2359"/>
      <c r="DE464" s="2357"/>
      <c r="DF464" s="2358"/>
      <c r="DG464" s="2357"/>
      <c r="DH464" s="2358"/>
      <c r="DI464" s="2357"/>
      <c r="DJ464" s="2358"/>
    </row>
    <row r="465" spans="107:114">
      <c r="DC465" s="2356"/>
      <c r="DD465" s="2359"/>
      <c r="DE465" s="2357"/>
      <c r="DF465" s="2358"/>
      <c r="DG465" s="2357"/>
      <c r="DH465" s="2358"/>
      <c r="DI465" s="2357"/>
      <c r="DJ465" s="2358"/>
    </row>
    <row r="466" spans="107:114">
      <c r="DC466" s="2356"/>
      <c r="DD466" s="2359"/>
      <c r="DE466" s="2357"/>
      <c r="DF466" s="2358"/>
      <c r="DG466" s="2357"/>
      <c r="DH466" s="2358"/>
      <c r="DI466" s="2357"/>
      <c r="DJ466" s="2358"/>
    </row>
    <row r="467" spans="107:114">
      <c r="DC467" s="2356"/>
      <c r="DD467" s="2359"/>
      <c r="DE467" s="2357"/>
      <c r="DF467" s="2358"/>
      <c r="DG467" s="2357"/>
      <c r="DH467" s="2358"/>
      <c r="DI467" s="2357"/>
      <c r="DJ467" s="2358"/>
    </row>
    <row r="468" spans="107:114">
      <c r="DC468" s="2356"/>
      <c r="DD468" s="2359"/>
      <c r="DE468" s="2357"/>
      <c r="DF468" s="2358"/>
      <c r="DG468" s="2357"/>
      <c r="DH468" s="2358"/>
      <c r="DI468" s="2357"/>
      <c r="DJ468" s="2358"/>
    </row>
    <row r="469" spans="107:114">
      <c r="DC469" s="2356"/>
      <c r="DD469" s="2359"/>
      <c r="DE469" s="2357"/>
      <c r="DF469" s="2358"/>
      <c r="DG469" s="2357"/>
      <c r="DH469" s="2358"/>
      <c r="DI469" s="2357"/>
      <c r="DJ469" s="2358"/>
    </row>
    <row r="470" spans="107:114">
      <c r="DC470" s="2356"/>
      <c r="DD470" s="2359"/>
      <c r="DE470" s="2357"/>
      <c r="DF470" s="2358"/>
      <c r="DG470" s="2357"/>
      <c r="DH470" s="2358"/>
      <c r="DI470" s="2357"/>
      <c r="DJ470" s="2358"/>
    </row>
    <row r="471" spans="107:114">
      <c r="DC471" s="2356"/>
      <c r="DD471" s="2359"/>
      <c r="DE471" s="2357"/>
      <c r="DF471" s="2358"/>
      <c r="DG471" s="2357"/>
      <c r="DH471" s="2358"/>
      <c r="DI471" s="2357"/>
      <c r="DJ471" s="2358"/>
    </row>
    <row r="472" spans="107:114">
      <c r="DC472" s="2356"/>
      <c r="DD472" s="2359"/>
      <c r="DE472" s="2357"/>
      <c r="DF472" s="2358"/>
      <c r="DG472" s="2357"/>
      <c r="DH472" s="2358"/>
      <c r="DI472" s="2357"/>
      <c r="DJ472" s="2358"/>
    </row>
    <row r="473" spans="107:114">
      <c r="DC473" s="2356"/>
      <c r="DD473" s="2359"/>
      <c r="DE473" s="2357"/>
      <c r="DF473" s="2358"/>
      <c r="DG473" s="2357"/>
      <c r="DH473" s="2358"/>
      <c r="DI473" s="2357"/>
      <c r="DJ473" s="2358"/>
    </row>
    <row r="474" spans="107:114">
      <c r="DC474" s="2356"/>
      <c r="DD474" s="2359"/>
      <c r="DE474" s="2357"/>
      <c r="DF474" s="2358"/>
      <c r="DG474" s="2357"/>
      <c r="DH474" s="2358"/>
      <c r="DI474" s="2357"/>
      <c r="DJ474" s="2358"/>
    </row>
    <row r="475" spans="107:114">
      <c r="DC475" s="2356"/>
      <c r="DD475" s="2359"/>
      <c r="DE475" s="2357"/>
      <c r="DF475" s="2358"/>
      <c r="DG475" s="2357"/>
      <c r="DH475" s="2358"/>
      <c r="DI475" s="2357"/>
      <c r="DJ475" s="2358"/>
    </row>
    <row r="476" spans="107:114">
      <c r="DC476" s="2356"/>
      <c r="DD476" s="2356"/>
      <c r="DE476" s="2356"/>
      <c r="DF476" s="2356"/>
      <c r="DG476" s="2356"/>
      <c r="DH476" s="2356"/>
      <c r="DI476" s="2356"/>
      <c r="DJ476" s="2356"/>
    </row>
    <row r="477" spans="107:114">
      <c r="DC477" s="2356"/>
      <c r="DD477" s="2356"/>
      <c r="DE477" s="2356"/>
      <c r="DF477" s="2356"/>
      <c r="DG477" s="2357"/>
      <c r="DH477" s="2356"/>
      <c r="DI477" s="2357"/>
      <c r="DJ477" s="2356"/>
    </row>
    <row r="478" spans="107:114">
      <c r="DC478" s="2356"/>
      <c r="DD478" s="2356"/>
      <c r="DE478" s="2356"/>
      <c r="DF478" s="2356"/>
      <c r="DG478" s="2356"/>
      <c r="DH478" s="2356"/>
      <c r="DI478" s="2356"/>
      <c r="DJ478" s="2356"/>
    </row>
    <row r="479" spans="107:114">
      <c r="DC479" s="2357"/>
      <c r="DD479" s="2357"/>
      <c r="DE479" s="2357"/>
      <c r="DF479" s="2357"/>
      <c r="DG479" s="2357"/>
      <c r="DH479" s="2357"/>
      <c r="DI479" s="2357"/>
      <c r="DJ479" s="2357"/>
    </row>
    <row r="480" spans="107:114">
      <c r="DC480" s="2357"/>
      <c r="DD480" s="2357"/>
      <c r="DE480" s="2357"/>
      <c r="DF480" s="2357"/>
      <c r="DG480" s="2357"/>
      <c r="DH480" s="2357"/>
      <c r="DI480" s="2357"/>
      <c r="DJ480" s="2357"/>
    </row>
    <row r="481" spans="107:114">
      <c r="DC481" s="2357"/>
      <c r="DD481" s="2357"/>
      <c r="DE481" s="2357"/>
      <c r="DF481" s="2357"/>
      <c r="DG481" s="2357"/>
      <c r="DH481" s="2357"/>
      <c r="DI481" s="2357"/>
      <c r="DJ481" s="2357"/>
    </row>
    <row r="482" spans="107:114">
      <c r="DC482" s="2356"/>
      <c r="DD482" s="2356"/>
      <c r="DE482" s="2356"/>
      <c r="DF482" s="2356"/>
      <c r="DG482" s="2356"/>
      <c r="DH482" s="2356"/>
      <c r="DI482" s="2356"/>
      <c r="DJ482" s="2356"/>
    </row>
    <row r="483" spans="107:114">
      <c r="DC483" s="2356"/>
      <c r="DD483" s="2364"/>
      <c r="DE483" s="2362"/>
      <c r="DF483" s="2362"/>
      <c r="DG483" s="2362"/>
      <c r="DH483" s="2363"/>
      <c r="DI483" s="2362"/>
      <c r="DJ483" s="2362"/>
    </row>
    <row r="484" spans="107:114">
      <c r="DC484" s="2356"/>
      <c r="DD484" s="2364"/>
      <c r="DE484" s="2362"/>
      <c r="DF484" s="2362"/>
      <c r="DG484" s="2363"/>
      <c r="DH484" s="2363"/>
      <c r="DI484" s="2362"/>
      <c r="DJ484" s="2362"/>
    </row>
    <row r="485" spans="107:114">
      <c r="DC485" s="2356"/>
      <c r="DD485" s="2361"/>
      <c r="DE485" s="2361"/>
      <c r="DF485" s="2361"/>
      <c r="DG485" s="2361"/>
      <c r="DH485" s="2361"/>
      <c r="DI485" s="2361"/>
      <c r="DJ485" s="2361"/>
    </row>
    <row r="486" spans="107:114">
      <c r="DC486" s="2356"/>
      <c r="DD486" s="2357"/>
      <c r="DE486" s="2357"/>
      <c r="DF486" s="2358"/>
      <c r="DG486" s="2357"/>
      <c r="DH486" s="2358"/>
      <c r="DI486" s="2357"/>
      <c r="DJ486" s="2358"/>
    </row>
    <row r="487" spans="107:114">
      <c r="DC487" s="2360"/>
      <c r="DD487" s="2359"/>
      <c r="DE487" s="2357"/>
      <c r="DF487" s="2358"/>
      <c r="DG487" s="2357"/>
      <c r="DH487" s="2358"/>
      <c r="DI487" s="2357"/>
      <c r="DJ487" s="2358"/>
    </row>
    <row r="488" spans="107:114">
      <c r="DC488" s="2356"/>
      <c r="DD488" s="2359"/>
      <c r="DE488" s="2357"/>
      <c r="DF488" s="2358"/>
      <c r="DG488" s="2357"/>
      <c r="DH488" s="2358"/>
      <c r="DI488" s="2357"/>
      <c r="DJ488" s="2358"/>
    </row>
    <row r="489" spans="107:114">
      <c r="DC489" s="2356"/>
      <c r="DD489" s="2359"/>
      <c r="DE489" s="2357"/>
      <c r="DF489" s="2358"/>
      <c r="DG489" s="2357"/>
      <c r="DH489" s="2358"/>
      <c r="DI489" s="2357"/>
      <c r="DJ489" s="2358"/>
    </row>
    <row r="490" spans="107:114">
      <c r="DC490" s="2356"/>
      <c r="DD490" s="2359"/>
      <c r="DE490" s="2357"/>
      <c r="DF490" s="2358"/>
      <c r="DG490" s="2357"/>
      <c r="DH490" s="2358"/>
      <c r="DI490" s="2357"/>
      <c r="DJ490" s="2358"/>
    </row>
    <row r="491" spans="107:114">
      <c r="DC491" s="2356"/>
      <c r="DD491" s="2359"/>
      <c r="DE491" s="2357"/>
      <c r="DF491" s="2358"/>
      <c r="DG491" s="2357"/>
      <c r="DH491" s="2358"/>
      <c r="DI491" s="2357"/>
      <c r="DJ491" s="2358"/>
    </row>
    <row r="492" spans="107:114">
      <c r="DC492" s="2356"/>
      <c r="DD492" s="2359"/>
      <c r="DE492" s="2357"/>
      <c r="DF492" s="2358"/>
      <c r="DG492" s="2357"/>
      <c r="DH492" s="2358"/>
      <c r="DI492" s="2357"/>
      <c r="DJ492" s="2358"/>
    </row>
    <row r="493" spans="107:114">
      <c r="DC493" s="2356"/>
      <c r="DD493" s="2359"/>
      <c r="DE493" s="2357"/>
      <c r="DF493" s="2358"/>
      <c r="DG493" s="2357"/>
      <c r="DH493" s="2358"/>
      <c r="DI493" s="2357"/>
      <c r="DJ493" s="2358"/>
    </row>
    <row r="494" spans="107:114">
      <c r="DC494" s="2356"/>
      <c r="DD494" s="2359"/>
      <c r="DE494" s="2357"/>
      <c r="DF494" s="2358"/>
      <c r="DG494" s="2357"/>
      <c r="DH494" s="2358"/>
      <c r="DI494" s="2357"/>
      <c r="DJ494" s="2358"/>
    </row>
    <row r="495" spans="107:114">
      <c r="DC495" s="2356"/>
      <c r="DD495" s="2359"/>
      <c r="DE495" s="2357"/>
      <c r="DF495" s="2358"/>
      <c r="DG495" s="2357"/>
      <c r="DH495" s="2358"/>
      <c r="DI495" s="2357"/>
      <c r="DJ495" s="2358"/>
    </row>
    <row r="496" spans="107:114">
      <c r="DC496" s="2356"/>
      <c r="DD496" s="2359"/>
      <c r="DE496" s="2357"/>
      <c r="DF496" s="2358"/>
      <c r="DG496" s="2357"/>
      <c r="DH496" s="2358"/>
      <c r="DI496" s="2357"/>
      <c r="DJ496" s="2358"/>
    </row>
    <row r="497" spans="107:114">
      <c r="DC497" s="2356"/>
      <c r="DD497" s="2359"/>
      <c r="DE497" s="2357"/>
      <c r="DF497" s="2358"/>
      <c r="DG497" s="2357"/>
      <c r="DH497" s="2358"/>
      <c r="DI497" s="2357"/>
      <c r="DJ497" s="2358"/>
    </row>
    <row r="498" spans="107:114">
      <c r="DC498" s="2356"/>
      <c r="DD498" s="2359"/>
      <c r="DE498" s="2357"/>
      <c r="DF498" s="2358"/>
      <c r="DG498" s="2357"/>
      <c r="DH498" s="2358"/>
      <c r="DI498" s="2357"/>
      <c r="DJ498" s="2358"/>
    </row>
    <row r="499" spans="107:114">
      <c r="DC499" s="2356"/>
      <c r="DD499" s="2359"/>
      <c r="DE499" s="2357"/>
      <c r="DF499" s="2358"/>
      <c r="DG499" s="2357"/>
      <c r="DH499" s="2358"/>
      <c r="DI499" s="2357"/>
      <c r="DJ499" s="2358"/>
    </row>
    <row r="500" spans="107:114">
      <c r="DC500" s="2356"/>
      <c r="DD500" s="2359"/>
      <c r="DE500" s="2357"/>
      <c r="DF500" s="2358"/>
      <c r="DG500" s="2357"/>
      <c r="DH500" s="2358"/>
      <c r="DI500" s="2357"/>
      <c r="DJ500" s="2358"/>
    </row>
    <row r="501" spans="107:114">
      <c r="DC501" s="2356"/>
      <c r="DD501" s="2359"/>
      <c r="DE501" s="2357"/>
      <c r="DF501" s="2358"/>
      <c r="DG501" s="2357"/>
      <c r="DH501" s="2358"/>
      <c r="DI501" s="2357"/>
      <c r="DJ501" s="2358"/>
    </row>
    <row r="502" spans="107:114">
      <c r="DC502" s="2356"/>
      <c r="DD502" s="2359"/>
      <c r="DE502" s="2357"/>
      <c r="DF502" s="2358"/>
      <c r="DG502" s="2357"/>
      <c r="DH502" s="2358"/>
      <c r="DI502" s="2357"/>
      <c r="DJ502" s="2358"/>
    </row>
    <row r="503" spans="107:114">
      <c r="DC503" s="2356"/>
      <c r="DD503" s="2359"/>
      <c r="DE503" s="2357"/>
      <c r="DF503" s="2358"/>
      <c r="DG503" s="2357"/>
      <c r="DH503" s="2358"/>
      <c r="DI503" s="2357"/>
      <c r="DJ503" s="2358"/>
    </row>
    <row r="504" spans="107:114">
      <c r="DC504" s="2356"/>
      <c r="DD504" s="2359"/>
      <c r="DE504" s="2357"/>
      <c r="DF504" s="2358"/>
      <c r="DG504" s="2357"/>
      <c r="DH504" s="2358"/>
      <c r="DI504" s="2357"/>
      <c r="DJ504" s="2358"/>
    </row>
    <row r="505" spans="107:114">
      <c r="DC505" s="2356"/>
      <c r="DD505" s="2359"/>
      <c r="DE505" s="2357"/>
      <c r="DF505" s="2358"/>
      <c r="DG505" s="2357"/>
      <c r="DH505" s="2358"/>
      <c r="DI505" s="2357"/>
      <c r="DJ505" s="2358"/>
    </row>
    <row r="506" spans="107:114">
      <c r="DC506" s="2356"/>
      <c r="DD506" s="2356"/>
      <c r="DE506" s="2356"/>
      <c r="DF506" s="2356"/>
      <c r="DG506" s="2356"/>
      <c r="DH506" s="2356"/>
      <c r="DI506" s="2356"/>
      <c r="DJ506" s="2356"/>
    </row>
    <row r="507" spans="107:114">
      <c r="DC507" s="2356"/>
      <c r="DD507" s="2356"/>
      <c r="DE507" s="2356"/>
      <c r="DF507" s="2356"/>
      <c r="DG507" s="2357"/>
      <c r="DH507" s="2356"/>
      <c r="DI507" s="2357"/>
      <c r="DJ507" s="2356"/>
    </row>
    <row r="508" spans="107:114">
      <c r="DC508" s="2356"/>
      <c r="DD508" s="2356"/>
      <c r="DE508" s="2356"/>
      <c r="DF508" s="2356"/>
      <c r="DG508" s="2356"/>
      <c r="DH508" s="2356"/>
      <c r="DI508" s="2356"/>
      <c r="DJ508" s="2356"/>
    </row>
    <row r="509" spans="107:114">
      <c r="DC509" s="876"/>
      <c r="DD509" s="876"/>
      <c r="DE509" s="876"/>
      <c r="DF509" s="876"/>
      <c r="DG509" s="876"/>
      <c r="DH509" s="876"/>
      <c r="DI509" s="876"/>
      <c r="DJ509" s="876"/>
    </row>
    <row r="510" spans="107:114">
      <c r="DC510" s="876"/>
      <c r="DD510" s="876"/>
      <c r="DE510" s="876"/>
      <c r="DF510" s="876"/>
      <c r="DG510" s="876"/>
      <c r="DH510" s="876"/>
      <c r="DI510" s="876"/>
      <c r="DJ510" s="876"/>
    </row>
    <row r="511" spans="107:114">
      <c r="DC511" s="876"/>
      <c r="DD511" s="876"/>
      <c r="DE511" s="876"/>
      <c r="DF511" s="876"/>
      <c r="DG511" s="876"/>
      <c r="DH511" s="876"/>
      <c r="DI511" s="876"/>
      <c r="DJ511" s="876"/>
    </row>
    <row r="512" spans="107:114">
      <c r="DC512" s="2356"/>
      <c r="DD512" s="2356"/>
      <c r="DE512" s="2356"/>
      <c r="DF512" s="2356"/>
      <c r="DG512" s="2356"/>
      <c r="DH512" s="2356"/>
      <c r="DI512" s="2356"/>
      <c r="DJ512" s="2356"/>
    </row>
    <row r="513" spans="107:114">
      <c r="DC513" s="2356"/>
      <c r="DD513" s="2364"/>
      <c r="DE513" s="2362"/>
      <c r="DF513" s="2362"/>
      <c r="DG513" s="2362"/>
      <c r="DH513" s="2363"/>
      <c r="DI513" s="2362"/>
      <c r="DJ513" s="2362"/>
    </row>
    <row r="514" spans="107:114">
      <c r="DC514" s="2356"/>
      <c r="DD514" s="2364"/>
      <c r="DE514" s="2362"/>
      <c r="DF514" s="2362"/>
      <c r="DG514" s="2363"/>
      <c r="DH514" s="2363"/>
      <c r="DI514" s="2362"/>
      <c r="DJ514" s="2362"/>
    </row>
    <row r="515" spans="107:114">
      <c r="DC515" s="2356"/>
      <c r="DD515" s="2361"/>
      <c r="DE515" s="2361"/>
      <c r="DF515" s="2361"/>
      <c r="DG515" s="2361"/>
      <c r="DH515" s="2361"/>
      <c r="DI515" s="2361"/>
      <c r="DJ515" s="2361"/>
    </row>
    <row r="516" spans="107:114">
      <c r="DC516" s="2356"/>
      <c r="DD516" s="2357"/>
      <c r="DE516" s="2357"/>
      <c r="DF516" s="2358"/>
      <c r="DG516" s="2357"/>
      <c r="DH516" s="2358"/>
      <c r="DI516" s="2357"/>
      <c r="DJ516" s="2358"/>
    </row>
    <row r="517" spans="107:114">
      <c r="DC517" s="2360"/>
      <c r="DD517" s="2359"/>
      <c r="DE517" s="2357"/>
      <c r="DF517" s="2358"/>
      <c r="DG517" s="2357"/>
      <c r="DH517" s="2358"/>
      <c r="DI517" s="2357"/>
      <c r="DJ517" s="2358"/>
    </row>
    <row r="518" spans="107:114">
      <c r="DC518" s="2356"/>
      <c r="DD518" s="2359"/>
      <c r="DE518" s="2357"/>
      <c r="DF518" s="2358"/>
      <c r="DG518" s="2357"/>
      <c r="DH518" s="2358"/>
      <c r="DI518" s="2357"/>
      <c r="DJ518" s="2358"/>
    </row>
    <row r="519" spans="107:114">
      <c r="DC519" s="2356"/>
      <c r="DD519" s="2359"/>
      <c r="DE519" s="2357"/>
      <c r="DF519" s="2358"/>
      <c r="DG519" s="2357"/>
      <c r="DH519" s="2358"/>
      <c r="DI519" s="2357"/>
      <c r="DJ519" s="2358"/>
    </row>
    <row r="520" spans="107:114">
      <c r="DC520" s="2356"/>
      <c r="DD520" s="2359"/>
      <c r="DE520" s="2357"/>
      <c r="DF520" s="2358"/>
      <c r="DG520" s="2357"/>
      <c r="DH520" s="2358"/>
      <c r="DI520" s="2357"/>
      <c r="DJ520" s="2358"/>
    </row>
    <row r="521" spans="107:114">
      <c r="DC521" s="2356"/>
      <c r="DD521" s="2359"/>
      <c r="DE521" s="2357"/>
      <c r="DF521" s="2358"/>
      <c r="DG521" s="2357"/>
      <c r="DH521" s="2358"/>
      <c r="DI521" s="2357"/>
      <c r="DJ521" s="2358"/>
    </row>
    <row r="522" spans="107:114">
      <c r="DC522" s="2356"/>
      <c r="DD522" s="2359"/>
      <c r="DE522" s="2357"/>
      <c r="DF522" s="2358"/>
      <c r="DG522" s="2357"/>
      <c r="DH522" s="2358"/>
      <c r="DI522" s="2357"/>
      <c r="DJ522" s="2358"/>
    </row>
    <row r="523" spans="107:114">
      <c r="DC523" s="2356"/>
      <c r="DD523" s="2359"/>
      <c r="DE523" s="2357"/>
      <c r="DF523" s="2358"/>
      <c r="DG523" s="2357"/>
      <c r="DH523" s="2358"/>
      <c r="DI523" s="2357"/>
      <c r="DJ523" s="2358"/>
    </row>
    <row r="524" spans="107:114">
      <c r="DC524" s="2356"/>
      <c r="DD524" s="2359"/>
      <c r="DE524" s="2357"/>
      <c r="DF524" s="2358"/>
      <c r="DG524" s="2357"/>
      <c r="DH524" s="2358"/>
      <c r="DI524" s="2357"/>
      <c r="DJ524" s="2358"/>
    </row>
    <row r="525" spans="107:114">
      <c r="DC525" s="2356"/>
      <c r="DD525" s="2359"/>
      <c r="DE525" s="2357"/>
      <c r="DF525" s="2358"/>
      <c r="DG525" s="2357"/>
      <c r="DH525" s="2358"/>
      <c r="DI525" s="2357"/>
      <c r="DJ525" s="2358"/>
    </row>
    <row r="526" spans="107:114">
      <c r="DC526" s="2356"/>
      <c r="DD526" s="2359"/>
      <c r="DE526" s="2357"/>
      <c r="DF526" s="2358"/>
      <c r="DG526" s="2357"/>
      <c r="DH526" s="2358"/>
      <c r="DI526" s="2357"/>
      <c r="DJ526" s="2358"/>
    </row>
    <row r="527" spans="107:114">
      <c r="DC527" s="2356"/>
      <c r="DD527" s="2359"/>
      <c r="DE527" s="2357"/>
      <c r="DF527" s="2358"/>
      <c r="DG527" s="2357"/>
      <c r="DH527" s="2358"/>
      <c r="DI527" s="2357"/>
      <c r="DJ527" s="2358"/>
    </row>
    <row r="528" spans="107:114">
      <c r="DC528" s="2356"/>
      <c r="DD528" s="2359"/>
      <c r="DE528" s="2357"/>
      <c r="DF528" s="2358"/>
      <c r="DG528" s="2357"/>
      <c r="DH528" s="2358"/>
      <c r="DI528" s="2357"/>
      <c r="DJ528" s="2358"/>
    </row>
    <row r="529" spans="107:114">
      <c r="DC529" s="2356"/>
      <c r="DD529" s="2359"/>
      <c r="DE529" s="2357"/>
      <c r="DF529" s="2358"/>
      <c r="DG529" s="2357"/>
      <c r="DH529" s="2358"/>
      <c r="DI529" s="2357"/>
      <c r="DJ529" s="2358"/>
    </row>
    <row r="530" spans="107:114">
      <c r="DC530" s="2356"/>
      <c r="DD530" s="2359"/>
      <c r="DE530" s="2357"/>
      <c r="DF530" s="2358"/>
      <c r="DG530" s="2357"/>
      <c r="DH530" s="2358"/>
      <c r="DI530" s="2357"/>
      <c r="DJ530" s="2358"/>
    </row>
    <row r="531" spans="107:114">
      <c r="DC531" s="2356"/>
      <c r="DD531" s="2359"/>
      <c r="DE531" s="2357"/>
      <c r="DF531" s="2358"/>
      <c r="DG531" s="2357"/>
      <c r="DH531" s="2358"/>
      <c r="DI531" s="2357"/>
      <c r="DJ531" s="2358"/>
    </row>
    <row r="532" spans="107:114">
      <c r="DC532" s="2356"/>
      <c r="DD532" s="2359"/>
      <c r="DE532" s="2357"/>
      <c r="DF532" s="2358"/>
      <c r="DG532" s="2357"/>
      <c r="DH532" s="2358"/>
      <c r="DI532" s="2357"/>
      <c r="DJ532" s="2358"/>
    </row>
    <row r="533" spans="107:114">
      <c r="DC533" s="2356"/>
      <c r="DD533" s="2359"/>
      <c r="DE533" s="2357"/>
      <c r="DF533" s="2358"/>
      <c r="DG533" s="2357"/>
      <c r="DH533" s="2358"/>
      <c r="DI533" s="2357"/>
      <c r="DJ533" s="2358"/>
    </row>
    <row r="534" spans="107:114">
      <c r="DC534" s="2356"/>
      <c r="DD534" s="2359"/>
      <c r="DE534" s="2357"/>
      <c r="DF534" s="2358"/>
      <c r="DG534" s="2357"/>
      <c r="DH534" s="2358"/>
      <c r="DI534" s="2357"/>
      <c r="DJ534" s="2358"/>
    </row>
    <row r="535" spans="107:114">
      <c r="DC535" s="2356"/>
      <c r="DD535" s="2359"/>
      <c r="DE535" s="2357"/>
      <c r="DF535" s="2358"/>
      <c r="DG535" s="2357"/>
      <c r="DH535" s="2358"/>
      <c r="DI535" s="2357"/>
      <c r="DJ535" s="2358"/>
    </row>
    <row r="536" spans="107:114">
      <c r="DC536" s="2356"/>
      <c r="DD536" s="2356"/>
      <c r="DE536" s="2356"/>
      <c r="DF536" s="2356"/>
      <c r="DG536" s="2356"/>
      <c r="DH536" s="2356"/>
      <c r="DI536" s="2356"/>
      <c r="DJ536" s="2356"/>
    </row>
    <row r="537" spans="107:114">
      <c r="DC537" s="2356"/>
      <c r="DD537" s="2356"/>
      <c r="DE537" s="2356"/>
      <c r="DF537" s="2356"/>
      <c r="DG537" s="2357"/>
      <c r="DH537" s="2356"/>
      <c r="DI537" s="2357"/>
      <c r="DJ537" s="2356"/>
    </row>
    <row r="538" spans="107:114">
      <c r="DC538" s="2356"/>
      <c r="DD538" s="2356"/>
      <c r="DE538" s="2356"/>
      <c r="DF538" s="2356"/>
      <c r="DG538" s="2356"/>
      <c r="DH538" s="2356"/>
      <c r="DI538" s="2356"/>
      <c r="DJ538" s="2356"/>
    </row>
    <row r="542" spans="107:114">
      <c r="DC542" s="2356"/>
      <c r="DD542" s="2356"/>
      <c r="DE542" s="2356"/>
      <c r="DF542" s="2356"/>
      <c r="DG542" s="2356"/>
      <c r="DH542" s="2356"/>
      <c r="DI542" s="2356"/>
      <c r="DJ542" s="2356"/>
    </row>
    <row r="543" spans="107:114">
      <c r="DC543" s="2356"/>
      <c r="DD543" s="2364"/>
      <c r="DE543" s="2362"/>
      <c r="DF543" s="2362"/>
      <c r="DG543" s="2362"/>
      <c r="DH543" s="2363"/>
      <c r="DI543" s="2362"/>
      <c r="DJ543" s="2362"/>
    </row>
    <row r="544" spans="107:114">
      <c r="DC544" s="2356"/>
      <c r="DD544" s="2364"/>
      <c r="DE544" s="2362"/>
      <c r="DF544" s="2362"/>
      <c r="DG544" s="2363"/>
      <c r="DH544" s="2363"/>
      <c r="DI544" s="2362"/>
      <c r="DJ544" s="2362"/>
    </row>
    <row r="545" spans="107:114">
      <c r="DC545" s="2356"/>
      <c r="DD545" s="2361"/>
      <c r="DE545" s="2361"/>
      <c r="DF545" s="2361"/>
      <c r="DG545" s="2361"/>
      <c r="DH545" s="2361"/>
      <c r="DI545" s="2361"/>
      <c r="DJ545" s="2361"/>
    </row>
    <row r="546" spans="107:114">
      <c r="DC546" s="2356"/>
      <c r="DD546" s="2357"/>
      <c r="DE546" s="2357"/>
      <c r="DF546" s="2358"/>
      <c r="DG546" s="2357"/>
      <c r="DH546" s="2358"/>
      <c r="DI546" s="2357"/>
      <c r="DJ546" s="2358"/>
    </row>
    <row r="547" spans="107:114">
      <c r="DC547" s="2360"/>
      <c r="DD547" s="2359"/>
      <c r="DE547" s="2357"/>
      <c r="DF547" s="2358"/>
      <c r="DG547" s="2357"/>
      <c r="DH547" s="2358"/>
      <c r="DI547" s="2357"/>
      <c r="DJ547" s="2358"/>
    </row>
    <row r="548" spans="107:114">
      <c r="DC548" s="2356"/>
      <c r="DD548" s="2359"/>
      <c r="DE548" s="2357"/>
      <c r="DF548" s="2358"/>
      <c r="DG548" s="2357"/>
      <c r="DH548" s="2358"/>
      <c r="DI548" s="2357"/>
      <c r="DJ548" s="2358"/>
    </row>
    <row r="549" spans="107:114">
      <c r="DC549" s="2356"/>
      <c r="DD549" s="2359"/>
      <c r="DE549" s="2357"/>
      <c r="DF549" s="2358"/>
      <c r="DG549" s="2357"/>
      <c r="DH549" s="2358"/>
      <c r="DI549" s="2357"/>
      <c r="DJ549" s="2358"/>
    </row>
    <row r="550" spans="107:114">
      <c r="DC550" s="2356"/>
      <c r="DD550" s="2359"/>
      <c r="DE550" s="2357"/>
      <c r="DF550" s="2358"/>
      <c r="DG550" s="2357"/>
      <c r="DH550" s="2358"/>
      <c r="DI550" s="2357"/>
      <c r="DJ550" s="2358"/>
    </row>
    <row r="551" spans="107:114">
      <c r="DC551" s="2356"/>
      <c r="DD551" s="2359"/>
      <c r="DE551" s="2357"/>
      <c r="DF551" s="2358"/>
      <c r="DG551" s="2357"/>
      <c r="DH551" s="2358"/>
      <c r="DI551" s="2357"/>
      <c r="DJ551" s="2358"/>
    </row>
    <row r="552" spans="107:114">
      <c r="DC552" s="2356"/>
      <c r="DD552" s="2359"/>
      <c r="DE552" s="2357"/>
      <c r="DF552" s="2358"/>
      <c r="DG552" s="2357"/>
      <c r="DH552" s="2358"/>
      <c r="DI552" s="2357"/>
      <c r="DJ552" s="2358"/>
    </row>
    <row r="553" spans="107:114">
      <c r="DC553" s="2356"/>
      <c r="DD553" s="2359"/>
      <c r="DE553" s="2357"/>
      <c r="DF553" s="2358"/>
      <c r="DG553" s="2357"/>
      <c r="DH553" s="2358"/>
      <c r="DI553" s="2357"/>
      <c r="DJ553" s="2358"/>
    </row>
    <row r="554" spans="107:114">
      <c r="DC554" s="2356"/>
      <c r="DD554" s="2359"/>
      <c r="DE554" s="2357"/>
      <c r="DF554" s="2358"/>
      <c r="DG554" s="2357"/>
      <c r="DH554" s="2358"/>
      <c r="DI554" s="2357"/>
      <c r="DJ554" s="2358"/>
    </row>
    <row r="555" spans="107:114">
      <c r="DC555" s="2356"/>
      <c r="DD555" s="2359"/>
      <c r="DE555" s="2357"/>
      <c r="DF555" s="2358"/>
      <c r="DG555" s="2357"/>
      <c r="DH555" s="2358"/>
      <c r="DI555" s="2357"/>
      <c r="DJ555" s="2358"/>
    </row>
    <row r="556" spans="107:114">
      <c r="DC556" s="2356"/>
      <c r="DD556" s="2359"/>
      <c r="DE556" s="2357"/>
      <c r="DF556" s="2358"/>
      <c r="DG556" s="2357"/>
      <c r="DH556" s="2358"/>
      <c r="DI556" s="2357"/>
      <c r="DJ556" s="2358"/>
    </row>
    <row r="557" spans="107:114">
      <c r="DC557" s="2356"/>
      <c r="DD557" s="2359"/>
      <c r="DE557" s="2357"/>
      <c r="DF557" s="2358"/>
      <c r="DG557" s="2357"/>
      <c r="DH557" s="2358"/>
      <c r="DI557" s="2357"/>
      <c r="DJ557" s="2358"/>
    </row>
    <row r="558" spans="107:114">
      <c r="DC558" s="2356"/>
      <c r="DD558" s="2359"/>
      <c r="DE558" s="2357"/>
      <c r="DF558" s="2358"/>
      <c r="DG558" s="2357"/>
      <c r="DH558" s="2358"/>
      <c r="DI558" s="2357"/>
      <c r="DJ558" s="2358"/>
    </row>
    <row r="559" spans="107:114">
      <c r="DC559" s="2356"/>
      <c r="DD559" s="2359"/>
      <c r="DE559" s="2357"/>
      <c r="DF559" s="2358"/>
      <c r="DG559" s="2357"/>
      <c r="DH559" s="2358"/>
      <c r="DI559" s="2357"/>
      <c r="DJ559" s="2358"/>
    </row>
    <row r="560" spans="107:114">
      <c r="DC560" s="2356"/>
      <c r="DD560" s="2359"/>
      <c r="DE560" s="2357"/>
      <c r="DF560" s="2358"/>
      <c r="DG560" s="2357"/>
      <c r="DH560" s="2358"/>
      <c r="DI560" s="2357"/>
      <c r="DJ560" s="2358"/>
    </row>
    <row r="561" spans="107:114">
      <c r="DC561" s="2356"/>
      <c r="DD561" s="2359"/>
      <c r="DE561" s="2357"/>
      <c r="DF561" s="2358"/>
      <c r="DG561" s="2357"/>
      <c r="DH561" s="2358"/>
      <c r="DI561" s="2357"/>
      <c r="DJ561" s="2358"/>
    </row>
    <row r="562" spans="107:114">
      <c r="DC562" s="2356"/>
      <c r="DD562" s="2359"/>
      <c r="DE562" s="2357"/>
      <c r="DF562" s="2358"/>
      <c r="DG562" s="2357"/>
      <c r="DH562" s="2358"/>
      <c r="DI562" s="2357"/>
      <c r="DJ562" s="2358"/>
    </row>
    <row r="563" spans="107:114">
      <c r="DC563" s="2356"/>
      <c r="DD563" s="2359"/>
      <c r="DE563" s="2357"/>
      <c r="DF563" s="2358"/>
      <c r="DG563" s="2357"/>
      <c r="DH563" s="2358"/>
      <c r="DI563" s="2357"/>
      <c r="DJ563" s="2358"/>
    </row>
    <row r="564" spans="107:114">
      <c r="DC564" s="2356"/>
      <c r="DD564" s="2359"/>
      <c r="DE564" s="2357"/>
      <c r="DF564" s="2358"/>
      <c r="DG564" s="2357"/>
      <c r="DH564" s="2358"/>
      <c r="DI564" s="2357"/>
      <c r="DJ564" s="2358"/>
    </row>
    <row r="565" spans="107:114">
      <c r="DC565" s="2356"/>
      <c r="DD565" s="2359"/>
      <c r="DE565" s="2357"/>
      <c r="DF565" s="2358"/>
      <c r="DG565" s="2357"/>
      <c r="DH565" s="2358"/>
      <c r="DI565" s="2357"/>
      <c r="DJ565" s="2358"/>
    </row>
    <row r="566" spans="107:114">
      <c r="DC566" s="2356"/>
      <c r="DD566" s="2356"/>
      <c r="DE566" s="2356"/>
      <c r="DF566" s="2356"/>
      <c r="DG566" s="2356"/>
      <c r="DH566" s="2356"/>
      <c r="DI566" s="2356"/>
      <c r="DJ566" s="2356"/>
    </row>
    <row r="567" spans="107:114">
      <c r="DC567" s="2356"/>
      <c r="DD567" s="2356"/>
      <c r="DE567" s="2356"/>
      <c r="DF567" s="2356"/>
      <c r="DG567" s="2357"/>
      <c r="DH567" s="2356"/>
      <c r="DI567" s="2357"/>
      <c r="DJ567" s="2356"/>
    </row>
    <row r="568" spans="107:114">
      <c r="DC568" s="2356"/>
      <c r="DD568" s="2356"/>
      <c r="DE568" s="2356"/>
      <c r="DF568" s="2356"/>
      <c r="DG568" s="2356"/>
      <c r="DH568" s="2356"/>
      <c r="DI568" s="2356"/>
      <c r="DJ568" s="2356"/>
    </row>
    <row r="572" spans="107:114">
      <c r="DC572" s="2356"/>
      <c r="DD572" s="2356"/>
      <c r="DE572" s="2356"/>
      <c r="DF572" s="2356"/>
      <c r="DG572" s="2356"/>
      <c r="DH572" s="2356"/>
      <c r="DI572" s="2356"/>
      <c r="DJ572" s="2356"/>
    </row>
    <row r="573" spans="107:114">
      <c r="DC573" s="2356"/>
      <c r="DD573" s="2364"/>
      <c r="DE573" s="2362"/>
      <c r="DF573" s="2362"/>
      <c r="DG573" s="2362"/>
      <c r="DH573" s="2363"/>
      <c r="DI573" s="2362"/>
      <c r="DJ573" s="2362"/>
    </row>
    <row r="574" spans="107:114">
      <c r="DC574" s="2356"/>
      <c r="DD574" s="2364"/>
      <c r="DE574" s="2362"/>
      <c r="DF574" s="2362"/>
      <c r="DG574" s="2363"/>
      <c r="DH574" s="2363"/>
      <c r="DI574" s="2362"/>
      <c r="DJ574" s="2362"/>
    </row>
    <row r="575" spans="107:114">
      <c r="DC575" s="2356"/>
      <c r="DD575" s="2361"/>
      <c r="DE575" s="2361"/>
      <c r="DF575" s="2361"/>
      <c r="DG575" s="2361"/>
      <c r="DH575" s="2361"/>
      <c r="DI575" s="2361"/>
      <c r="DJ575" s="2361"/>
    </row>
    <row r="576" spans="107:114">
      <c r="DC576" s="2356"/>
      <c r="DD576" s="2357"/>
      <c r="DE576" s="2357"/>
      <c r="DF576" s="2358"/>
      <c r="DG576" s="2357"/>
      <c r="DH576" s="2358"/>
      <c r="DI576" s="2357"/>
      <c r="DJ576" s="2358"/>
    </row>
    <row r="577" spans="107:114">
      <c r="DC577" s="2360"/>
      <c r="DD577" s="2359"/>
      <c r="DE577" s="2357"/>
      <c r="DF577" s="2358"/>
      <c r="DG577" s="2357"/>
      <c r="DH577" s="2358"/>
      <c r="DI577" s="2357"/>
      <c r="DJ577" s="2358"/>
    </row>
    <row r="578" spans="107:114">
      <c r="DC578" s="2356"/>
      <c r="DD578" s="2359"/>
      <c r="DE578" s="2357"/>
      <c r="DF578" s="2358"/>
      <c r="DG578" s="2357"/>
      <c r="DH578" s="2358"/>
      <c r="DI578" s="2357"/>
      <c r="DJ578" s="2358"/>
    </row>
    <row r="579" spans="107:114">
      <c r="DC579" s="2356"/>
      <c r="DD579" s="2359"/>
      <c r="DE579" s="2357"/>
      <c r="DF579" s="2358"/>
      <c r="DG579" s="2357"/>
      <c r="DH579" s="2358"/>
      <c r="DI579" s="2357"/>
      <c r="DJ579" s="2358"/>
    </row>
    <row r="580" spans="107:114">
      <c r="DC580" s="2356"/>
      <c r="DD580" s="2359"/>
      <c r="DE580" s="2357"/>
      <c r="DF580" s="2358"/>
      <c r="DG580" s="2357"/>
      <c r="DH580" s="2358"/>
      <c r="DI580" s="2357"/>
      <c r="DJ580" s="2358"/>
    </row>
    <row r="581" spans="107:114">
      <c r="DC581" s="2356"/>
      <c r="DD581" s="2359"/>
      <c r="DE581" s="2357"/>
      <c r="DF581" s="2358"/>
      <c r="DG581" s="2357"/>
      <c r="DH581" s="2358"/>
      <c r="DI581" s="2357"/>
      <c r="DJ581" s="2358"/>
    </row>
    <row r="582" spans="107:114">
      <c r="DC582" s="2356"/>
      <c r="DD582" s="2359"/>
      <c r="DE582" s="2357"/>
      <c r="DF582" s="2358"/>
      <c r="DG582" s="2357"/>
      <c r="DH582" s="2358"/>
      <c r="DI582" s="2357"/>
      <c r="DJ582" s="2358"/>
    </row>
    <row r="583" spans="107:114">
      <c r="DC583" s="2356"/>
      <c r="DD583" s="2359"/>
      <c r="DE583" s="2357"/>
      <c r="DF583" s="2358"/>
      <c r="DG583" s="2357"/>
      <c r="DH583" s="2358"/>
      <c r="DI583" s="2357"/>
      <c r="DJ583" s="2358"/>
    </row>
    <row r="584" spans="107:114">
      <c r="DC584" s="2356"/>
      <c r="DD584" s="2359"/>
      <c r="DE584" s="2357"/>
      <c r="DF584" s="2358"/>
      <c r="DG584" s="2357"/>
      <c r="DH584" s="2358"/>
      <c r="DI584" s="2357"/>
      <c r="DJ584" s="2358"/>
    </row>
    <row r="585" spans="107:114">
      <c r="DC585" s="2356"/>
      <c r="DD585" s="2359"/>
      <c r="DE585" s="2357"/>
      <c r="DF585" s="2358"/>
      <c r="DG585" s="2357"/>
      <c r="DH585" s="2358"/>
      <c r="DI585" s="2357"/>
      <c r="DJ585" s="2358"/>
    </row>
    <row r="586" spans="107:114">
      <c r="DC586" s="2356"/>
      <c r="DD586" s="2359"/>
      <c r="DE586" s="2357"/>
      <c r="DF586" s="2358"/>
      <c r="DG586" s="2357"/>
      <c r="DH586" s="2358"/>
      <c r="DI586" s="2357"/>
      <c r="DJ586" s="2358"/>
    </row>
    <row r="587" spans="107:114">
      <c r="DC587" s="2356"/>
      <c r="DD587" s="2359"/>
      <c r="DE587" s="2357"/>
      <c r="DF587" s="2358"/>
      <c r="DG587" s="2357"/>
      <c r="DH587" s="2358"/>
      <c r="DI587" s="2357"/>
      <c r="DJ587" s="2358"/>
    </row>
    <row r="588" spans="107:114">
      <c r="DC588" s="2356"/>
      <c r="DD588" s="2359"/>
      <c r="DE588" s="2357"/>
      <c r="DF588" s="2358"/>
      <c r="DG588" s="2357"/>
      <c r="DH588" s="2358"/>
      <c r="DI588" s="2357"/>
      <c r="DJ588" s="2358"/>
    </row>
    <row r="589" spans="107:114">
      <c r="DC589" s="2356"/>
      <c r="DD589" s="2359"/>
      <c r="DE589" s="2357"/>
      <c r="DF589" s="2358"/>
      <c r="DG589" s="2357"/>
      <c r="DH589" s="2358"/>
      <c r="DI589" s="2357"/>
      <c r="DJ589" s="2358"/>
    </row>
    <row r="590" spans="107:114">
      <c r="DC590" s="2356"/>
      <c r="DD590" s="2359"/>
      <c r="DE590" s="2357"/>
      <c r="DF590" s="2358"/>
      <c r="DG590" s="2357"/>
      <c r="DH590" s="2358"/>
      <c r="DI590" s="2357"/>
      <c r="DJ590" s="2358"/>
    </row>
    <row r="591" spans="107:114">
      <c r="DC591" s="2356"/>
      <c r="DD591" s="2359"/>
      <c r="DE591" s="2357"/>
      <c r="DF591" s="2358"/>
      <c r="DG591" s="2357"/>
      <c r="DH591" s="2358"/>
      <c r="DI591" s="2357"/>
      <c r="DJ591" s="2358"/>
    </row>
    <row r="592" spans="107:114">
      <c r="DC592" s="2356"/>
      <c r="DD592" s="2359"/>
      <c r="DE592" s="2357"/>
      <c r="DF592" s="2358"/>
      <c r="DG592" s="2357"/>
      <c r="DH592" s="2358"/>
      <c r="DI592" s="2357"/>
      <c r="DJ592" s="2358"/>
    </row>
    <row r="593" spans="107:114">
      <c r="DC593" s="2356"/>
      <c r="DD593" s="2359"/>
      <c r="DE593" s="2357"/>
      <c r="DF593" s="2358"/>
      <c r="DG593" s="2357"/>
      <c r="DH593" s="2358"/>
      <c r="DI593" s="2357"/>
      <c r="DJ593" s="2358"/>
    </row>
    <row r="594" spans="107:114">
      <c r="DC594" s="2356"/>
      <c r="DD594" s="2359"/>
      <c r="DE594" s="2357"/>
      <c r="DF594" s="2358"/>
      <c r="DG594" s="2357"/>
      <c r="DH594" s="2358"/>
      <c r="DI594" s="2357"/>
      <c r="DJ594" s="2358"/>
    </row>
    <row r="595" spans="107:114">
      <c r="DC595" s="2356"/>
      <c r="DD595" s="2359"/>
      <c r="DE595" s="2357"/>
      <c r="DF595" s="2358"/>
      <c r="DG595" s="2357"/>
      <c r="DH595" s="2358"/>
      <c r="DI595" s="2357"/>
      <c r="DJ595" s="2358"/>
    </row>
    <row r="596" spans="107:114">
      <c r="DC596" s="2356"/>
      <c r="DD596" s="2356"/>
      <c r="DE596" s="2356"/>
      <c r="DF596" s="2356"/>
      <c r="DG596" s="2356"/>
      <c r="DH596" s="2356"/>
      <c r="DI596" s="2356"/>
      <c r="DJ596" s="2356"/>
    </row>
    <row r="597" spans="107:114">
      <c r="DC597" s="2356"/>
      <c r="DD597" s="2356"/>
      <c r="DE597" s="2356"/>
      <c r="DF597" s="2356"/>
      <c r="DG597" s="2357"/>
      <c r="DH597" s="2356"/>
      <c r="DI597" s="2357"/>
      <c r="DJ597" s="2356"/>
    </row>
    <row r="598" spans="107:114">
      <c r="DC598" s="2356"/>
      <c r="DD598" s="2356"/>
      <c r="DE598" s="2356"/>
      <c r="DF598" s="2356"/>
      <c r="DG598" s="2356"/>
      <c r="DH598" s="2356"/>
      <c r="DI598" s="2356"/>
      <c r="DJ598" s="2356"/>
    </row>
  </sheetData>
  <mergeCells count="330">
    <mergeCell ref="J98:K98"/>
    <mergeCell ref="CC2:CD2"/>
    <mergeCell ref="CE2:CF2"/>
    <mergeCell ref="BP34:BQ34"/>
    <mergeCell ref="AB61:AC61"/>
    <mergeCell ref="AQ2:AR2"/>
    <mergeCell ref="AS2:AU2"/>
    <mergeCell ref="BB34:BC34"/>
    <mergeCell ref="CN61:CO62"/>
    <mergeCell ref="BB2:BC2"/>
    <mergeCell ref="BB3:BC3"/>
    <mergeCell ref="BD2:BE2"/>
    <mergeCell ref="CN2:CO3"/>
    <mergeCell ref="DP3:DQ3"/>
    <mergeCell ref="EU2:EV2"/>
    <mergeCell ref="CE3:CF3"/>
    <mergeCell ref="EF2:EG2"/>
    <mergeCell ref="EU3:EV3"/>
    <mergeCell ref="D99:E99"/>
    <mergeCell ref="F99:G99"/>
    <mergeCell ref="H99:I99"/>
    <mergeCell ref="J99:K99"/>
    <mergeCell ref="BV2:BW3"/>
    <mergeCell ref="AF4:AG4"/>
    <mergeCell ref="AF58:AG58"/>
    <mergeCell ref="BD35:BE35"/>
    <mergeCell ref="BD34:BE34"/>
    <mergeCell ref="AF3:AG3"/>
    <mergeCell ref="FI2:FJ3"/>
    <mergeCell ref="DP2:DQ2"/>
    <mergeCell ref="BD3:BE3"/>
    <mergeCell ref="EO2:EP3"/>
    <mergeCell ref="EM2:EN3"/>
    <mergeCell ref="CC59:CD59"/>
    <mergeCell ref="AD63:AE63"/>
    <mergeCell ref="CE60:CF60"/>
    <mergeCell ref="BR35:BS35"/>
    <mergeCell ref="BT34:BU35"/>
    <mergeCell ref="DP13:DQ13"/>
    <mergeCell ref="CC60:CD60"/>
    <mergeCell ref="AF30:AG30"/>
    <mergeCell ref="BF34:BG35"/>
    <mergeCell ref="AF62:AG62"/>
    <mergeCell ref="CN57:CO58"/>
    <mergeCell ref="BB35:BC35"/>
    <mergeCell ref="DP4:DQ4"/>
    <mergeCell ref="DP5:DQ5"/>
    <mergeCell ref="DP10:DQ10"/>
    <mergeCell ref="CP57:CQ58"/>
    <mergeCell ref="BR34:BS34"/>
    <mergeCell ref="CE59:CF59"/>
    <mergeCell ref="DP8:DQ8"/>
    <mergeCell ref="EF9:EG9"/>
    <mergeCell ref="DP6:DQ6"/>
    <mergeCell ref="EU8:EV8"/>
    <mergeCell ref="EU16:EV16"/>
    <mergeCell ref="EU6:EV6"/>
    <mergeCell ref="DP12:DQ12"/>
    <mergeCell ref="EU13:EV13"/>
    <mergeCell ref="DP11:DQ11"/>
    <mergeCell ref="DP16:DQ16"/>
    <mergeCell ref="EF5:EG5"/>
    <mergeCell ref="EF6:EG6"/>
    <mergeCell ref="DP17:DQ17"/>
    <mergeCell ref="DP18:DQ18"/>
    <mergeCell ref="EF11:EG11"/>
    <mergeCell ref="EF13:EG13"/>
    <mergeCell ref="DP9:DQ9"/>
    <mergeCell ref="EF17:EG17"/>
    <mergeCell ref="EF7:EG7"/>
    <mergeCell ref="EF8:EG8"/>
    <mergeCell ref="EO122:EP123"/>
    <mergeCell ref="EM92:EN93"/>
    <mergeCell ref="EO92:EP93"/>
    <mergeCell ref="EK92:EL93"/>
    <mergeCell ref="DU92:DV93"/>
    <mergeCell ref="EA2:EB3"/>
    <mergeCell ref="EF18:EG18"/>
    <mergeCell ref="EF4:EG4"/>
    <mergeCell ref="DW2:DX3"/>
    <mergeCell ref="DY2:DZ3"/>
    <mergeCell ref="EK122:EL123"/>
    <mergeCell ref="EF12:EG12"/>
    <mergeCell ref="DW92:DX93"/>
    <mergeCell ref="EF3:EG3"/>
    <mergeCell ref="EF10:EG10"/>
    <mergeCell ref="EM122:EN123"/>
    <mergeCell ref="DY62:DZ63"/>
    <mergeCell ref="EK62:EL63"/>
    <mergeCell ref="DY32:DZ33"/>
    <mergeCell ref="EF15:EG15"/>
    <mergeCell ref="DI122:DJ123"/>
    <mergeCell ref="DI62:DJ63"/>
    <mergeCell ref="DW122:DX123"/>
    <mergeCell ref="DP14:DQ14"/>
    <mergeCell ref="DN133:DO133"/>
    <mergeCell ref="DN130:DO130"/>
    <mergeCell ref="DU62:DV63"/>
    <mergeCell ref="DN134:DO134"/>
    <mergeCell ref="DN135:DO135"/>
    <mergeCell ref="DE122:DF123"/>
    <mergeCell ref="DG122:DH123"/>
    <mergeCell ref="DW62:DX63"/>
    <mergeCell ref="DN132:DO132"/>
    <mergeCell ref="DN127:DO127"/>
    <mergeCell ref="DN128:DO128"/>
    <mergeCell ref="DN129:DO129"/>
    <mergeCell ref="DN131:DO131"/>
    <mergeCell ref="BR2:BS2"/>
    <mergeCell ref="AD3:AE3"/>
    <mergeCell ref="AD2:AE2"/>
    <mergeCell ref="BP2:BQ2"/>
    <mergeCell ref="DE2:DF3"/>
    <mergeCell ref="CP2:CQ3"/>
    <mergeCell ref="CC3:CD3"/>
    <mergeCell ref="AO2:AP2"/>
    <mergeCell ref="AF2:AG2"/>
    <mergeCell ref="BT3:BU3"/>
    <mergeCell ref="GA62:GB63"/>
    <mergeCell ref="GC62:GD63"/>
    <mergeCell ref="EY62:EZ63"/>
    <mergeCell ref="GC32:GD33"/>
    <mergeCell ref="FY32:FZ33"/>
    <mergeCell ref="FY62:FZ63"/>
    <mergeCell ref="EY32:EZ33"/>
    <mergeCell ref="FC32:FD33"/>
    <mergeCell ref="D68:E68"/>
    <mergeCell ref="H35:I35"/>
    <mergeCell ref="DU32:DV33"/>
    <mergeCell ref="AB3:AC3"/>
    <mergeCell ref="D35:E35"/>
    <mergeCell ref="F35:G35"/>
    <mergeCell ref="A66:I66"/>
    <mergeCell ref="D67:E67"/>
    <mergeCell ref="AF61:AG61"/>
    <mergeCell ref="AB4:AC4"/>
    <mergeCell ref="T2:U2"/>
    <mergeCell ref="O2:Q2"/>
    <mergeCell ref="R2:S2"/>
    <mergeCell ref="AB2:AC2"/>
    <mergeCell ref="AD4:AE4"/>
    <mergeCell ref="A34:I34"/>
    <mergeCell ref="H3:I3"/>
    <mergeCell ref="V2:W2"/>
    <mergeCell ref="AB30:AC30"/>
    <mergeCell ref="AB31:AC31"/>
    <mergeCell ref="GC92:GD93"/>
    <mergeCell ref="FK121:FL122"/>
    <mergeCell ref="DY92:DZ93"/>
    <mergeCell ref="F68:G68"/>
    <mergeCell ref="H68:I68"/>
    <mergeCell ref="DE92:DF93"/>
    <mergeCell ref="DI92:DJ93"/>
    <mergeCell ref="DU122:DV123"/>
    <mergeCell ref="FA122:FB123"/>
    <mergeCell ref="FG122:FH123"/>
    <mergeCell ref="F67:G67"/>
    <mergeCell ref="H67:I67"/>
    <mergeCell ref="AD62:AE62"/>
    <mergeCell ref="AB63:AC63"/>
    <mergeCell ref="GC125:GD126"/>
    <mergeCell ref="GA32:GB33"/>
    <mergeCell ref="FK61:FL62"/>
    <mergeCell ref="GA125:GB126"/>
    <mergeCell ref="FY125:FZ126"/>
    <mergeCell ref="DY122:DZ123"/>
    <mergeCell ref="J64:K64"/>
    <mergeCell ref="AD61:AE61"/>
    <mergeCell ref="AB62:AC62"/>
    <mergeCell ref="AF63:AG63"/>
    <mergeCell ref="FG92:FH93"/>
    <mergeCell ref="FK90:FL91"/>
    <mergeCell ref="J65:K65"/>
    <mergeCell ref="CP61:CQ62"/>
    <mergeCell ref="FC92:FD93"/>
    <mergeCell ref="FG62:FH63"/>
    <mergeCell ref="AB59:AC59"/>
    <mergeCell ref="AD31:AE31"/>
    <mergeCell ref="AF31:AG31"/>
    <mergeCell ref="AD58:AE58"/>
    <mergeCell ref="AD59:AE59"/>
    <mergeCell ref="AF59:AG59"/>
    <mergeCell ref="AB58:AC58"/>
    <mergeCell ref="AB32:AC32"/>
    <mergeCell ref="DN136:DO136"/>
    <mergeCell ref="GE2:GF3"/>
    <mergeCell ref="FR7:FS7"/>
    <mergeCell ref="FR2:FS2"/>
    <mergeCell ref="GA2:GB3"/>
    <mergeCell ref="FR15:FS15"/>
    <mergeCell ref="FM2:FN3"/>
    <mergeCell ref="GC2:GD3"/>
    <mergeCell ref="FY92:FZ93"/>
    <mergeCell ref="FC62:FD63"/>
    <mergeCell ref="FR3:FS3"/>
    <mergeCell ref="GA92:GB93"/>
    <mergeCell ref="FR6:FS6"/>
    <mergeCell ref="FR8:FS8"/>
    <mergeCell ref="FR12:FS12"/>
    <mergeCell ref="FR9:FS9"/>
    <mergeCell ref="FR11:FS11"/>
    <mergeCell ref="FR4:FS4"/>
    <mergeCell ref="FR10:FS10"/>
    <mergeCell ref="FR5:FS5"/>
    <mergeCell ref="FR13:FS13"/>
    <mergeCell ref="FR16:FS16"/>
    <mergeCell ref="FR17:FS17"/>
    <mergeCell ref="FR18:FS18"/>
    <mergeCell ref="FR14:FS14"/>
    <mergeCell ref="FG32:FH33"/>
    <mergeCell ref="FK32:FL33"/>
    <mergeCell ref="FC122:FD123"/>
    <mergeCell ref="EY122:EZ123"/>
    <mergeCell ref="FA92:FB93"/>
    <mergeCell ref="EY92:EZ93"/>
    <mergeCell ref="FA62:FB63"/>
    <mergeCell ref="FA32:FB33"/>
    <mergeCell ref="EU4:EV4"/>
    <mergeCell ref="EU11:EV11"/>
    <mergeCell ref="EU12:EV12"/>
    <mergeCell ref="EU5:EV5"/>
    <mergeCell ref="EU7:EV7"/>
    <mergeCell ref="EU10:EV10"/>
    <mergeCell ref="EU9:EV9"/>
    <mergeCell ref="EO62:EP63"/>
    <mergeCell ref="EM62:EN63"/>
    <mergeCell ref="EF16:EG16"/>
    <mergeCell ref="EU14:EV14"/>
    <mergeCell ref="EU15:EV15"/>
    <mergeCell ref="EU18:EV18"/>
    <mergeCell ref="EU17:EV17"/>
    <mergeCell ref="EK32:EL33"/>
    <mergeCell ref="EM32:EN33"/>
    <mergeCell ref="EQ2:ER3"/>
    <mergeCell ref="DW32:DX33"/>
    <mergeCell ref="EF14:EG14"/>
    <mergeCell ref="DP15:DQ15"/>
    <mergeCell ref="EO32:EP33"/>
    <mergeCell ref="CT32:CU33"/>
    <mergeCell ref="DP7:DQ7"/>
    <mergeCell ref="CT2:CU3"/>
    <mergeCell ref="DI32:DJ33"/>
    <mergeCell ref="DE32:DF33"/>
    <mergeCell ref="DI241:DJ242"/>
    <mergeCell ref="DG241:DH242"/>
    <mergeCell ref="BP3:BQ3"/>
    <mergeCell ref="BR3:BS3"/>
    <mergeCell ref="DE271:DF272"/>
    <mergeCell ref="BP35:BQ35"/>
    <mergeCell ref="CR32:CS33"/>
    <mergeCell ref="CC31:CD31"/>
    <mergeCell ref="CN32:CO33"/>
    <mergeCell ref="CR61:CS62"/>
    <mergeCell ref="DG363:DH364"/>
    <mergeCell ref="DG32:DH33"/>
    <mergeCell ref="DG393:DH394"/>
    <mergeCell ref="DE393:DF394"/>
    <mergeCell ref="DE333:DF334"/>
    <mergeCell ref="DG181:DH182"/>
    <mergeCell ref="DG211:DH212"/>
    <mergeCell ref="DG92:DH93"/>
    <mergeCell ref="DG62:DH63"/>
    <mergeCell ref="DE62:DF63"/>
    <mergeCell ref="DG423:DH424"/>
    <mergeCell ref="DI423:DJ424"/>
    <mergeCell ref="DG303:DH304"/>
    <mergeCell ref="DG271:DH272"/>
    <mergeCell ref="DI271:DJ272"/>
    <mergeCell ref="DI303:DJ304"/>
    <mergeCell ref="DI393:DJ394"/>
    <mergeCell ref="DG333:DH334"/>
    <mergeCell ref="DI333:DJ334"/>
    <mergeCell ref="DI363:DJ364"/>
    <mergeCell ref="A96:I96"/>
    <mergeCell ref="D98:E98"/>
    <mergeCell ref="F98:G98"/>
    <mergeCell ref="DE453:DF454"/>
    <mergeCell ref="DE303:DF304"/>
    <mergeCell ref="DE211:DF212"/>
    <mergeCell ref="DE423:DF424"/>
    <mergeCell ref="DE363:DF364"/>
    <mergeCell ref="H98:I98"/>
    <mergeCell ref="A97:I97"/>
    <mergeCell ref="DG453:DH454"/>
    <mergeCell ref="DI453:DJ454"/>
    <mergeCell ref="DE483:DF484"/>
    <mergeCell ref="DG483:DH484"/>
    <mergeCell ref="DI483:DJ484"/>
    <mergeCell ref="DE573:DF574"/>
    <mergeCell ref="DG573:DH574"/>
    <mergeCell ref="DI573:DJ574"/>
    <mergeCell ref="DE513:DF514"/>
    <mergeCell ref="DG513:DH514"/>
    <mergeCell ref="DI513:DJ514"/>
    <mergeCell ref="DE543:DF544"/>
    <mergeCell ref="DG543:DH544"/>
    <mergeCell ref="DI543:DJ544"/>
    <mergeCell ref="A1:I1"/>
    <mergeCell ref="D2:E2"/>
    <mergeCell ref="F2:G2"/>
    <mergeCell ref="H2:I2"/>
    <mergeCell ref="D3:E3"/>
    <mergeCell ref="F3:G3"/>
    <mergeCell ref="D36:E36"/>
    <mergeCell ref="F36:G36"/>
    <mergeCell ref="H36:I36"/>
    <mergeCell ref="J35:K35"/>
    <mergeCell ref="J36:K36"/>
    <mergeCell ref="CR2:CS3"/>
    <mergeCell ref="AL2:AN2"/>
    <mergeCell ref="AF32:AG32"/>
    <mergeCell ref="AD32:AE32"/>
    <mergeCell ref="AD30:AE30"/>
    <mergeCell ref="CC30:CD30"/>
    <mergeCell ref="DI2:DJ3"/>
    <mergeCell ref="DG2:DH3"/>
    <mergeCell ref="CP32:CQ33"/>
    <mergeCell ref="CE31:CF31"/>
    <mergeCell ref="BT2:BU2"/>
    <mergeCell ref="CE30:CF30"/>
    <mergeCell ref="DI211:DJ212"/>
    <mergeCell ref="DE241:DF242"/>
    <mergeCell ref="BF2:BG3"/>
    <mergeCell ref="BH34:BI35"/>
    <mergeCell ref="DE151:DF152"/>
    <mergeCell ref="DG151:DH152"/>
    <mergeCell ref="DI151:DJ152"/>
    <mergeCell ref="DE181:DF182"/>
    <mergeCell ref="DI181:DJ182"/>
    <mergeCell ref="CT61:CU62"/>
  </mergeCells>
  <pageMargins left="0.75" right="0.75" top="1" bottom="1" header="0.5" footer="0.5"/>
  <pageSetup scale="83" orientation="portrait" r:id="rId1"/>
  <headerFooter alignWithMargins="0"/>
  <ignoredErrors>
    <ignoredError sqref="E5:H5 E38:I38 DF95:DH95 DF125:DH125 DF154:DH154 DF184:DH184 DF244:DH244 DF214:DH214 DF274:DH274 DF306:DH306 DF336:DI336 DF366:DH366 DF396:DI396 DF426:DI426 DF65:DH65 DF35:DI35 DF5:DH5 CO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6FFCA-6FF2-46B7-85FE-B56532CE3012}">
  <sheetPr>
    <tabColor rgb="FFFFFF00"/>
  </sheetPr>
  <dimension ref="A1:BQ163"/>
  <sheetViews>
    <sheetView showGridLines="0" topLeftCell="V1" zoomScale="90" zoomScaleNormal="90" workbookViewId="0">
      <selection activeCell="AL41" sqref="AL41"/>
    </sheetView>
  </sheetViews>
  <sheetFormatPr defaultColWidth="12.7109375" defaultRowHeight="12.75"/>
  <cols>
    <col min="1" max="1" width="38.7109375" style="585" customWidth="1"/>
    <col min="2" max="3" width="15.7109375" style="585" customWidth="1"/>
    <col min="4" max="4" width="10.7109375" style="585" customWidth="1"/>
    <col min="5" max="5" width="12.7109375" style="585"/>
    <col min="6" max="6" width="34.42578125" style="585" customWidth="1"/>
    <col min="7" max="8" width="10.7109375" style="585" customWidth="1"/>
    <col min="9" max="9" width="5.7109375" style="585" customWidth="1"/>
    <col min="10" max="10" width="28.7109375" style="585" customWidth="1"/>
    <col min="11" max="12" width="10.7109375" style="585" customWidth="1"/>
    <col min="13" max="14" width="9.140625" style="585" customWidth="1"/>
    <col min="15" max="15" width="32.140625" style="585" customWidth="1"/>
    <col min="16" max="17" width="10.7109375" style="382" customWidth="1"/>
    <col min="18" max="18" width="5.7109375" style="585" customWidth="1"/>
    <col min="19" max="19" width="28.7109375" style="585" customWidth="1"/>
    <col min="20" max="23" width="10.7109375" style="585" customWidth="1"/>
    <col min="24" max="24" width="25.7109375" style="585" customWidth="1"/>
    <col min="25" max="28" width="12.7109375" style="585" customWidth="1"/>
    <col min="29" max="30" width="13.7109375" style="585" customWidth="1"/>
    <col min="31" max="32" width="12.7109375" style="585" customWidth="1"/>
    <col min="33" max="35" width="9.140625" style="585" customWidth="1"/>
    <col min="36" max="36" width="22.7109375" style="585" customWidth="1"/>
    <col min="37" max="38" width="12.7109375" style="585" customWidth="1"/>
    <col min="39" max="40" width="10.7109375" style="585" customWidth="1"/>
    <col min="41" max="42" width="10.7109375" style="598" customWidth="1"/>
    <col min="43" max="44" width="10.7109375" style="585" customWidth="1"/>
    <col min="45" max="46" width="9.7109375" style="585" customWidth="1"/>
    <col min="47" max="47" width="11.7109375" style="585" customWidth="1"/>
    <col min="48" max="48" width="10.7109375" style="585" customWidth="1"/>
    <col min="49" max="49" width="9.140625" style="585" customWidth="1"/>
    <col min="50" max="50" width="20.7109375" style="585" customWidth="1"/>
    <col min="51" max="52" width="10.7109375" style="585" customWidth="1"/>
    <col min="53" max="58" width="12.7109375" style="585" customWidth="1"/>
    <col min="59" max="60" width="9.140625" style="585" customWidth="1"/>
    <col min="61" max="61" width="20.7109375" style="585" customWidth="1"/>
    <col min="62" max="63" width="10.7109375" style="585" customWidth="1"/>
    <col min="64" max="256" width="12.7109375" style="585"/>
    <col min="257" max="257" width="38.7109375" style="585" customWidth="1"/>
    <col min="258" max="259" width="15.7109375" style="585" customWidth="1"/>
    <col min="260" max="260" width="10.7109375" style="585" customWidth="1"/>
    <col min="261" max="261" width="12.7109375" style="585"/>
    <col min="262" max="262" width="34.42578125" style="585" customWidth="1"/>
    <col min="263" max="264" width="10.7109375" style="585" customWidth="1"/>
    <col min="265" max="265" width="5.7109375" style="585" customWidth="1"/>
    <col min="266" max="266" width="28.7109375" style="585" customWidth="1"/>
    <col min="267" max="268" width="10.7109375" style="585" customWidth="1"/>
    <col min="269" max="270" width="9.140625" style="585" customWidth="1"/>
    <col min="271" max="271" width="32.140625" style="585" customWidth="1"/>
    <col min="272" max="273" width="10.7109375" style="585" customWidth="1"/>
    <col min="274" max="274" width="5.7109375" style="585" customWidth="1"/>
    <col min="275" max="275" width="28.7109375" style="585" customWidth="1"/>
    <col min="276" max="279" width="10.7109375" style="585" customWidth="1"/>
    <col min="280" max="280" width="25.7109375" style="585" customWidth="1"/>
    <col min="281" max="284" width="12.7109375" style="585"/>
    <col min="285" max="286" width="13.7109375" style="585" customWidth="1"/>
    <col min="287" max="288" width="12.7109375" style="585"/>
    <col min="289" max="291" width="9.140625" style="585" customWidth="1"/>
    <col min="292" max="292" width="22.7109375" style="585" customWidth="1"/>
    <col min="293" max="294" width="12.7109375" style="585"/>
    <col min="295" max="300" width="10.7109375" style="585" customWidth="1"/>
    <col min="301" max="302" width="9.7109375" style="585" customWidth="1"/>
    <col min="303" max="303" width="11.7109375" style="585" customWidth="1"/>
    <col min="304" max="304" width="10.7109375" style="585" customWidth="1"/>
    <col min="305" max="305" width="9.140625" style="585" customWidth="1"/>
    <col min="306" max="306" width="20.7109375" style="585" customWidth="1"/>
    <col min="307" max="308" width="10.7109375" style="585" customWidth="1"/>
    <col min="309" max="314" width="12.7109375" style="585"/>
    <col min="315" max="316" width="9.140625" style="585" customWidth="1"/>
    <col min="317" max="317" width="20.7109375" style="585" customWidth="1"/>
    <col min="318" max="319" width="10.7109375" style="585" customWidth="1"/>
    <col min="320" max="512" width="12.7109375" style="585"/>
    <col min="513" max="513" width="38.7109375" style="585" customWidth="1"/>
    <col min="514" max="515" width="15.7109375" style="585" customWidth="1"/>
    <col min="516" max="516" width="10.7109375" style="585" customWidth="1"/>
    <col min="517" max="517" width="12.7109375" style="585"/>
    <col min="518" max="518" width="34.42578125" style="585" customWidth="1"/>
    <col min="519" max="520" width="10.7109375" style="585" customWidth="1"/>
    <col min="521" max="521" width="5.7109375" style="585" customWidth="1"/>
    <col min="522" max="522" width="28.7109375" style="585" customWidth="1"/>
    <col min="523" max="524" width="10.7109375" style="585" customWidth="1"/>
    <col min="525" max="526" width="9.140625" style="585" customWidth="1"/>
    <col min="527" max="527" width="32.140625" style="585" customWidth="1"/>
    <col min="528" max="529" width="10.7109375" style="585" customWidth="1"/>
    <col min="530" max="530" width="5.7109375" style="585" customWidth="1"/>
    <col min="531" max="531" width="28.7109375" style="585" customWidth="1"/>
    <col min="532" max="535" width="10.7109375" style="585" customWidth="1"/>
    <col min="536" max="536" width="25.7109375" style="585" customWidth="1"/>
    <col min="537" max="540" width="12.7109375" style="585"/>
    <col min="541" max="542" width="13.7109375" style="585" customWidth="1"/>
    <col min="543" max="544" width="12.7109375" style="585"/>
    <col min="545" max="547" width="9.140625" style="585" customWidth="1"/>
    <col min="548" max="548" width="22.7109375" style="585" customWidth="1"/>
    <col min="549" max="550" width="12.7109375" style="585"/>
    <col min="551" max="556" width="10.7109375" style="585" customWidth="1"/>
    <col min="557" max="558" width="9.7109375" style="585" customWidth="1"/>
    <col min="559" max="559" width="11.7109375" style="585" customWidth="1"/>
    <col min="560" max="560" width="10.7109375" style="585" customWidth="1"/>
    <col min="561" max="561" width="9.140625" style="585" customWidth="1"/>
    <col min="562" max="562" width="20.7109375" style="585" customWidth="1"/>
    <col min="563" max="564" width="10.7109375" style="585" customWidth="1"/>
    <col min="565" max="570" width="12.7109375" style="585"/>
    <col min="571" max="572" width="9.140625" style="585" customWidth="1"/>
    <col min="573" max="573" width="20.7109375" style="585" customWidth="1"/>
    <col min="574" max="575" width="10.7109375" style="585" customWidth="1"/>
    <col min="576" max="768" width="12.7109375" style="585"/>
    <col min="769" max="769" width="38.7109375" style="585" customWidth="1"/>
    <col min="770" max="771" width="15.7109375" style="585" customWidth="1"/>
    <col min="772" max="772" width="10.7109375" style="585" customWidth="1"/>
    <col min="773" max="773" width="12.7109375" style="585"/>
    <col min="774" max="774" width="34.42578125" style="585" customWidth="1"/>
    <col min="775" max="776" width="10.7109375" style="585" customWidth="1"/>
    <col min="777" max="777" width="5.7109375" style="585" customWidth="1"/>
    <col min="778" max="778" width="28.7109375" style="585" customWidth="1"/>
    <col min="779" max="780" width="10.7109375" style="585" customWidth="1"/>
    <col min="781" max="782" width="9.140625" style="585" customWidth="1"/>
    <col min="783" max="783" width="32.140625" style="585" customWidth="1"/>
    <col min="784" max="785" width="10.7109375" style="585" customWidth="1"/>
    <col min="786" max="786" width="5.7109375" style="585" customWidth="1"/>
    <col min="787" max="787" width="28.7109375" style="585" customWidth="1"/>
    <col min="788" max="791" width="10.7109375" style="585" customWidth="1"/>
    <col min="792" max="792" width="25.7109375" style="585" customWidth="1"/>
    <col min="793" max="796" width="12.7109375" style="585"/>
    <col min="797" max="798" width="13.7109375" style="585" customWidth="1"/>
    <col min="799" max="800" width="12.7109375" style="585"/>
    <col min="801" max="803" width="9.140625" style="585" customWidth="1"/>
    <col min="804" max="804" width="22.7109375" style="585" customWidth="1"/>
    <col min="805" max="806" width="12.7109375" style="585"/>
    <col min="807" max="812" width="10.7109375" style="585" customWidth="1"/>
    <col min="813" max="814" width="9.7109375" style="585" customWidth="1"/>
    <col min="815" max="815" width="11.7109375" style="585" customWidth="1"/>
    <col min="816" max="816" width="10.7109375" style="585" customWidth="1"/>
    <col min="817" max="817" width="9.140625" style="585" customWidth="1"/>
    <col min="818" max="818" width="20.7109375" style="585" customWidth="1"/>
    <col min="819" max="820" width="10.7109375" style="585" customWidth="1"/>
    <col min="821" max="826" width="12.7109375" style="585"/>
    <col min="827" max="828" width="9.140625" style="585" customWidth="1"/>
    <col min="829" max="829" width="20.7109375" style="585" customWidth="1"/>
    <col min="830" max="831" width="10.7109375" style="585" customWidth="1"/>
    <col min="832" max="1024" width="12.7109375" style="585"/>
    <col min="1025" max="1025" width="38.7109375" style="585" customWidth="1"/>
    <col min="1026" max="1027" width="15.7109375" style="585" customWidth="1"/>
    <col min="1028" max="1028" width="10.7109375" style="585" customWidth="1"/>
    <col min="1029" max="1029" width="12.7109375" style="585"/>
    <col min="1030" max="1030" width="34.42578125" style="585" customWidth="1"/>
    <col min="1031" max="1032" width="10.7109375" style="585" customWidth="1"/>
    <col min="1033" max="1033" width="5.7109375" style="585" customWidth="1"/>
    <col min="1034" max="1034" width="28.7109375" style="585" customWidth="1"/>
    <col min="1035" max="1036" width="10.7109375" style="585" customWidth="1"/>
    <col min="1037" max="1038" width="9.140625" style="585" customWidth="1"/>
    <col min="1039" max="1039" width="32.140625" style="585" customWidth="1"/>
    <col min="1040" max="1041" width="10.7109375" style="585" customWidth="1"/>
    <col min="1042" max="1042" width="5.7109375" style="585" customWidth="1"/>
    <col min="1043" max="1043" width="28.7109375" style="585" customWidth="1"/>
    <col min="1044" max="1047" width="10.7109375" style="585" customWidth="1"/>
    <col min="1048" max="1048" width="25.7109375" style="585" customWidth="1"/>
    <col min="1049" max="1052" width="12.7109375" style="585"/>
    <col min="1053" max="1054" width="13.7109375" style="585" customWidth="1"/>
    <col min="1055" max="1056" width="12.7109375" style="585"/>
    <col min="1057" max="1059" width="9.140625" style="585" customWidth="1"/>
    <col min="1060" max="1060" width="22.7109375" style="585" customWidth="1"/>
    <col min="1061" max="1062" width="12.7109375" style="585"/>
    <col min="1063" max="1068" width="10.7109375" style="585" customWidth="1"/>
    <col min="1069" max="1070" width="9.7109375" style="585" customWidth="1"/>
    <col min="1071" max="1071" width="11.7109375" style="585" customWidth="1"/>
    <col min="1072" max="1072" width="10.7109375" style="585" customWidth="1"/>
    <col min="1073" max="1073" width="9.140625" style="585" customWidth="1"/>
    <col min="1074" max="1074" width="20.7109375" style="585" customWidth="1"/>
    <col min="1075" max="1076" width="10.7109375" style="585" customWidth="1"/>
    <col min="1077" max="1082" width="12.7109375" style="585"/>
    <col min="1083" max="1084" width="9.140625" style="585" customWidth="1"/>
    <col min="1085" max="1085" width="20.7109375" style="585" customWidth="1"/>
    <col min="1086" max="1087" width="10.7109375" style="585" customWidth="1"/>
    <col min="1088" max="1280" width="12.7109375" style="585"/>
    <col min="1281" max="1281" width="38.7109375" style="585" customWidth="1"/>
    <col min="1282" max="1283" width="15.7109375" style="585" customWidth="1"/>
    <col min="1284" max="1284" width="10.7109375" style="585" customWidth="1"/>
    <col min="1285" max="1285" width="12.7109375" style="585"/>
    <col min="1286" max="1286" width="34.42578125" style="585" customWidth="1"/>
    <col min="1287" max="1288" width="10.7109375" style="585" customWidth="1"/>
    <col min="1289" max="1289" width="5.7109375" style="585" customWidth="1"/>
    <col min="1290" max="1290" width="28.7109375" style="585" customWidth="1"/>
    <col min="1291" max="1292" width="10.7109375" style="585" customWidth="1"/>
    <col min="1293" max="1294" width="9.140625" style="585" customWidth="1"/>
    <col min="1295" max="1295" width="32.140625" style="585" customWidth="1"/>
    <col min="1296" max="1297" width="10.7109375" style="585" customWidth="1"/>
    <col min="1298" max="1298" width="5.7109375" style="585" customWidth="1"/>
    <col min="1299" max="1299" width="28.7109375" style="585" customWidth="1"/>
    <col min="1300" max="1303" width="10.7109375" style="585" customWidth="1"/>
    <col min="1304" max="1304" width="25.7109375" style="585" customWidth="1"/>
    <col min="1305" max="1308" width="12.7109375" style="585"/>
    <col min="1309" max="1310" width="13.7109375" style="585" customWidth="1"/>
    <col min="1311" max="1312" width="12.7109375" style="585"/>
    <col min="1313" max="1315" width="9.140625" style="585" customWidth="1"/>
    <col min="1316" max="1316" width="22.7109375" style="585" customWidth="1"/>
    <col min="1317" max="1318" width="12.7109375" style="585"/>
    <col min="1319" max="1324" width="10.7109375" style="585" customWidth="1"/>
    <col min="1325" max="1326" width="9.7109375" style="585" customWidth="1"/>
    <col min="1327" max="1327" width="11.7109375" style="585" customWidth="1"/>
    <col min="1328" max="1328" width="10.7109375" style="585" customWidth="1"/>
    <col min="1329" max="1329" width="9.140625" style="585" customWidth="1"/>
    <col min="1330" max="1330" width="20.7109375" style="585" customWidth="1"/>
    <col min="1331" max="1332" width="10.7109375" style="585" customWidth="1"/>
    <col min="1333" max="1338" width="12.7109375" style="585"/>
    <col min="1339" max="1340" width="9.140625" style="585" customWidth="1"/>
    <col min="1341" max="1341" width="20.7109375" style="585" customWidth="1"/>
    <col min="1342" max="1343" width="10.7109375" style="585" customWidth="1"/>
    <col min="1344" max="1536" width="12.7109375" style="585"/>
    <col min="1537" max="1537" width="38.7109375" style="585" customWidth="1"/>
    <col min="1538" max="1539" width="15.7109375" style="585" customWidth="1"/>
    <col min="1540" max="1540" width="10.7109375" style="585" customWidth="1"/>
    <col min="1541" max="1541" width="12.7109375" style="585"/>
    <col min="1542" max="1542" width="34.42578125" style="585" customWidth="1"/>
    <col min="1543" max="1544" width="10.7109375" style="585" customWidth="1"/>
    <col min="1545" max="1545" width="5.7109375" style="585" customWidth="1"/>
    <col min="1546" max="1546" width="28.7109375" style="585" customWidth="1"/>
    <col min="1547" max="1548" width="10.7109375" style="585" customWidth="1"/>
    <col min="1549" max="1550" width="9.140625" style="585" customWidth="1"/>
    <col min="1551" max="1551" width="32.140625" style="585" customWidth="1"/>
    <col min="1552" max="1553" width="10.7109375" style="585" customWidth="1"/>
    <col min="1554" max="1554" width="5.7109375" style="585" customWidth="1"/>
    <col min="1555" max="1555" width="28.7109375" style="585" customWidth="1"/>
    <col min="1556" max="1559" width="10.7109375" style="585" customWidth="1"/>
    <col min="1560" max="1560" width="25.7109375" style="585" customWidth="1"/>
    <col min="1561" max="1564" width="12.7109375" style="585"/>
    <col min="1565" max="1566" width="13.7109375" style="585" customWidth="1"/>
    <col min="1567" max="1568" width="12.7109375" style="585"/>
    <col min="1569" max="1571" width="9.140625" style="585" customWidth="1"/>
    <col min="1572" max="1572" width="22.7109375" style="585" customWidth="1"/>
    <col min="1573" max="1574" width="12.7109375" style="585"/>
    <col min="1575" max="1580" width="10.7109375" style="585" customWidth="1"/>
    <col min="1581" max="1582" width="9.7109375" style="585" customWidth="1"/>
    <col min="1583" max="1583" width="11.7109375" style="585" customWidth="1"/>
    <col min="1584" max="1584" width="10.7109375" style="585" customWidth="1"/>
    <col min="1585" max="1585" width="9.140625" style="585" customWidth="1"/>
    <col min="1586" max="1586" width="20.7109375" style="585" customWidth="1"/>
    <col min="1587" max="1588" width="10.7109375" style="585" customWidth="1"/>
    <col min="1589" max="1594" width="12.7109375" style="585"/>
    <col min="1595" max="1596" width="9.140625" style="585" customWidth="1"/>
    <col min="1597" max="1597" width="20.7109375" style="585" customWidth="1"/>
    <col min="1598" max="1599" width="10.7109375" style="585" customWidth="1"/>
    <col min="1600" max="1792" width="12.7109375" style="585"/>
    <col min="1793" max="1793" width="38.7109375" style="585" customWidth="1"/>
    <col min="1794" max="1795" width="15.7109375" style="585" customWidth="1"/>
    <col min="1796" max="1796" width="10.7109375" style="585" customWidth="1"/>
    <col min="1797" max="1797" width="12.7109375" style="585"/>
    <col min="1798" max="1798" width="34.42578125" style="585" customWidth="1"/>
    <col min="1799" max="1800" width="10.7109375" style="585" customWidth="1"/>
    <col min="1801" max="1801" width="5.7109375" style="585" customWidth="1"/>
    <col min="1802" max="1802" width="28.7109375" style="585" customWidth="1"/>
    <col min="1803" max="1804" width="10.7109375" style="585" customWidth="1"/>
    <col min="1805" max="1806" width="9.140625" style="585" customWidth="1"/>
    <col min="1807" max="1807" width="32.140625" style="585" customWidth="1"/>
    <col min="1808" max="1809" width="10.7109375" style="585" customWidth="1"/>
    <col min="1810" max="1810" width="5.7109375" style="585" customWidth="1"/>
    <col min="1811" max="1811" width="28.7109375" style="585" customWidth="1"/>
    <col min="1812" max="1815" width="10.7109375" style="585" customWidth="1"/>
    <col min="1816" max="1816" width="25.7109375" style="585" customWidth="1"/>
    <col min="1817" max="1820" width="12.7109375" style="585"/>
    <col min="1821" max="1822" width="13.7109375" style="585" customWidth="1"/>
    <col min="1823" max="1824" width="12.7109375" style="585"/>
    <col min="1825" max="1827" width="9.140625" style="585" customWidth="1"/>
    <col min="1828" max="1828" width="22.7109375" style="585" customWidth="1"/>
    <col min="1829" max="1830" width="12.7109375" style="585"/>
    <col min="1831" max="1836" width="10.7109375" style="585" customWidth="1"/>
    <col min="1837" max="1838" width="9.7109375" style="585" customWidth="1"/>
    <col min="1839" max="1839" width="11.7109375" style="585" customWidth="1"/>
    <col min="1840" max="1840" width="10.7109375" style="585" customWidth="1"/>
    <col min="1841" max="1841" width="9.140625" style="585" customWidth="1"/>
    <col min="1842" max="1842" width="20.7109375" style="585" customWidth="1"/>
    <col min="1843" max="1844" width="10.7109375" style="585" customWidth="1"/>
    <col min="1845" max="1850" width="12.7109375" style="585"/>
    <col min="1851" max="1852" width="9.140625" style="585" customWidth="1"/>
    <col min="1853" max="1853" width="20.7109375" style="585" customWidth="1"/>
    <col min="1854" max="1855" width="10.7109375" style="585" customWidth="1"/>
    <col min="1856" max="2048" width="12.7109375" style="585"/>
    <col min="2049" max="2049" width="38.7109375" style="585" customWidth="1"/>
    <col min="2050" max="2051" width="15.7109375" style="585" customWidth="1"/>
    <col min="2052" max="2052" width="10.7109375" style="585" customWidth="1"/>
    <col min="2053" max="2053" width="12.7109375" style="585"/>
    <col min="2054" max="2054" width="34.42578125" style="585" customWidth="1"/>
    <col min="2055" max="2056" width="10.7109375" style="585" customWidth="1"/>
    <col min="2057" max="2057" width="5.7109375" style="585" customWidth="1"/>
    <col min="2058" max="2058" width="28.7109375" style="585" customWidth="1"/>
    <col min="2059" max="2060" width="10.7109375" style="585" customWidth="1"/>
    <col min="2061" max="2062" width="9.140625" style="585" customWidth="1"/>
    <col min="2063" max="2063" width="32.140625" style="585" customWidth="1"/>
    <col min="2064" max="2065" width="10.7109375" style="585" customWidth="1"/>
    <col min="2066" max="2066" width="5.7109375" style="585" customWidth="1"/>
    <col min="2067" max="2067" width="28.7109375" style="585" customWidth="1"/>
    <col min="2068" max="2071" width="10.7109375" style="585" customWidth="1"/>
    <col min="2072" max="2072" width="25.7109375" style="585" customWidth="1"/>
    <col min="2073" max="2076" width="12.7109375" style="585"/>
    <col min="2077" max="2078" width="13.7109375" style="585" customWidth="1"/>
    <col min="2079" max="2080" width="12.7109375" style="585"/>
    <col min="2081" max="2083" width="9.140625" style="585" customWidth="1"/>
    <col min="2084" max="2084" width="22.7109375" style="585" customWidth="1"/>
    <col min="2085" max="2086" width="12.7109375" style="585"/>
    <col min="2087" max="2092" width="10.7109375" style="585" customWidth="1"/>
    <col min="2093" max="2094" width="9.7109375" style="585" customWidth="1"/>
    <col min="2095" max="2095" width="11.7109375" style="585" customWidth="1"/>
    <col min="2096" max="2096" width="10.7109375" style="585" customWidth="1"/>
    <col min="2097" max="2097" width="9.140625" style="585" customWidth="1"/>
    <col min="2098" max="2098" width="20.7109375" style="585" customWidth="1"/>
    <col min="2099" max="2100" width="10.7109375" style="585" customWidth="1"/>
    <col min="2101" max="2106" width="12.7109375" style="585"/>
    <col min="2107" max="2108" width="9.140625" style="585" customWidth="1"/>
    <col min="2109" max="2109" width="20.7109375" style="585" customWidth="1"/>
    <col min="2110" max="2111" width="10.7109375" style="585" customWidth="1"/>
    <col min="2112" max="2304" width="12.7109375" style="585"/>
    <col min="2305" max="2305" width="38.7109375" style="585" customWidth="1"/>
    <col min="2306" max="2307" width="15.7109375" style="585" customWidth="1"/>
    <col min="2308" max="2308" width="10.7109375" style="585" customWidth="1"/>
    <col min="2309" max="2309" width="12.7109375" style="585"/>
    <col min="2310" max="2310" width="34.42578125" style="585" customWidth="1"/>
    <col min="2311" max="2312" width="10.7109375" style="585" customWidth="1"/>
    <col min="2313" max="2313" width="5.7109375" style="585" customWidth="1"/>
    <col min="2314" max="2314" width="28.7109375" style="585" customWidth="1"/>
    <col min="2315" max="2316" width="10.7109375" style="585" customWidth="1"/>
    <col min="2317" max="2318" width="9.140625" style="585" customWidth="1"/>
    <col min="2319" max="2319" width="32.140625" style="585" customWidth="1"/>
    <col min="2320" max="2321" width="10.7109375" style="585" customWidth="1"/>
    <col min="2322" max="2322" width="5.7109375" style="585" customWidth="1"/>
    <col min="2323" max="2323" width="28.7109375" style="585" customWidth="1"/>
    <col min="2324" max="2327" width="10.7109375" style="585" customWidth="1"/>
    <col min="2328" max="2328" width="25.7109375" style="585" customWidth="1"/>
    <col min="2329" max="2332" width="12.7109375" style="585"/>
    <col min="2333" max="2334" width="13.7109375" style="585" customWidth="1"/>
    <col min="2335" max="2336" width="12.7109375" style="585"/>
    <col min="2337" max="2339" width="9.140625" style="585" customWidth="1"/>
    <col min="2340" max="2340" width="22.7109375" style="585" customWidth="1"/>
    <col min="2341" max="2342" width="12.7109375" style="585"/>
    <col min="2343" max="2348" width="10.7109375" style="585" customWidth="1"/>
    <col min="2349" max="2350" width="9.7109375" style="585" customWidth="1"/>
    <col min="2351" max="2351" width="11.7109375" style="585" customWidth="1"/>
    <col min="2352" max="2352" width="10.7109375" style="585" customWidth="1"/>
    <col min="2353" max="2353" width="9.140625" style="585" customWidth="1"/>
    <col min="2354" max="2354" width="20.7109375" style="585" customWidth="1"/>
    <col min="2355" max="2356" width="10.7109375" style="585" customWidth="1"/>
    <col min="2357" max="2362" width="12.7109375" style="585"/>
    <col min="2363" max="2364" width="9.140625" style="585" customWidth="1"/>
    <col min="2365" max="2365" width="20.7109375" style="585" customWidth="1"/>
    <col min="2366" max="2367" width="10.7109375" style="585" customWidth="1"/>
    <col min="2368" max="2560" width="12.7109375" style="585"/>
    <col min="2561" max="2561" width="38.7109375" style="585" customWidth="1"/>
    <col min="2562" max="2563" width="15.7109375" style="585" customWidth="1"/>
    <col min="2564" max="2564" width="10.7109375" style="585" customWidth="1"/>
    <col min="2565" max="2565" width="12.7109375" style="585"/>
    <col min="2566" max="2566" width="34.42578125" style="585" customWidth="1"/>
    <col min="2567" max="2568" width="10.7109375" style="585" customWidth="1"/>
    <col min="2569" max="2569" width="5.7109375" style="585" customWidth="1"/>
    <col min="2570" max="2570" width="28.7109375" style="585" customWidth="1"/>
    <col min="2571" max="2572" width="10.7109375" style="585" customWidth="1"/>
    <col min="2573" max="2574" width="9.140625" style="585" customWidth="1"/>
    <col min="2575" max="2575" width="32.140625" style="585" customWidth="1"/>
    <col min="2576" max="2577" width="10.7109375" style="585" customWidth="1"/>
    <col min="2578" max="2578" width="5.7109375" style="585" customWidth="1"/>
    <col min="2579" max="2579" width="28.7109375" style="585" customWidth="1"/>
    <col min="2580" max="2583" width="10.7109375" style="585" customWidth="1"/>
    <col min="2584" max="2584" width="25.7109375" style="585" customWidth="1"/>
    <col min="2585" max="2588" width="12.7109375" style="585"/>
    <col min="2589" max="2590" width="13.7109375" style="585" customWidth="1"/>
    <col min="2591" max="2592" width="12.7109375" style="585"/>
    <col min="2593" max="2595" width="9.140625" style="585" customWidth="1"/>
    <col min="2596" max="2596" width="22.7109375" style="585" customWidth="1"/>
    <col min="2597" max="2598" width="12.7109375" style="585"/>
    <col min="2599" max="2604" width="10.7109375" style="585" customWidth="1"/>
    <col min="2605" max="2606" width="9.7109375" style="585" customWidth="1"/>
    <col min="2607" max="2607" width="11.7109375" style="585" customWidth="1"/>
    <col min="2608" max="2608" width="10.7109375" style="585" customWidth="1"/>
    <col min="2609" max="2609" width="9.140625" style="585" customWidth="1"/>
    <col min="2610" max="2610" width="20.7109375" style="585" customWidth="1"/>
    <col min="2611" max="2612" width="10.7109375" style="585" customWidth="1"/>
    <col min="2613" max="2618" width="12.7109375" style="585"/>
    <col min="2619" max="2620" width="9.140625" style="585" customWidth="1"/>
    <col min="2621" max="2621" width="20.7109375" style="585" customWidth="1"/>
    <col min="2622" max="2623" width="10.7109375" style="585" customWidth="1"/>
    <col min="2624" max="2816" width="12.7109375" style="585"/>
    <col min="2817" max="2817" width="38.7109375" style="585" customWidth="1"/>
    <col min="2818" max="2819" width="15.7109375" style="585" customWidth="1"/>
    <col min="2820" max="2820" width="10.7109375" style="585" customWidth="1"/>
    <col min="2821" max="2821" width="12.7109375" style="585"/>
    <col min="2822" max="2822" width="34.42578125" style="585" customWidth="1"/>
    <col min="2823" max="2824" width="10.7109375" style="585" customWidth="1"/>
    <col min="2825" max="2825" width="5.7109375" style="585" customWidth="1"/>
    <col min="2826" max="2826" width="28.7109375" style="585" customWidth="1"/>
    <col min="2827" max="2828" width="10.7109375" style="585" customWidth="1"/>
    <col min="2829" max="2830" width="9.140625" style="585" customWidth="1"/>
    <col min="2831" max="2831" width="32.140625" style="585" customWidth="1"/>
    <col min="2832" max="2833" width="10.7109375" style="585" customWidth="1"/>
    <col min="2834" max="2834" width="5.7109375" style="585" customWidth="1"/>
    <col min="2835" max="2835" width="28.7109375" style="585" customWidth="1"/>
    <col min="2836" max="2839" width="10.7109375" style="585" customWidth="1"/>
    <col min="2840" max="2840" width="25.7109375" style="585" customWidth="1"/>
    <col min="2841" max="2844" width="12.7109375" style="585"/>
    <col min="2845" max="2846" width="13.7109375" style="585" customWidth="1"/>
    <col min="2847" max="2848" width="12.7109375" style="585"/>
    <col min="2849" max="2851" width="9.140625" style="585" customWidth="1"/>
    <col min="2852" max="2852" width="22.7109375" style="585" customWidth="1"/>
    <col min="2853" max="2854" width="12.7109375" style="585"/>
    <col min="2855" max="2860" width="10.7109375" style="585" customWidth="1"/>
    <col min="2861" max="2862" width="9.7109375" style="585" customWidth="1"/>
    <col min="2863" max="2863" width="11.7109375" style="585" customWidth="1"/>
    <col min="2864" max="2864" width="10.7109375" style="585" customWidth="1"/>
    <col min="2865" max="2865" width="9.140625" style="585" customWidth="1"/>
    <col min="2866" max="2866" width="20.7109375" style="585" customWidth="1"/>
    <col min="2867" max="2868" width="10.7109375" style="585" customWidth="1"/>
    <col min="2869" max="2874" width="12.7109375" style="585"/>
    <col min="2875" max="2876" width="9.140625" style="585" customWidth="1"/>
    <col min="2877" max="2877" width="20.7109375" style="585" customWidth="1"/>
    <col min="2878" max="2879" width="10.7109375" style="585" customWidth="1"/>
    <col min="2880" max="3072" width="12.7109375" style="585"/>
    <col min="3073" max="3073" width="38.7109375" style="585" customWidth="1"/>
    <col min="3074" max="3075" width="15.7109375" style="585" customWidth="1"/>
    <col min="3076" max="3076" width="10.7109375" style="585" customWidth="1"/>
    <col min="3077" max="3077" width="12.7109375" style="585"/>
    <col min="3078" max="3078" width="34.42578125" style="585" customWidth="1"/>
    <col min="3079" max="3080" width="10.7109375" style="585" customWidth="1"/>
    <col min="3081" max="3081" width="5.7109375" style="585" customWidth="1"/>
    <col min="3082" max="3082" width="28.7109375" style="585" customWidth="1"/>
    <col min="3083" max="3084" width="10.7109375" style="585" customWidth="1"/>
    <col min="3085" max="3086" width="9.140625" style="585" customWidth="1"/>
    <col min="3087" max="3087" width="32.140625" style="585" customWidth="1"/>
    <col min="3088" max="3089" width="10.7109375" style="585" customWidth="1"/>
    <col min="3090" max="3090" width="5.7109375" style="585" customWidth="1"/>
    <col min="3091" max="3091" width="28.7109375" style="585" customWidth="1"/>
    <col min="3092" max="3095" width="10.7109375" style="585" customWidth="1"/>
    <col min="3096" max="3096" width="25.7109375" style="585" customWidth="1"/>
    <col min="3097" max="3100" width="12.7109375" style="585"/>
    <col min="3101" max="3102" width="13.7109375" style="585" customWidth="1"/>
    <col min="3103" max="3104" width="12.7109375" style="585"/>
    <col min="3105" max="3107" width="9.140625" style="585" customWidth="1"/>
    <col min="3108" max="3108" width="22.7109375" style="585" customWidth="1"/>
    <col min="3109" max="3110" width="12.7109375" style="585"/>
    <col min="3111" max="3116" width="10.7109375" style="585" customWidth="1"/>
    <col min="3117" max="3118" width="9.7109375" style="585" customWidth="1"/>
    <col min="3119" max="3119" width="11.7109375" style="585" customWidth="1"/>
    <col min="3120" max="3120" width="10.7109375" style="585" customWidth="1"/>
    <col min="3121" max="3121" width="9.140625" style="585" customWidth="1"/>
    <col min="3122" max="3122" width="20.7109375" style="585" customWidth="1"/>
    <col min="3123" max="3124" width="10.7109375" style="585" customWidth="1"/>
    <col min="3125" max="3130" width="12.7109375" style="585"/>
    <col min="3131" max="3132" width="9.140625" style="585" customWidth="1"/>
    <col min="3133" max="3133" width="20.7109375" style="585" customWidth="1"/>
    <col min="3134" max="3135" width="10.7109375" style="585" customWidth="1"/>
    <col min="3136" max="3328" width="12.7109375" style="585"/>
    <col min="3329" max="3329" width="38.7109375" style="585" customWidth="1"/>
    <col min="3330" max="3331" width="15.7109375" style="585" customWidth="1"/>
    <col min="3332" max="3332" width="10.7109375" style="585" customWidth="1"/>
    <col min="3333" max="3333" width="12.7109375" style="585"/>
    <col min="3334" max="3334" width="34.42578125" style="585" customWidth="1"/>
    <col min="3335" max="3336" width="10.7109375" style="585" customWidth="1"/>
    <col min="3337" max="3337" width="5.7109375" style="585" customWidth="1"/>
    <col min="3338" max="3338" width="28.7109375" style="585" customWidth="1"/>
    <col min="3339" max="3340" width="10.7109375" style="585" customWidth="1"/>
    <col min="3341" max="3342" width="9.140625" style="585" customWidth="1"/>
    <col min="3343" max="3343" width="32.140625" style="585" customWidth="1"/>
    <col min="3344" max="3345" width="10.7109375" style="585" customWidth="1"/>
    <col min="3346" max="3346" width="5.7109375" style="585" customWidth="1"/>
    <col min="3347" max="3347" width="28.7109375" style="585" customWidth="1"/>
    <col min="3348" max="3351" width="10.7109375" style="585" customWidth="1"/>
    <col min="3352" max="3352" width="25.7109375" style="585" customWidth="1"/>
    <col min="3353" max="3356" width="12.7109375" style="585"/>
    <col min="3357" max="3358" width="13.7109375" style="585" customWidth="1"/>
    <col min="3359" max="3360" width="12.7109375" style="585"/>
    <col min="3361" max="3363" width="9.140625" style="585" customWidth="1"/>
    <col min="3364" max="3364" width="22.7109375" style="585" customWidth="1"/>
    <col min="3365" max="3366" width="12.7109375" style="585"/>
    <col min="3367" max="3372" width="10.7109375" style="585" customWidth="1"/>
    <col min="3373" max="3374" width="9.7109375" style="585" customWidth="1"/>
    <col min="3375" max="3375" width="11.7109375" style="585" customWidth="1"/>
    <col min="3376" max="3376" width="10.7109375" style="585" customWidth="1"/>
    <col min="3377" max="3377" width="9.140625" style="585" customWidth="1"/>
    <col min="3378" max="3378" width="20.7109375" style="585" customWidth="1"/>
    <col min="3379" max="3380" width="10.7109375" style="585" customWidth="1"/>
    <col min="3381" max="3386" width="12.7109375" style="585"/>
    <col min="3387" max="3388" width="9.140625" style="585" customWidth="1"/>
    <col min="3389" max="3389" width="20.7109375" style="585" customWidth="1"/>
    <col min="3390" max="3391" width="10.7109375" style="585" customWidth="1"/>
    <col min="3392" max="3584" width="12.7109375" style="585"/>
    <col min="3585" max="3585" width="38.7109375" style="585" customWidth="1"/>
    <col min="3586" max="3587" width="15.7109375" style="585" customWidth="1"/>
    <col min="3588" max="3588" width="10.7109375" style="585" customWidth="1"/>
    <col min="3589" max="3589" width="12.7109375" style="585"/>
    <col min="3590" max="3590" width="34.42578125" style="585" customWidth="1"/>
    <col min="3591" max="3592" width="10.7109375" style="585" customWidth="1"/>
    <col min="3593" max="3593" width="5.7109375" style="585" customWidth="1"/>
    <col min="3594" max="3594" width="28.7109375" style="585" customWidth="1"/>
    <col min="3595" max="3596" width="10.7109375" style="585" customWidth="1"/>
    <col min="3597" max="3598" width="9.140625" style="585" customWidth="1"/>
    <col min="3599" max="3599" width="32.140625" style="585" customWidth="1"/>
    <col min="3600" max="3601" width="10.7109375" style="585" customWidth="1"/>
    <col min="3602" max="3602" width="5.7109375" style="585" customWidth="1"/>
    <col min="3603" max="3603" width="28.7109375" style="585" customWidth="1"/>
    <col min="3604" max="3607" width="10.7109375" style="585" customWidth="1"/>
    <col min="3608" max="3608" width="25.7109375" style="585" customWidth="1"/>
    <col min="3609" max="3612" width="12.7109375" style="585"/>
    <col min="3613" max="3614" width="13.7109375" style="585" customWidth="1"/>
    <col min="3615" max="3616" width="12.7109375" style="585"/>
    <col min="3617" max="3619" width="9.140625" style="585" customWidth="1"/>
    <col min="3620" max="3620" width="22.7109375" style="585" customWidth="1"/>
    <col min="3621" max="3622" width="12.7109375" style="585"/>
    <col min="3623" max="3628" width="10.7109375" style="585" customWidth="1"/>
    <col min="3629" max="3630" width="9.7109375" style="585" customWidth="1"/>
    <col min="3631" max="3631" width="11.7109375" style="585" customWidth="1"/>
    <col min="3632" max="3632" width="10.7109375" style="585" customWidth="1"/>
    <col min="3633" max="3633" width="9.140625" style="585" customWidth="1"/>
    <col min="3634" max="3634" width="20.7109375" style="585" customWidth="1"/>
    <col min="3635" max="3636" width="10.7109375" style="585" customWidth="1"/>
    <col min="3637" max="3642" width="12.7109375" style="585"/>
    <col min="3643" max="3644" width="9.140625" style="585" customWidth="1"/>
    <col min="3645" max="3645" width="20.7109375" style="585" customWidth="1"/>
    <col min="3646" max="3647" width="10.7109375" style="585" customWidth="1"/>
    <col min="3648" max="3840" width="12.7109375" style="585"/>
    <col min="3841" max="3841" width="38.7109375" style="585" customWidth="1"/>
    <col min="3842" max="3843" width="15.7109375" style="585" customWidth="1"/>
    <col min="3844" max="3844" width="10.7109375" style="585" customWidth="1"/>
    <col min="3845" max="3845" width="12.7109375" style="585"/>
    <col min="3846" max="3846" width="34.42578125" style="585" customWidth="1"/>
    <col min="3847" max="3848" width="10.7109375" style="585" customWidth="1"/>
    <col min="3849" max="3849" width="5.7109375" style="585" customWidth="1"/>
    <col min="3850" max="3850" width="28.7109375" style="585" customWidth="1"/>
    <col min="3851" max="3852" width="10.7109375" style="585" customWidth="1"/>
    <col min="3853" max="3854" width="9.140625" style="585" customWidth="1"/>
    <col min="3855" max="3855" width="32.140625" style="585" customWidth="1"/>
    <col min="3856" max="3857" width="10.7109375" style="585" customWidth="1"/>
    <col min="3858" max="3858" width="5.7109375" style="585" customWidth="1"/>
    <col min="3859" max="3859" width="28.7109375" style="585" customWidth="1"/>
    <col min="3860" max="3863" width="10.7109375" style="585" customWidth="1"/>
    <col min="3864" max="3864" width="25.7109375" style="585" customWidth="1"/>
    <col min="3865" max="3868" width="12.7109375" style="585"/>
    <col min="3869" max="3870" width="13.7109375" style="585" customWidth="1"/>
    <col min="3871" max="3872" width="12.7109375" style="585"/>
    <col min="3873" max="3875" width="9.140625" style="585" customWidth="1"/>
    <col min="3876" max="3876" width="22.7109375" style="585" customWidth="1"/>
    <col min="3877" max="3878" width="12.7109375" style="585"/>
    <col min="3879" max="3884" width="10.7109375" style="585" customWidth="1"/>
    <col min="3885" max="3886" width="9.7109375" style="585" customWidth="1"/>
    <col min="3887" max="3887" width="11.7109375" style="585" customWidth="1"/>
    <col min="3888" max="3888" width="10.7109375" style="585" customWidth="1"/>
    <col min="3889" max="3889" width="9.140625" style="585" customWidth="1"/>
    <col min="3890" max="3890" width="20.7109375" style="585" customWidth="1"/>
    <col min="3891" max="3892" width="10.7109375" style="585" customWidth="1"/>
    <col min="3893" max="3898" width="12.7109375" style="585"/>
    <col min="3899" max="3900" width="9.140625" style="585" customWidth="1"/>
    <col min="3901" max="3901" width="20.7109375" style="585" customWidth="1"/>
    <col min="3902" max="3903" width="10.7109375" style="585" customWidth="1"/>
    <col min="3904" max="4096" width="12.7109375" style="585"/>
    <col min="4097" max="4097" width="38.7109375" style="585" customWidth="1"/>
    <col min="4098" max="4099" width="15.7109375" style="585" customWidth="1"/>
    <col min="4100" max="4100" width="10.7109375" style="585" customWidth="1"/>
    <col min="4101" max="4101" width="12.7109375" style="585"/>
    <col min="4102" max="4102" width="34.42578125" style="585" customWidth="1"/>
    <col min="4103" max="4104" width="10.7109375" style="585" customWidth="1"/>
    <col min="4105" max="4105" width="5.7109375" style="585" customWidth="1"/>
    <col min="4106" max="4106" width="28.7109375" style="585" customWidth="1"/>
    <col min="4107" max="4108" width="10.7109375" style="585" customWidth="1"/>
    <col min="4109" max="4110" width="9.140625" style="585" customWidth="1"/>
    <col min="4111" max="4111" width="32.140625" style="585" customWidth="1"/>
    <col min="4112" max="4113" width="10.7109375" style="585" customWidth="1"/>
    <col min="4114" max="4114" width="5.7109375" style="585" customWidth="1"/>
    <col min="4115" max="4115" width="28.7109375" style="585" customWidth="1"/>
    <col min="4116" max="4119" width="10.7109375" style="585" customWidth="1"/>
    <col min="4120" max="4120" width="25.7109375" style="585" customWidth="1"/>
    <col min="4121" max="4124" width="12.7109375" style="585"/>
    <col min="4125" max="4126" width="13.7109375" style="585" customWidth="1"/>
    <col min="4127" max="4128" width="12.7109375" style="585"/>
    <col min="4129" max="4131" width="9.140625" style="585" customWidth="1"/>
    <col min="4132" max="4132" width="22.7109375" style="585" customWidth="1"/>
    <col min="4133" max="4134" width="12.7109375" style="585"/>
    <col min="4135" max="4140" width="10.7109375" style="585" customWidth="1"/>
    <col min="4141" max="4142" width="9.7109375" style="585" customWidth="1"/>
    <col min="4143" max="4143" width="11.7109375" style="585" customWidth="1"/>
    <col min="4144" max="4144" width="10.7109375" style="585" customWidth="1"/>
    <col min="4145" max="4145" width="9.140625" style="585" customWidth="1"/>
    <col min="4146" max="4146" width="20.7109375" style="585" customWidth="1"/>
    <col min="4147" max="4148" width="10.7109375" style="585" customWidth="1"/>
    <col min="4149" max="4154" width="12.7109375" style="585"/>
    <col min="4155" max="4156" width="9.140625" style="585" customWidth="1"/>
    <col min="4157" max="4157" width="20.7109375" style="585" customWidth="1"/>
    <col min="4158" max="4159" width="10.7109375" style="585" customWidth="1"/>
    <col min="4160" max="4352" width="12.7109375" style="585"/>
    <col min="4353" max="4353" width="38.7109375" style="585" customWidth="1"/>
    <col min="4354" max="4355" width="15.7109375" style="585" customWidth="1"/>
    <col min="4356" max="4356" width="10.7109375" style="585" customWidth="1"/>
    <col min="4357" max="4357" width="12.7109375" style="585"/>
    <col min="4358" max="4358" width="34.42578125" style="585" customWidth="1"/>
    <col min="4359" max="4360" width="10.7109375" style="585" customWidth="1"/>
    <col min="4361" max="4361" width="5.7109375" style="585" customWidth="1"/>
    <col min="4362" max="4362" width="28.7109375" style="585" customWidth="1"/>
    <col min="4363" max="4364" width="10.7109375" style="585" customWidth="1"/>
    <col min="4365" max="4366" width="9.140625" style="585" customWidth="1"/>
    <col min="4367" max="4367" width="32.140625" style="585" customWidth="1"/>
    <col min="4368" max="4369" width="10.7109375" style="585" customWidth="1"/>
    <col min="4370" max="4370" width="5.7109375" style="585" customWidth="1"/>
    <col min="4371" max="4371" width="28.7109375" style="585" customWidth="1"/>
    <col min="4372" max="4375" width="10.7109375" style="585" customWidth="1"/>
    <col min="4376" max="4376" width="25.7109375" style="585" customWidth="1"/>
    <col min="4377" max="4380" width="12.7109375" style="585"/>
    <col min="4381" max="4382" width="13.7109375" style="585" customWidth="1"/>
    <col min="4383" max="4384" width="12.7109375" style="585"/>
    <col min="4385" max="4387" width="9.140625" style="585" customWidth="1"/>
    <col min="4388" max="4388" width="22.7109375" style="585" customWidth="1"/>
    <col min="4389" max="4390" width="12.7109375" style="585"/>
    <col min="4391" max="4396" width="10.7109375" style="585" customWidth="1"/>
    <col min="4397" max="4398" width="9.7109375" style="585" customWidth="1"/>
    <col min="4399" max="4399" width="11.7109375" style="585" customWidth="1"/>
    <col min="4400" max="4400" width="10.7109375" style="585" customWidth="1"/>
    <col min="4401" max="4401" width="9.140625" style="585" customWidth="1"/>
    <col min="4402" max="4402" width="20.7109375" style="585" customWidth="1"/>
    <col min="4403" max="4404" width="10.7109375" style="585" customWidth="1"/>
    <col min="4405" max="4410" width="12.7109375" style="585"/>
    <col min="4411" max="4412" width="9.140625" style="585" customWidth="1"/>
    <col min="4413" max="4413" width="20.7109375" style="585" customWidth="1"/>
    <col min="4414" max="4415" width="10.7109375" style="585" customWidth="1"/>
    <col min="4416" max="4608" width="12.7109375" style="585"/>
    <col min="4609" max="4609" width="38.7109375" style="585" customWidth="1"/>
    <col min="4610" max="4611" width="15.7109375" style="585" customWidth="1"/>
    <col min="4612" max="4612" width="10.7109375" style="585" customWidth="1"/>
    <col min="4613" max="4613" width="12.7109375" style="585"/>
    <col min="4614" max="4614" width="34.42578125" style="585" customWidth="1"/>
    <col min="4615" max="4616" width="10.7109375" style="585" customWidth="1"/>
    <col min="4617" max="4617" width="5.7109375" style="585" customWidth="1"/>
    <col min="4618" max="4618" width="28.7109375" style="585" customWidth="1"/>
    <col min="4619" max="4620" width="10.7109375" style="585" customWidth="1"/>
    <col min="4621" max="4622" width="9.140625" style="585" customWidth="1"/>
    <col min="4623" max="4623" width="32.140625" style="585" customWidth="1"/>
    <col min="4624" max="4625" width="10.7109375" style="585" customWidth="1"/>
    <col min="4626" max="4626" width="5.7109375" style="585" customWidth="1"/>
    <col min="4627" max="4627" width="28.7109375" style="585" customWidth="1"/>
    <col min="4628" max="4631" width="10.7109375" style="585" customWidth="1"/>
    <col min="4632" max="4632" width="25.7109375" style="585" customWidth="1"/>
    <col min="4633" max="4636" width="12.7109375" style="585"/>
    <col min="4637" max="4638" width="13.7109375" style="585" customWidth="1"/>
    <col min="4639" max="4640" width="12.7109375" style="585"/>
    <col min="4641" max="4643" width="9.140625" style="585" customWidth="1"/>
    <col min="4644" max="4644" width="22.7109375" style="585" customWidth="1"/>
    <col min="4645" max="4646" width="12.7109375" style="585"/>
    <col min="4647" max="4652" width="10.7109375" style="585" customWidth="1"/>
    <col min="4653" max="4654" width="9.7109375" style="585" customWidth="1"/>
    <col min="4655" max="4655" width="11.7109375" style="585" customWidth="1"/>
    <col min="4656" max="4656" width="10.7109375" style="585" customWidth="1"/>
    <col min="4657" max="4657" width="9.140625" style="585" customWidth="1"/>
    <col min="4658" max="4658" width="20.7109375" style="585" customWidth="1"/>
    <col min="4659" max="4660" width="10.7109375" style="585" customWidth="1"/>
    <col min="4661" max="4666" width="12.7109375" style="585"/>
    <col min="4667" max="4668" width="9.140625" style="585" customWidth="1"/>
    <col min="4669" max="4669" width="20.7109375" style="585" customWidth="1"/>
    <col min="4670" max="4671" width="10.7109375" style="585" customWidth="1"/>
    <col min="4672" max="4864" width="12.7109375" style="585"/>
    <col min="4865" max="4865" width="38.7109375" style="585" customWidth="1"/>
    <col min="4866" max="4867" width="15.7109375" style="585" customWidth="1"/>
    <col min="4868" max="4868" width="10.7109375" style="585" customWidth="1"/>
    <col min="4869" max="4869" width="12.7109375" style="585"/>
    <col min="4870" max="4870" width="34.42578125" style="585" customWidth="1"/>
    <col min="4871" max="4872" width="10.7109375" style="585" customWidth="1"/>
    <col min="4873" max="4873" width="5.7109375" style="585" customWidth="1"/>
    <col min="4874" max="4874" width="28.7109375" style="585" customWidth="1"/>
    <col min="4875" max="4876" width="10.7109375" style="585" customWidth="1"/>
    <col min="4877" max="4878" width="9.140625" style="585" customWidth="1"/>
    <col min="4879" max="4879" width="32.140625" style="585" customWidth="1"/>
    <col min="4880" max="4881" width="10.7109375" style="585" customWidth="1"/>
    <col min="4882" max="4882" width="5.7109375" style="585" customWidth="1"/>
    <col min="4883" max="4883" width="28.7109375" style="585" customWidth="1"/>
    <col min="4884" max="4887" width="10.7109375" style="585" customWidth="1"/>
    <col min="4888" max="4888" width="25.7109375" style="585" customWidth="1"/>
    <col min="4889" max="4892" width="12.7109375" style="585"/>
    <col min="4893" max="4894" width="13.7109375" style="585" customWidth="1"/>
    <col min="4895" max="4896" width="12.7109375" style="585"/>
    <col min="4897" max="4899" width="9.140625" style="585" customWidth="1"/>
    <col min="4900" max="4900" width="22.7109375" style="585" customWidth="1"/>
    <col min="4901" max="4902" width="12.7109375" style="585"/>
    <col min="4903" max="4908" width="10.7109375" style="585" customWidth="1"/>
    <col min="4909" max="4910" width="9.7109375" style="585" customWidth="1"/>
    <col min="4911" max="4911" width="11.7109375" style="585" customWidth="1"/>
    <col min="4912" max="4912" width="10.7109375" style="585" customWidth="1"/>
    <col min="4913" max="4913" width="9.140625" style="585" customWidth="1"/>
    <col min="4914" max="4914" width="20.7109375" style="585" customWidth="1"/>
    <col min="4915" max="4916" width="10.7109375" style="585" customWidth="1"/>
    <col min="4917" max="4922" width="12.7109375" style="585"/>
    <col min="4923" max="4924" width="9.140625" style="585" customWidth="1"/>
    <col min="4925" max="4925" width="20.7109375" style="585" customWidth="1"/>
    <col min="4926" max="4927" width="10.7109375" style="585" customWidth="1"/>
    <col min="4928" max="5120" width="12.7109375" style="585"/>
    <col min="5121" max="5121" width="38.7109375" style="585" customWidth="1"/>
    <col min="5122" max="5123" width="15.7109375" style="585" customWidth="1"/>
    <col min="5124" max="5124" width="10.7109375" style="585" customWidth="1"/>
    <col min="5125" max="5125" width="12.7109375" style="585"/>
    <col min="5126" max="5126" width="34.42578125" style="585" customWidth="1"/>
    <col min="5127" max="5128" width="10.7109375" style="585" customWidth="1"/>
    <col min="5129" max="5129" width="5.7109375" style="585" customWidth="1"/>
    <col min="5130" max="5130" width="28.7109375" style="585" customWidth="1"/>
    <col min="5131" max="5132" width="10.7109375" style="585" customWidth="1"/>
    <col min="5133" max="5134" width="9.140625" style="585" customWidth="1"/>
    <col min="5135" max="5135" width="32.140625" style="585" customWidth="1"/>
    <col min="5136" max="5137" width="10.7109375" style="585" customWidth="1"/>
    <col min="5138" max="5138" width="5.7109375" style="585" customWidth="1"/>
    <col min="5139" max="5139" width="28.7109375" style="585" customWidth="1"/>
    <col min="5140" max="5143" width="10.7109375" style="585" customWidth="1"/>
    <col min="5144" max="5144" width="25.7109375" style="585" customWidth="1"/>
    <col min="5145" max="5148" width="12.7109375" style="585"/>
    <col min="5149" max="5150" width="13.7109375" style="585" customWidth="1"/>
    <col min="5151" max="5152" width="12.7109375" style="585"/>
    <col min="5153" max="5155" width="9.140625" style="585" customWidth="1"/>
    <col min="5156" max="5156" width="22.7109375" style="585" customWidth="1"/>
    <col min="5157" max="5158" width="12.7109375" style="585"/>
    <col min="5159" max="5164" width="10.7109375" style="585" customWidth="1"/>
    <col min="5165" max="5166" width="9.7109375" style="585" customWidth="1"/>
    <col min="5167" max="5167" width="11.7109375" style="585" customWidth="1"/>
    <col min="5168" max="5168" width="10.7109375" style="585" customWidth="1"/>
    <col min="5169" max="5169" width="9.140625" style="585" customWidth="1"/>
    <col min="5170" max="5170" width="20.7109375" style="585" customWidth="1"/>
    <col min="5171" max="5172" width="10.7109375" style="585" customWidth="1"/>
    <col min="5173" max="5178" width="12.7109375" style="585"/>
    <col min="5179" max="5180" width="9.140625" style="585" customWidth="1"/>
    <col min="5181" max="5181" width="20.7109375" style="585" customWidth="1"/>
    <col min="5182" max="5183" width="10.7109375" style="585" customWidth="1"/>
    <col min="5184" max="5376" width="12.7109375" style="585"/>
    <col min="5377" max="5377" width="38.7109375" style="585" customWidth="1"/>
    <col min="5378" max="5379" width="15.7109375" style="585" customWidth="1"/>
    <col min="5380" max="5380" width="10.7109375" style="585" customWidth="1"/>
    <col min="5381" max="5381" width="12.7109375" style="585"/>
    <col min="5382" max="5382" width="34.42578125" style="585" customWidth="1"/>
    <col min="5383" max="5384" width="10.7109375" style="585" customWidth="1"/>
    <col min="5385" max="5385" width="5.7109375" style="585" customWidth="1"/>
    <col min="5386" max="5386" width="28.7109375" style="585" customWidth="1"/>
    <col min="5387" max="5388" width="10.7109375" style="585" customWidth="1"/>
    <col min="5389" max="5390" width="9.140625" style="585" customWidth="1"/>
    <col min="5391" max="5391" width="32.140625" style="585" customWidth="1"/>
    <col min="5392" max="5393" width="10.7109375" style="585" customWidth="1"/>
    <col min="5394" max="5394" width="5.7109375" style="585" customWidth="1"/>
    <col min="5395" max="5395" width="28.7109375" style="585" customWidth="1"/>
    <col min="5396" max="5399" width="10.7109375" style="585" customWidth="1"/>
    <col min="5400" max="5400" width="25.7109375" style="585" customWidth="1"/>
    <col min="5401" max="5404" width="12.7109375" style="585"/>
    <col min="5405" max="5406" width="13.7109375" style="585" customWidth="1"/>
    <col min="5407" max="5408" width="12.7109375" style="585"/>
    <col min="5409" max="5411" width="9.140625" style="585" customWidth="1"/>
    <col min="5412" max="5412" width="22.7109375" style="585" customWidth="1"/>
    <col min="5413" max="5414" width="12.7109375" style="585"/>
    <col min="5415" max="5420" width="10.7109375" style="585" customWidth="1"/>
    <col min="5421" max="5422" width="9.7109375" style="585" customWidth="1"/>
    <col min="5423" max="5423" width="11.7109375" style="585" customWidth="1"/>
    <col min="5424" max="5424" width="10.7109375" style="585" customWidth="1"/>
    <col min="5425" max="5425" width="9.140625" style="585" customWidth="1"/>
    <col min="5426" max="5426" width="20.7109375" style="585" customWidth="1"/>
    <col min="5427" max="5428" width="10.7109375" style="585" customWidth="1"/>
    <col min="5429" max="5434" width="12.7109375" style="585"/>
    <col min="5435" max="5436" width="9.140625" style="585" customWidth="1"/>
    <col min="5437" max="5437" width="20.7109375" style="585" customWidth="1"/>
    <col min="5438" max="5439" width="10.7109375" style="585" customWidth="1"/>
    <col min="5440" max="5632" width="12.7109375" style="585"/>
    <col min="5633" max="5633" width="38.7109375" style="585" customWidth="1"/>
    <col min="5634" max="5635" width="15.7109375" style="585" customWidth="1"/>
    <col min="5636" max="5636" width="10.7109375" style="585" customWidth="1"/>
    <col min="5637" max="5637" width="12.7109375" style="585"/>
    <col min="5638" max="5638" width="34.42578125" style="585" customWidth="1"/>
    <col min="5639" max="5640" width="10.7109375" style="585" customWidth="1"/>
    <col min="5641" max="5641" width="5.7109375" style="585" customWidth="1"/>
    <col min="5642" max="5642" width="28.7109375" style="585" customWidth="1"/>
    <col min="5643" max="5644" width="10.7109375" style="585" customWidth="1"/>
    <col min="5645" max="5646" width="9.140625" style="585" customWidth="1"/>
    <col min="5647" max="5647" width="32.140625" style="585" customWidth="1"/>
    <col min="5648" max="5649" width="10.7109375" style="585" customWidth="1"/>
    <col min="5650" max="5650" width="5.7109375" style="585" customWidth="1"/>
    <col min="5651" max="5651" width="28.7109375" style="585" customWidth="1"/>
    <col min="5652" max="5655" width="10.7109375" style="585" customWidth="1"/>
    <col min="5656" max="5656" width="25.7109375" style="585" customWidth="1"/>
    <col min="5657" max="5660" width="12.7109375" style="585"/>
    <col min="5661" max="5662" width="13.7109375" style="585" customWidth="1"/>
    <col min="5663" max="5664" width="12.7109375" style="585"/>
    <col min="5665" max="5667" width="9.140625" style="585" customWidth="1"/>
    <col min="5668" max="5668" width="22.7109375" style="585" customWidth="1"/>
    <col min="5669" max="5670" width="12.7109375" style="585"/>
    <col min="5671" max="5676" width="10.7109375" style="585" customWidth="1"/>
    <col min="5677" max="5678" width="9.7109375" style="585" customWidth="1"/>
    <col min="5679" max="5679" width="11.7109375" style="585" customWidth="1"/>
    <col min="5680" max="5680" width="10.7109375" style="585" customWidth="1"/>
    <col min="5681" max="5681" width="9.140625" style="585" customWidth="1"/>
    <col min="5682" max="5682" width="20.7109375" style="585" customWidth="1"/>
    <col min="5683" max="5684" width="10.7109375" style="585" customWidth="1"/>
    <col min="5685" max="5690" width="12.7109375" style="585"/>
    <col min="5691" max="5692" width="9.140625" style="585" customWidth="1"/>
    <col min="5693" max="5693" width="20.7109375" style="585" customWidth="1"/>
    <col min="5694" max="5695" width="10.7109375" style="585" customWidth="1"/>
    <col min="5696" max="5888" width="12.7109375" style="585"/>
    <col min="5889" max="5889" width="38.7109375" style="585" customWidth="1"/>
    <col min="5890" max="5891" width="15.7109375" style="585" customWidth="1"/>
    <col min="5892" max="5892" width="10.7109375" style="585" customWidth="1"/>
    <col min="5893" max="5893" width="12.7109375" style="585"/>
    <col min="5894" max="5894" width="34.42578125" style="585" customWidth="1"/>
    <col min="5895" max="5896" width="10.7109375" style="585" customWidth="1"/>
    <col min="5897" max="5897" width="5.7109375" style="585" customWidth="1"/>
    <col min="5898" max="5898" width="28.7109375" style="585" customWidth="1"/>
    <col min="5899" max="5900" width="10.7109375" style="585" customWidth="1"/>
    <col min="5901" max="5902" width="9.140625" style="585" customWidth="1"/>
    <col min="5903" max="5903" width="32.140625" style="585" customWidth="1"/>
    <col min="5904" max="5905" width="10.7109375" style="585" customWidth="1"/>
    <col min="5906" max="5906" width="5.7109375" style="585" customWidth="1"/>
    <col min="5907" max="5907" width="28.7109375" style="585" customWidth="1"/>
    <col min="5908" max="5911" width="10.7109375" style="585" customWidth="1"/>
    <col min="5912" max="5912" width="25.7109375" style="585" customWidth="1"/>
    <col min="5913" max="5916" width="12.7109375" style="585"/>
    <col min="5917" max="5918" width="13.7109375" style="585" customWidth="1"/>
    <col min="5919" max="5920" width="12.7109375" style="585"/>
    <col min="5921" max="5923" width="9.140625" style="585" customWidth="1"/>
    <col min="5924" max="5924" width="22.7109375" style="585" customWidth="1"/>
    <col min="5925" max="5926" width="12.7109375" style="585"/>
    <col min="5927" max="5932" width="10.7109375" style="585" customWidth="1"/>
    <col min="5933" max="5934" width="9.7109375" style="585" customWidth="1"/>
    <col min="5935" max="5935" width="11.7109375" style="585" customWidth="1"/>
    <col min="5936" max="5936" width="10.7109375" style="585" customWidth="1"/>
    <col min="5937" max="5937" width="9.140625" style="585" customWidth="1"/>
    <col min="5938" max="5938" width="20.7109375" style="585" customWidth="1"/>
    <col min="5939" max="5940" width="10.7109375" style="585" customWidth="1"/>
    <col min="5941" max="5946" width="12.7109375" style="585"/>
    <col min="5947" max="5948" width="9.140625" style="585" customWidth="1"/>
    <col min="5949" max="5949" width="20.7109375" style="585" customWidth="1"/>
    <col min="5950" max="5951" width="10.7109375" style="585" customWidth="1"/>
    <col min="5952" max="6144" width="12.7109375" style="585"/>
    <col min="6145" max="6145" width="38.7109375" style="585" customWidth="1"/>
    <col min="6146" max="6147" width="15.7109375" style="585" customWidth="1"/>
    <col min="6148" max="6148" width="10.7109375" style="585" customWidth="1"/>
    <col min="6149" max="6149" width="12.7109375" style="585"/>
    <col min="6150" max="6150" width="34.42578125" style="585" customWidth="1"/>
    <col min="6151" max="6152" width="10.7109375" style="585" customWidth="1"/>
    <col min="6153" max="6153" width="5.7109375" style="585" customWidth="1"/>
    <col min="6154" max="6154" width="28.7109375" style="585" customWidth="1"/>
    <col min="6155" max="6156" width="10.7109375" style="585" customWidth="1"/>
    <col min="6157" max="6158" width="9.140625" style="585" customWidth="1"/>
    <col min="6159" max="6159" width="32.140625" style="585" customWidth="1"/>
    <col min="6160" max="6161" width="10.7109375" style="585" customWidth="1"/>
    <col min="6162" max="6162" width="5.7109375" style="585" customWidth="1"/>
    <col min="6163" max="6163" width="28.7109375" style="585" customWidth="1"/>
    <col min="6164" max="6167" width="10.7109375" style="585" customWidth="1"/>
    <col min="6168" max="6168" width="25.7109375" style="585" customWidth="1"/>
    <col min="6169" max="6172" width="12.7109375" style="585"/>
    <col min="6173" max="6174" width="13.7109375" style="585" customWidth="1"/>
    <col min="6175" max="6176" width="12.7109375" style="585"/>
    <col min="6177" max="6179" width="9.140625" style="585" customWidth="1"/>
    <col min="6180" max="6180" width="22.7109375" style="585" customWidth="1"/>
    <col min="6181" max="6182" width="12.7109375" style="585"/>
    <col min="6183" max="6188" width="10.7109375" style="585" customWidth="1"/>
    <col min="6189" max="6190" width="9.7109375" style="585" customWidth="1"/>
    <col min="6191" max="6191" width="11.7109375" style="585" customWidth="1"/>
    <col min="6192" max="6192" width="10.7109375" style="585" customWidth="1"/>
    <col min="6193" max="6193" width="9.140625" style="585" customWidth="1"/>
    <col min="6194" max="6194" width="20.7109375" style="585" customWidth="1"/>
    <col min="6195" max="6196" width="10.7109375" style="585" customWidth="1"/>
    <col min="6197" max="6202" width="12.7109375" style="585"/>
    <col min="6203" max="6204" width="9.140625" style="585" customWidth="1"/>
    <col min="6205" max="6205" width="20.7109375" style="585" customWidth="1"/>
    <col min="6206" max="6207" width="10.7109375" style="585" customWidth="1"/>
    <col min="6208" max="6400" width="12.7109375" style="585"/>
    <col min="6401" max="6401" width="38.7109375" style="585" customWidth="1"/>
    <col min="6402" max="6403" width="15.7109375" style="585" customWidth="1"/>
    <col min="6404" max="6404" width="10.7109375" style="585" customWidth="1"/>
    <col min="6405" max="6405" width="12.7109375" style="585"/>
    <col min="6406" max="6406" width="34.42578125" style="585" customWidth="1"/>
    <col min="6407" max="6408" width="10.7109375" style="585" customWidth="1"/>
    <col min="6409" max="6409" width="5.7109375" style="585" customWidth="1"/>
    <col min="6410" max="6410" width="28.7109375" style="585" customWidth="1"/>
    <col min="6411" max="6412" width="10.7109375" style="585" customWidth="1"/>
    <col min="6413" max="6414" width="9.140625" style="585" customWidth="1"/>
    <col min="6415" max="6415" width="32.140625" style="585" customWidth="1"/>
    <col min="6416" max="6417" width="10.7109375" style="585" customWidth="1"/>
    <col min="6418" max="6418" width="5.7109375" style="585" customWidth="1"/>
    <col min="6419" max="6419" width="28.7109375" style="585" customWidth="1"/>
    <col min="6420" max="6423" width="10.7109375" style="585" customWidth="1"/>
    <col min="6424" max="6424" width="25.7109375" style="585" customWidth="1"/>
    <col min="6425" max="6428" width="12.7109375" style="585"/>
    <col min="6429" max="6430" width="13.7109375" style="585" customWidth="1"/>
    <col min="6431" max="6432" width="12.7109375" style="585"/>
    <col min="6433" max="6435" width="9.140625" style="585" customWidth="1"/>
    <col min="6436" max="6436" width="22.7109375" style="585" customWidth="1"/>
    <col min="6437" max="6438" width="12.7109375" style="585"/>
    <col min="6439" max="6444" width="10.7109375" style="585" customWidth="1"/>
    <col min="6445" max="6446" width="9.7109375" style="585" customWidth="1"/>
    <col min="6447" max="6447" width="11.7109375" style="585" customWidth="1"/>
    <col min="6448" max="6448" width="10.7109375" style="585" customWidth="1"/>
    <col min="6449" max="6449" width="9.140625" style="585" customWidth="1"/>
    <col min="6450" max="6450" width="20.7109375" style="585" customWidth="1"/>
    <col min="6451" max="6452" width="10.7109375" style="585" customWidth="1"/>
    <col min="6453" max="6458" width="12.7109375" style="585"/>
    <col min="6459" max="6460" width="9.140625" style="585" customWidth="1"/>
    <col min="6461" max="6461" width="20.7109375" style="585" customWidth="1"/>
    <col min="6462" max="6463" width="10.7109375" style="585" customWidth="1"/>
    <col min="6464" max="6656" width="12.7109375" style="585"/>
    <col min="6657" max="6657" width="38.7109375" style="585" customWidth="1"/>
    <col min="6658" max="6659" width="15.7109375" style="585" customWidth="1"/>
    <col min="6660" max="6660" width="10.7109375" style="585" customWidth="1"/>
    <col min="6661" max="6661" width="12.7109375" style="585"/>
    <col min="6662" max="6662" width="34.42578125" style="585" customWidth="1"/>
    <col min="6663" max="6664" width="10.7109375" style="585" customWidth="1"/>
    <col min="6665" max="6665" width="5.7109375" style="585" customWidth="1"/>
    <col min="6666" max="6666" width="28.7109375" style="585" customWidth="1"/>
    <col min="6667" max="6668" width="10.7109375" style="585" customWidth="1"/>
    <col min="6669" max="6670" width="9.140625" style="585" customWidth="1"/>
    <col min="6671" max="6671" width="32.140625" style="585" customWidth="1"/>
    <col min="6672" max="6673" width="10.7109375" style="585" customWidth="1"/>
    <col min="6674" max="6674" width="5.7109375" style="585" customWidth="1"/>
    <col min="6675" max="6675" width="28.7109375" style="585" customWidth="1"/>
    <col min="6676" max="6679" width="10.7109375" style="585" customWidth="1"/>
    <col min="6680" max="6680" width="25.7109375" style="585" customWidth="1"/>
    <col min="6681" max="6684" width="12.7109375" style="585"/>
    <col min="6685" max="6686" width="13.7109375" style="585" customWidth="1"/>
    <col min="6687" max="6688" width="12.7109375" style="585"/>
    <col min="6689" max="6691" width="9.140625" style="585" customWidth="1"/>
    <col min="6692" max="6692" width="22.7109375" style="585" customWidth="1"/>
    <col min="6693" max="6694" width="12.7109375" style="585"/>
    <col min="6695" max="6700" width="10.7109375" style="585" customWidth="1"/>
    <col min="6701" max="6702" width="9.7109375" style="585" customWidth="1"/>
    <col min="6703" max="6703" width="11.7109375" style="585" customWidth="1"/>
    <col min="6704" max="6704" width="10.7109375" style="585" customWidth="1"/>
    <col min="6705" max="6705" width="9.140625" style="585" customWidth="1"/>
    <col min="6706" max="6706" width="20.7109375" style="585" customWidth="1"/>
    <col min="6707" max="6708" width="10.7109375" style="585" customWidth="1"/>
    <col min="6709" max="6714" width="12.7109375" style="585"/>
    <col min="6715" max="6716" width="9.140625" style="585" customWidth="1"/>
    <col min="6717" max="6717" width="20.7109375" style="585" customWidth="1"/>
    <col min="6718" max="6719" width="10.7109375" style="585" customWidth="1"/>
    <col min="6720" max="6912" width="12.7109375" style="585"/>
    <col min="6913" max="6913" width="38.7109375" style="585" customWidth="1"/>
    <col min="6914" max="6915" width="15.7109375" style="585" customWidth="1"/>
    <col min="6916" max="6916" width="10.7109375" style="585" customWidth="1"/>
    <col min="6917" max="6917" width="12.7109375" style="585"/>
    <col min="6918" max="6918" width="34.42578125" style="585" customWidth="1"/>
    <col min="6919" max="6920" width="10.7109375" style="585" customWidth="1"/>
    <col min="6921" max="6921" width="5.7109375" style="585" customWidth="1"/>
    <col min="6922" max="6922" width="28.7109375" style="585" customWidth="1"/>
    <col min="6923" max="6924" width="10.7109375" style="585" customWidth="1"/>
    <col min="6925" max="6926" width="9.140625" style="585" customWidth="1"/>
    <col min="6927" max="6927" width="32.140625" style="585" customWidth="1"/>
    <col min="6928" max="6929" width="10.7109375" style="585" customWidth="1"/>
    <col min="6930" max="6930" width="5.7109375" style="585" customWidth="1"/>
    <col min="6931" max="6931" width="28.7109375" style="585" customWidth="1"/>
    <col min="6932" max="6935" width="10.7109375" style="585" customWidth="1"/>
    <col min="6936" max="6936" width="25.7109375" style="585" customWidth="1"/>
    <col min="6937" max="6940" width="12.7109375" style="585"/>
    <col min="6941" max="6942" width="13.7109375" style="585" customWidth="1"/>
    <col min="6943" max="6944" width="12.7109375" style="585"/>
    <col min="6945" max="6947" width="9.140625" style="585" customWidth="1"/>
    <col min="6948" max="6948" width="22.7109375" style="585" customWidth="1"/>
    <col min="6949" max="6950" width="12.7109375" style="585"/>
    <col min="6951" max="6956" width="10.7109375" style="585" customWidth="1"/>
    <col min="6957" max="6958" width="9.7109375" style="585" customWidth="1"/>
    <col min="6959" max="6959" width="11.7109375" style="585" customWidth="1"/>
    <col min="6960" max="6960" width="10.7109375" style="585" customWidth="1"/>
    <col min="6961" max="6961" width="9.140625" style="585" customWidth="1"/>
    <col min="6962" max="6962" width="20.7109375" style="585" customWidth="1"/>
    <col min="6963" max="6964" width="10.7109375" style="585" customWidth="1"/>
    <col min="6965" max="6970" width="12.7109375" style="585"/>
    <col min="6971" max="6972" width="9.140625" style="585" customWidth="1"/>
    <col min="6973" max="6973" width="20.7109375" style="585" customWidth="1"/>
    <col min="6974" max="6975" width="10.7109375" style="585" customWidth="1"/>
    <col min="6976" max="7168" width="12.7109375" style="585"/>
    <col min="7169" max="7169" width="38.7109375" style="585" customWidth="1"/>
    <col min="7170" max="7171" width="15.7109375" style="585" customWidth="1"/>
    <col min="7172" max="7172" width="10.7109375" style="585" customWidth="1"/>
    <col min="7173" max="7173" width="12.7109375" style="585"/>
    <col min="7174" max="7174" width="34.42578125" style="585" customWidth="1"/>
    <col min="7175" max="7176" width="10.7109375" style="585" customWidth="1"/>
    <col min="7177" max="7177" width="5.7109375" style="585" customWidth="1"/>
    <col min="7178" max="7178" width="28.7109375" style="585" customWidth="1"/>
    <col min="7179" max="7180" width="10.7109375" style="585" customWidth="1"/>
    <col min="7181" max="7182" width="9.140625" style="585" customWidth="1"/>
    <col min="7183" max="7183" width="32.140625" style="585" customWidth="1"/>
    <col min="7184" max="7185" width="10.7109375" style="585" customWidth="1"/>
    <col min="7186" max="7186" width="5.7109375" style="585" customWidth="1"/>
    <col min="7187" max="7187" width="28.7109375" style="585" customWidth="1"/>
    <col min="7188" max="7191" width="10.7109375" style="585" customWidth="1"/>
    <col min="7192" max="7192" width="25.7109375" style="585" customWidth="1"/>
    <col min="7193" max="7196" width="12.7109375" style="585"/>
    <col min="7197" max="7198" width="13.7109375" style="585" customWidth="1"/>
    <col min="7199" max="7200" width="12.7109375" style="585"/>
    <col min="7201" max="7203" width="9.140625" style="585" customWidth="1"/>
    <col min="7204" max="7204" width="22.7109375" style="585" customWidth="1"/>
    <col min="7205" max="7206" width="12.7109375" style="585"/>
    <col min="7207" max="7212" width="10.7109375" style="585" customWidth="1"/>
    <col min="7213" max="7214" width="9.7109375" style="585" customWidth="1"/>
    <col min="7215" max="7215" width="11.7109375" style="585" customWidth="1"/>
    <col min="7216" max="7216" width="10.7109375" style="585" customWidth="1"/>
    <col min="7217" max="7217" width="9.140625" style="585" customWidth="1"/>
    <col min="7218" max="7218" width="20.7109375" style="585" customWidth="1"/>
    <col min="7219" max="7220" width="10.7109375" style="585" customWidth="1"/>
    <col min="7221" max="7226" width="12.7109375" style="585"/>
    <col min="7227" max="7228" width="9.140625" style="585" customWidth="1"/>
    <col min="7229" max="7229" width="20.7109375" style="585" customWidth="1"/>
    <col min="7230" max="7231" width="10.7109375" style="585" customWidth="1"/>
    <col min="7232" max="7424" width="12.7109375" style="585"/>
    <col min="7425" max="7425" width="38.7109375" style="585" customWidth="1"/>
    <col min="7426" max="7427" width="15.7109375" style="585" customWidth="1"/>
    <col min="7428" max="7428" width="10.7109375" style="585" customWidth="1"/>
    <col min="7429" max="7429" width="12.7109375" style="585"/>
    <col min="7430" max="7430" width="34.42578125" style="585" customWidth="1"/>
    <col min="7431" max="7432" width="10.7109375" style="585" customWidth="1"/>
    <col min="7433" max="7433" width="5.7109375" style="585" customWidth="1"/>
    <col min="7434" max="7434" width="28.7109375" style="585" customWidth="1"/>
    <col min="7435" max="7436" width="10.7109375" style="585" customWidth="1"/>
    <col min="7437" max="7438" width="9.140625" style="585" customWidth="1"/>
    <col min="7439" max="7439" width="32.140625" style="585" customWidth="1"/>
    <col min="7440" max="7441" width="10.7109375" style="585" customWidth="1"/>
    <col min="7442" max="7442" width="5.7109375" style="585" customWidth="1"/>
    <col min="7443" max="7443" width="28.7109375" style="585" customWidth="1"/>
    <col min="7444" max="7447" width="10.7109375" style="585" customWidth="1"/>
    <col min="7448" max="7448" width="25.7109375" style="585" customWidth="1"/>
    <col min="7449" max="7452" width="12.7109375" style="585"/>
    <col min="7453" max="7454" width="13.7109375" style="585" customWidth="1"/>
    <col min="7455" max="7456" width="12.7109375" style="585"/>
    <col min="7457" max="7459" width="9.140625" style="585" customWidth="1"/>
    <col min="7460" max="7460" width="22.7109375" style="585" customWidth="1"/>
    <col min="7461" max="7462" width="12.7109375" style="585"/>
    <col min="7463" max="7468" width="10.7109375" style="585" customWidth="1"/>
    <col min="7469" max="7470" width="9.7109375" style="585" customWidth="1"/>
    <col min="7471" max="7471" width="11.7109375" style="585" customWidth="1"/>
    <col min="7472" max="7472" width="10.7109375" style="585" customWidth="1"/>
    <col min="7473" max="7473" width="9.140625" style="585" customWidth="1"/>
    <col min="7474" max="7474" width="20.7109375" style="585" customWidth="1"/>
    <col min="7475" max="7476" width="10.7109375" style="585" customWidth="1"/>
    <col min="7477" max="7482" width="12.7109375" style="585"/>
    <col min="7483" max="7484" width="9.140625" style="585" customWidth="1"/>
    <col min="7485" max="7485" width="20.7109375" style="585" customWidth="1"/>
    <col min="7486" max="7487" width="10.7109375" style="585" customWidth="1"/>
    <col min="7488" max="7680" width="12.7109375" style="585"/>
    <col min="7681" max="7681" width="38.7109375" style="585" customWidth="1"/>
    <col min="7682" max="7683" width="15.7109375" style="585" customWidth="1"/>
    <col min="7684" max="7684" width="10.7109375" style="585" customWidth="1"/>
    <col min="7685" max="7685" width="12.7109375" style="585"/>
    <col min="7686" max="7686" width="34.42578125" style="585" customWidth="1"/>
    <col min="7687" max="7688" width="10.7109375" style="585" customWidth="1"/>
    <col min="7689" max="7689" width="5.7109375" style="585" customWidth="1"/>
    <col min="7690" max="7690" width="28.7109375" style="585" customWidth="1"/>
    <col min="7691" max="7692" width="10.7109375" style="585" customWidth="1"/>
    <col min="7693" max="7694" width="9.140625" style="585" customWidth="1"/>
    <col min="7695" max="7695" width="32.140625" style="585" customWidth="1"/>
    <col min="7696" max="7697" width="10.7109375" style="585" customWidth="1"/>
    <col min="7698" max="7698" width="5.7109375" style="585" customWidth="1"/>
    <col min="7699" max="7699" width="28.7109375" style="585" customWidth="1"/>
    <col min="7700" max="7703" width="10.7109375" style="585" customWidth="1"/>
    <col min="7704" max="7704" width="25.7109375" style="585" customWidth="1"/>
    <col min="7705" max="7708" width="12.7109375" style="585"/>
    <col min="7709" max="7710" width="13.7109375" style="585" customWidth="1"/>
    <col min="7711" max="7712" width="12.7109375" style="585"/>
    <col min="7713" max="7715" width="9.140625" style="585" customWidth="1"/>
    <col min="7716" max="7716" width="22.7109375" style="585" customWidth="1"/>
    <col min="7717" max="7718" width="12.7109375" style="585"/>
    <col min="7719" max="7724" width="10.7109375" style="585" customWidth="1"/>
    <col min="7725" max="7726" width="9.7109375" style="585" customWidth="1"/>
    <col min="7727" max="7727" width="11.7109375" style="585" customWidth="1"/>
    <col min="7728" max="7728" width="10.7109375" style="585" customWidth="1"/>
    <col min="7729" max="7729" width="9.140625" style="585" customWidth="1"/>
    <col min="7730" max="7730" width="20.7109375" style="585" customWidth="1"/>
    <col min="7731" max="7732" width="10.7109375" style="585" customWidth="1"/>
    <col min="7733" max="7738" width="12.7109375" style="585"/>
    <col min="7739" max="7740" width="9.140625" style="585" customWidth="1"/>
    <col min="7741" max="7741" width="20.7109375" style="585" customWidth="1"/>
    <col min="7742" max="7743" width="10.7109375" style="585" customWidth="1"/>
    <col min="7744" max="7936" width="12.7109375" style="585"/>
    <col min="7937" max="7937" width="38.7109375" style="585" customWidth="1"/>
    <col min="7938" max="7939" width="15.7109375" style="585" customWidth="1"/>
    <col min="7940" max="7940" width="10.7109375" style="585" customWidth="1"/>
    <col min="7941" max="7941" width="12.7109375" style="585"/>
    <col min="7942" max="7942" width="34.42578125" style="585" customWidth="1"/>
    <col min="7943" max="7944" width="10.7109375" style="585" customWidth="1"/>
    <col min="7945" max="7945" width="5.7109375" style="585" customWidth="1"/>
    <col min="7946" max="7946" width="28.7109375" style="585" customWidth="1"/>
    <col min="7947" max="7948" width="10.7109375" style="585" customWidth="1"/>
    <col min="7949" max="7950" width="9.140625" style="585" customWidth="1"/>
    <col min="7951" max="7951" width="32.140625" style="585" customWidth="1"/>
    <col min="7952" max="7953" width="10.7109375" style="585" customWidth="1"/>
    <col min="7954" max="7954" width="5.7109375" style="585" customWidth="1"/>
    <col min="7955" max="7955" width="28.7109375" style="585" customWidth="1"/>
    <col min="7956" max="7959" width="10.7109375" style="585" customWidth="1"/>
    <col min="7960" max="7960" width="25.7109375" style="585" customWidth="1"/>
    <col min="7961" max="7964" width="12.7109375" style="585"/>
    <col min="7965" max="7966" width="13.7109375" style="585" customWidth="1"/>
    <col min="7967" max="7968" width="12.7109375" style="585"/>
    <col min="7969" max="7971" width="9.140625" style="585" customWidth="1"/>
    <col min="7972" max="7972" width="22.7109375" style="585" customWidth="1"/>
    <col min="7973" max="7974" width="12.7109375" style="585"/>
    <col min="7975" max="7980" width="10.7109375" style="585" customWidth="1"/>
    <col min="7981" max="7982" width="9.7109375" style="585" customWidth="1"/>
    <col min="7983" max="7983" width="11.7109375" style="585" customWidth="1"/>
    <col min="7984" max="7984" width="10.7109375" style="585" customWidth="1"/>
    <col min="7985" max="7985" width="9.140625" style="585" customWidth="1"/>
    <col min="7986" max="7986" width="20.7109375" style="585" customWidth="1"/>
    <col min="7987" max="7988" width="10.7109375" style="585" customWidth="1"/>
    <col min="7989" max="7994" width="12.7109375" style="585"/>
    <col min="7995" max="7996" width="9.140625" style="585" customWidth="1"/>
    <col min="7997" max="7997" width="20.7109375" style="585" customWidth="1"/>
    <col min="7998" max="7999" width="10.7109375" style="585" customWidth="1"/>
    <col min="8000" max="8192" width="12.7109375" style="585"/>
    <col min="8193" max="8193" width="38.7109375" style="585" customWidth="1"/>
    <col min="8194" max="8195" width="15.7109375" style="585" customWidth="1"/>
    <col min="8196" max="8196" width="10.7109375" style="585" customWidth="1"/>
    <col min="8197" max="8197" width="12.7109375" style="585"/>
    <col min="8198" max="8198" width="34.42578125" style="585" customWidth="1"/>
    <col min="8199" max="8200" width="10.7109375" style="585" customWidth="1"/>
    <col min="8201" max="8201" width="5.7109375" style="585" customWidth="1"/>
    <col min="8202" max="8202" width="28.7109375" style="585" customWidth="1"/>
    <col min="8203" max="8204" width="10.7109375" style="585" customWidth="1"/>
    <col min="8205" max="8206" width="9.140625" style="585" customWidth="1"/>
    <col min="8207" max="8207" width="32.140625" style="585" customWidth="1"/>
    <col min="8208" max="8209" width="10.7109375" style="585" customWidth="1"/>
    <col min="8210" max="8210" width="5.7109375" style="585" customWidth="1"/>
    <col min="8211" max="8211" width="28.7109375" style="585" customWidth="1"/>
    <col min="8212" max="8215" width="10.7109375" style="585" customWidth="1"/>
    <col min="8216" max="8216" width="25.7109375" style="585" customWidth="1"/>
    <col min="8217" max="8220" width="12.7109375" style="585"/>
    <col min="8221" max="8222" width="13.7109375" style="585" customWidth="1"/>
    <col min="8223" max="8224" width="12.7109375" style="585"/>
    <col min="8225" max="8227" width="9.140625" style="585" customWidth="1"/>
    <col min="8228" max="8228" width="22.7109375" style="585" customWidth="1"/>
    <col min="8229" max="8230" width="12.7109375" style="585"/>
    <col min="8231" max="8236" width="10.7109375" style="585" customWidth="1"/>
    <col min="8237" max="8238" width="9.7109375" style="585" customWidth="1"/>
    <col min="8239" max="8239" width="11.7109375" style="585" customWidth="1"/>
    <col min="8240" max="8240" width="10.7109375" style="585" customWidth="1"/>
    <col min="8241" max="8241" width="9.140625" style="585" customWidth="1"/>
    <col min="8242" max="8242" width="20.7109375" style="585" customWidth="1"/>
    <col min="8243" max="8244" width="10.7109375" style="585" customWidth="1"/>
    <col min="8245" max="8250" width="12.7109375" style="585"/>
    <col min="8251" max="8252" width="9.140625" style="585" customWidth="1"/>
    <col min="8253" max="8253" width="20.7109375" style="585" customWidth="1"/>
    <col min="8254" max="8255" width="10.7109375" style="585" customWidth="1"/>
    <col min="8256" max="8448" width="12.7109375" style="585"/>
    <col min="8449" max="8449" width="38.7109375" style="585" customWidth="1"/>
    <col min="8450" max="8451" width="15.7109375" style="585" customWidth="1"/>
    <col min="8452" max="8452" width="10.7109375" style="585" customWidth="1"/>
    <col min="8453" max="8453" width="12.7109375" style="585"/>
    <col min="8454" max="8454" width="34.42578125" style="585" customWidth="1"/>
    <col min="8455" max="8456" width="10.7109375" style="585" customWidth="1"/>
    <col min="8457" max="8457" width="5.7109375" style="585" customWidth="1"/>
    <col min="8458" max="8458" width="28.7109375" style="585" customWidth="1"/>
    <col min="8459" max="8460" width="10.7109375" style="585" customWidth="1"/>
    <col min="8461" max="8462" width="9.140625" style="585" customWidth="1"/>
    <col min="8463" max="8463" width="32.140625" style="585" customWidth="1"/>
    <col min="8464" max="8465" width="10.7109375" style="585" customWidth="1"/>
    <col min="8466" max="8466" width="5.7109375" style="585" customWidth="1"/>
    <col min="8467" max="8467" width="28.7109375" style="585" customWidth="1"/>
    <col min="8468" max="8471" width="10.7109375" style="585" customWidth="1"/>
    <col min="8472" max="8472" width="25.7109375" style="585" customWidth="1"/>
    <col min="8473" max="8476" width="12.7109375" style="585"/>
    <col min="8477" max="8478" width="13.7109375" style="585" customWidth="1"/>
    <col min="8479" max="8480" width="12.7109375" style="585"/>
    <col min="8481" max="8483" width="9.140625" style="585" customWidth="1"/>
    <col min="8484" max="8484" width="22.7109375" style="585" customWidth="1"/>
    <col min="8485" max="8486" width="12.7109375" style="585"/>
    <col min="8487" max="8492" width="10.7109375" style="585" customWidth="1"/>
    <col min="8493" max="8494" width="9.7109375" style="585" customWidth="1"/>
    <col min="8495" max="8495" width="11.7109375" style="585" customWidth="1"/>
    <col min="8496" max="8496" width="10.7109375" style="585" customWidth="1"/>
    <col min="8497" max="8497" width="9.140625" style="585" customWidth="1"/>
    <col min="8498" max="8498" width="20.7109375" style="585" customWidth="1"/>
    <col min="8499" max="8500" width="10.7109375" style="585" customWidth="1"/>
    <col min="8501" max="8506" width="12.7109375" style="585"/>
    <col min="8507" max="8508" width="9.140625" style="585" customWidth="1"/>
    <col min="8509" max="8509" width="20.7109375" style="585" customWidth="1"/>
    <col min="8510" max="8511" width="10.7109375" style="585" customWidth="1"/>
    <col min="8512" max="8704" width="12.7109375" style="585"/>
    <col min="8705" max="8705" width="38.7109375" style="585" customWidth="1"/>
    <col min="8706" max="8707" width="15.7109375" style="585" customWidth="1"/>
    <col min="8708" max="8708" width="10.7109375" style="585" customWidth="1"/>
    <col min="8709" max="8709" width="12.7109375" style="585"/>
    <col min="8710" max="8710" width="34.42578125" style="585" customWidth="1"/>
    <col min="8711" max="8712" width="10.7109375" style="585" customWidth="1"/>
    <col min="8713" max="8713" width="5.7109375" style="585" customWidth="1"/>
    <col min="8714" max="8714" width="28.7109375" style="585" customWidth="1"/>
    <col min="8715" max="8716" width="10.7109375" style="585" customWidth="1"/>
    <col min="8717" max="8718" width="9.140625" style="585" customWidth="1"/>
    <col min="8719" max="8719" width="32.140625" style="585" customWidth="1"/>
    <col min="8720" max="8721" width="10.7109375" style="585" customWidth="1"/>
    <col min="8722" max="8722" width="5.7109375" style="585" customWidth="1"/>
    <col min="8723" max="8723" width="28.7109375" style="585" customWidth="1"/>
    <col min="8724" max="8727" width="10.7109375" style="585" customWidth="1"/>
    <col min="8728" max="8728" width="25.7109375" style="585" customWidth="1"/>
    <col min="8729" max="8732" width="12.7109375" style="585"/>
    <col min="8733" max="8734" width="13.7109375" style="585" customWidth="1"/>
    <col min="8735" max="8736" width="12.7109375" style="585"/>
    <col min="8737" max="8739" width="9.140625" style="585" customWidth="1"/>
    <col min="8740" max="8740" width="22.7109375" style="585" customWidth="1"/>
    <col min="8741" max="8742" width="12.7109375" style="585"/>
    <col min="8743" max="8748" width="10.7109375" style="585" customWidth="1"/>
    <col min="8749" max="8750" width="9.7109375" style="585" customWidth="1"/>
    <col min="8751" max="8751" width="11.7109375" style="585" customWidth="1"/>
    <col min="8752" max="8752" width="10.7109375" style="585" customWidth="1"/>
    <col min="8753" max="8753" width="9.140625" style="585" customWidth="1"/>
    <col min="8754" max="8754" width="20.7109375" style="585" customWidth="1"/>
    <col min="8755" max="8756" width="10.7109375" style="585" customWidth="1"/>
    <col min="8757" max="8762" width="12.7109375" style="585"/>
    <col min="8763" max="8764" width="9.140625" style="585" customWidth="1"/>
    <col min="8765" max="8765" width="20.7109375" style="585" customWidth="1"/>
    <col min="8766" max="8767" width="10.7109375" style="585" customWidth="1"/>
    <col min="8768" max="8960" width="12.7109375" style="585"/>
    <col min="8961" max="8961" width="38.7109375" style="585" customWidth="1"/>
    <col min="8962" max="8963" width="15.7109375" style="585" customWidth="1"/>
    <col min="8964" max="8964" width="10.7109375" style="585" customWidth="1"/>
    <col min="8965" max="8965" width="12.7109375" style="585"/>
    <col min="8966" max="8966" width="34.42578125" style="585" customWidth="1"/>
    <col min="8967" max="8968" width="10.7109375" style="585" customWidth="1"/>
    <col min="8969" max="8969" width="5.7109375" style="585" customWidth="1"/>
    <col min="8970" max="8970" width="28.7109375" style="585" customWidth="1"/>
    <col min="8971" max="8972" width="10.7109375" style="585" customWidth="1"/>
    <col min="8973" max="8974" width="9.140625" style="585" customWidth="1"/>
    <col min="8975" max="8975" width="32.140625" style="585" customWidth="1"/>
    <col min="8976" max="8977" width="10.7109375" style="585" customWidth="1"/>
    <col min="8978" max="8978" width="5.7109375" style="585" customWidth="1"/>
    <col min="8979" max="8979" width="28.7109375" style="585" customWidth="1"/>
    <col min="8980" max="8983" width="10.7109375" style="585" customWidth="1"/>
    <col min="8984" max="8984" width="25.7109375" style="585" customWidth="1"/>
    <col min="8985" max="8988" width="12.7109375" style="585"/>
    <col min="8989" max="8990" width="13.7109375" style="585" customWidth="1"/>
    <col min="8991" max="8992" width="12.7109375" style="585"/>
    <col min="8993" max="8995" width="9.140625" style="585" customWidth="1"/>
    <col min="8996" max="8996" width="22.7109375" style="585" customWidth="1"/>
    <col min="8997" max="8998" width="12.7109375" style="585"/>
    <col min="8999" max="9004" width="10.7109375" style="585" customWidth="1"/>
    <col min="9005" max="9006" width="9.7109375" style="585" customWidth="1"/>
    <col min="9007" max="9007" width="11.7109375" style="585" customWidth="1"/>
    <col min="9008" max="9008" width="10.7109375" style="585" customWidth="1"/>
    <col min="9009" max="9009" width="9.140625" style="585" customWidth="1"/>
    <col min="9010" max="9010" width="20.7109375" style="585" customWidth="1"/>
    <col min="9011" max="9012" width="10.7109375" style="585" customWidth="1"/>
    <col min="9013" max="9018" width="12.7109375" style="585"/>
    <col min="9019" max="9020" width="9.140625" style="585" customWidth="1"/>
    <col min="9021" max="9021" width="20.7109375" style="585" customWidth="1"/>
    <col min="9022" max="9023" width="10.7109375" style="585" customWidth="1"/>
    <col min="9024" max="9216" width="12.7109375" style="585"/>
    <col min="9217" max="9217" width="38.7109375" style="585" customWidth="1"/>
    <col min="9218" max="9219" width="15.7109375" style="585" customWidth="1"/>
    <col min="9220" max="9220" width="10.7109375" style="585" customWidth="1"/>
    <col min="9221" max="9221" width="12.7109375" style="585"/>
    <col min="9222" max="9222" width="34.42578125" style="585" customWidth="1"/>
    <col min="9223" max="9224" width="10.7109375" style="585" customWidth="1"/>
    <col min="9225" max="9225" width="5.7109375" style="585" customWidth="1"/>
    <col min="9226" max="9226" width="28.7109375" style="585" customWidth="1"/>
    <col min="9227" max="9228" width="10.7109375" style="585" customWidth="1"/>
    <col min="9229" max="9230" width="9.140625" style="585" customWidth="1"/>
    <col min="9231" max="9231" width="32.140625" style="585" customWidth="1"/>
    <col min="9232" max="9233" width="10.7109375" style="585" customWidth="1"/>
    <col min="9234" max="9234" width="5.7109375" style="585" customWidth="1"/>
    <col min="9235" max="9235" width="28.7109375" style="585" customWidth="1"/>
    <col min="9236" max="9239" width="10.7109375" style="585" customWidth="1"/>
    <col min="9240" max="9240" width="25.7109375" style="585" customWidth="1"/>
    <col min="9241" max="9244" width="12.7109375" style="585"/>
    <col min="9245" max="9246" width="13.7109375" style="585" customWidth="1"/>
    <col min="9247" max="9248" width="12.7109375" style="585"/>
    <col min="9249" max="9251" width="9.140625" style="585" customWidth="1"/>
    <col min="9252" max="9252" width="22.7109375" style="585" customWidth="1"/>
    <col min="9253" max="9254" width="12.7109375" style="585"/>
    <col min="9255" max="9260" width="10.7109375" style="585" customWidth="1"/>
    <col min="9261" max="9262" width="9.7109375" style="585" customWidth="1"/>
    <col min="9263" max="9263" width="11.7109375" style="585" customWidth="1"/>
    <col min="9264" max="9264" width="10.7109375" style="585" customWidth="1"/>
    <col min="9265" max="9265" width="9.140625" style="585" customWidth="1"/>
    <col min="9266" max="9266" width="20.7109375" style="585" customWidth="1"/>
    <col min="9267" max="9268" width="10.7109375" style="585" customWidth="1"/>
    <col min="9269" max="9274" width="12.7109375" style="585"/>
    <col min="9275" max="9276" width="9.140625" style="585" customWidth="1"/>
    <col min="9277" max="9277" width="20.7109375" style="585" customWidth="1"/>
    <col min="9278" max="9279" width="10.7109375" style="585" customWidth="1"/>
    <col min="9280" max="9472" width="12.7109375" style="585"/>
    <col min="9473" max="9473" width="38.7109375" style="585" customWidth="1"/>
    <col min="9474" max="9475" width="15.7109375" style="585" customWidth="1"/>
    <col min="9476" max="9476" width="10.7109375" style="585" customWidth="1"/>
    <col min="9477" max="9477" width="12.7109375" style="585"/>
    <col min="9478" max="9478" width="34.42578125" style="585" customWidth="1"/>
    <col min="9479" max="9480" width="10.7109375" style="585" customWidth="1"/>
    <col min="9481" max="9481" width="5.7109375" style="585" customWidth="1"/>
    <col min="9482" max="9482" width="28.7109375" style="585" customWidth="1"/>
    <col min="9483" max="9484" width="10.7109375" style="585" customWidth="1"/>
    <col min="9485" max="9486" width="9.140625" style="585" customWidth="1"/>
    <col min="9487" max="9487" width="32.140625" style="585" customWidth="1"/>
    <col min="9488" max="9489" width="10.7109375" style="585" customWidth="1"/>
    <col min="9490" max="9490" width="5.7109375" style="585" customWidth="1"/>
    <col min="9491" max="9491" width="28.7109375" style="585" customWidth="1"/>
    <col min="9492" max="9495" width="10.7109375" style="585" customWidth="1"/>
    <col min="9496" max="9496" width="25.7109375" style="585" customWidth="1"/>
    <col min="9497" max="9500" width="12.7109375" style="585"/>
    <col min="9501" max="9502" width="13.7109375" style="585" customWidth="1"/>
    <col min="9503" max="9504" width="12.7109375" style="585"/>
    <col min="9505" max="9507" width="9.140625" style="585" customWidth="1"/>
    <col min="9508" max="9508" width="22.7109375" style="585" customWidth="1"/>
    <col min="9509" max="9510" width="12.7109375" style="585"/>
    <col min="9511" max="9516" width="10.7109375" style="585" customWidth="1"/>
    <col min="9517" max="9518" width="9.7109375" style="585" customWidth="1"/>
    <col min="9519" max="9519" width="11.7109375" style="585" customWidth="1"/>
    <col min="9520" max="9520" width="10.7109375" style="585" customWidth="1"/>
    <col min="9521" max="9521" width="9.140625" style="585" customWidth="1"/>
    <col min="9522" max="9522" width="20.7109375" style="585" customWidth="1"/>
    <col min="9523" max="9524" width="10.7109375" style="585" customWidth="1"/>
    <col min="9525" max="9530" width="12.7109375" style="585"/>
    <col min="9531" max="9532" width="9.140625" style="585" customWidth="1"/>
    <col min="9533" max="9533" width="20.7109375" style="585" customWidth="1"/>
    <col min="9534" max="9535" width="10.7109375" style="585" customWidth="1"/>
    <col min="9536" max="9728" width="12.7109375" style="585"/>
    <col min="9729" max="9729" width="38.7109375" style="585" customWidth="1"/>
    <col min="9730" max="9731" width="15.7109375" style="585" customWidth="1"/>
    <col min="9732" max="9732" width="10.7109375" style="585" customWidth="1"/>
    <col min="9733" max="9733" width="12.7109375" style="585"/>
    <col min="9734" max="9734" width="34.42578125" style="585" customWidth="1"/>
    <col min="9735" max="9736" width="10.7109375" style="585" customWidth="1"/>
    <col min="9737" max="9737" width="5.7109375" style="585" customWidth="1"/>
    <col min="9738" max="9738" width="28.7109375" style="585" customWidth="1"/>
    <col min="9739" max="9740" width="10.7109375" style="585" customWidth="1"/>
    <col min="9741" max="9742" width="9.140625" style="585" customWidth="1"/>
    <col min="9743" max="9743" width="32.140625" style="585" customWidth="1"/>
    <col min="9744" max="9745" width="10.7109375" style="585" customWidth="1"/>
    <col min="9746" max="9746" width="5.7109375" style="585" customWidth="1"/>
    <col min="9747" max="9747" width="28.7109375" style="585" customWidth="1"/>
    <col min="9748" max="9751" width="10.7109375" style="585" customWidth="1"/>
    <col min="9752" max="9752" width="25.7109375" style="585" customWidth="1"/>
    <col min="9753" max="9756" width="12.7109375" style="585"/>
    <col min="9757" max="9758" width="13.7109375" style="585" customWidth="1"/>
    <col min="9759" max="9760" width="12.7109375" style="585"/>
    <col min="9761" max="9763" width="9.140625" style="585" customWidth="1"/>
    <col min="9764" max="9764" width="22.7109375" style="585" customWidth="1"/>
    <col min="9765" max="9766" width="12.7109375" style="585"/>
    <col min="9767" max="9772" width="10.7109375" style="585" customWidth="1"/>
    <col min="9773" max="9774" width="9.7109375" style="585" customWidth="1"/>
    <col min="9775" max="9775" width="11.7109375" style="585" customWidth="1"/>
    <col min="9776" max="9776" width="10.7109375" style="585" customWidth="1"/>
    <col min="9777" max="9777" width="9.140625" style="585" customWidth="1"/>
    <col min="9778" max="9778" width="20.7109375" style="585" customWidth="1"/>
    <col min="9779" max="9780" width="10.7109375" style="585" customWidth="1"/>
    <col min="9781" max="9786" width="12.7109375" style="585"/>
    <col min="9787" max="9788" width="9.140625" style="585" customWidth="1"/>
    <col min="9789" max="9789" width="20.7109375" style="585" customWidth="1"/>
    <col min="9790" max="9791" width="10.7109375" style="585" customWidth="1"/>
    <col min="9792" max="9984" width="12.7109375" style="585"/>
    <col min="9985" max="9985" width="38.7109375" style="585" customWidth="1"/>
    <col min="9986" max="9987" width="15.7109375" style="585" customWidth="1"/>
    <col min="9988" max="9988" width="10.7109375" style="585" customWidth="1"/>
    <col min="9989" max="9989" width="12.7109375" style="585"/>
    <col min="9990" max="9990" width="34.42578125" style="585" customWidth="1"/>
    <col min="9991" max="9992" width="10.7109375" style="585" customWidth="1"/>
    <col min="9993" max="9993" width="5.7109375" style="585" customWidth="1"/>
    <col min="9994" max="9994" width="28.7109375" style="585" customWidth="1"/>
    <col min="9995" max="9996" width="10.7109375" style="585" customWidth="1"/>
    <col min="9997" max="9998" width="9.140625" style="585" customWidth="1"/>
    <col min="9999" max="9999" width="32.140625" style="585" customWidth="1"/>
    <col min="10000" max="10001" width="10.7109375" style="585" customWidth="1"/>
    <col min="10002" max="10002" width="5.7109375" style="585" customWidth="1"/>
    <col min="10003" max="10003" width="28.7109375" style="585" customWidth="1"/>
    <col min="10004" max="10007" width="10.7109375" style="585" customWidth="1"/>
    <col min="10008" max="10008" width="25.7109375" style="585" customWidth="1"/>
    <col min="10009" max="10012" width="12.7109375" style="585"/>
    <col min="10013" max="10014" width="13.7109375" style="585" customWidth="1"/>
    <col min="10015" max="10016" width="12.7109375" style="585"/>
    <col min="10017" max="10019" width="9.140625" style="585" customWidth="1"/>
    <col min="10020" max="10020" width="22.7109375" style="585" customWidth="1"/>
    <col min="10021" max="10022" width="12.7109375" style="585"/>
    <col min="10023" max="10028" width="10.7109375" style="585" customWidth="1"/>
    <col min="10029" max="10030" width="9.7109375" style="585" customWidth="1"/>
    <col min="10031" max="10031" width="11.7109375" style="585" customWidth="1"/>
    <col min="10032" max="10032" width="10.7109375" style="585" customWidth="1"/>
    <col min="10033" max="10033" width="9.140625" style="585" customWidth="1"/>
    <col min="10034" max="10034" width="20.7109375" style="585" customWidth="1"/>
    <col min="10035" max="10036" width="10.7109375" style="585" customWidth="1"/>
    <col min="10037" max="10042" width="12.7109375" style="585"/>
    <col min="10043" max="10044" width="9.140625" style="585" customWidth="1"/>
    <col min="10045" max="10045" width="20.7109375" style="585" customWidth="1"/>
    <col min="10046" max="10047" width="10.7109375" style="585" customWidth="1"/>
    <col min="10048" max="10240" width="12.7109375" style="585"/>
    <col min="10241" max="10241" width="38.7109375" style="585" customWidth="1"/>
    <col min="10242" max="10243" width="15.7109375" style="585" customWidth="1"/>
    <col min="10244" max="10244" width="10.7109375" style="585" customWidth="1"/>
    <col min="10245" max="10245" width="12.7109375" style="585"/>
    <col min="10246" max="10246" width="34.42578125" style="585" customWidth="1"/>
    <col min="10247" max="10248" width="10.7109375" style="585" customWidth="1"/>
    <col min="10249" max="10249" width="5.7109375" style="585" customWidth="1"/>
    <col min="10250" max="10250" width="28.7109375" style="585" customWidth="1"/>
    <col min="10251" max="10252" width="10.7109375" style="585" customWidth="1"/>
    <col min="10253" max="10254" width="9.140625" style="585" customWidth="1"/>
    <col min="10255" max="10255" width="32.140625" style="585" customWidth="1"/>
    <col min="10256" max="10257" width="10.7109375" style="585" customWidth="1"/>
    <col min="10258" max="10258" width="5.7109375" style="585" customWidth="1"/>
    <col min="10259" max="10259" width="28.7109375" style="585" customWidth="1"/>
    <col min="10260" max="10263" width="10.7109375" style="585" customWidth="1"/>
    <col min="10264" max="10264" width="25.7109375" style="585" customWidth="1"/>
    <col min="10265" max="10268" width="12.7109375" style="585"/>
    <col min="10269" max="10270" width="13.7109375" style="585" customWidth="1"/>
    <col min="10271" max="10272" width="12.7109375" style="585"/>
    <col min="10273" max="10275" width="9.140625" style="585" customWidth="1"/>
    <col min="10276" max="10276" width="22.7109375" style="585" customWidth="1"/>
    <col min="10277" max="10278" width="12.7109375" style="585"/>
    <col min="10279" max="10284" width="10.7109375" style="585" customWidth="1"/>
    <col min="10285" max="10286" width="9.7109375" style="585" customWidth="1"/>
    <col min="10287" max="10287" width="11.7109375" style="585" customWidth="1"/>
    <col min="10288" max="10288" width="10.7109375" style="585" customWidth="1"/>
    <col min="10289" max="10289" width="9.140625" style="585" customWidth="1"/>
    <col min="10290" max="10290" width="20.7109375" style="585" customWidth="1"/>
    <col min="10291" max="10292" width="10.7109375" style="585" customWidth="1"/>
    <col min="10293" max="10298" width="12.7109375" style="585"/>
    <col min="10299" max="10300" width="9.140625" style="585" customWidth="1"/>
    <col min="10301" max="10301" width="20.7109375" style="585" customWidth="1"/>
    <col min="10302" max="10303" width="10.7109375" style="585" customWidth="1"/>
    <col min="10304" max="10496" width="12.7109375" style="585"/>
    <col min="10497" max="10497" width="38.7109375" style="585" customWidth="1"/>
    <col min="10498" max="10499" width="15.7109375" style="585" customWidth="1"/>
    <col min="10500" max="10500" width="10.7109375" style="585" customWidth="1"/>
    <col min="10501" max="10501" width="12.7109375" style="585"/>
    <col min="10502" max="10502" width="34.42578125" style="585" customWidth="1"/>
    <col min="10503" max="10504" width="10.7109375" style="585" customWidth="1"/>
    <col min="10505" max="10505" width="5.7109375" style="585" customWidth="1"/>
    <col min="10506" max="10506" width="28.7109375" style="585" customWidth="1"/>
    <col min="10507" max="10508" width="10.7109375" style="585" customWidth="1"/>
    <col min="10509" max="10510" width="9.140625" style="585" customWidth="1"/>
    <col min="10511" max="10511" width="32.140625" style="585" customWidth="1"/>
    <col min="10512" max="10513" width="10.7109375" style="585" customWidth="1"/>
    <col min="10514" max="10514" width="5.7109375" style="585" customWidth="1"/>
    <col min="10515" max="10515" width="28.7109375" style="585" customWidth="1"/>
    <col min="10516" max="10519" width="10.7109375" style="585" customWidth="1"/>
    <col min="10520" max="10520" width="25.7109375" style="585" customWidth="1"/>
    <col min="10521" max="10524" width="12.7109375" style="585"/>
    <col min="10525" max="10526" width="13.7109375" style="585" customWidth="1"/>
    <col min="10527" max="10528" width="12.7109375" style="585"/>
    <col min="10529" max="10531" width="9.140625" style="585" customWidth="1"/>
    <col min="10532" max="10532" width="22.7109375" style="585" customWidth="1"/>
    <col min="10533" max="10534" width="12.7109375" style="585"/>
    <col min="10535" max="10540" width="10.7109375" style="585" customWidth="1"/>
    <col min="10541" max="10542" width="9.7109375" style="585" customWidth="1"/>
    <col min="10543" max="10543" width="11.7109375" style="585" customWidth="1"/>
    <col min="10544" max="10544" width="10.7109375" style="585" customWidth="1"/>
    <col min="10545" max="10545" width="9.140625" style="585" customWidth="1"/>
    <col min="10546" max="10546" width="20.7109375" style="585" customWidth="1"/>
    <col min="10547" max="10548" width="10.7109375" style="585" customWidth="1"/>
    <col min="10549" max="10554" width="12.7109375" style="585"/>
    <col min="10555" max="10556" width="9.140625" style="585" customWidth="1"/>
    <col min="10557" max="10557" width="20.7109375" style="585" customWidth="1"/>
    <col min="10558" max="10559" width="10.7109375" style="585" customWidth="1"/>
    <col min="10560" max="10752" width="12.7109375" style="585"/>
    <col min="10753" max="10753" width="38.7109375" style="585" customWidth="1"/>
    <col min="10754" max="10755" width="15.7109375" style="585" customWidth="1"/>
    <col min="10756" max="10756" width="10.7109375" style="585" customWidth="1"/>
    <col min="10757" max="10757" width="12.7109375" style="585"/>
    <col min="10758" max="10758" width="34.42578125" style="585" customWidth="1"/>
    <col min="10759" max="10760" width="10.7109375" style="585" customWidth="1"/>
    <col min="10761" max="10761" width="5.7109375" style="585" customWidth="1"/>
    <col min="10762" max="10762" width="28.7109375" style="585" customWidth="1"/>
    <col min="10763" max="10764" width="10.7109375" style="585" customWidth="1"/>
    <col min="10765" max="10766" width="9.140625" style="585" customWidth="1"/>
    <col min="10767" max="10767" width="32.140625" style="585" customWidth="1"/>
    <col min="10768" max="10769" width="10.7109375" style="585" customWidth="1"/>
    <col min="10770" max="10770" width="5.7109375" style="585" customWidth="1"/>
    <col min="10771" max="10771" width="28.7109375" style="585" customWidth="1"/>
    <col min="10772" max="10775" width="10.7109375" style="585" customWidth="1"/>
    <col min="10776" max="10776" width="25.7109375" style="585" customWidth="1"/>
    <col min="10777" max="10780" width="12.7109375" style="585"/>
    <col min="10781" max="10782" width="13.7109375" style="585" customWidth="1"/>
    <col min="10783" max="10784" width="12.7109375" style="585"/>
    <col min="10785" max="10787" width="9.140625" style="585" customWidth="1"/>
    <col min="10788" max="10788" width="22.7109375" style="585" customWidth="1"/>
    <col min="10789" max="10790" width="12.7109375" style="585"/>
    <col min="10791" max="10796" width="10.7109375" style="585" customWidth="1"/>
    <col min="10797" max="10798" width="9.7109375" style="585" customWidth="1"/>
    <col min="10799" max="10799" width="11.7109375" style="585" customWidth="1"/>
    <col min="10800" max="10800" width="10.7109375" style="585" customWidth="1"/>
    <col min="10801" max="10801" width="9.140625" style="585" customWidth="1"/>
    <col min="10802" max="10802" width="20.7109375" style="585" customWidth="1"/>
    <col min="10803" max="10804" width="10.7109375" style="585" customWidth="1"/>
    <col min="10805" max="10810" width="12.7109375" style="585"/>
    <col min="10811" max="10812" width="9.140625" style="585" customWidth="1"/>
    <col min="10813" max="10813" width="20.7109375" style="585" customWidth="1"/>
    <col min="10814" max="10815" width="10.7109375" style="585" customWidth="1"/>
    <col min="10816" max="11008" width="12.7109375" style="585"/>
    <col min="11009" max="11009" width="38.7109375" style="585" customWidth="1"/>
    <col min="11010" max="11011" width="15.7109375" style="585" customWidth="1"/>
    <col min="11012" max="11012" width="10.7109375" style="585" customWidth="1"/>
    <col min="11013" max="11013" width="12.7109375" style="585"/>
    <col min="11014" max="11014" width="34.42578125" style="585" customWidth="1"/>
    <col min="11015" max="11016" width="10.7109375" style="585" customWidth="1"/>
    <col min="11017" max="11017" width="5.7109375" style="585" customWidth="1"/>
    <col min="11018" max="11018" width="28.7109375" style="585" customWidth="1"/>
    <col min="11019" max="11020" width="10.7109375" style="585" customWidth="1"/>
    <col min="11021" max="11022" width="9.140625" style="585" customWidth="1"/>
    <col min="11023" max="11023" width="32.140625" style="585" customWidth="1"/>
    <col min="11024" max="11025" width="10.7109375" style="585" customWidth="1"/>
    <col min="11026" max="11026" width="5.7109375" style="585" customWidth="1"/>
    <col min="11027" max="11027" width="28.7109375" style="585" customWidth="1"/>
    <col min="11028" max="11031" width="10.7109375" style="585" customWidth="1"/>
    <col min="11032" max="11032" width="25.7109375" style="585" customWidth="1"/>
    <col min="11033" max="11036" width="12.7109375" style="585"/>
    <col min="11037" max="11038" width="13.7109375" style="585" customWidth="1"/>
    <col min="11039" max="11040" width="12.7109375" style="585"/>
    <col min="11041" max="11043" width="9.140625" style="585" customWidth="1"/>
    <col min="11044" max="11044" width="22.7109375" style="585" customWidth="1"/>
    <col min="11045" max="11046" width="12.7109375" style="585"/>
    <col min="11047" max="11052" width="10.7109375" style="585" customWidth="1"/>
    <col min="11053" max="11054" width="9.7109375" style="585" customWidth="1"/>
    <col min="11055" max="11055" width="11.7109375" style="585" customWidth="1"/>
    <col min="11056" max="11056" width="10.7109375" style="585" customWidth="1"/>
    <col min="11057" max="11057" width="9.140625" style="585" customWidth="1"/>
    <col min="11058" max="11058" width="20.7109375" style="585" customWidth="1"/>
    <col min="11059" max="11060" width="10.7109375" style="585" customWidth="1"/>
    <col min="11061" max="11066" width="12.7109375" style="585"/>
    <col min="11067" max="11068" width="9.140625" style="585" customWidth="1"/>
    <col min="11069" max="11069" width="20.7109375" style="585" customWidth="1"/>
    <col min="11070" max="11071" width="10.7109375" style="585" customWidth="1"/>
    <col min="11072" max="11264" width="12.7109375" style="585"/>
    <col min="11265" max="11265" width="38.7109375" style="585" customWidth="1"/>
    <col min="11266" max="11267" width="15.7109375" style="585" customWidth="1"/>
    <col min="11268" max="11268" width="10.7109375" style="585" customWidth="1"/>
    <col min="11269" max="11269" width="12.7109375" style="585"/>
    <col min="11270" max="11270" width="34.42578125" style="585" customWidth="1"/>
    <col min="11271" max="11272" width="10.7109375" style="585" customWidth="1"/>
    <col min="11273" max="11273" width="5.7109375" style="585" customWidth="1"/>
    <col min="11274" max="11274" width="28.7109375" style="585" customWidth="1"/>
    <col min="11275" max="11276" width="10.7109375" style="585" customWidth="1"/>
    <col min="11277" max="11278" width="9.140625" style="585" customWidth="1"/>
    <col min="11279" max="11279" width="32.140625" style="585" customWidth="1"/>
    <col min="11280" max="11281" width="10.7109375" style="585" customWidth="1"/>
    <col min="11282" max="11282" width="5.7109375" style="585" customWidth="1"/>
    <col min="11283" max="11283" width="28.7109375" style="585" customWidth="1"/>
    <col min="11284" max="11287" width="10.7109375" style="585" customWidth="1"/>
    <col min="11288" max="11288" width="25.7109375" style="585" customWidth="1"/>
    <col min="11289" max="11292" width="12.7109375" style="585"/>
    <col min="11293" max="11294" width="13.7109375" style="585" customWidth="1"/>
    <col min="11295" max="11296" width="12.7109375" style="585"/>
    <col min="11297" max="11299" width="9.140625" style="585" customWidth="1"/>
    <col min="11300" max="11300" width="22.7109375" style="585" customWidth="1"/>
    <col min="11301" max="11302" width="12.7109375" style="585"/>
    <col min="11303" max="11308" width="10.7109375" style="585" customWidth="1"/>
    <col min="11309" max="11310" width="9.7109375" style="585" customWidth="1"/>
    <col min="11311" max="11311" width="11.7109375" style="585" customWidth="1"/>
    <col min="11312" max="11312" width="10.7109375" style="585" customWidth="1"/>
    <col min="11313" max="11313" width="9.140625" style="585" customWidth="1"/>
    <col min="11314" max="11314" width="20.7109375" style="585" customWidth="1"/>
    <col min="11315" max="11316" width="10.7109375" style="585" customWidth="1"/>
    <col min="11317" max="11322" width="12.7109375" style="585"/>
    <col min="11323" max="11324" width="9.140625" style="585" customWidth="1"/>
    <col min="11325" max="11325" width="20.7109375" style="585" customWidth="1"/>
    <col min="11326" max="11327" width="10.7109375" style="585" customWidth="1"/>
    <col min="11328" max="11520" width="12.7109375" style="585"/>
    <col min="11521" max="11521" width="38.7109375" style="585" customWidth="1"/>
    <col min="11522" max="11523" width="15.7109375" style="585" customWidth="1"/>
    <col min="11524" max="11524" width="10.7109375" style="585" customWidth="1"/>
    <col min="11525" max="11525" width="12.7109375" style="585"/>
    <col min="11526" max="11526" width="34.42578125" style="585" customWidth="1"/>
    <col min="11527" max="11528" width="10.7109375" style="585" customWidth="1"/>
    <col min="11529" max="11529" width="5.7109375" style="585" customWidth="1"/>
    <col min="11530" max="11530" width="28.7109375" style="585" customWidth="1"/>
    <col min="11531" max="11532" width="10.7109375" style="585" customWidth="1"/>
    <col min="11533" max="11534" width="9.140625" style="585" customWidth="1"/>
    <col min="11535" max="11535" width="32.140625" style="585" customWidth="1"/>
    <col min="11536" max="11537" width="10.7109375" style="585" customWidth="1"/>
    <col min="11538" max="11538" width="5.7109375" style="585" customWidth="1"/>
    <col min="11539" max="11539" width="28.7109375" style="585" customWidth="1"/>
    <col min="11540" max="11543" width="10.7109375" style="585" customWidth="1"/>
    <col min="11544" max="11544" width="25.7109375" style="585" customWidth="1"/>
    <col min="11545" max="11548" width="12.7109375" style="585"/>
    <col min="11549" max="11550" width="13.7109375" style="585" customWidth="1"/>
    <col min="11551" max="11552" width="12.7109375" style="585"/>
    <col min="11553" max="11555" width="9.140625" style="585" customWidth="1"/>
    <col min="11556" max="11556" width="22.7109375" style="585" customWidth="1"/>
    <col min="11557" max="11558" width="12.7109375" style="585"/>
    <col min="11559" max="11564" width="10.7109375" style="585" customWidth="1"/>
    <col min="11565" max="11566" width="9.7109375" style="585" customWidth="1"/>
    <col min="11567" max="11567" width="11.7109375" style="585" customWidth="1"/>
    <col min="11568" max="11568" width="10.7109375" style="585" customWidth="1"/>
    <col min="11569" max="11569" width="9.140625" style="585" customWidth="1"/>
    <col min="11570" max="11570" width="20.7109375" style="585" customWidth="1"/>
    <col min="11571" max="11572" width="10.7109375" style="585" customWidth="1"/>
    <col min="11573" max="11578" width="12.7109375" style="585"/>
    <col min="11579" max="11580" width="9.140625" style="585" customWidth="1"/>
    <col min="11581" max="11581" width="20.7109375" style="585" customWidth="1"/>
    <col min="11582" max="11583" width="10.7109375" style="585" customWidth="1"/>
    <col min="11584" max="11776" width="12.7109375" style="585"/>
    <col min="11777" max="11777" width="38.7109375" style="585" customWidth="1"/>
    <col min="11778" max="11779" width="15.7109375" style="585" customWidth="1"/>
    <col min="11780" max="11780" width="10.7109375" style="585" customWidth="1"/>
    <col min="11781" max="11781" width="12.7109375" style="585"/>
    <col min="11782" max="11782" width="34.42578125" style="585" customWidth="1"/>
    <col min="11783" max="11784" width="10.7109375" style="585" customWidth="1"/>
    <col min="11785" max="11785" width="5.7109375" style="585" customWidth="1"/>
    <col min="11786" max="11786" width="28.7109375" style="585" customWidth="1"/>
    <col min="11787" max="11788" width="10.7109375" style="585" customWidth="1"/>
    <col min="11789" max="11790" width="9.140625" style="585" customWidth="1"/>
    <col min="11791" max="11791" width="32.140625" style="585" customWidth="1"/>
    <col min="11792" max="11793" width="10.7109375" style="585" customWidth="1"/>
    <col min="11794" max="11794" width="5.7109375" style="585" customWidth="1"/>
    <col min="11795" max="11795" width="28.7109375" style="585" customWidth="1"/>
    <col min="11796" max="11799" width="10.7109375" style="585" customWidth="1"/>
    <col min="11800" max="11800" width="25.7109375" style="585" customWidth="1"/>
    <col min="11801" max="11804" width="12.7109375" style="585"/>
    <col min="11805" max="11806" width="13.7109375" style="585" customWidth="1"/>
    <col min="11807" max="11808" width="12.7109375" style="585"/>
    <col min="11809" max="11811" width="9.140625" style="585" customWidth="1"/>
    <col min="11812" max="11812" width="22.7109375" style="585" customWidth="1"/>
    <col min="11813" max="11814" width="12.7109375" style="585"/>
    <col min="11815" max="11820" width="10.7109375" style="585" customWidth="1"/>
    <col min="11821" max="11822" width="9.7109375" style="585" customWidth="1"/>
    <col min="11823" max="11823" width="11.7109375" style="585" customWidth="1"/>
    <col min="11824" max="11824" width="10.7109375" style="585" customWidth="1"/>
    <col min="11825" max="11825" width="9.140625" style="585" customWidth="1"/>
    <col min="11826" max="11826" width="20.7109375" style="585" customWidth="1"/>
    <col min="11827" max="11828" width="10.7109375" style="585" customWidth="1"/>
    <col min="11829" max="11834" width="12.7109375" style="585"/>
    <col min="11835" max="11836" width="9.140625" style="585" customWidth="1"/>
    <col min="11837" max="11837" width="20.7109375" style="585" customWidth="1"/>
    <col min="11838" max="11839" width="10.7109375" style="585" customWidth="1"/>
    <col min="11840" max="12032" width="12.7109375" style="585"/>
    <col min="12033" max="12033" width="38.7109375" style="585" customWidth="1"/>
    <col min="12034" max="12035" width="15.7109375" style="585" customWidth="1"/>
    <col min="12036" max="12036" width="10.7109375" style="585" customWidth="1"/>
    <col min="12037" max="12037" width="12.7109375" style="585"/>
    <col min="12038" max="12038" width="34.42578125" style="585" customWidth="1"/>
    <col min="12039" max="12040" width="10.7109375" style="585" customWidth="1"/>
    <col min="12041" max="12041" width="5.7109375" style="585" customWidth="1"/>
    <col min="12042" max="12042" width="28.7109375" style="585" customWidth="1"/>
    <col min="12043" max="12044" width="10.7109375" style="585" customWidth="1"/>
    <col min="12045" max="12046" width="9.140625" style="585" customWidth="1"/>
    <col min="12047" max="12047" width="32.140625" style="585" customWidth="1"/>
    <col min="12048" max="12049" width="10.7109375" style="585" customWidth="1"/>
    <col min="12050" max="12050" width="5.7109375" style="585" customWidth="1"/>
    <col min="12051" max="12051" width="28.7109375" style="585" customWidth="1"/>
    <col min="12052" max="12055" width="10.7109375" style="585" customWidth="1"/>
    <col min="12056" max="12056" width="25.7109375" style="585" customWidth="1"/>
    <col min="12057" max="12060" width="12.7109375" style="585"/>
    <col min="12061" max="12062" width="13.7109375" style="585" customWidth="1"/>
    <col min="12063" max="12064" width="12.7109375" style="585"/>
    <col min="12065" max="12067" width="9.140625" style="585" customWidth="1"/>
    <col min="12068" max="12068" width="22.7109375" style="585" customWidth="1"/>
    <col min="12069" max="12070" width="12.7109375" style="585"/>
    <col min="12071" max="12076" width="10.7109375" style="585" customWidth="1"/>
    <col min="12077" max="12078" width="9.7109375" style="585" customWidth="1"/>
    <col min="12079" max="12079" width="11.7109375" style="585" customWidth="1"/>
    <col min="12080" max="12080" width="10.7109375" style="585" customWidth="1"/>
    <col min="12081" max="12081" width="9.140625" style="585" customWidth="1"/>
    <col min="12082" max="12082" width="20.7109375" style="585" customWidth="1"/>
    <col min="12083" max="12084" width="10.7109375" style="585" customWidth="1"/>
    <col min="12085" max="12090" width="12.7109375" style="585"/>
    <col min="12091" max="12092" width="9.140625" style="585" customWidth="1"/>
    <col min="12093" max="12093" width="20.7109375" style="585" customWidth="1"/>
    <col min="12094" max="12095" width="10.7109375" style="585" customWidth="1"/>
    <col min="12096" max="12288" width="12.7109375" style="585"/>
    <col min="12289" max="12289" width="38.7109375" style="585" customWidth="1"/>
    <col min="12290" max="12291" width="15.7109375" style="585" customWidth="1"/>
    <col min="12292" max="12292" width="10.7109375" style="585" customWidth="1"/>
    <col min="12293" max="12293" width="12.7109375" style="585"/>
    <col min="12294" max="12294" width="34.42578125" style="585" customWidth="1"/>
    <col min="12295" max="12296" width="10.7109375" style="585" customWidth="1"/>
    <col min="12297" max="12297" width="5.7109375" style="585" customWidth="1"/>
    <col min="12298" max="12298" width="28.7109375" style="585" customWidth="1"/>
    <col min="12299" max="12300" width="10.7109375" style="585" customWidth="1"/>
    <col min="12301" max="12302" width="9.140625" style="585" customWidth="1"/>
    <col min="12303" max="12303" width="32.140625" style="585" customWidth="1"/>
    <col min="12304" max="12305" width="10.7109375" style="585" customWidth="1"/>
    <col min="12306" max="12306" width="5.7109375" style="585" customWidth="1"/>
    <col min="12307" max="12307" width="28.7109375" style="585" customWidth="1"/>
    <col min="12308" max="12311" width="10.7109375" style="585" customWidth="1"/>
    <col min="12312" max="12312" width="25.7109375" style="585" customWidth="1"/>
    <col min="12313" max="12316" width="12.7109375" style="585"/>
    <col min="12317" max="12318" width="13.7109375" style="585" customWidth="1"/>
    <col min="12319" max="12320" width="12.7109375" style="585"/>
    <col min="12321" max="12323" width="9.140625" style="585" customWidth="1"/>
    <col min="12324" max="12324" width="22.7109375" style="585" customWidth="1"/>
    <col min="12325" max="12326" width="12.7109375" style="585"/>
    <col min="12327" max="12332" width="10.7109375" style="585" customWidth="1"/>
    <col min="12333" max="12334" width="9.7109375" style="585" customWidth="1"/>
    <col min="12335" max="12335" width="11.7109375" style="585" customWidth="1"/>
    <col min="12336" max="12336" width="10.7109375" style="585" customWidth="1"/>
    <col min="12337" max="12337" width="9.140625" style="585" customWidth="1"/>
    <col min="12338" max="12338" width="20.7109375" style="585" customWidth="1"/>
    <col min="12339" max="12340" width="10.7109375" style="585" customWidth="1"/>
    <col min="12341" max="12346" width="12.7109375" style="585"/>
    <col min="12347" max="12348" width="9.140625" style="585" customWidth="1"/>
    <col min="12349" max="12349" width="20.7109375" style="585" customWidth="1"/>
    <col min="12350" max="12351" width="10.7109375" style="585" customWidth="1"/>
    <col min="12352" max="12544" width="12.7109375" style="585"/>
    <col min="12545" max="12545" width="38.7109375" style="585" customWidth="1"/>
    <col min="12546" max="12547" width="15.7109375" style="585" customWidth="1"/>
    <col min="12548" max="12548" width="10.7109375" style="585" customWidth="1"/>
    <col min="12549" max="12549" width="12.7109375" style="585"/>
    <col min="12550" max="12550" width="34.42578125" style="585" customWidth="1"/>
    <col min="12551" max="12552" width="10.7109375" style="585" customWidth="1"/>
    <col min="12553" max="12553" width="5.7109375" style="585" customWidth="1"/>
    <col min="12554" max="12554" width="28.7109375" style="585" customWidth="1"/>
    <col min="12555" max="12556" width="10.7109375" style="585" customWidth="1"/>
    <col min="12557" max="12558" width="9.140625" style="585" customWidth="1"/>
    <col min="12559" max="12559" width="32.140625" style="585" customWidth="1"/>
    <col min="12560" max="12561" width="10.7109375" style="585" customWidth="1"/>
    <col min="12562" max="12562" width="5.7109375" style="585" customWidth="1"/>
    <col min="12563" max="12563" width="28.7109375" style="585" customWidth="1"/>
    <col min="12564" max="12567" width="10.7109375" style="585" customWidth="1"/>
    <col min="12568" max="12568" width="25.7109375" style="585" customWidth="1"/>
    <col min="12569" max="12572" width="12.7109375" style="585"/>
    <col min="12573" max="12574" width="13.7109375" style="585" customWidth="1"/>
    <col min="12575" max="12576" width="12.7109375" style="585"/>
    <col min="12577" max="12579" width="9.140625" style="585" customWidth="1"/>
    <col min="12580" max="12580" width="22.7109375" style="585" customWidth="1"/>
    <col min="12581" max="12582" width="12.7109375" style="585"/>
    <col min="12583" max="12588" width="10.7109375" style="585" customWidth="1"/>
    <col min="12589" max="12590" width="9.7109375" style="585" customWidth="1"/>
    <col min="12591" max="12591" width="11.7109375" style="585" customWidth="1"/>
    <col min="12592" max="12592" width="10.7109375" style="585" customWidth="1"/>
    <col min="12593" max="12593" width="9.140625" style="585" customWidth="1"/>
    <col min="12594" max="12594" width="20.7109375" style="585" customWidth="1"/>
    <col min="12595" max="12596" width="10.7109375" style="585" customWidth="1"/>
    <col min="12597" max="12602" width="12.7109375" style="585"/>
    <col min="12603" max="12604" width="9.140625" style="585" customWidth="1"/>
    <col min="12605" max="12605" width="20.7109375" style="585" customWidth="1"/>
    <col min="12606" max="12607" width="10.7109375" style="585" customWidth="1"/>
    <col min="12608" max="12800" width="12.7109375" style="585"/>
    <col min="12801" max="12801" width="38.7109375" style="585" customWidth="1"/>
    <col min="12802" max="12803" width="15.7109375" style="585" customWidth="1"/>
    <col min="12804" max="12804" width="10.7109375" style="585" customWidth="1"/>
    <col min="12805" max="12805" width="12.7109375" style="585"/>
    <col min="12806" max="12806" width="34.42578125" style="585" customWidth="1"/>
    <col min="12807" max="12808" width="10.7109375" style="585" customWidth="1"/>
    <col min="12809" max="12809" width="5.7109375" style="585" customWidth="1"/>
    <col min="12810" max="12810" width="28.7109375" style="585" customWidth="1"/>
    <col min="12811" max="12812" width="10.7109375" style="585" customWidth="1"/>
    <col min="12813" max="12814" width="9.140625" style="585" customWidth="1"/>
    <col min="12815" max="12815" width="32.140625" style="585" customWidth="1"/>
    <col min="12816" max="12817" width="10.7109375" style="585" customWidth="1"/>
    <col min="12818" max="12818" width="5.7109375" style="585" customWidth="1"/>
    <col min="12819" max="12819" width="28.7109375" style="585" customWidth="1"/>
    <col min="12820" max="12823" width="10.7109375" style="585" customWidth="1"/>
    <col min="12824" max="12824" width="25.7109375" style="585" customWidth="1"/>
    <col min="12825" max="12828" width="12.7109375" style="585"/>
    <col min="12829" max="12830" width="13.7109375" style="585" customWidth="1"/>
    <col min="12831" max="12832" width="12.7109375" style="585"/>
    <col min="12833" max="12835" width="9.140625" style="585" customWidth="1"/>
    <col min="12836" max="12836" width="22.7109375" style="585" customWidth="1"/>
    <col min="12837" max="12838" width="12.7109375" style="585"/>
    <col min="12839" max="12844" width="10.7109375" style="585" customWidth="1"/>
    <col min="12845" max="12846" width="9.7109375" style="585" customWidth="1"/>
    <col min="12847" max="12847" width="11.7109375" style="585" customWidth="1"/>
    <col min="12848" max="12848" width="10.7109375" style="585" customWidth="1"/>
    <col min="12849" max="12849" width="9.140625" style="585" customWidth="1"/>
    <col min="12850" max="12850" width="20.7109375" style="585" customWidth="1"/>
    <col min="12851" max="12852" width="10.7109375" style="585" customWidth="1"/>
    <col min="12853" max="12858" width="12.7109375" style="585"/>
    <col min="12859" max="12860" width="9.140625" style="585" customWidth="1"/>
    <col min="12861" max="12861" width="20.7109375" style="585" customWidth="1"/>
    <col min="12862" max="12863" width="10.7109375" style="585" customWidth="1"/>
    <col min="12864" max="13056" width="12.7109375" style="585"/>
    <col min="13057" max="13057" width="38.7109375" style="585" customWidth="1"/>
    <col min="13058" max="13059" width="15.7109375" style="585" customWidth="1"/>
    <col min="13060" max="13060" width="10.7109375" style="585" customWidth="1"/>
    <col min="13061" max="13061" width="12.7109375" style="585"/>
    <col min="13062" max="13062" width="34.42578125" style="585" customWidth="1"/>
    <col min="13063" max="13064" width="10.7109375" style="585" customWidth="1"/>
    <col min="13065" max="13065" width="5.7109375" style="585" customWidth="1"/>
    <col min="13066" max="13066" width="28.7109375" style="585" customWidth="1"/>
    <col min="13067" max="13068" width="10.7109375" style="585" customWidth="1"/>
    <col min="13069" max="13070" width="9.140625" style="585" customWidth="1"/>
    <col min="13071" max="13071" width="32.140625" style="585" customWidth="1"/>
    <col min="13072" max="13073" width="10.7109375" style="585" customWidth="1"/>
    <col min="13074" max="13074" width="5.7109375" style="585" customWidth="1"/>
    <col min="13075" max="13075" width="28.7109375" style="585" customWidth="1"/>
    <col min="13076" max="13079" width="10.7109375" style="585" customWidth="1"/>
    <col min="13080" max="13080" width="25.7109375" style="585" customWidth="1"/>
    <col min="13081" max="13084" width="12.7109375" style="585"/>
    <col min="13085" max="13086" width="13.7109375" style="585" customWidth="1"/>
    <col min="13087" max="13088" width="12.7109375" style="585"/>
    <col min="13089" max="13091" width="9.140625" style="585" customWidth="1"/>
    <col min="13092" max="13092" width="22.7109375" style="585" customWidth="1"/>
    <col min="13093" max="13094" width="12.7109375" style="585"/>
    <col min="13095" max="13100" width="10.7109375" style="585" customWidth="1"/>
    <col min="13101" max="13102" width="9.7109375" style="585" customWidth="1"/>
    <col min="13103" max="13103" width="11.7109375" style="585" customWidth="1"/>
    <col min="13104" max="13104" width="10.7109375" style="585" customWidth="1"/>
    <col min="13105" max="13105" width="9.140625" style="585" customWidth="1"/>
    <col min="13106" max="13106" width="20.7109375" style="585" customWidth="1"/>
    <col min="13107" max="13108" width="10.7109375" style="585" customWidth="1"/>
    <col min="13109" max="13114" width="12.7109375" style="585"/>
    <col min="13115" max="13116" width="9.140625" style="585" customWidth="1"/>
    <col min="13117" max="13117" width="20.7109375" style="585" customWidth="1"/>
    <col min="13118" max="13119" width="10.7109375" style="585" customWidth="1"/>
    <col min="13120" max="13312" width="12.7109375" style="585"/>
    <col min="13313" max="13313" width="38.7109375" style="585" customWidth="1"/>
    <col min="13314" max="13315" width="15.7109375" style="585" customWidth="1"/>
    <col min="13316" max="13316" width="10.7109375" style="585" customWidth="1"/>
    <col min="13317" max="13317" width="12.7109375" style="585"/>
    <col min="13318" max="13318" width="34.42578125" style="585" customWidth="1"/>
    <col min="13319" max="13320" width="10.7109375" style="585" customWidth="1"/>
    <col min="13321" max="13321" width="5.7109375" style="585" customWidth="1"/>
    <col min="13322" max="13322" width="28.7109375" style="585" customWidth="1"/>
    <col min="13323" max="13324" width="10.7109375" style="585" customWidth="1"/>
    <col min="13325" max="13326" width="9.140625" style="585" customWidth="1"/>
    <col min="13327" max="13327" width="32.140625" style="585" customWidth="1"/>
    <col min="13328" max="13329" width="10.7109375" style="585" customWidth="1"/>
    <col min="13330" max="13330" width="5.7109375" style="585" customWidth="1"/>
    <col min="13331" max="13331" width="28.7109375" style="585" customWidth="1"/>
    <col min="13332" max="13335" width="10.7109375" style="585" customWidth="1"/>
    <col min="13336" max="13336" width="25.7109375" style="585" customWidth="1"/>
    <col min="13337" max="13340" width="12.7109375" style="585"/>
    <col min="13341" max="13342" width="13.7109375" style="585" customWidth="1"/>
    <col min="13343" max="13344" width="12.7109375" style="585"/>
    <col min="13345" max="13347" width="9.140625" style="585" customWidth="1"/>
    <col min="13348" max="13348" width="22.7109375" style="585" customWidth="1"/>
    <col min="13349" max="13350" width="12.7109375" style="585"/>
    <col min="13351" max="13356" width="10.7109375" style="585" customWidth="1"/>
    <col min="13357" max="13358" width="9.7109375" style="585" customWidth="1"/>
    <col min="13359" max="13359" width="11.7109375" style="585" customWidth="1"/>
    <col min="13360" max="13360" width="10.7109375" style="585" customWidth="1"/>
    <col min="13361" max="13361" width="9.140625" style="585" customWidth="1"/>
    <col min="13362" max="13362" width="20.7109375" style="585" customWidth="1"/>
    <col min="13363" max="13364" width="10.7109375" style="585" customWidth="1"/>
    <col min="13365" max="13370" width="12.7109375" style="585"/>
    <col min="13371" max="13372" width="9.140625" style="585" customWidth="1"/>
    <col min="13373" max="13373" width="20.7109375" style="585" customWidth="1"/>
    <col min="13374" max="13375" width="10.7109375" style="585" customWidth="1"/>
    <col min="13376" max="13568" width="12.7109375" style="585"/>
    <col min="13569" max="13569" width="38.7109375" style="585" customWidth="1"/>
    <col min="13570" max="13571" width="15.7109375" style="585" customWidth="1"/>
    <col min="13572" max="13572" width="10.7109375" style="585" customWidth="1"/>
    <col min="13573" max="13573" width="12.7109375" style="585"/>
    <col min="13574" max="13574" width="34.42578125" style="585" customWidth="1"/>
    <col min="13575" max="13576" width="10.7109375" style="585" customWidth="1"/>
    <col min="13577" max="13577" width="5.7109375" style="585" customWidth="1"/>
    <col min="13578" max="13578" width="28.7109375" style="585" customWidth="1"/>
    <col min="13579" max="13580" width="10.7109375" style="585" customWidth="1"/>
    <col min="13581" max="13582" width="9.140625" style="585" customWidth="1"/>
    <col min="13583" max="13583" width="32.140625" style="585" customWidth="1"/>
    <col min="13584" max="13585" width="10.7109375" style="585" customWidth="1"/>
    <col min="13586" max="13586" width="5.7109375" style="585" customWidth="1"/>
    <col min="13587" max="13587" width="28.7109375" style="585" customWidth="1"/>
    <col min="13588" max="13591" width="10.7109375" style="585" customWidth="1"/>
    <col min="13592" max="13592" width="25.7109375" style="585" customWidth="1"/>
    <col min="13593" max="13596" width="12.7109375" style="585"/>
    <col min="13597" max="13598" width="13.7109375" style="585" customWidth="1"/>
    <col min="13599" max="13600" width="12.7109375" style="585"/>
    <col min="13601" max="13603" width="9.140625" style="585" customWidth="1"/>
    <col min="13604" max="13604" width="22.7109375" style="585" customWidth="1"/>
    <col min="13605" max="13606" width="12.7109375" style="585"/>
    <col min="13607" max="13612" width="10.7109375" style="585" customWidth="1"/>
    <col min="13613" max="13614" width="9.7109375" style="585" customWidth="1"/>
    <col min="13615" max="13615" width="11.7109375" style="585" customWidth="1"/>
    <col min="13616" max="13616" width="10.7109375" style="585" customWidth="1"/>
    <col min="13617" max="13617" width="9.140625" style="585" customWidth="1"/>
    <col min="13618" max="13618" width="20.7109375" style="585" customWidth="1"/>
    <col min="13619" max="13620" width="10.7109375" style="585" customWidth="1"/>
    <col min="13621" max="13626" width="12.7109375" style="585"/>
    <col min="13627" max="13628" width="9.140625" style="585" customWidth="1"/>
    <col min="13629" max="13629" width="20.7109375" style="585" customWidth="1"/>
    <col min="13630" max="13631" width="10.7109375" style="585" customWidth="1"/>
    <col min="13632" max="13824" width="12.7109375" style="585"/>
    <col min="13825" max="13825" width="38.7109375" style="585" customWidth="1"/>
    <col min="13826" max="13827" width="15.7109375" style="585" customWidth="1"/>
    <col min="13828" max="13828" width="10.7109375" style="585" customWidth="1"/>
    <col min="13829" max="13829" width="12.7109375" style="585"/>
    <col min="13830" max="13830" width="34.42578125" style="585" customWidth="1"/>
    <col min="13831" max="13832" width="10.7109375" style="585" customWidth="1"/>
    <col min="13833" max="13833" width="5.7109375" style="585" customWidth="1"/>
    <col min="13834" max="13834" width="28.7109375" style="585" customWidth="1"/>
    <col min="13835" max="13836" width="10.7109375" style="585" customWidth="1"/>
    <col min="13837" max="13838" width="9.140625" style="585" customWidth="1"/>
    <col min="13839" max="13839" width="32.140625" style="585" customWidth="1"/>
    <col min="13840" max="13841" width="10.7109375" style="585" customWidth="1"/>
    <col min="13842" max="13842" width="5.7109375" style="585" customWidth="1"/>
    <col min="13843" max="13843" width="28.7109375" style="585" customWidth="1"/>
    <col min="13844" max="13847" width="10.7109375" style="585" customWidth="1"/>
    <col min="13848" max="13848" width="25.7109375" style="585" customWidth="1"/>
    <col min="13849" max="13852" width="12.7109375" style="585"/>
    <col min="13853" max="13854" width="13.7109375" style="585" customWidth="1"/>
    <col min="13855" max="13856" width="12.7109375" style="585"/>
    <col min="13857" max="13859" width="9.140625" style="585" customWidth="1"/>
    <col min="13860" max="13860" width="22.7109375" style="585" customWidth="1"/>
    <col min="13861" max="13862" width="12.7109375" style="585"/>
    <col min="13863" max="13868" width="10.7109375" style="585" customWidth="1"/>
    <col min="13869" max="13870" width="9.7109375" style="585" customWidth="1"/>
    <col min="13871" max="13871" width="11.7109375" style="585" customWidth="1"/>
    <col min="13872" max="13872" width="10.7109375" style="585" customWidth="1"/>
    <col min="13873" max="13873" width="9.140625" style="585" customWidth="1"/>
    <col min="13874" max="13874" width="20.7109375" style="585" customWidth="1"/>
    <col min="13875" max="13876" width="10.7109375" style="585" customWidth="1"/>
    <col min="13877" max="13882" width="12.7109375" style="585"/>
    <col min="13883" max="13884" width="9.140625" style="585" customWidth="1"/>
    <col min="13885" max="13885" width="20.7109375" style="585" customWidth="1"/>
    <col min="13886" max="13887" width="10.7109375" style="585" customWidth="1"/>
    <col min="13888" max="14080" width="12.7109375" style="585"/>
    <col min="14081" max="14081" width="38.7109375" style="585" customWidth="1"/>
    <col min="14082" max="14083" width="15.7109375" style="585" customWidth="1"/>
    <col min="14084" max="14084" width="10.7109375" style="585" customWidth="1"/>
    <col min="14085" max="14085" width="12.7109375" style="585"/>
    <col min="14086" max="14086" width="34.42578125" style="585" customWidth="1"/>
    <col min="14087" max="14088" width="10.7109375" style="585" customWidth="1"/>
    <col min="14089" max="14089" width="5.7109375" style="585" customWidth="1"/>
    <col min="14090" max="14090" width="28.7109375" style="585" customWidth="1"/>
    <col min="14091" max="14092" width="10.7109375" style="585" customWidth="1"/>
    <col min="14093" max="14094" width="9.140625" style="585" customWidth="1"/>
    <col min="14095" max="14095" width="32.140625" style="585" customWidth="1"/>
    <col min="14096" max="14097" width="10.7109375" style="585" customWidth="1"/>
    <col min="14098" max="14098" width="5.7109375" style="585" customWidth="1"/>
    <col min="14099" max="14099" width="28.7109375" style="585" customWidth="1"/>
    <col min="14100" max="14103" width="10.7109375" style="585" customWidth="1"/>
    <col min="14104" max="14104" width="25.7109375" style="585" customWidth="1"/>
    <col min="14105" max="14108" width="12.7109375" style="585"/>
    <col min="14109" max="14110" width="13.7109375" style="585" customWidth="1"/>
    <col min="14111" max="14112" width="12.7109375" style="585"/>
    <col min="14113" max="14115" width="9.140625" style="585" customWidth="1"/>
    <col min="14116" max="14116" width="22.7109375" style="585" customWidth="1"/>
    <col min="14117" max="14118" width="12.7109375" style="585"/>
    <col min="14119" max="14124" width="10.7109375" style="585" customWidth="1"/>
    <col min="14125" max="14126" width="9.7109375" style="585" customWidth="1"/>
    <col min="14127" max="14127" width="11.7109375" style="585" customWidth="1"/>
    <col min="14128" max="14128" width="10.7109375" style="585" customWidth="1"/>
    <col min="14129" max="14129" width="9.140625" style="585" customWidth="1"/>
    <col min="14130" max="14130" width="20.7109375" style="585" customWidth="1"/>
    <col min="14131" max="14132" width="10.7109375" style="585" customWidth="1"/>
    <col min="14133" max="14138" width="12.7109375" style="585"/>
    <col min="14139" max="14140" width="9.140625" style="585" customWidth="1"/>
    <col min="14141" max="14141" width="20.7109375" style="585" customWidth="1"/>
    <col min="14142" max="14143" width="10.7109375" style="585" customWidth="1"/>
    <col min="14144" max="14336" width="12.7109375" style="585"/>
    <col min="14337" max="14337" width="38.7109375" style="585" customWidth="1"/>
    <col min="14338" max="14339" width="15.7109375" style="585" customWidth="1"/>
    <col min="14340" max="14340" width="10.7109375" style="585" customWidth="1"/>
    <col min="14341" max="14341" width="12.7109375" style="585"/>
    <col min="14342" max="14342" width="34.42578125" style="585" customWidth="1"/>
    <col min="14343" max="14344" width="10.7109375" style="585" customWidth="1"/>
    <col min="14345" max="14345" width="5.7109375" style="585" customWidth="1"/>
    <col min="14346" max="14346" width="28.7109375" style="585" customWidth="1"/>
    <col min="14347" max="14348" width="10.7109375" style="585" customWidth="1"/>
    <col min="14349" max="14350" width="9.140625" style="585" customWidth="1"/>
    <col min="14351" max="14351" width="32.140625" style="585" customWidth="1"/>
    <col min="14352" max="14353" width="10.7109375" style="585" customWidth="1"/>
    <col min="14354" max="14354" width="5.7109375" style="585" customWidth="1"/>
    <col min="14355" max="14355" width="28.7109375" style="585" customWidth="1"/>
    <col min="14356" max="14359" width="10.7109375" style="585" customWidth="1"/>
    <col min="14360" max="14360" width="25.7109375" style="585" customWidth="1"/>
    <col min="14361" max="14364" width="12.7109375" style="585"/>
    <col min="14365" max="14366" width="13.7109375" style="585" customWidth="1"/>
    <col min="14367" max="14368" width="12.7109375" style="585"/>
    <col min="14369" max="14371" width="9.140625" style="585" customWidth="1"/>
    <col min="14372" max="14372" width="22.7109375" style="585" customWidth="1"/>
    <col min="14373" max="14374" width="12.7109375" style="585"/>
    <col min="14375" max="14380" width="10.7109375" style="585" customWidth="1"/>
    <col min="14381" max="14382" width="9.7109375" style="585" customWidth="1"/>
    <col min="14383" max="14383" width="11.7109375" style="585" customWidth="1"/>
    <col min="14384" max="14384" width="10.7109375" style="585" customWidth="1"/>
    <col min="14385" max="14385" width="9.140625" style="585" customWidth="1"/>
    <col min="14386" max="14386" width="20.7109375" style="585" customWidth="1"/>
    <col min="14387" max="14388" width="10.7109375" style="585" customWidth="1"/>
    <col min="14389" max="14394" width="12.7109375" style="585"/>
    <col min="14395" max="14396" width="9.140625" style="585" customWidth="1"/>
    <col min="14397" max="14397" width="20.7109375" style="585" customWidth="1"/>
    <col min="14398" max="14399" width="10.7109375" style="585" customWidth="1"/>
    <col min="14400" max="14592" width="12.7109375" style="585"/>
    <col min="14593" max="14593" width="38.7109375" style="585" customWidth="1"/>
    <col min="14594" max="14595" width="15.7109375" style="585" customWidth="1"/>
    <col min="14596" max="14596" width="10.7109375" style="585" customWidth="1"/>
    <col min="14597" max="14597" width="12.7109375" style="585"/>
    <col min="14598" max="14598" width="34.42578125" style="585" customWidth="1"/>
    <col min="14599" max="14600" width="10.7109375" style="585" customWidth="1"/>
    <col min="14601" max="14601" width="5.7109375" style="585" customWidth="1"/>
    <col min="14602" max="14602" width="28.7109375" style="585" customWidth="1"/>
    <col min="14603" max="14604" width="10.7109375" style="585" customWidth="1"/>
    <col min="14605" max="14606" width="9.140625" style="585" customWidth="1"/>
    <col min="14607" max="14607" width="32.140625" style="585" customWidth="1"/>
    <col min="14608" max="14609" width="10.7109375" style="585" customWidth="1"/>
    <col min="14610" max="14610" width="5.7109375" style="585" customWidth="1"/>
    <col min="14611" max="14611" width="28.7109375" style="585" customWidth="1"/>
    <col min="14612" max="14615" width="10.7109375" style="585" customWidth="1"/>
    <col min="14616" max="14616" width="25.7109375" style="585" customWidth="1"/>
    <col min="14617" max="14620" width="12.7109375" style="585"/>
    <col min="14621" max="14622" width="13.7109375" style="585" customWidth="1"/>
    <col min="14623" max="14624" width="12.7109375" style="585"/>
    <col min="14625" max="14627" width="9.140625" style="585" customWidth="1"/>
    <col min="14628" max="14628" width="22.7109375" style="585" customWidth="1"/>
    <col min="14629" max="14630" width="12.7109375" style="585"/>
    <col min="14631" max="14636" width="10.7109375" style="585" customWidth="1"/>
    <col min="14637" max="14638" width="9.7109375" style="585" customWidth="1"/>
    <col min="14639" max="14639" width="11.7109375" style="585" customWidth="1"/>
    <col min="14640" max="14640" width="10.7109375" style="585" customWidth="1"/>
    <col min="14641" max="14641" width="9.140625" style="585" customWidth="1"/>
    <col min="14642" max="14642" width="20.7109375" style="585" customWidth="1"/>
    <col min="14643" max="14644" width="10.7109375" style="585" customWidth="1"/>
    <col min="14645" max="14650" width="12.7109375" style="585"/>
    <col min="14651" max="14652" width="9.140625" style="585" customWidth="1"/>
    <col min="14653" max="14653" width="20.7109375" style="585" customWidth="1"/>
    <col min="14654" max="14655" width="10.7109375" style="585" customWidth="1"/>
    <col min="14656" max="14848" width="12.7109375" style="585"/>
    <col min="14849" max="14849" width="38.7109375" style="585" customWidth="1"/>
    <col min="14850" max="14851" width="15.7109375" style="585" customWidth="1"/>
    <col min="14852" max="14852" width="10.7109375" style="585" customWidth="1"/>
    <col min="14853" max="14853" width="12.7109375" style="585"/>
    <col min="14854" max="14854" width="34.42578125" style="585" customWidth="1"/>
    <col min="14855" max="14856" width="10.7109375" style="585" customWidth="1"/>
    <col min="14857" max="14857" width="5.7109375" style="585" customWidth="1"/>
    <col min="14858" max="14858" width="28.7109375" style="585" customWidth="1"/>
    <col min="14859" max="14860" width="10.7109375" style="585" customWidth="1"/>
    <col min="14861" max="14862" width="9.140625" style="585" customWidth="1"/>
    <col min="14863" max="14863" width="32.140625" style="585" customWidth="1"/>
    <col min="14864" max="14865" width="10.7109375" style="585" customWidth="1"/>
    <col min="14866" max="14866" width="5.7109375" style="585" customWidth="1"/>
    <col min="14867" max="14867" width="28.7109375" style="585" customWidth="1"/>
    <col min="14868" max="14871" width="10.7109375" style="585" customWidth="1"/>
    <col min="14872" max="14872" width="25.7109375" style="585" customWidth="1"/>
    <col min="14873" max="14876" width="12.7109375" style="585"/>
    <col min="14877" max="14878" width="13.7109375" style="585" customWidth="1"/>
    <col min="14879" max="14880" width="12.7109375" style="585"/>
    <col min="14881" max="14883" width="9.140625" style="585" customWidth="1"/>
    <col min="14884" max="14884" width="22.7109375" style="585" customWidth="1"/>
    <col min="14885" max="14886" width="12.7109375" style="585"/>
    <col min="14887" max="14892" width="10.7109375" style="585" customWidth="1"/>
    <col min="14893" max="14894" width="9.7109375" style="585" customWidth="1"/>
    <col min="14895" max="14895" width="11.7109375" style="585" customWidth="1"/>
    <col min="14896" max="14896" width="10.7109375" style="585" customWidth="1"/>
    <col min="14897" max="14897" width="9.140625" style="585" customWidth="1"/>
    <col min="14898" max="14898" width="20.7109375" style="585" customWidth="1"/>
    <col min="14899" max="14900" width="10.7109375" style="585" customWidth="1"/>
    <col min="14901" max="14906" width="12.7109375" style="585"/>
    <col min="14907" max="14908" width="9.140625" style="585" customWidth="1"/>
    <col min="14909" max="14909" width="20.7109375" style="585" customWidth="1"/>
    <col min="14910" max="14911" width="10.7109375" style="585" customWidth="1"/>
    <col min="14912" max="15104" width="12.7109375" style="585"/>
    <col min="15105" max="15105" width="38.7109375" style="585" customWidth="1"/>
    <col min="15106" max="15107" width="15.7109375" style="585" customWidth="1"/>
    <col min="15108" max="15108" width="10.7109375" style="585" customWidth="1"/>
    <col min="15109" max="15109" width="12.7109375" style="585"/>
    <col min="15110" max="15110" width="34.42578125" style="585" customWidth="1"/>
    <col min="15111" max="15112" width="10.7109375" style="585" customWidth="1"/>
    <col min="15113" max="15113" width="5.7109375" style="585" customWidth="1"/>
    <col min="15114" max="15114" width="28.7109375" style="585" customWidth="1"/>
    <col min="15115" max="15116" width="10.7109375" style="585" customWidth="1"/>
    <col min="15117" max="15118" width="9.140625" style="585" customWidth="1"/>
    <col min="15119" max="15119" width="32.140625" style="585" customWidth="1"/>
    <col min="15120" max="15121" width="10.7109375" style="585" customWidth="1"/>
    <col min="15122" max="15122" width="5.7109375" style="585" customWidth="1"/>
    <col min="15123" max="15123" width="28.7109375" style="585" customWidth="1"/>
    <col min="15124" max="15127" width="10.7109375" style="585" customWidth="1"/>
    <col min="15128" max="15128" width="25.7109375" style="585" customWidth="1"/>
    <col min="15129" max="15132" width="12.7109375" style="585"/>
    <col min="15133" max="15134" width="13.7109375" style="585" customWidth="1"/>
    <col min="15135" max="15136" width="12.7109375" style="585"/>
    <col min="15137" max="15139" width="9.140625" style="585" customWidth="1"/>
    <col min="15140" max="15140" width="22.7109375" style="585" customWidth="1"/>
    <col min="15141" max="15142" width="12.7109375" style="585"/>
    <col min="15143" max="15148" width="10.7109375" style="585" customWidth="1"/>
    <col min="15149" max="15150" width="9.7109375" style="585" customWidth="1"/>
    <col min="15151" max="15151" width="11.7109375" style="585" customWidth="1"/>
    <col min="15152" max="15152" width="10.7109375" style="585" customWidth="1"/>
    <col min="15153" max="15153" width="9.140625" style="585" customWidth="1"/>
    <col min="15154" max="15154" width="20.7109375" style="585" customWidth="1"/>
    <col min="15155" max="15156" width="10.7109375" style="585" customWidth="1"/>
    <col min="15157" max="15162" width="12.7109375" style="585"/>
    <col min="15163" max="15164" width="9.140625" style="585" customWidth="1"/>
    <col min="15165" max="15165" width="20.7109375" style="585" customWidth="1"/>
    <col min="15166" max="15167" width="10.7109375" style="585" customWidth="1"/>
    <col min="15168" max="15360" width="12.7109375" style="585"/>
    <col min="15361" max="15361" width="38.7109375" style="585" customWidth="1"/>
    <col min="15362" max="15363" width="15.7109375" style="585" customWidth="1"/>
    <col min="15364" max="15364" width="10.7109375" style="585" customWidth="1"/>
    <col min="15365" max="15365" width="12.7109375" style="585"/>
    <col min="15366" max="15366" width="34.42578125" style="585" customWidth="1"/>
    <col min="15367" max="15368" width="10.7109375" style="585" customWidth="1"/>
    <col min="15369" max="15369" width="5.7109375" style="585" customWidth="1"/>
    <col min="15370" max="15370" width="28.7109375" style="585" customWidth="1"/>
    <col min="15371" max="15372" width="10.7109375" style="585" customWidth="1"/>
    <col min="15373" max="15374" width="9.140625" style="585" customWidth="1"/>
    <col min="15375" max="15375" width="32.140625" style="585" customWidth="1"/>
    <col min="15376" max="15377" width="10.7109375" style="585" customWidth="1"/>
    <col min="15378" max="15378" width="5.7109375" style="585" customWidth="1"/>
    <col min="15379" max="15379" width="28.7109375" style="585" customWidth="1"/>
    <col min="15380" max="15383" width="10.7109375" style="585" customWidth="1"/>
    <col min="15384" max="15384" width="25.7109375" style="585" customWidth="1"/>
    <col min="15385" max="15388" width="12.7109375" style="585"/>
    <col min="15389" max="15390" width="13.7109375" style="585" customWidth="1"/>
    <col min="15391" max="15392" width="12.7109375" style="585"/>
    <col min="15393" max="15395" width="9.140625" style="585" customWidth="1"/>
    <col min="15396" max="15396" width="22.7109375" style="585" customWidth="1"/>
    <col min="15397" max="15398" width="12.7109375" style="585"/>
    <col min="15399" max="15404" width="10.7109375" style="585" customWidth="1"/>
    <col min="15405" max="15406" width="9.7109375" style="585" customWidth="1"/>
    <col min="15407" max="15407" width="11.7109375" style="585" customWidth="1"/>
    <col min="15408" max="15408" width="10.7109375" style="585" customWidth="1"/>
    <col min="15409" max="15409" width="9.140625" style="585" customWidth="1"/>
    <col min="15410" max="15410" width="20.7109375" style="585" customWidth="1"/>
    <col min="15411" max="15412" width="10.7109375" style="585" customWidth="1"/>
    <col min="15413" max="15418" width="12.7109375" style="585"/>
    <col min="15419" max="15420" width="9.140625" style="585" customWidth="1"/>
    <col min="15421" max="15421" width="20.7109375" style="585" customWidth="1"/>
    <col min="15422" max="15423" width="10.7109375" style="585" customWidth="1"/>
    <col min="15424" max="15616" width="12.7109375" style="585"/>
    <col min="15617" max="15617" width="38.7109375" style="585" customWidth="1"/>
    <col min="15618" max="15619" width="15.7109375" style="585" customWidth="1"/>
    <col min="15620" max="15620" width="10.7109375" style="585" customWidth="1"/>
    <col min="15621" max="15621" width="12.7109375" style="585"/>
    <col min="15622" max="15622" width="34.42578125" style="585" customWidth="1"/>
    <col min="15623" max="15624" width="10.7109375" style="585" customWidth="1"/>
    <col min="15625" max="15625" width="5.7109375" style="585" customWidth="1"/>
    <col min="15626" max="15626" width="28.7109375" style="585" customWidth="1"/>
    <col min="15627" max="15628" width="10.7109375" style="585" customWidth="1"/>
    <col min="15629" max="15630" width="9.140625" style="585" customWidth="1"/>
    <col min="15631" max="15631" width="32.140625" style="585" customWidth="1"/>
    <col min="15632" max="15633" width="10.7109375" style="585" customWidth="1"/>
    <col min="15634" max="15634" width="5.7109375" style="585" customWidth="1"/>
    <col min="15635" max="15635" width="28.7109375" style="585" customWidth="1"/>
    <col min="15636" max="15639" width="10.7109375" style="585" customWidth="1"/>
    <col min="15640" max="15640" width="25.7109375" style="585" customWidth="1"/>
    <col min="15641" max="15644" width="12.7109375" style="585"/>
    <col min="15645" max="15646" width="13.7109375" style="585" customWidth="1"/>
    <col min="15647" max="15648" width="12.7109375" style="585"/>
    <col min="15649" max="15651" width="9.140625" style="585" customWidth="1"/>
    <col min="15652" max="15652" width="22.7109375" style="585" customWidth="1"/>
    <col min="15653" max="15654" width="12.7109375" style="585"/>
    <col min="15655" max="15660" width="10.7109375" style="585" customWidth="1"/>
    <col min="15661" max="15662" width="9.7109375" style="585" customWidth="1"/>
    <col min="15663" max="15663" width="11.7109375" style="585" customWidth="1"/>
    <col min="15664" max="15664" width="10.7109375" style="585" customWidth="1"/>
    <col min="15665" max="15665" width="9.140625" style="585" customWidth="1"/>
    <col min="15666" max="15666" width="20.7109375" style="585" customWidth="1"/>
    <col min="15667" max="15668" width="10.7109375" style="585" customWidth="1"/>
    <col min="15669" max="15674" width="12.7109375" style="585"/>
    <col min="15675" max="15676" width="9.140625" style="585" customWidth="1"/>
    <col min="15677" max="15677" width="20.7109375" style="585" customWidth="1"/>
    <col min="15678" max="15679" width="10.7109375" style="585" customWidth="1"/>
    <col min="15680" max="15872" width="12.7109375" style="585"/>
    <col min="15873" max="15873" width="38.7109375" style="585" customWidth="1"/>
    <col min="15874" max="15875" width="15.7109375" style="585" customWidth="1"/>
    <col min="15876" max="15876" width="10.7109375" style="585" customWidth="1"/>
    <col min="15877" max="15877" width="12.7109375" style="585"/>
    <col min="15878" max="15878" width="34.42578125" style="585" customWidth="1"/>
    <col min="15879" max="15880" width="10.7109375" style="585" customWidth="1"/>
    <col min="15881" max="15881" width="5.7109375" style="585" customWidth="1"/>
    <col min="15882" max="15882" width="28.7109375" style="585" customWidth="1"/>
    <col min="15883" max="15884" width="10.7109375" style="585" customWidth="1"/>
    <col min="15885" max="15886" width="9.140625" style="585" customWidth="1"/>
    <col min="15887" max="15887" width="32.140625" style="585" customWidth="1"/>
    <col min="15888" max="15889" width="10.7109375" style="585" customWidth="1"/>
    <col min="15890" max="15890" width="5.7109375" style="585" customWidth="1"/>
    <col min="15891" max="15891" width="28.7109375" style="585" customWidth="1"/>
    <col min="15892" max="15895" width="10.7109375" style="585" customWidth="1"/>
    <col min="15896" max="15896" width="25.7109375" style="585" customWidth="1"/>
    <col min="15897" max="15900" width="12.7109375" style="585"/>
    <col min="15901" max="15902" width="13.7109375" style="585" customWidth="1"/>
    <col min="15903" max="15904" width="12.7109375" style="585"/>
    <col min="15905" max="15907" width="9.140625" style="585" customWidth="1"/>
    <col min="15908" max="15908" width="22.7109375" style="585" customWidth="1"/>
    <col min="15909" max="15910" width="12.7109375" style="585"/>
    <col min="15911" max="15916" width="10.7109375" style="585" customWidth="1"/>
    <col min="15917" max="15918" width="9.7109375" style="585" customWidth="1"/>
    <col min="15919" max="15919" width="11.7109375" style="585" customWidth="1"/>
    <col min="15920" max="15920" width="10.7109375" style="585" customWidth="1"/>
    <col min="15921" max="15921" width="9.140625" style="585" customWidth="1"/>
    <col min="15922" max="15922" width="20.7109375" style="585" customWidth="1"/>
    <col min="15923" max="15924" width="10.7109375" style="585" customWidth="1"/>
    <col min="15925" max="15930" width="12.7109375" style="585"/>
    <col min="15931" max="15932" width="9.140625" style="585" customWidth="1"/>
    <col min="15933" max="15933" width="20.7109375" style="585" customWidth="1"/>
    <col min="15934" max="15935" width="10.7109375" style="585" customWidth="1"/>
    <col min="15936" max="16128" width="12.7109375" style="585"/>
    <col min="16129" max="16129" width="38.7109375" style="585" customWidth="1"/>
    <col min="16130" max="16131" width="15.7109375" style="585" customWidth="1"/>
    <col min="16132" max="16132" width="10.7109375" style="585" customWidth="1"/>
    <col min="16133" max="16133" width="12.7109375" style="585"/>
    <col min="16134" max="16134" width="34.42578125" style="585" customWidth="1"/>
    <col min="16135" max="16136" width="10.7109375" style="585" customWidth="1"/>
    <col min="16137" max="16137" width="5.7109375" style="585" customWidth="1"/>
    <col min="16138" max="16138" width="28.7109375" style="585" customWidth="1"/>
    <col min="16139" max="16140" width="10.7109375" style="585" customWidth="1"/>
    <col min="16141" max="16142" width="9.140625" style="585" customWidth="1"/>
    <col min="16143" max="16143" width="32.140625" style="585" customWidth="1"/>
    <col min="16144" max="16145" width="10.7109375" style="585" customWidth="1"/>
    <col min="16146" max="16146" width="5.7109375" style="585" customWidth="1"/>
    <col min="16147" max="16147" width="28.7109375" style="585" customWidth="1"/>
    <col min="16148" max="16151" width="10.7109375" style="585" customWidth="1"/>
    <col min="16152" max="16152" width="25.7109375" style="585" customWidth="1"/>
    <col min="16153" max="16156" width="12.7109375" style="585"/>
    <col min="16157" max="16158" width="13.7109375" style="585" customWidth="1"/>
    <col min="16159" max="16160" width="12.7109375" style="585"/>
    <col min="16161" max="16163" width="9.140625" style="585" customWidth="1"/>
    <col min="16164" max="16164" width="22.7109375" style="585" customWidth="1"/>
    <col min="16165" max="16166" width="12.7109375" style="585"/>
    <col min="16167" max="16172" width="10.7109375" style="585" customWidth="1"/>
    <col min="16173" max="16174" width="9.7109375" style="585" customWidth="1"/>
    <col min="16175" max="16175" width="11.7109375" style="585" customWidth="1"/>
    <col min="16176" max="16176" width="10.7109375" style="585" customWidth="1"/>
    <col min="16177" max="16177" width="9.140625" style="585" customWidth="1"/>
    <col min="16178" max="16178" width="20.7109375" style="585" customWidth="1"/>
    <col min="16179" max="16180" width="10.7109375" style="585" customWidth="1"/>
    <col min="16181" max="16186" width="12.7109375" style="585"/>
    <col min="16187" max="16188" width="9.140625" style="585" customWidth="1"/>
    <col min="16189" max="16189" width="20.7109375" style="585" customWidth="1"/>
    <col min="16190" max="16191" width="10.7109375" style="585" customWidth="1"/>
    <col min="16192" max="16384" width="12.7109375" style="585"/>
  </cols>
  <sheetData>
    <row r="1" spans="1:69" ht="12.95" customHeight="1">
      <c r="A1" s="381" t="s">
        <v>4190</v>
      </c>
      <c r="B1" s="586"/>
      <c r="C1" s="586"/>
      <c r="F1" s="381" t="s">
        <v>4191</v>
      </c>
      <c r="G1" s="381"/>
      <c r="H1" s="381"/>
      <c r="I1" s="381"/>
      <c r="J1" s="381"/>
      <c r="K1" s="381"/>
      <c r="L1" s="381"/>
      <c r="M1" s="382"/>
      <c r="O1" s="381" t="s">
        <v>4192</v>
      </c>
      <c r="P1" s="381"/>
      <c r="Q1" s="381"/>
      <c r="R1" s="381"/>
      <c r="S1" s="381"/>
      <c r="T1" s="381"/>
      <c r="U1" s="381"/>
      <c r="V1" s="414"/>
      <c r="W1" s="414"/>
      <c r="X1" s="381" t="s">
        <v>4193</v>
      </c>
      <c r="Y1" s="883"/>
      <c r="Z1" s="883"/>
      <c r="AA1" s="586"/>
      <c r="AB1" s="586"/>
      <c r="AC1" s="586"/>
      <c r="AD1" s="586"/>
      <c r="AJ1" s="382"/>
      <c r="AK1" s="884"/>
      <c r="AL1" s="884"/>
      <c r="AO1" s="585"/>
      <c r="AP1" s="585"/>
      <c r="AQ1" s="382"/>
      <c r="AR1" s="382"/>
      <c r="AX1" s="382"/>
      <c r="AY1" s="382"/>
      <c r="AZ1" s="382"/>
      <c r="BA1" s="382"/>
      <c r="BB1" s="414"/>
      <c r="BC1" s="382"/>
      <c r="BI1" s="382"/>
      <c r="BJ1" s="382"/>
      <c r="BK1" s="382"/>
      <c r="BL1" s="382"/>
      <c r="BM1" s="414"/>
      <c r="BN1" s="382"/>
    </row>
    <row r="2" spans="1:69" ht="12.95" customHeight="1">
      <c r="A2" s="585" t="s">
        <v>3990</v>
      </c>
      <c r="B2" s="2101" t="s">
        <v>3986</v>
      </c>
      <c r="C2" s="2102"/>
      <c r="F2" s="382" t="s">
        <v>3990</v>
      </c>
      <c r="G2" s="2078" t="s">
        <v>3986</v>
      </c>
      <c r="H2" s="2103"/>
      <c r="I2" s="602"/>
      <c r="J2" s="382" t="s">
        <v>3990</v>
      </c>
      <c r="K2" s="2078" t="s">
        <v>3986</v>
      </c>
      <c r="L2" s="2102"/>
      <c r="O2" s="382" t="s">
        <v>3990</v>
      </c>
      <c r="P2" s="2078" t="s">
        <v>3986</v>
      </c>
      <c r="Q2" s="2103"/>
      <c r="R2" s="602"/>
      <c r="S2" s="382" t="s">
        <v>3990</v>
      </c>
      <c r="T2" s="2078" t="s">
        <v>3986</v>
      </c>
      <c r="U2" s="2102"/>
      <c r="V2" s="414"/>
      <c r="W2" s="414"/>
      <c r="Y2" s="604"/>
      <c r="Z2" s="604"/>
      <c r="AA2" s="2139" t="s">
        <v>4194</v>
      </c>
      <c r="AB2" s="2140"/>
      <c r="AC2" s="2137" t="s">
        <v>4195</v>
      </c>
      <c r="AD2" s="2138"/>
      <c r="AE2" s="2137" t="s">
        <v>4196</v>
      </c>
      <c r="AF2" s="2138"/>
      <c r="AG2" s="402"/>
      <c r="AH2" s="402"/>
      <c r="AM2" s="2122"/>
      <c r="AN2" s="2122"/>
      <c r="AO2" s="2094"/>
      <c r="AP2" s="2094"/>
      <c r="AQ2" s="2152"/>
      <c r="AR2" s="2152"/>
      <c r="AS2" s="849"/>
      <c r="AT2" s="849"/>
      <c r="AU2" s="849"/>
      <c r="AV2" s="849"/>
      <c r="AX2" s="382"/>
      <c r="AY2" s="847"/>
      <c r="AZ2" s="847"/>
      <c r="BA2" s="848"/>
      <c r="BB2" s="848"/>
      <c r="BC2" s="848"/>
      <c r="BD2" s="848"/>
      <c r="BE2" s="848"/>
      <c r="BF2" s="848"/>
      <c r="BI2" s="382"/>
      <c r="BJ2" s="847"/>
      <c r="BK2" s="847"/>
      <c r="BL2" s="2152"/>
      <c r="BM2" s="2152"/>
      <c r="BN2" s="2152"/>
      <c r="BO2" s="2152"/>
      <c r="BP2" s="2153"/>
      <c r="BQ2" s="2153"/>
    </row>
    <row r="3" spans="1:69" ht="12.95" customHeight="1">
      <c r="A3" s="586" t="s">
        <v>4020</v>
      </c>
      <c r="B3" s="611" t="s">
        <v>1665</v>
      </c>
      <c r="C3" s="590" t="s">
        <v>1666</v>
      </c>
      <c r="F3" s="381" t="s">
        <v>4020</v>
      </c>
      <c r="G3" s="442" t="s">
        <v>1665</v>
      </c>
      <c r="H3" s="642" t="s">
        <v>1666</v>
      </c>
      <c r="I3" s="885"/>
      <c r="J3" s="586" t="s">
        <v>4020</v>
      </c>
      <c r="K3" s="611" t="s">
        <v>1665</v>
      </c>
      <c r="L3" s="590" t="s">
        <v>1666</v>
      </c>
      <c r="O3" s="381" t="s">
        <v>4020</v>
      </c>
      <c r="P3" s="442" t="s">
        <v>1665</v>
      </c>
      <c r="Q3" s="642" t="s">
        <v>1666</v>
      </c>
      <c r="R3" s="885"/>
      <c r="S3" s="586" t="s">
        <v>4020</v>
      </c>
      <c r="T3" s="611" t="s">
        <v>1665</v>
      </c>
      <c r="U3" s="590" t="s">
        <v>1666</v>
      </c>
      <c r="V3" s="439"/>
      <c r="W3" s="439"/>
      <c r="X3" s="382" t="s">
        <v>3990</v>
      </c>
      <c r="Y3" s="667" t="s">
        <v>3991</v>
      </c>
      <c r="Z3" s="667" t="s">
        <v>129</v>
      </c>
      <c r="AA3" s="2141"/>
      <c r="AB3" s="2142"/>
      <c r="AC3" s="2132"/>
      <c r="AD3" s="2134"/>
      <c r="AE3" s="2132"/>
      <c r="AF3" s="2134"/>
      <c r="AG3" s="702"/>
      <c r="AH3" s="702"/>
      <c r="AJ3" s="382"/>
      <c r="AK3" s="439"/>
      <c r="AL3" s="439"/>
      <c r="AM3" s="2122"/>
      <c r="AN3" s="2122"/>
      <c r="AO3" s="2094"/>
      <c r="AP3" s="2094"/>
      <c r="AQ3" s="2152"/>
      <c r="AR3" s="2152"/>
      <c r="AS3" s="849"/>
      <c r="AT3" s="849"/>
      <c r="AU3" s="849"/>
      <c r="AV3" s="849"/>
      <c r="AX3" s="382"/>
      <c r="AY3" s="847"/>
      <c r="AZ3" s="847"/>
      <c r="BA3" s="848"/>
      <c r="BB3" s="848"/>
      <c r="BC3" s="848"/>
      <c r="BD3" s="848"/>
      <c r="BE3" s="848"/>
      <c r="BF3" s="848"/>
      <c r="BI3" s="382"/>
      <c r="BJ3" s="847"/>
      <c r="BK3" s="847"/>
      <c r="BL3" s="2152"/>
      <c r="BM3" s="2152"/>
      <c r="BN3" s="2152"/>
      <c r="BO3" s="2152"/>
      <c r="BP3" s="2153"/>
      <c r="BQ3" s="2153"/>
    </row>
    <row r="4" spans="1:69" ht="12.95" customHeight="1">
      <c r="A4" s="508" t="s">
        <v>129</v>
      </c>
      <c r="B4" s="525">
        <f>SUM(B5:B10)</f>
        <v>1514</v>
      </c>
      <c r="C4" s="623">
        <v>100</v>
      </c>
      <c r="P4" s="585"/>
      <c r="Q4" s="585"/>
      <c r="V4" s="382"/>
      <c r="W4" s="382"/>
      <c r="X4" s="381" t="s">
        <v>4020</v>
      </c>
      <c r="Y4" s="441" t="s">
        <v>4021</v>
      </c>
      <c r="Z4" s="441" t="s">
        <v>3972</v>
      </c>
      <c r="AA4" s="413" t="s">
        <v>1665</v>
      </c>
      <c r="AB4" s="413" t="s">
        <v>1666</v>
      </c>
      <c r="AC4" s="413" t="s">
        <v>1665</v>
      </c>
      <c r="AD4" s="413" t="s">
        <v>1666</v>
      </c>
      <c r="AE4" s="413" t="s">
        <v>1665</v>
      </c>
      <c r="AF4" s="413" t="s">
        <v>1666</v>
      </c>
      <c r="AG4" s="414"/>
      <c r="AH4" s="414"/>
      <c r="AJ4" s="382"/>
      <c r="AK4" s="439"/>
      <c r="AL4" s="439"/>
      <c r="AM4" s="414"/>
      <c r="AN4" s="439"/>
      <c r="AO4" s="414"/>
      <c r="AP4" s="439"/>
      <c r="AQ4" s="439"/>
      <c r="AR4" s="439"/>
      <c r="AS4" s="439"/>
      <c r="AT4" s="439"/>
      <c r="AU4" s="439"/>
      <c r="AV4" s="439"/>
      <c r="AX4" s="382"/>
      <c r="AY4" s="439"/>
      <c r="AZ4" s="439"/>
      <c r="BA4" s="439"/>
      <c r="BB4" s="599"/>
      <c r="BC4" s="414"/>
      <c r="BD4" s="599"/>
      <c r="BE4" s="439"/>
      <c r="BF4" s="599"/>
      <c r="BI4" s="382"/>
      <c r="BJ4" s="439"/>
      <c r="BK4" s="439"/>
      <c r="BL4" s="414"/>
      <c r="BM4" s="599"/>
      <c r="BN4" s="439"/>
      <c r="BO4" s="599"/>
      <c r="BP4" s="439"/>
      <c r="BQ4" s="599"/>
    </row>
    <row r="5" spans="1:69" ht="12.95" customHeight="1">
      <c r="A5" s="524" t="s">
        <v>4197</v>
      </c>
      <c r="B5" s="525">
        <v>641</v>
      </c>
      <c r="C5" s="623">
        <f>B5/B4*100</f>
        <v>42.338177014531041</v>
      </c>
      <c r="F5" s="585" t="s">
        <v>4198</v>
      </c>
      <c r="J5" s="382" t="s">
        <v>4067</v>
      </c>
      <c r="O5" s="585" t="s">
        <v>4198</v>
      </c>
      <c r="P5" s="585"/>
      <c r="Q5" s="585"/>
      <c r="S5" s="382" t="s">
        <v>4067</v>
      </c>
      <c r="V5" s="382"/>
      <c r="W5" s="382"/>
      <c r="X5" s="382" t="s">
        <v>3503</v>
      </c>
      <c r="Y5" s="435">
        <f>SUM(Y6:Y24)</f>
        <v>62098</v>
      </c>
      <c r="Z5" s="463">
        <f>SUM(Z6:Z24)</f>
        <v>30283</v>
      </c>
      <c r="AA5" s="525">
        <f>SUM(AA6:AA24)</f>
        <v>10113</v>
      </c>
      <c r="AB5" s="855">
        <f>AA5/Z5*100</f>
        <v>33.39497407786547</v>
      </c>
      <c r="AC5" s="525">
        <f>SUM(AC6:AC24)</f>
        <v>9726</v>
      </c>
      <c r="AD5" s="855">
        <f>AC5/Z5*100</f>
        <v>32.117029356404586</v>
      </c>
      <c r="AE5" s="525">
        <f>SUM(AE6:AE24)</f>
        <v>9128</v>
      </c>
      <c r="AF5" s="855">
        <f>AE5/Z5*100</f>
        <v>30.142324076214379</v>
      </c>
      <c r="AG5" s="525"/>
      <c r="AH5" s="525"/>
      <c r="AI5" s="525"/>
      <c r="AJ5" s="382"/>
      <c r="AK5" s="463"/>
      <c r="AL5" s="463"/>
      <c r="AM5" s="525"/>
      <c r="AN5" s="855"/>
      <c r="AO5" s="525"/>
      <c r="AP5" s="623"/>
      <c r="AQ5" s="463"/>
      <c r="AR5" s="857"/>
      <c r="AS5" s="463"/>
      <c r="AT5" s="799"/>
      <c r="AU5" s="463"/>
      <c r="AV5" s="857"/>
      <c r="AX5" s="382"/>
      <c r="AY5" s="463"/>
      <c r="AZ5" s="525"/>
      <c r="BA5" s="463"/>
      <c r="BB5" s="623"/>
      <c r="BC5" s="463"/>
      <c r="BD5" s="623"/>
      <c r="BE5" s="463"/>
      <c r="BF5" s="623"/>
      <c r="BI5" s="382"/>
      <c r="BJ5" s="463"/>
      <c r="BK5" s="525"/>
      <c r="BL5" s="463"/>
      <c r="BM5" s="623"/>
      <c r="BN5" s="463"/>
      <c r="BO5" s="623"/>
      <c r="BP5" s="463"/>
      <c r="BQ5" s="623"/>
    </row>
    <row r="6" spans="1:69" ht="14.1" customHeight="1">
      <c r="A6" s="451" t="s">
        <v>4199</v>
      </c>
      <c r="B6" s="525">
        <v>308</v>
      </c>
      <c r="C6" s="623">
        <f>B6/B4*100</f>
        <v>20.343461030383093</v>
      </c>
      <c r="F6" s="524" t="s">
        <v>4200</v>
      </c>
      <c r="J6" s="451" t="s">
        <v>4200</v>
      </c>
      <c r="O6" s="524" t="s">
        <v>4200</v>
      </c>
      <c r="P6" s="585"/>
      <c r="Q6" s="585"/>
      <c r="S6" s="451" t="s">
        <v>4200</v>
      </c>
      <c r="V6" s="799"/>
      <c r="W6" s="799"/>
      <c r="X6" s="858" t="s">
        <v>2384</v>
      </c>
      <c r="Y6" s="859">
        <v>390</v>
      </c>
      <c r="Z6" s="463">
        <v>250</v>
      </c>
      <c r="AA6" s="873">
        <v>49</v>
      </c>
      <c r="AB6" s="855">
        <f t="shared" ref="AB6:AB24" si="0">AA6/Z6*100</f>
        <v>19.600000000000001</v>
      </c>
      <c r="AC6" s="525">
        <v>143</v>
      </c>
      <c r="AD6" s="855">
        <f t="shared" ref="AD6:AD24" si="1">AC6/Z6*100</f>
        <v>57.199999999999996</v>
      </c>
      <c r="AE6" s="525">
        <v>97</v>
      </c>
      <c r="AF6" s="855">
        <f t="shared" ref="AF6:AF24" si="2">AE6/Z6*100</f>
        <v>38.800000000000004</v>
      </c>
      <c r="AG6" s="525"/>
      <c r="AH6" s="525"/>
      <c r="AI6" s="860"/>
      <c r="AJ6" s="858"/>
      <c r="AK6" s="859"/>
      <c r="AL6" s="859"/>
      <c r="AM6" s="525"/>
      <c r="AN6" s="855"/>
      <c r="AO6" s="525"/>
      <c r="AP6" s="623"/>
      <c r="AQ6" s="463"/>
      <c r="AR6" s="857"/>
      <c r="AT6" s="799"/>
      <c r="AV6" s="857"/>
      <c r="AX6" s="858"/>
      <c r="AY6" s="463"/>
      <c r="AZ6" s="525"/>
      <c r="BA6" s="463"/>
      <c r="BB6" s="623"/>
      <c r="BC6" s="435"/>
      <c r="BD6" s="623"/>
      <c r="BE6" s="463"/>
      <c r="BF6" s="623"/>
      <c r="BI6" s="858"/>
      <c r="BJ6" s="463"/>
      <c r="BK6" s="525"/>
      <c r="BL6" s="435"/>
      <c r="BM6" s="623"/>
      <c r="BN6" s="463"/>
      <c r="BO6" s="623"/>
      <c r="BP6" s="463"/>
      <c r="BQ6" s="623"/>
    </row>
    <row r="7" spans="1:69" ht="12.95" customHeight="1">
      <c r="A7" s="451" t="s">
        <v>4201</v>
      </c>
      <c r="B7" s="525">
        <v>186</v>
      </c>
      <c r="C7" s="623">
        <f>B7/B4*100</f>
        <v>12.285336856010568</v>
      </c>
      <c r="F7" s="615" t="s">
        <v>4202</v>
      </c>
      <c r="G7" s="585">
        <v>152</v>
      </c>
      <c r="H7" s="585">
        <f>G7/250*100</f>
        <v>60.8</v>
      </c>
      <c r="J7" s="612" t="s">
        <v>4203</v>
      </c>
      <c r="K7" s="525">
        <v>1063</v>
      </c>
      <c r="L7" s="623">
        <f>K7/1175*100</f>
        <v>90.468085106382972</v>
      </c>
      <c r="O7" s="615" t="s">
        <v>4204</v>
      </c>
      <c r="P7" s="585">
        <v>210</v>
      </c>
      <c r="Q7" s="585">
        <v>79.3</v>
      </c>
      <c r="S7" s="612" t="s">
        <v>4203</v>
      </c>
      <c r="T7" s="525">
        <v>1021</v>
      </c>
      <c r="U7" s="623">
        <v>86.3</v>
      </c>
      <c r="V7" s="799"/>
      <c r="W7" s="799"/>
      <c r="X7" s="382" t="s">
        <v>2252</v>
      </c>
      <c r="Y7" s="435">
        <v>992</v>
      </c>
      <c r="Z7" s="463">
        <v>525</v>
      </c>
      <c r="AA7" s="874">
        <v>164</v>
      </c>
      <c r="AB7" s="855">
        <f t="shared" si="0"/>
        <v>31.238095238095237</v>
      </c>
      <c r="AC7" s="525">
        <v>198</v>
      </c>
      <c r="AD7" s="855">
        <f t="shared" si="1"/>
        <v>37.714285714285715</v>
      </c>
      <c r="AE7" s="525">
        <v>171</v>
      </c>
      <c r="AF7" s="855">
        <f t="shared" si="2"/>
        <v>32.571428571428577</v>
      </c>
      <c r="AG7" s="525"/>
      <c r="AH7" s="525"/>
      <c r="AI7" s="860"/>
      <c r="AJ7" s="382"/>
      <c r="AK7" s="435"/>
      <c r="AL7" s="463"/>
      <c r="AM7" s="525"/>
      <c r="AN7" s="855"/>
      <c r="AO7" s="525"/>
      <c r="AP7" s="623"/>
      <c r="AQ7" s="463"/>
      <c r="AR7" s="857"/>
      <c r="AT7" s="799"/>
      <c r="AV7" s="857"/>
      <c r="AX7" s="382"/>
      <c r="AY7" s="463"/>
      <c r="AZ7" s="525"/>
      <c r="BA7" s="463"/>
      <c r="BB7" s="623"/>
      <c r="BC7" s="435"/>
      <c r="BD7" s="623"/>
      <c r="BE7" s="463"/>
      <c r="BF7" s="623"/>
      <c r="BI7" s="382"/>
      <c r="BJ7" s="463"/>
      <c r="BK7" s="525"/>
      <c r="BL7" s="435"/>
      <c r="BM7" s="623"/>
      <c r="BN7" s="463"/>
      <c r="BO7" s="623"/>
      <c r="BP7" s="463"/>
      <c r="BQ7" s="623"/>
    </row>
    <row r="8" spans="1:69" ht="12.95" customHeight="1">
      <c r="A8" s="451" t="s">
        <v>4205</v>
      </c>
      <c r="B8" s="525">
        <v>173</v>
      </c>
      <c r="C8" s="623">
        <f>B8/B4*100</f>
        <v>11.426684280052839</v>
      </c>
      <c r="P8" s="585"/>
      <c r="Q8" s="585"/>
      <c r="V8" s="799"/>
      <c r="W8" s="799"/>
      <c r="X8" s="382" t="s">
        <v>2195</v>
      </c>
      <c r="Y8" s="435">
        <v>881</v>
      </c>
      <c r="Z8" s="463">
        <v>513</v>
      </c>
      <c r="AA8" s="874">
        <v>131</v>
      </c>
      <c r="AB8" s="855">
        <f t="shared" si="0"/>
        <v>25.536062378167639</v>
      </c>
      <c r="AC8" s="525">
        <v>197</v>
      </c>
      <c r="AD8" s="855">
        <f t="shared" si="1"/>
        <v>38.40155945419103</v>
      </c>
      <c r="AE8" s="525">
        <v>174</v>
      </c>
      <c r="AF8" s="855">
        <f t="shared" si="2"/>
        <v>33.918128654970758</v>
      </c>
      <c r="AG8" s="525"/>
      <c r="AH8" s="525"/>
      <c r="AI8" s="860"/>
      <c r="AJ8" s="382"/>
      <c r="AK8" s="435"/>
      <c r="AL8" s="463"/>
      <c r="AM8" s="525"/>
      <c r="AN8" s="855"/>
      <c r="AO8" s="525"/>
      <c r="AP8" s="623"/>
      <c r="AQ8" s="463"/>
      <c r="AR8" s="857"/>
      <c r="AT8" s="799"/>
      <c r="AU8" s="463"/>
      <c r="AV8" s="857"/>
      <c r="AX8" s="382"/>
      <c r="AY8" s="463"/>
      <c r="AZ8" s="525"/>
      <c r="BA8" s="463"/>
      <c r="BB8" s="623"/>
      <c r="BC8" s="435"/>
      <c r="BD8" s="623"/>
      <c r="BE8" s="463"/>
      <c r="BF8" s="623"/>
      <c r="BI8" s="382"/>
      <c r="BJ8" s="463"/>
      <c r="BK8" s="525"/>
      <c r="BL8" s="435"/>
      <c r="BM8" s="623"/>
      <c r="BN8" s="463"/>
      <c r="BO8" s="623"/>
      <c r="BP8" s="463"/>
      <c r="BQ8" s="623"/>
    </row>
    <row r="9" spans="1:69" ht="12.95" customHeight="1">
      <c r="A9" s="451" t="s">
        <v>4206</v>
      </c>
      <c r="B9" s="525">
        <v>120</v>
      </c>
      <c r="C9" s="623">
        <f>B9/B4*100</f>
        <v>7.9260237780713343</v>
      </c>
      <c r="F9" s="585" t="s">
        <v>2251</v>
      </c>
      <c r="J9" s="585" t="s">
        <v>2195</v>
      </c>
      <c r="O9" s="585" t="s">
        <v>2251</v>
      </c>
      <c r="P9" s="585"/>
      <c r="Q9" s="585"/>
      <c r="S9" s="585" t="s">
        <v>2195</v>
      </c>
      <c r="V9" s="799"/>
      <c r="W9" s="799"/>
      <c r="X9" s="382" t="s">
        <v>4042</v>
      </c>
      <c r="Y9" s="435">
        <v>2269</v>
      </c>
      <c r="Z9" s="463">
        <v>1283</v>
      </c>
      <c r="AA9" s="874">
        <v>445</v>
      </c>
      <c r="AB9" s="855">
        <f t="shared" si="0"/>
        <v>34.684333593141076</v>
      </c>
      <c r="AC9" s="525">
        <v>302</v>
      </c>
      <c r="AD9" s="855">
        <f t="shared" si="1"/>
        <v>23.538581449727204</v>
      </c>
      <c r="AE9" s="525">
        <v>304</v>
      </c>
      <c r="AF9" s="855">
        <f t="shared" si="2"/>
        <v>23.694466095089634</v>
      </c>
      <c r="AG9" s="525"/>
      <c r="AH9" s="525"/>
      <c r="AI9" s="860"/>
      <c r="AJ9" s="382"/>
      <c r="AK9" s="435"/>
      <c r="AL9" s="463"/>
      <c r="AM9" s="525"/>
      <c r="AN9" s="855"/>
      <c r="AO9" s="525"/>
      <c r="AP9" s="623"/>
      <c r="AQ9" s="463"/>
      <c r="AR9" s="857"/>
      <c r="AS9" s="463"/>
      <c r="AT9" s="799"/>
      <c r="AU9" s="463"/>
      <c r="AV9" s="857"/>
      <c r="AX9" s="382"/>
      <c r="AY9" s="463"/>
      <c r="AZ9" s="525"/>
      <c r="BA9" s="463"/>
      <c r="BB9" s="623"/>
      <c r="BC9" s="435"/>
      <c r="BD9" s="623"/>
      <c r="BE9" s="463"/>
      <c r="BF9" s="623"/>
      <c r="BI9" s="382"/>
      <c r="BJ9" s="463"/>
      <c r="BK9" s="525"/>
      <c r="BL9" s="435"/>
      <c r="BM9" s="623"/>
      <c r="BN9" s="463"/>
      <c r="BO9" s="623"/>
      <c r="BP9" s="463"/>
      <c r="BQ9" s="623"/>
    </row>
    <row r="10" spans="1:69" ht="12.95" customHeight="1">
      <c r="A10" s="498" t="s">
        <v>4207</v>
      </c>
      <c r="B10" s="633">
        <v>86</v>
      </c>
      <c r="C10" s="634">
        <f>B10/B4*100</f>
        <v>5.680317040951123</v>
      </c>
      <c r="F10" s="451" t="s">
        <v>4200</v>
      </c>
      <c r="J10" s="524" t="s">
        <v>4200</v>
      </c>
      <c r="O10" s="451" t="s">
        <v>4200</v>
      </c>
      <c r="P10" s="585"/>
      <c r="Q10" s="585"/>
      <c r="S10" s="524" t="s">
        <v>4200</v>
      </c>
      <c r="V10" s="382"/>
      <c r="W10" s="382"/>
      <c r="X10" s="382" t="s">
        <v>4208</v>
      </c>
      <c r="Y10" s="435">
        <v>1976</v>
      </c>
      <c r="Z10" s="463">
        <v>1226</v>
      </c>
      <c r="AA10" s="874">
        <v>433</v>
      </c>
      <c r="AB10" s="855">
        <f t="shared" si="0"/>
        <v>35.318107667210441</v>
      </c>
      <c r="AC10" s="525">
        <v>352</v>
      </c>
      <c r="AD10" s="855">
        <f t="shared" si="1"/>
        <v>28.711256117455136</v>
      </c>
      <c r="AE10" s="525">
        <v>341</v>
      </c>
      <c r="AF10" s="855">
        <f t="shared" si="2"/>
        <v>27.814029363784666</v>
      </c>
      <c r="AG10" s="525"/>
      <c r="AH10" s="525"/>
      <c r="AI10" s="860"/>
      <c r="AJ10" s="382"/>
      <c r="AK10" s="435"/>
      <c r="AL10" s="463"/>
      <c r="AM10" s="525"/>
      <c r="AN10" s="855"/>
      <c r="AO10" s="525"/>
      <c r="AP10" s="623"/>
      <c r="AQ10" s="463"/>
      <c r="AR10" s="857"/>
      <c r="AS10" s="463"/>
      <c r="AT10" s="799"/>
      <c r="AU10" s="463"/>
      <c r="AV10" s="857"/>
      <c r="AX10" s="382"/>
      <c r="AY10" s="463"/>
      <c r="AZ10" s="525"/>
      <c r="BA10" s="463"/>
      <c r="BB10" s="623"/>
      <c r="BC10" s="435"/>
      <c r="BD10" s="623"/>
      <c r="BE10" s="463"/>
      <c r="BF10" s="623"/>
      <c r="BI10" s="382"/>
      <c r="BJ10" s="463"/>
      <c r="BK10" s="525"/>
      <c r="BL10" s="435"/>
      <c r="BM10" s="623"/>
      <c r="BN10" s="463"/>
      <c r="BO10" s="623"/>
      <c r="BP10" s="463"/>
      <c r="BQ10" s="623"/>
    </row>
    <row r="11" spans="1:69" ht="12.95" customHeight="1">
      <c r="A11" s="382" t="s">
        <v>4069</v>
      </c>
      <c r="F11" s="612" t="s">
        <v>4209</v>
      </c>
      <c r="G11" s="585">
        <v>622</v>
      </c>
      <c r="H11" s="623">
        <f>G11/1117*100</f>
        <v>55.684870188003579</v>
      </c>
      <c r="J11" s="612" t="s">
        <v>4210</v>
      </c>
      <c r="K11" s="585">
        <v>481</v>
      </c>
      <c r="L11" s="623">
        <f>K11/513*100</f>
        <v>93.76218323586744</v>
      </c>
      <c r="O11" s="612" t="s">
        <v>4211</v>
      </c>
      <c r="P11" s="585">
        <v>587</v>
      </c>
      <c r="Q11" s="623">
        <v>52.1</v>
      </c>
      <c r="S11" s="612" t="s">
        <v>4210</v>
      </c>
      <c r="T11" s="585">
        <v>471</v>
      </c>
      <c r="U11" s="623">
        <v>88.5</v>
      </c>
      <c r="V11" s="799"/>
      <c r="W11" s="799"/>
      <c r="X11" s="382" t="s">
        <v>4212</v>
      </c>
      <c r="Y11" s="435">
        <v>519</v>
      </c>
      <c r="Z11" s="463">
        <v>337</v>
      </c>
      <c r="AA11" s="874">
        <v>98</v>
      </c>
      <c r="AB11" s="855">
        <f t="shared" si="0"/>
        <v>29.080118694362017</v>
      </c>
      <c r="AC11" s="525">
        <v>79</v>
      </c>
      <c r="AD11" s="855">
        <f t="shared" si="1"/>
        <v>23.442136498516319</v>
      </c>
      <c r="AE11" s="525">
        <v>82</v>
      </c>
      <c r="AF11" s="855">
        <f t="shared" si="2"/>
        <v>24.332344213649851</v>
      </c>
      <c r="AG11" s="525"/>
      <c r="AH11" s="525"/>
      <c r="AI11" s="860"/>
      <c r="AJ11" s="382"/>
      <c r="AK11" s="435"/>
      <c r="AL11" s="463"/>
      <c r="AM11" s="525"/>
      <c r="AN11" s="855"/>
      <c r="AO11" s="525"/>
      <c r="AP11" s="623"/>
      <c r="AQ11" s="463"/>
      <c r="AR11" s="857"/>
      <c r="AS11" s="463"/>
      <c r="AT11" s="799"/>
      <c r="AU11" s="463"/>
      <c r="AV11" s="857"/>
      <c r="AX11" s="382"/>
      <c r="AY11" s="463"/>
      <c r="AZ11" s="525"/>
      <c r="BA11" s="463"/>
      <c r="BB11" s="623"/>
      <c r="BC11" s="435"/>
      <c r="BD11" s="623"/>
      <c r="BE11" s="463"/>
      <c r="BF11" s="623"/>
      <c r="BI11" s="382"/>
      <c r="BJ11" s="463"/>
      <c r="BK11" s="525"/>
      <c r="BL11" s="435"/>
      <c r="BM11" s="623"/>
      <c r="BN11" s="463"/>
      <c r="BO11" s="623"/>
      <c r="BP11" s="463"/>
      <c r="BQ11" s="623"/>
    </row>
    <row r="12" spans="1:69" ht="12.95" customHeight="1">
      <c r="A12" s="382" t="s">
        <v>4076</v>
      </c>
      <c r="C12" s="623"/>
      <c r="F12" s="612" t="s">
        <v>4213</v>
      </c>
      <c r="G12" s="585">
        <v>477</v>
      </c>
      <c r="H12" s="623">
        <f>G12/1117*100</f>
        <v>42.703670546105634</v>
      </c>
      <c r="J12" s="612"/>
      <c r="L12" s="623"/>
      <c r="O12" s="612" t="s">
        <v>4214</v>
      </c>
      <c r="P12" s="585">
        <v>274</v>
      </c>
      <c r="Q12" s="623">
        <v>24.3</v>
      </c>
      <c r="S12" s="612" t="s">
        <v>4215</v>
      </c>
      <c r="T12" s="585">
        <v>48</v>
      </c>
      <c r="U12" s="623">
        <v>9</v>
      </c>
      <c r="V12" s="799"/>
      <c r="W12" s="799"/>
      <c r="X12" s="382" t="s">
        <v>2151</v>
      </c>
      <c r="Y12" s="435">
        <v>1079</v>
      </c>
      <c r="Z12" s="463">
        <v>632</v>
      </c>
      <c r="AA12" s="874">
        <v>231</v>
      </c>
      <c r="AB12" s="855">
        <f t="shared" si="0"/>
        <v>36.550632911392405</v>
      </c>
      <c r="AC12" s="525">
        <v>142</v>
      </c>
      <c r="AD12" s="855">
        <f t="shared" si="1"/>
        <v>22.468354430379748</v>
      </c>
      <c r="AE12" s="525">
        <v>132</v>
      </c>
      <c r="AF12" s="855">
        <f t="shared" si="2"/>
        <v>20.88607594936709</v>
      </c>
      <c r="AG12" s="525"/>
      <c r="AH12" s="525"/>
      <c r="AI12" s="860"/>
      <c r="AJ12" s="382"/>
      <c r="AK12" s="435"/>
      <c r="AL12" s="463"/>
      <c r="AM12" s="525"/>
      <c r="AN12" s="855"/>
      <c r="AO12" s="525"/>
      <c r="AP12" s="623"/>
      <c r="AQ12" s="463"/>
      <c r="AR12" s="857"/>
      <c r="AS12" s="463"/>
      <c r="AT12" s="799"/>
      <c r="AU12" s="463"/>
      <c r="AV12" s="857"/>
      <c r="AX12" s="382"/>
      <c r="AY12" s="463"/>
      <c r="AZ12" s="525"/>
      <c r="BA12" s="463"/>
      <c r="BB12" s="623"/>
      <c r="BC12" s="435"/>
      <c r="BD12" s="623"/>
      <c r="BE12" s="463"/>
      <c r="BF12" s="623"/>
      <c r="BI12" s="382"/>
      <c r="BJ12" s="463"/>
      <c r="BK12" s="525"/>
      <c r="BL12" s="435"/>
      <c r="BM12" s="623"/>
      <c r="BN12" s="463"/>
      <c r="BO12" s="623"/>
      <c r="BP12" s="463"/>
      <c r="BQ12" s="623"/>
    </row>
    <row r="13" spans="1:69" ht="12.95" customHeight="1">
      <c r="A13" s="382" t="s">
        <v>4078</v>
      </c>
      <c r="F13" s="612"/>
      <c r="H13" s="623"/>
      <c r="J13" s="382" t="s">
        <v>4045</v>
      </c>
      <c r="O13" s="612" t="s">
        <v>4216</v>
      </c>
      <c r="P13" s="585">
        <v>254</v>
      </c>
      <c r="Q13" s="623">
        <v>22.7</v>
      </c>
      <c r="V13" s="799"/>
      <c r="W13" s="799"/>
      <c r="X13" s="382" t="s">
        <v>4217</v>
      </c>
      <c r="Y13" s="435">
        <v>1632</v>
      </c>
      <c r="Z13" s="463">
        <v>926</v>
      </c>
      <c r="AA13" s="874">
        <v>327</v>
      </c>
      <c r="AB13" s="855">
        <f t="shared" si="0"/>
        <v>35.313174946004324</v>
      </c>
      <c r="AC13" s="525">
        <v>269</v>
      </c>
      <c r="AD13" s="855">
        <f t="shared" si="1"/>
        <v>29.049676025917925</v>
      </c>
      <c r="AE13" s="525">
        <v>228</v>
      </c>
      <c r="AF13" s="855">
        <f t="shared" si="2"/>
        <v>24.622030237580994</v>
      </c>
      <c r="AG13" s="525"/>
      <c r="AH13" s="525"/>
      <c r="AI13" s="860"/>
      <c r="AJ13" s="382"/>
      <c r="AK13" s="435"/>
      <c r="AL13" s="463"/>
      <c r="AM13" s="525"/>
      <c r="AN13" s="855"/>
      <c r="AO13" s="525"/>
      <c r="AP13" s="623"/>
      <c r="AQ13" s="463"/>
      <c r="AR13" s="857"/>
      <c r="AS13" s="463"/>
      <c r="AT13" s="799"/>
      <c r="AU13" s="463"/>
      <c r="AV13" s="857"/>
      <c r="AX13" s="382"/>
      <c r="AY13" s="463"/>
      <c r="AZ13" s="525"/>
      <c r="BA13" s="463"/>
      <c r="BB13" s="623"/>
      <c r="BC13" s="435"/>
      <c r="BD13" s="623"/>
      <c r="BE13" s="463"/>
      <c r="BF13" s="623"/>
      <c r="BI13" s="382"/>
      <c r="BJ13" s="463"/>
      <c r="BK13" s="525"/>
      <c r="BL13" s="435"/>
      <c r="BM13" s="623"/>
      <c r="BN13" s="463"/>
      <c r="BO13" s="623"/>
      <c r="BP13" s="463"/>
      <c r="BQ13" s="623"/>
    </row>
    <row r="14" spans="1:69" ht="12.95" customHeight="1">
      <c r="F14" s="382" t="s">
        <v>2252</v>
      </c>
      <c r="J14" s="524" t="s">
        <v>4200</v>
      </c>
      <c r="P14" s="585"/>
      <c r="Q14" s="585"/>
      <c r="S14" s="382" t="s">
        <v>4045</v>
      </c>
      <c r="V14" s="382"/>
      <c r="W14" s="382"/>
      <c r="X14" s="382" t="s">
        <v>4056</v>
      </c>
      <c r="Y14" s="435">
        <v>1815</v>
      </c>
      <c r="Z14" s="463">
        <v>964</v>
      </c>
      <c r="AA14" s="874">
        <v>297</v>
      </c>
      <c r="AB14" s="855">
        <f t="shared" si="0"/>
        <v>30.809128630705395</v>
      </c>
      <c r="AC14" s="525">
        <v>359</v>
      </c>
      <c r="AD14" s="855">
        <f t="shared" si="1"/>
        <v>37.240663900414937</v>
      </c>
      <c r="AE14" s="525">
        <v>305</v>
      </c>
      <c r="AF14" s="855">
        <f t="shared" si="2"/>
        <v>31.639004149377591</v>
      </c>
      <c r="AG14" s="525"/>
      <c r="AH14" s="525"/>
      <c r="AI14" s="860"/>
      <c r="AJ14" s="382"/>
      <c r="AK14" s="435"/>
      <c r="AL14" s="463"/>
      <c r="AM14" s="525"/>
      <c r="AN14" s="855"/>
      <c r="AO14" s="525"/>
      <c r="AP14" s="623"/>
      <c r="AQ14" s="463"/>
      <c r="AR14" s="857"/>
      <c r="AS14" s="463"/>
      <c r="AT14" s="799"/>
      <c r="AU14" s="463"/>
      <c r="AV14" s="857"/>
      <c r="AX14" s="382"/>
      <c r="AY14" s="463"/>
      <c r="AZ14" s="525"/>
      <c r="BA14" s="463"/>
      <c r="BB14" s="623"/>
      <c r="BC14" s="435"/>
      <c r="BD14" s="623"/>
      <c r="BE14" s="463"/>
      <c r="BF14" s="623"/>
      <c r="BI14" s="382"/>
      <c r="BJ14" s="463"/>
      <c r="BK14" s="525"/>
      <c r="BL14" s="435"/>
      <c r="BM14" s="623"/>
      <c r="BN14" s="463"/>
      <c r="BO14" s="623"/>
      <c r="BP14" s="463"/>
      <c r="BQ14" s="623"/>
    </row>
    <row r="15" spans="1:69" ht="12.95" customHeight="1">
      <c r="F15" s="451" t="s">
        <v>4200</v>
      </c>
      <c r="J15" s="612" t="s">
        <v>4218</v>
      </c>
      <c r="K15" s="525">
        <v>653</v>
      </c>
      <c r="L15" s="623">
        <f>K15/1226*100</f>
        <v>53.262642740619903</v>
      </c>
      <c r="O15" s="382" t="s">
        <v>2252</v>
      </c>
      <c r="P15" s="585"/>
      <c r="Q15" s="585"/>
      <c r="S15" s="524" t="s">
        <v>4200</v>
      </c>
      <c r="V15" s="382"/>
      <c r="W15" s="382"/>
      <c r="X15" s="382" t="s">
        <v>2209</v>
      </c>
      <c r="Y15" s="435">
        <v>3130</v>
      </c>
      <c r="Z15" s="463">
        <v>1808</v>
      </c>
      <c r="AA15" s="874">
        <v>559</v>
      </c>
      <c r="AB15" s="855">
        <f t="shared" si="0"/>
        <v>30.918141592920357</v>
      </c>
      <c r="AC15" s="525">
        <v>657</v>
      </c>
      <c r="AD15" s="855">
        <f t="shared" si="1"/>
        <v>36.338495575221245</v>
      </c>
      <c r="AE15" s="525">
        <v>529</v>
      </c>
      <c r="AF15" s="855">
        <f t="shared" si="2"/>
        <v>29.258849557522126</v>
      </c>
      <c r="AG15" s="525"/>
      <c r="AH15" s="525"/>
      <c r="AI15" s="860"/>
      <c r="AJ15" s="382"/>
      <c r="AK15" s="435"/>
      <c r="AL15" s="463"/>
      <c r="AM15" s="525"/>
      <c r="AN15" s="855"/>
      <c r="AO15" s="525"/>
      <c r="AP15" s="623"/>
      <c r="AQ15" s="463"/>
      <c r="AR15" s="857"/>
      <c r="AS15" s="463"/>
      <c r="AT15" s="799"/>
      <c r="AU15" s="463"/>
      <c r="AV15" s="857"/>
      <c r="AX15" s="382"/>
      <c r="AY15" s="463"/>
      <c r="AZ15" s="525"/>
      <c r="BA15" s="463"/>
      <c r="BB15" s="623"/>
      <c r="BC15" s="435"/>
      <c r="BD15" s="623"/>
      <c r="BE15" s="463"/>
      <c r="BF15" s="623"/>
      <c r="BI15" s="382"/>
      <c r="BJ15" s="463"/>
      <c r="BK15" s="525"/>
      <c r="BL15" s="435"/>
      <c r="BM15" s="623"/>
      <c r="BN15" s="463"/>
      <c r="BO15" s="623"/>
      <c r="BP15" s="463"/>
      <c r="BQ15" s="623"/>
    </row>
    <row r="16" spans="1:69" ht="12.95" customHeight="1">
      <c r="F16" s="612" t="s">
        <v>4219</v>
      </c>
      <c r="G16" s="585">
        <v>426</v>
      </c>
      <c r="H16" s="623">
        <f>G16/525*100</f>
        <v>81.142857142857139</v>
      </c>
      <c r="J16" s="612" t="s">
        <v>4220</v>
      </c>
      <c r="K16" s="525">
        <v>540</v>
      </c>
      <c r="L16" s="623">
        <f>K16/1226*100</f>
        <v>44.045676998368677</v>
      </c>
      <c r="O16" s="451" t="s">
        <v>4200</v>
      </c>
      <c r="P16" s="585"/>
      <c r="Q16" s="585"/>
      <c r="S16" s="612" t="s">
        <v>4221</v>
      </c>
      <c r="T16" s="525">
        <v>332</v>
      </c>
      <c r="U16" s="623">
        <v>29.8</v>
      </c>
      <c r="V16" s="799"/>
      <c r="W16" s="799"/>
      <c r="X16" s="382" t="s">
        <v>2352</v>
      </c>
      <c r="Y16" s="435">
        <v>2997</v>
      </c>
      <c r="Z16" s="463">
        <v>1762</v>
      </c>
      <c r="AA16" s="874">
        <v>539</v>
      </c>
      <c r="AB16" s="855">
        <f t="shared" si="0"/>
        <v>30.590238365493754</v>
      </c>
      <c r="AC16" s="525">
        <v>609</v>
      </c>
      <c r="AD16" s="855">
        <f t="shared" si="1"/>
        <v>34.56299659477866</v>
      </c>
      <c r="AE16" s="525">
        <v>593</v>
      </c>
      <c r="AF16" s="855">
        <f t="shared" si="2"/>
        <v>33.65493757094211</v>
      </c>
      <c r="AG16" s="525"/>
      <c r="AH16" s="525"/>
      <c r="AI16" s="860"/>
      <c r="AJ16" s="382"/>
      <c r="AK16" s="435"/>
      <c r="AL16" s="463"/>
      <c r="AM16" s="525"/>
      <c r="AN16" s="855"/>
      <c r="AO16" s="525"/>
      <c r="AP16" s="623"/>
      <c r="AQ16" s="463"/>
      <c r="AR16" s="857"/>
      <c r="AS16" s="463"/>
      <c r="AT16" s="799"/>
      <c r="AU16" s="463"/>
      <c r="AV16" s="857"/>
      <c r="AX16" s="382"/>
      <c r="AY16" s="463"/>
      <c r="AZ16" s="525"/>
      <c r="BA16" s="463"/>
      <c r="BB16" s="623"/>
      <c r="BC16" s="435"/>
      <c r="BD16" s="623"/>
      <c r="BE16" s="463"/>
      <c r="BF16" s="623"/>
      <c r="BI16" s="382"/>
      <c r="BJ16" s="463"/>
      <c r="BK16" s="525"/>
      <c r="BL16" s="435"/>
      <c r="BM16" s="623"/>
      <c r="BN16" s="463"/>
      <c r="BO16" s="623"/>
      <c r="BP16" s="463"/>
      <c r="BQ16" s="623"/>
    </row>
    <row r="17" spans="1:69" ht="12.95" customHeight="1">
      <c r="A17" s="382"/>
      <c r="L17" s="623"/>
      <c r="O17" s="612" t="s">
        <v>4222</v>
      </c>
      <c r="P17" s="585">
        <v>110</v>
      </c>
      <c r="Q17" s="585">
        <v>16.7</v>
      </c>
      <c r="S17" s="612" t="s">
        <v>4218</v>
      </c>
      <c r="T17" s="525">
        <v>753</v>
      </c>
      <c r="U17" s="623">
        <v>67.599999999999994</v>
      </c>
      <c r="V17" s="799"/>
      <c r="W17" s="799"/>
      <c r="X17" s="382" t="s">
        <v>2261</v>
      </c>
      <c r="Y17" s="435">
        <v>1696</v>
      </c>
      <c r="Z17" s="463">
        <v>1012</v>
      </c>
      <c r="AA17" s="874">
        <v>271</v>
      </c>
      <c r="AB17" s="855">
        <f t="shared" si="0"/>
        <v>26.778656126482215</v>
      </c>
      <c r="AC17" s="525">
        <v>474</v>
      </c>
      <c r="AD17" s="855">
        <f t="shared" si="1"/>
        <v>46.837944664031625</v>
      </c>
      <c r="AE17" s="525">
        <v>323</v>
      </c>
      <c r="AF17" s="855">
        <f t="shared" si="2"/>
        <v>31.916996047430828</v>
      </c>
      <c r="AG17" s="525"/>
      <c r="AH17" s="525"/>
      <c r="AI17" s="860"/>
      <c r="AJ17" s="382"/>
      <c r="AK17" s="435"/>
      <c r="AL17" s="463"/>
      <c r="AM17" s="525"/>
      <c r="AN17" s="855"/>
      <c r="AO17" s="525"/>
      <c r="AP17" s="623"/>
      <c r="AQ17" s="463"/>
      <c r="AR17" s="857"/>
      <c r="AS17" s="463"/>
      <c r="AT17" s="799"/>
      <c r="AU17" s="463"/>
      <c r="AV17" s="857"/>
      <c r="AX17" s="382"/>
      <c r="AY17" s="463"/>
      <c r="AZ17" s="525"/>
      <c r="BA17" s="463"/>
      <c r="BB17" s="623"/>
      <c r="BC17" s="435"/>
      <c r="BD17" s="623"/>
      <c r="BE17" s="463"/>
      <c r="BF17" s="623"/>
      <c r="BI17" s="382"/>
      <c r="BJ17" s="463"/>
      <c r="BK17" s="525"/>
      <c r="BL17" s="435"/>
      <c r="BM17" s="623"/>
      <c r="BN17" s="463"/>
      <c r="BO17" s="623"/>
      <c r="BP17" s="463"/>
      <c r="BQ17" s="623"/>
    </row>
    <row r="18" spans="1:69" ht="12.95" customHeight="1">
      <c r="B18" s="2154"/>
      <c r="C18" s="2154"/>
      <c r="F18" s="382" t="s">
        <v>4042</v>
      </c>
      <c r="J18" s="585" t="s">
        <v>2261</v>
      </c>
      <c r="O18" s="612" t="s">
        <v>4219</v>
      </c>
      <c r="P18" s="585">
        <v>295</v>
      </c>
      <c r="Q18" s="585">
        <v>44.9</v>
      </c>
      <c r="V18" s="799"/>
      <c r="W18" s="799"/>
      <c r="X18" s="382" t="s">
        <v>2251</v>
      </c>
      <c r="Y18" s="435">
        <v>1662</v>
      </c>
      <c r="Z18" s="463">
        <v>1117</v>
      </c>
      <c r="AA18" s="874">
        <v>276</v>
      </c>
      <c r="AB18" s="855">
        <f t="shared" si="0"/>
        <v>24.709042076991945</v>
      </c>
      <c r="AC18" s="525">
        <v>440</v>
      </c>
      <c r="AD18" s="855">
        <f t="shared" si="1"/>
        <v>39.391226499552374</v>
      </c>
      <c r="AE18" s="525">
        <v>501</v>
      </c>
      <c r="AF18" s="855">
        <f t="shared" si="2"/>
        <v>44.852282900626676</v>
      </c>
      <c r="AG18" s="525"/>
      <c r="AH18" s="525"/>
      <c r="AI18" s="860"/>
      <c r="AJ18" s="382"/>
      <c r="AK18" s="435"/>
      <c r="AL18" s="463"/>
      <c r="AM18" s="525"/>
      <c r="AN18" s="855"/>
      <c r="AO18" s="525"/>
      <c r="AP18" s="623"/>
      <c r="AQ18" s="463"/>
      <c r="AR18" s="857"/>
      <c r="AS18" s="463"/>
      <c r="AT18" s="799"/>
      <c r="AU18" s="463"/>
      <c r="AV18" s="857"/>
      <c r="AX18" s="382"/>
      <c r="AY18" s="463"/>
      <c r="AZ18" s="525"/>
      <c r="BA18" s="463"/>
      <c r="BB18" s="623"/>
      <c r="BC18" s="435"/>
      <c r="BD18" s="623"/>
      <c r="BE18" s="463"/>
      <c r="BF18" s="623"/>
      <c r="BI18" s="382"/>
      <c r="BJ18" s="463"/>
      <c r="BK18" s="525"/>
      <c r="BL18" s="435"/>
      <c r="BM18" s="623"/>
      <c r="BN18" s="463"/>
      <c r="BO18" s="623"/>
      <c r="BP18" s="463"/>
      <c r="BQ18" s="623"/>
    </row>
    <row r="19" spans="1:69" ht="12.95" customHeight="1">
      <c r="B19" s="599"/>
      <c r="C19" s="599"/>
      <c r="F19" s="451" t="s">
        <v>4200</v>
      </c>
      <c r="G19" s="525"/>
      <c r="J19" s="524" t="s">
        <v>4200</v>
      </c>
      <c r="O19" s="612" t="s">
        <v>4223</v>
      </c>
      <c r="P19" s="585">
        <v>240</v>
      </c>
      <c r="Q19" s="585">
        <v>36.5</v>
      </c>
      <c r="S19" s="585" t="s">
        <v>2261</v>
      </c>
      <c r="V19" s="799"/>
      <c r="W19" s="799"/>
      <c r="X19" s="382" t="s">
        <v>4067</v>
      </c>
      <c r="Y19" s="435">
        <v>2393</v>
      </c>
      <c r="Z19" s="463">
        <v>1175</v>
      </c>
      <c r="AA19" s="874">
        <v>388</v>
      </c>
      <c r="AB19" s="855">
        <f t="shared" si="0"/>
        <v>33.021276595744681</v>
      </c>
      <c r="AC19" s="525">
        <v>444</v>
      </c>
      <c r="AD19" s="855">
        <f t="shared" si="1"/>
        <v>37.787234042553195</v>
      </c>
      <c r="AE19" s="525">
        <v>380</v>
      </c>
      <c r="AF19" s="855">
        <f t="shared" si="2"/>
        <v>32.340425531914896</v>
      </c>
      <c r="AG19" s="525"/>
      <c r="AH19" s="525"/>
      <c r="AI19" s="860"/>
      <c r="AJ19" s="382"/>
      <c r="AK19" s="435"/>
      <c r="AL19" s="463"/>
      <c r="AM19" s="525"/>
      <c r="AN19" s="855"/>
      <c r="AO19" s="525"/>
      <c r="AP19" s="623"/>
      <c r="AQ19" s="463"/>
      <c r="AR19" s="857"/>
      <c r="AS19" s="463"/>
      <c r="AT19" s="799"/>
      <c r="AU19" s="463"/>
      <c r="AV19" s="857"/>
      <c r="AX19" s="382"/>
      <c r="AY19" s="463"/>
      <c r="AZ19" s="525"/>
      <c r="BA19" s="463"/>
      <c r="BB19" s="623"/>
      <c r="BC19" s="435"/>
      <c r="BD19" s="623"/>
      <c r="BE19" s="463"/>
      <c r="BF19" s="623"/>
      <c r="BI19" s="382"/>
      <c r="BJ19" s="463"/>
      <c r="BK19" s="525"/>
      <c r="BL19" s="435"/>
      <c r="BM19" s="623"/>
      <c r="BN19" s="463"/>
      <c r="BO19" s="623"/>
      <c r="BP19" s="463"/>
      <c r="BQ19" s="623"/>
    </row>
    <row r="20" spans="1:69" ht="12.95" customHeight="1">
      <c r="A20" s="508"/>
      <c r="B20" s="525"/>
      <c r="C20" s="623"/>
      <c r="F20" s="612" t="s">
        <v>4224</v>
      </c>
      <c r="G20" s="585">
        <v>301</v>
      </c>
      <c r="H20" s="623">
        <f>G20/1283*100</f>
        <v>23.460639127045983</v>
      </c>
      <c r="J20" s="612" t="s">
        <v>4225</v>
      </c>
      <c r="K20" s="525">
        <v>918</v>
      </c>
      <c r="L20" s="886">
        <f>K20/1012*100</f>
        <v>90.71146245059289</v>
      </c>
      <c r="P20" s="585"/>
      <c r="Q20" s="585"/>
      <c r="S20" s="524" t="s">
        <v>4200</v>
      </c>
      <c r="V20" s="382"/>
      <c r="W20" s="382"/>
      <c r="X20" s="382" t="s">
        <v>2253</v>
      </c>
      <c r="Y20" s="435">
        <v>4092</v>
      </c>
      <c r="Z20" s="463">
        <v>2173</v>
      </c>
      <c r="AA20" s="874">
        <v>675</v>
      </c>
      <c r="AB20" s="855">
        <f t="shared" si="0"/>
        <v>31.0630464795214</v>
      </c>
      <c r="AC20" s="525">
        <v>800</v>
      </c>
      <c r="AD20" s="855">
        <f t="shared" si="1"/>
        <v>36.815462494247583</v>
      </c>
      <c r="AE20" s="525">
        <v>656</v>
      </c>
      <c r="AF20" s="855">
        <f t="shared" si="2"/>
        <v>30.188679245283019</v>
      </c>
      <c r="AG20" s="525"/>
      <c r="AH20" s="525"/>
      <c r="AI20" s="860"/>
      <c r="AJ20" s="382"/>
      <c r="AK20" s="435"/>
      <c r="AL20" s="463"/>
      <c r="AM20" s="525"/>
      <c r="AN20" s="855"/>
      <c r="AO20" s="525"/>
      <c r="AP20" s="623"/>
      <c r="AQ20" s="463"/>
      <c r="AR20" s="857"/>
      <c r="AS20" s="463"/>
      <c r="AT20" s="799"/>
      <c r="AU20" s="463"/>
      <c r="AV20" s="857"/>
      <c r="AX20" s="382"/>
      <c r="AY20" s="463"/>
      <c r="AZ20" s="525"/>
      <c r="BA20" s="463"/>
      <c r="BB20" s="623"/>
      <c r="BC20" s="435"/>
      <c r="BD20" s="623"/>
      <c r="BE20" s="463"/>
      <c r="BF20" s="623"/>
      <c r="BI20" s="382"/>
      <c r="BJ20" s="463"/>
      <c r="BK20" s="525"/>
      <c r="BL20" s="435"/>
      <c r="BM20" s="623"/>
      <c r="BN20" s="463"/>
      <c r="BO20" s="623"/>
      <c r="BP20" s="463"/>
      <c r="BQ20" s="623"/>
    </row>
    <row r="21" spans="1:69" ht="12.95" customHeight="1">
      <c r="A21" s="524"/>
      <c r="B21" s="525"/>
      <c r="C21" s="623"/>
      <c r="F21" s="612" t="s">
        <v>4226</v>
      </c>
      <c r="G21" s="585">
        <v>941</v>
      </c>
      <c r="H21" s="623">
        <f>G21/1283*100</f>
        <v>73.343725643024158</v>
      </c>
      <c r="L21" s="623"/>
      <c r="O21" s="382" t="s">
        <v>4042</v>
      </c>
      <c r="P21" s="585"/>
      <c r="Q21" s="585"/>
      <c r="S21" s="612" t="s">
        <v>4225</v>
      </c>
      <c r="T21" s="525">
        <v>967</v>
      </c>
      <c r="U21" s="623">
        <v>89.6</v>
      </c>
      <c r="V21" s="799"/>
      <c r="W21" s="799"/>
      <c r="X21" s="382" t="s">
        <v>2185</v>
      </c>
      <c r="Y21" s="435">
        <v>5482</v>
      </c>
      <c r="Z21" s="463">
        <v>2607</v>
      </c>
      <c r="AA21" s="874">
        <v>793</v>
      </c>
      <c r="AB21" s="855">
        <f t="shared" si="0"/>
        <v>30.418105101649406</v>
      </c>
      <c r="AC21" s="525">
        <v>894</v>
      </c>
      <c r="AD21" s="855">
        <f t="shared" si="1"/>
        <v>34.29228998849252</v>
      </c>
      <c r="AE21" s="525">
        <v>748</v>
      </c>
      <c r="AF21" s="855">
        <f t="shared" si="2"/>
        <v>28.691983122362867</v>
      </c>
      <c r="AG21" s="525"/>
      <c r="AH21" s="525"/>
      <c r="AI21" s="860"/>
      <c r="AJ21" s="382"/>
      <c r="AK21" s="435"/>
      <c r="AL21" s="463"/>
      <c r="AM21" s="525"/>
      <c r="AN21" s="855"/>
      <c r="AO21" s="525"/>
      <c r="AP21" s="623"/>
      <c r="AQ21" s="463"/>
      <c r="AR21" s="857"/>
      <c r="AS21" s="463"/>
      <c r="AT21" s="799"/>
      <c r="AU21" s="463"/>
      <c r="AV21" s="857"/>
      <c r="AX21" s="382"/>
      <c r="AY21" s="463"/>
      <c r="AZ21" s="525"/>
      <c r="BA21" s="463"/>
      <c r="BB21" s="623"/>
      <c r="BC21" s="435"/>
      <c r="BD21" s="623"/>
      <c r="BE21" s="463"/>
      <c r="BF21" s="623"/>
      <c r="BI21" s="382"/>
      <c r="BJ21" s="463"/>
      <c r="BK21" s="525"/>
      <c r="BL21" s="435"/>
      <c r="BM21" s="623"/>
      <c r="BN21" s="463"/>
      <c r="BO21" s="623"/>
      <c r="BP21" s="463"/>
      <c r="BQ21" s="623"/>
    </row>
    <row r="22" spans="1:69" ht="12.95" customHeight="1">
      <c r="A22" s="451"/>
      <c r="B22" s="525"/>
      <c r="C22" s="623"/>
      <c r="J22" s="382" t="s">
        <v>4227</v>
      </c>
      <c r="L22" s="623"/>
      <c r="O22" s="451" t="s">
        <v>4200</v>
      </c>
      <c r="P22" s="525"/>
      <c r="Q22" s="585"/>
      <c r="U22" s="623"/>
      <c r="V22" s="799"/>
      <c r="W22" s="799"/>
      <c r="X22" s="382" t="s">
        <v>2202</v>
      </c>
      <c r="Y22" s="435">
        <v>5922</v>
      </c>
      <c r="Z22" s="463">
        <v>2351</v>
      </c>
      <c r="AA22" s="874">
        <v>713</v>
      </c>
      <c r="AB22" s="855">
        <f t="shared" si="0"/>
        <v>30.32752020416844</v>
      </c>
      <c r="AC22" s="525">
        <v>795</v>
      </c>
      <c r="AD22" s="855">
        <f t="shared" si="1"/>
        <v>33.815397703105063</v>
      </c>
      <c r="AE22" s="525">
        <v>780</v>
      </c>
      <c r="AF22" s="855">
        <f t="shared" si="2"/>
        <v>33.177371331348361</v>
      </c>
      <c r="AG22" s="525"/>
      <c r="AH22" s="525"/>
      <c r="AI22" s="860"/>
      <c r="AJ22" s="382"/>
      <c r="AK22" s="435"/>
      <c r="AL22" s="463"/>
      <c r="AM22" s="525"/>
      <c r="AN22" s="855"/>
      <c r="AO22" s="525"/>
      <c r="AP22" s="623"/>
      <c r="AQ22" s="463"/>
      <c r="AR22" s="857"/>
      <c r="AS22" s="463"/>
      <c r="AT22" s="799"/>
      <c r="AU22" s="463"/>
      <c r="AV22" s="857"/>
      <c r="AX22" s="382"/>
      <c r="AY22" s="463"/>
      <c r="AZ22" s="525"/>
      <c r="BA22" s="463"/>
      <c r="BB22" s="623"/>
      <c r="BC22" s="435"/>
      <c r="BD22" s="623"/>
      <c r="BE22" s="463"/>
      <c r="BF22" s="623"/>
      <c r="BI22" s="382"/>
      <c r="BJ22" s="463"/>
      <c r="BK22" s="525"/>
      <c r="BL22" s="435"/>
      <c r="BM22" s="623"/>
      <c r="BN22" s="463"/>
      <c r="BO22" s="623"/>
      <c r="BP22" s="463"/>
      <c r="BQ22" s="623"/>
    </row>
    <row r="23" spans="1:69" ht="12.95" customHeight="1">
      <c r="A23" s="451"/>
      <c r="B23" s="525"/>
      <c r="C23" s="623"/>
      <c r="F23" s="451" t="s">
        <v>4228</v>
      </c>
      <c r="G23" s="463"/>
      <c r="H23" s="382"/>
      <c r="J23" s="451" t="s">
        <v>4200</v>
      </c>
      <c r="O23" s="612" t="s">
        <v>4226</v>
      </c>
      <c r="P23" s="585">
        <v>812</v>
      </c>
      <c r="Q23" s="382">
        <v>60.8</v>
      </c>
      <c r="S23" s="524" t="s">
        <v>4228</v>
      </c>
      <c r="X23" s="382" t="s">
        <v>2177</v>
      </c>
      <c r="Y23" s="435">
        <v>15649</v>
      </c>
      <c r="Z23" s="463">
        <v>6237</v>
      </c>
      <c r="AA23" s="874">
        <v>2466</v>
      </c>
      <c r="AB23" s="855">
        <f t="shared" si="0"/>
        <v>39.538239538239537</v>
      </c>
      <c r="AC23" s="525">
        <v>1676</v>
      </c>
      <c r="AD23" s="855">
        <f t="shared" si="1"/>
        <v>26.871893538560204</v>
      </c>
      <c r="AE23" s="525">
        <v>1800</v>
      </c>
      <c r="AF23" s="855">
        <f t="shared" si="2"/>
        <v>28.860028860028859</v>
      </c>
      <c r="AG23" s="525"/>
      <c r="AH23" s="525"/>
      <c r="AI23" s="860"/>
      <c r="AJ23" s="382"/>
      <c r="AK23" s="435"/>
      <c r="AL23" s="463"/>
      <c r="AM23" s="525"/>
      <c r="AN23" s="855"/>
      <c r="AO23" s="525"/>
      <c r="AP23" s="623"/>
      <c r="AQ23" s="463"/>
      <c r="AR23" s="857"/>
      <c r="AS23" s="463"/>
      <c r="AT23" s="799"/>
      <c r="AU23" s="463"/>
      <c r="AV23" s="857"/>
      <c r="AX23" s="382"/>
      <c r="AY23" s="463"/>
      <c r="AZ23" s="525"/>
      <c r="BA23" s="463"/>
      <c r="BB23" s="623"/>
      <c r="BC23" s="435"/>
      <c r="BD23" s="623"/>
      <c r="BE23" s="463"/>
      <c r="BF23" s="623"/>
      <c r="BI23" s="382"/>
      <c r="BJ23" s="463"/>
      <c r="BK23" s="525"/>
      <c r="BL23" s="435"/>
      <c r="BM23" s="623"/>
      <c r="BN23" s="463"/>
      <c r="BO23" s="623"/>
      <c r="BP23" s="463"/>
      <c r="BQ23" s="623"/>
    </row>
    <row r="24" spans="1:69" ht="12.95" customHeight="1">
      <c r="A24" s="451"/>
      <c r="B24" s="525"/>
      <c r="C24" s="623"/>
      <c r="F24" s="612" t="s">
        <v>4229</v>
      </c>
      <c r="G24" s="585">
        <v>461</v>
      </c>
      <c r="H24" s="623">
        <f>G24/1283*100</f>
        <v>35.931410756040535</v>
      </c>
      <c r="I24" s="382"/>
      <c r="J24" s="612" t="s">
        <v>4230</v>
      </c>
      <c r="K24" s="382">
        <v>823</v>
      </c>
      <c r="L24" s="623">
        <f>K24/964*100</f>
        <v>85.373443983402481</v>
      </c>
      <c r="O24" s="612" t="s">
        <v>4231</v>
      </c>
      <c r="P24" s="585">
        <v>492</v>
      </c>
      <c r="Q24" s="585">
        <v>36.9</v>
      </c>
      <c r="R24" s="382"/>
      <c r="S24" s="612" t="s">
        <v>4232</v>
      </c>
      <c r="T24" s="525">
        <v>703</v>
      </c>
      <c r="U24" s="623">
        <v>65.2</v>
      </c>
      <c r="V24" s="799"/>
      <c r="W24" s="799"/>
      <c r="X24" s="381" t="s">
        <v>2208</v>
      </c>
      <c r="Y24" s="556">
        <v>7522</v>
      </c>
      <c r="Z24" s="497">
        <v>3385</v>
      </c>
      <c r="AA24" s="877">
        <v>1258</v>
      </c>
      <c r="AB24" s="867">
        <f t="shared" si="0"/>
        <v>37.163958641063516</v>
      </c>
      <c r="AC24" s="633">
        <v>896</v>
      </c>
      <c r="AD24" s="867">
        <f t="shared" si="1"/>
        <v>26.469719350073856</v>
      </c>
      <c r="AE24" s="633">
        <v>984</v>
      </c>
      <c r="AF24" s="867">
        <f t="shared" si="2"/>
        <v>29.069423929098964</v>
      </c>
      <c r="AG24" s="525"/>
      <c r="AH24" s="525"/>
      <c r="AI24" s="860"/>
      <c r="AJ24" s="382"/>
      <c r="AK24" s="435"/>
      <c r="AL24" s="463"/>
      <c r="AM24" s="525"/>
      <c r="AN24" s="855"/>
      <c r="AO24" s="525"/>
      <c r="AP24" s="623"/>
      <c r="AQ24" s="463"/>
      <c r="AR24" s="857"/>
      <c r="AT24" s="799"/>
      <c r="AV24" s="857"/>
      <c r="AX24" s="382"/>
      <c r="AY24" s="463"/>
      <c r="AZ24" s="525"/>
      <c r="BA24" s="463"/>
      <c r="BB24" s="623"/>
      <c r="BC24" s="435"/>
      <c r="BD24" s="623"/>
      <c r="BE24" s="463"/>
      <c r="BF24" s="623"/>
      <c r="BI24" s="382"/>
      <c r="BJ24" s="463"/>
      <c r="BK24" s="525"/>
      <c r="BL24" s="435"/>
      <c r="BM24" s="623"/>
      <c r="BN24" s="463"/>
      <c r="BO24" s="623"/>
      <c r="BQ24" s="623"/>
    </row>
    <row r="25" spans="1:69" ht="12.95" customHeight="1">
      <c r="A25" s="451"/>
      <c r="B25" s="525"/>
      <c r="C25" s="623"/>
      <c r="F25" s="612" t="s">
        <v>4233</v>
      </c>
      <c r="G25" s="585">
        <v>788</v>
      </c>
      <c r="H25" s="623">
        <f>G25/1283*100</f>
        <v>61.418550272798136</v>
      </c>
      <c r="I25" s="382"/>
      <c r="J25" s="612"/>
      <c r="K25" s="525"/>
      <c r="L25" s="623"/>
      <c r="M25" s="382"/>
      <c r="P25" s="585"/>
      <c r="Q25" s="585"/>
      <c r="R25" s="382"/>
      <c r="S25" s="612" t="s">
        <v>4234</v>
      </c>
      <c r="T25" s="525">
        <v>331</v>
      </c>
      <c r="U25" s="623">
        <v>30.7</v>
      </c>
      <c r="V25" s="799"/>
      <c r="W25" s="799"/>
      <c r="X25" s="382" t="s">
        <v>4069</v>
      </c>
      <c r="Z25" s="382"/>
      <c r="AJ25" s="382"/>
      <c r="AK25" s="382"/>
      <c r="AL25" s="382"/>
      <c r="AO25" s="585"/>
      <c r="AP25" s="585"/>
      <c r="AQ25" s="382"/>
      <c r="AR25" s="382"/>
      <c r="AX25" s="382"/>
      <c r="AY25" s="382"/>
      <c r="AZ25" s="382"/>
      <c r="BA25" s="382"/>
      <c r="BB25" s="414"/>
      <c r="BC25" s="382"/>
      <c r="BI25" s="382"/>
      <c r="BJ25" s="382"/>
      <c r="BK25" s="382"/>
      <c r="BL25" s="382"/>
      <c r="BM25" s="414"/>
      <c r="BN25" s="382"/>
    </row>
    <row r="26" spans="1:69" ht="12.95" customHeight="1">
      <c r="A26" s="382"/>
      <c r="C26" s="623"/>
      <c r="H26" s="799"/>
      <c r="I26" s="382"/>
      <c r="J26" s="382" t="s">
        <v>2202</v>
      </c>
      <c r="K26" s="382"/>
      <c r="L26" s="623"/>
      <c r="M26" s="382"/>
      <c r="O26" s="451" t="s">
        <v>4228</v>
      </c>
      <c r="P26" s="463"/>
      <c r="Q26" s="799"/>
      <c r="R26" s="382"/>
      <c r="U26" s="623"/>
      <c r="AJ26" s="382"/>
      <c r="AK26" s="382"/>
      <c r="AL26" s="382"/>
      <c r="AM26" s="382"/>
      <c r="AN26" s="382"/>
      <c r="AO26" s="414"/>
      <c r="AP26" s="414"/>
      <c r="AQ26" s="382"/>
      <c r="AR26" s="382"/>
      <c r="AX26" s="382"/>
      <c r="AY26" s="382"/>
      <c r="AZ26" s="382"/>
      <c r="BA26" s="382"/>
      <c r="BB26" s="414"/>
      <c r="BC26" s="382"/>
    </row>
    <row r="27" spans="1:69" ht="12.95" customHeight="1">
      <c r="A27" s="382"/>
      <c r="C27" s="623"/>
      <c r="F27" s="382" t="s">
        <v>2253</v>
      </c>
      <c r="G27" s="382"/>
      <c r="H27" s="799"/>
      <c r="I27" s="382"/>
      <c r="J27" s="451" t="s">
        <v>4200</v>
      </c>
      <c r="K27" s="382"/>
      <c r="M27" s="382"/>
      <c r="O27" s="612" t="s">
        <v>4233</v>
      </c>
      <c r="P27" s="585">
        <v>849</v>
      </c>
      <c r="Q27" s="799">
        <v>63.6</v>
      </c>
      <c r="R27" s="382"/>
      <c r="S27" s="382" t="s">
        <v>4227</v>
      </c>
      <c r="V27" s="799"/>
      <c r="W27" s="799"/>
      <c r="X27" s="799"/>
      <c r="Y27" s="799"/>
      <c r="Z27" s="799"/>
      <c r="AA27" s="799"/>
      <c r="AB27" s="799"/>
      <c r="AC27" s="799"/>
      <c r="AD27" s="799"/>
      <c r="AE27" s="799"/>
      <c r="AF27" s="799"/>
      <c r="AG27" s="799"/>
      <c r="AH27" s="799"/>
      <c r="AJ27" s="382"/>
      <c r="AK27" s="382"/>
      <c r="AL27" s="463"/>
      <c r="AM27" s="382"/>
      <c r="AN27" s="382"/>
      <c r="AO27" s="414"/>
      <c r="AP27" s="414"/>
      <c r="AQ27" s="382"/>
      <c r="AR27" s="382"/>
      <c r="AX27" s="382"/>
      <c r="AY27" s="382"/>
      <c r="AZ27" s="463"/>
      <c r="BA27" s="382"/>
      <c r="BB27" s="414"/>
      <c r="BC27" s="382"/>
    </row>
    <row r="28" spans="1:69" ht="12.75" customHeight="1">
      <c r="A28" s="382"/>
      <c r="C28" s="623"/>
      <c r="F28" s="451" t="s">
        <v>4200</v>
      </c>
      <c r="G28" s="463"/>
      <c r="I28" s="382"/>
      <c r="J28" s="612" t="s">
        <v>4235</v>
      </c>
      <c r="K28" s="463">
        <v>2001</v>
      </c>
      <c r="L28" s="623">
        <f>K28/2351*100</f>
        <v>85.112717992343676</v>
      </c>
      <c r="M28" s="382"/>
      <c r="O28" s="612" t="s">
        <v>4236</v>
      </c>
      <c r="P28" s="585">
        <v>451</v>
      </c>
      <c r="Q28" s="585">
        <v>33.799999999999997</v>
      </c>
      <c r="R28" s="382"/>
      <c r="S28" s="451" t="s">
        <v>4200</v>
      </c>
      <c r="V28" s="799"/>
      <c r="W28" s="799"/>
      <c r="X28" s="381" t="s">
        <v>4237</v>
      </c>
      <c r="Y28" s="883"/>
      <c r="Z28" s="883"/>
      <c r="AA28" s="586"/>
      <c r="AB28" s="586"/>
      <c r="AC28" s="586"/>
      <c r="AD28" s="586"/>
      <c r="AG28" s="799"/>
      <c r="AH28" s="799"/>
      <c r="AL28" s="525"/>
      <c r="BK28" s="525"/>
    </row>
    <row r="29" spans="1:69" ht="12.95" customHeight="1">
      <c r="C29" s="623"/>
      <c r="F29" s="612" t="s">
        <v>4238</v>
      </c>
      <c r="G29" s="463">
        <v>1980</v>
      </c>
      <c r="H29" s="799">
        <f>G29/2173*100</f>
        <v>91.118269673262773</v>
      </c>
      <c r="I29" s="382"/>
      <c r="L29" s="623"/>
      <c r="M29" s="382"/>
      <c r="O29" s="382"/>
      <c r="R29" s="382"/>
      <c r="S29" s="612" t="s">
        <v>4230</v>
      </c>
      <c r="T29" s="382">
        <v>575</v>
      </c>
      <c r="U29" s="799">
        <v>53.4</v>
      </c>
      <c r="V29" s="799"/>
      <c r="W29" s="799"/>
      <c r="Y29" s="604"/>
      <c r="Z29" s="604"/>
      <c r="AA29" s="2139" t="s">
        <v>4239</v>
      </c>
      <c r="AB29" s="2140"/>
      <c r="AC29" s="2137" t="s">
        <v>4240</v>
      </c>
      <c r="AD29" s="2138"/>
      <c r="AE29" s="2094"/>
      <c r="AF29" s="2094"/>
      <c r="AG29" s="799"/>
      <c r="AH29" s="799"/>
      <c r="AJ29" s="382"/>
      <c r="AK29" s="382"/>
      <c r="AL29" s="382"/>
      <c r="AM29" s="382"/>
      <c r="AN29" s="382"/>
      <c r="AO29" s="414"/>
      <c r="AP29" s="414"/>
      <c r="AQ29" s="382"/>
      <c r="AR29" s="382"/>
    </row>
    <row r="30" spans="1:69" ht="12.95" customHeight="1">
      <c r="C30" s="623"/>
      <c r="F30" s="382"/>
      <c r="H30" s="799"/>
      <c r="I30" s="382"/>
      <c r="J30" s="451" t="s">
        <v>4228</v>
      </c>
      <c r="K30" s="382"/>
      <c r="L30" s="623"/>
      <c r="M30" s="382"/>
      <c r="O30" s="382" t="s">
        <v>2253</v>
      </c>
      <c r="R30" s="382"/>
      <c r="S30" s="612" t="s">
        <v>4241</v>
      </c>
      <c r="T30" s="382">
        <v>301</v>
      </c>
      <c r="U30" s="799">
        <v>28</v>
      </c>
      <c r="V30" s="799"/>
      <c r="W30" s="799"/>
      <c r="X30" s="382" t="s">
        <v>3990</v>
      </c>
      <c r="Y30" s="667" t="s">
        <v>3991</v>
      </c>
      <c r="Z30" s="667" t="s">
        <v>129</v>
      </c>
      <c r="AA30" s="2141"/>
      <c r="AB30" s="2142"/>
      <c r="AC30" s="2132"/>
      <c r="AD30" s="2134"/>
      <c r="AE30" s="2094"/>
      <c r="AF30" s="2094"/>
      <c r="AG30" s="799"/>
      <c r="AH30" s="799"/>
      <c r="AJ30" s="382"/>
      <c r="AK30" s="847"/>
      <c r="AL30" s="847"/>
      <c r="AM30" s="2152"/>
      <c r="AN30" s="2152"/>
      <c r="AO30" s="2152"/>
      <c r="AP30" s="2152"/>
      <c r="AQ30" s="2152"/>
      <c r="AR30" s="2152"/>
      <c r="AS30" s="2153"/>
      <c r="AT30" s="2153"/>
      <c r="AU30" s="2153"/>
      <c r="AV30" s="2153"/>
      <c r="AX30" s="382"/>
      <c r="AY30" s="382"/>
      <c r="AZ30" s="382"/>
      <c r="BA30" s="382"/>
      <c r="BB30" s="414"/>
      <c r="BC30" s="382"/>
    </row>
    <row r="31" spans="1:69" ht="12.95" customHeight="1">
      <c r="C31" s="623"/>
      <c r="F31" s="451" t="s">
        <v>4228</v>
      </c>
      <c r="G31" s="525"/>
      <c r="H31" s="799"/>
      <c r="J31" s="612" t="s">
        <v>4242</v>
      </c>
      <c r="K31" s="525">
        <v>1754</v>
      </c>
      <c r="L31" s="623">
        <f>K31/2351*100</f>
        <v>74.606550404083379</v>
      </c>
      <c r="M31" s="382"/>
      <c r="O31" s="451" t="s">
        <v>4200</v>
      </c>
      <c r="P31" s="463"/>
      <c r="Q31" s="799"/>
      <c r="S31" s="612" t="s">
        <v>4243</v>
      </c>
      <c r="T31" s="382">
        <v>180</v>
      </c>
      <c r="U31" s="799">
        <v>16.7</v>
      </c>
      <c r="V31" s="799"/>
      <c r="W31" s="799"/>
      <c r="X31" s="381" t="s">
        <v>4020</v>
      </c>
      <c r="Y31" s="441" t="s">
        <v>4021</v>
      </c>
      <c r="Z31" s="441" t="s">
        <v>3972</v>
      </c>
      <c r="AA31" s="413" t="s">
        <v>1665</v>
      </c>
      <c r="AB31" s="413" t="s">
        <v>1666</v>
      </c>
      <c r="AC31" s="413" t="s">
        <v>1665</v>
      </c>
      <c r="AD31" s="413" t="s">
        <v>1666</v>
      </c>
      <c r="AE31" s="414"/>
      <c r="AF31" s="414"/>
      <c r="AG31" s="799"/>
      <c r="AH31" s="799"/>
      <c r="AJ31" s="382"/>
      <c r="AK31" s="847"/>
      <c r="AL31" s="847"/>
      <c r="AM31" s="2152"/>
      <c r="AN31" s="2152"/>
      <c r="AO31" s="2152"/>
      <c r="AP31" s="2152"/>
      <c r="AQ31" s="2152"/>
      <c r="AR31" s="2152"/>
      <c r="AS31" s="2153"/>
      <c r="AT31" s="2153"/>
      <c r="AU31" s="2153"/>
      <c r="AV31" s="2153"/>
      <c r="AX31" s="382"/>
      <c r="AY31" s="847"/>
      <c r="AZ31" s="847"/>
      <c r="BA31" s="2153"/>
      <c r="BB31" s="2153"/>
      <c r="BC31" s="2153"/>
      <c r="BD31" s="2153"/>
      <c r="BE31" s="2152"/>
      <c r="BF31" s="2152"/>
    </row>
    <row r="32" spans="1:69" ht="12.95" customHeight="1">
      <c r="F32" s="612" t="s">
        <v>4244</v>
      </c>
      <c r="G32" s="525">
        <v>1962</v>
      </c>
      <c r="H32" s="799">
        <f>G32/2173*100</f>
        <v>90.289921767142204</v>
      </c>
      <c r="J32" s="382"/>
      <c r="K32" s="382"/>
      <c r="L32" s="799"/>
      <c r="O32" s="612" t="s">
        <v>4238</v>
      </c>
      <c r="P32" s="382">
        <v>1728</v>
      </c>
      <c r="Q32" s="382">
        <v>90.3</v>
      </c>
      <c r="S32" s="382"/>
      <c r="T32" s="382"/>
      <c r="U32" s="799"/>
      <c r="V32" s="382"/>
      <c r="W32" s="382"/>
      <c r="X32" s="382" t="s">
        <v>3503</v>
      </c>
      <c r="Y32" s="435">
        <f>SUM(Y33:Y51)</f>
        <v>62098</v>
      </c>
      <c r="Z32" s="463">
        <f>SUM(Z33:Z51)</f>
        <v>30283</v>
      </c>
      <c r="AA32" s="525">
        <f>SUM(AA33:AA51)</f>
        <v>7045</v>
      </c>
      <c r="AB32" s="855">
        <f>AA32/Z32*100</f>
        <v>23.263877422976588</v>
      </c>
      <c r="AC32" s="525">
        <f>SUM(AC33:AC51)</f>
        <v>6259</v>
      </c>
      <c r="AD32" s="855">
        <f>AC32/Z32*100</f>
        <v>20.668361787141301</v>
      </c>
      <c r="AE32" s="525"/>
      <c r="AF32" s="855"/>
      <c r="AG32" s="382"/>
      <c r="AH32" s="382"/>
      <c r="AJ32" s="382"/>
      <c r="AK32" s="439"/>
      <c r="AL32" s="439"/>
      <c r="AM32" s="439"/>
      <c r="AN32" s="439"/>
      <c r="AO32" s="414"/>
      <c r="AP32" s="439"/>
      <c r="AQ32" s="439"/>
      <c r="AR32" s="439"/>
      <c r="AS32" s="439"/>
      <c r="AT32" s="439"/>
      <c r="AU32" s="439"/>
      <c r="AV32" s="439"/>
      <c r="AX32" s="382"/>
      <c r="AY32" s="847"/>
      <c r="AZ32" s="847"/>
      <c r="BA32" s="2153"/>
      <c r="BB32" s="2153"/>
      <c r="BC32" s="2153"/>
      <c r="BD32" s="2153"/>
      <c r="BE32" s="2152"/>
      <c r="BF32" s="2152"/>
    </row>
    <row r="33" spans="3:58" ht="12.95" customHeight="1">
      <c r="J33" s="382" t="s">
        <v>4245</v>
      </c>
      <c r="L33" s="382"/>
      <c r="O33" s="382"/>
      <c r="P33" s="585"/>
      <c r="Q33" s="585"/>
      <c r="S33" s="382" t="s">
        <v>2202</v>
      </c>
      <c r="T33" s="382"/>
      <c r="U33" s="382"/>
      <c r="V33" s="799"/>
      <c r="W33" s="799"/>
      <c r="X33" s="858" t="s">
        <v>2384</v>
      </c>
      <c r="Y33" s="859">
        <v>390</v>
      </c>
      <c r="Z33" s="463">
        <v>250</v>
      </c>
      <c r="AA33" s="873">
        <v>40</v>
      </c>
      <c r="AB33" s="855">
        <f t="shared" ref="AB33:AB51" si="3">AA33/Z33*100</f>
        <v>16</v>
      </c>
      <c r="AC33" s="525">
        <v>42</v>
      </c>
      <c r="AD33" s="855">
        <f t="shared" ref="AD33:AD51" si="4">AC33/Z33*100</f>
        <v>16.8</v>
      </c>
      <c r="AE33" s="525"/>
      <c r="AF33" s="855"/>
      <c r="AG33" s="799"/>
      <c r="AH33" s="799"/>
      <c r="AJ33" s="382"/>
      <c r="AK33" s="463"/>
      <c r="AL33" s="525"/>
      <c r="AM33" s="463"/>
      <c r="AN33" s="857"/>
      <c r="AO33" s="463"/>
      <c r="AP33" s="857"/>
      <c r="AQ33" s="463"/>
      <c r="AR33" s="857"/>
      <c r="AS33" s="463"/>
      <c r="AT33" s="799"/>
      <c r="AU33" s="463"/>
      <c r="AV33" s="857"/>
      <c r="AX33" s="382"/>
      <c r="AY33" s="439"/>
      <c r="AZ33" s="439"/>
      <c r="BA33" s="439"/>
      <c r="BB33" s="439"/>
      <c r="BC33" s="439"/>
      <c r="BD33" s="439"/>
      <c r="BE33" s="439"/>
      <c r="BF33" s="439"/>
    </row>
    <row r="34" spans="3:58" ht="12.95" customHeight="1">
      <c r="C34" s="884"/>
      <c r="F34" s="382" t="s">
        <v>4247</v>
      </c>
      <c r="H34" s="623"/>
      <c r="J34" s="451" t="s">
        <v>4200</v>
      </c>
      <c r="L34" s="382"/>
      <c r="O34" s="451" t="s">
        <v>4228</v>
      </c>
      <c r="P34" s="525"/>
      <c r="Q34" s="623"/>
      <c r="S34" s="451" t="s">
        <v>4200</v>
      </c>
      <c r="T34" s="382"/>
      <c r="U34" s="382"/>
      <c r="V34" s="799"/>
      <c r="W34" s="799"/>
      <c r="X34" s="382" t="s">
        <v>2252</v>
      </c>
      <c r="Y34" s="435">
        <v>992</v>
      </c>
      <c r="Z34" s="463">
        <v>525</v>
      </c>
      <c r="AA34" s="874">
        <v>102</v>
      </c>
      <c r="AB34" s="855">
        <f t="shared" si="3"/>
        <v>19.428571428571427</v>
      </c>
      <c r="AC34" s="525">
        <v>133</v>
      </c>
      <c r="AD34" s="855">
        <f t="shared" si="4"/>
        <v>25.333333333333336</v>
      </c>
      <c r="AE34" s="525"/>
      <c r="AF34" s="855"/>
      <c r="AG34" s="799"/>
      <c r="AH34" s="799"/>
      <c r="AJ34" s="858"/>
      <c r="AK34" s="463"/>
      <c r="AL34" s="525"/>
      <c r="AM34" s="463"/>
      <c r="AN34" s="857"/>
      <c r="AO34" s="435"/>
      <c r="AP34" s="857"/>
      <c r="AQ34" s="463"/>
      <c r="AR34" s="857"/>
      <c r="AT34" s="799"/>
      <c r="AV34" s="857"/>
      <c r="AX34" s="382"/>
      <c r="AY34" s="463"/>
      <c r="AZ34" s="525"/>
      <c r="BA34" s="463"/>
      <c r="BB34" s="857"/>
      <c r="BC34" s="463"/>
      <c r="BD34" s="799"/>
      <c r="BE34" s="463"/>
      <c r="BF34" s="623"/>
    </row>
    <row r="35" spans="3:58" ht="14.1" customHeight="1">
      <c r="F35" s="451" t="s">
        <v>4200</v>
      </c>
      <c r="J35" s="612" t="s">
        <v>4248</v>
      </c>
      <c r="K35" s="585">
        <v>91</v>
      </c>
      <c r="L35" s="799">
        <f>K35/337*100</f>
        <v>27.002967359050444</v>
      </c>
      <c r="O35" s="612" t="s">
        <v>4244</v>
      </c>
      <c r="P35" s="585">
        <v>1691</v>
      </c>
      <c r="Q35" s="585">
        <v>88.4</v>
      </c>
      <c r="S35" s="612" t="s">
        <v>4235</v>
      </c>
      <c r="T35" s="463">
        <v>1404</v>
      </c>
      <c r="U35" s="799">
        <v>60.5</v>
      </c>
      <c r="X35" s="382" t="s">
        <v>2195</v>
      </c>
      <c r="Y35" s="435">
        <v>881</v>
      </c>
      <c r="Z35" s="463">
        <v>513</v>
      </c>
      <c r="AA35" s="874">
        <v>89</v>
      </c>
      <c r="AB35" s="855">
        <f t="shared" si="3"/>
        <v>17.348927875243664</v>
      </c>
      <c r="AC35" s="525">
        <v>106</v>
      </c>
      <c r="AD35" s="855">
        <f t="shared" si="4"/>
        <v>20.662768031189081</v>
      </c>
      <c r="AE35" s="525"/>
      <c r="AF35" s="855"/>
      <c r="AJ35" s="382"/>
      <c r="AK35" s="463"/>
      <c r="AL35" s="525"/>
      <c r="AM35" s="463"/>
      <c r="AN35" s="857"/>
      <c r="AO35" s="435"/>
      <c r="AP35" s="857"/>
      <c r="AQ35" s="463"/>
      <c r="AR35" s="857"/>
      <c r="AT35" s="799"/>
      <c r="AV35" s="857"/>
      <c r="AX35" s="858"/>
      <c r="AY35" s="463"/>
      <c r="AZ35" s="525"/>
      <c r="BA35" s="463"/>
      <c r="BB35" s="857"/>
      <c r="BC35" s="463"/>
      <c r="BD35" s="799"/>
      <c r="BE35" s="463"/>
      <c r="BF35" s="623"/>
    </row>
    <row r="36" spans="3:58" ht="12.95" customHeight="1">
      <c r="F36" s="612" t="s">
        <v>4249</v>
      </c>
      <c r="G36" s="525">
        <v>1001</v>
      </c>
      <c r="H36" s="623">
        <f>G36/1762*100</f>
        <v>56.810442678774123</v>
      </c>
      <c r="J36" s="612" t="s">
        <v>4250</v>
      </c>
      <c r="K36" s="585">
        <v>239</v>
      </c>
      <c r="L36" s="799">
        <f>K36/337*100</f>
        <v>70.919881305637972</v>
      </c>
      <c r="P36" s="585"/>
      <c r="Q36" s="585"/>
      <c r="S36" s="612" t="s">
        <v>4251</v>
      </c>
      <c r="T36" s="463">
        <v>643</v>
      </c>
      <c r="U36" s="799">
        <v>27.7</v>
      </c>
      <c r="V36" s="799"/>
      <c r="W36" s="799"/>
      <c r="X36" s="382" t="s">
        <v>4042</v>
      </c>
      <c r="Y36" s="435">
        <v>2269</v>
      </c>
      <c r="Z36" s="463">
        <v>1283</v>
      </c>
      <c r="AA36" s="874">
        <v>264</v>
      </c>
      <c r="AB36" s="855">
        <f t="shared" si="3"/>
        <v>20.576773187840995</v>
      </c>
      <c r="AC36" s="525">
        <v>241</v>
      </c>
      <c r="AD36" s="855">
        <f t="shared" si="4"/>
        <v>18.784099766173032</v>
      </c>
      <c r="AE36" s="525"/>
      <c r="AF36" s="855"/>
      <c r="AG36" s="799"/>
      <c r="AH36" s="799"/>
      <c r="AJ36" s="382"/>
      <c r="AK36" s="463"/>
      <c r="AL36" s="525"/>
      <c r="AM36" s="463"/>
      <c r="AN36" s="857"/>
      <c r="AO36" s="435"/>
      <c r="AP36" s="857"/>
      <c r="AQ36" s="463"/>
      <c r="AR36" s="857"/>
      <c r="AT36" s="799"/>
      <c r="AU36" s="463"/>
      <c r="AV36" s="857"/>
      <c r="AX36" s="382"/>
      <c r="AY36" s="463"/>
      <c r="AZ36" s="525"/>
      <c r="BA36" s="463"/>
      <c r="BB36" s="857"/>
      <c r="BC36" s="463"/>
      <c r="BD36" s="799"/>
      <c r="BE36" s="463"/>
      <c r="BF36" s="623"/>
    </row>
    <row r="37" spans="3:58" ht="12.95" customHeight="1">
      <c r="F37" s="612" t="s">
        <v>4252</v>
      </c>
      <c r="G37" s="585">
        <v>705</v>
      </c>
      <c r="H37" s="623">
        <f>G37/1762*100</f>
        <v>40.011350737797954</v>
      </c>
      <c r="J37" s="382"/>
      <c r="K37" s="382"/>
      <c r="L37" s="799"/>
      <c r="O37" s="382" t="s">
        <v>4247</v>
      </c>
      <c r="P37" s="585"/>
      <c r="Q37" s="585"/>
      <c r="S37" s="382"/>
      <c r="T37" s="382"/>
      <c r="U37" s="799"/>
      <c r="V37" s="799"/>
      <c r="W37" s="799"/>
      <c r="X37" s="382" t="s">
        <v>4208</v>
      </c>
      <c r="Y37" s="435">
        <v>1976</v>
      </c>
      <c r="Z37" s="463">
        <v>1226</v>
      </c>
      <c r="AA37" s="874">
        <v>268</v>
      </c>
      <c r="AB37" s="855">
        <f t="shared" si="3"/>
        <v>21.859706362153343</v>
      </c>
      <c r="AC37" s="525">
        <v>261</v>
      </c>
      <c r="AD37" s="855">
        <f t="shared" si="4"/>
        <v>21.28874388254486</v>
      </c>
      <c r="AE37" s="525"/>
      <c r="AF37" s="855"/>
      <c r="AG37" s="799"/>
      <c r="AH37" s="799"/>
      <c r="AJ37" s="382"/>
      <c r="AK37" s="463"/>
      <c r="AL37" s="525"/>
      <c r="AM37" s="463"/>
      <c r="AN37" s="857"/>
      <c r="AO37" s="435"/>
      <c r="AP37" s="857"/>
      <c r="AQ37" s="463"/>
      <c r="AR37" s="857"/>
      <c r="AS37" s="463"/>
      <c r="AT37" s="799"/>
      <c r="AU37" s="463"/>
      <c r="AV37" s="857"/>
      <c r="AX37" s="382"/>
      <c r="AY37" s="463"/>
      <c r="AZ37" s="525"/>
      <c r="BA37" s="463"/>
      <c r="BB37" s="857"/>
      <c r="BC37" s="463"/>
      <c r="BD37" s="799"/>
      <c r="BE37" s="463"/>
      <c r="BF37" s="623"/>
    </row>
    <row r="38" spans="3:58" ht="12.95" customHeight="1">
      <c r="H38" s="623"/>
      <c r="J38" s="382" t="s">
        <v>2208</v>
      </c>
      <c r="L38" s="382"/>
      <c r="O38" s="451" t="s">
        <v>4200</v>
      </c>
      <c r="P38" s="585"/>
      <c r="Q38" s="623"/>
      <c r="S38" s="451" t="s">
        <v>4228</v>
      </c>
      <c r="T38" s="382"/>
      <c r="U38" s="382"/>
      <c r="X38" s="382" t="s">
        <v>4212</v>
      </c>
      <c r="Y38" s="435">
        <v>519</v>
      </c>
      <c r="Z38" s="463">
        <v>337</v>
      </c>
      <c r="AA38" s="874">
        <v>77</v>
      </c>
      <c r="AB38" s="855">
        <f t="shared" si="3"/>
        <v>22.848664688427299</v>
      </c>
      <c r="AC38" s="525">
        <v>41</v>
      </c>
      <c r="AD38" s="855">
        <f t="shared" si="4"/>
        <v>12.166172106824925</v>
      </c>
      <c r="AE38" s="525"/>
      <c r="AF38" s="855"/>
      <c r="AJ38" s="382"/>
      <c r="AK38" s="463"/>
      <c r="AL38" s="525"/>
      <c r="AM38" s="463"/>
      <c r="AN38" s="857"/>
      <c r="AO38" s="435"/>
      <c r="AP38" s="857"/>
      <c r="AQ38" s="463"/>
      <c r="AR38" s="857"/>
      <c r="AS38" s="463"/>
      <c r="AT38" s="799"/>
      <c r="AU38" s="463"/>
      <c r="AV38" s="857"/>
      <c r="AX38" s="382"/>
      <c r="AY38" s="463"/>
      <c r="AZ38" s="525"/>
      <c r="BA38" s="463"/>
      <c r="BB38" s="857"/>
      <c r="BC38" s="463"/>
      <c r="BD38" s="799"/>
      <c r="BE38" s="463"/>
      <c r="BF38" s="623"/>
    </row>
    <row r="39" spans="3:58" ht="12.95" customHeight="1">
      <c r="F39" s="585" t="s">
        <v>2177</v>
      </c>
      <c r="J39" s="451" t="s">
        <v>4200</v>
      </c>
      <c r="L39" s="623"/>
      <c r="O39" s="612" t="s">
        <v>4253</v>
      </c>
      <c r="P39" s="525">
        <v>1322</v>
      </c>
      <c r="Q39" s="585">
        <v>88.6</v>
      </c>
      <c r="S39" s="612" t="s">
        <v>4242</v>
      </c>
      <c r="T39" s="525">
        <v>922</v>
      </c>
      <c r="U39" s="623">
        <v>39.700000000000003</v>
      </c>
      <c r="V39" s="799"/>
      <c r="W39" s="799"/>
      <c r="X39" s="382" t="s">
        <v>2151</v>
      </c>
      <c r="Y39" s="435">
        <v>1079</v>
      </c>
      <c r="Z39" s="463">
        <v>632</v>
      </c>
      <c r="AA39" s="874">
        <v>145</v>
      </c>
      <c r="AB39" s="855">
        <f t="shared" si="3"/>
        <v>22.943037974683545</v>
      </c>
      <c r="AC39" s="525">
        <v>88</v>
      </c>
      <c r="AD39" s="855">
        <f t="shared" si="4"/>
        <v>13.924050632911392</v>
      </c>
      <c r="AE39" s="525"/>
      <c r="AF39" s="855"/>
      <c r="AG39" s="799"/>
      <c r="AH39" s="799"/>
      <c r="AJ39" s="382"/>
      <c r="AK39" s="463"/>
      <c r="AL39" s="525"/>
      <c r="AM39" s="463"/>
      <c r="AN39" s="857"/>
      <c r="AO39" s="435"/>
      <c r="AP39" s="857"/>
      <c r="AQ39" s="463"/>
      <c r="AR39" s="857"/>
      <c r="AS39" s="463"/>
      <c r="AT39" s="799"/>
      <c r="AU39" s="463"/>
      <c r="AV39" s="857"/>
      <c r="AX39" s="382"/>
      <c r="AY39" s="463"/>
      <c r="AZ39" s="525"/>
      <c r="BA39" s="463"/>
      <c r="BB39" s="857"/>
      <c r="BC39" s="463"/>
      <c r="BD39" s="799"/>
      <c r="BE39" s="463"/>
      <c r="BF39" s="623"/>
    </row>
    <row r="40" spans="3:58" ht="12.95" customHeight="1">
      <c r="F40" s="524" t="s">
        <v>4200</v>
      </c>
      <c r="G40" s="525"/>
      <c r="J40" s="612" t="s">
        <v>4254</v>
      </c>
      <c r="K40" s="525">
        <v>1962</v>
      </c>
      <c r="L40" s="623">
        <f>K40/3385*100</f>
        <v>57.9615952732644</v>
      </c>
      <c r="P40" s="585"/>
      <c r="Q40" s="585"/>
      <c r="S40" s="612" t="s">
        <v>4255</v>
      </c>
      <c r="T40" s="525">
        <v>779</v>
      </c>
      <c r="U40" s="623">
        <v>33.6</v>
      </c>
      <c r="V40" s="799"/>
      <c r="W40" s="799"/>
      <c r="X40" s="382" t="s">
        <v>4217</v>
      </c>
      <c r="Y40" s="435">
        <v>1632</v>
      </c>
      <c r="Z40" s="463">
        <v>926</v>
      </c>
      <c r="AA40" s="874">
        <v>191</v>
      </c>
      <c r="AB40" s="855">
        <f t="shared" si="3"/>
        <v>20.626349892008637</v>
      </c>
      <c r="AC40" s="525">
        <v>148</v>
      </c>
      <c r="AD40" s="855">
        <f t="shared" si="4"/>
        <v>15.982721382289416</v>
      </c>
      <c r="AE40" s="525"/>
      <c r="AF40" s="855"/>
      <c r="AG40" s="799"/>
      <c r="AH40" s="799"/>
      <c r="AJ40" s="382"/>
      <c r="AK40" s="463"/>
      <c r="AL40" s="525"/>
      <c r="AM40" s="463"/>
      <c r="AN40" s="857"/>
      <c r="AO40" s="435"/>
      <c r="AP40" s="857"/>
      <c r="AQ40" s="463"/>
      <c r="AR40" s="857"/>
      <c r="AS40" s="463"/>
      <c r="AT40" s="799"/>
      <c r="AU40" s="463"/>
      <c r="AV40" s="857"/>
      <c r="AX40" s="382"/>
      <c r="AY40" s="463"/>
      <c r="AZ40" s="525"/>
      <c r="BA40" s="463"/>
      <c r="BB40" s="857"/>
      <c r="BC40" s="463"/>
      <c r="BD40" s="799"/>
      <c r="BE40" s="463"/>
      <c r="BF40" s="623"/>
    </row>
    <row r="41" spans="3:58" ht="12.95" customHeight="1">
      <c r="F41" s="612" t="s">
        <v>4256</v>
      </c>
      <c r="G41" s="525">
        <v>4066</v>
      </c>
      <c r="H41" s="623">
        <f>G41/6237*100</f>
        <v>65.191598524931862</v>
      </c>
      <c r="J41" s="612" t="s">
        <v>4257</v>
      </c>
      <c r="K41" s="525">
        <v>1238</v>
      </c>
      <c r="L41" s="623">
        <f>K41/3385*100</f>
        <v>36.57311669128508</v>
      </c>
      <c r="O41" s="585" t="s">
        <v>2177</v>
      </c>
      <c r="P41" s="585"/>
      <c r="Q41" s="585"/>
      <c r="U41" s="623"/>
      <c r="V41" s="799"/>
      <c r="W41" s="799"/>
      <c r="X41" s="382" t="s">
        <v>4056</v>
      </c>
      <c r="Y41" s="435">
        <v>1815</v>
      </c>
      <c r="Z41" s="463">
        <v>964</v>
      </c>
      <c r="AA41" s="874">
        <v>187</v>
      </c>
      <c r="AB41" s="855">
        <f t="shared" si="3"/>
        <v>19.398340248962658</v>
      </c>
      <c r="AC41" s="525">
        <v>219</v>
      </c>
      <c r="AD41" s="855">
        <f t="shared" si="4"/>
        <v>22.717842323651453</v>
      </c>
      <c r="AE41" s="525"/>
      <c r="AF41" s="855"/>
      <c r="AG41" s="799"/>
      <c r="AH41" s="799"/>
      <c r="AJ41" s="382"/>
      <c r="AK41" s="463"/>
      <c r="AL41" s="525"/>
      <c r="AM41" s="463"/>
      <c r="AN41" s="857"/>
      <c r="AO41" s="435"/>
      <c r="AP41" s="857"/>
      <c r="AQ41" s="463"/>
      <c r="AR41" s="857"/>
      <c r="AS41" s="463"/>
      <c r="AT41" s="799"/>
      <c r="AU41" s="463"/>
      <c r="AV41" s="857"/>
      <c r="AX41" s="382"/>
      <c r="AY41" s="463"/>
      <c r="AZ41" s="525"/>
      <c r="BA41" s="463"/>
      <c r="BB41" s="857"/>
      <c r="BC41" s="463"/>
      <c r="BD41" s="799"/>
      <c r="BE41" s="463"/>
      <c r="BF41" s="623"/>
    </row>
    <row r="42" spans="3:58" ht="12.95" customHeight="1">
      <c r="F42" s="612" t="s">
        <v>4258</v>
      </c>
      <c r="G42" s="525">
        <v>1857</v>
      </c>
      <c r="H42" s="623">
        <f>G42/6237*100</f>
        <v>29.773929773929776</v>
      </c>
      <c r="L42" s="623"/>
      <c r="O42" s="524" t="s">
        <v>4200</v>
      </c>
      <c r="P42" s="525"/>
      <c r="Q42" s="623"/>
      <c r="S42" s="382" t="s">
        <v>4245</v>
      </c>
      <c r="V42" s="799"/>
      <c r="W42" s="799"/>
      <c r="X42" s="382" t="s">
        <v>2209</v>
      </c>
      <c r="Y42" s="435">
        <v>3130</v>
      </c>
      <c r="Z42" s="463">
        <v>1808</v>
      </c>
      <c r="AA42" s="874">
        <v>385</v>
      </c>
      <c r="AB42" s="855">
        <f t="shared" si="3"/>
        <v>21.294247787610622</v>
      </c>
      <c r="AC42" s="525">
        <v>376</v>
      </c>
      <c r="AD42" s="855">
        <f t="shared" si="4"/>
        <v>20.79646017699115</v>
      </c>
      <c r="AE42" s="525"/>
      <c r="AF42" s="855"/>
      <c r="AG42" s="799"/>
      <c r="AH42" s="799"/>
      <c r="AJ42" s="382"/>
      <c r="AK42" s="463"/>
      <c r="AL42" s="525"/>
      <c r="AM42" s="463"/>
      <c r="AN42" s="857"/>
      <c r="AO42" s="435"/>
      <c r="AP42" s="857"/>
      <c r="AQ42" s="463"/>
      <c r="AR42" s="857"/>
      <c r="AS42" s="463"/>
      <c r="AT42" s="799"/>
      <c r="AU42" s="463"/>
      <c r="AV42" s="857"/>
      <c r="AX42" s="382"/>
      <c r="AY42" s="463"/>
      <c r="AZ42" s="525"/>
      <c r="BA42" s="463"/>
      <c r="BB42" s="857"/>
      <c r="BC42" s="463"/>
      <c r="BD42" s="799"/>
      <c r="BE42" s="463"/>
      <c r="BF42" s="623"/>
    </row>
    <row r="43" spans="3:58" ht="12.95" customHeight="1">
      <c r="D43" s="884"/>
      <c r="E43" s="884"/>
      <c r="F43" s="615"/>
      <c r="H43" s="623"/>
      <c r="J43" s="451" t="s">
        <v>4228</v>
      </c>
      <c r="L43" s="623"/>
      <c r="O43" s="615" t="s">
        <v>4259</v>
      </c>
      <c r="P43" s="525">
        <v>2200</v>
      </c>
      <c r="Q43" s="623">
        <v>40.200000000000003</v>
      </c>
      <c r="S43" s="451" t="s">
        <v>4200</v>
      </c>
      <c r="V43" s="382"/>
      <c r="W43" s="382"/>
      <c r="X43" s="382" t="s">
        <v>2352</v>
      </c>
      <c r="Y43" s="435">
        <v>2997</v>
      </c>
      <c r="Z43" s="463">
        <v>1762</v>
      </c>
      <c r="AA43" s="874">
        <v>421</v>
      </c>
      <c r="AB43" s="855">
        <f t="shared" si="3"/>
        <v>23.893303064699207</v>
      </c>
      <c r="AC43" s="525">
        <v>357</v>
      </c>
      <c r="AD43" s="855">
        <f t="shared" si="4"/>
        <v>20.26106696935301</v>
      </c>
      <c r="AE43" s="525"/>
      <c r="AF43" s="855"/>
      <c r="AG43" s="382"/>
      <c r="AH43" s="382"/>
      <c r="AJ43" s="382"/>
      <c r="AK43" s="463"/>
      <c r="AL43" s="525"/>
      <c r="AM43" s="463"/>
      <c r="AN43" s="857"/>
      <c r="AO43" s="435"/>
      <c r="AP43" s="857"/>
      <c r="AQ43" s="463"/>
      <c r="AR43" s="857"/>
      <c r="AS43" s="463"/>
      <c r="AT43" s="799"/>
      <c r="AU43" s="463"/>
      <c r="AV43" s="857"/>
      <c r="AX43" s="382"/>
      <c r="AY43" s="463"/>
      <c r="AZ43" s="525"/>
      <c r="BA43" s="463"/>
      <c r="BB43" s="857"/>
      <c r="BC43" s="463"/>
      <c r="BD43" s="799"/>
      <c r="BE43" s="463"/>
      <c r="BF43" s="623"/>
    </row>
    <row r="44" spans="3:58" ht="12.95" customHeight="1">
      <c r="F44" s="887" t="s">
        <v>4228</v>
      </c>
      <c r="G44" s="525"/>
      <c r="H44" s="623"/>
      <c r="J44" s="612" t="s">
        <v>4260</v>
      </c>
      <c r="K44" s="525">
        <v>2057</v>
      </c>
      <c r="L44" s="623">
        <f>K44/3385*100</f>
        <v>60.76809453471197</v>
      </c>
      <c r="O44" s="615" t="s">
        <v>4261</v>
      </c>
      <c r="P44" s="525">
        <v>3023</v>
      </c>
      <c r="Q44" s="623">
        <v>55.2</v>
      </c>
      <c r="S44" s="612" t="s">
        <v>4250</v>
      </c>
      <c r="T44" s="585">
        <v>258</v>
      </c>
      <c r="U44" s="623">
        <v>56.6</v>
      </c>
      <c r="V44" s="382"/>
      <c r="W44" s="382"/>
      <c r="X44" s="382" t="s">
        <v>2261</v>
      </c>
      <c r="Y44" s="435">
        <v>1696</v>
      </c>
      <c r="Z44" s="463">
        <v>1012</v>
      </c>
      <c r="AA44" s="874">
        <v>214</v>
      </c>
      <c r="AB44" s="855">
        <f t="shared" si="3"/>
        <v>21.146245059288539</v>
      </c>
      <c r="AC44" s="525">
        <v>173</v>
      </c>
      <c r="AD44" s="855">
        <f t="shared" si="4"/>
        <v>17.094861660079054</v>
      </c>
      <c r="AE44" s="525"/>
      <c r="AF44" s="855"/>
      <c r="AG44" s="382"/>
      <c r="AH44" s="382"/>
      <c r="AJ44" s="382"/>
      <c r="AK44" s="463"/>
      <c r="AL44" s="525"/>
      <c r="AM44" s="463"/>
      <c r="AN44" s="857"/>
      <c r="AO44" s="435"/>
      <c r="AP44" s="857"/>
      <c r="AQ44" s="463"/>
      <c r="AR44" s="857"/>
      <c r="AS44" s="463"/>
      <c r="AT44" s="799"/>
      <c r="AU44" s="463"/>
      <c r="AV44" s="857"/>
      <c r="AX44" s="382"/>
      <c r="AY44" s="463"/>
      <c r="AZ44" s="525"/>
      <c r="BA44" s="463"/>
      <c r="BB44" s="857"/>
      <c r="BC44" s="463"/>
      <c r="BD44" s="799"/>
      <c r="BE44" s="463"/>
      <c r="BF44" s="623"/>
    </row>
    <row r="45" spans="3:58" ht="12.95" customHeight="1">
      <c r="F45" s="612" t="s">
        <v>4262</v>
      </c>
      <c r="G45" s="525">
        <v>3635</v>
      </c>
      <c r="H45" s="623">
        <f>G45/6237*100</f>
        <v>58.281224947891616</v>
      </c>
      <c r="L45" s="623"/>
      <c r="O45" s="615"/>
      <c r="P45" s="585"/>
      <c r="Q45" s="585"/>
      <c r="S45" s="612" t="s">
        <v>4248</v>
      </c>
      <c r="T45" s="585">
        <v>128</v>
      </c>
      <c r="U45" s="623">
        <v>28.1</v>
      </c>
      <c r="V45" s="799"/>
      <c r="W45" s="799"/>
      <c r="X45" s="382" t="s">
        <v>2251</v>
      </c>
      <c r="Y45" s="435">
        <v>1662</v>
      </c>
      <c r="Z45" s="463">
        <v>1117</v>
      </c>
      <c r="AA45" s="874">
        <v>220</v>
      </c>
      <c r="AB45" s="855">
        <f t="shared" si="3"/>
        <v>19.695613249776187</v>
      </c>
      <c r="AC45" s="525">
        <v>193</v>
      </c>
      <c r="AD45" s="855">
        <f t="shared" si="4"/>
        <v>17.278424350940018</v>
      </c>
      <c r="AE45" s="525"/>
      <c r="AF45" s="855"/>
      <c r="AG45" s="799"/>
      <c r="AH45" s="799"/>
      <c r="AJ45" s="382"/>
      <c r="AK45" s="463"/>
      <c r="AL45" s="525"/>
      <c r="AM45" s="463"/>
      <c r="AN45" s="857"/>
      <c r="AO45" s="435"/>
      <c r="AP45" s="857"/>
      <c r="AQ45" s="463"/>
      <c r="AR45" s="857"/>
      <c r="AS45" s="463"/>
      <c r="AT45" s="799"/>
      <c r="AU45" s="463"/>
      <c r="AV45" s="857"/>
      <c r="AX45" s="382"/>
      <c r="AY45" s="463"/>
      <c r="AZ45" s="525"/>
      <c r="BA45" s="463"/>
      <c r="BB45" s="857"/>
      <c r="BC45" s="463"/>
      <c r="BD45" s="799"/>
      <c r="BE45" s="463"/>
      <c r="BF45" s="623"/>
    </row>
    <row r="46" spans="3:58" ht="12.95" customHeight="1">
      <c r="F46" s="612" t="s">
        <v>4263</v>
      </c>
      <c r="G46" s="525">
        <v>1565</v>
      </c>
      <c r="H46" s="623">
        <f>G46/6237*100</f>
        <v>25.092191758858423</v>
      </c>
      <c r="J46" s="382" t="s">
        <v>2209</v>
      </c>
      <c r="L46" s="623"/>
      <c r="O46" s="887" t="s">
        <v>4228</v>
      </c>
      <c r="P46" s="525"/>
      <c r="Q46" s="623"/>
      <c r="S46" s="612" t="s">
        <v>4264</v>
      </c>
      <c r="T46" s="585">
        <v>63</v>
      </c>
      <c r="U46" s="623">
        <v>13.8</v>
      </c>
      <c r="V46" s="799"/>
      <c r="W46" s="799"/>
      <c r="X46" s="382" t="s">
        <v>4067</v>
      </c>
      <c r="Y46" s="435">
        <v>2393</v>
      </c>
      <c r="Z46" s="463">
        <v>1175</v>
      </c>
      <c r="AA46" s="874">
        <v>262</v>
      </c>
      <c r="AB46" s="855">
        <f t="shared" si="3"/>
        <v>22.297872340425531</v>
      </c>
      <c r="AC46" s="525">
        <v>259</v>
      </c>
      <c r="AD46" s="855">
        <f t="shared" si="4"/>
        <v>22.042553191489361</v>
      </c>
      <c r="AE46" s="525"/>
      <c r="AF46" s="855"/>
      <c r="AG46" s="799"/>
      <c r="AH46" s="799"/>
      <c r="AJ46" s="382"/>
      <c r="AK46" s="463"/>
      <c r="AL46" s="525"/>
      <c r="AM46" s="463"/>
      <c r="AN46" s="857"/>
      <c r="AO46" s="435"/>
      <c r="AP46" s="857"/>
      <c r="AQ46" s="463"/>
      <c r="AR46" s="857"/>
      <c r="AS46" s="463"/>
      <c r="AT46" s="799"/>
      <c r="AU46" s="463"/>
      <c r="AV46" s="857"/>
      <c r="AX46" s="382"/>
      <c r="AY46" s="463"/>
      <c r="AZ46" s="525"/>
      <c r="BA46" s="463"/>
      <c r="BB46" s="857"/>
      <c r="BC46" s="463"/>
      <c r="BD46" s="799"/>
      <c r="BE46" s="463"/>
      <c r="BF46" s="623"/>
    </row>
    <row r="47" spans="3:58" ht="12.95" customHeight="1">
      <c r="H47" s="623"/>
      <c r="J47" s="888" t="s">
        <v>4200</v>
      </c>
      <c r="L47" s="623"/>
      <c r="O47" s="612" t="s">
        <v>4265</v>
      </c>
      <c r="P47" s="525">
        <v>1659</v>
      </c>
      <c r="Q47" s="623">
        <v>30.3</v>
      </c>
      <c r="U47" s="623"/>
      <c r="X47" s="382" t="s">
        <v>2253</v>
      </c>
      <c r="Y47" s="435">
        <v>4092</v>
      </c>
      <c r="Z47" s="463">
        <v>2173</v>
      </c>
      <c r="AA47" s="874">
        <v>511</v>
      </c>
      <c r="AB47" s="855">
        <f t="shared" si="3"/>
        <v>23.515876668200644</v>
      </c>
      <c r="AC47" s="525">
        <v>487</v>
      </c>
      <c r="AD47" s="855">
        <f t="shared" si="4"/>
        <v>22.411412793373216</v>
      </c>
      <c r="AE47" s="525"/>
      <c r="AF47" s="855"/>
      <c r="AJ47" s="382"/>
      <c r="AK47" s="463"/>
      <c r="AL47" s="525"/>
      <c r="AM47" s="463"/>
      <c r="AN47" s="857"/>
      <c r="AO47" s="435"/>
      <c r="AP47" s="857"/>
      <c r="AQ47" s="463"/>
      <c r="AR47" s="857"/>
      <c r="AS47" s="463"/>
      <c r="AT47" s="799"/>
      <c r="AU47" s="463"/>
      <c r="AV47" s="857"/>
      <c r="AX47" s="382"/>
      <c r="AY47" s="463"/>
      <c r="AZ47" s="525"/>
      <c r="BA47" s="463"/>
      <c r="BB47" s="857"/>
      <c r="BC47" s="463"/>
      <c r="BD47" s="799"/>
      <c r="BE47" s="463"/>
      <c r="BF47" s="623"/>
    </row>
    <row r="48" spans="3:58" ht="12.95" customHeight="1">
      <c r="F48" s="382" t="s">
        <v>4266</v>
      </c>
      <c r="H48" s="623"/>
      <c r="J48" s="612" t="s">
        <v>4267</v>
      </c>
      <c r="K48" s="525">
        <v>1016</v>
      </c>
      <c r="L48" s="623">
        <f>K48/1808*100</f>
        <v>56.194690265486727</v>
      </c>
      <c r="O48" s="612" t="s">
        <v>4268</v>
      </c>
      <c r="P48" s="525">
        <v>3514</v>
      </c>
      <c r="Q48" s="623">
        <v>64.099999999999994</v>
      </c>
      <c r="S48" s="382" t="s">
        <v>2208</v>
      </c>
      <c r="V48" s="382"/>
      <c r="W48" s="382"/>
      <c r="X48" s="382" t="s">
        <v>2185</v>
      </c>
      <c r="Y48" s="435">
        <v>5482</v>
      </c>
      <c r="Z48" s="463">
        <v>2607</v>
      </c>
      <c r="AA48" s="874">
        <v>561</v>
      </c>
      <c r="AB48" s="855">
        <f t="shared" si="3"/>
        <v>21.518987341772153</v>
      </c>
      <c r="AC48" s="525">
        <v>785</v>
      </c>
      <c r="AD48" s="855">
        <f t="shared" si="4"/>
        <v>30.111238971998468</v>
      </c>
      <c r="AE48" s="525"/>
      <c r="AF48" s="855"/>
      <c r="AG48" s="382"/>
      <c r="AH48" s="382"/>
      <c r="AJ48" s="382"/>
      <c r="AK48" s="463"/>
      <c r="AL48" s="525"/>
      <c r="AM48" s="463"/>
      <c r="AN48" s="857"/>
      <c r="AO48" s="435"/>
      <c r="AP48" s="857"/>
      <c r="AQ48" s="463"/>
      <c r="AR48" s="857"/>
      <c r="AS48" s="463"/>
      <c r="AT48" s="799"/>
      <c r="AU48" s="463"/>
      <c r="AV48" s="857"/>
      <c r="AX48" s="382"/>
      <c r="AY48" s="463"/>
      <c r="AZ48" s="525"/>
      <c r="BA48" s="463"/>
      <c r="BB48" s="857"/>
      <c r="BC48" s="463"/>
      <c r="BD48" s="799"/>
      <c r="BE48" s="463"/>
      <c r="BF48" s="623"/>
    </row>
    <row r="49" spans="6:58" ht="12.95" customHeight="1">
      <c r="F49" s="888" t="s">
        <v>4200</v>
      </c>
      <c r="G49" s="525"/>
      <c r="H49" s="623"/>
      <c r="J49" s="612" t="s">
        <v>4269</v>
      </c>
      <c r="K49" s="382">
        <v>672</v>
      </c>
      <c r="L49" s="623">
        <f>K49/1808*100</f>
        <v>37.168141592920357</v>
      </c>
      <c r="P49" s="585"/>
      <c r="Q49" s="585"/>
      <c r="S49" s="451" t="s">
        <v>4200</v>
      </c>
      <c r="V49" s="382"/>
      <c r="W49" s="382"/>
      <c r="X49" s="382" t="s">
        <v>2202</v>
      </c>
      <c r="Y49" s="435">
        <v>5922</v>
      </c>
      <c r="Z49" s="463">
        <v>2351</v>
      </c>
      <c r="AA49" s="874">
        <v>477</v>
      </c>
      <c r="AB49" s="855">
        <f t="shared" si="3"/>
        <v>20.289238621863039</v>
      </c>
      <c r="AC49" s="525">
        <v>450</v>
      </c>
      <c r="AD49" s="855">
        <f t="shared" si="4"/>
        <v>19.140791152700977</v>
      </c>
      <c r="AE49" s="525"/>
      <c r="AF49" s="855"/>
      <c r="AG49" s="382"/>
      <c r="AH49" s="382"/>
      <c r="AJ49" s="382"/>
      <c r="AK49" s="463"/>
      <c r="AL49" s="525"/>
      <c r="AM49" s="463"/>
      <c r="AN49" s="857"/>
      <c r="AO49" s="435"/>
      <c r="AP49" s="857"/>
      <c r="AQ49" s="463"/>
      <c r="AR49" s="857"/>
      <c r="AS49" s="463"/>
      <c r="AT49" s="799"/>
      <c r="AU49" s="463"/>
      <c r="AV49" s="857"/>
      <c r="AX49" s="382"/>
      <c r="AY49" s="463"/>
      <c r="AZ49" s="525"/>
      <c r="BA49" s="463"/>
      <c r="BB49" s="857"/>
      <c r="BC49" s="463"/>
      <c r="BD49" s="799"/>
      <c r="BE49" s="463"/>
      <c r="BF49" s="623"/>
    </row>
    <row r="50" spans="6:58" ht="12.95" customHeight="1">
      <c r="F50" s="612" t="s">
        <v>4270</v>
      </c>
      <c r="G50" s="525">
        <v>850</v>
      </c>
      <c r="H50" s="623">
        <f>G50/926*100</f>
        <v>91.792656587473004</v>
      </c>
      <c r="L50" s="623"/>
      <c r="O50" s="382" t="s">
        <v>4266</v>
      </c>
      <c r="P50" s="585"/>
      <c r="Q50" s="585"/>
      <c r="S50" s="612" t="s">
        <v>4257</v>
      </c>
      <c r="T50" s="525">
        <v>788</v>
      </c>
      <c r="U50" s="623">
        <v>26.5</v>
      </c>
      <c r="X50" s="382" t="s">
        <v>2177</v>
      </c>
      <c r="Y50" s="435">
        <v>15649</v>
      </c>
      <c r="Z50" s="463">
        <v>6237</v>
      </c>
      <c r="AA50" s="874">
        <v>1759</v>
      </c>
      <c r="AB50" s="855">
        <f t="shared" si="3"/>
        <v>28.202661535994871</v>
      </c>
      <c r="AC50" s="525">
        <v>1202</v>
      </c>
      <c r="AD50" s="855">
        <f t="shared" si="4"/>
        <v>19.272085938752607</v>
      </c>
      <c r="AE50" s="525"/>
      <c r="AF50" s="855"/>
      <c r="AJ50" s="382"/>
      <c r="AK50" s="463"/>
      <c r="AL50" s="525"/>
      <c r="AM50" s="463"/>
      <c r="AN50" s="857"/>
      <c r="AO50" s="435"/>
      <c r="AP50" s="857"/>
      <c r="AQ50" s="463"/>
      <c r="AR50" s="857"/>
      <c r="AS50" s="463"/>
      <c r="AT50" s="799"/>
      <c r="AU50" s="463"/>
      <c r="AV50" s="857"/>
      <c r="AX50" s="382"/>
      <c r="AY50" s="463"/>
      <c r="AZ50" s="525"/>
      <c r="BA50" s="463"/>
      <c r="BB50" s="857"/>
      <c r="BC50" s="463"/>
      <c r="BD50" s="799"/>
      <c r="BE50" s="463"/>
      <c r="BF50" s="623"/>
    </row>
    <row r="51" spans="6:58" ht="12.95" customHeight="1">
      <c r="J51" s="382" t="s">
        <v>2151</v>
      </c>
      <c r="K51" s="382"/>
      <c r="L51" s="623"/>
      <c r="O51" s="888" t="s">
        <v>4200</v>
      </c>
      <c r="P51" s="525"/>
      <c r="Q51" s="623"/>
      <c r="S51" s="612" t="s">
        <v>4271</v>
      </c>
      <c r="T51" s="525">
        <v>298</v>
      </c>
      <c r="U51" s="623">
        <v>10</v>
      </c>
      <c r="V51" s="382"/>
      <c r="W51" s="382"/>
      <c r="X51" s="381" t="s">
        <v>2208</v>
      </c>
      <c r="Y51" s="556">
        <v>7522</v>
      </c>
      <c r="Z51" s="497">
        <v>3385</v>
      </c>
      <c r="AA51" s="877">
        <v>872</v>
      </c>
      <c r="AB51" s="867">
        <f t="shared" si="3"/>
        <v>25.760709010339731</v>
      </c>
      <c r="AC51" s="633">
        <v>698</v>
      </c>
      <c r="AD51" s="867">
        <f t="shared" si="4"/>
        <v>20.620384047267358</v>
      </c>
      <c r="AE51" s="525"/>
      <c r="AF51" s="855"/>
      <c r="AG51" s="382"/>
      <c r="AH51" s="382"/>
      <c r="AJ51" s="382"/>
      <c r="AK51" s="463"/>
      <c r="AL51" s="525"/>
      <c r="AM51" s="463"/>
      <c r="AN51" s="857"/>
      <c r="AO51" s="435"/>
      <c r="AP51" s="857"/>
      <c r="AQ51" s="463"/>
      <c r="AR51" s="857"/>
      <c r="AS51" s="463"/>
      <c r="AT51" s="799"/>
      <c r="AU51" s="463"/>
      <c r="AV51" s="857"/>
      <c r="AX51" s="382"/>
      <c r="AY51" s="463"/>
      <c r="AZ51" s="525"/>
      <c r="BA51" s="463"/>
      <c r="BB51" s="857"/>
      <c r="BC51" s="463"/>
      <c r="BD51" s="799"/>
      <c r="BE51" s="463"/>
      <c r="BF51" s="623"/>
    </row>
    <row r="52" spans="6:58" ht="12.95" customHeight="1">
      <c r="F52" s="382" t="s">
        <v>2185</v>
      </c>
      <c r="H52" s="623"/>
      <c r="J52" s="451" t="s">
        <v>4200</v>
      </c>
      <c r="K52" s="382"/>
      <c r="L52" s="623"/>
      <c r="O52" s="612" t="s">
        <v>4270</v>
      </c>
      <c r="P52" s="525">
        <v>819</v>
      </c>
      <c r="Q52" s="623">
        <v>59.1</v>
      </c>
      <c r="S52" s="612" t="s">
        <v>4254</v>
      </c>
      <c r="T52" s="525">
        <v>775</v>
      </c>
      <c r="U52" s="623">
        <v>26.1</v>
      </c>
      <c r="V52" s="799"/>
      <c r="W52" s="799"/>
      <c r="X52" s="382" t="s">
        <v>4069</v>
      </c>
      <c r="Z52" s="382"/>
      <c r="AG52" s="799"/>
      <c r="AH52" s="799"/>
      <c r="AJ52" s="382"/>
      <c r="AK52" s="463"/>
      <c r="AL52" s="525"/>
      <c r="AM52" s="463"/>
      <c r="AN52" s="857"/>
      <c r="AO52" s="435"/>
      <c r="AP52" s="857"/>
      <c r="AQ52" s="463"/>
      <c r="AR52" s="857"/>
      <c r="AT52" s="799"/>
      <c r="AV52" s="857"/>
      <c r="AX52" s="382"/>
      <c r="AY52" s="463"/>
      <c r="AZ52" s="525"/>
      <c r="BA52" s="463"/>
      <c r="BB52" s="857"/>
      <c r="BC52" s="463"/>
      <c r="BD52" s="799"/>
      <c r="BE52" s="463"/>
      <c r="BF52" s="623"/>
    </row>
    <row r="53" spans="6:58" ht="12.95" customHeight="1">
      <c r="F53" s="451" t="s">
        <v>4200</v>
      </c>
      <c r="G53" s="525"/>
      <c r="H53" s="623"/>
      <c r="J53" s="612" t="s">
        <v>4272</v>
      </c>
      <c r="K53" s="382">
        <v>589</v>
      </c>
      <c r="L53" s="623">
        <f>K53/632*100</f>
        <v>93.196202531645568</v>
      </c>
      <c r="O53" s="612" t="s">
        <v>4273</v>
      </c>
      <c r="P53" s="585">
        <v>552</v>
      </c>
      <c r="Q53" s="585">
        <v>39.799999999999997</v>
      </c>
      <c r="S53" s="612" t="s">
        <v>4274</v>
      </c>
      <c r="T53" s="525">
        <v>435</v>
      </c>
      <c r="U53" s="623">
        <v>14.6</v>
      </c>
      <c r="V53" s="799"/>
      <c r="W53" s="799"/>
      <c r="AG53" s="799"/>
      <c r="AH53" s="799"/>
      <c r="AJ53" s="382"/>
      <c r="AK53" s="382"/>
      <c r="AL53" s="382"/>
      <c r="AM53" s="382"/>
      <c r="AN53" s="382"/>
      <c r="AO53" s="414"/>
      <c r="AP53" s="414"/>
      <c r="AQ53" s="382"/>
      <c r="AR53" s="382"/>
      <c r="AX53" s="382"/>
      <c r="AY53" s="463"/>
      <c r="AZ53" s="525"/>
      <c r="BA53" s="525"/>
      <c r="BB53" s="857"/>
      <c r="BD53" s="799"/>
      <c r="BE53" s="463"/>
      <c r="BF53" s="623"/>
    </row>
    <row r="54" spans="6:58" ht="12.95" customHeight="1">
      <c r="F54" s="612" t="s">
        <v>4275</v>
      </c>
      <c r="G54" s="525">
        <v>2382</v>
      </c>
      <c r="H54" s="623">
        <f>G54/2607*100</f>
        <v>91.369390103567312</v>
      </c>
      <c r="J54" s="612"/>
      <c r="K54" s="525"/>
      <c r="L54" s="623"/>
      <c r="M54" s="382"/>
      <c r="P54" s="585"/>
      <c r="Q54" s="585"/>
      <c r="S54" s="612" t="s">
        <v>4276</v>
      </c>
      <c r="T54" s="525">
        <v>290</v>
      </c>
      <c r="U54" s="623">
        <v>9.8000000000000007</v>
      </c>
      <c r="V54" s="382"/>
      <c r="W54" s="382"/>
      <c r="AG54" s="382"/>
      <c r="AH54" s="382"/>
      <c r="AO54" s="889"/>
      <c r="AQ54" s="525"/>
      <c r="AX54" s="382"/>
      <c r="AY54" s="382"/>
      <c r="AZ54" s="382"/>
      <c r="BA54" s="382"/>
      <c r="BB54" s="414"/>
      <c r="BC54" s="382"/>
    </row>
    <row r="55" spans="6:58" ht="12.95" customHeight="1">
      <c r="G55" s="382"/>
      <c r="H55" s="623"/>
      <c r="I55" s="382"/>
      <c r="J55" s="612"/>
      <c r="K55" s="525"/>
      <c r="L55" s="623"/>
      <c r="M55" s="382"/>
      <c r="O55" s="382" t="s">
        <v>2185</v>
      </c>
      <c r="P55" s="585"/>
      <c r="Q55" s="623"/>
      <c r="R55" s="382"/>
      <c r="S55" s="612" t="s">
        <v>4277</v>
      </c>
      <c r="T55" s="525">
        <v>255</v>
      </c>
      <c r="U55" s="623">
        <v>8.6</v>
      </c>
      <c r="V55" s="799"/>
      <c r="W55" s="799"/>
      <c r="AG55" s="799"/>
      <c r="AH55" s="799"/>
      <c r="AX55" s="382"/>
      <c r="AY55" s="382"/>
      <c r="AZ55" s="382"/>
      <c r="BA55" s="382"/>
      <c r="BB55" s="414"/>
      <c r="BC55" s="382"/>
    </row>
    <row r="56" spans="6:58" ht="12.95" customHeight="1">
      <c r="F56" s="524" t="s">
        <v>4228</v>
      </c>
      <c r="G56" s="463"/>
      <c r="H56" s="623"/>
      <c r="I56" s="382"/>
      <c r="K56" s="525"/>
      <c r="L56" s="623"/>
      <c r="M56" s="382"/>
      <c r="O56" s="451" t="s">
        <v>4200</v>
      </c>
      <c r="P56" s="525"/>
      <c r="Q56" s="623"/>
      <c r="R56" s="382"/>
      <c r="T56" s="525"/>
      <c r="U56" s="623"/>
      <c r="V56" s="799"/>
      <c r="W56" s="799"/>
      <c r="X56" s="381" t="s">
        <v>4278</v>
      </c>
      <c r="Y56" s="883"/>
      <c r="Z56" s="883"/>
      <c r="AA56" s="586"/>
      <c r="AB56" s="586"/>
      <c r="AC56" s="586"/>
      <c r="AD56" s="586"/>
      <c r="AG56" s="799"/>
      <c r="AH56" s="799"/>
      <c r="AM56" s="525"/>
      <c r="AX56" s="382"/>
      <c r="AY56" s="382"/>
      <c r="AZ56" s="382"/>
      <c r="BA56" s="382"/>
      <c r="BB56" s="414"/>
      <c r="BC56" s="382"/>
    </row>
    <row r="57" spans="6:58" ht="12.95" customHeight="1">
      <c r="F57" s="890" t="s">
        <v>4279</v>
      </c>
      <c r="G57" s="463">
        <v>2116</v>
      </c>
      <c r="H57" s="623">
        <f>G57/2607*100</f>
        <v>81.16609129267357</v>
      </c>
      <c r="I57" s="382"/>
      <c r="M57" s="382"/>
      <c r="O57" s="612" t="s">
        <v>4275</v>
      </c>
      <c r="P57" s="525">
        <v>2137</v>
      </c>
      <c r="Q57" s="623">
        <v>88.6</v>
      </c>
      <c r="R57" s="382"/>
      <c r="S57" s="451" t="s">
        <v>4228</v>
      </c>
      <c r="V57" s="799"/>
      <c r="W57" s="799"/>
      <c r="Y57" s="604"/>
      <c r="Z57" s="604"/>
      <c r="AA57" s="2139" t="s">
        <v>4280</v>
      </c>
      <c r="AB57" s="2140"/>
      <c r="AC57" s="2137" t="s">
        <v>4281</v>
      </c>
      <c r="AD57" s="2138"/>
      <c r="AE57" s="2137" t="s">
        <v>4282</v>
      </c>
      <c r="AF57" s="2138"/>
      <c r="AG57" s="799"/>
      <c r="AH57" s="799"/>
    </row>
    <row r="58" spans="6:58" ht="12.95" customHeight="1">
      <c r="H58" s="623"/>
      <c r="I58" s="382"/>
      <c r="L58" s="623"/>
      <c r="M58" s="382"/>
      <c r="R58" s="382"/>
      <c r="S58" s="612" t="s">
        <v>4283</v>
      </c>
      <c r="T58" s="525">
        <v>1046</v>
      </c>
      <c r="U58" s="623">
        <v>35.200000000000003</v>
      </c>
      <c r="V58" s="382"/>
      <c r="W58" s="382"/>
      <c r="X58" s="382" t="s">
        <v>3990</v>
      </c>
      <c r="Y58" s="667" t="s">
        <v>3991</v>
      </c>
      <c r="Z58" s="667" t="s">
        <v>129</v>
      </c>
      <c r="AA58" s="2141"/>
      <c r="AB58" s="2142"/>
      <c r="AC58" s="2132"/>
      <c r="AD58" s="2134"/>
      <c r="AE58" s="2132"/>
      <c r="AF58" s="2134"/>
      <c r="AG58" s="382"/>
      <c r="AH58" s="382"/>
    </row>
    <row r="59" spans="6:58" ht="12.95" customHeight="1">
      <c r="F59" s="415" t="s">
        <v>4069</v>
      </c>
      <c r="G59" s="891"/>
      <c r="H59" s="891"/>
      <c r="I59" s="415"/>
      <c r="J59" s="891"/>
      <c r="K59" s="891"/>
      <c r="L59" s="891"/>
      <c r="M59" s="382"/>
      <c r="O59" s="524" t="s">
        <v>4228</v>
      </c>
      <c r="P59" s="463"/>
      <c r="Q59" s="799"/>
      <c r="R59" s="382"/>
      <c r="S59" s="612" t="s">
        <v>4284</v>
      </c>
      <c r="T59" s="525">
        <v>951</v>
      </c>
      <c r="U59" s="623">
        <v>32</v>
      </c>
      <c r="V59" s="382"/>
      <c r="W59" s="382"/>
      <c r="X59" s="381" t="s">
        <v>4020</v>
      </c>
      <c r="Y59" s="441" t="s">
        <v>4021</v>
      </c>
      <c r="Z59" s="441" t="s">
        <v>3972</v>
      </c>
      <c r="AA59" s="413" t="s">
        <v>1665</v>
      </c>
      <c r="AB59" s="413" t="s">
        <v>1666</v>
      </c>
      <c r="AC59" s="413" t="s">
        <v>1665</v>
      </c>
      <c r="AD59" s="413" t="s">
        <v>1666</v>
      </c>
      <c r="AE59" s="413" t="s">
        <v>1665</v>
      </c>
      <c r="AF59" s="413" t="s">
        <v>1666</v>
      </c>
      <c r="AG59" s="382"/>
      <c r="AH59" s="382"/>
    </row>
    <row r="60" spans="6:58" ht="12.95" customHeight="1">
      <c r="F60" s="382" t="s">
        <v>4246</v>
      </c>
      <c r="I60" s="382"/>
      <c r="M60" s="382"/>
      <c r="O60" s="890" t="s">
        <v>4285</v>
      </c>
      <c r="P60" s="382">
        <v>826</v>
      </c>
      <c r="Q60" s="382">
        <v>34.299999999999997</v>
      </c>
      <c r="R60" s="382"/>
      <c r="S60" s="612" t="s">
        <v>4286</v>
      </c>
      <c r="T60" s="525">
        <v>627</v>
      </c>
      <c r="U60" s="623">
        <v>21.1</v>
      </c>
      <c r="V60" s="799"/>
      <c r="W60" s="799"/>
      <c r="X60" s="382" t="s">
        <v>3503</v>
      </c>
      <c r="Y60" s="435">
        <f>SUM(Y61:Y79)</f>
        <v>60462</v>
      </c>
      <c r="Z60" s="525">
        <v>34074</v>
      </c>
      <c r="AA60" s="525">
        <f>SUM(AA61:AA79)</f>
        <v>16462</v>
      </c>
      <c r="AB60" s="855">
        <f>AA60/Z60*100</f>
        <v>48.312496331513763</v>
      </c>
      <c r="AC60" s="525">
        <f>SUM(AC61:AC79)</f>
        <v>13252</v>
      </c>
      <c r="AD60" s="855">
        <f>AC60/Z60*100</f>
        <v>38.891823677877561</v>
      </c>
      <c r="AE60" s="525">
        <f>SUM(AE61:AE79)</f>
        <v>12020</v>
      </c>
      <c r="AF60" s="855">
        <f>AE60/Z60*100</f>
        <v>35.27616364383401</v>
      </c>
      <c r="AG60" s="799"/>
      <c r="AH60" s="799"/>
    </row>
    <row r="61" spans="6:58" ht="12.95" customHeight="1">
      <c r="F61" s="382" t="s">
        <v>4076</v>
      </c>
      <c r="I61" s="382"/>
      <c r="J61" s="382"/>
      <c r="O61" s="890" t="s">
        <v>4287</v>
      </c>
      <c r="P61" s="463">
        <v>1392</v>
      </c>
      <c r="Q61" s="799">
        <v>57.7</v>
      </c>
      <c r="R61" s="382"/>
      <c r="T61" s="525"/>
      <c r="U61" s="623"/>
      <c r="V61" s="799"/>
      <c r="W61" s="799"/>
      <c r="X61" s="858" t="s">
        <v>2384</v>
      </c>
      <c r="Y61" s="859">
        <v>386</v>
      </c>
      <c r="Z61" s="859">
        <v>245</v>
      </c>
      <c r="AA61" s="873">
        <v>136</v>
      </c>
      <c r="AB61" s="855">
        <f>AA61/Z61*100</f>
        <v>55.510204081632651</v>
      </c>
      <c r="AC61" s="525">
        <v>109</v>
      </c>
      <c r="AD61" s="855">
        <f>AC61/Z61*100</f>
        <v>44.489795918367349</v>
      </c>
      <c r="AE61" s="525">
        <v>99</v>
      </c>
      <c r="AF61" s="855">
        <f>AE61/Z61*100</f>
        <v>40.408163265306122</v>
      </c>
      <c r="AG61" s="799"/>
      <c r="AH61" s="799"/>
    </row>
    <row r="62" spans="6:58" ht="14.1" customHeight="1">
      <c r="F62" s="382" t="s">
        <v>4078</v>
      </c>
      <c r="J62" s="382"/>
      <c r="K62" s="382"/>
      <c r="L62" s="382"/>
      <c r="O62" s="890"/>
      <c r="R62" s="382"/>
      <c r="S62" s="382" t="s">
        <v>2209</v>
      </c>
      <c r="V62" s="799"/>
      <c r="W62" s="799"/>
      <c r="X62" s="382" t="s">
        <v>2252</v>
      </c>
      <c r="Y62" s="435">
        <v>1010</v>
      </c>
      <c r="Z62" s="463">
        <v>624</v>
      </c>
      <c r="AA62" s="874">
        <v>293</v>
      </c>
      <c r="AB62" s="855">
        <f>AA62/Z62*100</f>
        <v>46.955128205128204</v>
      </c>
      <c r="AC62" s="525">
        <v>281</v>
      </c>
      <c r="AD62" s="855">
        <f t="shared" ref="AD62:AD79" si="5">AC62/Z62*100</f>
        <v>45.032051282051285</v>
      </c>
      <c r="AE62" s="525">
        <v>248</v>
      </c>
      <c r="AF62" s="855">
        <f t="shared" ref="AF62:AF79" si="6">AE62/Z62*100</f>
        <v>39.743589743589745</v>
      </c>
      <c r="AG62" s="799"/>
      <c r="AH62" s="799"/>
    </row>
    <row r="63" spans="6:58" ht="12.95" customHeight="1">
      <c r="F63" s="382" t="s">
        <v>4288</v>
      </c>
      <c r="J63" s="382"/>
      <c r="K63" s="382"/>
      <c r="L63" s="382"/>
      <c r="O63" s="382" t="s">
        <v>2151</v>
      </c>
      <c r="R63" s="382"/>
      <c r="S63" s="888" t="s">
        <v>4200</v>
      </c>
      <c r="V63" s="382"/>
      <c r="W63" s="382"/>
      <c r="X63" s="382" t="s">
        <v>2195</v>
      </c>
      <c r="Y63" s="435">
        <v>899</v>
      </c>
      <c r="Z63" s="463">
        <v>570</v>
      </c>
      <c r="AA63" s="874">
        <v>299</v>
      </c>
      <c r="AB63" s="855">
        <f t="shared" ref="AB63:AB79" si="7">AA63/Z63*100</f>
        <v>52.456140350877192</v>
      </c>
      <c r="AC63" s="525">
        <v>220</v>
      </c>
      <c r="AD63" s="855">
        <f t="shared" si="5"/>
        <v>38.596491228070171</v>
      </c>
      <c r="AE63" s="525">
        <v>227</v>
      </c>
      <c r="AF63" s="855">
        <f t="shared" si="6"/>
        <v>39.824561403508774</v>
      </c>
      <c r="AG63" s="382"/>
      <c r="AH63" s="382"/>
    </row>
    <row r="64" spans="6:58" ht="12.95" customHeight="1">
      <c r="G64" s="463"/>
      <c r="H64" s="799"/>
      <c r="J64" s="382"/>
      <c r="K64" s="382"/>
      <c r="L64" s="382"/>
      <c r="O64" s="451" t="s">
        <v>4200</v>
      </c>
      <c r="Q64" s="799"/>
      <c r="R64" s="382"/>
      <c r="S64" s="612" t="s">
        <v>4289</v>
      </c>
      <c r="T64" s="525">
        <v>1245</v>
      </c>
      <c r="U64" s="623">
        <v>71.7</v>
      </c>
      <c r="V64" s="382"/>
      <c r="W64" s="382"/>
      <c r="X64" s="382" t="s">
        <v>4042</v>
      </c>
      <c r="Y64" s="435">
        <v>2318</v>
      </c>
      <c r="Z64" s="435">
        <v>1433</v>
      </c>
      <c r="AA64" s="874">
        <v>574</v>
      </c>
      <c r="AB64" s="855">
        <f t="shared" si="7"/>
        <v>40.055826936496857</v>
      </c>
      <c r="AC64" s="525">
        <v>493</v>
      </c>
      <c r="AD64" s="855">
        <f t="shared" si="5"/>
        <v>34.403349616189807</v>
      </c>
      <c r="AE64" s="525">
        <v>480</v>
      </c>
      <c r="AF64" s="855">
        <f t="shared" si="6"/>
        <v>33.496161898115837</v>
      </c>
      <c r="AG64" s="382"/>
      <c r="AH64" s="382"/>
    </row>
    <row r="65" spans="6:56" ht="12.95" customHeight="1">
      <c r="F65" s="637"/>
      <c r="G65" s="382"/>
      <c r="H65" s="799"/>
      <c r="K65" s="382"/>
      <c r="L65" s="382"/>
      <c r="O65" s="612" t="s">
        <v>4290</v>
      </c>
      <c r="P65" s="382">
        <v>282</v>
      </c>
      <c r="Q65" s="799">
        <v>33.6</v>
      </c>
      <c r="R65" s="382"/>
      <c r="S65" s="612" t="s">
        <v>4199</v>
      </c>
      <c r="T65" s="382">
        <v>439</v>
      </c>
      <c r="U65" s="382">
        <v>25.3</v>
      </c>
      <c r="V65" s="382"/>
      <c r="W65" s="382"/>
      <c r="X65" s="382" t="s">
        <v>4208</v>
      </c>
      <c r="Y65" s="435">
        <v>1916</v>
      </c>
      <c r="Z65" s="435">
        <v>1231</v>
      </c>
      <c r="AA65" s="874">
        <v>528</v>
      </c>
      <c r="AB65" s="855">
        <f t="shared" si="7"/>
        <v>42.891957757920387</v>
      </c>
      <c r="AC65" s="525">
        <v>434</v>
      </c>
      <c r="AD65" s="855">
        <f t="shared" si="5"/>
        <v>35.255889520714867</v>
      </c>
      <c r="AE65" s="525">
        <v>443</v>
      </c>
      <c r="AF65" s="855">
        <f t="shared" si="6"/>
        <v>35.987002437043053</v>
      </c>
      <c r="AG65" s="382"/>
      <c r="AH65" s="382"/>
      <c r="AJ65" s="637"/>
    </row>
    <row r="66" spans="6:56" ht="12.95" customHeight="1">
      <c r="F66" s="637"/>
      <c r="G66" s="382"/>
      <c r="H66" s="382"/>
      <c r="O66" s="612" t="s">
        <v>4291</v>
      </c>
      <c r="P66" s="382">
        <v>208</v>
      </c>
      <c r="Q66" s="799">
        <v>24.8</v>
      </c>
      <c r="R66" s="382"/>
      <c r="S66" s="382"/>
      <c r="T66" s="382"/>
      <c r="U66" s="382"/>
      <c r="V66" s="382"/>
      <c r="W66" s="382"/>
      <c r="X66" s="382" t="s">
        <v>4212</v>
      </c>
      <c r="Y66" s="435">
        <v>547</v>
      </c>
      <c r="Z66" s="463">
        <v>339</v>
      </c>
      <c r="AA66" s="874">
        <v>163</v>
      </c>
      <c r="AB66" s="855">
        <f t="shared" si="7"/>
        <v>48.08259587020649</v>
      </c>
      <c r="AC66" s="525">
        <v>128</v>
      </c>
      <c r="AD66" s="855">
        <f t="shared" si="5"/>
        <v>37.75811209439528</v>
      </c>
      <c r="AE66" s="525">
        <v>108</v>
      </c>
      <c r="AF66" s="855">
        <f t="shared" si="6"/>
        <v>31.858407079646017</v>
      </c>
      <c r="AG66" s="382"/>
      <c r="AH66" s="382"/>
      <c r="AJ66" s="858"/>
      <c r="AK66" s="382"/>
      <c r="AL66" s="382"/>
      <c r="AM66" s="382"/>
      <c r="AN66" s="382"/>
      <c r="AO66" s="382"/>
      <c r="AP66" s="382"/>
      <c r="AQ66" s="382"/>
      <c r="AR66" s="382"/>
      <c r="AS66" s="382"/>
      <c r="AT66" s="382"/>
      <c r="AU66" s="382"/>
      <c r="AV66" s="382"/>
      <c r="AW66" s="382"/>
      <c r="AX66" s="382"/>
      <c r="AY66" s="382"/>
      <c r="AZ66" s="382"/>
      <c r="BA66" s="382"/>
      <c r="BB66" s="382"/>
      <c r="BD66" s="599"/>
    </row>
    <row r="67" spans="6:56" ht="12.95" customHeight="1">
      <c r="F67" s="637"/>
      <c r="G67" s="382"/>
      <c r="H67" s="382"/>
      <c r="O67" s="612" t="s">
        <v>4292</v>
      </c>
      <c r="P67" s="382">
        <v>182</v>
      </c>
      <c r="Q67" s="799">
        <v>21.7</v>
      </c>
      <c r="S67" s="382"/>
      <c r="T67" s="382"/>
      <c r="U67" s="382"/>
      <c r="V67" s="382"/>
      <c r="W67" s="382"/>
      <c r="X67" s="382" t="s">
        <v>2151</v>
      </c>
      <c r="Y67" s="435">
        <v>1096</v>
      </c>
      <c r="Z67" s="435">
        <v>661</v>
      </c>
      <c r="AA67" s="874">
        <v>272</v>
      </c>
      <c r="AB67" s="855">
        <f t="shared" si="7"/>
        <v>41.149773071104391</v>
      </c>
      <c r="AC67" s="525">
        <v>213</v>
      </c>
      <c r="AD67" s="855">
        <f t="shared" si="5"/>
        <v>32.223903177004537</v>
      </c>
      <c r="AE67" s="525">
        <v>258</v>
      </c>
      <c r="AF67" s="855">
        <f t="shared" si="6"/>
        <v>39.031770045385777</v>
      </c>
      <c r="AG67" s="382"/>
      <c r="AH67" s="382"/>
      <c r="AN67" s="599"/>
      <c r="AO67" s="585"/>
      <c r="AP67" s="585"/>
    </row>
    <row r="68" spans="6:56" ht="12.95" customHeight="1">
      <c r="F68" s="612"/>
      <c r="G68" s="382"/>
      <c r="H68" s="799"/>
      <c r="O68" s="612" t="s">
        <v>4293</v>
      </c>
      <c r="P68" s="382">
        <v>165</v>
      </c>
      <c r="Q68" s="799">
        <v>19.7</v>
      </c>
      <c r="V68" s="382"/>
      <c r="W68" s="382"/>
      <c r="X68" s="382" t="s">
        <v>4217</v>
      </c>
      <c r="Y68" s="435">
        <v>1800</v>
      </c>
      <c r="Z68" s="435">
        <v>1188</v>
      </c>
      <c r="AA68" s="874">
        <v>450</v>
      </c>
      <c r="AB68" s="855">
        <f t="shared" si="7"/>
        <v>37.878787878787875</v>
      </c>
      <c r="AC68" s="525">
        <v>425</v>
      </c>
      <c r="AD68" s="855">
        <f t="shared" si="5"/>
        <v>35.774410774410775</v>
      </c>
      <c r="AE68" s="525">
        <v>410</v>
      </c>
      <c r="AF68" s="855">
        <f t="shared" si="6"/>
        <v>34.511784511784512</v>
      </c>
      <c r="AG68" s="382"/>
      <c r="AH68" s="382"/>
      <c r="AN68" s="599"/>
      <c r="AO68" s="585"/>
      <c r="AP68" s="585"/>
    </row>
    <row r="69" spans="6:56" ht="12.95" customHeight="1">
      <c r="F69" s="612"/>
      <c r="G69" s="382"/>
      <c r="H69" s="799"/>
      <c r="O69" s="892"/>
      <c r="P69" s="381"/>
      <c r="Q69" s="805"/>
      <c r="R69" s="586"/>
      <c r="S69" s="586"/>
      <c r="T69" s="586"/>
      <c r="U69" s="586"/>
      <c r="V69" s="382"/>
      <c r="W69" s="382"/>
      <c r="X69" s="382" t="s">
        <v>4056</v>
      </c>
      <c r="Y69" s="435">
        <v>1843</v>
      </c>
      <c r="Z69" s="435">
        <v>1216</v>
      </c>
      <c r="AA69" s="874">
        <v>543</v>
      </c>
      <c r="AB69" s="855">
        <f t="shared" si="7"/>
        <v>44.65460526315789</v>
      </c>
      <c r="AC69" s="525">
        <v>474</v>
      </c>
      <c r="AD69" s="855">
        <f t="shared" si="5"/>
        <v>38.980263157894733</v>
      </c>
      <c r="AE69" s="525">
        <v>430</v>
      </c>
      <c r="AF69" s="855">
        <f t="shared" si="6"/>
        <v>35.361842105263158</v>
      </c>
      <c r="AG69" s="382"/>
      <c r="AH69" s="382"/>
      <c r="AN69" s="598"/>
      <c r="AO69" s="585"/>
      <c r="AP69" s="585"/>
    </row>
    <row r="70" spans="6:56" ht="12.95" customHeight="1">
      <c r="O70" s="382" t="s">
        <v>4069</v>
      </c>
      <c r="P70" s="585"/>
      <c r="Q70" s="585"/>
      <c r="R70" s="382"/>
      <c r="V70" s="382"/>
      <c r="W70" s="382"/>
      <c r="X70" s="382" t="s">
        <v>2209</v>
      </c>
      <c r="Y70" s="435">
        <v>3131</v>
      </c>
      <c r="Z70" s="435">
        <v>1943</v>
      </c>
      <c r="AA70" s="874">
        <v>900</v>
      </c>
      <c r="AB70" s="855">
        <f t="shared" si="7"/>
        <v>46.320123520329389</v>
      </c>
      <c r="AC70" s="525">
        <v>768</v>
      </c>
      <c r="AD70" s="855">
        <f t="shared" si="5"/>
        <v>39.526505404014415</v>
      </c>
      <c r="AE70" s="525">
        <v>725</v>
      </c>
      <c r="AF70" s="855">
        <f t="shared" si="6"/>
        <v>37.313432835820898</v>
      </c>
      <c r="AG70" s="382"/>
      <c r="AH70" s="382"/>
      <c r="AN70" s="598"/>
      <c r="AO70" s="585"/>
      <c r="AP70" s="585"/>
    </row>
    <row r="71" spans="6:56" ht="12.95" customHeight="1">
      <c r="O71" s="382" t="s">
        <v>4246</v>
      </c>
      <c r="P71" s="585"/>
      <c r="Q71" s="585"/>
      <c r="R71" s="382"/>
      <c r="V71" s="382"/>
      <c r="W71" s="382"/>
      <c r="X71" s="382" t="s">
        <v>2352</v>
      </c>
      <c r="Y71" s="435">
        <v>2979</v>
      </c>
      <c r="Z71" s="435">
        <v>1924</v>
      </c>
      <c r="AA71" s="874">
        <v>905</v>
      </c>
      <c r="AB71" s="855">
        <f t="shared" si="7"/>
        <v>47.03742203742204</v>
      </c>
      <c r="AC71" s="525">
        <v>712</v>
      </c>
      <c r="AD71" s="855">
        <f t="shared" si="5"/>
        <v>37.006237006237008</v>
      </c>
      <c r="AE71" s="525">
        <v>687</v>
      </c>
      <c r="AF71" s="855">
        <f t="shared" si="6"/>
        <v>35.706860706860702</v>
      </c>
      <c r="AG71" s="382"/>
      <c r="AH71" s="382"/>
      <c r="AN71" s="598"/>
      <c r="AO71" s="585"/>
      <c r="AP71" s="585"/>
    </row>
    <row r="72" spans="6:56" ht="12.95" customHeight="1">
      <c r="O72" s="382" t="s">
        <v>4076</v>
      </c>
      <c r="P72" s="585"/>
      <c r="Q72" s="585"/>
      <c r="R72" s="382"/>
      <c r="S72" s="382"/>
      <c r="V72" s="382"/>
      <c r="W72" s="382"/>
      <c r="X72" s="382" t="s">
        <v>2261</v>
      </c>
      <c r="Y72" s="435">
        <v>1757</v>
      </c>
      <c r="Z72" s="435">
        <v>1216</v>
      </c>
      <c r="AA72" s="874">
        <v>579</v>
      </c>
      <c r="AB72" s="855">
        <f t="shared" si="7"/>
        <v>47.61513157894737</v>
      </c>
      <c r="AC72" s="525">
        <v>462</v>
      </c>
      <c r="AD72" s="855">
        <f t="shared" si="5"/>
        <v>37.993421052631575</v>
      </c>
      <c r="AE72" s="525">
        <v>500</v>
      </c>
      <c r="AF72" s="855">
        <f t="shared" si="6"/>
        <v>41.118421052631575</v>
      </c>
      <c r="AG72" s="382"/>
      <c r="AH72" s="382"/>
      <c r="AN72" s="598"/>
      <c r="AO72" s="585"/>
      <c r="AP72" s="585"/>
    </row>
    <row r="73" spans="6:56" ht="12.95" customHeight="1">
      <c r="O73" s="382" t="s">
        <v>4078</v>
      </c>
      <c r="P73" s="585"/>
      <c r="Q73" s="585"/>
      <c r="S73" s="382"/>
      <c r="T73" s="382"/>
      <c r="U73" s="382"/>
      <c r="V73" s="382"/>
      <c r="W73" s="382"/>
      <c r="X73" s="382" t="s">
        <v>2251</v>
      </c>
      <c r="Y73" s="435">
        <v>1643</v>
      </c>
      <c r="Z73" s="435">
        <v>1109</v>
      </c>
      <c r="AA73" s="874">
        <v>496</v>
      </c>
      <c r="AB73" s="855">
        <f t="shared" si="7"/>
        <v>44.72497745716862</v>
      </c>
      <c r="AC73" s="525">
        <v>481</v>
      </c>
      <c r="AD73" s="855">
        <f t="shared" si="5"/>
        <v>43.372407574391339</v>
      </c>
      <c r="AE73" s="525">
        <v>525</v>
      </c>
      <c r="AF73" s="855">
        <f t="shared" si="6"/>
        <v>47.339945897204686</v>
      </c>
      <c r="AG73" s="382"/>
      <c r="AH73" s="382"/>
      <c r="AN73" s="598"/>
      <c r="AO73" s="585"/>
      <c r="AP73" s="585"/>
    </row>
    <row r="74" spans="6:56" ht="12.95" customHeight="1">
      <c r="O74" s="382" t="s">
        <v>4288</v>
      </c>
      <c r="P74" s="585"/>
      <c r="Q74" s="585"/>
      <c r="S74" s="382"/>
      <c r="T74" s="382"/>
      <c r="U74" s="382"/>
      <c r="V74" s="382"/>
      <c r="W74" s="382"/>
      <c r="X74" s="382" t="s">
        <v>4067</v>
      </c>
      <c r="Y74" s="435">
        <v>2408</v>
      </c>
      <c r="Z74" s="435">
        <v>1430</v>
      </c>
      <c r="AA74" s="874">
        <v>712</v>
      </c>
      <c r="AB74" s="855">
        <f t="shared" si="7"/>
        <v>49.790209790209786</v>
      </c>
      <c r="AC74" s="525">
        <v>581</v>
      </c>
      <c r="AD74" s="855">
        <f t="shared" si="5"/>
        <v>40.629370629370634</v>
      </c>
      <c r="AE74" s="525">
        <v>506</v>
      </c>
      <c r="AF74" s="855">
        <f t="shared" si="6"/>
        <v>35.384615384615387</v>
      </c>
      <c r="AG74" s="382"/>
      <c r="AH74" s="382"/>
      <c r="AN74" s="598"/>
      <c r="AO74" s="585"/>
      <c r="AP74" s="585"/>
    </row>
    <row r="75" spans="6:56" ht="12.95" customHeight="1">
      <c r="P75" s="463"/>
      <c r="Q75" s="799"/>
      <c r="S75" s="382"/>
      <c r="T75" s="382"/>
      <c r="U75" s="382"/>
      <c r="V75" s="382"/>
      <c r="W75" s="382"/>
      <c r="X75" s="382" t="s">
        <v>2253</v>
      </c>
      <c r="Y75" s="435">
        <v>3977</v>
      </c>
      <c r="Z75" s="435">
        <v>2454</v>
      </c>
      <c r="AA75" s="874">
        <v>1159</v>
      </c>
      <c r="AB75" s="855">
        <f t="shared" si="7"/>
        <v>47.229013854930727</v>
      </c>
      <c r="AC75" s="525">
        <v>948</v>
      </c>
      <c r="AD75" s="855">
        <f t="shared" si="5"/>
        <v>38.630806845965772</v>
      </c>
      <c r="AE75" s="525">
        <v>895</v>
      </c>
      <c r="AF75" s="855">
        <f t="shared" si="6"/>
        <v>36.471067644661773</v>
      </c>
      <c r="AG75" s="382"/>
      <c r="AH75" s="382"/>
      <c r="AN75" s="598"/>
      <c r="AO75" s="585"/>
      <c r="AP75" s="585"/>
    </row>
    <row r="76" spans="6:56" ht="12.95" customHeight="1">
      <c r="O76" s="637"/>
      <c r="Q76" s="799"/>
      <c r="T76" s="382"/>
      <c r="U76" s="382"/>
      <c r="V76" s="382"/>
      <c r="W76" s="382"/>
      <c r="X76" s="382" t="s">
        <v>2185</v>
      </c>
      <c r="Y76" s="435">
        <v>5233</v>
      </c>
      <c r="Z76" s="435">
        <v>2926</v>
      </c>
      <c r="AA76" s="874">
        <v>1363</v>
      </c>
      <c r="AB76" s="855">
        <f t="shared" si="7"/>
        <v>46.582365003417635</v>
      </c>
      <c r="AC76" s="525">
        <v>1126</v>
      </c>
      <c r="AD76" s="855">
        <f t="shared" si="5"/>
        <v>38.482570061517428</v>
      </c>
      <c r="AE76" s="525">
        <v>953</v>
      </c>
      <c r="AF76" s="855">
        <f t="shared" si="6"/>
        <v>32.570061517429934</v>
      </c>
      <c r="AG76" s="382"/>
      <c r="AH76" s="382"/>
      <c r="AN76" s="598"/>
      <c r="AO76" s="585"/>
      <c r="AP76" s="585"/>
    </row>
    <row r="77" spans="6:56" ht="12.95" customHeight="1">
      <c r="O77" s="637"/>
      <c r="V77" s="382"/>
      <c r="W77" s="382"/>
      <c r="X77" s="382" t="s">
        <v>2202</v>
      </c>
      <c r="Y77" s="435">
        <v>5472</v>
      </c>
      <c r="Z77" s="435">
        <v>2761</v>
      </c>
      <c r="AA77" s="874">
        <v>1485</v>
      </c>
      <c r="AB77" s="855">
        <f t="shared" si="7"/>
        <v>53.784860557768923</v>
      </c>
      <c r="AC77" s="525">
        <v>1139</v>
      </c>
      <c r="AD77" s="855">
        <f t="shared" si="5"/>
        <v>41.253169141615359</v>
      </c>
      <c r="AE77" s="525">
        <v>957</v>
      </c>
      <c r="AF77" s="855">
        <f t="shared" si="6"/>
        <v>34.661354581673308</v>
      </c>
      <c r="AG77" s="382"/>
      <c r="AH77" s="382"/>
      <c r="AN77" s="598"/>
      <c r="AO77" s="585"/>
      <c r="AP77" s="585"/>
    </row>
    <row r="78" spans="6:56" ht="12.95" customHeight="1">
      <c r="O78" s="637"/>
      <c r="V78" s="382"/>
      <c r="W78" s="382"/>
      <c r="X78" s="382" t="s">
        <v>2177</v>
      </c>
      <c r="Y78" s="435">
        <v>15039</v>
      </c>
      <c r="Z78" s="435">
        <v>7260</v>
      </c>
      <c r="AA78" s="874">
        <v>3684</v>
      </c>
      <c r="AB78" s="855">
        <f t="shared" si="7"/>
        <v>50.743801652892564</v>
      </c>
      <c r="AC78" s="525">
        <v>2927</v>
      </c>
      <c r="AD78" s="855">
        <f t="shared" si="5"/>
        <v>40.316804407713498</v>
      </c>
      <c r="AE78" s="525">
        <v>2420</v>
      </c>
      <c r="AF78" s="855">
        <f t="shared" si="6"/>
        <v>33.333333333333329</v>
      </c>
      <c r="AG78" s="382"/>
      <c r="AH78" s="382"/>
      <c r="AN78" s="598"/>
      <c r="AO78" s="585"/>
      <c r="AP78" s="585"/>
    </row>
    <row r="79" spans="6:56" ht="12.95" customHeight="1">
      <c r="P79" s="585"/>
      <c r="Q79" s="585"/>
      <c r="V79" s="382"/>
      <c r="W79" s="382"/>
      <c r="X79" s="381" t="s">
        <v>2208</v>
      </c>
      <c r="Y79" s="556">
        <v>7008</v>
      </c>
      <c r="Z79" s="556">
        <v>3544</v>
      </c>
      <c r="AA79" s="877">
        <v>1921</v>
      </c>
      <c r="AB79" s="867">
        <f t="shared" si="7"/>
        <v>54.204288939051914</v>
      </c>
      <c r="AC79" s="633">
        <v>1331</v>
      </c>
      <c r="AD79" s="867">
        <f t="shared" si="5"/>
        <v>37.556433408577874</v>
      </c>
      <c r="AE79" s="633">
        <v>1149</v>
      </c>
      <c r="AF79" s="867">
        <f t="shared" si="6"/>
        <v>32.420993227990969</v>
      </c>
      <c r="AG79" s="382"/>
      <c r="AH79" s="382"/>
      <c r="AN79" s="598"/>
      <c r="AO79" s="585"/>
      <c r="AP79" s="585"/>
    </row>
    <row r="80" spans="6:56" ht="12.95" customHeight="1">
      <c r="V80" s="382"/>
      <c r="W80" s="382"/>
      <c r="X80" s="382" t="s">
        <v>4069</v>
      </c>
      <c r="Y80" s="382"/>
      <c r="Z80" s="382"/>
      <c r="AG80" s="382"/>
      <c r="AH80" s="382"/>
      <c r="AO80" s="585"/>
      <c r="AP80" s="585"/>
    </row>
    <row r="81" spans="9:54" ht="12.95" customHeight="1">
      <c r="V81" s="382"/>
      <c r="W81" s="382"/>
      <c r="AG81" s="382"/>
      <c r="AH81" s="382"/>
    </row>
    <row r="82" spans="9:54" ht="12.75" customHeight="1">
      <c r="V82" s="382"/>
      <c r="W82" s="382"/>
      <c r="AG82" s="382"/>
      <c r="AH82" s="382"/>
    </row>
    <row r="83" spans="9:54" ht="12.75" customHeight="1">
      <c r="V83" s="382"/>
      <c r="W83" s="382"/>
      <c r="AG83" s="382"/>
      <c r="AH83" s="382"/>
    </row>
    <row r="84" spans="9:54" ht="12.75" customHeight="1">
      <c r="M84" s="382"/>
      <c r="V84" s="382"/>
      <c r="W84" s="382"/>
      <c r="X84" s="381" t="s">
        <v>4294</v>
      </c>
      <c r="Y84" s="883"/>
      <c r="Z84" s="883"/>
      <c r="AA84" s="586"/>
      <c r="AB84" s="586"/>
      <c r="AC84" s="586"/>
      <c r="AD84" s="586"/>
      <c r="AG84" s="382"/>
      <c r="AH84" s="382"/>
      <c r="AJ84" s="637"/>
    </row>
    <row r="85" spans="9:54" ht="12.75" customHeight="1">
      <c r="M85" s="382"/>
      <c r="V85" s="382"/>
      <c r="W85" s="382"/>
      <c r="Y85" s="604"/>
      <c r="Z85" s="604"/>
      <c r="AA85" s="2139" t="s">
        <v>4194</v>
      </c>
      <c r="AB85" s="2140"/>
      <c r="AC85" s="2137" t="s">
        <v>4240</v>
      </c>
      <c r="AD85" s="2138"/>
      <c r="AE85" s="2137" t="s">
        <v>4295</v>
      </c>
      <c r="AF85" s="2138"/>
      <c r="AG85" s="382"/>
      <c r="AH85" s="382"/>
      <c r="AJ85" s="858"/>
      <c r="AK85" s="382"/>
      <c r="AL85" s="382"/>
      <c r="AM85" s="382"/>
      <c r="AN85" s="382"/>
      <c r="AO85" s="382"/>
      <c r="AP85" s="382"/>
      <c r="AQ85" s="382"/>
      <c r="AR85" s="382"/>
      <c r="AS85" s="382"/>
      <c r="AT85" s="382"/>
      <c r="AU85" s="382"/>
      <c r="AV85" s="382"/>
      <c r="AW85" s="382"/>
      <c r="AX85" s="382"/>
      <c r="AY85" s="382"/>
      <c r="AZ85" s="382"/>
      <c r="BA85" s="382"/>
      <c r="BB85" s="382"/>
    </row>
    <row r="86" spans="9:54" ht="12.75" customHeight="1">
      <c r="M86" s="382"/>
      <c r="V86" s="382"/>
      <c r="W86" s="382"/>
      <c r="X86" s="382" t="s">
        <v>3990</v>
      </c>
      <c r="Y86" s="667" t="s">
        <v>3991</v>
      </c>
      <c r="Z86" s="667" t="s">
        <v>129</v>
      </c>
      <c r="AA86" s="2141"/>
      <c r="AB86" s="2142"/>
      <c r="AC86" s="2132"/>
      <c r="AD86" s="2134"/>
      <c r="AE86" s="2132"/>
      <c r="AF86" s="2134"/>
      <c r="AG86" s="382"/>
      <c r="AH86" s="382"/>
      <c r="AJ86" s="870"/>
    </row>
    <row r="87" spans="9:54" ht="12.75" customHeight="1">
      <c r="M87" s="382"/>
      <c r="V87" s="382"/>
      <c r="W87" s="382"/>
      <c r="X87" s="381" t="s">
        <v>4020</v>
      </c>
      <c r="Y87" s="441" t="s">
        <v>4021</v>
      </c>
      <c r="Z87" s="441" t="s">
        <v>3972</v>
      </c>
      <c r="AA87" s="413" t="s">
        <v>1665</v>
      </c>
      <c r="AB87" s="413" t="s">
        <v>1666</v>
      </c>
      <c r="AC87" s="413" t="s">
        <v>1665</v>
      </c>
      <c r="AD87" s="413" t="s">
        <v>1666</v>
      </c>
      <c r="AE87" s="413" t="s">
        <v>1665</v>
      </c>
      <c r="AF87" s="413" t="s">
        <v>1666</v>
      </c>
      <c r="AG87" s="382"/>
      <c r="AH87" s="382"/>
    </row>
    <row r="88" spans="9:54" ht="12.75" customHeight="1">
      <c r="M88" s="382"/>
      <c r="V88" s="382"/>
      <c r="W88" s="382"/>
      <c r="X88" s="382" t="s">
        <v>3503</v>
      </c>
      <c r="Y88" s="435">
        <f>SUM(Y89:Y107)</f>
        <v>60462</v>
      </c>
      <c r="Z88" s="525">
        <v>34074</v>
      </c>
      <c r="AA88" s="525">
        <f>SUM(AA89:AA107)</f>
        <v>11844</v>
      </c>
      <c r="AB88" s="855">
        <f>AA88/Z88*100</f>
        <v>34.759640781827791</v>
      </c>
      <c r="AC88" s="525">
        <f>SUM(AC89:AC107)</f>
        <v>11300</v>
      </c>
      <c r="AD88" s="855">
        <f>AC88/Z88*100</f>
        <v>33.163115571990375</v>
      </c>
      <c r="AE88" s="525">
        <f>SUM(AE89:AE107)</f>
        <v>9748</v>
      </c>
      <c r="AF88" s="855">
        <f>AE88/Z88*100</f>
        <v>28.608323061571873</v>
      </c>
      <c r="AG88" s="382"/>
      <c r="AH88" s="382"/>
    </row>
    <row r="89" spans="9:54" ht="12.75" customHeight="1">
      <c r="M89" s="382"/>
      <c r="V89" s="382"/>
      <c r="W89" s="382"/>
      <c r="X89" s="858" t="s">
        <v>2384</v>
      </c>
      <c r="Y89" s="859">
        <v>386</v>
      </c>
      <c r="Z89" s="859">
        <v>245</v>
      </c>
      <c r="AA89" s="873">
        <v>58</v>
      </c>
      <c r="AB89" s="855">
        <f>AA89/Z89*100</f>
        <v>23.673469387755102</v>
      </c>
      <c r="AC89" s="525">
        <v>73</v>
      </c>
      <c r="AD89" s="855">
        <f>AC89/Z89*100</f>
        <v>29.795918367346943</v>
      </c>
      <c r="AE89" s="525">
        <v>64</v>
      </c>
      <c r="AF89" s="855">
        <f>AE89/Z89*100</f>
        <v>26.122448979591837</v>
      </c>
      <c r="AG89" s="382"/>
      <c r="AH89" s="382"/>
    </row>
    <row r="90" spans="9:54" ht="12.75" customHeight="1">
      <c r="M90" s="382"/>
      <c r="V90" s="382"/>
      <c r="W90" s="382"/>
      <c r="X90" s="382" t="s">
        <v>2252</v>
      </c>
      <c r="Y90" s="435">
        <v>1010</v>
      </c>
      <c r="Z90" s="463">
        <v>624</v>
      </c>
      <c r="AA90" s="874">
        <v>193</v>
      </c>
      <c r="AB90" s="855">
        <f t="shared" ref="AB90:AB107" si="8">AA90/Z90*100</f>
        <v>30.929487179487182</v>
      </c>
      <c r="AC90" s="525">
        <v>199</v>
      </c>
      <c r="AD90" s="855">
        <f t="shared" ref="AD90:AD107" si="9">AC90/Z90*100</f>
        <v>31.891025641025639</v>
      </c>
      <c r="AE90" s="525">
        <v>155</v>
      </c>
      <c r="AF90" s="855">
        <f t="shared" ref="AF90:AF107" si="10">AE90/Z90*100</f>
        <v>24.839743589743591</v>
      </c>
      <c r="AG90" s="382"/>
      <c r="AH90" s="382"/>
      <c r="AJ90" s="637"/>
    </row>
    <row r="91" spans="9:54" ht="12.75" customHeight="1">
      <c r="V91" s="382"/>
      <c r="W91" s="382"/>
      <c r="X91" s="382" t="s">
        <v>2195</v>
      </c>
      <c r="Y91" s="435">
        <v>899</v>
      </c>
      <c r="Z91" s="463">
        <v>570</v>
      </c>
      <c r="AA91" s="874">
        <v>170</v>
      </c>
      <c r="AB91" s="855">
        <f t="shared" si="8"/>
        <v>29.82456140350877</v>
      </c>
      <c r="AC91" s="525">
        <v>186</v>
      </c>
      <c r="AD91" s="855">
        <f t="shared" si="9"/>
        <v>32.631578947368425</v>
      </c>
      <c r="AE91" s="525">
        <v>173</v>
      </c>
      <c r="AF91" s="855">
        <f t="shared" si="10"/>
        <v>30.350877192982455</v>
      </c>
      <c r="AG91" s="382"/>
      <c r="AH91" s="382"/>
      <c r="AJ91" s="858"/>
    </row>
    <row r="92" spans="9:54" ht="12.75" customHeight="1">
      <c r="V92" s="382"/>
      <c r="W92" s="382"/>
      <c r="X92" s="382" t="s">
        <v>4042</v>
      </c>
      <c r="Y92" s="435">
        <v>2318</v>
      </c>
      <c r="Z92" s="435">
        <v>1433</v>
      </c>
      <c r="AA92" s="874">
        <v>445</v>
      </c>
      <c r="AB92" s="855">
        <f t="shared" si="8"/>
        <v>31.053733426378226</v>
      </c>
      <c r="AC92" s="525">
        <v>409</v>
      </c>
      <c r="AD92" s="855">
        <f t="shared" si="9"/>
        <v>28.541521284019538</v>
      </c>
      <c r="AE92" s="525">
        <v>436</v>
      </c>
      <c r="AF92" s="855">
        <f t="shared" si="10"/>
        <v>30.425680390788557</v>
      </c>
      <c r="AG92" s="382"/>
      <c r="AH92" s="382"/>
      <c r="AJ92" s="870"/>
    </row>
    <row r="93" spans="9:54" ht="12.75" customHeight="1">
      <c r="I93" s="382"/>
      <c r="V93" s="382"/>
      <c r="W93" s="382"/>
      <c r="X93" s="382" t="s">
        <v>4208</v>
      </c>
      <c r="Y93" s="435">
        <v>1916</v>
      </c>
      <c r="Z93" s="435">
        <v>1231</v>
      </c>
      <c r="AA93" s="874">
        <v>416</v>
      </c>
      <c r="AB93" s="855">
        <f t="shared" si="8"/>
        <v>33.793663688058487</v>
      </c>
      <c r="AC93" s="525">
        <v>388</v>
      </c>
      <c r="AD93" s="855">
        <f t="shared" si="9"/>
        <v>31.51909017059301</v>
      </c>
      <c r="AE93" s="525">
        <v>460</v>
      </c>
      <c r="AF93" s="855">
        <f t="shared" si="10"/>
        <v>37.367993501218521</v>
      </c>
      <c r="AG93" s="382"/>
      <c r="AH93" s="382"/>
    </row>
    <row r="94" spans="9:54" ht="12.75" customHeight="1">
      <c r="I94" s="382"/>
      <c r="V94" s="382"/>
      <c r="W94" s="382"/>
      <c r="X94" s="382" t="s">
        <v>4212</v>
      </c>
      <c r="Y94" s="435">
        <v>547</v>
      </c>
      <c r="Z94" s="463">
        <v>339</v>
      </c>
      <c r="AA94" s="874">
        <v>75</v>
      </c>
      <c r="AB94" s="855">
        <f t="shared" si="8"/>
        <v>22.123893805309734</v>
      </c>
      <c r="AC94" s="525">
        <v>83</v>
      </c>
      <c r="AD94" s="855">
        <f t="shared" si="9"/>
        <v>24.483775811209441</v>
      </c>
      <c r="AE94" s="525">
        <v>99</v>
      </c>
      <c r="AF94" s="855">
        <f t="shared" si="10"/>
        <v>29.20353982300885</v>
      </c>
      <c r="AG94" s="382"/>
      <c r="AH94" s="382"/>
    </row>
    <row r="95" spans="9:54" ht="12.75" customHeight="1">
      <c r="I95" s="382"/>
      <c r="J95" s="382"/>
      <c r="V95" s="382"/>
      <c r="W95" s="382"/>
      <c r="X95" s="382" t="s">
        <v>2151</v>
      </c>
      <c r="Y95" s="435">
        <v>1096</v>
      </c>
      <c r="Z95" s="435">
        <v>661</v>
      </c>
      <c r="AA95" s="874">
        <v>263</v>
      </c>
      <c r="AB95" s="855">
        <f t="shared" si="8"/>
        <v>39.788199697428141</v>
      </c>
      <c r="AC95" s="525">
        <v>191</v>
      </c>
      <c r="AD95" s="855">
        <f t="shared" si="9"/>
        <v>28.895612708018152</v>
      </c>
      <c r="AE95" s="525">
        <v>197</v>
      </c>
      <c r="AF95" s="855">
        <f t="shared" si="10"/>
        <v>29.80332829046899</v>
      </c>
      <c r="AG95" s="382"/>
      <c r="AH95" s="382"/>
    </row>
    <row r="96" spans="9:54" ht="12.75" customHeight="1">
      <c r="I96" s="382"/>
      <c r="J96" s="382"/>
      <c r="K96" s="382"/>
      <c r="L96" s="382"/>
      <c r="V96" s="382"/>
      <c r="W96" s="382"/>
      <c r="X96" s="382" t="s">
        <v>4217</v>
      </c>
      <c r="Y96" s="435">
        <v>1800</v>
      </c>
      <c r="Z96" s="435">
        <v>1188</v>
      </c>
      <c r="AA96" s="874">
        <v>465</v>
      </c>
      <c r="AB96" s="855">
        <f t="shared" si="8"/>
        <v>39.141414141414145</v>
      </c>
      <c r="AC96" s="525">
        <v>347</v>
      </c>
      <c r="AD96" s="855">
        <f t="shared" si="9"/>
        <v>29.208754208754208</v>
      </c>
      <c r="AE96" s="525">
        <v>289</v>
      </c>
      <c r="AF96" s="855">
        <f t="shared" si="10"/>
        <v>24.326599326599325</v>
      </c>
      <c r="AG96" s="382"/>
      <c r="AH96" s="382"/>
    </row>
    <row r="97" spans="6:34" ht="12.75" customHeight="1">
      <c r="G97" s="382"/>
      <c r="H97" s="382"/>
      <c r="I97" s="382"/>
      <c r="J97" s="382"/>
      <c r="K97" s="382"/>
      <c r="L97" s="382"/>
      <c r="V97" s="382"/>
      <c r="W97" s="382"/>
      <c r="X97" s="382" t="s">
        <v>4056</v>
      </c>
      <c r="Y97" s="435">
        <v>1843</v>
      </c>
      <c r="Z97" s="435">
        <v>1216</v>
      </c>
      <c r="AA97" s="874">
        <v>439</v>
      </c>
      <c r="AB97" s="855">
        <f t="shared" si="8"/>
        <v>36.101973684210527</v>
      </c>
      <c r="AC97" s="525">
        <v>401</v>
      </c>
      <c r="AD97" s="855">
        <f t="shared" si="9"/>
        <v>32.976973684210527</v>
      </c>
      <c r="AE97" s="525">
        <v>383</v>
      </c>
      <c r="AF97" s="855">
        <f t="shared" si="10"/>
        <v>31.496710526315791</v>
      </c>
      <c r="AG97" s="382"/>
      <c r="AH97" s="382"/>
    </row>
    <row r="98" spans="6:34" ht="12.75" customHeight="1">
      <c r="F98" s="382"/>
      <c r="G98" s="382"/>
      <c r="H98" s="382"/>
      <c r="I98" s="382"/>
      <c r="J98" s="382"/>
      <c r="K98" s="382"/>
      <c r="L98" s="382"/>
      <c r="V98" s="382"/>
      <c r="W98" s="382"/>
      <c r="X98" s="382" t="s">
        <v>2209</v>
      </c>
      <c r="Y98" s="435">
        <v>3131</v>
      </c>
      <c r="Z98" s="435">
        <v>1943</v>
      </c>
      <c r="AA98" s="874">
        <v>641</v>
      </c>
      <c r="AB98" s="855">
        <f t="shared" si="8"/>
        <v>32.990221307256817</v>
      </c>
      <c r="AC98" s="525">
        <v>632</v>
      </c>
      <c r="AD98" s="855">
        <f t="shared" si="9"/>
        <v>32.527020072053524</v>
      </c>
      <c r="AE98" s="525">
        <v>566</v>
      </c>
      <c r="AF98" s="855">
        <f t="shared" si="10"/>
        <v>29.130211013896034</v>
      </c>
      <c r="AG98" s="382"/>
      <c r="AH98" s="382"/>
    </row>
    <row r="99" spans="6:34" ht="12.75" customHeight="1">
      <c r="F99" s="382"/>
      <c r="G99" s="382"/>
      <c r="H99" s="382"/>
      <c r="I99" s="382"/>
      <c r="J99" s="382"/>
      <c r="K99" s="382"/>
      <c r="L99" s="382"/>
      <c r="V99" s="382"/>
      <c r="W99" s="382"/>
      <c r="X99" s="382" t="s">
        <v>2352</v>
      </c>
      <c r="Y99" s="435">
        <v>2979</v>
      </c>
      <c r="Z99" s="435">
        <v>1924</v>
      </c>
      <c r="AA99" s="874">
        <v>661</v>
      </c>
      <c r="AB99" s="855">
        <f t="shared" si="8"/>
        <v>34.355509355509355</v>
      </c>
      <c r="AC99" s="525">
        <v>620</v>
      </c>
      <c r="AD99" s="855">
        <f t="shared" si="9"/>
        <v>32.224532224532226</v>
      </c>
      <c r="AE99" s="525">
        <v>585</v>
      </c>
      <c r="AF99" s="855">
        <f t="shared" si="10"/>
        <v>30.405405405405407</v>
      </c>
      <c r="AG99" s="382"/>
      <c r="AH99" s="382"/>
    </row>
    <row r="100" spans="6:34" ht="12.75" customHeight="1">
      <c r="F100" s="382"/>
      <c r="G100" s="382"/>
      <c r="H100" s="382"/>
      <c r="J100" s="382"/>
      <c r="K100" s="382"/>
      <c r="L100" s="382"/>
      <c r="V100" s="382"/>
      <c r="W100" s="382"/>
      <c r="X100" s="382" t="s">
        <v>2261</v>
      </c>
      <c r="Y100" s="435">
        <v>1757</v>
      </c>
      <c r="Z100" s="435">
        <v>1216</v>
      </c>
      <c r="AA100" s="874">
        <v>400</v>
      </c>
      <c r="AB100" s="855">
        <f t="shared" si="8"/>
        <v>32.894736842105267</v>
      </c>
      <c r="AC100" s="525">
        <v>375</v>
      </c>
      <c r="AD100" s="855">
        <f t="shared" si="9"/>
        <v>30.838815789473685</v>
      </c>
      <c r="AE100" s="525">
        <v>364</v>
      </c>
      <c r="AF100" s="855">
        <f t="shared" si="10"/>
        <v>29.934210526315791</v>
      </c>
      <c r="AG100" s="382"/>
      <c r="AH100" s="382"/>
    </row>
    <row r="101" spans="6:34" ht="12.75" customHeight="1">
      <c r="F101" s="382"/>
      <c r="G101" s="382"/>
      <c r="H101" s="382"/>
      <c r="J101" s="382"/>
      <c r="K101" s="382"/>
      <c r="L101" s="382"/>
      <c r="X101" s="382" t="s">
        <v>2251</v>
      </c>
      <c r="Y101" s="435">
        <v>1643</v>
      </c>
      <c r="Z101" s="435">
        <v>1109</v>
      </c>
      <c r="AA101" s="874">
        <v>313</v>
      </c>
      <c r="AB101" s="855">
        <f t="shared" si="8"/>
        <v>28.22362488728584</v>
      </c>
      <c r="AC101" s="525">
        <v>329</v>
      </c>
      <c r="AD101" s="855">
        <f t="shared" si="9"/>
        <v>29.666366095581605</v>
      </c>
      <c r="AE101" s="525">
        <v>343</v>
      </c>
      <c r="AF101" s="855">
        <f t="shared" si="10"/>
        <v>30.928764652840396</v>
      </c>
    </row>
    <row r="102" spans="6:34" ht="12.75" customHeight="1">
      <c r="F102" s="382"/>
      <c r="G102" s="382"/>
      <c r="H102" s="382"/>
      <c r="K102" s="382"/>
      <c r="L102" s="382"/>
      <c r="V102" s="382"/>
      <c r="W102" s="382"/>
      <c r="X102" s="382" t="s">
        <v>4067</v>
      </c>
      <c r="Y102" s="435">
        <v>2408</v>
      </c>
      <c r="Z102" s="435">
        <v>1430</v>
      </c>
      <c r="AA102" s="874">
        <v>486</v>
      </c>
      <c r="AB102" s="855">
        <f t="shared" si="8"/>
        <v>33.986013986013987</v>
      </c>
      <c r="AC102" s="525">
        <v>426</v>
      </c>
      <c r="AD102" s="855">
        <f t="shared" si="9"/>
        <v>29.790209790209794</v>
      </c>
      <c r="AE102" s="525">
        <v>384</v>
      </c>
      <c r="AF102" s="855">
        <f t="shared" si="10"/>
        <v>26.853146853146853</v>
      </c>
      <c r="AG102" s="382"/>
      <c r="AH102" s="382"/>
    </row>
    <row r="103" spans="6:34" ht="12.75" customHeight="1">
      <c r="F103" s="382"/>
      <c r="G103" s="382"/>
      <c r="H103" s="382"/>
      <c r="V103" s="382"/>
      <c r="W103" s="382"/>
      <c r="X103" s="382" t="s">
        <v>2253</v>
      </c>
      <c r="Y103" s="435">
        <v>3977</v>
      </c>
      <c r="Z103" s="435">
        <v>2454</v>
      </c>
      <c r="AA103" s="874">
        <v>778</v>
      </c>
      <c r="AB103" s="855">
        <f t="shared" si="8"/>
        <v>31.703341483292586</v>
      </c>
      <c r="AC103" s="525">
        <v>843</v>
      </c>
      <c r="AD103" s="855">
        <f t="shared" si="9"/>
        <v>34.352078239608801</v>
      </c>
      <c r="AE103" s="525">
        <v>830</v>
      </c>
      <c r="AF103" s="855">
        <f t="shared" si="10"/>
        <v>33.822330888345562</v>
      </c>
      <c r="AG103" s="382"/>
      <c r="AH103" s="382"/>
    </row>
    <row r="104" spans="6:34" ht="12.75" customHeight="1">
      <c r="F104" s="382"/>
      <c r="V104" s="382"/>
      <c r="W104" s="382"/>
      <c r="X104" s="382" t="s">
        <v>2185</v>
      </c>
      <c r="Y104" s="435">
        <v>5233</v>
      </c>
      <c r="Z104" s="435">
        <v>2926</v>
      </c>
      <c r="AA104" s="874">
        <v>1057</v>
      </c>
      <c r="AB104" s="855">
        <f t="shared" si="8"/>
        <v>36.124401913875595</v>
      </c>
      <c r="AC104" s="525">
        <v>1276</v>
      </c>
      <c r="AD104" s="855">
        <f t="shared" si="9"/>
        <v>43.609022556390975</v>
      </c>
      <c r="AE104" s="525">
        <v>880</v>
      </c>
      <c r="AF104" s="855">
        <f t="shared" si="10"/>
        <v>30.075187969924812</v>
      </c>
      <c r="AG104" s="382"/>
      <c r="AH104" s="382"/>
    </row>
    <row r="105" spans="6:34" ht="12.75" customHeight="1">
      <c r="V105" s="382"/>
      <c r="W105" s="382"/>
      <c r="X105" s="382" t="s">
        <v>2202</v>
      </c>
      <c r="Y105" s="435">
        <v>5472</v>
      </c>
      <c r="Z105" s="435">
        <v>2761</v>
      </c>
      <c r="AA105" s="874">
        <v>882</v>
      </c>
      <c r="AB105" s="855">
        <f t="shared" si="8"/>
        <v>31.944947482796088</v>
      </c>
      <c r="AC105" s="525">
        <v>865</v>
      </c>
      <c r="AD105" s="855">
        <f t="shared" si="9"/>
        <v>31.329228540383919</v>
      </c>
      <c r="AE105" s="525">
        <v>662</v>
      </c>
      <c r="AF105" s="855">
        <f t="shared" si="10"/>
        <v>23.976819992756248</v>
      </c>
      <c r="AG105" s="382"/>
      <c r="AH105" s="382"/>
    </row>
    <row r="106" spans="6:34" ht="12.75" customHeight="1">
      <c r="V106" s="382"/>
      <c r="W106" s="382"/>
      <c r="X106" s="382" t="s">
        <v>2177</v>
      </c>
      <c r="Y106" s="435">
        <v>15039</v>
      </c>
      <c r="Z106" s="435">
        <v>7260</v>
      </c>
      <c r="AA106" s="874">
        <v>2766</v>
      </c>
      <c r="AB106" s="855">
        <f t="shared" si="8"/>
        <v>38.099173553719005</v>
      </c>
      <c r="AC106" s="525">
        <v>2437</v>
      </c>
      <c r="AD106" s="855">
        <f t="shared" si="9"/>
        <v>33.567493112947659</v>
      </c>
      <c r="AE106" s="525">
        <v>1932</v>
      </c>
      <c r="AF106" s="855">
        <f t="shared" si="10"/>
        <v>26.611570247933887</v>
      </c>
      <c r="AG106" s="382"/>
      <c r="AH106" s="382"/>
    </row>
    <row r="107" spans="6:34" ht="12.75" customHeight="1">
      <c r="V107" s="382"/>
      <c r="W107" s="382"/>
      <c r="X107" s="381" t="s">
        <v>2208</v>
      </c>
      <c r="Y107" s="556">
        <v>7008</v>
      </c>
      <c r="Z107" s="556">
        <v>3544</v>
      </c>
      <c r="AA107" s="877">
        <v>1336</v>
      </c>
      <c r="AB107" s="867">
        <f t="shared" si="8"/>
        <v>37.697516930022573</v>
      </c>
      <c r="AC107" s="633">
        <v>1220</v>
      </c>
      <c r="AD107" s="867">
        <f t="shared" si="9"/>
        <v>34.424379232505643</v>
      </c>
      <c r="AE107" s="633">
        <v>946</v>
      </c>
      <c r="AF107" s="867">
        <f t="shared" si="10"/>
        <v>26.693002257336346</v>
      </c>
      <c r="AG107" s="382"/>
      <c r="AH107" s="382"/>
    </row>
    <row r="108" spans="6:34" ht="12.75" customHeight="1">
      <c r="V108" s="382"/>
      <c r="W108" s="382"/>
      <c r="X108" s="382" t="s">
        <v>4069</v>
      </c>
      <c r="Y108" s="382"/>
      <c r="Z108" s="382"/>
      <c r="AG108" s="382"/>
      <c r="AH108" s="382"/>
    </row>
    <row r="109" spans="6:34">
      <c r="V109" s="382"/>
      <c r="W109" s="382"/>
      <c r="AA109" s="2122"/>
      <c r="AB109" s="2122"/>
      <c r="AC109" s="2094"/>
      <c r="AD109" s="2094"/>
      <c r="AG109" s="382"/>
      <c r="AH109" s="382"/>
    </row>
    <row r="110" spans="6:34">
      <c r="V110" s="382"/>
      <c r="W110" s="382"/>
      <c r="X110" s="382"/>
      <c r="Y110" s="439"/>
      <c r="Z110" s="439"/>
      <c r="AA110" s="2122"/>
      <c r="AB110" s="2122"/>
      <c r="AC110" s="2094"/>
      <c r="AD110" s="2094"/>
      <c r="AG110" s="382"/>
      <c r="AH110" s="382"/>
    </row>
    <row r="111" spans="6:34">
      <c r="V111" s="382"/>
      <c r="W111" s="382"/>
      <c r="X111" s="382"/>
      <c r="Y111" s="439"/>
      <c r="Z111" s="439"/>
      <c r="AA111" s="414"/>
      <c r="AB111" s="414"/>
      <c r="AC111" s="414"/>
      <c r="AD111" s="414"/>
      <c r="AG111" s="382"/>
      <c r="AH111" s="382"/>
    </row>
    <row r="112" spans="6:34">
      <c r="V112" s="382"/>
      <c r="W112" s="382"/>
      <c r="X112" s="381" t="s">
        <v>4296</v>
      </c>
      <c r="Y112" s="883"/>
      <c r="Z112" s="883"/>
      <c r="AA112" s="586"/>
      <c r="AB112" s="586"/>
      <c r="AC112" s="586"/>
      <c r="AD112" s="586"/>
      <c r="AG112" s="382"/>
      <c r="AH112" s="382"/>
    </row>
    <row r="113" spans="6:34">
      <c r="V113" s="382"/>
      <c r="W113" s="382"/>
      <c r="Y113" s="604"/>
      <c r="Z113" s="604"/>
      <c r="AA113" s="2139" t="s">
        <v>4297</v>
      </c>
      <c r="AB113" s="2140"/>
      <c r="AC113" s="2137" t="s">
        <v>4298</v>
      </c>
      <c r="AD113" s="2151"/>
      <c r="AE113" s="2137" t="s">
        <v>4299</v>
      </c>
      <c r="AF113" s="2138"/>
      <c r="AG113" s="382"/>
      <c r="AH113" s="382"/>
    </row>
    <row r="114" spans="6:34">
      <c r="M114" s="382"/>
      <c r="V114" s="382"/>
      <c r="W114" s="382"/>
      <c r="X114" s="382" t="s">
        <v>3990</v>
      </c>
      <c r="Y114" s="667" t="s">
        <v>3991</v>
      </c>
      <c r="Z114" s="667" t="s">
        <v>129</v>
      </c>
      <c r="AA114" s="2141"/>
      <c r="AB114" s="2142"/>
      <c r="AC114" s="2132"/>
      <c r="AD114" s="2133"/>
      <c r="AE114" s="2132"/>
      <c r="AF114" s="2134"/>
      <c r="AG114" s="382"/>
      <c r="AH114" s="382"/>
    </row>
    <row r="115" spans="6:34">
      <c r="M115" s="382"/>
      <c r="X115" s="381" t="s">
        <v>4020</v>
      </c>
      <c r="Y115" s="441" t="s">
        <v>4021</v>
      </c>
      <c r="Z115" s="441" t="s">
        <v>3972</v>
      </c>
      <c r="AA115" s="413" t="s">
        <v>1665</v>
      </c>
      <c r="AB115" s="413" t="s">
        <v>1666</v>
      </c>
      <c r="AC115" s="413" t="s">
        <v>1665</v>
      </c>
      <c r="AD115" s="413" t="s">
        <v>1666</v>
      </c>
      <c r="AE115" s="413" t="s">
        <v>1665</v>
      </c>
      <c r="AF115" s="413" t="s">
        <v>1666</v>
      </c>
    </row>
    <row r="116" spans="6:34">
      <c r="M116" s="382"/>
      <c r="X116" s="382" t="s">
        <v>3503</v>
      </c>
      <c r="Y116" s="435">
        <f>SUM(Y117:Y135)</f>
        <v>60462</v>
      </c>
      <c r="Z116" s="463">
        <f>SUM(Z117:Z135)</f>
        <v>29377</v>
      </c>
      <c r="AA116" s="525">
        <f>SUM(AA117:AA135)</f>
        <v>13206</v>
      </c>
      <c r="AB116" s="855">
        <f>AA116/Z116*100</f>
        <v>44.953535078462743</v>
      </c>
      <c r="AC116" s="525">
        <f>SUM(AC117:AC135)</f>
        <v>10005</v>
      </c>
      <c r="AD116" s="855">
        <f>AC116/Z116*100</f>
        <v>34.05725567620928</v>
      </c>
      <c r="AE116" s="525">
        <f>SUM(AE117:AE135)</f>
        <v>8664</v>
      </c>
      <c r="AF116" s="855">
        <f>AE116/Z116*100</f>
        <v>29.492460087823808</v>
      </c>
    </row>
    <row r="117" spans="6:34">
      <c r="M117" s="382"/>
      <c r="X117" s="858" t="s">
        <v>2384</v>
      </c>
      <c r="Y117" s="859">
        <v>386</v>
      </c>
      <c r="Z117" s="463">
        <v>265</v>
      </c>
      <c r="AA117" s="873">
        <v>87</v>
      </c>
      <c r="AB117" s="855">
        <f t="shared" ref="AB117:AB135" si="11">AA117/Z117*100</f>
        <v>32.830188679245282</v>
      </c>
      <c r="AC117" s="525">
        <v>96</v>
      </c>
      <c r="AD117" s="855">
        <f t="shared" ref="AD117:AD135" si="12">AC117/Z117*100</f>
        <v>36.226415094339622</v>
      </c>
      <c r="AE117" s="525">
        <v>144</v>
      </c>
      <c r="AF117" s="855">
        <f t="shared" ref="AF117:AF135" si="13">AE117/Z117*100</f>
        <v>54.339622641509436</v>
      </c>
    </row>
    <row r="118" spans="6:34">
      <c r="M118" s="382"/>
      <c r="V118" s="382"/>
      <c r="W118" s="382"/>
      <c r="X118" s="382" t="s">
        <v>2252</v>
      </c>
      <c r="Y118" s="435">
        <v>1010</v>
      </c>
      <c r="Z118" s="463">
        <v>657</v>
      </c>
      <c r="AA118" s="874">
        <v>266</v>
      </c>
      <c r="AB118" s="855">
        <f t="shared" si="11"/>
        <v>40.48706240487062</v>
      </c>
      <c r="AC118" s="525">
        <v>223</v>
      </c>
      <c r="AD118" s="855">
        <f t="shared" si="12"/>
        <v>33.94216133942161</v>
      </c>
      <c r="AE118" s="525">
        <v>215</v>
      </c>
      <c r="AF118" s="855">
        <f t="shared" si="13"/>
        <v>32.724505327245055</v>
      </c>
      <c r="AG118" s="382"/>
      <c r="AH118" s="382"/>
    </row>
    <row r="119" spans="6:34">
      <c r="M119" s="382"/>
      <c r="V119" s="382"/>
      <c r="W119" s="382"/>
      <c r="X119" s="382" t="s">
        <v>2195</v>
      </c>
      <c r="Y119" s="435">
        <v>899</v>
      </c>
      <c r="Z119" s="463">
        <v>532</v>
      </c>
      <c r="AA119" s="874">
        <v>222</v>
      </c>
      <c r="AB119" s="855">
        <f t="shared" si="11"/>
        <v>41.729323308270679</v>
      </c>
      <c r="AC119" s="525">
        <v>204</v>
      </c>
      <c r="AD119" s="855">
        <f t="shared" si="12"/>
        <v>38.345864661654133</v>
      </c>
      <c r="AE119" s="525">
        <v>183</v>
      </c>
      <c r="AF119" s="855">
        <f t="shared" si="13"/>
        <v>34.398496240601503</v>
      </c>
      <c r="AG119" s="382"/>
      <c r="AH119" s="382"/>
    </row>
    <row r="120" spans="6:34">
      <c r="M120" s="382"/>
      <c r="V120" s="382"/>
      <c r="W120" s="382"/>
      <c r="X120" s="382" t="s">
        <v>4042</v>
      </c>
      <c r="Y120" s="435">
        <v>2318</v>
      </c>
      <c r="Z120" s="463">
        <v>1335</v>
      </c>
      <c r="AA120" s="874">
        <v>648</v>
      </c>
      <c r="AB120" s="855">
        <f t="shared" si="11"/>
        <v>48.539325842696627</v>
      </c>
      <c r="AC120" s="525">
        <v>388</v>
      </c>
      <c r="AD120" s="855">
        <f t="shared" si="12"/>
        <v>29.063670411985022</v>
      </c>
      <c r="AE120" s="525">
        <v>254</v>
      </c>
      <c r="AF120" s="855">
        <f t="shared" si="13"/>
        <v>19.026217228464422</v>
      </c>
      <c r="AG120" s="382"/>
      <c r="AH120" s="382"/>
    </row>
    <row r="121" spans="6:34" ht="12.75" customHeight="1">
      <c r="M121" s="382"/>
      <c r="V121" s="382"/>
      <c r="W121" s="382"/>
      <c r="X121" s="382" t="s">
        <v>4208</v>
      </c>
      <c r="Y121" s="435">
        <v>1916</v>
      </c>
      <c r="Z121" s="463">
        <v>1114</v>
      </c>
      <c r="AA121" s="874">
        <v>541</v>
      </c>
      <c r="AB121" s="855">
        <f t="shared" si="11"/>
        <v>48.563734290843804</v>
      </c>
      <c r="AC121" s="525">
        <v>374</v>
      </c>
      <c r="AD121" s="855">
        <f t="shared" si="12"/>
        <v>33.572710951526034</v>
      </c>
      <c r="AE121" s="525">
        <v>262</v>
      </c>
      <c r="AF121" s="855">
        <f t="shared" si="13"/>
        <v>23.518850987432675</v>
      </c>
      <c r="AG121" s="382"/>
      <c r="AH121" s="382"/>
    </row>
    <row r="122" spans="6:34" ht="12.75" customHeight="1">
      <c r="M122" s="382"/>
      <c r="V122" s="382"/>
      <c r="W122" s="382"/>
      <c r="X122" s="382" t="s">
        <v>4212</v>
      </c>
      <c r="Y122" s="435">
        <v>547</v>
      </c>
      <c r="Z122" s="463">
        <v>456</v>
      </c>
      <c r="AA122" s="874">
        <v>148</v>
      </c>
      <c r="AB122" s="855">
        <f t="shared" si="11"/>
        <v>32.456140350877192</v>
      </c>
      <c r="AC122" s="525">
        <v>133</v>
      </c>
      <c r="AD122" s="855">
        <f t="shared" si="12"/>
        <v>29.166666666666668</v>
      </c>
      <c r="AE122" s="525">
        <v>89</v>
      </c>
      <c r="AF122" s="855">
        <f t="shared" si="13"/>
        <v>19.517543859649123</v>
      </c>
      <c r="AG122" s="382"/>
      <c r="AH122" s="382"/>
    </row>
    <row r="123" spans="6:34">
      <c r="I123" s="382"/>
      <c r="M123" s="382"/>
      <c r="V123" s="382"/>
      <c r="W123" s="382"/>
      <c r="X123" s="382" t="s">
        <v>2151</v>
      </c>
      <c r="Y123" s="435">
        <v>1096</v>
      </c>
      <c r="Z123" s="463">
        <v>839</v>
      </c>
      <c r="AA123" s="874">
        <v>365</v>
      </c>
      <c r="AB123" s="855">
        <f t="shared" si="11"/>
        <v>43.504171632896302</v>
      </c>
      <c r="AC123" s="525">
        <v>257</v>
      </c>
      <c r="AD123" s="855">
        <f t="shared" si="12"/>
        <v>30.631704410011917</v>
      </c>
      <c r="AE123" s="525">
        <v>176</v>
      </c>
      <c r="AF123" s="855">
        <f t="shared" si="13"/>
        <v>20.977353992848631</v>
      </c>
      <c r="AG123" s="382"/>
      <c r="AH123" s="382"/>
    </row>
    <row r="124" spans="6:34">
      <c r="I124" s="382"/>
      <c r="V124" s="382"/>
      <c r="W124" s="382"/>
      <c r="X124" s="382" t="s">
        <v>4217</v>
      </c>
      <c r="Y124" s="435">
        <v>1800</v>
      </c>
      <c r="Z124" s="463">
        <v>1386</v>
      </c>
      <c r="AA124" s="874">
        <v>570</v>
      </c>
      <c r="AB124" s="855">
        <f t="shared" si="11"/>
        <v>41.125541125541126</v>
      </c>
      <c r="AC124" s="525">
        <v>541</v>
      </c>
      <c r="AD124" s="855">
        <f t="shared" si="12"/>
        <v>39.033189033189032</v>
      </c>
      <c r="AE124" s="525">
        <v>331</v>
      </c>
      <c r="AF124" s="855">
        <f t="shared" si="13"/>
        <v>23.881673881673883</v>
      </c>
      <c r="AG124" s="382"/>
      <c r="AH124" s="382"/>
    </row>
    <row r="125" spans="6:34" ht="13.15" customHeight="1">
      <c r="I125" s="382"/>
      <c r="J125" s="382"/>
      <c r="V125" s="382"/>
      <c r="W125" s="382"/>
      <c r="X125" s="382" t="s">
        <v>4056</v>
      </c>
      <c r="Y125" s="435">
        <v>1843</v>
      </c>
      <c r="Z125" s="463">
        <v>1077</v>
      </c>
      <c r="AA125" s="874">
        <v>463</v>
      </c>
      <c r="AB125" s="855">
        <f t="shared" si="11"/>
        <v>42.989786443825437</v>
      </c>
      <c r="AC125" s="525">
        <v>355</v>
      </c>
      <c r="AD125" s="855">
        <f t="shared" si="12"/>
        <v>32.961931290622097</v>
      </c>
      <c r="AE125" s="525">
        <v>368</v>
      </c>
      <c r="AF125" s="855">
        <f t="shared" si="13"/>
        <v>34.168987929433612</v>
      </c>
      <c r="AG125" s="382"/>
      <c r="AH125" s="382"/>
    </row>
    <row r="126" spans="6:34">
      <c r="I126" s="382"/>
      <c r="J126" s="382"/>
      <c r="K126" s="382"/>
      <c r="L126" s="382"/>
      <c r="X126" s="382" t="s">
        <v>2209</v>
      </c>
      <c r="Y126" s="435">
        <v>3131</v>
      </c>
      <c r="Z126" s="463">
        <v>1737</v>
      </c>
      <c r="AA126" s="874">
        <v>725</v>
      </c>
      <c r="AB126" s="855">
        <f t="shared" si="11"/>
        <v>41.738629821531376</v>
      </c>
      <c r="AC126" s="525">
        <v>595</v>
      </c>
      <c r="AD126" s="855">
        <f t="shared" si="12"/>
        <v>34.254461715601614</v>
      </c>
      <c r="AE126" s="525">
        <v>528</v>
      </c>
      <c r="AF126" s="855">
        <f t="shared" si="13"/>
        <v>30.397236614853195</v>
      </c>
    </row>
    <row r="127" spans="6:34">
      <c r="G127" s="382"/>
      <c r="H127" s="382"/>
      <c r="I127" s="382"/>
      <c r="J127" s="382"/>
      <c r="K127" s="382"/>
      <c r="L127" s="382"/>
      <c r="X127" s="382" t="s">
        <v>2352</v>
      </c>
      <c r="Y127" s="435">
        <v>2979</v>
      </c>
      <c r="Z127" s="463">
        <v>1492</v>
      </c>
      <c r="AA127" s="874">
        <v>672</v>
      </c>
      <c r="AB127" s="855">
        <f t="shared" si="11"/>
        <v>45.040214477211798</v>
      </c>
      <c r="AC127" s="525">
        <v>550</v>
      </c>
      <c r="AD127" s="855">
        <f t="shared" si="12"/>
        <v>36.863270777479897</v>
      </c>
      <c r="AE127" s="525">
        <v>481</v>
      </c>
      <c r="AF127" s="855">
        <f t="shared" si="13"/>
        <v>32.238605898123325</v>
      </c>
    </row>
    <row r="128" spans="6:34">
      <c r="F128" s="382"/>
      <c r="G128" s="382"/>
      <c r="H128" s="382"/>
      <c r="I128" s="382"/>
      <c r="J128" s="382"/>
      <c r="K128" s="382"/>
      <c r="L128" s="382"/>
      <c r="X128" s="382" t="s">
        <v>2261</v>
      </c>
      <c r="Y128" s="435">
        <v>1757</v>
      </c>
      <c r="Z128" s="463">
        <v>1079</v>
      </c>
      <c r="AA128" s="874">
        <v>414</v>
      </c>
      <c r="AB128" s="855">
        <f t="shared" si="11"/>
        <v>38.368860055607044</v>
      </c>
      <c r="AC128" s="525">
        <v>394</v>
      </c>
      <c r="AD128" s="855">
        <f t="shared" si="12"/>
        <v>36.515291936978684</v>
      </c>
      <c r="AE128" s="525">
        <v>561</v>
      </c>
      <c r="AF128" s="855">
        <f t="shared" si="13"/>
        <v>51.992585727525487</v>
      </c>
    </row>
    <row r="129" spans="6:32">
      <c r="F129" s="382"/>
      <c r="G129" s="382"/>
      <c r="H129" s="382"/>
      <c r="I129" s="382"/>
      <c r="J129" s="382"/>
      <c r="K129" s="382"/>
      <c r="L129" s="382"/>
      <c r="X129" s="382" t="s">
        <v>2251</v>
      </c>
      <c r="Y129" s="435">
        <v>1643</v>
      </c>
      <c r="Z129" s="463">
        <v>1126</v>
      </c>
      <c r="AA129" s="874">
        <v>483</v>
      </c>
      <c r="AB129" s="855">
        <f t="shared" si="11"/>
        <v>42.895204262877442</v>
      </c>
      <c r="AC129" s="525">
        <v>432</v>
      </c>
      <c r="AD129" s="855">
        <f t="shared" si="12"/>
        <v>38.365896980461812</v>
      </c>
      <c r="AE129" s="525">
        <v>462</v>
      </c>
      <c r="AF129" s="855">
        <f t="shared" si="13"/>
        <v>41.03019538188277</v>
      </c>
    </row>
    <row r="130" spans="6:32">
      <c r="F130" s="382"/>
      <c r="G130" s="382"/>
      <c r="H130" s="382"/>
      <c r="I130" s="382"/>
      <c r="J130" s="382"/>
      <c r="K130" s="382"/>
      <c r="L130" s="382"/>
      <c r="X130" s="382" t="s">
        <v>4067</v>
      </c>
      <c r="Y130" s="435">
        <v>2408</v>
      </c>
      <c r="Z130" s="463">
        <v>1183</v>
      </c>
      <c r="AA130" s="874">
        <v>528</v>
      </c>
      <c r="AB130" s="855">
        <f t="shared" si="11"/>
        <v>44.632290786136942</v>
      </c>
      <c r="AC130" s="525">
        <v>476</v>
      </c>
      <c r="AD130" s="855">
        <f t="shared" si="12"/>
        <v>40.236686390532547</v>
      </c>
      <c r="AE130" s="525">
        <v>414</v>
      </c>
      <c r="AF130" s="855">
        <f t="shared" si="13"/>
        <v>34.99577345731192</v>
      </c>
    </row>
    <row r="131" spans="6:32">
      <c r="F131" s="382"/>
      <c r="G131" s="382"/>
      <c r="H131" s="382"/>
      <c r="I131" s="382"/>
      <c r="J131" s="382"/>
      <c r="K131" s="382"/>
      <c r="L131" s="382"/>
      <c r="X131" s="382" t="s">
        <v>2253</v>
      </c>
      <c r="Y131" s="435">
        <v>3977</v>
      </c>
      <c r="Z131" s="463">
        <v>1914</v>
      </c>
      <c r="AA131" s="874">
        <v>825</v>
      </c>
      <c r="AB131" s="855">
        <f t="shared" si="11"/>
        <v>43.103448275862064</v>
      </c>
      <c r="AC131" s="525">
        <v>633</v>
      </c>
      <c r="AD131" s="855">
        <f t="shared" si="12"/>
        <v>33.072100313479623</v>
      </c>
      <c r="AE131" s="525">
        <v>670</v>
      </c>
      <c r="AF131" s="855">
        <f t="shared" si="13"/>
        <v>35.005224660397069</v>
      </c>
    </row>
    <row r="132" spans="6:32">
      <c r="F132" s="382"/>
      <c r="G132" s="382"/>
      <c r="H132" s="382"/>
      <c r="I132" s="382"/>
      <c r="J132" s="382"/>
      <c r="K132" s="382"/>
      <c r="L132" s="382"/>
      <c r="X132" s="382" t="s">
        <v>2185</v>
      </c>
      <c r="Y132" s="435">
        <v>5233</v>
      </c>
      <c r="Z132" s="463">
        <v>2411</v>
      </c>
      <c r="AA132" s="874">
        <v>1006</v>
      </c>
      <c r="AB132" s="855">
        <f t="shared" si="11"/>
        <v>41.72542513479884</v>
      </c>
      <c r="AC132" s="525">
        <v>770</v>
      </c>
      <c r="AD132" s="855">
        <f t="shared" si="12"/>
        <v>31.936955620074659</v>
      </c>
      <c r="AE132" s="525">
        <v>784</v>
      </c>
      <c r="AF132" s="855">
        <f t="shared" si="13"/>
        <v>32.517627540439655</v>
      </c>
    </row>
    <row r="133" spans="6:32">
      <c r="F133" s="382"/>
      <c r="G133" s="382"/>
      <c r="H133" s="382"/>
      <c r="J133" s="382"/>
      <c r="K133" s="382"/>
      <c r="L133" s="382"/>
      <c r="X133" s="382" t="s">
        <v>2202</v>
      </c>
      <c r="Y133" s="435">
        <v>5472</v>
      </c>
      <c r="Z133" s="463">
        <v>2320</v>
      </c>
      <c r="AA133" s="874">
        <v>1000</v>
      </c>
      <c r="AB133" s="855">
        <f t="shared" si="11"/>
        <v>43.103448275862064</v>
      </c>
      <c r="AC133" s="525">
        <v>861</v>
      </c>
      <c r="AD133" s="855">
        <f t="shared" si="12"/>
        <v>37.112068965517238</v>
      </c>
      <c r="AE133" s="525">
        <v>726</v>
      </c>
      <c r="AF133" s="855">
        <f t="shared" si="13"/>
        <v>31.293103448275861</v>
      </c>
    </row>
    <row r="134" spans="6:32">
      <c r="F134" s="382"/>
      <c r="G134" s="382"/>
      <c r="H134" s="382"/>
      <c r="J134" s="382"/>
      <c r="K134" s="382"/>
      <c r="L134" s="382"/>
      <c r="X134" s="382" t="s">
        <v>2177</v>
      </c>
      <c r="Y134" s="435">
        <v>15039</v>
      </c>
      <c r="Z134" s="463">
        <v>5479</v>
      </c>
      <c r="AA134" s="874">
        <v>2800</v>
      </c>
      <c r="AB134" s="855">
        <f t="shared" si="11"/>
        <v>51.104216097828072</v>
      </c>
      <c r="AC134" s="525">
        <v>1790</v>
      </c>
      <c r="AD134" s="855">
        <f t="shared" si="12"/>
        <v>32.670195291111511</v>
      </c>
      <c r="AE134" s="525">
        <v>1309</v>
      </c>
      <c r="AF134" s="855">
        <f t="shared" si="13"/>
        <v>23.891221025734623</v>
      </c>
    </row>
    <row r="135" spans="6:32">
      <c r="F135" s="382"/>
      <c r="G135" s="382"/>
      <c r="H135" s="382"/>
      <c r="K135" s="382"/>
      <c r="L135" s="382"/>
      <c r="X135" s="381" t="s">
        <v>2208</v>
      </c>
      <c r="Y135" s="556">
        <v>7008</v>
      </c>
      <c r="Z135" s="497">
        <v>2975</v>
      </c>
      <c r="AA135" s="877">
        <v>1443</v>
      </c>
      <c r="AB135" s="867">
        <f t="shared" si="11"/>
        <v>48.504201680672274</v>
      </c>
      <c r="AC135" s="633">
        <v>933</v>
      </c>
      <c r="AD135" s="867">
        <f t="shared" si="12"/>
        <v>31.361344537815128</v>
      </c>
      <c r="AE135" s="633">
        <v>707</v>
      </c>
      <c r="AF135" s="867">
        <f t="shared" si="13"/>
        <v>23.764705882352942</v>
      </c>
    </row>
    <row r="136" spans="6:32">
      <c r="F136" s="382"/>
      <c r="G136" s="382"/>
      <c r="H136" s="382"/>
      <c r="X136" s="382" t="s">
        <v>4069</v>
      </c>
      <c r="Y136" s="382"/>
      <c r="Z136" s="382"/>
    </row>
    <row r="137" spans="6:32">
      <c r="F137" s="382"/>
      <c r="X137" s="382"/>
      <c r="Y137" s="382"/>
      <c r="Z137" s="382"/>
    </row>
    <row r="138" spans="6:32">
      <c r="X138" s="381" t="s">
        <v>4300</v>
      </c>
      <c r="Y138" s="883"/>
      <c r="Z138" s="883"/>
      <c r="AA138" s="586"/>
      <c r="AB138" s="586"/>
      <c r="AC138" s="586"/>
      <c r="AD138" s="586"/>
    </row>
    <row r="139" spans="6:32">
      <c r="Y139" s="604"/>
      <c r="Z139" s="604"/>
      <c r="AA139" s="2139" t="s">
        <v>4301</v>
      </c>
      <c r="AB139" s="2140"/>
      <c r="AC139" s="2137" t="s">
        <v>4302</v>
      </c>
      <c r="AD139" s="2138"/>
    </row>
    <row r="140" spans="6:32">
      <c r="X140" s="382" t="s">
        <v>3990</v>
      </c>
      <c r="Y140" s="667" t="s">
        <v>3991</v>
      </c>
      <c r="Z140" s="667" t="s">
        <v>129</v>
      </c>
      <c r="AA140" s="2141"/>
      <c r="AB140" s="2142"/>
      <c r="AC140" s="2132"/>
      <c r="AD140" s="2134"/>
    </row>
    <row r="141" spans="6:32">
      <c r="X141" s="381" t="s">
        <v>4020</v>
      </c>
      <c r="Y141" s="441" t="s">
        <v>4021</v>
      </c>
      <c r="Z141" s="441" t="s">
        <v>3972</v>
      </c>
      <c r="AA141" s="413" t="s">
        <v>1665</v>
      </c>
      <c r="AB141" s="413" t="s">
        <v>1666</v>
      </c>
      <c r="AC141" s="413" t="s">
        <v>1665</v>
      </c>
      <c r="AD141" s="413" t="s">
        <v>1666</v>
      </c>
    </row>
    <row r="142" spans="6:32">
      <c r="X142" s="382" t="s">
        <v>3503</v>
      </c>
      <c r="Y142" s="435">
        <f>SUM(Y143:Y161)</f>
        <v>60462</v>
      </c>
      <c r="Z142" s="463">
        <f>SUM(Z143:Z161)</f>
        <v>29377</v>
      </c>
      <c r="AA142" s="525">
        <f>SUM(AA143:AA161)</f>
        <v>6886</v>
      </c>
      <c r="AB142" s="855">
        <f>AA142/Z142*100</f>
        <v>23.440106205534942</v>
      </c>
      <c r="AC142" s="525">
        <f>SUM(AC143:AC161)</f>
        <v>5211</v>
      </c>
      <c r="AD142" s="855">
        <f>AC142/Z142*100</f>
        <v>17.738366749497906</v>
      </c>
    </row>
    <row r="143" spans="6:32">
      <c r="X143" s="858" t="s">
        <v>2384</v>
      </c>
      <c r="Y143" s="859">
        <v>386</v>
      </c>
      <c r="Z143" s="463">
        <v>265</v>
      </c>
      <c r="AA143" s="873">
        <v>50</v>
      </c>
      <c r="AB143" s="855">
        <f t="shared" ref="AB143:AB161" si="14">AA143/Z143*100</f>
        <v>18.867924528301888</v>
      </c>
      <c r="AC143" s="525">
        <v>30</v>
      </c>
      <c r="AD143" s="855">
        <f t="shared" ref="AD143:AD161" si="15">AC143/Z143*100</f>
        <v>11.320754716981133</v>
      </c>
    </row>
    <row r="144" spans="6:32">
      <c r="X144" s="382" t="s">
        <v>2252</v>
      </c>
      <c r="Y144" s="435">
        <v>1010</v>
      </c>
      <c r="Z144" s="463">
        <v>657</v>
      </c>
      <c r="AA144" s="874">
        <v>167</v>
      </c>
      <c r="AB144" s="855">
        <f t="shared" si="14"/>
        <v>25.418569254185691</v>
      </c>
      <c r="AC144" s="525">
        <v>117</v>
      </c>
      <c r="AD144" s="855">
        <f t="shared" si="15"/>
        <v>17.80821917808219</v>
      </c>
    </row>
    <row r="145" spans="7:30">
      <c r="X145" s="382" t="s">
        <v>2195</v>
      </c>
      <c r="Y145" s="435">
        <v>899</v>
      </c>
      <c r="Z145" s="463">
        <v>532</v>
      </c>
      <c r="AA145" s="874">
        <v>117</v>
      </c>
      <c r="AB145" s="855">
        <f t="shared" si="14"/>
        <v>21.992481203007518</v>
      </c>
      <c r="AC145" s="525">
        <v>83</v>
      </c>
      <c r="AD145" s="855">
        <f t="shared" si="15"/>
        <v>15.601503759398497</v>
      </c>
    </row>
    <row r="146" spans="7:30">
      <c r="X146" s="382" t="s">
        <v>4042</v>
      </c>
      <c r="Y146" s="435">
        <v>2318</v>
      </c>
      <c r="Z146" s="463">
        <v>1335</v>
      </c>
      <c r="AA146" s="874">
        <v>302</v>
      </c>
      <c r="AB146" s="855">
        <f t="shared" si="14"/>
        <v>22.621722846441948</v>
      </c>
      <c r="AC146" s="525">
        <v>258</v>
      </c>
      <c r="AD146" s="855">
        <f t="shared" si="15"/>
        <v>19.325842696629213</v>
      </c>
    </row>
    <row r="147" spans="7:30">
      <c r="M147" s="382"/>
      <c r="X147" s="382" t="s">
        <v>4208</v>
      </c>
      <c r="Y147" s="435">
        <v>1916</v>
      </c>
      <c r="Z147" s="463">
        <v>1114</v>
      </c>
      <c r="AA147" s="874">
        <v>244</v>
      </c>
      <c r="AB147" s="855">
        <f t="shared" si="14"/>
        <v>21.903052064631957</v>
      </c>
      <c r="AC147" s="525">
        <v>202</v>
      </c>
      <c r="AD147" s="855">
        <f t="shared" si="15"/>
        <v>18.13285457809695</v>
      </c>
    </row>
    <row r="148" spans="7:30">
      <c r="M148" s="382"/>
      <c r="X148" s="382" t="s">
        <v>4212</v>
      </c>
      <c r="Y148" s="435">
        <v>547</v>
      </c>
      <c r="Z148" s="463">
        <v>456</v>
      </c>
      <c r="AA148" s="874">
        <v>82</v>
      </c>
      <c r="AB148" s="855">
        <f t="shared" si="14"/>
        <v>17.982456140350877</v>
      </c>
      <c r="AC148" s="525">
        <v>86</v>
      </c>
      <c r="AD148" s="855">
        <f t="shared" si="15"/>
        <v>18.859649122807017</v>
      </c>
    </row>
    <row r="149" spans="7:30">
      <c r="M149" s="382"/>
      <c r="X149" s="382" t="s">
        <v>2151</v>
      </c>
      <c r="Y149" s="435">
        <v>1096</v>
      </c>
      <c r="Z149" s="463">
        <v>839</v>
      </c>
      <c r="AA149" s="874">
        <v>165</v>
      </c>
      <c r="AB149" s="855">
        <f t="shared" si="14"/>
        <v>19.666269368295591</v>
      </c>
      <c r="AC149" s="525">
        <v>141</v>
      </c>
      <c r="AD149" s="855">
        <f t="shared" si="15"/>
        <v>16.805721096543504</v>
      </c>
    </row>
    <row r="150" spans="7:30">
      <c r="X150" s="382" t="s">
        <v>4217</v>
      </c>
      <c r="Y150" s="435">
        <v>1800</v>
      </c>
      <c r="Z150" s="463">
        <v>1386</v>
      </c>
      <c r="AA150" s="874">
        <v>266</v>
      </c>
      <c r="AB150" s="855">
        <f t="shared" si="14"/>
        <v>19.19191919191919</v>
      </c>
      <c r="AC150" s="525">
        <v>225</v>
      </c>
      <c r="AD150" s="855">
        <f t="shared" si="15"/>
        <v>16.233766233766232</v>
      </c>
    </row>
    <row r="151" spans="7:30">
      <c r="X151" s="382" t="s">
        <v>4056</v>
      </c>
      <c r="Y151" s="435">
        <v>1843</v>
      </c>
      <c r="Z151" s="463">
        <v>1077</v>
      </c>
      <c r="AA151" s="874">
        <v>251</v>
      </c>
      <c r="AB151" s="855">
        <f t="shared" si="14"/>
        <v>23.305478180129992</v>
      </c>
      <c r="AC151" s="525">
        <v>179</v>
      </c>
      <c r="AD151" s="855">
        <f t="shared" si="15"/>
        <v>16.620241411327761</v>
      </c>
    </row>
    <row r="152" spans="7:30">
      <c r="X152" s="382" t="s">
        <v>2209</v>
      </c>
      <c r="Y152" s="435">
        <v>3131</v>
      </c>
      <c r="Z152" s="463">
        <v>1737</v>
      </c>
      <c r="AA152" s="874">
        <v>440</v>
      </c>
      <c r="AB152" s="855">
        <f t="shared" si="14"/>
        <v>25.331030512377662</v>
      </c>
      <c r="AC152" s="525">
        <v>284</v>
      </c>
      <c r="AD152" s="855">
        <f t="shared" si="15"/>
        <v>16.350028785261948</v>
      </c>
    </row>
    <row r="153" spans="7:30">
      <c r="X153" s="382" t="s">
        <v>2352</v>
      </c>
      <c r="Y153" s="435">
        <v>2979</v>
      </c>
      <c r="Z153" s="463">
        <v>1492</v>
      </c>
      <c r="AA153" s="874">
        <v>361</v>
      </c>
      <c r="AB153" s="855">
        <f t="shared" si="14"/>
        <v>24.195710455764075</v>
      </c>
      <c r="AC153" s="525">
        <v>242</v>
      </c>
      <c r="AD153" s="855">
        <f t="shared" si="15"/>
        <v>16.219839142091153</v>
      </c>
    </row>
    <row r="154" spans="7:30">
      <c r="X154" s="382" t="s">
        <v>2261</v>
      </c>
      <c r="Y154" s="435">
        <v>1757</v>
      </c>
      <c r="Z154" s="463">
        <v>1079</v>
      </c>
      <c r="AA154" s="874">
        <v>191</v>
      </c>
      <c r="AB154" s="855">
        <f t="shared" si="14"/>
        <v>17.701575532900833</v>
      </c>
      <c r="AC154" s="525">
        <v>189</v>
      </c>
      <c r="AD154" s="855">
        <f t="shared" si="15"/>
        <v>17.516218721037998</v>
      </c>
    </row>
    <row r="155" spans="7:30">
      <c r="X155" s="382" t="s">
        <v>2251</v>
      </c>
      <c r="Y155" s="435">
        <v>1643</v>
      </c>
      <c r="Z155" s="463">
        <v>1126</v>
      </c>
      <c r="AA155" s="874">
        <v>215</v>
      </c>
      <c r="AB155" s="855">
        <f t="shared" si="14"/>
        <v>19.094138543516873</v>
      </c>
      <c r="AC155" s="525">
        <v>159</v>
      </c>
      <c r="AD155" s="855">
        <f t="shared" si="15"/>
        <v>14.120781527531085</v>
      </c>
    </row>
    <row r="156" spans="7:30">
      <c r="I156" s="382"/>
      <c r="X156" s="382" t="s">
        <v>4067</v>
      </c>
      <c r="Y156" s="435">
        <v>2408</v>
      </c>
      <c r="Z156" s="463">
        <v>1183</v>
      </c>
      <c r="AA156" s="874">
        <v>235</v>
      </c>
      <c r="AB156" s="855">
        <f t="shared" si="14"/>
        <v>19.864750633981405</v>
      </c>
      <c r="AC156" s="525">
        <v>181</v>
      </c>
      <c r="AD156" s="855">
        <f t="shared" si="15"/>
        <v>15.300084530853761</v>
      </c>
    </row>
    <row r="157" spans="7:30">
      <c r="I157" s="382"/>
      <c r="X157" s="382" t="s">
        <v>2253</v>
      </c>
      <c r="Y157" s="435">
        <v>3977</v>
      </c>
      <c r="Z157" s="463">
        <v>1914</v>
      </c>
      <c r="AA157" s="874">
        <v>500</v>
      </c>
      <c r="AB157" s="855">
        <f t="shared" si="14"/>
        <v>26.123301985370951</v>
      </c>
      <c r="AC157" s="525">
        <v>310</v>
      </c>
      <c r="AD157" s="855">
        <f t="shared" si="15"/>
        <v>16.196447230929991</v>
      </c>
    </row>
    <row r="158" spans="7:30">
      <c r="I158" s="382"/>
      <c r="J158" s="382"/>
      <c r="X158" s="382" t="s">
        <v>2185</v>
      </c>
      <c r="Y158" s="435">
        <v>5233</v>
      </c>
      <c r="Z158" s="463">
        <v>2411</v>
      </c>
      <c r="AA158" s="874">
        <v>835</v>
      </c>
      <c r="AB158" s="855">
        <f t="shared" si="14"/>
        <v>34.632932393197841</v>
      </c>
      <c r="AC158" s="525">
        <v>374</v>
      </c>
      <c r="AD158" s="855">
        <f t="shared" si="15"/>
        <v>15.512235586893405</v>
      </c>
    </row>
    <row r="159" spans="7:30">
      <c r="J159" s="382"/>
      <c r="K159" s="382"/>
      <c r="L159" s="382"/>
      <c r="X159" s="382" t="s">
        <v>2202</v>
      </c>
      <c r="Y159" s="435">
        <v>5472</v>
      </c>
      <c r="Z159" s="463">
        <v>2320</v>
      </c>
      <c r="AA159" s="874">
        <v>491</v>
      </c>
      <c r="AB159" s="855">
        <f t="shared" si="14"/>
        <v>21.163793103448274</v>
      </c>
      <c r="AC159" s="525">
        <v>376</v>
      </c>
      <c r="AD159" s="855">
        <f t="shared" si="15"/>
        <v>16.206896551724135</v>
      </c>
    </row>
    <row r="160" spans="7:30">
      <c r="G160" s="382"/>
      <c r="H160" s="382"/>
      <c r="J160" s="382"/>
      <c r="K160" s="382"/>
      <c r="L160" s="382"/>
      <c r="X160" s="382" t="s">
        <v>2177</v>
      </c>
      <c r="Y160" s="435">
        <v>15039</v>
      </c>
      <c r="Z160" s="463">
        <v>5479</v>
      </c>
      <c r="AA160" s="874">
        <v>1250</v>
      </c>
      <c r="AB160" s="855">
        <f t="shared" si="14"/>
        <v>22.814382186530388</v>
      </c>
      <c r="AC160" s="525">
        <v>1115</v>
      </c>
      <c r="AD160" s="855">
        <f t="shared" si="15"/>
        <v>20.350428910385109</v>
      </c>
    </row>
    <row r="161" spans="6:30">
      <c r="F161" s="382"/>
      <c r="G161" s="382"/>
      <c r="H161" s="382"/>
      <c r="K161" s="382"/>
      <c r="L161" s="382"/>
      <c r="X161" s="381" t="s">
        <v>2208</v>
      </c>
      <c r="Y161" s="556">
        <v>7008</v>
      </c>
      <c r="Z161" s="497">
        <v>2975</v>
      </c>
      <c r="AA161" s="877">
        <v>724</v>
      </c>
      <c r="AB161" s="867">
        <f t="shared" si="14"/>
        <v>24.336134453781515</v>
      </c>
      <c r="AC161" s="633">
        <v>660</v>
      </c>
      <c r="AD161" s="867">
        <f t="shared" si="15"/>
        <v>22.184873949579831</v>
      </c>
    </row>
    <row r="162" spans="6:30">
      <c r="F162" s="382"/>
      <c r="G162" s="382"/>
      <c r="H162" s="382"/>
      <c r="X162" s="382" t="s">
        <v>4069</v>
      </c>
      <c r="Y162" s="382"/>
      <c r="Z162" s="382"/>
    </row>
    <row r="163" spans="6:30">
      <c r="F163" s="382"/>
    </row>
  </sheetData>
  <mergeCells count="39">
    <mergeCell ref="AA2:AB3"/>
    <mergeCell ref="B2:C2"/>
    <mergeCell ref="G2:H2"/>
    <mergeCell ref="K2:L2"/>
    <mergeCell ref="P2:Q2"/>
    <mergeCell ref="T2:U2"/>
    <mergeCell ref="BN2:BO3"/>
    <mergeCell ref="BP2:BQ3"/>
    <mergeCell ref="B18:C18"/>
    <mergeCell ref="AA29:AB30"/>
    <mergeCell ref="AC29:AD30"/>
    <mergeCell ref="AE29:AF30"/>
    <mergeCell ref="AM30:AN31"/>
    <mergeCell ref="AO30:AP31"/>
    <mergeCell ref="AQ30:AR31"/>
    <mergeCell ref="AS30:AT31"/>
    <mergeCell ref="AC2:AD3"/>
    <mergeCell ref="AE2:AF3"/>
    <mergeCell ref="AM2:AN3"/>
    <mergeCell ref="AO2:AP3"/>
    <mergeCell ref="AQ2:AR3"/>
    <mergeCell ref="BL2:BM3"/>
    <mergeCell ref="AU30:AV31"/>
    <mergeCell ref="BA31:BB32"/>
    <mergeCell ref="BC31:BD32"/>
    <mergeCell ref="BE31:BF32"/>
    <mergeCell ref="AA57:AB58"/>
    <mergeCell ref="AC57:AD58"/>
    <mergeCell ref="AE57:AF58"/>
    <mergeCell ref="AA139:AB140"/>
    <mergeCell ref="AC139:AD140"/>
    <mergeCell ref="AA85:AB86"/>
    <mergeCell ref="AC85:AD86"/>
    <mergeCell ref="AE85:AF86"/>
    <mergeCell ref="AA109:AB110"/>
    <mergeCell ref="AC109:AD110"/>
    <mergeCell ref="AA113:AB114"/>
    <mergeCell ref="AC113:AD114"/>
    <mergeCell ref="AE113:AF114"/>
  </mergeCells>
  <pageMargins left="0.75" right="0.75" top="1" bottom="1" header="0.5" footer="0.5"/>
  <pageSetup scale="83" orientation="portrait" r:id="rId1"/>
  <headerFooter alignWithMargins="0"/>
  <ignoredErrors>
    <ignoredError sqref="AB32 AB59:AD60 AB88:AD88 AB116:AD116 AB142 AB5:AD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BEB83-FD25-4663-A186-B54DB7BB15C8}">
  <sheetPr>
    <tabColor rgb="FFFFFF00"/>
  </sheetPr>
  <dimension ref="A1:AK220"/>
  <sheetViews>
    <sheetView showGridLines="0" topLeftCell="A52" zoomScale="90" zoomScaleNormal="90" workbookViewId="0">
      <selection activeCell="K5" sqref="K5"/>
    </sheetView>
  </sheetViews>
  <sheetFormatPr defaultRowHeight="12.75"/>
  <cols>
    <col min="1" max="1" width="20.7109375" style="585" customWidth="1"/>
    <col min="2" max="3" width="10.7109375" style="585" customWidth="1"/>
    <col min="4" max="5" width="11.7109375" style="585" customWidth="1"/>
    <col min="6" max="6" width="12.85546875" style="585" customWidth="1"/>
    <col min="7" max="7" width="14" style="585" customWidth="1"/>
    <col min="8" max="8" width="11.7109375" style="585" customWidth="1"/>
    <col min="9" max="9" width="12.85546875" style="585" customWidth="1"/>
    <col min="10" max="11" width="11.85546875" style="585" customWidth="1"/>
    <col min="12" max="13" width="9.140625" style="585"/>
    <col min="14" max="14" width="25.7109375" style="585" customWidth="1"/>
    <col min="15" max="22" width="10.7109375" style="585" customWidth="1"/>
    <col min="23" max="23" width="25.7109375" style="585" customWidth="1"/>
    <col min="24" max="31" width="10.7109375" style="585" customWidth="1"/>
    <col min="32" max="32" width="11.7109375" style="585" customWidth="1"/>
    <col min="33" max="33" width="12.7109375" style="585" customWidth="1"/>
    <col min="34" max="37" width="14.7109375" style="585" customWidth="1"/>
    <col min="38" max="258" width="9.140625" style="585"/>
    <col min="259" max="259" width="20.7109375" style="585" customWidth="1"/>
    <col min="260" max="261" width="10.7109375" style="585" customWidth="1"/>
    <col min="262" max="263" width="11.7109375" style="585" customWidth="1"/>
    <col min="264" max="264" width="12.85546875" style="585" customWidth="1"/>
    <col min="265" max="265" width="14" style="585" customWidth="1"/>
    <col min="266" max="266" width="11.7109375" style="585" customWidth="1"/>
    <col min="267" max="267" width="12.85546875" style="585" customWidth="1"/>
    <col min="268" max="269" width="11.85546875" style="585" customWidth="1"/>
    <col min="270" max="271" width="9.140625" style="585"/>
    <col min="272" max="272" width="25.7109375" style="585" customWidth="1"/>
    <col min="273" max="279" width="10.7109375" style="585" customWidth="1"/>
    <col min="280" max="280" width="25.7109375" style="585" customWidth="1"/>
    <col min="281" max="287" width="10.7109375" style="585" customWidth="1"/>
    <col min="288" max="288" width="11.7109375" style="585" customWidth="1"/>
    <col min="289" max="289" width="12.7109375" style="585" customWidth="1"/>
    <col min="290" max="293" width="14.7109375" style="585" customWidth="1"/>
    <col min="294" max="514" width="9.140625" style="585"/>
    <col min="515" max="515" width="20.7109375" style="585" customWidth="1"/>
    <col min="516" max="517" width="10.7109375" style="585" customWidth="1"/>
    <col min="518" max="519" width="11.7109375" style="585" customWidth="1"/>
    <col min="520" max="520" width="12.85546875" style="585" customWidth="1"/>
    <col min="521" max="521" width="14" style="585" customWidth="1"/>
    <col min="522" max="522" width="11.7109375" style="585" customWidth="1"/>
    <col min="523" max="523" width="12.85546875" style="585" customWidth="1"/>
    <col min="524" max="525" width="11.85546875" style="585" customWidth="1"/>
    <col min="526" max="527" width="9.140625" style="585"/>
    <col min="528" max="528" width="25.7109375" style="585" customWidth="1"/>
    <col min="529" max="535" width="10.7109375" style="585" customWidth="1"/>
    <col min="536" max="536" width="25.7109375" style="585" customWidth="1"/>
    <col min="537" max="543" width="10.7109375" style="585" customWidth="1"/>
    <col min="544" max="544" width="11.7109375" style="585" customWidth="1"/>
    <col min="545" max="545" width="12.7109375" style="585" customWidth="1"/>
    <col min="546" max="549" width="14.7109375" style="585" customWidth="1"/>
    <col min="550" max="770" width="9.140625" style="585"/>
    <col min="771" max="771" width="20.7109375" style="585" customWidth="1"/>
    <col min="772" max="773" width="10.7109375" style="585" customWidth="1"/>
    <col min="774" max="775" width="11.7109375" style="585" customWidth="1"/>
    <col min="776" max="776" width="12.85546875" style="585" customWidth="1"/>
    <col min="777" max="777" width="14" style="585" customWidth="1"/>
    <col min="778" max="778" width="11.7109375" style="585" customWidth="1"/>
    <col min="779" max="779" width="12.85546875" style="585" customWidth="1"/>
    <col min="780" max="781" width="11.85546875" style="585" customWidth="1"/>
    <col min="782" max="783" width="9.140625" style="585"/>
    <col min="784" max="784" width="25.7109375" style="585" customWidth="1"/>
    <col min="785" max="791" width="10.7109375" style="585" customWidth="1"/>
    <col min="792" max="792" width="25.7109375" style="585" customWidth="1"/>
    <col min="793" max="799" width="10.7109375" style="585" customWidth="1"/>
    <col min="800" max="800" width="11.7109375" style="585" customWidth="1"/>
    <col min="801" max="801" width="12.7109375" style="585" customWidth="1"/>
    <col min="802" max="805" width="14.7109375" style="585" customWidth="1"/>
    <col min="806" max="1026" width="9.140625" style="585"/>
    <col min="1027" max="1027" width="20.7109375" style="585" customWidth="1"/>
    <col min="1028" max="1029" width="10.7109375" style="585" customWidth="1"/>
    <col min="1030" max="1031" width="11.7109375" style="585" customWidth="1"/>
    <col min="1032" max="1032" width="12.85546875" style="585" customWidth="1"/>
    <col min="1033" max="1033" width="14" style="585" customWidth="1"/>
    <col min="1034" max="1034" width="11.7109375" style="585" customWidth="1"/>
    <col min="1035" max="1035" width="12.85546875" style="585" customWidth="1"/>
    <col min="1036" max="1037" width="11.85546875" style="585" customWidth="1"/>
    <col min="1038" max="1039" width="9.140625" style="585"/>
    <col min="1040" max="1040" width="25.7109375" style="585" customWidth="1"/>
    <col min="1041" max="1047" width="10.7109375" style="585" customWidth="1"/>
    <col min="1048" max="1048" width="25.7109375" style="585" customWidth="1"/>
    <col min="1049" max="1055" width="10.7109375" style="585" customWidth="1"/>
    <col min="1056" max="1056" width="11.7109375" style="585" customWidth="1"/>
    <col min="1057" max="1057" width="12.7109375" style="585" customWidth="1"/>
    <col min="1058" max="1061" width="14.7109375" style="585" customWidth="1"/>
    <col min="1062" max="1282" width="9.140625" style="585"/>
    <col min="1283" max="1283" width="20.7109375" style="585" customWidth="1"/>
    <col min="1284" max="1285" width="10.7109375" style="585" customWidth="1"/>
    <col min="1286" max="1287" width="11.7109375" style="585" customWidth="1"/>
    <col min="1288" max="1288" width="12.85546875" style="585" customWidth="1"/>
    <col min="1289" max="1289" width="14" style="585" customWidth="1"/>
    <col min="1290" max="1290" width="11.7109375" style="585" customWidth="1"/>
    <col min="1291" max="1291" width="12.85546875" style="585" customWidth="1"/>
    <col min="1292" max="1293" width="11.85546875" style="585" customWidth="1"/>
    <col min="1294" max="1295" width="9.140625" style="585"/>
    <col min="1296" max="1296" width="25.7109375" style="585" customWidth="1"/>
    <col min="1297" max="1303" width="10.7109375" style="585" customWidth="1"/>
    <col min="1304" max="1304" width="25.7109375" style="585" customWidth="1"/>
    <col min="1305" max="1311" width="10.7109375" style="585" customWidth="1"/>
    <col min="1312" max="1312" width="11.7109375" style="585" customWidth="1"/>
    <col min="1313" max="1313" width="12.7109375" style="585" customWidth="1"/>
    <col min="1314" max="1317" width="14.7109375" style="585" customWidth="1"/>
    <col min="1318" max="1538" width="9.140625" style="585"/>
    <col min="1539" max="1539" width="20.7109375" style="585" customWidth="1"/>
    <col min="1540" max="1541" width="10.7109375" style="585" customWidth="1"/>
    <col min="1542" max="1543" width="11.7109375" style="585" customWidth="1"/>
    <col min="1544" max="1544" width="12.85546875" style="585" customWidth="1"/>
    <col min="1545" max="1545" width="14" style="585" customWidth="1"/>
    <col min="1546" max="1546" width="11.7109375" style="585" customWidth="1"/>
    <col min="1547" max="1547" width="12.85546875" style="585" customWidth="1"/>
    <col min="1548" max="1549" width="11.85546875" style="585" customWidth="1"/>
    <col min="1550" max="1551" width="9.140625" style="585"/>
    <col min="1552" max="1552" width="25.7109375" style="585" customWidth="1"/>
    <col min="1553" max="1559" width="10.7109375" style="585" customWidth="1"/>
    <col min="1560" max="1560" width="25.7109375" style="585" customWidth="1"/>
    <col min="1561" max="1567" width="10.7109375" style="585" customWidth="1"/>
    <col min="1568" max="1568" width="11.7109375" style="585" customWidth="1"/>
    <col min="1569" max="1569" width="12.7109375" style="585" customWidth="1"/>
    <col min="1570" max="1573" width="14.7109375" style="585" customWidth="1"/>
    <col min="1574" max="1794" width="9.140625" style="585"/>
    <col min="1795" max="1795" width="20.7109375" style="585" customWidth="1"/>
    <col min="1796" max="1797" width="10.7109375" style="585" customWidth="1"/>
    <col min="1798" max="1799" width="11.7109375" style="585" customWidth="1"/>
    <col min="1800" max="1800" width="12.85546875" style="585" customWidth="1"/>
    <col min="1801" max="1801" width="14" style="585" customWidth="1"/>
    <col min="1802" max="1802" width="11.7109375" style="585" customWidth="1"/>
    <col min="1803" max="1803" width="12.85546875" style="585" customWidth="1"/>
    <col min="1804" max="1805" width="11.85546875" style="585" customWidth="1"/>
    <col min="1806" max="1807" width="9.140625" style="585"/>
    <col min="1808" max="1808" width="25.7109375" style="585" customWidth="1"/>
    <col min="1809" max="1815" width="10.7109375" style="585" customWidth="1"/>
    <col min="1816" max="1816" width="25.7109375" style="585" customWidth="1"/>
    <col min="1817" max="1823" width="10.7109375" style="585" customWidth="1"/>
    <col min="1824" max="1824" width="11.7109375" style="585" customWidth="1"/>
    <col min="1825" max="1825" width="12.7109375" style="585" customWidth="1"/>
    <col min="1826" max="1829" width="14.7109375" style="585" customWidth="1"/>
    <col min="1830" max="2050" width="9.140625" style="585"/>
    <col min="2051" max="2051" width="20.7109375" style="585" customWidth="1"/>
    <col min="2052" max="2053" width="10.7109375" style="585" customWidth="1"/>
    <col min="2054" max="2055" width="11.7109375" style="585" customWidth="1"/>
    <col min="2056" max="2056" width="12.85546875" style="585" customWidth="1"/>
    <col min="2057" max="2057" width="14" style="585" customWidth="1"/>
    <col min="2058" max="2058" width="11.7109375" style="585" customWidth="1"/>
    <col min="2059" max="2059" width="12.85546875" style="585" customWidth="1"/>
    <col min="2060" max="2061" width="11.85546875" style="585" customWidth="1"/>
    <col min="2062" max="2063" width="9.140625" style="585"/>
    <col min="2064" max="2064" width="25.7109375" style="585" customWidth="1"/>
    <col min="2065" max="2071" width="10.7109375" style="585" customWidth="1"/>
    <col min="2072" max="2072" width="25.7109375" style="585" customWidth="1"/>
    <col min="2073" max="2079" width="10.7109375" style="585" customWidth="1"/>
    <col min="2080" max="2080" width="11.7109375" style="585" customWidth="1"/>
    <col min="2081" max="2081" width="12.7109375" style="585" customWidth="1"/>
    <col min="2082" max="2085" width="14.7109375" style="585" customWidth="1"/>
    <col min="2086" max="2306" width="9.140625" style="585"/>
    <col min="2307" max="2307" width="20.7109375" style="585" customWidth="1"/>
    <col min="2308" max="2309" width="10.7109375" style="585" customWidth="1"/>
    <col min="2310" max="2311" width="11.7109375" style="585" customWidth="1"/>
    <col min="2312" max="2312" width="12.85546875" style="585" customWidth="1"/>
    <col min="2313" max="2313" width="14" style="585" customWidth="1"/>
    <col min="2314" max="2314" width="11.7109375" style="585" customWidth="1"/>
    <col min="2315" max="2315" width="12.85546875" style="585" customWidth="1"/>
    <col min="2316" max="2317" width="11.85546875" style="585" customWidth="1"/>
    <col min="2318" max="2319" width="9.140625" style="585"/>
    <col min="2320" max="2320" width="25.7109375" style="585" customWidth="1"/>
    <col min="2321" max="2327" width="10.7109375" style="585" customWidth="1"/>
    <col min="2328" max="2328" width="25.7109375" style="585" customWidth="1"/>
    <col min="2329" max="2335" width="10.7109375" style="585" customWidth="1"/>
    <col min="2336" max="2336" width="11.7109375" style="585" customWidth="1"/>
    <col min="2337" max="2337" width="12.7109375" style="585" customWidth="1"/>
    <col min="2338" max="2341" width="14.7109375" style="585" customWidth="1"/>
    <col min="2342" max="2562" width="9.140625" style="585"/>
    <col min="2563" max="2563" width="20.7109375" style="585" customWidth="1"/>
    <col min="2564" max="2565" width="10.7109375" style="585" customWidth="1"/>
    <col min="2566" max="2567" width="11.7109375" style="585" customWidth="1"/>
    <col min="2568" max="2568" width="12.85546875" style="585" customWidth="1"/>
    <col min="2569" max="2569" width="14" style="585" customWidth="1"/>
    <col min="2570" max="2570" width="11.7109375" style="585" customWidth="1"/>
    <col min="2571" max="2571" width="12.85546875" style="585" customWidth="1"/>
    <col min="2572" max="2573" width="11.85546875" style="585" customWidth="1"/>
    <col min="2574" max="2575" width="9.140625" style="585"/>
    <col min="2576" max="2576" width="25.7109375" style="585" customWidth="1"/>
    <col min="2577" max="2583" width="10.7109375" style="585" customWidth="1"/>
    <col min="2584" max="2584" width="25.7109375" style="585" customWidth="1"/>
    <col min="2585" max="2591" width="10.7109375" style="585" customWidth="1"/>
    <col min="2592" max="2592" width="11.7109375" style="585" customWidth="1"/>
    <col min="2593" max="2593" width="12.7109375" style="585" customWidth="1"/>
    <col min="2594" max="2597" width="14.7109375" style="585" customWidth="1"/>
    <col min="2598" max="2818" width="9.140625" style="585"/>
    <col min="2819" max="2819" width="20.7109375" style="585" customWidth="1"/>
    <col min="2820" max="2821" width="10.7109375" style="585" customWidth="1"/>
    <col min="2822" max="2823" width="11.7109375" style="585" customWidth="1"/>
    <col min="2824" max="2824" width="12.85546875" style="585" customWidth="1"/>
    <col min="2825" max="2825" width="14" style="585" customWidth="1"/>
    <col min="2826" max="2826" width="11.7109375" style="585" customWidth="1"/>
    <col min="2827" max="2827" width="12.85546875" style="585" customWidth="1"/>
    <col min="2828" max="2829" width="11.85546875" style="585" customWidth="1"/>
    <col min="2830" max="2831" width="9.140625" style="585"/>
    <col min="2832" max="2832" width="25.7109375" style="585" customWidth="1"/>
    <col min="2833" max="2839" width="10.7109375" style="585" customWidth="1"/>
    <col min="2840" max="2840" width="25.7109375" style="585" customWidth="1"/>
    <col min="2841" max="2847" width="10.7109375" style="585" customWidth="1"/>
    <col min="2848" max="2848" width="11.7109375" style="585" customWidth="1"/>
    <col min="2849" max="2849" width="12.7109375" style="585" customWidth="1"/>
    <col min="2850" max="2853" width="14.7109375" style="585" customWidth="1"/>
    <col min="2854" max="3074" width="9.140625" style="585"/>
    <col min="3075" max="3075" width="20.7109375" style="585" customWidth="1"/>
    <col min="3076" max="3077" width="10.7109375" style="585" customWidth="1"/>
    <col min="3078" max="3079" width="11.7109375" style="585" customWidth="1"/>
    <col min="3080" max="3080" width="12.85546875" style="585" customWidth="1"/>
    <col min="3081" max="3081" width="14" style="585" customWidth="1"/>
    <col min="3082" max="3082" width="11.7109375" style="585" customWidth="1"/>
    <col min="3083" max="3083" width="12.85546875" style="585" customWidth="1"/>
    <col min="3084" max="3085" width="11.85546875" style="585" customWidth="1"/>
    <col min="3086" max="3087" width="9.140625" style="585"/>
    <col min="3088" max="3088" width="25.7109375" style="585" customWidth="1"/>
    <col min="3089" max="3095" width="10.7109375" style="585" customWidth="1"/>
    <col min="3096" max="3096" width="25.7109375" style="585" customWidth="1"/>
    <col min="3097" max="3103" width="10.7109375" style="585" customWidth="1"/>
    <col min="3104" max="3104" width="11.7109375" style="585" customWidth="1"/>
    <col min="3105" max="3105" width="12.7109375" style="585" customWidth="1"/>
    <col min="3106" max="3109" width="14.7109375" style="585" customWidth="1"/>
    <col min="3110" max="3330" width="9.140625" style="585"/>
    <col min="3331" max="3331" width="20.7109375" style="585" customWidth="1"/>
    <col min="3332" max="3333" width="10.7109375" style="585" customWidth="1"/>
    <col min="3334" max="3335" width="11.7109375" style="585" customWidth="1"/>
    <col min="3336" max="3336" width="12.85546875" style="585" customWidth="1"/>
    <col min="3337" max="3337" width="14" style="585" customWidth="1"/>
    <col min="3338" max="3338" width="11.7109375" style="585" customWidth="1"/>
    <col min="3339" max="3339" width="12.85546875" style="585" customWidth="1"/>
    <col min="3340" max="3341" width="11.85546875" style="585" customWidth="1"/>
    <col min="3342" max="3343" width="9.140625" style="585"/>
    <col min="3344" max="3344" width="25.7109375" style="585" customWidth="1"/>
    <col min="3345" max="3351" width="10.7109375" style="585" customWidth="1"/>
    <col min="3352" max="3352" width="25.7109375" style="585" customWidth="1"/>
    <col min="3353" max="3359" width="10.7109375" style="585" customWidth="1"/>
    <col min="3360" max="3360" width="11.7109375" style="585" customWidth="1"/>
    <col min="3361" max="3361" width="12.7109375" style="585" customWidth="1"/>
    <col min="3362" max="3365" width="14.7109375" style="585" customWidth="1"/>
    <col min="3366" max="3586" width="9.140625" style="585"/>
    <col min="3587" max="3587" width="20.7109375" style="585" customWidth="1"/>
    <col min="3588" max="3589" width="10.7109375" style="585" customWidth="1"/>
    <col min="3590" max="3591" width="11.7109375" style="585" customWidth="1"/>
    <col min="3592" max="3592" width="12.85546875" style="585" customWidth="1"/>
    <col min="3593" max="3593" width="14" style="585" customWidth="1"/>
    <col min="3594" max="3594" width="11.7109375" style="585" customWidth="1"/>
    <col min="3595" max="3595" width="12.85546875" style="585" customWidth="1"/>
    <col min="3596" max="3597" width="11.85546875" style="585" customWidth="1"/>
    <col min="3598" max="3599" width="9.140625" style="585"/>
    <col min="3600" max="3600" width="25.7109375" style="585" customWidth="1"/>
    <col min="3601" max="3607" width="10.7109375" style="585" customWidth="1"/>
    <col min="3608" max="3608" width="25.7109375" style="585" customWidth="1"/>
    <col min="3609" max="3615" width="10.7109375" style="585" customWidth="1"/>
    <col min="3616" max="3616" width="11.7109375" style="585" customWidth="1"/>
    <col min="3617" max="3617" width="12.7109375" style="585" customWidth="1"/>
    <col min="3618" max="3621" width="14.7109375" style="585" customWidth="1"/>
    <col min="3622" max="3842" width="9.140625" style="585"/>
    <col min="3843" max="3843" width="20.7109375" style="585" customWidth="1"/>
    <col min="3844" max="3845" width="10.7109375" style="585" customWidth="1"/>
    <col min="3846" max="3847" width="11.7109375" style="585" customWidth="1"/>
    <col min="3848" max="3848" width="12.85546875" style="585" customWidth="1"/>
    <col min="3849" max="3849" width="14" style="585" customWidth="1"/>
    <col min="3850" max="3850" width="11.7109375" style="585" customWidth="1"/>
    <col min="3851" max="3851" width="12.85546875" style="585" customWidth="1"/>
    <col min="3852" max="3853" width="11.85546875" style="585" customWidth="1"/>
    <col min="3854" max="3855" width="9.140625" style="585"/>
    <col min="3856" max="3856" width="25.7109375" style="585" customWidth="1"/>
    <col min="3857" max="3863" width="10.7109375" style="585" customWidth="1"/>
    <col min="3864" max="3864" width="25.7109375" style="585" customWidth="1"/>
    <col min="3865" max="3871" width="10.7109375" style="585" customWidth="1"/>
    <col min="3872" max="3872" width="11.7109375" style="585" customWidth="1"/>
    <col min="3873" max="3873" width="12.7109375" style="585" customWidth="1"/>
    <col min="3874" max="3877" width="14.7109375" style="585" customWidth="1"/>
    <col min="3878" max="4098" width="9.140625" style="585"/>
    <col min="4099" max="4099" width="20.7109375" style="585" customWidth="1"/>
    <col min="4100" max="4101" width="10.7109375" style="585" customWidth="1"/>
    <col min="4102" max="4103" width="11.7109375" style="585" customWidth="1"/>
    <col min="4104" max="4104" width="12.85546875" style="585" customWidth="1"/>
    <col min="4105" max="4105" width="14" style="585" customWidth="1"/>
    <col min="4106" max="4106" width="11.7109375" style="585" customWidth="1"/>
    <col min="4107" max="4107" width="12.85546875" style="585" customWidth="1"/>
    <col min="4108" max="4109" width="11.85546875" style="585" customWidth="1"/>
    <col min="4110" max="4111" width="9.140625" style="585"/>
    <col min="4112" max="4112" width="25.7109375" style="585" customWidth="1"/>
    <col min="4113" max="4119" width="10.7109375" style="585" customWidth="1"/>
    <col min="4120" max="4120" width="25.7109375" style="585" customWidth="1"/>
    <col min="4121" max="4127" width="10.7109375" style="585" customWidth="1"/>
    <col min="4128" max="4128" width="11.7109375" style="585" customWidth="1"/>
    <col min="4129" max="4129" width="12.7109375" style="585" customWidth="1"/>
    <col min="4130" max="4133" width="14.7109375" style="585" customWidth="1"/>
    <col min="4134" max="4354" width="9.140625" style="585"/>
    <col min="4355" max="4355" width="20.7109375" style="585" customWidth="1"/>
    <col min="4356" max="4357" width="10.7109375" style="585" customWidth="1"/>
    <col min="4358" max="4359" width="11.7109375" style="585" customWidth="1"/>
    <col min="4360" max="4360" width="12.85546875" style="585" customWidth="1"/>
    <col min="4361" max="4361" width="14" style="585" customWidth="1"/>
    <col min="4362" max="4362" width="11.7109375" style="585" customWidth="1"/>
    <col min="4363" max="4363" width="12.85546875" style="585" customWidth="1"/>
    <col min="4364" max="4365" width="11.85546875" style="585" customWidth="1"/>
    <col min="4366" max="4367" width="9.140625" style="585"/>
    <col min="4368" max="4368" width="25.7109375" style="585" customWidth="1"/>
    <col min="4369" max="4375" width="10.7109375" style="585" customWidth="1"/>
    <col min="4376" max="4376" width="25.7109375" style="585" customWidth="1"/>
    <col min="4377" max="4383" width="10.7109375" style="585" customWidth="1"/>
    <col min="4384" max="4384" width="11.7109375" style="585" customWidth="1"/>
    <col min="4385" max="4385" width="12.7109375" style="585" customWidth="1"/>
    <col min="4386" max="4389" width="14.7109375" style="585" customWidth="1"/>
    <col min="4390" max="4610" width="9.140625" style="585"/>
    <col min="4611" max="4611" width="20.7109375" style="585" customWidth="1"/>
    <col min="4612" max="4613" width="10.7109375" style="585" customWidth="1"/>
    <col min="4614" max="4615" width="11.7109375" style="585" customWidth="1"/>
    <col min="4616" max="4616" width="12.85546875" style="585" customWidth="1"/>
    <col min="4617" max="4617" width="14" style="585" customWidth="1"/>
    <col min="4618" max="4618" width="11.7109375" style="585" customWidth="1"/>
    <col min="4619" max="4619" width="12.85546875" style="585" customWidth="1"/>
    <col min="4620" max="4621" width="11.85546875" style="585" customWidth="1"/>
    <col min="4622" max="4623" width="9.140625" style="585"/>
    <col min="4624" max="4624" width="25.7109375" style="585" customWidth="1"/>
    <col min="4625" max="4631" width="10.7109375" style="585" customWidth="1"/>
    <col min="4632" max="4632" width="25.7109375" style="585" customWidth="1"/>
    <col min="4633" max="4639" width="10.7109375" style="585" customWidth="1"/>
    <col min="4640" max="4640" width="11.7109375" style="585" customWidth="1"/>
    <col min="4641" max="4641" width="12.7109375" style="585" customWidth="1"/>
    <col min="4642" max="4645" width="14.7109375" style="585" customWidth="1"/>
    <col min="4646" max="4866" width="9.140625" style="585"/>
    <col min="4867" max="4867" width="20.7109375" style="585" customWidth="1"/>
    <col min="4868" max="4869" width="10.7109375" style="585" customWidth="1"/>
    <col min="4870" max="4871" width="11.7109375" style="585" customWidth="1"/>
    <col min="4872" max="4872" width="12.85546875" style="585" customWidth="1"/>
    <col min="4873" max="4873" width="14" style="585" customWidth="1"/>
    <col min="4874" max="4874" width="11.7109375" style="585" customWidth="1"/>
    <col min="4875" max="4875" width="12.85546875" style="585" customWidth="1"/>
    <col min="4876" max="4877" width="11.85546875" style="585" customWidth="1"/>
    <col min="4878" max="4879" width="9.140625" style="585"/>
    <col min="4880" max="4880" width="25.7109375" style="585" customWidth="1"/>
    <col min="4881" max="4887" width="10.7109375" style="585" customWidth="1"/>
    <col min="4888" max="4888" width="25.7109375" style="585" customWidth="1"/>
    <col min="4889" max="4895" width="10.7109375" style="585" customWidth="1"/>
    <col min="4896" max="4896" width="11.7109375" style="585" customWidth="1"/>
    <col min="4897" max="4897" width="12.7109375" style="585" customWidth="1"/>
    <col min="4898" max="4901" width="14.7109375" style="585" customWidth="1"/>
    <col min="4902" max="5122" width="9.140625" style="585"/>
    <col min="5123" max="5123" width="20.7109375" style="585" customWidth="1"/>
    <col min="5124" max="5125" width="10.7109375" style="585" customWidth="1"/>
    <col min="5126" max="5127" width="11.7109375" style="585" customWidth="1"/>
    <col min="5128" max="5128" width="12.85546875" style="585" customWidth="1"/>
    <col min="5129" max="5129" width="14" style="585" customWidth="1"/>
    <col min="5130" max="5130" width="11.7109375" style="585" customWidth="1"/>
    <col min="5131" max="5131" width="12.85546875" style="585" customWidth="1"/>
    <col min="5132" max="5133" width="11.85546875" style="585" customWidth="1"/>
    <col min="5134" max="5135" width="9.140625" style="585"/>
    <col min="5136" max="5136" width="25.7109375" style="585" customWidth="1"/>
    <col min="5137" max="5143" width="10.7109375" style="585" customWidth="1"/>
    <col min="5144" max="5144" width="25.7109375" style="585" customWidth="1"/>
    <col min="5145" max="5151" width="10.7109375" style="585" customWidth="1"/>
    <col min="5152" max="5152" width="11.7109375" style="585" customWidth="1"/>
    <col min="5153" max="5153" width="12.7109375" style="585" customWidth="1"/>
    <col min="5154" max="5157" width="14.7109375" style="585" customWidth="1"/>
    <col min="5158" max="5378" width="9.140625" style="585"/>
    <col min="5379" max="5379" width="20.7109375" style="585" customWidth="1"/>
    <col min="5380" max="5381" width="10.7109375" style="585" customWidth="1"/>
    <col min="5382" max="5383" width="11.7109375" style="585" customWidth="1"/>
    <col min="5384" max="5384" width="12.85546875" style="585" customWidth="1"/>
    <col min="5385" max="5385" width="14" style="585" customWidth="1"/>
    <col min="5386" max="5386" width="11.7109375" style="585" customWidth="1"/>
    <col min="5387" max="5387" width="12.85546875" style="585" customWidth="1"/>
    <col min="5388" max="5389" width="11.85546875" style="585" customWidth="1"/>
    <col min="5390" max="5391" width="9.140625" style="585"/>
    <col min="5392" max="5392" width="25.7109375" style="585" customWidth="1"/>
    <col min="5393" max="5399" width="10.7109375" style="585" customWidth="1"/>
    <col min="5400" max="5400" width="25.7109375" style="585" customWidth="1"/>
    <col min="5401" max="5407" width="10.7109375" style="585" customWidth="1"/>
    <col min="5408" max="5408" width="11.7109375" style="585" customWidth="1"/>
    <col min="5409" max="5409" width="12.7109375" style="585" customWidth="1"/>
    <col min="5410" max="5413" width="14.7109375" style="585" customWidth="1"/>
    <col min="5414" max="5634" width="9.140625" style="585"/>
    <col min="5635" max="5635" width="20.7109375" style="585" customWidth="1"/>
    <col min="5636" max="5637" width="10.7109375" style="585" customWidth="1"/>
    <col min="5638" max="5639" width="11.7109375" style="585" customWidth="1"/>
    <col min="5640" max="5640" width="12.85546875" style="585" customWidth="1"/>
    <col min="5641" max="5641" width="14" style="585" customWidth="1"/>
    <col min="5642" max="5642" width="11.7109375" style="585" customWidth="1"/>
    <col min="5643" max="5643" width="12.85546875" style="585" customWidth="1"/>
    <col min="5644" max="5645" width="11.85546875" style="585" customWidth="1"/>
    <col min="5646" max="5647" width="9.140625" style="585"/>
    <col min="5648" max="5648" width="25.7109375" style="585" customWidth="1"/>
    <col min="5649" max="5655" width="10.7109375" style="585" customWidth="1"/>
    <col min="5656" max="5656" width="25.7109375" style="585" customWidth="1"/>
    <col min="5657" max="5663" width="10.7109375" style="585" customWidth="1"/>
    <col min="5664" max="5664" width="11.7109375" style="585" customWidth="1"/>
    <col min="5665" max="5665" width="12.7109375" style="585" customWidth="1"/>
    <col min="5666" max="5669" width="14.7109375" style="585" customWidth="1"/>
    <col min="5670" max="5890" width="9.140625" style="585"/>
    <col min="5891" max="5891" width="20.7109375" style="585" customWidth="1"/>
    <col min="5892" max="5893" width="10.7109375" style="585" customWidth="1"/>
    <col min="5894" max="5895" width="11.7109375" style="585" customWidth="1"/>
    <col min="5896" max="5896" width="12.85546875" style="585" customWidth="1"/>
    <col min="5897" max="5897" width="14" style="585" customWidth="1"/>
    <col min="5898" max="5898" width="11.7109375" style="585" customWidth="1"/>
    <col min="5899" max="5899" width="12.85546875" style="585" customWidth="1"/>
    <col min="5900" max="5901" width="11.85546875" style="585" customWidth="1"/>
    <col min="5902" max="5903" width="9.140625" style="585"/>
    <col min="5904" max="5904" width="25.7109375" style="585" customWidth="1"/>
    <col min="5905" max="5911" width="10.7109375" style="585" customWidth="1"/>
    <col min="5912" max="5912" width="25.7109375" style="585" customWidth="1"/>
    <col min="5913" max="5919" width="10.7109375" style="585" customWidth="1"/>
    <col min="5920" max="5920" width="11.7109375" style="585" customWidth="1"/>
    <col min="5921" max="5921" width="12.7109375" style="585" customWidth="1"/>
    <col min="5922" max="5925" width="14.7109375" style="585" customWidth="1"/>
    <col min="5926" max="6146" width="9.140625" style="585"/>
    <col min="6147" max="6147" width="20.7109375" style="585" customWidth="1"/>
    <col min="6148" max="6149" width="10.7109375" style="585" customWidth="1"/>
    <col min="6150" max="6151" width="11.7109375" style="585" customWidth="1"/>
    <col min="6152" max="6152" width="12.85546875" style="585" customWidth="1"/>
    <col min="6153" max="6153" width="14" style="585" customWidth="1"/>
    <col min="6154" max="6154" width="11.7109375" style="585" customWidth="1"/>
    <col min="6155" max="6155" width="12.85546875" style="585" customWidth="1"/>
    <col min="6156" max="6157" width="11.85546875" style="585" customWidth="1"/>
    <col min="6158" max="6159" width="9.140625" style="585"/>
    <col min="6160" max="6160" width="25.7109375" style="585" customWidth="1"/>
    <col min="6161" max="6167" width="10.7109375" style="585" customWidth="1"/>
    <col min="6168" max="6168" width="25.7109375" style="585" customWidth="1"/>
    <col min="6169" max="6175" width="10.7109375" style="585" customWidth="1"/>
    <col min="6176" max="6176" width="11.7109375" style="585" customWidth="1"/>
    <col min="6177" max="6177" width="12.7109375" style="585" customWidth="1"/>
    <col min="6178" max="6181" width="14.7109375" style="585" customWidth="1"/>
    <col min="6182" max="6402" width="9.140625" style="585"/>
    <col min="6403" max="6403" width="20.7109375" style="585" customWidth="1"/>
    <col min="6404" max="6405" width="10.7109375" style="585" customWidth="1"/>
    <col min="6406" max="6407" width="11.7109375" style="585" customWidth="1"/>
    <col min="6408" max="6408" width="12.85546875" style="585" customWidth="1"/>
    <col min="6409" max="6409" width="14" style="585" customWidth="1"/>
    <col min="6410" max="6410" width="11.7109375" style="585" customWidth="1"/>
    <col min="6411" max="6411" width="12.85546875" style="585" customWidth="1"/>
    <col min="6412" max="6413" width="11.85546875" style="585" customWidth="1"/>
    <col min="6414" max="6415" width="9.140625" style="585"/>
    <col min="6416" max="6416" width="25.7109375" style="585" customWidth="1"/>
    <col min="6417" max="6423" width="10.7109375" style="585" customWidth="1"/>
    <col min="6424" max="6424" width="25.7109375" style="585" customWidth="1"/>
    <col min="6425" max="6431" width="10.7109375" style="585" customWidth="1"/>
    <col min="6432" max="6432" width="11.7109375" style="585" customWidth="1"/>
    <col min="6433" max="6433" width="12.7109375" style="585" customWidth="1"/>
    <col min="6434" max="6437" width="14.7109375" style="585" customWidth="1"/>
    <col min="6438" max="6658" width="9.140625" style="585"/>
    <col min="6659" max="6659" width="20.7109375" style="585" customWidth="1"/>
    <col min="6660" max="6661" width="10.7109375" style="585" customWidth="1"/>
    <col min="6662" max="6663" width="11.7109375" style="585" customWidth="1"/>
    <col min="6664" max="6664" width="12.85546875" style="585" customWidth="1"/>
    <col min="6665" max="6665" width="14" style="585" customWidth="1"/>
    <col min="6666" max="6666" width="11.7109375" style="585" customWidth="1"/>
    <col min="6667" max="6667" width="12.85546875" style="585" customWidth="1"/>
    <col min="6668" max="6669" width="11.85546875" style="585" customWidth="1"/>
    <col min="6670" max="6671" width="9.140625" style="585"/>
    <col min="6672" max="6672" width="25.7109375" style="585" customWidth="1"/>
    <col min="6673" max="6679" width="10.7109375" style="585" customWidth="1"/>
    <col min="6680" max="6680" width="25.7109375" style="585" customWidth="1"/>
    <col min="6681" max="6687" width="10.7109375" style="585" customWidth="1"/>
    <col min="6688" max="6688" width="11.7109375" style="585" customWidth="1"/>
    <col min="6689" max="6689" width="12.7109375" style="585" customWidth="1"/>
    <col min="6690" max="6693" width="14.7109375" style="585" customWidth="1"/>
    <col min="6694" max="6914" width="9.140625" style="585"/>
    <col min="6915" max="6915" width="20.7109375" style="585" customWidth="1"/>
    <col min="6916" max="6917" width="10.7109375" style="585" customWidth="1"/>
    <col min="6918" max="6919" width="11.7109375" style="585" customWidth="1"/>
    <col min="6920" max="6920" width="12.85546875" style="585" customWidth="1"/>
    <col min="6921" max="6921" width="14" style="585" customWidth="1"/>
    <col min="6922" max="6922" width="11.7109375" style="585" customWidth="1"/>
    <col min="6923" max="6923" width="12.85546875" style="585" customWidth="1"/>
    <col min="6924" max="6925" width="11.85546875" style="585" customWidth="1"/>
    <col min="6926" max="6927" width="9.140625" style="585"/>
    <col min="6928" max="6928" width="25.7109375" style="585" customWidth="1"/>
    <col min="6929" max="6935" width="10.7109375" style="585" customWidth="1"/>
    <col min="6936" max="6936" width="25.7109375" style="585" customWidth="1"/>
    <col min="6937" max="6943" width="10.7109375" style="585" customWidth="1"/>
    <col min="6944" max="6944" width="11.7109375" style="585" customWidth="1"/>
    <col min="6945" max="6945" width="12.7109375" style="585" customWidth="1"/>
    <col min="6946" max="6949" width="14.7109375" style="585" customWidth="1"/>
    <col min="6950" max="7170" width="9.140625" style="585"/>
    <col min="7171" max="7171" width="20.7109375" style="585" customWidth="1"/>
    <col min="7172" max="7173" width="10.7109375" style="585" customWidth="1"/>
    <col min="7174" max="7175" width="11.7109375" style="585" customWidth="1"/>
    <col min="7176" max="7176" width="12.85546875" style="585" customWidth="1"/>
    <col min="7177" max="7177" width="14" style="585" customWidth="1"/>
    <col min="7178" max="7178" width="11.7109375" style="585" customWidth="1"/>
    <col min="7179" max="7179" width="12.85546875" style="585" customWidth="1"/>
    <col min="7180" max="7181" width="11.85546875" style="585" customWidth="1"/>
    <col min="7182" max="7183" width="9.140625" style="585"/>
    <col min="7184" max="7184" width="25.7109375" style="585" customWidth="1"/>
    <col min="7185" max="7191" width="10.7109375" style="585" customWidth="1"/>
    <col min="7192" max="7192" width="25.7109375" style="585" customWidth="1"/>
    <col min="7193" max="7199" width="10.7109375" style="585" customWidth="1"/>
    <col min="7200" max="7200" width="11.7109375" style="585" customWidth="1"/>
    <col min="7201" max="7201" width="12.7109375" style="585" customWidth="1"/>
    <col min="7202" max="7205" width="14.7109375" style="585" customWidth="1"/>
    <col min="7206" max="7426" width="9.140625" style="585"/>
    <col min="7427" max="7427" width="20.7109375" style="585" customWidth="1"/>
    <col min="7428" max="7429" width="10.7109375" style="585" customWidth="1"/>
    <col min="7430" max="7431" width="11.7109375" style="585" customWidth="1"/>
    <col min="7432" max="7432" width="12.85546875" style="585" customWidth="1"/>
    <col min="7433" max="7433" width="14" style="585" customWidth="1"/>
    <col min="7434" max="7434" width="11.7109375" style="585" customWidth="1"/>
    <col min="7435" max="7435" width="12.85546875" style="585" customWidth="1"/>
    <col min="7436" max="7437" width="11.85546875" style="585" customWidth="1"/>
    <col min="7438" max="7439" width="9.140625" style="585"/>
    <col min="7440" max="7440" width="25.7109375" style="585" customWidth="1"/>
    <col min="7441" max="7447" width="10.7109375" style="585" customWidth="1"/>
    <col min="7448" max="7448" width="25.7109375" style="585" customWidth="1"/>
    <col min="7449" max="7455" width="10.7109375" style="585" customWidth="1"/>
    <col min="7456" max="7456" width="11.7109375" style="585" customWidth="1"/>
    <col min="7457" max="7457" width="12.7109375" style="585" customWidth="1"/>
    <col min="7458" max="7461" width="14.7109375" style="585" customWidth="1"/>
    <col min="7462" max="7682" width="9.140625" style="585"/>
    <col min="7683" max="7683" width="20.7109375" style="585" customWidth="1"/>
    <col min="7684" max="7685" width="10.7109375" style="585" customWidth="1"/>
    <col min="7686" max="7687" width="11.7109375" style="585" customWidth="1"/>
    <col min="7688" max="7688" width="12.85546875" style="585" customWidth="1"/>
    <col min="7689" max="7689" width="14" style="585" customWidth="1"/>
    <col min="7690" max="7690" width="11.7109375" style="585" customWidth="1"/>
    <col min="7691" max="7691" width="12.85546875" style="585" customWidth="1"/>
    <col min="7692" max="7693" width="11.85546875" style="585" customWidth="1"/>
    <col min="7694" max="7695" width="9.140625" style="585"/>
    <col min="7696" max="7696" width="25.7109375" style="585" customWidth="1"/>
    <col min="7697" max="7703" width="10.7109375" style="585" customWidth="1"/>
    <col min="7704" max="7704" width="25.7109375" style="585" customWidth="1"/>
    <col min="7705" max="7711" width="10.7109375" style="585" customWidth="1"/>
    <col min="7712" max="7712" width="11.7109375" style="585" customWidth="1"/>
    <col min="7713" max="7713" width="12.7109375" style="585" customWidth="1"/>
    <col min="7714" max="7717" width="14.7109375" style="585" customWidth="1"/>
    <col min="7718" max="7938" width="9.140625" style="585"/>
    <col min="7939" max="7939" width="20.7109375" style="585" customWidth="1"/>
    <col min="7940" max="7941" width="10.7109375" style="585" customWidth="1"/>
    <col min="7942" max="7943" width="11.7109375" style="585" customWidth="1"/>
    <col min="7944" max="7944" width="12.85546875" style="585" customWidth="1"/>
    <col min="7945" max="7945" width="14" style="585" customWidth="1"/>
    <col min="7946" max="7946" width="11.7109375" style="585" customWidth="1"/>
    <col min="7947" max="7947" width="12.85546875" style="585" customWidth="1"/>
    <col min="7948" max="7949" width="11.85546875" style="585" customWidth="1"/>
    <col min="7950" max="7951" width="9.140625" style="585"/>
    <col min="7952" max="7952" width="25.7109375" style="585" customWidth="1"/>
    <col min="7953" max="7959" width="10.7109375" style="585" customWidth="1"/>
    <col min="7960" max="7960" width="25.7109375" style="585" customWidth="1"/>
    <col min="7961" max="7967" width="10.7109375" style="585" customWidth="1"/>
    <col min="7968" max="7968" width="11.7109375" style="585" customWidth="1"/>
    <col min="7969" max="7969" width="12.7109375" style="585" customWidth="1"/>
    <col min="7970" max="7973" width="14.7109375" style="585" customWidth="1"/>
    <col min="7974" max="8194" width="9.140625" style="585"/>
    <col min="8195" max="8195" width="20.7109375" style="585" customWidth="1"/>
    <col min="8196" max="8197" width="10.7109375" style="585" customWidth="1"/>
    <col min="8198" max="8199" width="11.7109375" style="585" customWidth="1"/>
    <col min="8200" max="8200" width="12.85546875" style="585" customWidth="1"/>
    <col min="8201" max="8201" width="14" style="585" customWidth="1"/>
    <col min="8202" max="8202" width="11.7109375" style="585" customWidth="1"/>
    <col min="8203" max="8203" width="12.85546875" style="585" customWidth="1"/>
    <col min="8204" max="8205" width="11.85546875" style="585" customWidth="1"/>
    <col min="8206" max="8207" width="9.140625" style="585"/>
    <col min="8208" max="8208" width="25.7109375" style="585" customWidth="1"/>
    <col min="8209" max="8215" width="10.7109375" style="585" customWidth="1"/>
    <col min="8216" max="8216" width="25.7109375" style="585" customWidth="1"/>
    <col min="8217" max="8223" width="10.7109375" style="585" customWidth="1"/>
    <col min="8224" max="8224" width="11.7109375" style="585" customWidth="1"/>
    <col min="8225" max="8225" width="12.7109375" style="585" customWidth="1"/>
    <col min="8226" max="8229" width="14.7109375" style="585" customWidth="1"/>
    <col min="8230" max="8450" width="9.140625" style="585"/>
    <col min="8451" max="8451" width="20.7109375" style="585" customWidth="1"/>
    <col min="8452" max="8453" width="10.7109375" style="585" customWidth="1"/>
    <col min="8454" max="8455" width="11.7109375" style="585" customWidth="1"/>
    <col min="8456" max="8456" width="12.85546875" style="585" customWidth="1"/>
    <col min="8457" max="8457" width="14" style="585" customWidth="1"/>
    <col min="8458" max="8458" width="11.7109375" style="585" customWidth="1"/>
    <col min="8459" max="8459" width="12.85546875" style="585" customWidth="1"/>
    <col min="8460" max="8461" width="11.85546875" style="585" customWidth="1"/>
    <col min="8462" max="8463" width="9.140625" style="585"/>
    <col min="8464" max="8464" width="25.7109375" style="585" customWidth="1"/>
    <col min="8465" max="8471" width="10.7109375" style="585" customWidth="1"/>
    <col min="8472" max="8472" width="25.7109375" style="585" customWidth="1"/>
    <col min="8473" max="8479" width="10.7109375" style="585" customWidth="1"/>
    <col min="8480" max="8480" width="11.7109375" style="585" customWidth="1"/>
    <col min="8481" max="8481" width="12.7109375" style="585" customWidth="1"/>
    <col min="8482" max="8485" width="14.7109375" style="585" customWidth="1"/>
    <col min="8486" max="8706" width="9.140625" style="585"/>
    <col min="8707" max="8707" width="20.7109375" style="585" customWidth="1"/>
    <col min="8708" max="8709" width="10.7109375" style="585" customWidth="1"/>
    <col min="8710" max="8711" width="11.7109375" style="585" customWidth="1"/>
    <col min="8712" max="8712" width="12.85546875" style="585" customWidth="1"/>
    <col min="8713" max="8713" width="14" style="585" customWidth="1"/>
    <col min="8714" max="8714" width="11.7109375" style="585" customWidth="1"/>
    <col min="8715" max="8715" width="12.85546875" style="585" customWidth="1"/>
    <col min="8716" max="8717" width="11.85546875" style="585" customWidth="1"/>
    <col min="8718" max="8719" width="9.140625" style="585"/>
    <col min="8720" max="8720" width="25.7109375" style="585" customWidth="1"/>
    <col min="8721" max="8727" width="10.7109375" style="585" customWidth="1"/>
    <col min="8728" max="8728" width="25.7109375" style="585" customWidth="1"/>
    <col min="8729" max="8735" width="10.7109375" style="585" customWidth="1"/>
    <col min="8736" max="8736" width="11.7109375" style="585" customWidth="1"/>
    <col min="8737" max="8737" width="12.7109375" style="585" customWidth="1"/>
    <col min="8738" max="8741" width="14.7109375" style="585" customWidth="1"/>
    <col min="8742" max="8962" width="9.140625" style="585"/>
    <col min="8963" max="8963" width="20.7109375" style="585" customWidth="1"/>
    <col min="8964" max="8965" width="10.7109375" style="585" customWidth="1"/>
    <col min="8966" max="8967" width="11.7109375" style="585" customWidth="1"/>
    <col min="8968" max="8968" width="12.85546875" style="585" customWidth="1"/>
    <col min="8969" max="8969" width="14" style="585" customWidth="1"/>
    <col min="8970" max="8970" width="11.7109375" style="585" customWidth="1"/>
    <col min="8971" max="8971" width="12.85546875" style="585" customWidth="1"/>
    <col min="8972" max="8973" width="11.85546875" style="585" customWidth="1"/>
    <col min="8974" max="8975" width="9.140625" style="585"/>
    <col min="8976" max="8976" width="25.7109375" style="585" customWidth="1"/>
    <col min="8977" max="8983" width="10.7109375" style="585" customWidth="1"/>
    <col min="8984" max="8984" width="25.7109375" style="585" customWidth="1"/>
    <col min="8985" max="8991" width="10.7109375" style="585" customWidth="1"/>
    <col min="8992" max="8992" width="11.7109375" style="585" customWidth="1"/>
    <col min="8993" max="8993" width="12.7109375" style="585" customWidth="1"/>
    <col min="8994" max="8997" width="14.7109375" style="585" customWidth="1"/>
    <col min="8998" max="9218" width="9.140625" style="585"/>
    <col min="9219" max="9219" width="20.7109375" style="585" customWidth="1"/>
    <col min="9220" max="9221" width="10.7109375" style="585" customWidth="1"/>
    <col min="9222" max="9223" width="11.7109375" style="585" customWidth="1"/>
    <col min="9224" max="9224" width="12.85546875" style="585" customWidth="1"/>
    <col min="9225" max="9225" width="14" style="585" customWidth="1"/>
    <col min="9226" max="9226" width="11.7109375" style="585" customWidth="1"/>
    <col min="9227" max="9227" width="12.85546875" style="585" customWidth="1"/>
    <col min="9228" max="9229" width="11.85546875" style="585" customWidth="1"/>
    <col min="9230" max="9231" width="9.140625" style="585"/>
    <col min="9232" max="9232" width="25.7109375" style="585" customWidth="1"/>
    <col min="9233" max="9239" width="10.7109375" style="585" customWidth="1"/>
    <col min="9240" max="9240" width="25.7109375" style="585" customWidth="1"/>
    <col min="9241" max="9247" width="10.7109375" style="585" customWidth="1"/>
    <col min="9248" max="9248" width="11.7109375" style="585" customWidth="1"/>
    <col min="9249" max="9249" width="12.7109375" style="585" customWidth="1"/>
    <col min="9250" max="9253" width="14.7109375" style="585" customWidth="1"/>
    <col min="9254" max="9474" width="9.140625" style="585"/>
    <col min="9475" max="9475" width="20.7109375" style="585" customWidth="1"/>
    <col min="9476" max="9477" width="10.7109375" style="585" customWidth="1"/>
    <col min="9478" max="9479" width="11.7109375" style="585" customWidth="1"/>
    <col min="9480" max="9480" width="12.85546875" style="585" customWidth="1"/>
    <col min="9481" max="9481" width="14" style="585" customWidth="1"/>
    <col min="9482" max="9482" width="11.7109375" style="585" customWidth="1"/>
    <col min="9483" max="9483" width="12.85546875" style="585" customWidth="1"/>
    <col min="9484" max="9485" width="11.85546875" style="585" customWidth="1"/>
    <col min="9486" max="9487" width="9.140625" style="585"/>
    <col min="9488" max="9488" width="25.7109375" style="585" customWidth="1"/>
    <col min="9489" max="9495" width="10.7109375" style="585" customWidth="1"/>
    <col min="9496" max="9496" width="25.7109375" style="585" customWidth="1"/>
    <col min="9497" max="9503" width="10.7109375" style="585" customWidth="1"/>
    <col min="9504" max="9504" width="11.7109375" style="585" customWidth="1"/>
    <col min="9505" max="9505" width="12.7109375" style="585" customWidth="1"/>
    <col min="9506" max="9509" width="14.7109375" style="585" customWidth="1"/>
    <col min="9510" max="9730" width="9.140625" style="585"/>
    <col min="9731" max="9731" width="20.7109375" style="585" customWidth="1"/>
    <col min="9732" max="9733" width="10.7109375" style="585" customWidth="1"/>
    <col min="9734" max="9735" width="11.7109375" style="585" customWidth="1"/>
    <col min="9736" max="9736" width="12.85546875" style="585" customWidth="1"/>
    <col min="9737" max="9737" width="14" style="585" customWidth="1"/>
    <col min="9738" max="9738" width="11.7109375" style="585" customWidth="1"/>
    <col min="9739" max="9739" width="12.85546875" style="585" customWidth="1"/>
    <col min="9740" max="9741" width="11.85546875" style="585" customWidth="1"/>
    <col min="9742" max="9743" width="9.140625" style="585"/>
    <col min="9744" max="9744" width="25.7109375" style="585" customWidth="1"/>
    <col min="9745" max="9751" width="10.7109375" style="585" customWidth="1"/>
    <col min="9752" max="9752" width="25.7109375" style="585" customWidth="1"/>
    <col min="9753" max="9759" width="10.7109375" style="585" customWidth="1"/>
    <col min="9760" max="9760" width="11.7109375" style="585" customWidth="1"/>
    <col min="9761" max="9761" width="12.7109375" style="585" customWidth="1"/>
    <col min="9762" max="9765" width="14.7109375" style="585" customWidth="1"/>
    <col min="9766" max="9986" width="9.140625" style="585"/>
    <col min="9987" max="9987" width="20.7109375" style="585" customWidth="1"/>
    <col min="9988" max="9989" width="10.7109375" style="585" customWidth="1"/>
    <col min="9990" max="9991" width="11.7109375" style="585" customWidth="1"/>
    <col min="9992" max="9992" width="12.85546875" style="585" customWidth="1"/>
    <col min="9993" max="9993" width="14" style="585" customWidth="1"/>
    <col min="9994" max="9994" width="11.7109375" style="585" customWidth="1"/>
    <col min="9995" max="9995" width="12.85546875" style="585" customWidth="1"/>
    <col min="9996" max="9997" width="11.85546875" style="585" customWidth="1"/>
    <col min="9998" max="9999" width="9.140625" style="585"/>
    <col min="10000" max="10000" width="25.7109375" style="585" customWidth="1"/>
    <col min="10001" max="10007" width="10.7109375" style="585" customWidth="1"/>
    <col min="10008" max="10008" width="25.7109375" style="585" customWidth="1"/>
    <col min="10009" max="10015" width="10.7109375" style="585" customWidth="1"/>
    <col min="10016" max="10016" width="11.7109375" style="585" customWidth="1"/>
    <col min="10017" max="10017" width="12.7109375" style="585" customWidth="1"/>
    <col min="10018" max="10021" width="14.7109375" style="585" customWidth="1"/>
    <col min="10022" max="10242" width="9.140625" style="585"/>
    <col min="10243" max="10243" width="20.7109375" style="585" customWidth="1"/>
    <col min="10244" max="10245" width="10.7109375" style="585" customWidth="1"/>
    <col min="10246" max="10247" width="11.7109375" style="585" customWidth="1"/>
    <col min="10248" max="10248" width="12.85546875" style="585" customWidth="1"/>
    <col min="10249" max="10249" width="14" style="585" customWidth="1"/>
    <col min="10250" max="10250" width="11.7109375" style="585" customWidth="1"/>
    <col min="10251" max="10251" width="12.85546875" style="585" customWidth="1"/>
    <col min="10252" max="10253" width="11.85546875" style="585" customWidth="1"/>
    <col min="10254" max="10255" width="9.140625" style="585"/>
    <col min="10256" max="10256" width="25.7109375" style="585" customWidth="1"/>
    <col min="10257" max="10263" width="10.7109375" style="585" customWidth="1"/>
    <col min="10264" max="10264" width="25.7109375" style="585" customWidth="1"/>
    <col min="10265" max="10271" width="10.7109375" style="585" customWidth="1"/>
    <col min="10272" max="10272" width="11.7109375" style="585" customWidth="1"/>
    <col min="10273" max="10273" width="12.7109375" style="585" customWidth="1"/>
    <col min="10274" max="10277" width="14.7109375" style="585" customWidth="1"/>
    <col min="10278" max="10498" width="9.140625" style="585"/>
    <col min="10499" max="10499" width="20.7109375" style="585" customWidth="1"/>
    <col min="10500" max="10501" width="10.7109375" style="585" customWidth="1"/>
    <col min="10502" max="10503" width="11.7109375" style="585" customWidth="1"/>
    <col min="10504" max="10504" width="12.85546875" style="585" customWidth="1"/>
    <col min="10505" max="10505" width="14" style="585" customWidth="1"/>
    <col min="10506" max="10506" width="11.7109375" style="585" customWidth="1"/>
    <col min="10507" max="10507" width="12.85546875" style="585" customWidth="1"/>
    <col min="10508" max="10509" width="11.85546875" style="585" customWidth="1"/>
    <col min="10510" max="10511" width="9.140625" style="585"/>
    <col min="10512" max="10512" width="25.7109375" style="585" customWidth="1"/>
    <col min="10513" max="10519" width="10.7109375" style="585" customWidth="1"/>
    <col min="10520" max="10520" width="25.7109375" style="585" customWidth="1"/>
    <col min="10521" max="10527" width="10.7109375" style="585" customWidth="1"/>
    <col min="10528" max="10528" width="11.7109375" style="585" customWidth="1"/>
    <col min="10529" max="10529" width="12.7109375" style="585" customWidth="1"/>
    <col min="10530" max="10533" width="14.7109375" style="585" customWidth="1"/>
    <col min="10534" max="10754" width="9.140625" style="585"/>
    <col min="10755" max="10755" width="20.7109375" style="585" customWidth="1"/>
    <col min="10756" max="10757" width="10.7109375" style="585" customWidth="1"/>
    <col min="10758" max="10759" width="11.7109375" style="585" customWidth="1"/>
    <col min="10760" max="10760" width="12.85546875" style="585" customWidth="1"/>
    <col min="10761" max="10761" width="14" style="585" customWidth="1"/>
    <col min="10762" max="10762" width="11.7109375" style="585" customWidth="1"/>
    <col min="10763" max="10763" width="12.85546875" style="585" customWidth="1"/>
    <col min="10764" max="10765" width="11.85546875" style="585" customWidth="1"/>
    <col min="10766" max="10767" width="9.140625" style="585"/>
    <col min="10768" max="10768" width="25.7109375" style="585" customWidth="1"/>
    <col min="10769" max="10775" width="10.7109375" style="585" customWidth="1"/>
    <col min="10776" max="10776" width="25.7109375" style="585" customWidth="1"/>
    <col min="10777" max="10783" width="10.7109375" style="585" customWidth="1"/>
    <col min="10784" max="10784" width="11.7109375" style="585" customWidth="1"/>
    <col min="10785" max="10785" width="12.7109375" style="585" customWidth="1"/>
    <col min="10786" max="10789" width="14.7109375" style="585" customWidth="1"/>
    <col min="10790" max="11010" width="9.140625" style="585"/>
    <col min="11011" max="11011" width="20.7109375" style="585" customWidth="1"/>
    <col min="11012" max="11013" width="10.7109375" style="585" customWidth="1"/>
    <col min="11014" max="11015" width="11.7109375" style="585" customWidth="1"/>
    <col min="11016" max="11016" width="12.85546875" style="585" customWidth="1"/>
    <col min="11017" max="11017" width="14" style="585" customWidth="1"/>
    <col min="11018" max="11018" width="11.7109375" style="585" customWidth="1"/>
    <col min="11019" max="11019" width="12.85546875" style="585" customWidth="1"/>
    <col min="11020" max="11021" width="11.85546875" style="585" customWidth="1"/>
    <col min="11022" max="11023" width="9.140625" style="585"/>
    <col min="11024" max="11024" width="25.7109375" style="585" customWidth="1"/>
    <col min="11025" max="11031" width="10.7109375" style="585" customWidth="1"/>
    <col min="11032" max="11032" width="25.7109375" style="585" customWidth="1"/>
    <col min="11033" max="11039" width="10.7109375" style="585" customWidth="1"/>
    <col min="11040" max="11040" width="11.7109375" style="585" customWidth="1"/>
    <col min="11041" max="11041" width="12.7109375" style="585" customWidth="1"/>
    <col min="11042" max="11045" width="14.7109375" style="585" customWidth="1"/>
    <col min="11046" max="11266" width="9.140625" style="585"/>
    <col min="11267" max="11267" width="20.7109375" style="585" customWidth="1"/>
    <col min="11268" max="11269" width="10.7109375" style="585" customWidth="1"/>
    <col min="11270" max="11271" width="11.7109375" style="585" customWidth="1"/>
    <col min="11272" max="11272" width="12.85546875" style="585" customWidth="1"/>
    <col min="11273" max="11273" width="14" style="585" customWidth="1"/>
    <col min="11274" max="11274" width="11.7109375" style="585" customWidth="1"/>
    <col min="11275" max="11275" width="12.85546875" style="585" customWidth="1"/>
    <col min="11276" max="11277" width="11.85546875" style="585" customWidth="1"/>
    <col min="11278" max="11279" width="9.140625" style="585"/>
    <col min="11280" max="11280" width="25.7109375" style="585" customWidth="1"/>
    <col min="11281" max="11287" width="10.7109375" style="585" customWidth="1"/>
    <col min="11288" max="11288" width="25.7109375" style="585" customWidth="1"/>
    <col min="11289" max="11295" width="10.7109375" style="585" customWidth="1"/>
    <col min="11296" max="11296" width="11.7109375" style="585" customWidth="1"/>
    <col min="11297" max="11297" width="12.7109375" style="585" customWidth="1"/>
    <col min="11298" max="11301" width="14.7109375" style="585" customWidth="1"/>
    <col min="11302" max="11522" width="9.140625" style="585"/>
    <col min="11523" max="11523" width="20.7109375" style="585" customWidth="1"/>
    <col min="11524" max="11525" width="10.7109375" style="585" customWidth="1"/>
    <col min="11526" max="11527" width="11.7109375" style="585" customWidth="1"/>
    <col min="11528" max="11528" width="12.85546875" style="585" customWidth="1"/>
    <col min="11529" max="11529" width="14" style="585" customWidth="1"/>
    <col min="11530" max="11530" width="11.7109375" style="585" customWidth="1"/>
    <col min="11531" max="11531" width="12.85546875" style="585" customWidth="1"/>
    <col min="11532" max="11533" width="11.85546875" style="585" customWidth="1"/>
    <col min="11534" max="11535" width="9.140625" style="585"/>
    <col min="11536" max="11536" width="25.7109375" style="585" customWidth="1"/>
    <col min="11537" max="11543" width="10.7109375" style="585" customWidth="1"/>
    <col min="11544" max="11544" width="25.7109375" style="585" customWidth="1"/>
    <col min="11545" max="11551" width="10.7109375" style="585" customWidth="1"/>
    <col min="11552" max="11552" width="11.7109375" style="585" customWidth="1"/>
    <col min="11553" max="11553" width="12.7109375" style="585" customWidth="1"/>
    <col min="11554" max="11557" width="14.7109375" style="585" customWidth="1"/>
    <col min="11558" max="11778" width="9.140625" style="585"/>
    <col min="11779" max="11779" width="20.7109375" style="585" customWidth="1"/>
    <col min="11780" max="11781" width="10.7109375" style="585" customWidth="1"/>
    <col min="11782" max="11783" width="11.7109375" style="585" customWidth="1"/>
    <col min="11784" max="11784" width="12.85546875" style="585" customWidth="1"/>
    <col min="11785" max="11785" width="14" style="585" customWidth="1"/>
    <col min="11786" max="11786" width="11.7109375" style="585" customWidth="1"/>
    <col min="11787" max="11787" width="12.85546875" style="585" customWidth="1"/>
    <col min="11788" max="11789" width="11.85546875" style="585" customWidth="1"/>
    <col min="11790" max="11791" width="9.140625" style="585"/>
    <col min="11792" max="11792" width="25.7109375" style="585" customWidth="1"/>
    <col min="11793" max="11799" width="10.7109375" style="585" customWidth="1"/>
    <col min="11800" max="11800" width="25.7109375" style="585" customWidth="1"/>
    <col min="11801" max="11807" width="10.7109375" style="585" customWidth="1"/>
    <col min="11808" max="11808" width="11.7109375" style="585" customWidth="1"/>
    <col min="11809" max="11809" width="12.7109375" style="585" customWidth="1"/>
    <col min="11810" max="11813" width="14.7109375" style="585" customWidth="1"/>
    <col min="11814" max="12034" width="9.140625" style="585"/>
    <col min="12035" max="12035" width="20.7109375" style="585" customWidth="1"/>
    <col min="12036" max="12037" width="10.7109375" style="585" customWidth="1"/>
    <col min="12038" max="12039" width="11.7109375" style="585" customWidth="1"/>
    <col min="12040" max="12040" width="12.85546875" style="585" customWidth="1"/>
    <col min="12041" max="12041" width="14" style="585" customWidth="1"/>
    <col min="12042" max="12042" width="11.7109375" style="585" customWidth="1"/>
    <col min="12043" max="12043" width="12.85546875" style="585" customWidth="1"/>
    <col min="12044" max="12045" width="11.85546875" style="585" customWidth="1"/>
    <col min="12046" max="12047" width="9.140625" style="585"/>
    <col min="12048" max="12048" width="25.7109375" style="585" customWidth="1"/>
    <col min="12049" max="12055" width="10.7109375" style="585" customWidth="1"/>
    <col min="12056" max="12056" width="25.7109375" style="585" customWidth="1"/>
    <col min="12057" max="12063" width="10.7109375" style="585" customWidth="1"/>
    <col min="12064" max="12064" width="11.7109375" style="585" customWidth="1"/>
    <col min="12065" max="12065" width="12.7109375" style="585" customWidth="1"/>
    <col min="12066" max="12069" width="14.7109375" style="585" customWidth="1"/>
    <col min="12070" max="12290" width="9.140625" style="585"/>
    <col min="12291" max="12291" width="20.7109375" style="585" customWidth="1"/>
    <col min="12292" max="12293" width="10.7109375" style="585" customWidth="1"/>
    <col min="12294" max="12295" width="11.7109375" style="585" customWidth="1"/>
    <col min="12296" max="12296" width="12.85546875" style="585" customWidth="1"/>
    <col min="12297" max="12297" width="14" style="585" customWidth="1"/>
    <col min="12298" max="12298" width="11.7109375" style="585" customWidth="1"/>
    <col min="12299" max="12299" width="12.85546875" style="585" customWidth="1"/>
    <col min="12300" max="12301" width="11.85546875" style="585" customWidth="1"/>
    <col min="12302" max="12303" width="9.140625" style="585"/>
    <col min="12304" max="12304" width="25.7109375" style="585" customWidth="1"/>
    <col min="12305" max="12311" width="10.7109375" style="585" customWidth="1"/>
    <col min="12312" max="12312" width="25.7109375" style="585" customWidth="1"/>
    <col min="12313" max="12319" width="10.7109375" style="585" customWidth="1"/>
    <col min="12320" max="12320" width="11.7109375" style="585" customWidth="1"/>
    <col min="12321" max="12321" width="12.7109375" style="585" customWidth="1"/>
    <col min="12322" max="12325" width="14.7109375" style="585" customWidth="1"/>
    <col min="12326" max="12546" width="9.140625" style="585"/>
    <col min="12547" max="12547" width="20.7109375" style="585" customWidth="1"/>
    <col min="12548" max="12549" width="10.7109375" style="585" customWidth="1"/>
    <col min="12550" max="12551" width="11.7109375" style="585" customWidth="1"/>
    <col min="12552" max="12552" width="12.85546875" style="585" customWidth="1"/>
    <col min="12553" max="12553" width="14" style="585" customWidth="1"/>
    <col min="12554" max="12554" width="11.7109375" style="585" customWidth="1"/>
    <col min="12555" max="12555" width="12.85546875" style="585" customWidth="1"/>
    <col min="12556" max="12557" width="11.85546875" style="585" customWidth="1"/>
    <col min="12558" max="12559" width="9.140625" style="585"/>
    <col min="12560" max="12560" width="25.7109375" style="585" customWidth="1"/>
    <col min="12561" max="12567" width="10.7109375" style="585" customWidth="1"/>
    <col min="12568" max="12568" width="25.7109375" style="585" customWidth="1"/>
    <col min="12569" max="12575" width="10.7109375" style="585" customWidth="1"/>
    <col min="12576" max="12576" width="11.7109375" style="585" customWidth="1"/>
    <col min="12577" max="12577" width="12.7109375" style="585" customWidth="1"/>
    <col min="12578" max="12581" width="14.7109375" style="585" customWidth="1"/>
    <col min="12582" max="12802" width="9.140625" style="585"/>
    <col min="12803" max="12803" width="20.7109375" style="585" customWidth="1"/>
    <col min="12804" max="12805" width="10.7109375" style="585" customWidth="1"/>
    <col min="12806" max="12807" width="11.7109375" style="585" customWidth="1"/>
    <col min="12808" max="12808" width="12.85546875" style="585" customWidth="1"/>
    <col min="12809" max="12809" width="14" style="585" customWidth="1"/>
    <col min="12810" max="12810" width="11.7109375" style="585" customWidth="1"/>
    <col min="12811" max="12811" width="12.85546875" style="585" customWidth="1"/>
    <col min="12812" max="12813" width="11.85546875" style="585" customWidth="1"/>
    <col min="12814" max="12815" width="9.140625" style="585"/>
    <col min="12816" max="12816" width="25.7109375" style="585" customWidth="1"/>
    <col min="12817" max="12823" width="10.7109375" style="585" customWidth="1"/>
    <col min="12824" max="12824" width="25.7109375" style="585" customWidth="1"/>
    <col min="12825" max="12831" width="10.7109375" style="585" customWidth="1"/>
    <col min="12832" max="12832" width="11.7109375" style="585" customWidth="1"/>
    <col min="12833" max="12833" width="12.7109375" style="585" customWidth="1"/>
    <col min="12834" max="12837" width="14.7109375" style="585" customWidth="1"/>
    <col min="12838" max="13058" width="9.140625" style="585"/>
    <col min="13059" max="13059" width="20.7109375" style="585" customWidth="1"/>
    <col min="13060" max="13061" width="10.7109375" style="585" customWidth="1"/>
    <col min="13062" max="13063" width="11.7109375" style="585" customWidth="1"/>
    <col min="13064" max="13064" width="12.85546875" style="585" customWidth="1"/>
    <col min="13065" max="13065" width="14" style="585" customWidth="1"/>
    <col min="13066" max="13066" width="11.7109375" style="585" customWidth="1"/>
    <col min="13067" max="13067" width="12.85546875" style="585" customWidth="1"/>
    <col min="13068" max="13069" width="11.85546875" style="585" customWidth="1"/>
    <col min="13070" max="13071" width="9.140625" style="585"/>
    <col min="13072" max="13072" width="25.7109375" style="585" customWidth="1"/>
    <col min="13073" max="13079" width="10.7109375" style="585" customWidth="1"/>
    <col min="13080" max="13080" width="25.7109375" style="585" customWidth="1"/>
    <col min="13081" max="13087" width="10.7109375" style="585" customWidth="1"/>
    <col min="13088" max="13088" width="11.7109375" style="585" customWidth="1"/>
    <col min="13089" max="13089" width="12.7109375" style="585" customWidth="1"/>
    <col min="13090" max="13093" width="14.7109375" style="585" customWidth="1"/>
    <col min="13094" max="13314" width="9.140625" style="585"/>
    <col min="13315" max="13315" width="20.7109375" style="585" customWidth="1"/>
    <col min="13316" max="13317" width="10.7109375" style="585" customWidth="1"/>
    <col min="13318" max="13319" width="11.7109375" style="585" customWidth="1"/>
    <col min="13320" max="13320" width="12.85546875" style="585" customWidth="1"/>
    <col min="13321" max="13321" width="14" style="585" customWidth="1"/>
    <col min="13322" max="13322" width="11.7109375" style="585" customWidth="1"/>
    <col min="13323" max="13323" width="12.85546875" style="585" customWidth="1"/>
    <col min="13324" max="13325" width="11.85546875" style="585" customWidth="1"/>
    <col min="13326" max="13327" width="9.140625" style="585"/>
    <col min="13328" max="13328" width="25.7109375" style="585" customWidth="1"/>
    <col min="13329" max="13335" width="10.7109375" style="585" customWidth="1"/>
    <col min="13336" max="13336" width="25.7109375" style="585" customWidth="1"/>
    <col min="13337" max="13343" width="10.7109375" style="585" customWidth="1"/>
    <col min="13344" max="13344" width="11.7109375" style="585" customWidth="1"/>
    <col min="13345" max="13345" width="12.7109375" style="585" customWidth="1"/>
    <col min="13346" max="13349" width="14.7109375" style="585" customWidth="1"/>
    <col min="13350" max="13570" width="9.140625" style="585"/>
    <col min="13571" max="13571" width="20.7109375" style="585" customWidth="1"/>
    <col min="13572" max="13573" width="10.7109375" style="585" customWidth="1"/>
    <col min="13574" max="13575" width="11.7109375" style="585" customWidth="1"/>
    <col min="13576" max="13576" width="12.85546875" style="585" customWidth="1"/>
    <col min="13577" max="13577" width="14" style="585" customWidth="1"/>
    <col min="13578" max="13578" width="11.7109375" style="585" customWidth="1"/>
    <col min="13579" max="13579" width="12.85546875" style="585" customWidth="1"/>
    <col min="13580" max="13581" width="11.85546875" style="585" customWidth="1"/>
    <col min="13582" max="13583" width="9.140625" style="585"/>
    <col min="13584" max="13584" width="25.7109375" style="585" customWidth="1"/>
    <col min="13585" max="13591" width="10.7109375" style="585" customWidth="1"/>
    <col min="13592" max="13592" width="25.7109375" style="585" customWidth="1"/>
    <col min="13593" max="13599" width="10.7109375" style="585" customWidth="1"/>
    <col min="13600" max="13600" width="11.7109375" style="585" customWidth="1"/>
    <col min="13601" max="13601" width="12.7109375" style="585" customWidth="1"/>
    <col min="13602" max="13605" width="14.7109375" style="585" customWidth="1"/>
    <col min="13606" max="13826" width="9.140625" style="585"/>
    <col min="13827" max="13827" width="20.7109375" style="585" customWidth="1"/>
    <col min="13828" max="13829" width="10.7109375" style="585" customWidth="1"/>
    <col min="13830" max="13831" width="11.7109375" style="585" customWidth="1"/>
    <col min="13832" max="13832" width="12.85546875" style="585" customWidth="1"/>
    <col min="13833" max="13833" width="14" style="585" customWidth="1"/>
    <col min="13834" max="13834" width="11.7109375" style="585" customWidth="1"/>
    <col min="13835" max="13835" width="12.85546875" style="585" customWidth="1"/>
    <col min="13836" max="13837" width="11.85546875" style="585" customWidth="1"/>
    <col min="13838" max="13839" width="9.140625" style="585"/>
    <col min="13840" max="13840" width="25.7109375" style="585" customWidth="1"/>
    <col min="13841" max="13847" width="10.7109375" style="585" customWidth="1"/>
    <col min="13848" max="13848" width="25.7109375" style="585" customWidth="1"/>
    <col min="13849" max="13855" width="10.7109375" style="585" customWidth="1"/>
    <col min="13856" max="13856" width="11.7109375" style="585" customWidth="1"/>
    <col min="13857" max="13857" width="12.7109375" style="585" customWidth="1"/>
    <col min="13858" max="13861" width="14.7109375" style="585" customWidth="1"/>
    <col min="13862" max="14082" width="9.140625" style="585"/>
    <col min="14083" max="14083" width="20.7109375" style="585" customWidth="1"/>
    <col min="14084" max="14085" width="10.7109375" style="585" customWidth="1"/>
    <col min="14086" max="14087" width="11.7109375" style="585" customWidth="1"/>
    <col min="14088" max="14088" width="12.85546875" style="585" customWidth="1"/>
    <col min="14089" max="14089" width="14" style="585" customWidth="1"/>
    <col min="14090" max="14090" width="11.7109375" style="585" customWidth="1"/>
    <col min="14091" max="14091" width="12.85546875" style="585" customWidth="1"/>
    <col min="14092" max="14093" width="11.85546875" style="585" customWidth="1"/>
    <col min="14094" max="14095" width="9.140625" style="585"/>
    <col min="14096" max="14096" width="25.7109375" style="585" customWidth="1"/>
    <col min="14097" max="14103" width="10.7109375" style="585" customWidth="1"/>
    <col min="14104" max="14104" width="25.7109375" style="585" customWidth="1"/>
    <col min="14105" max="14111" width="10.7109375" style="585" customWidth="1"/>
    <col min="14112" max="14112" width="11.7109375" style="585" customWidth="1"/>
    <col min="14113" max="14113" width="12.7109375" style="585" customWidth="1"/>
    <col min="14114" max="14117" width="14.7109375" style="585" customWidth="1"/>
    <col min="14118" max="14338" width="9.140625" style="585"/>
    <col min="14339" max="14339" width="20.7109375" style="585" customWidth="1"/>
    <col min="14340" max="14341" width="10.7109375" style="585" customWidth="1"/>
    <col min="14342" max="14343" width="11.7109375" style="585" customWidth="1"/>
    <col min="14344" max="14344" width="12.85546875" style="585" customWidth="1"/>
    <col min="14345" max="14345" width="14" style="585" customWidth="1"/>
    <col min="14346" max="14346" width="11.7109375" style="585" customWidth="1"/>
    <col min="14347" max="14347" width="12.85546875" style="585" customWidth="1"/>
    <col min="14348" max="14349" width="11.85546875" style="585" customWidth="1"/>
    <col min="14350" max="14351" width="9.140625" style="585"/>
    <col min="14352" max="14352" width="25.7109375" style="585" customWidth="1"/>
    <col min="14353" max="14359" width="10.7109375" style="585" customWidth="1"/>
    <col min="14360" max="14360" width="25.7109375" style="585" customWidth="1"/>
    <col min="14361" max="14367" width="10.7109375" style="585" customWidth="1"/>
    <col min="14368" max="14368" width="11.7109375" style="585" customWidth="1"/>
    <col min="14369" max="14369" width="12.7109375" style="585" customWidth="1"/>
    <col min="14370" max="14373" width="14.7109375" style="585" customWidth="1"/>
    <col min="14374" max="14594" width="9.140625" style="585"/>
    <col min="14595" max="14595" width="20.7109375" style="585" customWidth="1"/>
    <col min="14596" max="14597" width="10.7109375" style="585" customWidth="1"/>
    <col min="14598" max="14599" width="11.7109375" style="585" customWidth="1"/>
    <col min="14600" max="14600" width="12.85546875" style="585" customWidth="1"/>
    <col min="14601" max="14601" width="14" style="585" customWidth="1"/>
    <col min="14602" max="14602" width="11.7109375" style="585" customWidth="1"/>
    <col min="14603" max="14603" width="12.85546875" style="585" customWidth="1"/>
    <col min="14604" max="14605" width="11.85546875" style="585" customWidth="1"/>
    <col min="14606" max="14607" width="9.140625" style="585"/>
    <col min="14608" max="14608" width="25.7109375" style="585" customWidth="1"/>
    <col min="14609" max="14615" width="10.7109375" style="585" customWidth="1"/>
    <col min="14616" max="14616" width="25.7109375" style="585" customWidth="1"/>
    <col min="14617" max="14623" width="10.7109375" style="585" customWidth="1"/>
    <col min="14624" max="14624" width="11.7109375" style="585" customWidth="1"/>
    <col min="14625" max="14625" width="12.7109375" style="585" customWidth="1"/>
    <col min="14626" max="14629" width="14.7109375" style="585" customWidth="1"/>
    <col min="14630" max="14850" width="9.140625" style="585"/>
    <col min="14851" max="14851" width="20.7109375" style="585" customWidth="1"/>
    <col min="14852" max="14853" width="10.7109375" style="585" customWidth="1"/>
    <col min="14854" max="14855" width="11.7109375" style="585" customWidth="1"/>
    <col min="14856" max="14856" width="12.85546875" style="585" customWidth="1"/>
    <col min="14857" max="14857" width="14" style="585" customWidth="1"/>
    <col min="14858" max="14858" width="11.7109375" style="585" customWidth="1"/>
    <col min="14859" max="14859" width="12.85546875" style="585" customWidth="1"/>
    <col min="14860" max="14861" width="11.85546875" style="585" customWidth="1"/>
    <col min="14862" max="14863" width="9.140625" style="585"/>
    <col min="14864" max="14864" width="25.7109375" style="585" customWidth="1"/>
    <col min="14865" max="14871" width="10.7109375" style="585" customWidth="1"/>
    <col min="14872" max="14872" width="25.7109375" style="585" customWidth="1"/>
    <col min="14873" max="14879" width="10.7109375" style="585" customWidth="1"/>
    <col min="14880" max="14880" width="11.7109375" style="585" customWidth="1"/>
    <col min="14881" max="14881" width="12.7109375" style="585" customWidth="1"/>
    <col min="14882" max="14885" width="14.7109375" style="585" customWidth="1"/>
    <col min="14886" max="15106" width="9.140625" style="585"/>
    <col min="15107" max="15107" width="20.7109375" style="585" customWidth="1"/>
    <col min="15108" max="15109" width="10.7109375" style="585" customWidth="1"/>
    <col min="15110" max="15111" width="11.7109375" style="585" customWidth="1"/>
    <col min="15112" max="15112" width="12.85546875" style="585" customWidth="1"/>
    <col min="15113" max="15113" width="14" style="585" customWidth="1"/>
    <col min="15114" max="15114" width="11.7109375" style="585" customWidth="1"/>
    <col min="15115" max="15115" width="12.85546875" style="585" customWidth="1"/>
    <col min="15116" max="15117" width="11.85546875" style="585" customWidth="1"/>
    <col min="15118" max="15119" width="9.140625" style="585"/>
    <col min="15120" max="15120" width="25.7109375" style="585" customWidth="1"/>
    <col min="15121" max="15127" width="10.7109375" style="585" customWidth="1"/>
    <col min="15128" max="15128" width="25.7109375" style="585" customWidth="1"/>
    <col min="15129" max="15135" width="10.7109375" style="585" customWidth="1"/>
    <col min="15136" max="15136" width="11.7109375" style="585" customWidth="1"/>
    <col min="15137" max="15137" width="12.7109375" style="585" customWidth="1"/>
    <col min="15138" max="15141" width="14.7109375" style="585" customWidth="1"/>
    <col min="15142" max="15362" width="9.140625" style="585"/>
    <col min="15363" max="15363" width="20.7109375" style="585" customWidth="1"/>
    <col min="15364" max="15365" width="10.7109375" style="585" customWidth="1"/>
    <col min="15366" max="15367" width="11.7109375" style="585" customWidth="1"/>
    <col min="15368" max="15368" width="12.85546875" style="585" customWidth="1"/>
    <col min="15369" max="15369" width="14" style="585" customWidth="1"/>
    <col min="15370" max="15370" width="11.7109375" style="585" customWidth="1"/>
    <col min="15371" max="15371" width="12.85546875" style="585" customWidth="1"/>
    <col min="15372" max="15373" width="11.85546875" style="585" customWidth="1"/>
    <col min="15374" max="15375" width="9.140625" style="585"/>
    <col min="15376" max="15376" width="25.7109375" style="585" customWidth="1"/>
    <col min="15377" max="15383" width="10.7109375" style="585" customWidth="1"/>
    <col min="15384" max="15384" width="25.7109375" style="585" customWidth="1"/>
    <col min="15385" max="15391" width="10.7109375" style="585" customWidth="1"/>
    <col min="15392" max="15392" width="11.7109375" style="585" customWidth="1"/>
    <col min="15393" max="15393" width="12.7109375" style="585" customWidth="1"/>
    <col min="15394" max="15397" width="14.7109375" style="585" customWidth="1"/>
    <col min="15398" max="15618" width="9.140625" style="585"/>
    <col min="15619" max="15619" width="20.7109375" style="585" customWidth="1"/>
    <col min="15620" max="15621" width="10.7109375" style="585" customWidth="1"/>
    <col min="15622" max="15623" width="11.7109375" style="585" customWidth="1"/>
    <col min="15624" max="15624" width="12.85546875" style="585" customWidth="1"/>
    <col min="15625" max="15625" width="14" style="585" customWidth="1"/>
    <col min="15626" max="15626" width="11.7109375" style="585" customWidth="1"/>
    <col min="15627" max="15627" width="12.85546875" style="585" customWidth="1"/>
    <col min="15628" max="15629" width="11.85546875" style="585" customWidth="1"/>
    <col min="15630" max="15631" width="9.140625" style="585"/>
    <col min="15632" max="15632" width="25.7109375" style="585" customWidth="1"/>
    <col min="15633" max="15639" width="10.7109375" style="585" customWidth="1"/>
    <col min="15640" max="15640" width="25.7109375" style="585" customWidth="1"/>
    <col min="15641" max="15647" width="10.7109375" style="585" customWidth="1"/>
    <col min="15648" max="15648" width="11.7109375" style="585" customWidth="1"/>
    <col min="15649" max="15649" width="12.7109375" style="585" customWidth="1"/>
    <col min="15650" max="15653" width="14.7109375" style="585" customWidth="1"/>
    <col min="15654" max="15874" width="9.140625" style="585"/>
    <col min="15875" max="15875" width="20.7109375" style="585" customWidth="1"/>
    <col min="15876" max="15877" width="10.7109375" style="585" customWidth="1"/>
    <col min="15878" max="15879" width="11.7109375" style="585" customWidth="1"/>
    <col min="15880" max="15880" width="12.85546875" style="585" customWidth="1"/>
    <col min="15881" max="15881" width="14" style="585" customWidth="1"/>
    <col min="15882" max="15882" width="11.7109375" style="585" customWidth="1"/>
    <col min="15883" max="15883" width="12.85546875" style="585" customWidth="1"/>
    <col min="15884" max="15885" width="11.85546875" style="585" customWidth="1"/>
    <col min="15886" max="15887" width="9.140625" style="585"/>
    <col min="15888" max="15888" width="25.7109375" style="585" customWidth="1"/>
    <col min="15889" max="15895" width="10.7109375" style="585" customWidth="1"/>
    <col min="15896" max="15896" width="25.7109375" style="585" customWidth="1"/>
    <col min="15897" max="15903" width="10.7109375" style="585" customWidth="1"/>
    <col min="15904" max="15904" width="11.7109375" style="585" customWidth="1"/>
    <col min="15905" max="15905" width="12.7109375" style="585" customWidth="1"/>
    <col min="15906" max="15909" width="14.7109375" style="585" customWidth="1"/>
    <col min="15910" max="16130" width="9.140625" style="585"/>
    <col min="16131" max="16131" width="20.7109375" style="585" customWidth="1"/>
    <col min="16132" max="16133" width="10.7109375" style="585" customWidth="1"/>
    <col min="16134" max="16135" width="11.7109375" style="585" customWidth="1"/>
    <col min="16136" max="16136" width="12.85546875" style="585" customWidth="1"/>
    <col min="16137" max="16137" width="14" style="585" customWidth="1"/>
    <col min="16138" max="16138" width="11.7109375" style="585" customWidth="1"/>
    <col min="16139" max="16139" width="12.85546875" style="585" customWidth="1"/>
    <col min="16140" max="16141" width="11.85546875" style="585" customWidth="1"/>
    <col min="16142" max="16143" width="9.140625" style="585"/>
    <col min="16144" max="16144" width="25.7109375" style="585" customWidth="1"/>
    <col min="16145" max="16151" width="10.7109375" style="585" customWidth="1"/>
    <col min="16152" max="16152" width="25.7109375" style="585" customWidth="1"/>
    <col min="16153" max="16159" width="10.7109375" style="585" customWidth="1"/>
    <col min="16160" max="16160" width="11.7109375" style="585" customWidth="1"/>
    <col min="16161" max="16161" width="12.7109375" style="585" customWidth="1"/>
    <col min="16162" max="16165" width="14.7109375" style="585" customWidth="1"/>
    <col min="16166" max="16384" width="9.140625" style="585"/>
  </cols>
  <sheetData>
    <row r="1" spans="1:37" ht="12.95" customHeight="1">
      <c r="A1" s="381" t="s">
        <v>4303</v>
      </c>
      <c r="B1" s="586"/>
      <c r="C1" s="586"/>
      <c r="N1" s="382" t="s">
        <v>4304</v>
      </c>
      <c r="O1" s="382"/>
      <c r="P1" s="884"/>
      <c r="Q1" s="884"/>
      <c r="R1" s="382"/>
      <c r="S1" s="382"/>
      <c r="T1" s="382"/>
      <c r="U1" s="382"/>
      <c r="V1" s="382"/>
      <c r="W1" s="382" t="s">
        <v>4305</v>
      </c>
      <c r="X1" s="382"/>
      <c r="Y1" s="884"/>
      <c r="Z1" s="382"/>
      <c r="AA1" s="382"/>
      <c r="AB1" s="382"/>
      <c r="AC1" s="382"/>
      <c r="AD1" s="382"/>
      <c r="AE1" s="463"/>
      <c r="AF1" s="381" t="s">
        <v>4306</v>
      </c>
      <c r="AG1" s="381"/>
      <c r="AH1" s="381"/>
      <c r="AI1" s="381"/>
      <c r="AJ1" s="381"/>
      <c r="AK1" s="381"/>
    </row>
    <row r="2" spans="1:37" ht="12.95" customHeight="1">
      <c r="B2" s="602"/>
      <c r="C2" s="604"/>
      <c r="D2" s="2137" t="s">
        <v>4307</v>
      </c>
      <c r="E2" s="2140"/>
      <c r="F2" s="2137" t="s">
        <v>4308</v>
      </c>
      <c r="G2" s="2146"/>
      <c r="H2" s="2137" t="s">
        <v>4309</v>
      </c>
      <c r="I2" s="2146"/>
      <c r="J2" s="2094"/>
      <c r="K2" s="2122"/>
      <c r="N2" s="597" t="s">
        <v>3990</v>
      </c>
      <c r="O2" s="2078" t="s">
        <v>4310</v>
      </c>
      <c r="P2" s="2079"/>
      <c r="Q2" s="2079"/>
      <c r="R2" s="2079"/>
      <c r="S2" s="2079"/>
      <c r="T2" s="2076"/>
      <c r="U2" s="414"/>
      <c r="V2" s="382"/>
      <c r="W2" s="597" t="s">
        <v>3990</v>
      </c>
      <c r="X2" s="2155" t="s">
        <v>4311</v>
      </c>
      <c r="Y2" s="2156"/>
      <c r="Z2" s="2156"/>
      <c r="AA2" s="2156"/>
      <c r="AB2" s="2156"/>
      <c r="AC2" s="2157"/>
      <c r="AD2" s="871"/>
      <c r="AE2" s="463"/>
      <c r="AF2" s="382"/>
      <c r="AG2" s="404" t="s">
        <v>3991</v>
      </c>
      <c r="AH2" s="2078" t="s">
        <v>4312</v>
      </c>
      <c r="AI2" s="2080"/>
      <c r="AJ2" s="2078" t="s">
        <v>4313</v>
      </c>
      <c r="AK2" s="2079"/>
    </row>
    <row r="3" spans="1:37" ht="12.95" customHeight="1">
      <c r="B3" s="422" t="s">
        <v>3991</v>
      </c>
      <c r="C3" s="893"/>
      <c r="D3" s="2141"/>
      <c r="E3" s="2142"/>
      <c r="F3" s="2141"/>
      <c r="G3" s="2143"/>
      <c r="H3" s="2141"/>
      <c r="I3" s="2143"/>
      <c r="J3" s="2122"/>
      <c r="K3" s="2122"/>
      <c r="N3" s="610" t="s">
        <v>4020</v>
      </c>
      <c r="O3" s="610">
        <v>2024</v>
      </c>
      <c r="P3" s="610">
        <v>2022</v>
      </c>
      <c r="Q3" s="610">
        <v>2020</v>
      </c>
      <c r="R3" s="610">
        <v>2018</v>
      </c>
      <c r="S3" s="381">
        <v>2016</v>
      </c>
      <c r="T3" s="390">
        <v>2014</v>
      </c>
      <c r="U3" s="382"/>
      <c r="V3" s="439"/>
      <c r="W3" s="610" t="s">
        <v>4020</v>
      </c>
      <c r="X3" s="610">
        <v>2024</v>
      </c>
      <c r="Y3" s="610">
        <v>2022</v>
      </c>
      <c r="Z3" s="610">
        <v>2020</v>
      </c>
      <c r="AA3" s="610">
        <v>2018</v>
      </c>
      <c r="AB3" s="381">
        <v>2016</v>
      </c>
      <c r="AC3" s="390">
        <v>2014</v>
      </c>
      <c r="AD3" s="382"/>
      <c r="AE3" s="881"/>
      <c r="AF3" s="381" t="s">
        <v>121</v>
      </c>
      <c r="AG3" s="441" t="s">
        <v>4021</v>
      </c>
      <c r="AH3" s="441" t="s">
        <v>1665</v>
      </c>
      <c r="AI3" s="441" t="s">
        <v>1666</v>
      </c>
      <c r="AJ3" s="441" t="s">
        <v>1665</v>
      </c>
      <c r="AK3" s="477" t="s">
        <v>1666</v>
      </c>
    </row>
    <row r="4" spans="1:37" ht="12.95" customHeight="1">
      <c r="A4" s="381" t="s">
        <v>4020</v>
      </c>
      <c r="B4" s="611" t="s">
        <v>4021</v>
      </c>
      <c r="C4" s="614" t="s">
        <v>3972</v>
      </c>
      <c r="D4" s="442" t="s">
        <v>1665</v>
      </c>
      <c r="E4" s="642" t="s">
        <v>1666</v>
      </c>
      <c r="F4" s="442" t="s">
        <v>1665</v>
      </c>
      <c r="G4" s="642" t="s">
        <v>1666</v>
      </c>
      <c r="H4" s="642" t="s">
        <v>1665</v>
      </c>
      <c r="I4" s="894" t="s">
        <v>1666</v>
      </c>
      <c r="J4" s="439"/>
      <c r="K4" s="439"/>
      <c r="N4" s="415" t="s">
        <v>4314</v>
      </c>
      <c r="O4" s="463">
        <f t="shared" ref="O4:T4" si="0">SUM(O5:O23)</f>
        <v>30283</v>
      </c>
      <c r="P4" s="463">
        <f t="shared" si="0"/>
        <v>34074</v>
      </c>
      <c r="Q4" s="463">
        <f t="shared" si="0"/>
        <v>29377</v>
      </c>
      <c r="R4" s="463">
        <f t="shared" si="0"/>
        <v>37386</v>
      </c>
      <c r="S4" s="895">
        <f t="shared" si="0"/>
        <v>35854</v>
      </c>
      <c r="T4" s="463">
        <f t="shared" si="0"/>
        <v>37373</v>
      </c>
      <c r="U4" s="463"/>
      <c r="V4" s="435"/>
      <c r="W4" s="382" t="s">
        <v>3017</v>
      </c>
      <c r="X4" s="435">
        <v>62098</v>
      </c>
      <c r="Y4" s="435">
        <f>SUM(Y5:Y23)</f>
        <v>60462</v>
      </c>
      <c r="Z4" s="463">
        <f>SUM(Z5:Z23)</f>
        <v>55878</v>
      </c>
      <c r="AA4" s="463">
        <f>SUM(AA5:AA23)</f>
        <v>55961</v>
      </c>
      <c r="AB4" s="463">
        <f>SUM(AB5:AB23)</f>
        <v>51713</v>
      </c>
      <c r="AC4" s="463">
        <f>SUM(AC5:AC23)</f>
        <v>51975</v>
      </c>
      <c r="AD4" s="463"/>
      <c r="AE4" s="463"/>
      <c r="AF4" s="391">
        <v>2024</v>
      </c>
      <c r="AG4" s="435">
        <v>62098</v>
      </c>
      <c r="AH4" s="435">
        <v>30283</v>
      </c>
      <c r="AI4" s="752">
        <f>AH4/AG4*100</f>
        <v>48.766465908724918</v>
      </c>
      <c r="AJ4" s="435">
        <f>AG4-AH4</f>
        <v>31815</v>
      </c>
      <c r="AK4" s="752">
        <f>AJ4/AG4*100</f>
        <v>51.233534091275082</v>
      </c>
    </row>
    <row r="5" spans="1:37" ht="12.95" customHeight="1">
      <c r="A5" s="382" t="s">
        <v>3503</v>
      </c>
      <c r="B5" s="435">
        <f>SUM(B6:B24)</f>
        <v>62098</v>
      </c>
      <c r="C5" s="463">
        <f>SUM(C6:C24)</f>
        <v>30283</v>
      </c>
      <c r="D5" s="525">
        <f>SUM(D6:D24)</f>
        <v>13691</v>
      </c>
      <c r="E5" s="623">
        <f>D5/C5*100</f>
        <v>45.210183931578776</v>
      </c>
      <c r="F5" s="525">
        <f>SUM(F6:F24)</f>
        <v>12353</v>
      </c>
      <c r="G5" s="623">
        <f>F5/C5*100</f>
        <v>40.791863421721757</v>
      </c>
      <c r="H5" s="525">
        <f>SUM(H6:H24)</f>
        <v>10967</v>
      </c>
      <c r="I5" s="623">
        <f>H5/C5*100</f>
        <v>36.21503814021068</v>
      </c>
      <c r="J5" s="525"/>
      <c r="K5" s="623"/>
      <c r="N5" s="382" t="s">
        <v>2251</v>
      </c>
      <c r="O5" s="463">
        <v>1117</v>
      </c>
      <c r="P5" s="859">
        <v>1109</v>
      </c>
      <c r="Q5" s="859">
        <v>1126</v>
      </c>
      <c r="R5" s="859">
        <v>359</v>
      </c>
      <c r="S5" s="463">
        <v>1161</v>
      </c>
      <c r="T5" s="463">
        <v>1391</v>
      </c>
      <c r="U5" s="463"/>
      <c r="V5" s="435"/>
      <c r="W5" s="858" t="s">
        <v>2384</v>
      </c>
      <c r="X5" s="859">
        <v>390</v>
      </c>
      <c r="Y5" s="859">
        <v>386</v>
      </c>
      <c r="Z5" s="880">
        <v>439</v>
      </c>
      <c r="AA5" s="880">
        <v>496</v>
      </c>
      <c r="AB5" s="880">
        <v>492</v>
      </c>
      <c r="AC5" s="880">
        <v>497</v>
      </c>
      <c r="AD5" s="880"/>
      <c r="AE5" s="463"/>
      <c r="AF5" s="391">
        <v>2022</v>
      </c>
      <c r="AG5" s="435">
        <v>60462</v>
      </c>
      <c r="AH5" s="435">
        <v>34074</v>
      </c>
      <c r="AI5" s="752">
        <f>AH5/AG5*100</f>
        <v>56.356058350699612</v>
      </c>
      <c r="AJ5" s="435">
        <v>26388</v>
      </c>
      <c r="AK5" s="752">
        <f>AJ5/AG5*100</f>
        <v>43.643941649300388</v>
      </c>
    </row>
    <row r="6" spans="1:37" ht="14.1" customHeight="1">
      <c r="A6" s="858" t="s">
        <v>2384</v>
      </c>
      <c r="B6" s="859">
        <v>390</v>
      </c>
      <c r="C6" s="463">
        <v>250</v>
      </c>
      <c r="D6" s="525">
        <v>121</v>
      </c>
      <c r="E6" s="623">
        <f t="shared" ref="E6:E24" si="1">D6/C6*100</f>
        <v>48.4</v>
      </c>
      <c r="F6" s="525">
        <v>89</v>
      </c>
      <c r="G6" s="623">
        <f t="shared" ref="G6:G24" si="2">F6/C6*100</f>
        <v>35.6</v>
      </c>
      <c r="H6" s="525">
        <v>77</v>
      </c>
      <c r="I6" s="623">
        <f t="shared" ref="I6:I24" si="3">H6/C6*100</f>
        <v>30.8</v>
      </c>
      <c r="J6" s="525"/>
      <c r="K6" s="623"/>
      <c r="N6" s="382" t="s">
        <v>4042</v>
      </c>
      <c r="O6" s="463">
        <v>1283</v>
      </c>
      <c r="P6" s="859">
        <v>1433</v>
      </c>
      <c r="Q6" s="859">
        <v>1335</v>
      </c>
      <c r="R6" s="859">
        <v>858</v>
      </c>
      <c r="S6" s="463">
        <v>1789</v>
      </c>
      <c r="T6" s="463">
        <v>1858</v>
      </c>
      <c r="U6" s="463"/>
      <c r="V6" s="435"/>
      <c r="W6" s="382" t="s">
        <v>2252</v>
      </c>
      <c r="X6" s="435">
        <v>992</v>
      </c>
      <c r="Y6" s="435">
        <v>1010</v>
      </c>
      <c r="Z6" s="463">
        <v>1058</v>
      </c>
      <c r="AA6" s="463">
        <v>1186</v>
      </c>
      <c r="AB6" s="463">
        <v>1177</v>
      </c>
      <c r="AC6" s="463">
        <v>1162</v>
      </c>
      <c r="AD6" s="463"/>
      <c r="AE6" s="463"/>
      <c r="AF6" s="391">
        <v>2020</v>
      </c>
      <c r="AG6" s="435">
        <v>55878</v>
      </c>
      <c r="AH6" s="435">
        <v>29377</v>
      </c>
      <c r="AI6" s="439">
        <v>52.6</v>
      </c>
      <c r="AJ6" s="435">
        <v>26501</v>
      </c>
      <c r="AK6" s="439">
        <v>47.4</v>
      </c>
    </row>
    <row r="7" spans="1:37" ht="12.95" customHeight="1">
      <c r="A7" s="382" t="s">
        <v>2252</v>
      </c>
      <c r="B7" s="435">
        <v>992</v>
      </c>
      <c r="C7" s="463">
        <v>525</v>
      </c>
      <c r="D7" s="525">
        <v>251</v>
      </c>
      <c r="E7" s="623">
        <f t="shared" si="1"/>
        <v>47.80952380952381</v>
      </c>
      <c r="F7" s="525">
        <v>209</v>
      </c>
      <c r="G7" s="623">
        <f t="shared" si="2"/>
        <v>39.80952380952381</v>
      </c>
      <c r="H7" s="525">
        <v>164</v>
      </c>
      <c r="I7" s="623">
        <f t="shared" si="3"/>
        <v>31.238095238095237</v>
      </c>
      <c r="J7" s="525"/>
      <c r="K7" s="623"/>
      <c r="N7" s="382" t="s">
        <v>2252</v>
      </c>
      <c r="O7" s="463">
        <v>525</v>
      </c>
      <c r="P7" s="859">
        <v>624</v>
      </c>
      <c r="Q7" s="859">
        <v>657</v>
      </c>
      <c r="R7" s="859">
        <v>640</v>
      </c>
      <c r="S7" s="463">
        <v>877</v>
      </c>
      <c r="T7" s="463">
        <v>896</v>
      </c>
      <c r="U7" s="463"/>
      <c r="V7" s="435"/>
      <c r="W7" s="382" t="s">
        <v>2195</v>
      </c>
      <c r="X7" s="435">
        <v>881</v>
      </c>
      <c r="Y7" s="435">
        <v>899</v>
      </c>
      <c r="Z7" s="463">
        <v>885</v>
      </c>
      <c r="AA7" s="463">
        <v>885</v>
      </c>
      <c r="AB7" s="463">
        <v>839</v>
      </c>
      <c r="AC7" s="463">
        <v>903</v>
      </c>
      <c r="AD7" s="463"/>
      <c r="AE7" s="463"/>
      <c r="AF7" s="391">
        <v>2018</v>
      </c>
      <c r="AG7" s="435">
        <v>55961</v>
      </c>
      <c r="AH7" s="435">
        <v>37386</v>
      </c>
      <c r="AI7" s="752">
        <f>AH7/AG7*100</f>
        <v>66.807240756955736</v>
      </c>
      <c r="AJ7" s="435">
        <v>18575</v>
      </c>
      <c r="AK7" s="752">
        <f>AJ7/AG7*100</f>
        <v>33.192759243044264</v>
      </c>
    </row>
    <row r="8" spans="1:37" ht="12.95" customHeight="1">
      <c r="A8" s="382" t="s">
        <v>2195</v>
      </c>
      <c r="B8" s="435">
        <v>881</v>
      </c>
      <c r="C8" s="463">
        <v>513</v>
      </c>
      <c r="D8" s="525">
        <v>246</v>
      </c>
      <c r="E8" s="623">
        <f t="shared" si="1"/>
        <v>47.953216374269005</v>
      </c>
      <c r="F8" s="525">
        <v>211</v>
      </c>
      <c r="G8" s="623">
        <f t="shared" si="2"/>
        <v>41.130604288499022</v>
      </c>
      <c r="H8" s="525">
        <v>154</v>
      </c>
      <c r="I8" s="623">
        <f t="shared" si="3"/>
        <v>30.019493177387911</v>
      </c>
      <c r="J8" s="525"/>
      <c r="K8" s="623"/>
      <c r="N8" s="382" t="s">
        <v>2253</v>
      </c>
      <c r="O8" s="463">
        <v>2173</v>
      </c>
      <c r="P8" s="859">
        <v>2454</v>
      </c>
      <c r="Q8" s="859">
        <v>1914</v>
      </c>
      <c r="R8" s="859">
        <v>1714</v>
      </c>
      <c r="S8" s="463">
        <v>2251</v>
      </c>
      <c r="T8" s="463">
        <v>2562</v>
      </c>
      <c r="U8" s="463"/>
      <c r="V8" s="435"/>
      <c r="W8" s="382" t="s">
        <v>4042</v>
      </c>
      <c r="X8" s="435">
        <v>2269</v>
      </c>
      <c r="Y8" s="435">
        <v>2318</v>
      </c>
      <c r="Z8" s="463">
        <v>2327</v>
      </c>
      <c r="AA8" s="463">
        <v>2532</v>
      </c>
      <c r="AB8" s="463">
        <v>2548</v>
      </c>
      <c r="AC8" s="463">
        <v>2556</v>
      </c>
      <c r="AD8" s="463"/>
      <c r="AE8" s="463"/>
      <c r="AF8" s="391">
        <v>2016</v>
      </c>
      <c r="AG8" s="435">
        <v>51713</v>
      </c>
      <c r="AH8" s="435">
        <v>35854</v>
      </c>
      <c r="AI8" s="752">
        <f>AH8/AG8*100</f>
        <v>69.332662966758846</v>
      </c>
      <c r="AJ8" s="435">
        <v>15859</v>
      </c>
      <c r="AK8" s="752">
        <f>AJ8/AG8*100</f>
        <v>30.667337033241161</v>
      </c>
    </row>
    <row r="9" spans="1:37" ht="12.95" customHeight="1">
      <c r="A9" s="382" t="s">
        <v>4042</v>
      </c>
      <c r="B9" s="435">
        <v>2269</v>
      </c>
      <c r="C9" s="463">
        <v>1283</v>
      </c>
      <c r="D9" s="525">
        <v>492</v>
      </c>
      <c r="E9" s="623">
        <f t="shared" si="1"/>
        <v>38.34762275915822</v>
      </c>
      <c r="F9" s="525">
        <v>465</v>
      </c>
      <c r="G9" s="623">
        <f t="shared" si="2"/>
        <v>36.243180046765396</v>
      </c>
      <c r="H9" s="525">
        <v>455</v>
      </c>
      <c r="I9" s="623">
        <f t="shared" si="3"/>
        <v>35.463756819953232</v>
      </c>
      <c r="J9" s="525"/>
      <c r="K9" s="623"/>
      <c r="N9" s="382" t="s">
        <v>2352</v>
      </c>
      <c r="O9" s="463">
        <v>1762</v>
      </c>
      <c r="P9" s="859">
        <v>1924</v>
      </c>
      <c r="Q9" s="859">
        <v>1492</v>
      </c>
      <c r="R9" s="859">
        <v>1397</v>
      </c>
      <c r="S9" s="463">
        <v>1916</v>
      </c>
      <c r="T9" s="463">
        <v>1876</v>
      </c>
      <c r="U9" s="463"/>
      <c r="V9" s="435"/>
      <c r="W9" s="382" t="s">
        <v>4315</v>
      </c>
      <c r="X9" s="435">
        <v>1976</v>
      </c>
      <c r="Y9" s="435">
        <v>1916</v>
      </c>
      <c r="Z9" s="463">
        <v>1872</v>
      </c>
      <c r="AA9" s="463">
        <v>1944</v>
      </c>
      <c r="AB9" s="463">
        <v>1798</v>
      </c>
      <c r="AC9" s="463">
        <v>1809</v>
      </c>
      <c r="AD9" s="463"/>
      <c r="AE9" s="463"/>
      <c r="AF9" s="391">
        <v>2014</v>
      </c>
      <c r="AG9" s="435">
        <v>51975</v>
      </c>
      <c r="AH9" s="435">
        <v>37373</v>
      </c>
      <c r="AI9" s="752">
        <f t="shared" ref="AI9:AI41" si="4">AH9/AG9*100</f>
        <v>71.905723905723903</v>
      </c>
      <c r="AJ9" s="435">
        <v>14602</v>
      </c>
      <c r="AK9" s="752">
        <f t="shared" ref="AK9:AK41" si="5">AJ9/AG9*100</f>
        <v>28.094276094276093</v>
      </c>
    </row>
    <row r="10" spans="1:37" ht="12.95" customHeight="1">
      <c r="A10" s="382" t="s">
        <v>4315</v>
      </c>
      <c r="B10" s="435">
        <v>1976</v>
      </c>
      <c r="C10" s="463">
        <v>1226</v>
      </c>
      <c r="D10" s="525">
        <v>567</v>
      </c>
      <c r="E10" s="623">
        <f t="shared" si="1"/>
        <v>46.247960848287114</v>
      </c>
      <c r="F10" s="525">
        <v>516</v>
      </c>
      <c r="G10" s="623">
        <f t="shared" si="2"/>
        <v>42.088091353996738</v>
      </c>
      <c r="H10" s="525">
        <v>484</v>
      </c>
      <c r="I10" s="623">
        <f t="shared" si="3"/>
        <v>39.477977161500817</v>
      </c>
      <c r="J10" s="525"/>
      <c r="K10" s="623"/>
      <c r="N10" s="382" t="s">
        <v>2177</v>
      </c>
      <c r="O10" s="463">
        <v>6237</v>
      </c>
      <c r="P10" s="859">
        <v>7260</v>
      </c>
      <c r="Q10" s="859">
        <v>5479</v>
      </c>
      <c r="R10" s="859">
        <v>498</v>
      </c>
      <c r="S10" s="463">
        <v>7474</v>
      </c>
      <c r="T10" s="463">
        <v>7820</v>
      </c>
      <c r="U10" s="463"/>
      <c r="V10" s="435"/>
      <c r="W10" s="382" t="s">
        <v>4048</v>
      </c>
      <c r="X10" s="435">
        <v>519</v>
      </c>
      <c r="Y10" s="435">
        <v>547</v>
      </c>
      <c r="Z10" s="463">
        <v>684</v>
      </c>
      <c r="AA10" s="463">
        <v>785</v>
      </c>
      <c r="AB10" s="463">
        <v>811</v>
      </c>
      <c r="AC10" s="463">
        <v>762</v>
      </c>
      <c r="AD10" s="463"/>
      <c r="AE10" s="463"/>
      <c r="AF10" s="391">
        <v>2012</v>
      </c>
      <c r="AG10" s="435">
        <v>50701</v>
      </c>
      <c r="AH10" s="435">
        <v>34124</v>
      </c>
      <c r="AI10" s="752">
        <f t="shared" si="4"/>
        <v>67.304392418295507</v>
      </c>
      <c r="AJ10" s="435">
        <v>16577</v>
      </c>
      <c r="AK10" s="752">
        <f t="shared" si="5"/>
        <v>32.695607581704508</v>
      </c>
    </row>
    <row r="11" spans="1:37" ht="12.95" customHeight="1">
      <c r="A11" s="382" t="s">
        <v>4212</v>
      </c>
      <c r="B11" s="435">
        <v>519</v>
      </c>
      <c r="C11" s="463">
        <v>337</v>
      </c>
      <c r="D11" s="525">
        <v>93</v>
      </c>
      <c r="E11" s="623">
        <f t="shared" si="1"/>
        <v>27.596439169139465</v>
      </c>
      <c r="F11" s="525">
        <v>90</v>
      </c>
      <c r="G11" s="623">
        <f t="shared" si="2"/>
        <v>26.706231454005934</v>
      </c>
      <c r="H11" s="525">
        <v>129</v>
      </c>
      <c r="I11" s="623">
        <f t="shared" si="3"/>
        <v>38.27893175074184</v>
      </c>
      <c r="J11" s="525"/>
      <c r="K11" s="623"/>
      <c r="N11" s="858" t="s">
        <v>2384</v>
      </c>
      <c r="O11" s="463">
        <v>250</v>
      </c>
      <c r="P11" s="859">
        <v>245</v>
      </c>
      <c r="Q11" s="859">
        <v>265</v>
      </c>
      <c r="R11" s="859">
        <v>814</v>
      </c>
      <c r="S11" s="880">
        <v>393</v>
      </c>
      <c r="T11" s="880">
        <v>396</v>
      </c>
      <c r="U11" s="880"/>
      <c r="V11" s="435"/>
      <c r="W11" s="382" t="s">
        <v>2151</v>
      </c>
      <c r="X11" s="435">
        <v>1079</v>
      </c>
      <c r="Y11" s="435">
        <v>1096</v>
      </c>
      <c r="Z11" s="463">
        <v>1288</v>
      </c>
      <c r="AA11" s="463">
        <v>1277</v>
      </c>
      <c r="AB11" s="463">
        <v>1351</v>
      </c>
      <c r="AC11" s="463">
        <v>1283</v>
      </c>
      <c r="AD11" s="463"/>
      <c r="AE11" s="463"/>
      <c r="AF11" s="624">
        <v>2010</v>
      </c>
      <c r="AG11" s="525">
        <v>52821</v>
      </c>
      <c r="AH11" s="525">
        <v>40616</v>
      </c>
      <c r="AI11" s="623">
        <f t="shared" si="4"/>
        <v>76.893659718672495</v>
      </c>
      <c r="AJ11" s="525">
        <v>12205</v>
      </c>
      <c r="AK11" s="623">
        <f t="shared" si="5"/>
        <v>23.106340281327505</v>
      </c>
    </row>
    <row r="12" spans="1:37" ht="12.95" customHeight="1">
      <c r="A12" s="382" t="s">
        <v>2151</v>
      </c>
      <c r="B12" s="435">
        <v>1079</v>
      </c>
      <c r="C12" s="463">
        <v>632</v>
      </c>
      <c r="D12" s="525">
        <v>225</v>
      </c>
      <c r="E12" s="623">
        <f t="shared" si="1"/>
        <v>35.601265822784811</v>
      </c>
      <c r="F12" s="525">
        <v>231</v>
      </c>
      <c r="G12" s="623">
        <f t="shared" si="2"/>
        <v>36.550632911392405</v>
      </c>
      <c r="H12" s="525">
        <v>216</v>
      </c>
      <c r="I12" s="623">
        <f t="shared" si="3"/>
        <v>34.177215189873415</v>
      </c>
      <c r="J12" s="525"/>
      <c r="K12" s="623"/>
      <c r="N12" s="382" t="s">
        <v>4052</v>
      </c>
      <c r="O12" s="463">
        <v>926</v>
      </c>
      <c r="P12" s="859">
        <v>1188</v>
      </c>
      <c r="Q12" s="859">
        <v>1386</v>
      </c>
      <c r="R12" s="859">
        <v>1393</v>
      </c>
      <c r="S12" s="463">
        <v>1434</v>
      </c>
      <c r="T12" s="463">
        <v>1454</v>
      </c>
      <c r="U12" s="463"/>
      <c r="V12" s="435"/>
      <c r="W12" s="382" t="s">
        <v>4052</v>
      </c>
      <c r="X12" s="435">
        <v>1632</v>
      </c>
      <c r="Y12" s="435">
        <v>1800</v>
      </c>
      <c r="Z12" s="463">
        <v>1945</v>
      </c>
      <c r="AA12" s="463">
        <v>1886</v>
      </c>
      <c r="AB12" s="463">
        <v>1914</v>
      </c>
      <c r="AC12" s="463">
        <v>1945</v>
      </c>
      <c r="AD12" s="463"/>
      <c r="AE12" s="463"/>
      <c r="AF12" s="624">
        <v>2008</v>
      </c>
      <c r="AG12" s="525">
        <v>50806</v>
      </c>
      <c r="AH12" s="525">
        <v>35092</v>
      </c>
      <c r="AI12" s="623">
        <f t="shared" si="4"/>
        <v>69.070582214699044</v>
      </c>
      <c r="AJ12" s="525">
        <v>15714</v>
      </c>
      <c r="AK12" s="623">
        <f t="shared" si="5"/>
        <v>30.929417785300949</v>
      </c>
    </row>
    <row r="13" spans="1:37" ht="12.95" customHeight="1">
      <c r="A13" s="382" t="s">
        <v>4217</v>
      </c>
      <c r="B13" s="435">
        <v>1632</v>
      </c>
      <c r="C13" s="463">
        <v>926</v>
      </c>
      <c r="D13" s="525">
        <v>323</v>
      </c>
      <c r="E13" s="623">
        <f t="shared" si="1"/>
        <v>34.881209503239738</v>
      </c>
      <c r="F13" s="525">
        <v>343</v>
      </c>
      <c r="G13" s="623">
        <f t="shared" si="2"/>
        <v>37.041036717062639</v>
      </c>
      <c r="H13" s="525">
        <v>346</v>
      </c>
      <c r="I13" s="623">
        <f t="shared" si="3"/>
        <v>37.365010799136066</v>
      </c>
      <c r="J13" s="525"/>
      <c r="K13" s="623"/>
      <c r="N13" s="382" t="s">
        <v>2185</v>
      </c>
      <c r="O13" s="463">
        <v>2607</v>
      </c>
      <c r="P13" s="859">
        <v>2926</v>
      </c>
      <c r="Q13" s="859">
        <v>2411</v>
      </c>
      <c r="R13" s="859">
        <v>1218</v>
      </c>
      <c r="S13" s="463">
        <v>2700</v>
      </c>
      <c r="T13" s="463">
        <v>2737</v>
      </c>
      <c r="U13" s="463"/>
      <c r="V13" s="435"/>
      <c r="W13" s="382" t="s">
        <v>4056</v>
      </c>
      <c r="X13" s="435">
        <v>1815</v>
      </c>
      <c r="Y13" s="435">
        <v>1843</v>
      </c>
      <c r="Z13" s="463">
        <v>1713</v>
      </c>
      <c r="AA13" s="463">
        <v>1787</v>
      </c>
      <c r="AB13" s="463">
        <v>1716</v>
      </c>
      <c r="AC13" s="463">
        <v>1771</v>
      </c>
      <c r="AD13" s="463"/>
      <c r="AE13" s="463"/>
      <c r="AF13" s="624">
        <v>2006</v>
      </c>
      <c r="AG13" s="525">
        <v>55311</v>
      </c>
      <c r="AH13" s="525">
        <v>40220</v>
      </c>
      <c r="AI13" s="623">
        <f t="shared" si="4"/>
        <v>72.716096255717673</v>
      </c>
      <c r="AJ13" s="525">
        <v>15091</v>
      </c>
      <c r="AK13" s="623">
        <f t="shared" si="5"/>
        <v>27.283903744282327</v>
      </c>
    </row>
    <row r="14" spans="1:37">
      <c r="A14" s="382" t="s">
        <v>4056</v>
      </c>
      <c r="B14" s="435">
        <v>1815</v>
      </c>
      <c r="C14" s="463">
        <v>964</v>
      </c>
      <c r="D14" s="525">
        <v>442</v>
      </c>
      <c r="E14" s="623">
        <f t="shared" si="1"/>
        <v>45.850622406639005</v>
      </c>
      <c r="F14" s="525">
        <v>374</v>
      </c>
      <c r="G14" s="623">
        <f t="shared" si="2"/>
        <v>38.796680497925315</v>
      </c>
      <c r="H14" s="525">
        <v>356</v>
      </c>
      <c r="I14" s="623">
        <f t="shared" si="3"/>
        <v>36.929460580912867</v>
      </c>
      <c r="J14" s="525"/>
      <c r="K14" s="623"/>
      <c r="N14" s="382" t="s">
        <v>2151</v>
      </c>
      <c r="O14" s="463">
        <v>632</v>
      </c>
      <c r="P14" s="859">
        <v>661</v>
      </c>
      <c r="Q14" s="859">
        <v>839</v>
      </c>
      <c r="R14" s="859">
        <v>2033</v>
      </c>
      <c r="S14" s="463">
        <v>1086</v>
      </c>
      <c r="T14" s="463">
        <v>928</v>
      </c>
      <c r="U14" s="463"/>
      <c r="V14" s="435"/>
      <c r="W14" s="382" t="s">
        <v>2209</v>
      </c>
      <c r="X14" s="435">
        <v>3130</v>
      </c>
      <c r="Y14" s="435">
        <v>3131</v>
      </c>
      <c r="Z14" s="463">
        <v>2990</v>
      </c>
      <c r="AA14" s="463">
        <v>2948</v>
      </c>
      <c r="AB14" s="463">
        <v>2833</v>
      </c>
      <c r="AC14" s="463">
        <v>2596</v>
      </c>
      <c r="AD14" s="463"/>
      <c r="AE14" s="463"/>
      <c r="AF14" s="896">
        <v>2004</v>
      </c>
      <c r="AG14" s="525">
        <v>54940</v>
      </c>
      <c r="AH14" s="525">
        <v>36840</v>
      </c>
      <c r="AI14" s="623">
        <f t="shared" si="4"/>
        <v>67.054969057153258</v>
      </c>
      <c r="AJ14" s="525">
        <v>18100</v>
      </c>
      <c r="AK14" s="623">
        <f t="shared" si="5"/>
        <v>32.945030942846742</v>
      </c>
    </row>
    <row r="15" spans="1:37">
      <c r="A15" s="382" t="s">
        <v>2209</v>
      </c>
      <c r="B15" s="435">
        <v>3130</v>
      </c>
      <c r="C15" s="463">
        <v>1808</v>
      </c>
      <c r="D15" s="525">
        <v>865</v>
      </c>
      <c r="E15" s="623">
        <f t="shared" si="1"/>
        <v>47.842920353982301</v>
      </c>
      <c r="F15" s="525">
        <v>712</v>
      </c>
      <c r="G15" s="623">
        <f t="shared" si="2"/>
        <v>39.380530973451329</v>
      </c>
      <c r="H15" s="525">
        <v>656</v>
      </c>
      <c r="I15" s="623">
        <f t="shared" si="3"/>
        <v>36.283185840707965</v>
      </c>
      <c r="J15" s="525"/>
      <c r="K15" s="623"/>
      <c r="N15" s="382" t="s">
        <v>4067</v>
      </c>
      <c r="O15" s="463">
        <v>1175</v>
      </c>
      <c r="P15" s="859">
        <v>1430</v>
      </c>
      <c r="Q15" s="859">
        <v>1183</v>
      </c>
      <c r="R15" s="859">
        <v>2055</v>
      </c>
      <c r="S15" s="463">
        <v>1553</v>
      </c>
      <c r="T15" s="463">
        <v>1516</v>
      </c>
      <c r="U15" s="463"/>
      <c r="V15" s="435"/>
      <c r="W15" s="382" t="s">
        <v>2352</v>
      </c>
      <c r="X15" s="435">
        <v>2997</v>
      </c>
      <c r="Y15" s="435">
        <v>2979</v>
      </c>
      <c r="Z15" s="463">
        <v>2764</v>
      </c>
      <c r="AA15" s="463">
        <v>2793</v>
      </c>
      <c r="AB15" s="463">
        <v>2529</v>
      </c>
      <c r="AC15" s="463">
        <v>2427</v>
      </c>
      <c r="AD15" s="463"/>
      <c r="AE15" s="463"/>
      <c r="AF15" s="391">
        <v>2002</v>
      </c>
      <c r="AG15" s="463">
        <v>61052</v>
      </c>
      <c r="AH15" s="463">
        <v>45026</v>
      </c>
      <c r="AI15" s="799">
        <f t="shared" si="4"/>
        <v>73.750245692196813</v>
      </c>
      <c r="AJ15" s="463">
        <v>16026</v>
      </c>
      <c r="AK15" s="799">
        <f t="shared" si="5"/>
        <v>26.249754307803187</v>
      </c>
    </row>
    <row r="16" spans="1:37">
      <c r="A16" s="382" t="s">
        <v>2352</v>
      </c>
      <c r="B16" s="435">
        <v>2997</v>
      </c>
      <c r="C16" s="463">
        <v>1762</v>
      </c>
      <c r="D16" s="525">
        <v>861</v>
      </c>
      <c r="E16" s="623">
        <f t="shared" si="1"/>
        <v>48.86492622020431</v>
      </c>
      <c r="F16" s="525">
        <v>751</v>
      </c>
      <c r="G16" s="623">
        <f t="shared" si="2"/>
        <v>42.622020431328032</v>
      </c>
      <c r="H16" s="525">
        <v>617</v>
      </c>
      <c r="I16" s="623">
        <f t="shared" si="3"/>
        <v>35.017026106696939</v>
      </c>
      <c r="J16" s="525"/>
      <c r="K16" s="623"/>
      <c r="N16" s="382" t="s">
        <v>2195</v>
      </c>
      <c r="O16" s="463">
        <v>513</v>
      </c>
      <c r="P16" s="859">
        <v>570</v>
      </c>
      <c r="Q16" s="859">
        <v>532</v>
      </c>
      <c r="R16" s="859">
        <v>1397</v>
      </c>
      <c r="S16" s="463">
        <v>630</v>
      </c>
      <c r="T16" s="463">
        <v>686</v>
      </c>
      <c r="U16" s="463"/>
      <c r="V16" s="435"/>
      <c r="W16" s="382" t="s">
        <v>2261</v>
      </c>
      <c r="X16" s="435">
        <v>1696</v>
      </c>
      <c r="Y16" s="435">
        <v>1757</v>
      </c>
      <c r="Z16" s="463">
        <v>1688</v>
      </c>
      <c r="AA16" s="463">
        <v>1838</v>
      </c>
      <c r="AB16" s="463">
        <v>1777</v>
      </c>
      <c r="AC16" s="463">
        <v>1877</v>
      </c>
      <c r="AD16" s="463"/>
      <c r="AE16" s="463"/>
      <c r="AF16" s="391">
        <v>2000</v>
      </c>
      <c r="AG16" s="463">
        <v>53318</v>
      </c>
      <c r="AH16" s="463">
        <v>39060</v>
      </c>
      <c r="AI16" s="799">
        <f t="shared" si="4"/>
        <v>73.258561836528003</v>
      </c>
      <c r="AJ16" s="463">
        <v>14258</v>
      </c>
      <c r="AK16" s="799">
        <f t="shared" si="5"/>
        <v>26.741438163471997</v>
      </c>
    </row>
    <row r="17" spans="1:37" ht="12.95" customHeight="1">
      <c r="A17" s="382" t="s">
        <v>2261</v>
      </c>
      <c r="B17" s="435">
        <v>1696</v>
      </c>
      <c r="C17" s="463">
        <v>1012</v>
      </c>
      <c r="D17" s="525">
        <v>494</v>
      </c>
      <c r="E17" s="623">
        <f t="shared" si="1"/>
        <v>48.814229249011859</v>
      </c>
      <c r="F17" s="525">
        <v>397</v>
      </c>
      <c r="G17" s="623">
        <f t="shared" si="2"/>
        <v>39.229249011857711</v>
      </c>
      <c r="H17" s="525">
        <v>387</v>
      </c>
      <c r="I17" s="623">
        <f t="shared" si="3"/>
        <v>38.241106719367593</v>
      </c>
      <c r="J17" s="525"/>
      <c r="K17" s="623"/>
      <c r="N17" s="382" t="s">
        <v>4315</v>
      </c>
      <c r="O17" s="463">
        <v>1226</v>
      </c>
      <c r="P17" s="859">
        <v>1231</v>
      </c>
      <c r="Q17" s="859">
        <v>1114</v>
      </c>
      <c r="R17" s="859">
        <v>1218</v>
      </c>
      <c r="S17" s="463">
        <v>1313</v>
      </c>
      <c r="T17" s="463">
        <v>1378</v>
      </c>
      <c r="U17" s="463"/>
      <c r="V17" s="435"/>
      <c r="W17" s="382" t="s">
        <v>2251</v>
      </c>
      <c r="X17" s="435">
        <v>1662</v>
      </c>
      <c r="Y17" s="435">
        <v>1643</v>
      </c>
      <c r="Z17" s="463">
        <v>1650</v>
      </c>
      <c r="AA17" s="463">
        <v>1616</v>
      </c>
      <c r="AB17" s="463">
        <v>1611</v>
      </c>
      <c r="AC17" s="463">
        <v>1779</v>
      </c>
      <c r="AD17" s="463"/>
      <c r="AE17" s="463"/>
      <c r="AF17" s="391">
        <v>1998</v>
      </c>
      <c r="AG17" s="463">
        <v>57267</v>
      </c>
      <c r="AH17" s="463">
        <v>48666</v>
      </c>
      <c r="AI17" s="799">
        <f t="shared" si="4"/>
        <v>84.980879040284989</v>
      </c>
      <c r="AJ17" s="463">
        <v>8601</v>
      </c>
      <c r="AK17" s="799">
        <f t="shared" si="5"/>
        <v>15.019120959715018</v>
      </c>
    </row>
    <row r="18" spans="1:37" ht="12.95" customHeight="1">
      <c r="A18" s="382" t="s">
        <v>2251</v>
      </c>
      <c r="B18" s="435">
        <v>1662</v>
      </c>
      <c r="C18" s="463">
        <v>1117</v>
      </c>
      <c r="D18" s="525">
        <v>550</v>
      </c>
      <c r="E18" s="623">
        <f t="shared" si="1"/>
        <v>49.239033124440468</v>
      </c>
      <c r="F18" s="525">
        <v>460</v>
      </c>
      <c r="G18" s="623">
        <f t="shared" si="2"/>
        <v>41.18173679498657</v>
      </c>
      <c r="H18" s="525">
        <v>422</v>
      </c>
      <c r="I18" s="623">
        <f t="shared" si="3"/>
        <v>37.779767233661595</v>
      </c>
      <c r="J18" s="525"/>
      <c r="K18" s="623"/>
      <c r="N18" s="382" t="s">
        <v>2261</v>
      </c>
      <c r="O18" s="463">
        <v>1012</v>
      </c>
      <c r="P18" s="859">
        <v>1216</v>
      </c>
      <c r="Q18" s="859">
        <v>1079</v>
      </c>
      <c r="R18" s="859">
        <v>1608</v>
      </c>
      <c r="S18" s="463">
        <v>1291</v>
      </c>
      <c r="T18" s="463">
        <v>1456</v>
      </c>
      <c r="U18" s="463"/>
      <c r="V18" s="435"/>
      <c r="W18" s="382" t="s">
        <v>4067</v>
      </c>
      <c r="X18" s="435">
        <v>2393</v>
      </c>
      <c r="Y18" s="435">
        <v>2408</v>
      </c>
      <c r="Z18" s="463">
        <v>2191</v>
      </c>
      <c r="AA18" s="463">
        <v>2275</v>
      </c>
      <c r="AB18" s="463">
        <v>2138</v>
      </c>
      <c r="AC18" s="463">
        <v>2044</v>
      </c>
      <c r="AD18" s="463"/>
      <c r="AE18" s="463"/>
      <c r="AF18" s="391">
        <v>1996</v>
      </c>
      <c r="AG18" s="463">
        <v>55319</v>
      </c>
      <c r="AH18" s="463">
        <v>42219</v>
      </c>
      <c r="AI18" s="799">
        <f t="shared" si="4"/>
        <v>76.31916701314195</v>
      </c>
      <c r="AJ18" s="463">
        <v>13100</v>
      </c>
      <c r="AK18" s="799">
        <f t="shared" si="5"/>
        <v>23.680832986858043</v>
      </c>
    </row>
    <row r="19" spans="1:37" ht="12.95" customHeight="1">
      <c r="A19" s="382" t="s">
        <v>4067</v>
      </c>
      <c r="B19" s="435">
        <v>2393</v>
      </c>
      <c r="C19" s="463">
        <v>1175</v>
      </c>
      <c r="D19" s="525">
        <v>621</v>
      </c>
      <c r="E19" s="623">
        <f t="shared" si="1"/>
        <v>52.851063829787236</v>
      </c>
      <c r="F19" s="525">
        <v>517</v>
      </c>
      <c r="G19" s="623">
        <f t="shared" si="2"/>
        <v>44</v>
      </c>
      <c r="H19" s="525">
        <v>456</v>
      </c>
      <c r="I19" s="623">
        <f t="shared" si="3"/>
        <v>38.808510638297875</v>
      </c>
      <c r="J19" s="525"/>
      <c r="K19" s="623"/>
      <c r="N19" s="382" t="s">
        <v>4056</v>
      </c>
      <c r="O19" s="463">
        <v>964</v>
      </c>
      <c r="P19" s="859">
        <v>1216</v>
      </c>
      <c r="Q19" s="859">
        <v>1077</v>
      </c>
      <c r="R19" s="859">
        <v>2535</v>
      </c>
      <c r="S19" s="463">
        <v>1174</v>
      </c>
      <c r="T19" s="463">
        <v>1331</v>
      </c>
      <c r="U19" s="463"/>
      <c r="V19" s="435"/>
      <c r="W19" s="382" t="s">
        <v>2253</v>
      </c>
      <c r="X19" s="435">
        <v>4092</v>
      </c>
      <c r="Y19" s="435">
        <v>3977</v>
      </c>
      <c r="Z19" s="463">
        <v>3535</v>
      </c>
      <c r="AA19" s="463">
        <v>3525</v>
      </c>
      <c r="AB19" s="463">
        <v>3194</v>
      </c>
      <c r="AC19" s="463">
        <v>3432</v>
      </c>
      <c r="AD19" s="463"/>
      <c r="AE19" s="463"/>
      <c r="AF19" s="391">
        <v>1994</v>
      </c>
      <c r="AG19" s="463">
        <v>53065</v>
      </c>
      <c r="AH19" s="463">
        <v>45142</v>
      </c>
      <c r="AI19" s="799">
        <f t="shared" si="4"/>
        <v>85.069254687647216</v>
      </c>
      <c r="AJ19" s="463">
        <v>7923</v>
      </c>
      <c r="AK19" s="799">
        <f t="shared" si="5"/>
        <v>14.930745312352775</v>
      </c>
    </row>
    <row r="20" spans="1:37" ht="12.95" customHeight="1">
      <c r="A20" s="382" t="s">
        <v>2253</v>
      </c>
      <c r="B20" s="435">
        <v>4092</v>
      </c>
      <c r="C20" s="463">
        <v>2173</v>
      </c>
      <c r="D20" s="525">
        <v>1129</v>
      </c>
      <c r="E20" s="623">
        <f t="shared" si="1"/>
        <v>51.955821445006897</v>
      </c>
      <c r="F20" s="525">
        <v>930</v>
      </c>
      <c r="G20" s="623">
        <f t="shared" si="2"/>
        <v>42.797975149562816</v>
      </c>
      <c r="H20" s="525">
        <v>796</v>
      </c>
      <c r="I20" s="623">
        <f t="shared" si="3"/>
        <v>36.631385181776345</v>
      </c>
      <c r="J20" s="525"/>
      <c r="K20" s="623"/>
      <c r="N20" s="382" t="s">
        <v>2202</v>
      </c>
      <c r="O20" s="463">
        <v>2351</v>
      </c>
      <c r="P20" s="859">
        <v>2761</v>
      </c>
      <c r="Q20" s="859">
        <v>2320</v>
      </c>
      <c r="R20" s="859">
        <v>2952</v>
      </c>
      <c r="S20" s="463">
        <v>2620</v>
      </c>
      <c r="T20" s="463">
        <v>2963</v>
      </c>
      <c r="U20" s="463"/>
      <c r="V20" s="435"/>
      <c r="W20" s="382" t="s">
        <v>2185</v>
      </c>
      <c r="X20" s="435">
        <v>5482</v>
      </c>
      <c r="Y20" s="435">
        <v>5233</v>
      </c>
      <c r="Z20" s="463">
        <v>4542</v>
      </c>
      <c r="AA20" s="463">
        <v>4350</v>
      </c>
      <c r="AB20" s="463">
        <v>3859</v>
      </c>
      <c r="AC20" s="463">
        <v>3929</v>
      </c>
      <c r="AD20" s="463"/>
      <c r="AE20" s="463"/>
      <c r="AF20" s="391">
        <v>1992</v>
      </c>
      <c r="AG20" s="463">
        <v>46681</v>
      </c>
      <c r="AH20" s="463">
        <v>34856</v>
      </c>
      <c r="AI20" s="799">
        <f t="shared" si="4"/>
        <v>74.668494676635035</v>
      </c>
      <c r="AJ20" s="463">
        <v>11825</v>
      </c>
      <c r="AK20" s="799">
        <f t="shared" si="5"/>
        <v>25.331505323364965</v>
      </c>
    </row>
    <row r="21" spans="1:37" ht="12.95" customHeight="1">
      <c r="A21" s="382" t="s">
        <v>2185</v>
      </c>
      <c r="B21" s="435">
        <v>5482</v>
      </c>
      <c r="C21" s="463">
        <v>2607</v>
      </c>
      <c r="D21" s="525">
        <v>1342</v>
      </c>
      <c r="E21" s="623">
        <f t="shared" si="1"/>
        <v>51.47679324894515</v>
      </c>
      <c r="F21" s="525">
        <v>1139</v>
      </c>
      <c r="G21" s="623">
        <f t="shared" si="2"/>
        <v>43.690065209052555</v>
      </c>
      <c r="H21" s="525">
        <v>919</v>
      </c>
      <c r="I21" s="623">
        <f t="shared" si="3"/>
        <v>35.251246643651704</v>
      </c>
      <c r="J21" s="525"/>
      <c r="K21" s="623"/>
      <c r="N21" s="382" t="s">
        <v>4048</v>
      </c>
      <c r="O21" s="463">
        <v>337</v>
      </c>
      <c r="P21" s="859">
        <v>339</v>
      </c>
      <c r="Q21" s="859">
        <v>456</v>
      </c>
      <c r="R21" s="859">
        <v>2957</v>
      </c>
      <c r="S21" s="463">
        <v>636</v>
      </c>
      <c r="T21" s="463">
        <v>573</v>
      </c>
      <c r="U21" s="463"/>
      <c r="V21" s="435"/>
      <c r="W21" s="382" t="s">
        <v>2202</v>
      </c>
      <c r="X21" s="435">
        <v>5922</v>
      </c>
      <c r="Y21" s="435">
        <v>5472</v>
      </c>
      <c r="Z21" s="463">
        <v>4624</v>
      </c>
      <c r="AA21" s="463">
        <v>4455</v>
      </c>
      <c r="AB21" s="463">
        <v>4068</v>
      </c>
      <c r="AC21" s="463">
        <v>4326</v>
      </c>
      <c r="AD21" s="463"/>
      <c r="AE21" s="463"/>
      <c r="AF21" s="391">
        <v>1990</v>
      </c>
      <c r="AG21" s="463">
        <v>45168</v>
      </c>
      <c r="AH21" s="463">
        <v>39054</v>
      </c>
      <c r="AI21" s="799">
        <f t="shared" si="4"/>
        <v>86.463868225292245</v>
      </c>
      <c r="AJ21" s="463">
        <v>6114</v>
      </c>
      <c r="AK21" s="799">
        <f t="shared" si="5"/>
        <v>13.536131774707757</v>
      </c>
    </row>
    <row r="22" spans="1:37" ht="12.95" customHeight="1">
      <c r="A22" s="382" t="s">
        <v>2202</v>
      </c>
      <c r="B22" s="435">
        <v>5922</v>
      </c>
      <c r="C22" s="463">
        <v>2351</v>
      </c>
      <c r="D22" s="525">
        <v>1096</v>
      </c>
      <c r="E22" s="623">
        <f t="shared" si="1"/>
        <v>46.618460229689497</v>
      </c>
      <c r="F22" s="525">
        <v>916</v>
      </c>
      <c r="G22" s="623">
        <f t="shared" si="2"/>
        <v>38.962143768609103</v>
      </c>
      <c r="H22" s="525">
        <v>764</v>
      </c>
      <c r="I22" s="623">
        <f t="shared" si="3"/>
        <v>32.49680986814122</v>
      </c>
      <c r="J22" s="525"/>
      <c r="K22" s="623"/>
      <c r="N22" s="382" t="s">
        <v>2208</v>
      </c>
      <c r="O22" s="463">
        <v>3385</v>
      </c>
      <c r="P22" s="859">
        <v>3544</v>
      </c>
      <c r="Q22" s="859">
        <v>2975</v>
      </c>
      <c r="R22" s="859">
        <v>8037</v>
      </c>
      <c r="S22" s="463">
        <v>3595</v>
      </c>
      <c r="T22" s="463">
        <v>3607</v>
      </c>
      <c r="U22" s="463"/>
      <c r="V22" s="435"/>
      <c r="W22" s="382" t="s">
        <v>2177</v>
      </c>
      <c r="X22" s="435">
        <v>15649</v>
      </c>
      <c r="Y22" s="435">
        <v>15039</v>
      </c>
      <c r="Z22" s="463">
        <v>13470</v>
      </c>
      <c r="AA22" s="463">
        <v>13353</v>
      </c>
      <c r="AB22" s="463">
        <v>11540</v>
      </c>
      <c r="AC22" s="463">
        <v>11471</v>
      </c>
      <c r="AD22" s="463"/>
      <c r="AE22" s="463"/>
      <c r="AF22" s="391">
        <v>1988</v>
      </c>
      <c r="AG22" s="463">
        <v>43121</v>
      </c>
      <c r="AH22" s="463">
        <v>32886</v>
      </c>
      <c r="AI22" s="799">
        <f t="shared" si="4"/>
        <v>76.26446510980729</v>
      </c>
      <c r="AJ22" s="463">
        <v>10235</v>
      </c>
      <c r="AK22" s="799">
        <f t="shared" si="5"/>
        <v>23.735534890192714</v>
      </c>
    </row>
    <row r="23" spans="1:37" ht="12.95" customHeight="1">
      <c r="A23" s="382" t="s">
        <v>2177</v>
      </c>
      <c r="B23" s="435">
        <v>15649</v>
      </c>
      <c r="C23" s="463">
        <v>6237</v>
      </c>
      <c r="D23" s="525">
        <v>2594</v>
      </c>
      <c r="E23" s="623">
        <f t="shared" si="1"/>
        <v>41.590508257174925</v>
      </c>
      <c r="F23" s="525">
        <v>2640</v>
      </c>
      <c r="G23" s="623">
        <f t="shared" si="2"/>
        <v>42.328042328042329</v>
      </c>
      <c r="H23" s="525">
        <v>2297</v>
      </c>
      <c r="I23" s="623">
        <f t="shared" si="3"/>
        <v>36.828603495270166</v>
      </c>
      <c r="J23" s="525"/>
      <c r="K23" s="623"/>
      <c r="N23" s="381" t="s">
        <v>2209</v>
      </c>
      <c r="O23" s="497">
        <v>1808</v>
      </c>
      <c r="P23" s="879">
        <v>1943</v>
      </c>
      <c r="Q23" s="879">
        <v>1737</v>
      </c>
      <c r="R23" s="879">
        <v>3703</v>
      </c>
      <c r="S23" s="497">
        <v>1961</v>
      </c>
      <c r="T23" s="497">
        <v>1945</v>
      </c>
      <c r="U23" s="463"/>
      <c r="V23" s="435"/>
      <c r="W23" s="381" t="s">
        <v>2208</v>
      </c>
      <c r="X23" s="556">
        <v>7522</v>
      </c>
      <c r="Y23" s="556">
        <v>7008</v>
      </c>
      <c r="Z23" s="497">
        <v>6213</v>
      </c>
      <c r="AA23" s="497">
        <v>6030</v>
      </c>
      <c r="AB23" s="497">
        <v>5518</v>
      </c>
      <c r="AC23" s="497">
        <v>5406</v>
      </c>
      <c r="AD23" s="463"/>
      <c r="AE23" s="463"/>
      <c r="AF23" s="391">
        <v>1986</v>
      </c>
      <c r="AG23" s="463">
        <v>42664</v>
      </c>
      <c r="AH23" s="463">
        <v>35392</v>
      </c>
      <c r="AI23" s="799">
        <f t="shared" si="4"/>
        <v>82.955184699043699</v>
      </c>
      <c r="AJ23" s="463">
        <v>7272</v>
      </c>
      <c r="AK23" s="799">
        <f t="shared" si="5"/>
        <v>17.044815300956309</v>
      </c>
    </row>
    <row r="24" spans="1:37" ht="12.95" customHeight="1">
      <c r="A24" s="381" t="s">
        <v>2208</v>
      </c>
      <c r="B24" s="556">
        <v>7522</v>
      </c>
      <c r="C24" s="497">
        <v>3385</v>
      </c>
      <c r="D24" s="633">
        <v>1379</v>
      </c>
      <c r="E24" s="634">
        <f t="shared" si="1"/>
        <v>40.738552437223042</v>
      </c>
      <c r="F24" s="633">
        <v>1363</v>
      </c>
      <c r="G24" s="634">
        <f t="shared" si="2"/>
        <v>40.265878877400297</v>
      </c>
      <c r="H24" s="633">
        <v>1272</v>
      </c>
      <c r="I24" s="634">
        <f t="shared" si="3"/>
        <v>37.577548005908419</v>
      </c>
      <c r="J24" s="525"/>
      <c r="K24" s="623"/>
      <c r="N24" s="382" t="s">
        <v>4069</v>
      </c>
      <c r="O24" s="382"/>
      <c r="P24" s="382"/>
      <c r="Q24" s="382"/>
      <c r="R24" s="382"/>
      <c r="S24" s="382"/>
      <c r="T24" s="382"/>
      <c r="U24" s="382"/>
      <c r="V24" s="382"/>
      <c r="W24" s="382" t="s">
        <v>4069</v>
      </c>
      <c r="X24" s="382"/>
      <c r="Y24" s="382"/>
      <c r="Z24" s="382"/>
      <c r="AA24" s="382"/>
      <c r="AB24" s="382"/>
      <c r="AC24" s="382"/>
      <c r="AD24" s="382"/>
      <c r="AE24" s="382"/>
      <c r="AF24" s="391">
        <v>1984</v>
      </c>
      <c r="AG24" s="463">
        <v>38952</v>
      </c>
      <c r="AH24" s="463">
        <v>31755</v>
      </c>
      <c r="AI24" s="799">
        <f t="shared" si="4"/>
        <v>81.523413431916197</v>
      </c>
      <c r="AJ24" s="463">
        <v>7197</v>
      </c>
      <c r="AK24" s="799">
        <f t="shared" si="5"/>
        <v>18.476586568083793</v>
      </c>
    </row>
    <row r="25" spans="1:37" ht="12.95" customHeight="1">
      <c r="A25" s="382" t="s">
        <v>4069</v>
      </c>
      <c r="AF25" s="391">
        <v>1982</v>
      </c>
      <c r="AG25" s="463">
        <v>35207</v>
      </c>
      <c r="AH25" s="463">
        <v>30640</v>
      </c>
      <c r="AI25" s="799">
        <f t="shared" si="4"/>
        <v>87.028147811514756</v>
      </c>
      <c r="AJ25" s="463">
        <v>4567</v>
      </c>
      <c r="AK25" s="799">
        <f t="shared" si="5"/>
        <v>12.971852188485244</v>
      </c>
    </row>
    <row r="26" spans="1:37" ht="12.95" customHeight="1">
      <c r="P26" s="525"/>
      <c r="Q26" s="525"/>
      <c r="R26" s="525"/>
      <c r="S26" s="525"/>
      <c r="T26" s="525"/>
      <c r="U26" s="525"/>
      <c r="AF26" s="391">
        <v>1980</v>
      </c>
      <c r="AG26" s="463">
        <v>32140</v>
      </c>
      <c r="AH26" s="463">
        <v>25887</v>
      </c>
      <c r="AI26" s="799">
        <f t="shared" si="4"/>
        <v>80.544492843808342</v>
      </c>
      <c r="AJ26" s="463">
        <v>6523</v>
      </c>
      <c r="AK26" s="799">
        <f t="shared" si="5"/>
        <v>20.295581829495955</v>
      </c>
    </row>
    <row r="27" spans="1:37" ht="12.95" customHeight="1">
      <c r="N27" s="637"/>
      <c r="O27" s="637"/>
      <c r="P27" s="637"/>
      <c r="Q27" s="637"/>
      <c r="R27" s="637"/>
      <c r="AF27" s="391">
        <v>1978</v>
      </c>
      <c r="AG27" s="463">
        <v>32170</v>
      </c>
      <c r="AH27" s="463">
        <v>27279</v>
      </c>
      <c r="AI27" s="799">
        <f t="shared" si="4"/>
        <v>84.796394156046006</v>
      </c>
      <c r="AJ27" s="463">
        <v>4891</v>
      </c>
      <c r="AK27" s="799">
        <f t="shared" si="5"/>
        <v>15.203605843953994</v>
      </c>
    </row>
    <row r="28" spans="1:37" ht="12.95" customHeight="1">
      <c r="A28" s="381" t="s">
        <v>4316</v>
      </c>
      <c r="B28" s="586"/>
      <c r="C28" s="586"/>
      <c r="N28" s="382" t="s">
        <v>8715</v>
      </c>
      <c r="O28" s="382"/>
      <c r="P28" s="884"/>
      <c r="Q28" s="884"/>
      <c r="R28" s="382"/>
      <c r="S28" s="382"/>
      <c r="T28" s="382"/>
      <c r="U28" s="382"/>
      <c r="V28" s="382"/>
      <c r="W28" s="382" t="s">
        <v>4317</v>
      </c>
      <c r="X28" s="382"/>
      <c r="Y28" s="382"/>
      <c r="Z28" s="382"/>
      <c r="AA28" s="382"/>
      <c r="AB28" s="382"/>
      <c r="AC28" s="382"/>
      <c r="AD28" s="382"/>
      <c r="AE28" s="463"/>
      <c r="AF28" s="391">
        <v>1976</v>
      </c>
      <c r="AG28" s="463">
        <v>29024</v>
      </c>
      <c r="AH28" s="463">
        <v>23753</v>
      </c>
      <c r="AI28" s="799">
        <f t="shared" si="4"/>
        <v>81.839167585446532</v>
      </c>
      <c r="AJ28" s="463">
        <v>5271</v>
      </c>
      <c r="AK28" s="799">
        <f t="shared" si="5"/>
        <v>18.160832414553475</v>
      </c>
    </row>
    <row r="29" spans="1:37" ht="12.95" customHeight="1">
      <c r="B29" s="602"/>
      <c r="C29" s="604"/>
      <c r="D29" s="2137" t="s">
        <v>4318</v>
      </c>
      <c r="E29" s="2140"/>
      <c r="F29" s="2137" t="s">
        <v>4319</v>
      </c>
      <c r="G29" s="2146"/>
      <c r="H29" s="2137" t="s">
        <v>4320</v>
      </c>
      <c r="I29" s="2146"/>
      <c r="J29" s="702"/>
      <c r="K29" s="702"/>
      <c r="N29" s="597" t="s">
        <v>3990</v>
      </c>
      <c r="O29" s="2078" t="s">
        <v>3039</v>
      </c>
      <c r="P29" s="2079"/>
      <c r="Q29" s="2079"/>
      <c r="R29" s="2079"/>
      <c r="S29" s="2079"/>
      <c r="T29" s="2076"/>
      <c r="U29" s="414"/>
      <c r="V29" s="382"/>
      <c r="W29" s="415" t="s">
        <v>3990</v>
      </c>
      <c r="X29" s="2078" t="s">
        <v>3972</v>
      </c>
      <c r="Y29" s="2079"/>
      <c r="Z29" s="2079"/>
      <c r="AA29" s="2079"/>
      <c r="AB29" s="2079"/>
      <c r="AC29" s="2076"/>
      <c r="AD29" s="414"/>
      <c r="AE29" s="382"/>
      <c r="AF29" s="391">
        <v>1974</v>
      </c>
      <c r="AG29" s="463">
        <v>28854</v>
      </c>
      <c r="AH29" s="463">
        <v>23608</v>
      </c>
      <c r="AI29" s="799">
        <f t="shared" si="4"/>
        <v>81.818811949816322</v>
      </c>
      <c r="AJ29" s="463">
        <v>5246</v>
      </c>
      <c r="AK29" s="799">
        <f t="shared" si="5"/>
        <v>18.181188050183682</v>
      </c>
    </row>
    <row r="30" spans="1:37" ht="12.95" customHeight="1">
      <c r="B30" s="422" t="s">
        <v>3991</v>
      </c>
      <c r="C30" s="893"/>
      <c r="D30" s="2141"/>
      <c r="E30" s="2142"/>
      <c r="F30" s="2141"/>
      <c r="G30" s="2143"/>
      <c r="H30" s="2141"/>
      <c r="I30" s="2143"/>
      <c r="J30" s="702"/>
      <c r="K30" s="702"/>
      <c r="N30" s="610" t="s">
        <v>4020</v>
      </c>
      <c r="O30" s="610">
        <v>2022</v>
      </c>
      <c r="P30" s="610">
        <v>2020</v>
      </c>
      <c r="Q30" s="610">
        <v>2018</v>
      </c>
      <c r="R30" s="381">
        <v>2016</v>
      </c>
      <c r="S30" s="390">
        <v>2014</v>
      </c>
      <c r="U30" s="382"/>
      <c r="V30" s="439"/>
      <c r="W30" s="381" t="s">
        <v>4020</v>
      </c>
      <c r="X30" s="389">
        <v>2024</v>
      </c>
      <c r="Y30" s="389">
        <v>2022</v>
      </c>
      <c r="Z30" s="389">
        <v>2020</v>
      </c>
      <c r="AA30" s="668">
        <v>2018</v>
      </c>
      <c r="AB30" s="897">
        <v>2016</v>
      </c>
      <c r="AC30" s="390">
        <v>2014</v>
      </c>
      <c r="AD30" s="382"/>
      <c r="AE30" s="881"/>
      <c r="AF30" s="391">
        <v>1972</v>
      </c>
      <c r="AG30" s="463">
        <v>26228</v>
      </c>
      <c r="AH30" s="463">
        <v>21476</v>
      </c>
      <c r="AI30" s="799">
        <f t="shared" si="4"/>
        <v>81.881958212597226</v>
      </c>
      <c r="AJ30" s="463">
        <v>4752</v>
      </c>
      <c r="AK30" s="799">
        <f t="shared" si="5"/>
        <v>18.118041787402774</v>
      </c>
    </row>
    <row r="31" spans="1:37">
      <c r="A31" s="381" t="s">
        <v>4020</v>
      </c>
      <c r="B31" s="611" t="s">
        <v>4021</v>
      </c>
      <c r="C31" s="614" t="s">
        <v>3972</v>
      </c>
      <c r="D31" s="442" t="s">
        <v>1665</v>
      </c>
      <c r="E31" s="642" t="s">
        <v>1666</v>
      </c>
      <c r="F31" s="442" t="s">
        <v>1665</v>
      </c>
      <c r="G31" s="642" t="s">
        <v>1666</v>
      </c>
      <c r="H31" s="441" t="s">
        <v>1665</v>
      </c>
      <c r="I31" s="477" t="s">
        <v>1666</v>
      </c>
      <c r="J31" s="439"/>
      <c r="K31" s="439"/>
      <c r="N31" s="415" t="s">
        <v>4314</v>
      </c>
      <c r="O31" s="895">
        <f>SUM(O32:O50)</f>
        <v>15852</v>
      </c>
      <c r="P31" s="895">
        <f>SUM(P32:P50)</f>
        <v>13777</v>
      </c>
      <c r="Q31" s="895">
        <f>SUM(Q32:Q50)</f>
        <v>17583</v>
      </c>
      <c r="R31" s="895">
        <f>SUM(R32:R50)</f>
        <v>17057</v>
      </c>
      <c r="S31" s="463">
        <f>SUM(S32:S50)</f>
        <v>17871</v>
      </c>
      <c r="U31" s="463"/>
      <c r="V31" s="435"/>
      <c r="W31" s="382" t="s">
        <v>3017</v>
      </c>
      <c r="X31" s="463">
        <f>SUM(X32:X50)</f>
        <v>30283</v>
      </c>
      <c r="Y31" s="525">
        <v>34074</v>
      </c>
      <c r="Z31" s="463">
        <f>SUM(Z32:Z50)</f>
        <v>29377</v>
      </c>
      <c r="AA31" s="463">
        <f>SUM(AA32:AA50)</f>
        <v>37386</v>
      </c>
      <c r="AB31" s="463">
        <f>SUM(AB32:AB50)</f>
        <v>35854</v>
      </c>
      <c r="AC31" s="463">
        <f>SUM(AC32:AC50)</f>
        <v>37373</v>
      </c>
      <c r="AD31" s="463"/>
      <c r="AE31" s="463"/>
      <c r="AF31" s="391">
        <v>1970</v>
      </c>
      <c r="AG31" s="463">
        <v>23483</v>
      </c>
      <c r="AH31" s="463">
        <v>20707</v>
      </c>
      <c r="AI31" s="799">
        <f t="shared" si="4"/>
        <v>88.178682451134861</v>
      </c>
      <c r="AJ31" s="463">
        <v>2776</v>
      </c>
      <c r="AK31" s="799">
        <f t="shared" si="5"/>
        <v>11.821317548865135</v>
      </c>
    </row>
    <row r="32" spans="1:37">
      <c r="A32" s="382" t="s">
        <v>3503</v>
      </c>
      <c r="B32" s="435">
        <f>SUM(B33:B51)</f>
        <v>62098</v>
      </c>
      <c r="C32" s="463">
        <f>SUM(C33:C51)</f>
        <v>30283</v>
      </c>
      <c r="D32" s="525">
        <f>SUM(D33:D51)</f>
        <v>8943</v>
      </c>
      <c r="E32" s="623">
        <f>D32/C32*100</f>
        <v>29.531420268797675</v>
      </c>
      <c r="F32" s="525">
        <f>SUM(F33:F51)</f>
        <v>8689</v>
      </c>
      <c r="G32" s="623">
        <f>F32/C32*100</f>
        <v>28.692665852128258</v>
      </c>
      <c r="H32" s="525">
        <f>SUM(H33:H51)</f>
        <v>7016</v>
      </c>
      <c r="I32" s="623">
        <f>H32/C32*100</f>
        <v>23.16811412343559</v>
      </c>
      <c r="J32" s="623"/>
      <c r="K32" s="623"/>
      <c r="N32" s="382" t="s">
        <v>2251</v>
      </c>
      <c r="O32" s="463">
        <v>515</v>
      </c>
      <c r="P32" s="463">
        <v>523</v>
      </c>
      <c r="Q32" s="463">
        <v>554</v>
      </c>
      <c r="R32" s="463">
        <v>543</v>
      </c>
      <c r="S32" s="463">
        <v>661</v>
      </c>
      <c r="U32" s="463"/>
      <c r="V32" s="435"/>
      <c r="W32" s="858" t="s">
        <v>2384</v>
      </c>
      <c r="X32" s="463">
        <v>250</v>
      </c>
      <c r="Y32" s="859">
        <v>245</v>
      </c>
      <c r="Z32" s="859">
        <v>265</v>
      </c>
      <c r="AA32" s="873">
        <v>359</v>
      </c>
      <c r="AB32" s="873">
        <v>393</v>
      </c>
      <c r="AC32" s="873">
        <v>396</v>
      </c>
      <c r="AD32" s="873"/>
      <c r="AE32" s="463"/>
      <c r="AF32" s="391">
        <v>1968</v>
      </c>
      <c r="AG32" s="463">
        <v>19650</v>
      </c>
      <c r="AH32" s="463">
        <v>16466</v>
      </c>
      <c r="AI32" s="799">
        <f t="shared" si="4"/>
        <v>83.796437659033074</v>
      </c>
      <c r="AJ32" s="463">
        <v>3184</v>
      </c>
      <c r="AK32" s="799">
        <f t="shared" si="5"/>
        <v>16.203562340966922</v>
      </c>
    </row>
    <row r="33" spans="1:37">
      <c r="A33" s="858" t="s">
        <v>2384</v>
      </c>
      <c r="B33" s="859">
        <v>390</v>
      </c>
      <c r="C33" s="463">
        <v>250</v>
      </c>
      <c r="D33" s="525">
        <v>66</v>
      </c>
      <c r="E33" s="623">
        <f t="shared" ref="E33:E51" si="6">D33/C33*100</f>
        <v>26.400000000000002</v>
      </c>
      <c r="F33" s="525">
        <v>89</v>
      </c>
      <c r="G33" s="623">
        <f t="shared" ref="G33:G51" si="7">F33/C33*100</f>
        <v>35.6</v>
      </c>
      <c r="H33" s="525">
        <v>48</v>
      </c>
      <c r="I33" s="623">
        <f t="shared" ref="I33:I51" si="8">H33/C33*100</f>
        <v>19.2</v>
      </c>
      <c r="J33" s="623"/>
      <c r="K33" s="623"/>
      <c r="N33" s="382" t="s">
        <v>4042</v>
      </c>
      <c r="O33" s="463">
        <v>676</v>
      </c>
      <c r="P33" s="463">
        <v>612</v>
      </c>
      <c r="Q33" s="463">
        <v>814</v>
      </c>
      <c r="R33" s="463">
        <v>875</v>
      </c>
      <c r="S33" s="463">
        <v>904</v>
      </c>
      <c r="U33" s="463"/>
      <c r="V33" s="435"/>
      <c r="W33" s="382" t="s">
        <v>2252</v>
      </c>
      <c r="X33" s="463">
        <v>525</v>
      </c>
      <c r="Y33" s="463">
        <v>624</v>
      </c>
      <c r="Z33" s="859">
        <v>657</v>
      </c>
      <c r="AA33" s="874">
        <v>858</v>
      </c>
      <c r="AB33" s="874">
        <v>877</v>
      </c>
      <c r="AC33" s="874">
        <v>896</v>
      </c>
      <c r="AD33" s="874"/>
      <c r="AE33" s="463"/>
      <c r="AF33" s="391">
        <v>1966</v>
      </c>
      <c r="AG33" s="463">
        <v>18725</v>
      </c>
      <c r="AH33" s="463">
        <v>17125</v>
      </c>
      <c r="AI33" s="799">
        <f t="shared" si="4"/>
        <v>91.455273698264349</v>
      </c>
      <c r="AJ33" s="463">
        <v>1600</v>
      </c>
      <c r="AK33" s="799">
        <f t="shared" si="5"/>
        <v>8.544726301735647</v>
      </c>
    </row>
    <row r="34" spans="1:37">
      <c r="A34" s="382" t="s">
        <v>2252</v>
      </c>
      <c r="B34" s="435">
        <v>992</v>
      </c>
      <c r="C34" s="463">
        <v>525</v>
      </c>
      <c r="D34" s="525">
        <v>150</v>
      </c>
      <c r="E34" s="623">
        <f t="shared" si="6"/>
        <v>28.571428571428569</v>
      </c>
      <c r="F34" s="525">
        <v>163</v>
      </c>
      <c r="G34" s="623">
        <f t="shared" si="7"/>
        <v>31.047619047619047</v>
      </c>
      <c r="H34" s="525">
        <v>126</v>
      </c>
      <c r="I34" s="623">
        <f t="shared" si="8"/>
        <v>24</v>
      </c>
      <c r="J34" s="623"/>
      <c r="K34" s="623"/>
      <c r="N34" s="382" t="s">
        <v>2252</v>
      </c>
      <c r="O34" s="463">
        <v>292</v>
      </c>
      <c r="P34" s="463">
        <v>309</v>
      </c>
      <c r="Q34" s="463">
        <v>407</v>
      </c>
      <c r="R34" s="463">
        <v>433</v>
      </c>
      <c r="S34" s="463">
        <v>443</v>
      </c>
      <c r="U34" s="463"/>
      <c r="V34" s="435"/>
      <c r="W34" s="382" t="s">
        <v>2195</v>
      </c>
      <c r="X34" s="463">
        <v>513</v>
      </c>
      <c r="Y34" s="463">
        <v>570</v>
      </c>
      <c r="Z34" s="859">
        <v>532</v>
      </c>
      <c r="AA34" s="874">
        <v>640</v>
      </c>
      <c r="AB34" s="874">
        <v>630</v>
      </c>
      <c r="AC34" s="874">
        <v>686</v>
      </c>
      <c r="AD34" s="874"/>
      <c r="AE34" s="463"/>
      <c r="AF34" s="391">
        <v>1964</v>
      </c>
      <c r="AG34" s="463">
        <v>17077</v>
      </c>
      <c r="AH34" s="463">
        <v>15648</v>
      </c>
      <c r="AI34" s="799">
        <f t="shared" si="4"/>
        <v>91.632019675587046</v>
      </c>
      <c r="AJ34" s="463">
        <v>1429</v>
      </c>
      <c r="AK34" s="799">
        <f t="shared" si="5"/>
        <v>8.3679803244129527</v>
      </c>
    </row>
    <row r="35" spans="1:37">
      <c r="A35" s="382" t="s">
        <v>2195</v>
      </c>
      <c r="B35" s="435">
        <v>881</v>
      </c>
      <c r="C35" s="463">
        <v>513</v>
      </c>
      <c r="D35" s="525">
        <v>165</v>
      </c>
      <c r="E35" s="623">
        <f t="shared" si="6"/>
        <v>32.163742690058477</v>
      </c>
      <c r="F35" s="525">
        <v>160</v>
      </c>
      <c r="G35" s="623">
        <f t="shared" si="7"/>
        <v>31.189083820662766</v>
      </c>
      <c r="H35" s="525">
        <v>117</v>
      </c>
      <c r="I35" s="623">
        <f t="shared" si="8"/>
        <v>22.807017543859647</v>
      </c>
      <c r="J35" s="623"/>
      <c r="K35" s="623"/>
      <c r="N35" s="382" t="s">
        <v>2253</v>
      </c>
      <c r="O35" s="463">
        <v>1154</v>
      </c>
      <c r="P35" s="463">
        <v>908</v>
      </c>
      <c r="Q35" s="463">
        <v>1181</v>
      </c>
      <c r="R35" s="463">
        <v>1053</v>
      </c>
      <c r="S35" s="463">
        <v>1222</v>
      </c>
      <c r="U35" s="463"/>
      <c r="V35" s="435"/>
      <c r="W35" s="382" t="s">
        <v>4042</v>
      </c>
      <c r="X35" s="463">
        <v>1283</v>
      </c>
      <c r="Y35" s="435">
        <v>1433</v>
      </c>
      <c r="Z35" s="859">
        <v>1335</v>
      </c>
      <c r="AA35" s="874">
        <v>1714</v>
      </c>
      <c r="AB35" s="874">
        <v>1789</v>
      </c>
      <c r="AC35" s="874">
        <v>1858</v>
      </c>
      <c r="AD35" s="874"/>
      <c r="AE35" s="463"/>
      <c r="AF35" s="391">
        <v>1962</v>
      </c>
      <c r="AG35" s="463">
        <v>11987</v>
      </c>
      <c r="AH35" s="463">
        <v>10998</v>
      </c>
      <c r="AI35" s="799">
        <f t="shared" si="4"/>
        <v>91.749395178109623</v>
      </c>
      <c r="AJ35" s="463">
        <v>989</v>
      </c>
      <c r="AK35" s="799">
        <f t="shared" si="5"/>
        <v>8.2506048218903807</v>
      </c>
    </row>
    <row r="36" spans="1:37">
      <c r="A36" s="382" t="s">
        <v>4042</v>
      </c>
      <c r="B36" s="435">
        <v>2269</v>
      </c>
      <c r="C36" s="463">
        <v>1283</v>
      </c>
      <c r="D36" s="525">
        <v>299</v>
      </c>
      <c r="E36" s="623">
        <f t="shared" si="6"/>
        <v>23.304754481683553</v>
      </c>
      <c r="F36" s="525">
        <v>286</v>
      </c>
      <c r="G36" s="623">
        <f t="shared" si="7"/>
        <v>22.291504286827749</v>
      </c>
      <c r="H36" s="525">
        <v>234</v>
      </c>
      <c r="I36" s="623">
        <f t="shared" si="8"/>
        <v>18.23850350740452</v>
      </c>
      <c r="J36" s="623"/>
      <c r="K36" s="623"/>
      <c r="N36" s="382" t="s">
        <v>2352</v>
      </c>
      <c r="O36" s="463">
        <v>894</v>
      </c>
      <c r="P36" s="463">
        <v>705</v>
      </c>
      <c r="Q36" s="463">
        <v>949</v>
      </c>
      <c r="R36" s="463">
        <v>901</v>
      </c>
      <c r="S36" s="463">
        <v>884</v>
      </c>
      <c r="U36" s="463"/>
      <c r="V36" s="435"/>
      <c r="W36" s="382" t="s">
        <v>4315</v>
      </c>
      <c r="X36" s="463">
        <v>1226</v>
      </c>
      <c r="Y36" s="435">
        <v>1231</v>
      </c>
      <c r="Z36" s="859">
        <v>1114</v>
      </c>
      <c r="AA36" s="874">
        <v>1397</v>
      </c>
      <c r="AB36" s="874">
        <v>1313</v>
      </c>
      <c r="AC36" s="874">
        <v>1378</v>
      </c>
      <c r="AD36" s="874"/>
      <c r="AE36" s="463"/>
      <c r="AF36" s="391">
        <v>1960</v>
      </c>
      <c r="AG36" s="463">
        <v>11922</v>
      </c>
      <c r="AH36" s="463">
        <v>10639</v>
      </c>
      <c r="AI36" s="799">
        <f t="shared" si="4"/>
        <v>89.238382821674207</v>
      </c>
      <c r="AJ36" s="463">
        <v>1283</v>
      </c>
      <c r="AK36" s="799">
        <f t="shared" si="5"/>
        <v>10.761617178325784</v>
      </c>
    </row>
    <row r="37" spans="1:37">
      <c r="A37" s="382" t="s">
        <v>4315</v>
      </c>
      <c r="B37" s="435">
        <v>1976</v>
      </c>
      <c r="C37" s="463">
        <v>1226</v>
      </c>
      <c r="D37" s="525">
        <v>375</v>
      </c>
      <c r="E37" s="623">
        <f t="shared" si="6"/>
        <v>30.587275693311582</v>
      </c>
      <c r="F37" s="525">
        <v>398</v>
      </c>
      <c r="G37" s="623">
        <f t="shared" si="7"/>
        <v>32.463295269168022</v>
      </c>
      <c r="H37" s="525">
        <v>296</v>
      </c>
      <c r="I37" s="623">
        <f t="shared" si="8"/>
        <v>24.143556280587276</v>
      </c>
      <c r="J37" s="623"/>
      <c r="K37" s="623"/>
      <c r="N37" s="382" t="s">
        <v>2177</v>
      </c>
      <c r="O37" s="463">
        <v>3263</v>
      </c>
      <c r="P37" s="463">
        <v>2486</v>
      </c>
      <c r="Q37" s="463">
        <v>3692</v>
      </c>
      <c r="R37" s="463">
        <v>3428</v>
      </c>
      <c r="S37" s="463">
        <v>3620</v>
      </c>
      <c r="U37" s="463"/>
      <c r="V37" s="435"/>
      <c r="W37" s="382" t="s">
        <v>4048</v>
      </c>
      <c r="X37" s="463">
        <v>337</v>
      </c>
      <c r="Y37" s="463">
        <v>339</v>
      </c>
      <c r="Z37" s="859">
        <v>456</v>
      </c>
      <c r="AA37" s="874">
        <v>498</v>
      </c>
      <c r="AB37" s="874">
        <v>636</v>
      </c>
      <c r="AC37" s="874">
        <v>573</v>
      </c>
      <c r="AD37" s="874"/>
      <c r="AE37" s="463"/>
      <c r="AF37" s="391">
        <v>1958</v>
      </c>
      <c r="AG37" s="463">
        <v>10093</v>
      </c>
      <c r="AH37" s="463">
        <v>8343</v>
      </c>
      <c r="AI37" s="799">
        <f t="shared" si="4"/>
        <v>82.661250371544639</v>
      </c>
      <c r="AJ37" s="463">
        <v>1750</v>
      </c>
      <c r="AK37" s="799">
        <f t="shared" si="5"/>
        <v>17.338749628455368</v>
      </c>
    </row>
    <row r="38" spans="1:37">
      <c r="A38" s="382" t="s">
        <v>4212</v>
      </c>
      <c r="B38" s="435">
        <v>519</v>
      </c>
      <c r="C38" s="463">
        <v>337</v>
      </c>
      <c r="D38" s="525">
        <v>55</v>
      </c>
      <c r="E38" s="623">
        <f t="shared" si="6"/>
        <v>16.320474777448073</v>
      </c>
      <c r="F38" s="525">
        <v>72</v>
      </c>
      <c r="G38" s="623">
        <f t="shared" si="7"/>
        <v>21.364985163204746</v>
      </c>
      <c r="H38" s="525">
        <v>61</v>
      </c>
      <c r="I38" s="623">
        <f t="shared" si="8"/>
        <v>18.100890207715135</v>
      </c>
      <c r="J38" s="623"/>
      <c r="K38" s="623"/>
      <c r="N38" s="858" t="s">
        <v>2384</v>
      </c>
      <c r="O38" s="880">
        <v>123</v>
      </c>
      <c r="P38" s="880">
        <v>140</v>
      </c>
      <c r="Q38" s="880">
        <v>183</v>
      </c>
      <c r="R38" s="880">
        <v>193</v>
      </c>
      <c r="S38" s="880">
        <v>187</v>
      </c>
      <c r="U38" s="880"/>
      <c r="V38" s="435"/>
      <c r="W38" s="382" t="s">
        <v>2151</v>
      </c>
      <c r="X38" s="463">
        <v>632</v>
      </c>
      <c r="Y38" s="435">
        <v>661</v>
      </c>
      <c r="Z38" s="859">
        <v>839</v>
      </c>
      <c r="AA38" s="874">
        <v>814</v>
      </c>
      <c r="AB38" s="874">
        <v>1086</v>
      </c>
      <c r="AC38" s="874">
        <v>928</v>
      </c>
      <c r="AD38" s="874"/>
      <c r="AE38" s="463"/>
      <c r="AF38" s="391">
        <v>1956</v>
      </c>
      <c r="AG38" s="463">
        <v>9499</v>
      </c>
      <c r="AH38" s="463">
        <v>8036</v>
      </c>
      <c r="AI38" s="799">
        <f t="shared" si="4"/>
        <v>84.598378776713332</v>
      </c>
      <c r="AJ38" s="463">
        <v>1463</v>
      </c>
      <c r="AK38" s="799">
        <f t="shared" si="5"/>
        <v>15.401621223286662</v>
      </c>
    </row>
    <row r="39" spans="1:37">
      <c r="A39" s="382" t="s">
        <v>2151</v>
      </c>
      <c r="B39" s="435">
        <v>1079</v>
      </c>
      <c r="C39" s="463">
        <v>632</v>
      </c>
      <c r="D39" s="525">
        <v>144</v>
      </c>
      <c r="E39" s="623">
        <f t="shared" si="6"/>
        <v>22.784810126582279</v>
      </c>
      <c r="F39" s="525">
        <v>158</v>
      </c>
      <c r="G39" s="623">
        <f t="shared" si="7"/>
        <v>25</v>
      </c>
      <c r="H39" s="525">
        <v>137</v>
      </c>
      <c r="I39" s="623">
        <f t="shared" si="8"/>
        <v>21.677215189873415</v>
      </c>
      <c r="J39" s="623"/>
      <c r="K39" s="623"/>
      <c r="N39" s="382" t="s">
        <v>4052</v>
      </c>
      <c r="O39" s="463">
        <v>570</v>
      </c>
      <c r="P39" s="463">
        <v>679</v>
      </c>
      <c r="Q39" s="463">
        <v>673</v>
      </c>
      <c r="R39" s="463">
        <v>703</v>
      </c>
      <c r="S39" s="463">
        <v>718</v>
      </c>
      <c r="U39" s="463"/>
      <c r="V39" s="435"/>
      <c r="W39" s="382" t="s">
        <v>4052</v>
      </c>
      <c r="X39" s="463">
        <v>926</v>
      </c>
      <c r="Y39" s="435">
        <v>1188</v>
      </c>
      <c r="Z39" s="859">
        <v>1386</v>
      </c>
      <c r="AA39" s="874">
        <v>1393</v>
      </c>
      <c r="AB39" s="874">
        <v>1434</v>
      </c>
      <c r="AC39" s="874">
        <v>1454</v>
      </c>
      <c r="AD39" s="874"/>
      <c r="AE39" s="463"/>
      <c r="AF39" s="391">
        <v>1954</v>
      </c>
      <c r="AG39" s="463">
        <v>8779</v>
      </c>
      <c r="AH39" s="463">
        <v>7058</v>
      </c>
      <c r="AI39" s="799">
        <f t="shared" si="4"/>
        <v>80.396400501196041</v>
      </c>
      <c r="AJ39" s="463">
        <v>1721</v>
      </c>
      <c r="AK39" s="799">
        <f t="shared" si="5"/>
        <v>19.603599498803963</v>
      </c>
    </row>
    <row r="40" spans="1:37">
      <c r="A40" s="382" t="s">
        <v>4217</v>
      </c>
      <c r="B40" s="435">
        <v>1632</v>
      </c>
      <c r="C40" s="463">
        <v>926</v>
      </c>
      <c r="D40" s="525">
        <v>256</v>
      </c>
      <c r="E40" s="623">
        <f t="shared" si="6"/>
        <v>27.645788336933048</v>
      </c>
      <c r="F40" s="525">
        <v>223</v>
      </c>
      <c r="G40" s="623">
        <f t="shared" si="7"/>
        <v>24.08207343412527</v>
      </c>
      <c r="H40" s="525">
        <v>143</v>
      </c>
      <c r="I40" s="623">
        <f t="shared" si="8"/>
        <v>15.442764578833692</v>
      </c>
      <c r="J40" s="623"/>
      <c r="K40" s="623"/>
      <c r="N40" s="382" t="s">
        <v>2185</v>
      </c>
      <c r="O40" s="463">
        <v>1343</v>
      </c>
      <c r="P40" s="463">
        <v>1106</v>
      </c>
      <c r="Q40" s="463">
        <v>1351</v>
      </c>
      <c r="R40" s="463">
        <v>1262</v>
      </c>
      <c r="S40" s="463">
        <v>1279</v>
      </c>
      <c r="U40" s="463"/>
      <c r="V40" s="435"/>
      <c r="W40" s="382" t="s">
        <v>4056</v>
      </c>
      <c r="X40" s="463">
        <v>964</v>
      </c>
      <c r="Y40" s="435">
        <v>1216</v>
      </c>
      <c r="Z40" s="859">
        <v>1077</v>
      </c>
      <c r="AA40" s="874">
        <v>1218</v>
      </c>
      <c r="AB40" s="874">
        <v>1174</v>
      </c>
      <c r="AC40" s="874">
        <v>1331</v>
      </c>
      <c r="AD40" s="874"/>
      <c r="AE40" s="463"/>
      <c r="AF40" s="391">
        <v>1952</v>
      </c>
      <c r="AG40" s="463">
        <v>6248</v>
      </c>
      <c r="AH40" s="463">
        <v>4502</v>
      </c>
      <c r="AI40" s="799">
        <f t="shared" si="4"/>
        <v>72.0550576184379</v>
      </c>
      <c r="AJ40" s="463">
        <v>1746</v>
      </c>
      <c r="AK40" s="799">
        <f t="shared" si="5"/>
        <v>27.9449423815621</v>
      </c>
    </row>
    <row r="41" spans="1:37">
      <c r="A41" s="382" t="s">
        <v>4056</v>
      </c>
      <c r="B41" s="435">
        <v>1815</v>
      </c>
      <c r="C41" s="463">
        <v>964</v>
      </c>
      <c r="D41" s="525">
        <v>283</v>
      </c>
      <c r="E41" s="623">
        <f t="shared" si="6"/>
        <v>29.356846473029048</v>
      </c>
      <c r="F41" s="525">
        <v>284</v>
      </c>
      <c r="G41" s="623">
        <f t="shared" si="7"/>
        <v>29.460580912863072</v>
      </c>
      <c r="H41" s="525">
        <v>163</v>
      </c>
      <c r="I41" s="623">
        <f t="shared" si="8"/>
        <v>16.908713692946058</v>
      </c>
      <c r="J41" s="623"/>
      <c r="K41" s="623"/>
      <c r="N41" s="382" t="s">
        <v>2151</v>
      </c>
      <c r="O41" s="463">
        <v>304</v>
      </c>
      <c r="P41" s="463">
        <v>389</v>
      </c>
      <c r="Q41" s="463">
        <v>383</v>
      </c>
      <c r="R41" s="463">
        <v>536</v>
      </c>
      <c r="S41" s="463">
        <v>449</v>
      </c>
      <c r="U41" s="463"/>
      <c r="V41" s="435"/>
      <c r="W41" s="382" t="s">
        <v>2209</v>
      </c>
      <c r="X41" s="463">
        <v>1808</v>
      </c>
      <c r="Y41" s="435">
        <v>1943</v>
      </c>
      <c r="Z41" s="859">
        <v>1737</v>
      </c>
      <c r="AA41" s="874">
        <v>2033</v>
      </c>
      <c r="AB41" s="874">
        <v>1961</v>
      </c>
      <c r="AC41" s="874">
        <v>1945</v>
      </c>
      <c r="AD41" s="874"/>
      <c r="AE41" s="463"/>
      <c r="AF41" s="423">
        <v>1950</v>
      </c>
      <c r="AG41" s="497">
        <v>5415</v>
      </c>
      <c r="AH41" s="497">
        <v>4533</v>
      </c>
      <c r="AI41" s="805">
        <f t="shared" si="4"/>
        <v>83.711911357340725</v>
      </c>
      <c r="AJ41" s="497">
        <v>882</v>
      </c>
      <c r="AK41" s="805">
        <f t="shared" si="5"/>
        <v>16.288088642659279</v>
      </c>
    </row>
    <row r="42" spans="1:37">
      <c r="A42" s="382" t="s">
        <v>2209</v>
      </c>
      <c r="B42" s="435">
        <v>3130</v>
      </c>
      <c r="C42" s="463">
        <v>1808</v>
      </c>
      <c r="D42" s="525">
        <v>540</v>
      </c>
      <c r="E42" s="623">
        <f t="shared" si="6"/>
        <v>29.867256637168143</v>
      </c>
      <c r="F42" s="525">
        <v>503</v>
      </c>
      <c r="G42" s="623">
        <f t="shared" si="7"/>
        <v>27.820796460176989</v>
      </c>
      <c r="H42" s="525">
        <v>400</v>
      </c>
      <c r="I42" s="623">
        <f t="shared" si="8"/>
        <v>22.123893805309734</v>
      </c>
      <c r="J42" s="623"/>
      <c r="K42" s="623"/>
      <c r="N42" s="382" t="s">
        <v>4067</v>
      </c>
      <c r="O42" s="463">
        <v>657</v>
      </c>
      <c r="P42" s="463">
        <v>541</v>
      </c>
      <c r="Q42" s="463">
        <v>739</v>
      </c>
      <c r="R42" s="463">
        <v>736</v>
      </c>
      <c r="S42" s="463">
        <v>709</v>
      </c>
      <c r="U42" s="463"/>
      <c r="V42" s="435"/>
      <c r="W42" s="382" t="s">
        <v>2352</v>
      </c>
      <c r="X42" s="463">
        <v>1762</v>
      </c>
      <c r="Y42" s="435">
        <v>1924</v>
      </c>
      <c r="Z42" s="859">
        <v>1492</v>
      </c>
      <c r="AA42" s="874">
        <v>2055</v>
      </c>
      <c r="AB42" s="874">
        <v>1916</v>
      </c>
      <c r="AC42" s="874">
        <v>1876</v>
      </c>
      <c r="AD42" s="874"/>
      <c r="AE42" s="463"/>
      <c r="AF42" s="382" t="s">
        <v>4321</v>
      </c>
      <c r="AG42" s="382"/>
      <c r="AH42" s="382"/>
      <c r="AI42" s="382"/>
      <c r="AJ42" s="382"/>
      <c r="AK42" s="382"/>
    </row>
    <row r="43" spans="1:37">
      <c r="A43" s="382" t="s">
        <v>2352</v>
      </c>
      <c r="B43" s="435">
        <v>2997</v>
      </c>
      <c r="C43" s="463">
        <v>1762</v>
      </c>
      <c r="D43" s="525">
        <v>560</v>
      </c>
      <c r="E43" s="623">
        <f t="shared" si="6"/>
        <v>31.782065834279226</v>
      </c>
      <c r="F43" s="525">
        <v>534</v>
      </c>
      <c r="G43" s="623">
        <f t="shared" si="7"/>
        <v>30.306469920544838</v>
      </c>
      <c r="H43" s="525">
        <v>421</v>
      </c>
      <c r="I43" s="623">
        <f t="shared" si="8"/>
        <v>23.893303064699207</v>
      </c>
      <c r="J43" s="623"/>
      <c r="K43" s="623"/>
      <c r="N43" s="382" t="s">
        <v>2195</v>
      </c>
      <c r="O43" s="463">
        <v>270</v>
      </c>
      <c r="P43" s="463">
        <v>242</v>
      </c>
      <c r="Q43" s="463">
        <v>304</v>
      </c>
      <c r="R43" s="463">
        <v>302</v>
      </c>
      <c r="S43" s="463">
        <v>337</v>
      </c>
      <c r="U43" s="463"/>
      <c r="V43" s="435"/>
      <c r="W43" s="382" t="s">
        <v>2261</v>
      </c>
      <c r="X43" s="463">
        <v>1012</v>
      </c>
      <c r="Y43" s="435">
        <v>1216</v>
      </c>
      <c r="Z43" s="859">
        <v>1079</v>
      </c>
      <c r="AA43" s="874">
        <v>1397</v>
      </c>
      <c r="AB43" s="874">
        <v>1291</v>
      </c>
      <c r="AC43" s="874">
        <v>1456</v>
      </c>
      <c r="AD43" s="874"/>
      <c r="AE43" s="463"/>
    </row>
    <row r="44" spans="1:37">
      <c r="A44" s="382" t="s">
        <v>2261</v>
      </c>
      <c r="B44" s="435">
        <v>1696</v>
      </c>
      <c r="C44" s="463">
        <v>1012</v>
      </c>
      <c r="D44" s="525">
        <v>318</v>
      </c>
      <c r="E44" s="623">
        <f t="shared" si="6"/>
        <v>31.422924901185773</v>
      </c>
      <c r="F44" s="525">
        <v>311</v>
      </c>
      <c r="G44" s="623">
        <f t="shared" si="7"/>
        <v>30.731225296442688</v>
      </c>
      <c r="H44" s="525">
        <v>237</v>
      </c>
      <c r="I44" s="623">
        <f t="shared" si="8"/>
        <v>23.418972332015812</v>
      </c>
      <c r="J44" s="623"/>
      <c r="K44" s="623"/>
      <c r="N44" s="382" t="s">
        <v>4315</v>
      </c>
      <c r="O44" s="463">
        <v>557</v>
      </c>
      <c r="P44" s="463">
        <v>507</v>
      </c>
      <c r="Q44" s="463">
        <v>671</v>
      </c>
      <c r="R44" s="463">
        <v>640</v>
      </c>
      <c r="S44" s="463">
        <v>666</v>
      </c>
      <c r="U44" s="463"/>
      <c r="V44" s="435"/>
      <c r="W44" s="382" t="s">
        <v>2251</v>
      </c>
      <c r="X44" s="463">
        <v>1117</v>
      </c>
      <c r="Y44" s="435">
        <v>1109</v>
      </c>
      <c r="Z44" s="859">
        <v>1126</v>
      </c>
      <c r="AA44" s="874">
        <v>1218</v>
      </c>
      <c r="AB44" s="874">
        <v>1161</v>
      </c>
      <c r="AC44" s="874">
        <v>1391</v>
      </c>
      <c r="AD44" s="874"/>
      <c r="AE44" s="463"/>
    </row>
    <row r="45" spans="1:37">
      <c r="A45" s="382" t="s">
        <v>2251</v>
      </c>
      <c r="B45" s="435">
        <v>1662</v>
      </c>
      <c r="C45" s="463">
        <v>1117</v>
      </c>
      <c r="D45" s="525">
        <v>354</v>
      </c>
      <c r="E45" s="623">
        <f t="shared" si="6"/>
        <v>31.692032229185319</v>
      </c>
      <c r="F45" s="525">
        <v>345</v>
      </c>
      <c r="G45" s="623">
        <f t="shared" si="7"/>
        <v>30.886302596239929</v>
      </c>
      <c r="H45" s="525">
        <v>278</v>
      </c>
      <c r="I45" s="623">
        <f t="shared" si="8"/>
        <v>24.888093106535365</v>
      </c>
      <c r="J45" s="623"/>
      <c r="K45" s="623"/>
      <c r="N45" s="382" t="s">
        <v>2261</v>
      </c>
      <c r="O45" s="463">
        <v>561</v>
      </c>
      <c r="P45" s="463">
        <v>503</v>
      </c>
      <c r="Q45" s="463">
        <v>657</v>
      </c>
      <c r="R45" s="463">
        <v>612</v>
      </c>
      <c r="S45" s="463">
        <v>694</v>
      </c>
      <c r="U45" s="463"/>
      <c r="V45" s="435"/>
      <c r="W45" s="382" t="s">
        <v>4067</v>
      </c>
      <c r="X45" s="463">
        <v>1175</v>
      </c>
      <c r="Y45" s="435">
        <v>1430</v>
      </c>
      <c r="Z45" s="859">
        <v>1183</v>
      </c>
      <c r="AA45" s="874">
        <v>1608</v>
      </c>
      <c r="AB45" s="874">
        <v>1553</v>
      </c>
      <c r="AC45" s="874">
        <v>1516</v>
      </c>
      <c r="AD45" s="874"/>
      <c r="AE45" s="463"/>
    </row>
    <row r="46" spans="1:37">
      <c r="A46" s="382" t="s">
        <v>4067</v>
      </c>
      <c r="B46" s="435">
        <v>2393</v>
      </c>
      <c r="C46" s="463">
        <v>1175</v>
      </c>
      <c r="D46" s="525">
        <v>415</v>
      </c>
      <c r="E46" s="623">
        <f t="shared" si="6"/>
        <v>35.319148936170215</v>
      </c>
      <c r="F46" s="525">
        <v>417</v>
      </c>
      <c r="G46" s="623">
        <f t="shared" si="7"/>
        <v>35.48936170212766</v>
      </c>
      <c r="H46" s="525">
        <v>299</v>
      </c>
      <c r="I46" s="623">
        <f t="shared" si="8"/>
        <v>25.446808510638299</v>
      </c>
      <c r="J46" s="623"/>
      <c r="K46" s="623"/>
      <c r="N46" s="382" t="s">
        <v>4056</v>
      </c>
      <c r="O46" s="463">
        <v>597</v>
      </c>
      <c r="P46" s="463">
        <v>527</v>
      </c>
      <c r="Q46" s="463">
        <v>585</v>
      </c>
      <c r="R46" s="463">
        <v>572</v>
      </c>
      <c r="S46" s="463">
        <v>662</v>
      </c>
      <c r="U46" s="463"/>
      <c r="V46" s="435"/>
      <c r="W46" s="382" t="s">
        <v>2253</v>
      </c>
      <c r="X46" s="463">
        <v>2173</v>
      </c>
      <c r="Y46" s="435">
        <v>2454</v>
      </c>
      <c r="Z46" s="859">
        <v>1914</v>
      </c>
      <c r="AA46" s="874">
        <v>2535</v>
      </c>
      <c r="AB46" s="874">
        <v>2251</v>
      </c>
      <c r="AC46" s="874">
        <v>2562</v>
      </c>
      <c r="AD46" s="874"/>
      <c r="AE46" s="463"/>
    </row>
    <row r="47" spans="1:37">
      <c r="A47" s="382" t="s">
        <v>2253</v>
      </c>
      <c r="B47" s="435">
        <v>4092</v>
      </c>
      <c r="C47" s="463">
        <v>2173</v>
      </c>
      <c r="D47" s="525">
        <v>747</v>
      </c>
      <c r="E47" s="623">
        <f t="shared" si="6"/>
        <v>34.376438104003682</v>
      </c>
      <c r="F47" s="525">
        <v>707</v>
      </c>
      <c r="G47" s="623">
        <f t="shared" si="7"/>
        <v>32.535664979291298</v>
      </c>
      <c r="H47" s="525">
        <v>543</v>
      </c>
      <c r="I47" s="623">
        <f t="shared" si="8"/>
        <v>24.988495167970548</v>
      </c>
      <c r="J47" s="623"/>
      <c r="K47" s="623"/>
      <c r="N47" s="382" t="s">
        <v>2202</v>
      </c>
      <c r="O47" s="463">
        <v>1357</v>
      </c>
      <c r="P47" s="463">
        <v>1162</v>
      </c>
      <c r="Q47" s="463">
        <v>1501</v>
      </c>
      <c r="R47" s="463">
        <v>1332</v>
      </c>
      <c r="S47" s="463">
        <v>1508</v>
      </c>
      <c r="U47" s="463"/>
      <c r="V47" s="435"/>
      <c r="W47" s="382" t="s">
        <v>2185</v>
      </c>
      <c r="X47" s="463">
        <v>2607</v>
      </c>
      <c r="Y47" s="435">
        <v>2926</v>
      </c>
      <c r="Z47" s="859">
        <v>2411</v>
      </c>
      <c r="AA47" s="874">
        <v>2952</v>
      </c>
      <c r="AB47" s="874">
        <v>2700</v>
      </c>
      <c r="AC47" s="874">
        <v>2737</v>
      </c>
      <c r="AD47" s="874"/>
      <c r="AE47" s="463"/>
    </row>
    <row r="48" spans="1:37">
      <c r="A48" s="382" t="s">
        <v>2185</v>
      </c>
      <c r="B48" s="435">
        <v>5482</v>
      </c>
      <c r="C48" s="463">
        <v>2607</v>
      </c>
      <c r="D48" s="525">
        <v>889</v>
      </c>
      <c r="E48" s="623">
        <f t="shared" si="6"/>
        <v>34.100498657460683</v>
      </c>
      <c r="F48" s="525">
        <v>789</v>
      </c>
      <c r="G48" s="623">
        <f t="shared" si="7"/>
        <v>30.264672036823935</v>
      </c>
      <c r="H48" s="525">
        <v>606</v>
      </c>
      <c r="I48" s="623">
        <f t="shared" si="8"/>
        <v>23.245109321058688</v>
      </c>
      <c r="J48" s="623"/>
      <c r="K48" s="623"/>
      <c r="N48" s="382" t="s">
        <v>4048</v>
      </c>
      <c r="O48" s="463">
        <v>166</v>
      </c>
      <c r="P48" s="463">
        <v>221</v>
      </c>
      <c r="Q48" s="463">
        <v>243</v>
      </c>
      <c r="R48" s="463">
        <v>315</v>
      </c>
      <c r="S48" s="463">
        <v>291</v>
      </c>
      <c r="U48" s="463"/>
      <c r="V48" s="435"/>
      <c r="W48" s="382" t="s">
        <v>2202</v>
      </c>
      <c r="X48" s="463">
        <v>2351</v>
      </c>
      <c r="Y48" s="435">
        <v>2761</v>
      </c>
      <c r="Z48" s="859">
        <v>2320</v>
      </c>
      <c r="AA48" s="874">
        <v>2957</v>
      </c>
      <c r="AB48" s="874">
        <v>2620</v>
      </c>
      <c r="AC48" s="874">
        <v>2963</v>
      </c>
      <c r="AD48" s="874"/>
      <c r="AE48" s="463"/>
    </row>
    <row r="49" spans="1:31">
      <c r="A49" s="382" t="s">
        <v>2202</v>
      </c>
      <c r="B49" s="435">
        <v>5922</v>
      </c>
      <c r="C49" s="463">
        <v>2351</v>
      </c>
      <c r="D49" s="525">
        <v>716</v>
      </c>
      <c r="E49" s="623">
        <f t="shared" si="6"/>
        <v>30.455125478519779</v>
      </c>
      <c r="F49" s="525">
        <v>678</v>
      </c>
      <c r="G49" s="623">
        <f t="shared" si="7"/>
        <v>28.838792003402808</v>
      </c>
      <c r="H49" s="525">
        <v>495</v>
      </c>
      <c r="I49" s="623">
        <f t="shared" si="8"/>
        <v>21.054870267971076</v>
      </c>
      <c r="J49" s="623"/>
      <c r="K49" s="623"/>
      <c r="N49" s="382" t="s">
        <v>2208</v>
      </c>
      <c r="O49" s="463">
        <v>1665</v>
      </c>
      <c r="P49" s="463">
        <v>1409</v>
      </c>
      <c r="Q49" s="463">
        <v>1757</v>
      </c>
      <c r="R49" s="463">
        <v>1707</v>
      </c>
      <c r="S49" s="463">
        <v>1724</v>
      </c>
      <c r="U49" s="463"/>
      <c r="V49" s="435"/>
      <c r="W49" s="382" t="s">
        <v>2177</v>
      </c>
      <c r="X49" s="463">
        <v>6237</v>
      </c>
      <c r="Y49" s="435">
        <v>7260</v>
      </c>
      <c r="Z49" s="859">
        <v>5479</v>
      </c>
      <c r="AA49" s="874">
        <v>8037</v>
      </c>
      <c r="AB49" s="874">
        <v>7474</v>
      </c>
      <c r="AC49" s="874">
        <v>7820</v>
      </c>
      <c r="AD49" s="874"/>
      <c r="AE49" s="463"/>
    </row>
    <row r="50" spans="1:31">
      <c r="A50" s="382" t="s">
        <v>2177</v>
      </c>
      <c r="B50" s="435">
        <v>15649</v>
      </c>
      <c r="C50" s="463">
        <v>6237</v>
      </c>
      <c r="D50" s="525">
        <v>1731</v>
      </c>
      <c r="E50" s="623">
        <f t="shared" si="6"/>
        <v>27.753727753727752</v>
      </c>
      <c r="F50" s="525">
        <v>1692</v>
      </c>
      <c r="G50" s="623">
        <f t="shared" si="7"/>
        <v>27.128427128427131</v>
      </c>
      <c r="H50" s="525">
        <v>1603</v>
      </c>
      <c r="I50" s="623">
        <f t="shared" si="8"/>
        <v>25.701459034792368</v>
      </c>
      <c r="J50" s="623"/>
      <c r="K50" s="623"/>
      <c r="N50" s="381" t="s">
        <v>2209</v>
      </c>
      <c r="O50" s="497">
        <v>888</v>
      </c>
      <c r="P50" s="497">
        <v>808</v>
      </c>
      <c r="Q50" s="497">
        <v>939</v>
      </c>
      <c r="R50" s="497">
        <v>914</v>
      </c>
      <c r="S50" s="497">
        <v>913</v>
      </c>
      <c r="U50" s="463"/>
      <c r="V50" s="435"/>
      <c r="W50" s="381" t="s">
        <v>2208</v>
      </c>
      <c r="X50" s="497">
        <v>3385</v>
      </c>
      <c r="Y50" s="556">
        <v>3544</v>
      </c>
      <c r="Z50" s="879">
        <v>2975</v>
      </c>
      <c r="AA50" s="877">
        <v>3703</v>
      </c>
      <c r="AB50" s="877">
        <v>3595</v>
      </c>
      <c r="AC50" s="877">
        <v>3607</v>
      </c>
      <c r="AD50" s="874"/>
      <c r="AE50" s="463"/>
    </row>
    <row r="51" spans="1:31">
      <c r="A51" s="381" t="s">
        <v>2208</v>
      </c>
      <c r="B51" s="556">
        <v>7522</v>
      </c>
      <c r="C51" s="497">
        <v>3385</v>
      </c>
      <c r="D51" s="633">
        <v>880</v>
      </c>
      <c r="E51" s="634">
        <f t="shared" si="6"/>
        <v>25.997045790251107</v>
      </c>
      <c r="F51" s="633">
        <v>880</v>
      </c>
      <c r="G51" s="634">
        <f t="shared" si="7"/>
        <v>25.997045790251107</v>
      </c>
      <c r="H51" s="633">
        <v>809</v>
      </c>
      <c r="I51" s="634">
        <f t="shared" si="8"/>
        <v>23.899556868537665</v>
      </c>
      <c r="J51" s="623"/>
      <c r="K51" s="623"/>
      <c r="N51" s="382" t="s">
        <v>4069</v>
      </c>
      <c r="O51" s="382"/>
      <c r="P51" s="382"/>
      <c r="Q51" s="382"/>
      <c r="R51" s="382"/>
      <c r="S51" s="382"/>
      <c r="T51" s="382"/>
      <c r="U51" s="382"/>
      <c r="V51" s="382"/>
      <c r="W51" s="382" t="s">
        <v>4069</v>
      </c>
      <c r="X51" s="382"/>
      <c r="Y51" s="382"/>
      <c r="Z51" s="382"/>
      <c r="AA51" s="382"/>
      <c r="AB51" s="382"/>
      <c r="AC51" s="382"/>
      <c r="AD51" s="382"/>
      <c r="AE51" s="382"/>
    </row>
    <row r="52" spans="1:31">
      <c r="A52" s="382" t="s">
        <v>4069</v>
      </c>
      <c r="W52" s="870"/>
      <c r="X52" s="870"/>
      <c r="Y52" s="870"/>
      <c r="Z52" s="870"/>
      <c r="AA52" s="870"/>
      <c r="AB52" s="898"/>
      <c r="AC52" s="898"/>
      <c r="AD52" s="898"/>
      <c r="AE52" s="898"/>
    </row>
    <row r="53" spans="1:31">
      <c r="A53" s="382"/>
      <c r="P53" s="525"/>
      <c r="Q53" s="525"/>
      <c r="R53" s="525"/>
      <c r="S53" s="525"/>
      <c r="T53" s="525"/>
      <c r="U53" s="525"/>
      <c r="W53" s="870"/>
      <c r="X53" s="870"/>
      <c r="Y53" s="870"/>
      <c r="Z53" s="870"/>
      <c r="AA53" s="870"/>
      <c r="AB53" s="870"/>
      <c r="AC53" s="870"/>
      <c r="AD53" s="870"/>
      <c r="AE53" s="870"/>
    </row>
    <row r="54" spans="1:31">
      <c r="A54" s="382"/>
    </row>
    <row r="55" spans="1:31">
      <c r="A55" s="381" t="s">
        <v>4322</v>
      </c>
      <c r="B55" s="586"/>
      <c r="C55" s="586"/>
      <c r="N55" s="382" t="s">
        <v>8714</v>
      </c>
      <c r="O55" s="382"/>
      <c r="P55" s="884"/>
      <c r="Q55" s="884"/>
      <c r="R55" s="382"/>
      <c r="S55" s="382"/>
      <c r="T55" s="382"/>
      <c r="U55" s="382"/>
      <c r="V55" s="382"/>
      <c r="W55" s="382"/>
      <c r="X55" s="382"/>
      <c r="Y55" s="382"/>
      <c r="Z55" s="382"/>
      <c r="AA55" s="382"/>
      <c r="AB55" s="382"/>
      <c r="AC55" s="382"/>
      <c r="AD55" s="382"/>
      <c r="AE55" s="463"/>
    </row>
    <row r="56" spans="1:31">
      <c r="B56" s="602"/>
      <c r="C56" s="604"/>
      <c r="D56" s="2137" t="s">
        <v>4307</v>
      </c>
      <c r="E56" s="2140"/>
      <c r="F56" s="2137" t="s">
        <v>4319</v>
      </c>
      <c r="G56" s="2146"/>
      <c r="H56" s="2137" t="s">
        <v>4309</v>
      </c>
      <c r="I56" s="2146"/>
      <c r="N56" s="597" t="s">
        <v>3990</v>
      </c>
      <c r="O56" s="2078" t="s">
        <v>3046</v>
      </c>
      <c r="P56" s="2079"/>
      <c r="Q56" s="2079"/>
      <c r="R56" s="2079"/>
      <c r="S56" s="2079"/>
      <c r="T56" s="2076"/>
      <c r="U56" s="414"/>
      <c r="V56" s="382"/>
      <c r="W56" s="382"/>
      <c r="X56" s="382"/>
      <c r="Y56" s="382"/>
    </row>
    <row r="57" spans="1:31">
      <c r="B57" s="422" t="s">
        <v>3991</v>
      </c>
      <c r="C57" s="893"/>
      <c r="D57" s="2141"/>
      <c r="E57" s="2142"/>
      <c r="F57" s="2141"/>
      <c r="G57" s="2143"/>
      <c r="H57" s="2141"/>
      <c r="I57" s="2143"/>
      <c r="N57" s="610" t="s">
        <v>4020</v>
      </c>
      <c r="O57" s="610">
        <v>2022</v>
      </c>
      <c r="P57" s="610">
        <v>2020</v>
      </c>
      <c r="Q57" s="610">
        <v>2018</v>
      </c>
      <c r="R57" s="381">
        <v>2016</v>
      </c>
      <c r="S57" s="390">
        <v>2014</v>
      </c>
      <c r="U57" s="382"/>
      <c r="V57" s="439"/>
      <c r="W57" s="382"/>
      <c r="X57" s="382"/>
      <c r="Y57" s="2073"/>
      <c r="Z57" s="2073"/>
      <c r="AA57" s="2073"/>
      <c r="AB57" s="2073"/>
      <c r="AC57" s="2073"/>
      <c r="AD57" s="2073"/>
      <c r="AE57" s="2073"/>
    </row>
    <row r="58" spans="1:31">
      <c r="A58" s="381" t="s">
        <v>4020</v>
      </c>
      <c r="B58" s="611" t="s">
        <v>4021</v>
      </c>
      <c r="C58" s="614" t="s">
        <v>3972</v>
      </c>
      <c r="D58" s="442" t="s">
        <v>1665</v>
      </c>
      <c r="E58" s="642" t="s">
        <v>1666</v>
      </c>
      <c r="F58" s="442" t="s">
        <v>1665</v>
      </c>
      <c r="G58" s="642" t="s">
        <v>1666</v>
      </c>
      <c r="H58" s="642" t="s">
        <v>1665</v>
      </c>
      <c r="I58" s="894" t="s">
        <v>1666</v>
      </c>
      <c r="N58" s="415" t="s">
        <v>4314</v>
      </c>
      <c r="O58" s="895">
        <f>SUM(O59:O77)</f>
        <v>18222</v>
      </c>
      <c r="P58" s="895">
        <f>SUM(P59:P77)</f>
        <v>15600</v>
      </c>
      <c r="Q58" s="895">
        <f>SUM(Q59:Q77)</f>
        <v>19803</v>
      </c>
      <c r="R58" s="895">
        <f>SUM(R59:R77)</f>
        <v>18797</v>
      </c>
      <c r="S58" s="463">
        <f>SUM(S59:S77)</f>
        <v>19502</v>
      </c>
      <c r="U58" s="463"/>
      <c r="V58" s="435"/>
      <c r="W58" s="382"/>
      <c r="X58" s="382"/>
      <c r="Y58" s="382"/>
      <c r="Z58" s="881"/>
      <c r="AA58" s="881"/>
      <c r="AB58" s="382"/>
      <c r="AC58" s="382"/>
      <c r="AD58" s="382"/>
      <c r="AE58" s="881"/>
    </row>
    <row r="59" spans="1:31">
      <c r="A59" s="382" t="s">
        <v>3503</v>
      </c>
      <c r="B59" s="435">
        <f>SUM(B60:B78)</f>
        <v>60462</v>
      </c>
      <c r="C59" s="525">
        <v>34074</v>
      </c>
      <c r="D59" s="525">
        <f>SUM(D60:D78)</f>
        <v>20880</v>
      </c>
      <c r="E59" s="623">
        <f>D59/C59*100</f>
        <v>61.2783940834654</v>
      </c>
      <c r="F59" s="525">
        <f>SUM(F60:F78)</f>
        <v>17240</v>
      </c>
      <c r="G59" s="623">
        <f>F59/C59*100</f>
        <v>50.595762164700353</v>
      </c>
      <c r="H59" s="525">
        <f>SUM(H60:H78)</f>
        <v>15455</v>
      </c>
      <c r="I59" s="623">
        <f>H59/C59*100</f>
        <v>45.357163819921347</v>
      </c>
      <c r="N59" s="382" t="s">
        <v>2251</v>
      </c>
      <c r="O59" s="463">
        <v>594</v>
      </c>
      <c r="P59" s="463">
        <v>603</v>
      </c>
      <c r="Q59" s="463">
        <v>664</v>
      </c>
      <c r="R59" s="463">
        <v>618</v>
      </c>
      <c r="S59" s="463">
        <v>730</v>
      </c>
      <c r="U59" s="463"/>
      <c r="V59" s="435"/>
      <c r="W59" s="382"/>
      <c r="X59" s="382"/>
      <c r="Y59" s="435"/>
      <c r="Z59" s="435"/>
      <c r="AA59" s="463"/>
      <c r="AB59" s="463"/>
      <c r="AC59" s="463"/>
      <c r="AD59" s="463"/>
      <c r="AE59" s="463"/>
    </row>
    <row r="60" spans="1:31">
      <c r="A60" s="858" t="s">
        <v>2384</v>
      </c>
      <c r="B60" s="859">
        <v>386</v>
      </c>
      <c r="C60" s="859">
        <v>245</v>
      </c>
      <c r="D60" s="525">
        <v>157</v>
      </c>
      <c r="E60" s="623">
        <f>D60/C60*100</f>
        <v>64.08163265306122</v>
      </c>
      <c r="F60" s="525">
        <v>131</v>
      </c>
      <c r="G60" s="623">
        <f t="shared" ref="G60:G78" si="9">F60/C60*100</f>
        <v>53.469387755102041</v>
      </c>
      <c r="H60" s="525">
        <v>109</v>
      </c>
      <c r="I60" s="623">
        <f t="shared" ref="I60:I78" si="10">H60/C60*100</f>
        <v>44.489795918367349</v>
      </c>
      <c r="N60" s="382" t="s">
        <v>4042</v>
      </c>
      <c r="O60" s="463">
        <v>757</v>
      </c>
      <c r="P60" s="463">
        <v>723</v>
      </c>
      <c r="Q60" s="463">
        <v>900</v>
      </c>
      <c r="R60" s="463">
        <v>914</v>
      </c>
      <c r="S60" s="463">
        <v>954</v>
      </c>
      <c r="U60" s="463"/>
      <c r="V60" s="435"/>
      <c r="W60" s="858"/>
      <c r="X60" s="858"/>
      <c r="Y60" s="859"/>
      <c r="Z60" s="435"/>
      <c r="AA60" s="463"/>
      <c r="AB60" s="463"/>
      <c r="AC60" s="463"/>
      <c r="AD60" s="463"/>
      <c r="AE60" s="463"/>
    </row>
    <row r="61" spans="1:31">
      <c r="A61" s="382" t="s">
        <v>2252</v>
      </c>
      <c r="B61" s="435">
        <v>1010</v>
      </c>
      <c r="C61" s="463">
        <v>624</v>
      </c>
      <c r="D61" s="525">
        <v>394</v>
      </c>
      <c r="E61" s="623">
        <f t="shared" ref="E61:E78" si="11">D61/C61*100</f>
        <v>63.141025641025635</v>
      </c>
      <c r="F61" s="525">
        <v>322</v>
      </c>
      <c r="G61" s="623">
        <f t="shared" si="9"/>
        <v>51.602564102564109</v>
      </c>
      <c r="H61" s="525">
        <v>254</v>
      </c>
      <c r="I61" s="623">
        <f t="shared" si="10"/>
        <v>40.705128205128204</v>
      </c>
      <c r="N61" s="382" t="s">
        <v>2252</v>
      </c>
      <c r="O61" s="463">
        <v>332</v>
      </c>
      <c r="P61" s="463">
        <v>348</v>
      </c>
      <c r="Q61" s="463">
        <v>451</v>
      </c>
      <c r="R61" s="463">
        <v>444</v>
      </c>
      <c r="S61" s="463">
        <v>453</v>
      </c>
      <c r="U61" s="463"/>
      <c r="V61" s="435"/>
      <c r="W61" s="382"/>
      <c r="X61" s="382"/>
      <c r="Y61" s="435"/>
      <c r="Z61" s="435"/>
      <c r="AA61" s="463"/>
      <c r="AB61" s="463"/>
      <c r="AC61" s="463"/>
      <c r="AD61" s="463"/>
      <c r="AE61" s="463"/>
    </row>
    <row r="62" spans="1:31">
      <c r="A62" s="382" t="s">
        <v>2195</v>
      </c>
      <c r="B62" s="435">
        <v>899</v>
      </c>
      <c r="C62" s="463">
        <v>570</v>
      </c>
      <c r="D62" s="525">
        <v>338</v>
      </c>
      <c r="E62" s="623">
        <f t="shared" si="11"/>
        <v>59.298245614035082</v>
      </c>
      <c r="F62" s="525">
        <v>293</v>
      </c>
      <c r="G62" s="623">
        <f t="shared" si="9"/>
        <v>51.403508771929829</v>
      </c>
      <c r="H62" s="525">
        <v>221</v>
      </c>
      <c r="I62" s="623">
        <f t="shared" si="10"/>
        <v>38.771929824561404</v>
      </c>
      <c r="N62" s="382" t="s">
        <v>2253</v>
      </c>
      <c r="O62" s="463">
        <v>1300</v>
      </c>
      <c r="P62" s="463">
        <v>1006</v>
      </c>
      <c r="Q62" s="463">
        <v>1354</v>
      </c>
      <c r="R62" s="463">
        <v>1198</v>
      </c>
      <c r="S62" s="463">
        <v>1340</v>
      </c>
      <c r="U62" s="463"/>
      <c r="V62" s="435"/>
      <c r="W62" s="382"/>
      <c r="X62" s="382"/>
      <c r="Y62" s="435"/>
      <c r="Z62" s="435"/>
      <c r="AA62" s="463"/>
      <c r="AB62" s="463"/>
      <c r="AC62" s="463"/>
      <c r="AD62" s="463"/>
      <c r="AE62" s="463"/>
    </row>
    <row r="63" spans="1:31">
      <c r="A63" s="382" t="s">
        <v>4042</v>
      </c>
      <c r="B63" s="435">
        <v>2318</v>
      </c>
      <c r="C63" s="435">
        <v>1433</v>
      </c>
      <c r="D63" s="525">
        <v>768</v>
      </c>
      <c r="E63" s="623">
        <f t="shared" si="11"/>
        <v>53.59385903698535</v>
      </c>
      <c r="F63" s="525">
        <v>667</v>
      </c>
      <c r="G63" s="623">
        <f t="shared" si="9"/>
        <v>46.545708304256806</v>
      </c>
      <c r="H63" s="525">
        <v>706</v>
      </c>
      <c r="I63" s="623">
        <f t="shared" si="10"/>
        <v>49.267271458478717</v>
      </c>
      <c r="N63" s="382" t="s">
        <v>2352</v>
      </c>
      <c r="O63" s="463">
        <v>1030</v>
      </c>
      <c r="P63" s="463">
        <v>787</v>
      </c>
      <c r="Q63" s="463">
        <v>1106</v>
      </c>
      <c r="R63" s="463">
        <v>1015</v>
      </c>
      <c r="S63" s="463">
        <v>992</v>
      </c>
      <c r="U63" s="463"/>
      <c r="V63" s="435"/>
      <c r="W63" s="382"/>
      <c r="X63" s="382"/>
      <c r="Y63" s="435"/>
      <c r="Z63" s="435"/>
      <c r="AA63" s="463"/>
      <c r="AB63" s="463"/>
      <c r="AC63" s="463"/>
      <c r="AD63" s="463"/>
      <c r="AE63" s="463"/>
    </row>
    <row r="64" spans="1:31">
      <c r="A64" s="382" t="s">
        <v>4315</v>
      </c>
      <c r="B64" s="435">
        <v>1916</v>
      </c>
      <c r="C64" s="435">
        <v>1231</v>
      </c>
      <c r="D64" s="525">
        <v>770</v>
      </c>
      <c r="E64" s="623">
        <f t="shared" si="11"/>
        <v>62.550771730300568</v>
      </c>
      <c r="F64" s="525">
        <v>629</v>
      </c>
      <c r="G64" s="623">
        <f t="shared" si="9"/>
        <v>51.096669374492286</v>
      </c>
      <c r="H64" s="525">
        <v>543</v>
      </c>
      <c r="I64" s="623">
        <f t="shared" si="10"/>
        <v>44.110479285134033</v>
      </c>
      <c r="N64" s="382" t="s">
        <v>2177</v>
      </c>
      <c r="O64" s="463">
        <v>3997</v>
      </c>
      <c r="P64" s="463">
        <v>2993</v>
      </c>
      <c r="Q64" s="463">
        <v>4345</v>
      </c>
      <c r="R64" s="463">
        <v>4046</v>
      </c>
      <c r="S64" s="463">
        <v>4200</v>
      </c>
      <c r="U64" s="463"/>
      <c r="V64" s="435"/>
      <c r="W64" s="382"/>
      <c r="X64" s="382"/>
      <c r="Y64" s="435"/>
      <c r="Z64" s="435"/>
      <c r="AA64" s="463"/>
      <c r="AB64" s="463"/>
      <c r="AC64" s="463"/>
      <c r="AD64" s="463"/>
      <c r="AE64" s="439"/>
    </row>
    <row r="65" spans="1:31">
      <c r="A65" s="382" t="s">
        <v>4212</v>
      </c>
      <c r="B65" s="435">
        <v>547</v>
      </c>
      <c r="C65" s="463">
        <v>339</v>
      </c>
      <c r="D65" s="525">
        <v>160</v>
      </c>
      <c r="E65" s="623">
        <f t="shared" si="11"/>
        <v>47.197640117994098</v>
      </c>
      <c r="F65" s="525">
        <v>157</v>
      </c>
      <c r="G65" s="623">
        <f t="shared" si="9"/>
        <v>46.312684365781706</v>
      </c>
      <c r="H65" s="525">
        <v>178</v>
      </c>
      <c r="I65" s="623">
        <f t="shared" si="10"/>
        <v>52.507374631268434</v>
      </c>
      <c r="N65" s="858" t="s">
        <v>2384</v>
      </c>
      <c r="O65" s="880">
        <v>122</v>
      </c>
      <c r="P65" s="880">
        <v>125</v>
      </c>
      <c r="Q65" s="880">
        <v>176</v>
      </c>
      <c r="R65" s="880">
        <v>200</v>
      </c>
      <c r="S65" s="880">
        <v>209</v>
      </c>
      <c r="U65" s="880"/>
      <c r="V65" s="435"/>
      <c r="W65" s="382"/>
      <c r="X65" s="382"/>
      <c r="Y65" s="435"/>
      <c r="Z65" s="435"/>
      <c r="AA65" s="463"/>
      <c r="AB65" s="463"/>
      <c r="AC65" s="463"/>
      <c r="AD65" s="463"/>
      <c r="AE65" s="439"/>
    </row>
    <row r="66" spans="1:31">
      <c r="A66" s="382" t="s">
        <v>2151</v>
      </c>
      <c r="B66" s="435">
        <v>1096</v>
      </c>
      <c r="C66" s="435">
        <v>661</v>
      </c>
      <c r="D66" s="525">
        <v>373</v>
      </c>
      <c r="E66" s="623">
        <f t="shared" si="11"/>
        <v>56.429652042360054</v>
      </c>
      <c r="F66" s="525">
        <v>329</v>
      </c>
      <c r="G66" s="623">
        <f t="shared" si="9"/>
        <v>49.773071104387292</v>
      </c>
      <c r="H66" s="525">
        <v>326</v>
      </c>
      <c r="I66" s="623">
        <f t="shared" si="10"/>
        <v>49.319213313161875</v>
      </c>
      <c r="N66" s="382" t="s">
        <v>4052</v>
      </c>
      <c r="O66" s="463">
        <v>618</v>
      </c>
      <c r="P66" s="463">
        <v>707</v>
      </c>
      <c r="Q66" s="463">
        <v>720</v>
      </c>
      <c r="R66" s="463">
        <v>731</v>
      </c>
      <c r="S66" s="463">
        <v>736</v>
      </c>
      <c r="U66" s="463"/>
      <c r="V66" s="435"/>
      <c r="W66" s="382"/>
      <c r="X66" s="382"/>
      <c r="Y66" s="435"/>
      <c r="Z66" s="435"/>
      <c r="AA66" s="463"/>
      <c r="AB66" s="463"/>
      <c r="AC66" s="463"/>
      <c r="AD66" s="463"/>
      <c r="AE66" s="439"/>
    </row>
    <row r="67" spans="1:31">
      <c r="A67" s="382" t="s">
        <v>4217</v>
      </c>
      <c r="B67" s="435">
        <v>1800</v>
      </c>
      <c r="C67" s="435">
        <v>1188</v>
      </c>
      <c r="D67" s="525">
        <v>614</v>
      </c>
      <c r="E67" s="623">
        <f t="shared" si="11"/>
        <v>51.683501683501689</v>
      </c>
      <c r="F67" s="525">
        <v>545</v>
      </c>
      <c r="G67" s="623">
        <f t="shared" si="9"/>
        <v>45.875420875420872</v>
      </c>
      <c r="H67" s="525">
        <v>521</v>
      </c>
      <c r="I67" s="623">
        <f t="shared" si="10"/>
        <v>43.855218855218851</v>
      </c>
      <c r="N67" s="382" t="s">
        <v>2185</v>
      </c>
      <c r="O67" s="463">
        <v>1583</v>
      </c>
      <c r="P67" s="463">
        <v>1305</v>
      </c>
      <c r="Q67" s="463">
        <v>1601</v>
      </c>
      <c r="R67" s="463">
        <v>1438</v>
      </c>
      <c r="S67" s="463">
        <v>1458</v>
      </c>
      <c r="U67" s="463"/>
      <c r="V67" s="435"/>
      <c r="W67" s="382"/>
      <c r="X67" s="382"/>
      <c r="Y67" s="435"/>
      <c r="Z67" s="435"/>
      <c r="AA67" s="463"/>
      <c r="AB67" s="463"/>
      <c r="AC67" s="463"/>
      <c r="AD67" s="463"/>
      <c r="AE67" s="439"/>
    </row>
    <row r="68" spans="1:31">
      <c r="A68" s="382" t="s">
        <v>4056</v>
      </c>
      <c r="B68" s="435">
        <v>1843</v>
      </c>
      <c r="C68" s="435">
        <v>1216</v>
      </c>
      <c r="D68" s="525">
        <v>735</v>
      </c>
      <c r="E68" s="623">
        <f t="shared" si="11"/>
        <v>60.444078947368418</v>
      </c>
      <c r="F68" s="525">
        <v>582</v>
      </c>
      <c r="G68" s="623">
        <f t="shared" si="9"/>
        <v>47.861842105263158</v>
      </c>
      <c r="H68" s="525">
        <v>553</v>
      </c>
      <c r="I68" s="623">
        <f t="shared" si="10"/>
        <v>45.476973684210527</v>
      </c>
      <c r="N68" s="382" t="s">
        <v>2151</v>
      </c>
      <c r="O68" s="463">
        <v>357</v>
      </c>
      <c r="P68" s="463">
        <v>450</v>
      </c>
      <c r="Q68" s="463">
        <v>431</v>
      </c>
      <c r="R68" s="463">
        <v>550</v>
      </c>
      <c r="S68" s="463">
        <v>479</v>
      </c>
      <c r="U68" s="463"/>
      <c r="V68" s="435"/>
      <c r="W68" s="382"/>
      <c r="X68" s="382"/>
      <c r="Y68" s="435"/>
      <c r="Z68" s="435"/>
      <c r="AA68" s="463"/>
      <c r="AB68" s="463"/>
      <c r="AC68" s="463"/>
      <c r="AD68" s="463"/>
      <c r="AE68" s="439"/>
    </row>
    <row r="69" spans="1:31">
      <c r="A69" s="382" t="s">
        <v>2209</v>
      </c>
      <c r="B69" s="435">
        <v>3131</v>
      </c>
      <c r="C69" s="435">
        <v>1943</v>
      </c>
      <c r="D69" s="525">
        <v>1243</v>
      </c>
      <c r="E69" s="623">
        <f t="shared" si="11"/>
        <v>63.973237261966034</v>
      </c>
      <c r="F69" s="525">
        <v>947</v>
      </c>
      <c r="G69" s="623">
        <f t="shared" si="9"/>
        <v>48.739063304168809</v>
      </c>
      <c r="H69" s="525">
        <v>844</v>
      </c>
      <c r="I69" s="623">
        <f t="shared" si="10"/>
        <v>43.437982501286669</v>
      </c>
      <c r="N69" s="382" t="s">
        <v>4067</v>
      </c>
      <c r="O69" s="463">
        <v>773</v>
      </c>
      <c r="P69" s="463">
        <v>642</v>
      </c>
      <c r="Q69" s="463">
        <v>869</v>
      </c>
      <c r="R69" s="463">
        <v>817</v>
      </c>
      <c r="S69" s="463">
        <v>807</v>
      </c>
      <c r="U69" s="463"/>
      <c r="V69" s="435"/>
      <c r="W69" s="382"/>
      <c r="X69" s="382"/>
      <c r="Y69" s="435"/>
      <c r="Z69" s="435"/>
      <c r="AA69" s="463"/>
      <c r="AB69" s="463"/>
      <c r="AC69" s="463"/>
      <c r="AD69" s="463"/>
      <c r="AE69" s="439"/>
    </row>
    <row r="70" spans="1:31">
      <c r="A70" s="382" t="s">
        <v>2352</v>
      </c>
      <c r="B70" s="435">
        <v>2979</v>
      </c>
      <c r="C70" s="435">
        <v>1924</v>
      </c>
      <c r="D70" s="525">
        <v>1253</v>
      </c>
      <c r="E70" s="623">
        <f t="shared" si="11"/>
        <v>65.124740124740129</v>
      </c>
      <c r="F70" s="525">
        <v>882</v>
      </c>
      <c r="G70" s="623">
        <f t="shared" si="9"/>
        <v>45.841995841995839</v>
      </c>
      <c r="H70" s="525">
        <v>814</v>
      </c>
      <c r="I70" s="623">
        <f t="shared" si="10"/>
        <v>42.307692307692307</v>
      </c>
      <c r="N70" s="382" t="s">
        <v>2195</v>
      </c>
      <c r="O70" s="463">
        <v>300</v>
      </c>
      <c r="P70" s="463">
        <v>290</v>
      </c>
      <c r="Q70" s="463">
        <v>336</v>
      </c>
      <c r="R70" s="463">
        <v>328</v>
      </c>
      <c r="S70" s="463">
        <v>349</v>
      </c>
      <c r="U70" s="463"/>
      <c r="V70" s="435"/>
      <c r="W70" s="382"/>
      <c r="X70" s="382"/>
      <c r="Y70" s="435"/>
      <c r="Z70" s="435"/>
      <c r="AA70" s="463"/>
      <c r="AB70" s="463"/>
      <c r="AC70" s="463"/>
      <c r="AD70" s="463"/>
      <c r="AE70" s="439"/>
    </row>
    <row r="71" spans="1:31">
      <c r="A71" s="382" t="s">
        <v>2261</v>
      </c>
      <c r="B71" s="435">
        <v>1757</v>
      </c>
      <c r="C71" s="435">
        <v>1216</v>
      </c>
      <c r="D71" s="525">
        <v>768</v>
      </c>
      <c r="E71" s="623">
        <f t="shared" si="11"/>
        <v>63.157894736842103</v>
      </c>
      <c r="F71" s="525">
        <v>627</v>
      </c>
      <c r="G71" s="623">
        <f t="shared" si="9"/>
        <v>51.5625</v>
      </c>
      <c r="H71" s="525">
        <v>562</v>
      </c>
      <c r="I71" s="623">
        <f t="shared" si="10"/>
        <v>46.21710526315789</v>
      </c>
      <c r="N71" s="382" t="s">
        <v>4315</v>
      </c>
      <c r="O71" s="463">
        <v>674</v>
      </c>
      <c r="P71" s="463">
        <v>607</v>
      </c>
      <c r="Q71" s="463">
        <v>726</v>
      </c>
      <c r="R71" s="463">
        <v>673</v>
      </c>
      <c r="S71" s="463">
        <v>712</v>
      </c>
      <c r="U71" s="463"/>
      <c r="V71" s="435"/>
      <c r="W71" s="382"/>
      <c r="X71" s="382"/>
      <c r="Y71" s="435"/>
      <c r="Z71" s="435"/>
      <c r="AA71" s="463"/>
      <c r="AB71" s="463"/>
      <c r="AC71" s="463"/>
      <c r="AD71" s="463"/>
      <c r="AE71" s="439"/>
    </row>
    <row r="72" spans="1:31">
      <c r="A72" s="382" t="s">
        <v>2251</v>
      </c>
      <c r="B72" s="435">
        <v>1643</v>
      </c>
      <c r="C72" s="435">
        <v>1109</v>
      </c>
      <c r="D72" s="525">
        <v>711</v>
      </c>
      <c r="E72" s="623">
        <f t="shared" si="11"/>
        <v>64.111812443642918</v>
      </c>
      <c r="F72" s="525">
        <v>520</v>
      </c>
      <c r="G72" s="623">
        <f t="shared" si="9"/>
        <v>46.889089269612263</v>
      </c>
      <c r="H72" s="525">
        <v>491</v>
      </c>
      <c r="I72" s="623">
        <f t="shared" si="10"/>
        <v>44.274120829576198</v>
      </c>
      <c r="N72" s="382" t="s">
        <v>2261</v>
      </c>
      <c r="O72" s="463">
        <v>655</v>
      </c>
      <c r="P72" s="463">
        <v>576</v>
      </c>
      <c r="Q72" s="463">
        <v>740</v>
      </c>
      <c r="R72" s="463">
        <v>679</v>
      </c>
      <c r="S72" s="463">
        <v>762</v>
      </c>
      <c r="U72" s="463"/>
      <c r="V72" s="435"/>
      <c r="W72" s="382"/>
      <c r="X72" s="382"/>
      <c r="Y72" s="435"/>
      <c r="Z72" s="435"/>
      <c r="AA72" s="463"/>
      <c r="AB72" s="463"/>
      <c r="AC72" s="463"/>
      <c r="AD72" s="463"/>
      <c r="AE72" s="439"/>
    </row>
    <row r="73" spans="1:31">
      <c r="A73" s="382" t="s">
        <v>4067</v>
      </c>
      <c r="B73" s="435">
        <v>2408</v>
      </c>
      <c r="C73" s="435">
        <v>1430</v>
      </c>
      <c r="D73" s="525">
        <v>894</v>
      </c>
      <c r="E73" s="623">
        <f t="shared" si="11"/>
        <v>62.517482517482513</v>
      </c>
      <c r="F73" s="525">
        <v>722</v>
      </c>
      <c r="G73" s="623">
        <f t="shared" si="9"/>
        <v>50.489510489510494</v>
      </c>
      <c r="H73" s="525">
        <v>608</v>
      </c>
      <c r="I73" s="623">
        <f t="shared" si="10"/>
        <v>42.51748251748252</v>
      </c>
      <c r="N73" s="382" t="s">
        <v>4056</v>
      </c>
      <c r="O73" s="463">
        <v>619</v>
      </c>
      <c r="P73" s="463">
        <v>550</v>
      </c>
      <c r="Q73" s="463">
        <v>633</v>
      </c>
      <c r="R73" s="463">
        <v>602</v>
      </c>
      <c r="S73" s="463">
        <v>669</v>
      </c>
      <c r="U73" s="463"/>
      <c r="V73" s="435"/>
      <c r="W73" s="382"/>
      <c r="X73" s="382"/>
      <c r="Y73" s="435"/>
      <c r="Z73" s="435"/>
      <c r="AA73" s="463"/>
      <c r="AB73" s="463"/>
      <c r="AC73" s="463"/>
      <c r="AD73" s="463"/>
      <c r="AE73" s="439"/>
    </row>
    <row r="74" spans="1:31">
      <c r="A74" s="382" t="s">
        <v>2253</v>
      </c>
      <c r="B74" s="435">
        <v>3977</v>
      </c>
      <c r="C74" s="435">
        <v>2454</v>
      </c>
      <c r="D74" s="525">
        <v>1583</v>
      </c>
      <c r="E74" s="623">
        <f t="shared" si="11"/>
        <v>64.506927465362679</v>
      </c>
      <c r="F74" s="525">
        <v>1272</v>
      </c>
      <c r="G74" s="623">
        <f t="shared" si="9"/>
        <v>51.833740831295842</v>
      </c>
      <c r="H74" s="525">
        <v>1069</v>
      </c>
      <c r="I74" s="623">
        <f t="shared" si="10"/>
        <v>43.561532192339037</v>
      </c>
      <c r="N74" s="382" t="s">
        <v>2202</v>
      </c>
      <c r="O74" s="463">
        <v>1404</v>
      </c>
      <c r="P74" s="463">
        <v>1158</v>
      </c>
      <c r="Q74" s="463">
        <v>1456</v>
      </c>
      <c r="R74" s="463">
        <v>1288</v>
      </c>
      <c r="S74" s="463">
        <v>1455</v>
      </c>
      <c r="U74" s="463"/>
      <c r="V74" s="435"/>
      <c r="W74" s="382"/>
      <c r="X74" s="382"/>
      <c r="Y74" s="435"/>
      <c r="Z74" s="435"/>
      <c r="AA74" s="463"/>
      <c r="AB74" s="463"/>
      <c r="AC74" s="463"/>
      <c r="AD74" s="463"/>
      <c r="AE74" s="439"/>
    </row>
    <row r="75" spans="1:31">
      <c r="A75" s="382" t="s">
        <v>2185</v>
      </c>
      <c r="B75" s="435">
        <v>5233</v>
      </c>
      <c r="C75" s="435">
        <v>2926</v>
      </c>
      <c r="D75" s="525">
        <v>1961</v>
      </c>
      <c r="E75" s="623">
        <f t="shared" si="11"/>
        <v>67.019822282980186</v>
      </c>
      <c r="F75" s="525">
        <v>1465</v>
      </c>
      <c r="G75" s="623">
        <f t="shared" si="9"/>
        <v>50.068352699931651</v>
      </c>
      <c r="H75" s="525">
        <v>1349</v>
      </c>
      <c r="I75" s="623">
        <f t="shared" si="10"/>
        <v>46.103896103896105</v>
      </c>
      <c r="N75" s="382" t="s">
        <v>4048</v>
      </c>
      <c r="O75" s="463">
        <v>173</v>
      </c>
      <c r="P75" s="463">
        <v>235</v>
      </c>
      <c r="Q75" s="463">
        <v>255</v>
      </c>
      <c r="R75" s="463">
        <v>321</v>
      </c>
      <c r="S75" s="463">
        <v>282</v>
      </c>
      <c r="U75" s="463"/>
      <c r="V75" s="435"/>
      <c r="W75" s="382"/>
      <c r="X75" s="382"/>
      <c r="Y75" s="435"/>
      <c r="Z75" s="435"/>
      <c r="AA75" s="463"/>
      <c r="AB75" s="463"/>
      <c r="AC75" s="463"/>
      <c r="AD75" s="463"/>
      <c r="AE75" s="439"/>
    </row>
    <row r="76" spans="1:31">
      <c r="A76" s="382" t="s">
        <v>2202</v>
      </c>
      <c r="B76" s="435">
        <v>5472</v>
      </c>
      <c r="C76" s="435">
        <v>2761</v>
      </c>
      <c r="D76" s="525">
        <v>1687</v>
      </c>
      <c r="E76" s="623">
        <f t="shared" si="11"/>
        <v>61.101050344078232</v>
      </c>
      <c r="F76" s="525">
        <v>1428</v>
      </c>
      <c r="G76" s="623">
        <f t="shared" si="9"/>
        <v>51.720391162622235</v>
      </c>
      <c r="H76" s="525">
        <v>1125</v>
      </c>
      <c r="I76" s="623">
        <f t="shared" si="10"/>
        <v>40.746106483158279</v>
      </c>
      <c r="N76" s="382" t="s">
        <v>2208</v>
      </c>
      <c r="O76" s="463">
        <v>1879</v>
      </c>
      <c r="P76" s="463">
        <v>1566</v>
      </c>
      <c r="Q76" s="463">
        <v>1946</v>
      </c>
      <c r="R76" s="463">
        <v>1888</v>
      </c>
      <c r="S76" s="463">
        <v>1883</v>
      </c>
      <c r="U76" s="463"/>
      <c r="V76" s="435"/>
      <c r="W76" s="382"/>
      <c r="X76" s="382"/>
      <c r="Y76" s="435"/>
      <c r="Z76" s="435"/>
      <c r="AA76" s="463"/>
      <c r="AB76" s="463"/>
      <c r="AC76" s="463"/>
      <c r="AD76" s="463"/>
      <c r="AE76" s="439"/>
    </row>
    <row r="77" spans="1:31">
      <c r="A77" s="382" t="s">
        <v>2177</v>
      </c>
      <c r="B77" s="435">
        <v>15039</v>
      </c>
      <c r="C77" s="435">
        <v>7260</v>
      </c>
      <c r="D77" s="525">
        <v>4416</v>
      </c>
      <c r="E77" s="623">
        <f t="shared" si="11"/>
        <v>60.826446280991732</v>
      </c>
      <c r="F77" s="525">
        <v>3911</v>
      </c>
      <c r="G77" s="623">
        <f t="shared" si="9"/>
        <v>53.870523415977964</v>
      </c>
      <c r="H77" s="525">
        <v>3458</v>
      </c>
      <c r="I77" s="623">
        <f t="shared" si="10"/>
        <v>47.630853994490359</v>
      </c>
      <c r="N77" s="381" t="s">
        <v>2209</v>
      </c>
      <c r="O77" s="497">
        <v>1055</v>
      </c>
      <c r="P77" s="497">
        <v>929</v>
      </c>
      <c r="Q77" s="497">
        <v>1094</v>
      </c>
      <c r="R77" s="497">
        <v>1047</v>
      </c>
      <c r="S77" s="497">
        <v>1032</v>
      </c>
      <c r="U77" s="463"/>
      <c r="V77" s="435"/>
      <c r="W77" s="382"/>
      <c r="X77" s="382"/>
      <c r="Y77" s="435"/>
      <c r="Z77" s="435"/>
      <c r="AA77" s="463"/>
      <c r="AB77" s="463"/>
      <c r="AC77" s="463"/>
      <c r="AD77" s="463"/>
      <c r="AE77" s="439"/>
    </row>
    <row r="78" spans="1:31">
      <c r="A78" s="381" t="s">
        <v>2208</v>
      </c>
      <c r="B78" s="556">
        <v>7008</v>
      </c>
      <c r="C78" s="556">
        <v>3544</v>
      </c>
      <c r="D78" s="633">
        <v>2055</v>
      </c>
      <c r="E78" s="634">
        <f t="shared" si="11"/>
        <v>57.985327313769751</v>
      </c>
      <c r="F78" s="633">
        <v>1811</v>
      </c>
      <c r="G78" s="634">
        <f t="shared" si="9"/>
        <v>51.100451467268627</v>
      </c>
      <c r="H78" s="633">
        <v>1724</v>
      </c>
      <c r="I78" s="634">
        <f t="shared" si="10"/>
        <v>48.645598194130926</v>
      </c>
      <c r="N78" s="382" t="s">
        <v>4069</v>
      </c>
      <c r="O78" s="382"/>
      <c r="P78" s="382"/>
      <c r="Q78" s="382"/>
      <c r="R78" s="382"/>
      <c r="S78" s="382"/>
      <c r="T78" s="382"/>
      <c r="U78" s="382"/>
      <c r="V78" s="382"/>
      <c r="W78" s="382"/>
      <c r="X78" s="382"/>
      <c r="Y78" s="435"/>
      <c r="Z78" s="435"/>
      <c r="AA78" s="463"/>
      <c r="AB78" s="463"/>
      <c r="AC78" s="463"/>
      <c r="AD78" s="463"/>
      <c r="AE78" s="463"/>
    </row>
    <row r="79" spans="1:31">
      <c r="A79" s="382" t="s">
        <v>4069</v>
      </c>
      <c r="W79" s="382"/>
      <c r="X79" s="382"/>
      <c r="Y79" s="382"/>
      <c r="Z79" s="382"/>
      <c r="AA79" s="382"/>
      <c r="AB79" s="382"/>
      <c r="AC79" s="382"/>
      <c r="AD79" s="382"/>
      <c r="AE79" s="382"/>
    </row>
    <row r="80" spans="1:31">
      <c r="A80" s="382"/>
      <c r="P80" s="525"/>
      <c r="Q80" s="525"/>
      <c r="R80" s="525"/>
      <c r="S80" s="525"/>
      <c r="T80" s="525"/>
      <c r="U80" s="525"/>
    </row>
    <row r="81" spans="1:11">
      <c r="A81" s="382"/>
    </row>
    <row r="82" spans="1:11">
      <c r="A82" s="381" t="s">
        <v>4323</v>
      </c>
      <c r="B82" s="586"/>
      <c r="C82" s="586"/>
    </row>
    <row r="83" spans="1:11">
      <c r="B83" s="602"/>
      <c r="C83" s="604"/>
      <c r="D83" s="2137" t="s">
        <v>4318</v>
      </c>
      <c r="E83" s="2140"/>
      <c r="F83" s="2137" t="s">
        <v>4320</v>
      </c>
      <c r="G83" s="2146"/>
      <c r="H83" s="2137" t="s">
        <v>4324</v>
      </c>
      <c r="I83" s="2146"/>
    </row>
    <row r="84" spans="1:11">
      <c r="B84" s="422" t="s">
        <v>3991</v>
      </c>
      <c r="C84" s="893"/>
      <c r="D84" s="2141"/>
      <c r="E84" s="2142"/>
      <c r="F84" s="2141"/>
      <c r="G84" s="2143"/>
      <c r="H84" s="2141"/>
      <c r="I84" s="2143"/>
    </row>
    <row r="85" spans="1:11">
      <c r="A85" s="381" t="s">
        <v>4020</v>
      </c>
      <c r="B85" s="611" t="s">
        <v>4021</v>
      </c>
      <c r="C85" s="614" t="s">
        <v>3972</v>
      </c>
      <c r="D85" s="442" t="s">
        <v>1665</v>
      </c>
      <c r="E85" s="642" t="s">
        <v>1666</v>
      </c>
      <c r="F85" s="442" t="s">
        <v>1665</v>
      </c>
      <c r="G85" s="642" t="s">
        <v>1666</v>
      </c>
      <c r="H85" s="441" t="s">
        <v>1665</v>
      </c>
      <c r="I85" s="477" t="s">
        <v>1666</v>
      </c>
    </row>
    <row r="86" spans="1:11">
      <c r="A86" s="382" t="s">
        <v>3503</v>
      </c>
      <c r="B86" s="435">
        <f>SUM(B87:B105)</f>
        <v>60462</v>
      </c>
      <c r="C86" s="525">
        <v>34074</v>
      </c>
      <c r="D86" s="525">
        <f>SUM(D87:D105)</f>
        <v>14849</v>
      </c>
      <c r="E86" s="623">
        <f>D86/C86*100</f>
        <v>43.578681692786283</v>
      </c>
      <c r="F86" s="525">
        <f>SUM(F87:F105)</f>
        <v>13754</v>
      </c>
      <c r="G86" s="623">
        <f>F86/C86*100</f>
        <v>40.36508775019076</v>
      </c>
      <c r="H86" s="525">
        <f>SUM(H87:H105)</f>
        <v>13366</v>
      </c>
      <c r="I86" s="623">
        <f>H86/C86*100</f>
        <v>39.22638962258614</v>
      </c>
      <c r="J86" s="2094"/>
      <c r="K86" s="2122"/>
    </row>
    <row r="87" spans="1:11">
      <c r="A87" s="858" t="s">
        <v>2384</v>
      </c>
      <c r="B87" s="859">
        <v>386</v>
      </c>
      <c r="C87" s="859">
        <v>245</v>
      </c>
      <c r="D87" s="525">
        <v>116</v>
      </c>
      <c r="E87" s="623">
        <f t="shared" ref="E87:E105" si="12">D87/C87*100</f>
        <v>47.346938775510203</v>
      </c>
      <c r="F87" s="525">
        <v>87</v>
      </c>
      <c r="G87" s="623">
        <f t="shared" ref="G87:G105" si="13">F87/C87*100</f>
        <v>35.510204081632651</v>
      </c>
      <c r="H87" s="525">
        <v>77</v>
      </c>
      <c r="I87" s="623">
        <f t="shared" ref="I87:I105" si="14">H87/C87*100</f>
        <v>31.428571428571427</v>
      </c>
      <c r="J87" s="2122"/>
      <c r="K87" s="2122"/>
    </row>
    <row r="88" spans="1:11">
      <c r="A88" s="382" t="s">
        <v>2252</v>
      </c>
      <c r="B88" s="435">
        <v>1010</v>
      </c>
      <c r="C88" s="463">
        <v>624</v>
      </c>
      <c r="D88" s="525">
        <v>270</v>
      </c>
      <c r="E88" s="623">
        <f t="shared" si="12"/>
        <v>43.269230769230774</v>
      </c>
      <c r="F88" s="525">
        <v>282</v>
      </c>
      <c r="G88" s="623">
        <f t="shared" si="13"/>
        <v>45.192307692307693</v>
      </c>
      <c r="H88" s="525">
        <v>237</v>
      </c>
      <c r="I88" s="623">
        <f t="shared" si="14"/>
        <v>37.980769230769226</v>
      </c>
      <c r="J88" s="439"/>
      <c r="K88" s="439"/>
    </row>
    <row r="89" spans="1:11">
      <c r="A89" s="382" t="s">
        <v>2195</v>
      </c>
      <c r="B89" s="435">
        <v>899</v>
      </c>
      <c r="C89" s="463">
        <v>570</v>
      </c>
      <c r="D89" s="525">
        <v>278</v>
      </c>
      <c r="E89" s="623">
        <f t="shared" si="12"/>
        <v>48.771929824561404</v>
      </c>
      <c r="F89" s="525">
        <v>218</v>
      </c>
      <c r="G89" s="623">
        <f t="shared" si="13"/>
        <v>38.245614035087719</v>
      </c>
      <c r="H89" s="525">
        <v>189</v>
      </c>
      <c r="I89" s="623">
        <f t="shared" si="14"/>
        <v>33.157894736842103</v>
      </c>
      <c r="J89" s="525"/>
      <c r="K89" s="623"/>
    </row>
    <row r="90" spans="1:11">
      <c r="A90" s="382" t="s">
        <v>4042</v>
      </c>
      <c r="B90" s="435">
        <v>2318</v>
      </c>
      <c r="C90" s="435">
        <v>1433</v>
      </c>
      <c r="D90" s="525">
        <v>553</v>
      </c>
      <c r="E90" s="623">
        <f t="shared" si="12"/>
        <v>38.590369853454291</v>
      </c>
      <c r="F90" s="525">
        <v>484</v>
      </c>
      <c r="G90" s="623">
        <f t="shared" si="13"/>
        <v>33.775296580600141</v>
      </c>
      <c r="H90" s="525">
        <v>468</v>
      </c>
      <c r="I90" s="623">
        <f t="shared" si="14"/>
        <v>32.658757850662944</v>
      </c>
      <c r="J90" s="525"/>
      <c r="K90" s="623"/>
    </row>
    <row r="91" spans="1:11">
      <c r="A91" s="382" t="s">
        <v>4315</v>
      </c>
      <c r="B91" s="435">
        <v>1916</v>
      </c>
      <c r="C91" s="435">
        <v>1231</v>
      </c>
      <c r="D91" s="525">
        <v>539</v>
      </c>
      <c r="E91" s="623">
        <f t="shared" si="12"/>
        <v>43.785540211210403</v>
      </c>
      <c r="F91" s="525">
        <v>454</v>
      </c>
      <c r="G91" s="623">
        <f t="shared" si="13"/>
        <v>36.880584890333061</v>
      </c>
      <c r="H91" s="525">
        <v>418</v>
      </c>
      <c r="I91" s="623">
        <f t="shared" si="14"/>
        <v>33.956133225020309</v>
      </c>
      <c r="J91" s="525"/>
      <c r="K91" s="623"/>
    </row>
    <row r="92" spans="1:11">
      <c r="A92" s="382" t="s">
        <v>4212</v>
      </c>
      <c r="B92" s="435">
        <v>547</v>
      </c>
      <c r="C92" s="463">
        <v>339</v>
      </c>
      <c r="D92" s="525">
        <v>92</v>
      </c>
      <c r="E92" s="623">
        <f t="shared" si="12"/>
        <v>27.138643067846608</v>
      </c>
      <c r="F92" s="525">
        <v>129</v>
      </c>
      <c r="G92" s="623">
        <f t="shared" si="13"/>
        <v>38.053097345132741</v>
      </c>
      <c r="H92" s="525">
        <v>116</v>
      </c>
      <c r="I92" s="623">
        <f t="shared" si="14"/>
        <v>34.21828908554572</v>
      </c>
      <c r="J92" s="525"/>
      <c r="K92" s="623"/>
    </row>
    <row r="93" spans="1:11">
      <c r="A93" s="382" t="s">
        <v>2151</v>
      </c>
      <c r="B93" s="435">
        <v>1096</v>
      </c>
      <c r="C93" s="435">
        <v>661</v>
      </c>
      <c r="D93" s="525">
        <v>252</v>
      </c>
      <c r="E93" s="623">
        <f t="shared" si="12"/>
        <v>38.12405446293495</v>
      </c>
      <c r="F93" s="525">
        <v>243</v>
      </c>
      <c r="G93" s="623">
        <f t="shared" si="13"/>
        <v>36.762481089258699</v>
      </c>
      <c r="H93" s="525">
        <v>266</v>
      </c>
      <c r="I93" s="623">
        <f t="shared" si="14"/>
        <v>40.242057488653558</v>
      </c>
      <c r="J93" s="525"/>
      <c r="K93" s="623"/>
    </row>
    <row r="94" spans="1:11">
      <c r="A94" s="382" t="s">
        <v>4217</v>
      </c>
      <c r="B94" s="435">
        <v>1800</v>
      </c>
      <c r="C94" s="435">
        <v>1188</v>
      </c>
      <c r="D94" s="525">
        <v>438</v>
      </c>
      <c r="E94" s="623">
        <f t="shared" si="12"/>
        <v>36.868686868686865</v>
      </c>
      <c r="F94" s="525">
        <v>393</v>
      </c>
      <c r="G94" s="623">
        <f t="shared" si="13"/>
        <v>33.080808080808083</v>
      </c>
      <c r="H94" s="525">
        <v>398</v>
      </c>
      <c r="I94" s="623">
        <f t="shared" si="14"/>
        <v>33.501683501683502</v>
      </c>
      <c r="J94" s="525"/>
      <c r="K94" s="623"/>
    </row>
    <row r="95" spans="1:11">
      <c r="A95" s="382" t="s">
        <v>4056</v>
      </c>
      <c r="B95" s="435">
        <v>1843</v>
      </c>
      <c r="C95" s="435">
        <v>1216</v>
      </c>
      <c r="D95" s="525">
        <v>507</v>
      </c>
      <c r="E95" s="623">
        <f t="shared" si="12"/>
        <v>41.694078947368425</v>
      </c>
      <c r="F95" s="525">
        <v>478</v>
      </c>
      <c r="G95" s="623">
        <f t="shared" si="13"/>
        <v>39.309210526315788</v>
      </c>
      <c r="H95" s="525">
        <v>455</v>
      </c>
      <c r="I95" s="623">
        <f t="shared" si="14"/>
        <v>37.417763157894733</v>
      </c>
      <c r="J95" s="525"/>
      <c r="K95" s="623"/>
    </row>
    <row r="96" spans="1:11">
      <c r="A96" s="382" t="s">
        <v>2209</v>
      </c>
      <c r="B96" s="435">
        <v>3131</v>
      </c>
      <c r="C96" s="435">
        <v>1943</v>
      </c>
      <c r="D96" s="525">
        <v>874</v>
      </c>
      <c r="E96" s="623">
        <f t="shared" si="12"/>
        <v>44.981986618630984</v>
      </c>
      <c r="F96" s="525">
        <v>786</v>
      </c>
      <c r="G96" s="623">
        <f t="shared" si="13"/>
        <v>40.452907874420994</v>
      </c>
      <c r="H96" s="525">
        <v>712</v>
      </c>
      <c r="I96" s="623">
        <f t="shared" si="14"/>
        <v>36.644364384971695</v>
      </c>
      <c r="J96" s="525"/>
      <c r="K96" s="623"/>
    </row>
    <row r="97" spans="1:11">
      <c r="A97" s="382" t="s">
        <v>2352</v>
      </c>
      <c r="B97" s="435">
        <v>2979</v>
      </c>
      <c r="C97" s="435">
        <v>1924</v>
      </c>
      <c r="D97" s="525">
        <v>884</v>
      </c>
      <c r="E97" s="623">
        <f t="shared" si="12"/>
        <v>45.945945945945951</v>
      </c>
      <c r="F97" s="525">
        <v>721</v>
      </c>
      <c r="G97" s="623">
        <f t="shared" si="13"/>
        <v>37.474012474012476</v>
      </c>
      <c r="H97" s="525">
        <v>695</v>
      </c>
      <c r="I97" s="623">
        <f t="shared" si="14"/>
        <v>36.122661122661121</v>
      </c>
      <c r="J97" s="525"/>
      <c r="K97" s="623"/>
    </row>
    <row r="98" spans="1:11">
      <c r="A98" s="382" t="s">
        <v>2261</v>
      </c>
      <c r="B98" s="435">
        <v>1757</v>
      </c>
      <c r="C98" s="435">
        <v>1216</v>
      </c>
      <c r="D98" s="525">
        <v>552</v>
      </c>
      <c r="E98" s="623">
        <f t="shared" si="12"/>
        <v>45.394736842105267</v>
      </c>
      <c r="F98" s="525">
        <v>478</v>
      </c>
      <c r="G98" s="623">
        <f t="shared" si="13"/>
        <v>39.309210526315788</v>
      </c>
      <c r="H98" s="525">
        <v>440</v>
      </c>
      <c r="I98" s="623">
        <f t="shared" si="14"/>
        <v>36.184210526315788</v>
      </c>
      <c r="J98" s="525"/>
      <c r="K98" s="623"/>
    </row>
    <row r="99" spans="1:11">
      <c r="A99" s="382" t="s">
        <v>2251</v>
      </c>
      <c r="B99" s="435">
        <v>1643</v>
      </c>
      <c r="C99" s="435">
        <v>1109</v>
      </c>
      <c r="D99" s="525">
        <v>477</v>
      </c>
      <c r="E99" s="623">
        <f t="shared" si="12"/>
        <v>43.011722272317407</v>
      </c>
      <c r="F99" s="525">
        <v>433</v>
      </c>
      <c r="G99" s="623">
        <f t="shared" si="13"/>
        <v>39.04418394950406</v>
      </c>
      <c r="H99" s="525">
        <v>367</v>
      </c>
      <c r="I99" s="623">
        <f t="shared" si="14"/>
        <v>33.092876465284036</v>
      </c>
      <c r="J99" s="525"/>
      <c r="K99" s="623"/>
    </row>
    <row r="100" spans="1:11">
      <c r="A100" s="382" t="s">
        <v>4067</v>
      </c>
      <c r="B100" s="435">
        <v>2408</v>
      </c>
      <c r="C100" s="435">
        <v>1430</v>
      </c>
      <c r="D100" s="525">
        <v>661</v>
      </c>
      <c r="E100" s="623">
        <f t="shared" si="12"/>
        <v>46.223776223776227</v>
      </c>
      <c r="F100" s="525">
        <v>545</v>
      </c>
      <c r="G100" s="623">
        <f t="shared" si="13"/>
        <v>38.111888111888106</v>
      </c>
      <c r="H100" s="525">
        <v>494</v>
      </c>
      <c r="I100" s="623">
        <f t="shared" si="14"/>
        <v>34.545454545454547</v>
      </c>
      <c r="J100" s="525"/>
      <c r="K100" s="623"/>
    </row>
    <row r="101" spans="1:11">
      <c r="A101" s="382" t="s">
        <v>2253</v>
      </c>
      <c r="B101" s="435">
        <v>3977</v>
      </c>
      <c r="C101" s="435">
        <v>2454</v>
      </c>
      <c r="D101" s="525">
        <v>1129</v>
      </c>
      <c r="E101" s="623">
        <f t="shared" si="12"/>
        <v>46.006519967400159</v>
      </c>
      <c r="F101" s="525">
        <v>941</v>
      </c>
      <c r="G101" s="623">
        <f t="shared" si="13"/>
        <v>38.345558272208642</v>
      </c>
      <c r="H101" s="525">
        <v>944</v>
      </c>
      <c r="I101" s="623">
        <f t="shared" si="14"/>
        <v>38.467807660961697</v>
      </c>
      <c r="J101" s="525"/>
      <c r="K101" s="623"/>
    </row>
    <row r="102" spans="1:11">
      <c r="A102" s="382" t="s">
        <v>2185</v>
      </c>
      <c r="B102" s="435">
        <v>5233</v>
      </c>
      <c r="C102" s="435">
        <v>2926</v>
      </c>
      <c r="D102" s="525">
        <v>1398</v>
      </c>
      <c r="E102" s="623">
        <f t="shared" si="12"/>
        <v>47.778537252221462</v>
      </c>
      <c r="F102" s="525">
        <v>1172</v>
      </c>
      <c r="G102" s="623">
        <f t="shared" si="13"/>
        <v>40.054682159945315</v>
      </c>
      <c r="H102" s="525">
        <v>1168</v>
      </c>
      <c r="I102" s="623">
        <f t="shared" si="14"/>
        <v>39.917976760082027</v>
      </c>
      <c r="J102" s="525"/>
      <c r="K102" s="623"/>
    </row>
    <row r="103" spans="1:11">
      <c r="A103" s="382" t="s">
        <v>2202</v>
      </c>
      <c r="B103" s="435">
        <v>5472</v>
      </c>
      <c r="C103" s="435">
        <v>2761</v>
      </c>
      <c r="D103" s="525">
        <v>1282</v>
      </c>
      <c r="E103" s="623">
        <f t="shared" si="12"/>
        <v>46.432452010141247</v>
      </c>
      <c r="F103" s="525">
        <v>1070</v>
      </c>
      <c r="G103" s="623">
        <f t="shared" si="13"/>
        <v>38.754074610648317</v>
      </c>
      <c r="H103" s="525">
        <v>1001</v>
      </c>
      <c r="I103" s="623">
        <f t="shared" si="14"/>
        <v>36.254980079681275</v>
      </c>
      <c r="J103" s="525"/>
      <c r="K103" s="623"/>
    </row>
    <row r="104" spans="1:11">
      <c r="A104" s="382" t="s">
        <v>2177</v>
      </c>
      <c r="B104" s="435">
        <v>15039</v>
      </c>
      <c r="C104" s="435">
        <v>7260</v>
      </c>
      <c r="D104" s="525">
        <v>3056</v>
      </c>
      <c r="E104" s="623">
        <f t="shared" si="12"/>
        <v>42.093663911845731</v>
      </c>
      <c r="F104" s="525">
        <v>3241</v>
      </c>
      <c r="G104" s="623">
        <f t="shared" si="13"/>
        <v>44.641873278236915</v>
      </c>
      <c r="H104" s="525">
        <v>3339</v>
      </c>
      <c r="I104" s="623">
        <f t="shared" si="14"/>
        <v>45.991735537190081</v>
      </c>
      <c r="J104" s="525"/>
      <c r="K104" s="623"/>
    </row>
    <row r="105" spans="1:11">
      <c r="A105" s="381" t="s">
        <v>2208</v>
      </c>
      <c r="B105" s="556">
        <v>7008</v>
      </c>
      <c r="C105" s="556">
        <v>3544</v>
      </c>
      <c r="D105" s="633">
        <v>1491</v>
      </c>
      <c r="E105" s="634">
        <f t="shared" si="12"/>
        <v>42.071106094808123</v>
      </c>
      <c r="F105" s="633">
        <v>1599</v>
      </c>
      <c r="G105" s="634">
        <f t="shared" si="13"/>
        <v>45.118510158013542</v>
      </c>
      <c r="H105" s="633">
        <v>1582</v>
      </c>
      <c r="I105" s="634">
        <f t="shared" si="14"/>
        <v>44.638826185101586</v>
      </c>
      <c r="J105" s="525"/>
      <c r="K105" s="623"/>
    </row>
    <row r="106" spans="1:11">
      <c r="A106" s="382" t="s">
        <v>4069</v>
      </c>
      <c r="J106" s="525"/>
      <c r="K106" s="623"/>
    </row>
    <row r="107" spans="1:11">
      <c r="J107" s="525"/>
      <c r="K107" s="623"/>
    </row>
    <row r="108" spans="1:11">
      <c r="A108" s="381" t="s">
        <v>4325</v>
      </c>
      <c r="B108" s="586"/>
      <c r="C108" s="586"/>
      <c r="J108" s="525"/>
      <c r="K108" s="623"/>
    </row>
    <row r="109" spans="1:11">
      <c r="B109" s="602"/>
      <c r="C109" s="604"/>
      <c r="D109" s="2137" t="s">
        <v>4326</v>
      </c>
      <c r="E109" s="2151"/>
      <c r="F109" s="2137" t="s">
        <v>4327</v>
      </c>
      <c r="G109" s="2151"/>
      <c r="H109" s="2137" t="s">
        <v>4328</v>
      </c>
      <c r="I109" s="2138"/>
    </row>
    <row r="110" spans="1:11">
      <c r="B110" s="422" t="s">
        <v>3991</v>
      </c>
      <c r="C110" s="893"/>
      <c r="D110" s="2132"/>
      <c r="E110" s="2133"/>
      <c r="F110" s="2132"/>
      <c r="G110" s="2133"/>
      <c r="H110" s="2132"/>
      <c r="I110" s="2134"/>
    </row>
    <row r="111" spans="1:11">
      <c r="A111" s="381" t="s">
        <v>4020</v>
      </c>
      <c r="B111" s="611" t="s">
        <v>4021</v>
      </c>
      <c r="C111" s="614" t="s">
        <v>3972</v>
      </c>
      <c r="D111" s="442" t="s">
        <v>1665</v>
      </c>
      <c r="E111" s="642" t="s">
        <v>1666</v>
      </c>
      <c r="F111" s="442" t="s">
        <v>1665</v>
      </c>
      <c r="G111" s="642" t="s">
        <v>1666</v>
      </c>
      <c r="H111" s="642" t="s">
        <v>1665</v>
      </c>
      <c r="I111" s="894" t="s">
        <v>1666</v>
      </c>
    </row>
    <row r="112" spans="1:11">
      <c r="A112" s="382" t="s">
        <v>3503</v>
      </c>
      <c r="B112" s="435">
        <f>SUM(B113:B131)</f>
        <v>60462</v>
      </c>
      <c r="C112" s="525">
        <v>34074</v>
      </c>
      <c r="D112" s="525">
        <f>SUM(D113:D131)</f>
        <v>11067</v>
      </c>
      <c r="E112" s="623">
        <f>D112/C112*100</f>
        <v>32.479309737629862</v>
      </c>
      <c r="F112" s="525">
        <f>SUM(F113:F131)</f>
        <v>10304</v>
      </c>
      <c r="G112" s="623">
        <f>F112/C112*100</f>
        <v>30.240065739273348</v>
      </c>
      <c r="H112" s="525">
        <f>SUM(H113:H131)</f>
        <v>10284</v>
      </c>
      <c r="I112" s="623">
        <f>H112/C112*100</f>
        <v>30.181369959499911</v>
      </c>
    </row>
    <row r="113" spans="1:11">
      <c r="A113" s="858" t="s">
        <v>2384</v>
      </c>
      <c r="B113" s="859">
        <v>386</v>
      </c>
      <c r="C113" s="859">
        <v>245</v>
      </c>
      <c r="D113" s="525">
        <v>61</v>
      </c>
      <c r="E113" s="623">
        <f t="shared" ref="E113:E131" si="15">D113/C113*100</f>
        <v>24.897959183673468</v>
      </c>
      <c r="F113" s="525">
        <v>67</v>
      </c>
      <c r="G113" s="623">
        <f t="shared" ref="G113:G131" si="16">F113/C113*100</f>
        <v>27.346938775510203</v>
      </c>
      <c r="H113" s="525">
        <v>52</v>
      </c>
      <c r="I113" s="623">
        <f t="shared" ref="I113:I131" si="17">H113/C113*100</f>
        <v>21.224489795918366</v>
      </c>
    </row>
    <row r="114" spans="1:11">
      <c r="A114" s="382" t="s">
        <v>2252</v>
      </c>
      <c r="B114" s="435">
        <v>1010</v>
      </c>
      <c r="C114" s="463">
        <v>624</v>
      </c>
      <c r="D114" s="525">
        <v>202</v>
      </c>
      <c r="E114" s="623">
        <f t="shared" si="15"/>
        <v>32.371794871794876</v>
      </c>
      <c r="F114" s="525">
        <v>176</v>
      </c>
      <c r="G114" s="623">
        <f t="shared" si="16"/>
        <v>28.205128205128204</v>
      </c>
      <c r="H114" s="525">
        <v>171</v>
      </c>
      <c r="I114" s="623">
        <f t="shared" si="17"/>
        <v>27.403846153846157</v>
      </c>
      <c r="J114" s="702"/>
      <c r="K114" s="702"/>
    </row>
    <row r="115" spans="1:11">
      <c r="A115" s="382" t="s">
        <v>2195</v>
      </c>
      <c r="B115" s="435">
        <v>899</v>
      </c>
      <c r="C115" s="463">
        <v>570</v>
      </c>
      <c r="D115" s="525">
        <v>156</v>
      </c>
      <c r="E115" s="623">
        <f t="shared" si="15"/>
        <v>27.368421052631582</v>
      </c>
      <c r="F115" s="525">
        <v>168</v>
      </c>
      <c r="G115" s="623">
        <f t="shared" si="16"/>
        <v>29.473684210526311</v>
      </c>
      <c r="H115" s="525">
        <v>163</v>
      </c>
      <c r="I115" s="623">
        <f t="shared" si="17"/>
        <v>28.596491228070175</v>
      </c>
      <c r="J115" s="702"/>
      <c r="K115" s="702"/>
    </row>
    <row r="116" spans="1:11">
      <c r="A116" s="382" t="s">
        <v>4042</v>
      </c>
      <c r="B116" s="435">
        <v>2318</v>
      </c>
      <c r="C116" s="435">
        <v>1433</v>
      </c>
      <c r="D116" s="525">
        <v>409</v>
      </c>
      <c r="E116" s="623">
        <f t="shared" si="15"/>
        <v>28.541521284019538</v>
      </c>
      <c r="F116" s="525">
        <v>415</v>
      </c>
      <c r="G116" s="623">
        <f t="shared" si="16"/>
        <v>28.960223307745984</v>
      </c>
      <c r="H116" s="525">
        <v>445</v>
      </c>
      <c r="I116" s="623">
        <f t="shared" si="17"/>
        <v>31.053733426378226</v>
      </c>
      <c r="J116" s="439"/>
      <c r="K116" s="439"/>
    </row>
    <row r="117" spans="1:11">
      <c r="A117" s="382" t="s">
        <v>4315</v>
      </c>
      <c r="B117" s="435">
        <v>1916</v>
      </c>
      <c r="C117" s="435">
        <v>1231</v>
      </c>
      <c r="D117" s="525">
        <v>368</v>
      </c>
      <c r="E117" s="623">
        <f t="shared" si="15"/>
        <v>29.894394800974815</v>
      </c>
      <c r="F117" s="525">
        <v>400</v>
      </c>
      <c r="G117" s="623">
        <f t="shared" si="16"/>
        <v>32.49390739236393</v>
      </c>
      <c r="H117" s="525">
        <v>381</v>
      </c>
      <c r="I117" s="623">
        <f t="shared" si="17"/>
        <v>30.950446791226643</v>
      </c>
      <c r="J117" s="623"/>
      <c r="K117" s="623"/>
    </row>
    <row r="118" spans="1:11">
      <c r="A118" s="382" t="s">
        <v>4212</v>
      </c>
      <c r="B118" s="435">
        <v>547</v>
      </c>
      <c r="C118" s="463">
        <v>339</v>
      </c>
      <c r="D118" s="525">
        <v>77</v>
      </c>
      <c r="E118" s="623">
        <f t="shared" si="15"/>
        <v>22.713864306784661</v>
      </c>
      <c r="F118" s="525">
        <v>115</v>
      </c>
      <c r="G118" s="623">
        <f t="shared" si="16"/>
        <v>33.923303834808259</v>
      </c>
      <c r="H118" s="525">
        <v>108</v>
      </c>
      <c r="I118" s="623">
        <f t="shared" si="17"/>
        <v>31.858407079646017</v>
      </c>
      <c r="J118" s="623"/>
      <c r="K118" s="623"/>
    </row>
    <row r="119" spans="1:11">
      <c r="A119" s="382" t="s">
        <v>2151</v>
      </c>
      <c r="B119" s="435">
        <v>1096</v>
      </c>
      <c r="C119" s="435">
        <v>661</v>
      </c>
      <c r="D119" s="525">
        <v>205</v>
      </c>
      <c r="E119" s="623">
        <f t="shared" si="15"/>
        <v>31.01361573373676</v>
      </c>
      <c r="F119" s="525">
        <v>230</v>
      </c>
      <c r="G119" s="623">
        <f t="shared" si="16"/>
        <v>34.795763993948562</v>
      </c>
      <c r="H119" s="525">
        <v>196</v>
      </c>
      <c r="I119" s="623">
        <f t="shared" si="17"/>
        <v>29.652042360060516</v>
      </c>
      <c r="J119" s="623"/>
      <c r="K119" s="623"/>
    </row>
    <row r="120" spans="1:11">
      <c r="A120" s="382" t="s">
        <v>4217</v>
      </c>
      <c r="B120" s="435">
        <v>1800</v>
      </c>
      <c r="C120" s="435">
        <v>1188</v>
      </c>
      <c r="D120" s="525">
        <v>345</v>
      </c>
      <c r="E120" s="623">
        <f t="shared" si="15"/>
        <v>29.040404040404038</v>
      </c>
      <c r="F120" s="525">
        <v>402</v>
      </c>
      <c r="G120" s="623">
        <f t="shared" si="16"/>
        <v>33.838383838383841</v>
      </c>
      <c r="H120" s="525">
        <v>370</v>
      </c>
      <c r="I120" s="623">
        <f t="shared" si="17"/>
        <v>31.144781144781149</v>
      </c>
      <c r="J120" s="623"/>
      <c r="K120" s="623"/>
    </row>
    <row r="121" spans="1:11">
      <c r="A121" s="382" t="s">
        <v>4056</v>
      </c>
      <c r="B121" s="435">
        <v>1843</v>
      </c>
      <c r="C121" s="435">
        <v>1216</v>
      </c>
      <c r="D121" s="525">
        <v>392</v>
      </c>
      <c r="E121" s="623">
        <f t="shared" si="15"/>
        <v>32.236842105263158</v>
      </c>
      <c r="F121" s="525">
        <v>411</v>
      </c>
      <c r="G121" s="623">
        <f t="shared" si="16"/>
        <v>33.799342105263158</v>
      </c>
      <c r="H121" s="525">
        <v>373</v>
      </c>
      <c r="I121" s="623">
        <f t="shared" si="17"/>
        <v>30.674342105263158</v>
      </c>
      <c r="J121" s="623"/>
      <c r="K121" s="623"/>
    </row>
    <row r="122" spans="1:11">
      <c r="A122" s="382" t="s">
        <v>2209</v>
      </c>
      <c r="B122" s="435">
        <v>3131</v>
      </c>
      <c r="C122" s="435">
        <v>1943</v>
      </c>
      <c r="D122" s="525">
        <v>621</v>
      </c>
      <c r="E122" s="623">
        <f t="shared" si="15"/>
        <v>31.960885229027276</v>
      </c>
      <c r="F122" s="525">
        <v>565</v>
      </c>
      <c r="G122" s="623">
        <f t="shared" si="16"/>
        <v>29.07874420998456</v>
      </c>
      <c r="H122" s="525">
        <v>591</v>
      </c>
      <c r="I122" s="623">
        <f t="shared" si="17"/>
        <v>30.416881111682965</v>
      </c>
      <c r="J122" s="623"/>
      <c r="K122" s="623"/>
    </row>
    <row r="123" spans="1:11">
      <c r="A123" s="382" t="s">
        <v>2352</v>
      </c>
      <c r="B123" s="435">
        <v>2979</v>
      </c>
      <c r="C123" s="435">
        <v>1924</v>
      </c>
      <c r="D123" s="525">
        <v>585</v>
      </c>
      <c r="E123" s="623">
        <f t="shared" si="15"/>
        <v>30.405405405405407</v>
      </c>
      <c r="F123" s="525">
        <v>515</v>
      </c>
      <c r="G123" s="623">
        <f t="shared" si="16"/>
        <v>26.767151767151766</v>
      </c>
      <c r="H123" s="525">
        <v>563</v>
      </c>
      <c r="I123" s="623">
        <f t="shared" si="17"/>
        <v>29.261954261954259</v>
      </c>
      <c r="J123" s="623"/>
      <c r="K123" s="623"/>
    </row>
    <row r="124" spans="1:11">
      <c r="A124" s="382" t="s">
        <v>2261</v>
      </c>
      <c r="B124" s="435">
        <v>1757</v>
      </c>
      <c r="C124" s="435">
        <v>1216</v>
      </c>
      <c r="D124" s="525">
        <v>365</v>
      </c>
      <c r="E124" s="623">
        <f t="shared" si="15"/>
        <v>30.016447368421051</v>
      </c>
      <c r="F124" s="525">
        <v>326</v>
      </c>
      <c r="G124" s="623">
        <f t="shared" si="16"/>
        <v>26.809210526315791</v>
      </c>
      <c r="H124" s="525">
        <v>333</v>
      </c>
      <c r="I124" s="623">
        <f t="shared" si="17"/>
        <v>27.384868421052634</v>
      </c>
      <c r="J124" s="623"/>
      <c r="K124" s="623"/>
    </row>
    <row r="125" spans="1:11">
      <c r="A125" s="382" t="s">
        <v>2251</v>
      </c>
      <c r="B125" s="435">
        <v>1643</v>
      </c>
      <c r="C125" s="435">
        <v>1109</v>
      </c>
      <c r="D125" s="525">
        <v>341</v>
      </c>
      <c r="E125" s="623">
        <f t="shared" si="15"/>
        <v>30.748422001803426</v>
      </c>
      <c r="F125" s="525">
        <v>283</v>
      </c>
      <c r="G125" s="623">
        <f t="shared" si="16"/>
        <v>25.518485121731288</v>
      </c>
      <c r="H125" s="525">
        <v>319</v>
      </c>
      <c r="I125" s="623">
        <f t="shared" si="17"/>
        <v>28.764652840396753</v>
      </c>
      <c r="J125" s="623"/>
      <c r="K125" s="623"/>
    </row>
    <row r="126" spans="1:11">
      <c r="A126" s="382" t="s">
        <v>4067</v>
      </c>
      <c r="B126" s="435">
        <v>2408</v>
      </c>
      <c r="C126" s="435">
        <v>1430</v>
      </c>
      <c r="D126" s="525">
        <v>471</v>
      </c>
      <c r="E126" s="623">
        <f t="shared" si="15"/>
        <v>32.93706293706294</v>
      </c>
      <c r="F126" s="525">
        <v>412</v>
      </c>
      <c r="G126" s="623">
        <f t="shared" si="16"/>
        <v>28.81118881118881</v>
      </c>
      <c r="H126" s="525">
        <v>445</v>
      </c>
      <c r="I126" s="623">
        <f t="shared" si="17"/>
        <v>31.11888111888112</v>
      </c>
      <c r="J126" s="623"/>
      <c r="K126" s="623"/>
    </row>
    <row r="127" spans="1:11">
      <c r="A127" s="382" t="s">
        <v>2253</v>
      </c>
      <c r="B127" s="435">
        <v>3977</v>
      </c>
      <c r="C127" s="435">
        <v>2454</v>
      </c>
      <c r="D127" s="525">
        <v>787</v>
      </c>
      <c r="E127" s="623">
        <f t="shared" si="15"/>
        <v>32.070089649551754</v>
      </c>
      <c r="F127" s="525">
        <v>733</v>
      </c>
      <c r="G127" s="623">
        <f t="shared" si="16"/>
        <v>29.869600651996741</v>
      </c>
      <c r="H127" s="525">
        <v>778</v>
      </c>
      <c r="I127" s="623">
        <f t="shared" si="17"/>
        <v>31.703341483292586</v>
      </c>
      <c r="J127" s="623"/>
      <c r="K127" s="623"/>
    </row>
    <row r="128" spans="1:11">
      <c r="A128" s="382" t="s">
        <v>2185</v>
      </c>
      <c r="B128" s="435">
        <v>5233</v>
      </c>
      <c r="C128" s="435">
        <v>2926</v>
      </c>
      <c r="D128" s="525">
        <v>1038</v>
      </c>
      <c r="E128" s="623">
        <f t="shared" si="15"/>
        <v>35.47505126452495</v>
      </c>
      <c r="F128" s="525">
        <v>908</v>
      </c>
      <c r="G128" s="623">
        <f t="shared" si="16"/>
        <v>31.032125768967873</v>
      </c>
      <c r="H128" s="525">
        <v>900</v>
      </c>
      <c r="I128" s="623">
        <f t="shared" si="17"/>
        <v>30.758714969241286</v>
      </c>
      <c r="J128" s="623"/>
      <c r="K128" s="623"/>
    </row>
    <row r="129" spans="1:11">
      <c r="A129" s="382" t="s">
        <v>2202</v>
      </c>
      <c r="B129" s="435">
        <v>5472</v>
      </c>
      <c r="C129" s="435">
        <v>2761</v>
      </c>
      <c r="D129" s="525">
        <v>801</v>
      </c>
      <c r="E129" s="623">
        <f t="shared" si="15"/>
        <v>29.011227816008695</v>
      </c>
      <c r="F129" s="525">
        <v>769</v>
      </c>
      <c r="G129" s="623">
        <f t="shared" si="16"/>
        <v>27.852227453821076</v>
      </c>
      <c r="H129" s="525">
        <v>804</v>
      </c>
      <c r="I129" s="623">
        <f t="shared" si="17"/>
        <v>29.119884099963784</v>
      </c>
      <c r="J129" s="623"/>
      <c r="K129" s="623"/>
    </row>
    <row r="130" spans="1:11">
      <c r="A130" s="382" t="s">
        <v>2177</v>
      </c>
      <c r="B130" s="435">
        <v>15039</v>
      </c>
      <c r="C130" s="435">
        <v>7260</v>
      </c>
      <c r="D130" s="525">
        <v>2578</v>
      </c>
      <c r="E130" s="623">
        <f t="shared" si="15"/>
        <v>35.509641873278234</v>
      </c>
      <c r="F130" s="525">
        <v>2286</v>
      </c>
      <c r="G130" s="623">
        <f t="shared" si="16"/>
        <v>31.487603305785122</v>
      </c>
      <c r="H130" s="525">
        <v>2174</v>
      </c>
      <c r="I130" s="623">
        <f t="shared" si="17"/>
        <v>29.944903581267219</v>
      </c>
      <c r="J130" s="623"/>
      <c r="K130" s="623"/>
    </row>
    <row r="131" spans="1:11">
      <c r="A131" s="381" t="s">
        <v>2208</v>
      </c>
      <c r="B131" s="556">
        <v>7008</v>
      </c>
      <c r="C131" s="556">
        <v>3544</v>
      </c>
      <c r="D131" s="633">
        <v>1265</v>
      </c>
      <c r="E131" s="634">
        <f t="shared" si="15"/>
        <v>35.694130925507899</v>
      </c>
      <c r="F131" s="633">
        <v>1123</v>
      </c>
      <c r="G131" s="634">
        <f t="shared" si="16"/>
        <v>31.687358916478551</v>
      </c>
      <c r="H131" s="633">
        <v>1118</v>
      </c>
      <c r="I131" s="634">
        <f t="shared" si="17"/>
        <v>31.546275395033863</v>
      </c>
      <c r="J131" s="623"/>
      <c r="K131" s="623"/>
    </row>
    <row r="132" spans="1:11">
      <c r="A132" s="382" t="s">
        <v>4069</v>
      </c>
      <c r="J132" s="623"/>
      <c r="K132" s="623"/>
    </row>
    <row r="133" spans="1:11">
      <c r="J133" s="623"/>
      <c r="K133" s="623"/>
    </row>
    <row r="134" spans="1:11">
      <c r="J134" s="623"/>
      <c r="K134" s="623"/>
    </row>
    <row r="135" spans="1:11">
      <c r="A135" s="381" t="s">
        <v>4329</v>
      </c>
      <c r="B135" s="586"/>
      <c r="C135" s="586"/>
    </row>
    <row r="136" spans="1:11">
      <c r="B136" s="602"/>
      <c r="C136" s="604"/>
      <c r="D136" s="2137" t="s">
        <v>4307</v>
      </c>
      <c r="E136" s="2140"/>
      <c r="F136" s="2137" t="s">
        <v>4330</v>
      </c>
      <c r="G136" s="2140"/>
      <c r="H136" s="2137" t="s">
        <v>4319</v>
      </c>
      <c r="I136" s="2146"/>
      <c r="J136" s="2137" t="s">
        <v>4331</v>
      </c>
      <c r="K136" s="2146"/>
    </row>
    <row r="137" spans="1:11">
      <c r="B137" s="422" t="s">
        <v>3991</v>
      </c>
      <c r="C137" s="893"/>
      <c r="D137" s="2141"/>
      <c r="E137" s="2142"/>
      <c r="F137" s="2141"/>
      <c r="G137" s="2142"/>
      <c r="H137" s="2141"/>
      <c r="I137" s="2143"/>
      <c r="J137" s="2141"/>
      <c r="K137" s="2143"/>
    </row>
    <row r="138" spans="1:11">
      <c r="A138" s="381" t="s">
        <v>4020</v>
      </c>
      <c r="B138" s="611" t="s">
        <v>4021</v>
      </c>
      <c r="C138" s="614" t="s">
        <v>3972</v>
      </c>
      <c r="D138" s="442" t="s">
        <v>1665</v>
      </c>
      <c r="E138" s="642" t="s">
        <v>1666</v>
      </c>
      <c r="F138" s="442" t="s">
        <v>1665</v>
      </c>
      <c r="G138" s="642" t="s">
        <v>1666</v>
      </c>
      <c r="H138" s="642" t="s">
        <v>1665</v>
      </c>
      <c r="I138" s="894" t="s">
        <v>1666</v>
      </c>
      <c r="J138" s="642" t="s">
        <v>1665</v>
      </c>
      <c r="K138" s="894" t="s">
        <v>1666</v>
      </c>
    </row>
    <row r="139" spans="1:11">
      <c r="A139" s="382" t="s">
        <v>3503</v>
      </c>
      <c r="B139" s="463">
        <f>SUM(B140:B158)</f>
        <v>55878</v>
      </c>
      <c r="C139" s="525">
        <f>SUM(C140:C158)</f>
        <v>29377</v>
      </c>
      <c r="D139" s="525">
        <f>SUM(D140:D158)</f>
        <v>18068</v>
      </c>
      <c r="E139" s="623">
        <f>D139/C139*100</f>
        <v>61.503897606971435</v>
      </c>
      <c r="F139" s="525">
        <f>SUM(F140:F158)</f>
        <v>12622</v>
      </c>
      <c r="G139" s="623">
        <f>F139/C139*100</f>
        <v>42.965585321850426</v>
      </c>
      <c r="H139" s="525">
        <f>SUM(H140:H158)</f>
        <v>11953</v>
      </c>
      <c r="I139" s="623">
        <f>H139/C139*100</f>
        <v>40.688293562991454</v>
      </c>
      <c r="J139" s="525">
        <f>SUM(J140:J158)</f>
        <v>11338</v>
      </c>
      <c r="K139" s="623">
        <f>J139/C139*100</f>
        <v>38.594819076148006</v>
      </c>
    </row>
    <row r="140" spans="1:11">
      <c r="A140" s="858" t="s">
        <v>2384</v>
      </c>
      <c r="B140" s="880">
        <v>439</v>
      </c>
      <c r="C140" s="859">
        <v>265</v>
      </c>
      <c r="D140" s="525">
        <v>160</v>
      </c>
      <c r="E140" s="623">
        <f>D140/C140*100</f>
        <v>60.377358490566039</v>
      </c>
      <c r="F140" s="525">
        <v>99</v>
      </c>
      <c r="G140" s="623">
        <f t="shared" ref="G140:G158" si="18">F140/C140*100</f>
        <v>37.35849056603773</v>
      </c>
      <c r="H140" s="525">
        <v>115</v>
      </c>
      <c r="I140" s="623">
        <f t="shared" ref="I140:I158" si="19">H140/C140*100</f>
        <v>43.39622641509434</v>
      </c>
      <c r="J140" s="525">
        <v>85</v>
      </c>
      <c r="K140" s="623">
        <f t="shared" ref="K140:K158" si="20">J140/C140*100</f>
        <v>32.075471698113205</v>
      </c>
    </row>
    <row r="141" spans="1:11">
      <c r="A141" s="382" t="s">
        <v>2252</v>
      </c>
      <c r="B141" s="463">
        <v>1058</v>
      </c>
      <c r="C141" s="463">
        <v>657</v>
      </c>
      <c r="D141" s="525">
        <v>412</v>
      </c>
      <c r="E141" s="623">
        <f t="shared" ref="E141:E158" si="21">D141/C141*100</f>
        <v>62.709284627092842</v>
      </c>
      <c r="F141" s="525">
        <v>275</v>
      </c>
      <c r="G141" s="623">
        <f t="shared" si="18"/>
        <v>41.856925418569254</v>
      </c>
      <c r="H141" s="525">
        <v>285</v>
      </c>
      <c r="I141" s="623">
        <f t="shared" si="19"/>
        <v>43.378995433789953</v>
      </c>
      <c r="J141" s="525">
        <v>266</v>
      </c>
      <c r="K141" s="623">
        <f t="shared" si="20"/>
        <v>40.48706240487062</v>
      </c>
    </row>
    <row r="142" spans="1:11">
      <c r="A142" s="382" t="s">
        <v>2195</v>
      </c>
      <c r="B142" s="463">
        <v>885</v>
      </c>
      <c r="C142" s="463">
        <v>532</v>
      </c>
      <c r="D142" s="525">
        <v>351</v>
      </c>
      <c r="E142" s="623">
        <f t="shared" si="21"/>
        <v>65.977443609022558</v>
      </c>
      <c r="F142" s="525">
        <v>234</v>
      </c>
      <c r="G142" s="623">
        <f t="shared" si="18"/>
        <v>43.984962406015036</v>
      </c>
      <c r="H142" s="525">
        <v>213</v>
      </c>
      <c r="I142" s="623">
        <f t="shared" si="19"/>
        <v>40.037593984962406</v>
      </c>
      <c r="J142" s="525">
        <v>234</v>
      </c>
      <c r="K142" s="623">
        <f t="shared" si="20"/>
        <v>43.984962406015036</v>
      </c>
    </row>
    <row r="143" spans="1:11">
      <c r="A143" s="382" t="s">
        <v>4042</v>
      </c>
      <c r="B143" s="463">
        <v>2327</v>
      </c>
      <c r="C143" s="435">
        <v>1335</v>
      </c>
      <c r="D143" s="525">
        <v>753</v>
      </c>
      <c r="E143" s="623">
        <f t="shared" si="21"/>
        <v>56.404494382022477</v>
      </c>
      <c r="F143" s="525">
        <v>536</v>
      </c>
      <c r="G143" s="623">
        <f t="shared" si="18"/>
        <v>40.149812734082396</v>
      </c>
      <c r="H143" s="525">
        <v>518</v>
      </c>
      <c r="I143" s="623">
        <f t="shared" si="19"/>
        <v>38.801498127340821</v>
      </c>
      <c r="J143" s="525">
        <v>466</v>
      </c>
      <c r="K143" s="623">
        <f t="shared" si="20"/>
        <v>34.9063670411985</v>
      </c>
    </row>
    <row r="144" spans="1:11">
      <c r="A144" s="382" t="s">
        <v>4315</v>
      </c>
      <c r="B144" s="463">
        <v>1872</v>
      </c>
      <c r="C144" s="435">
        <v>1114</v>
      </c>
      <c r="D144" s="525">
        <v>715</v>
      </c>
      <c r="E144" s="623">
        <f t="shared" si="21"/>
        <v>64.18312387791741</v>
      </c>
      <c r="F144" s="525">
        <v>473</v>
      </c>
      <c r="G144" s="623">
        <f t="shared" si="18"/>
        <v>42.459605026929978</v>
      </c>
      <c r="H144" s="525">
        <v>455</v>
      </c>
      <c r="I144" s="623">
        <f t="shared" si="19"/>
        <v>40.843806104129264</v>
      </c>
      <c r="J144" s="525">
        <v>402</v>
      </c>
      <c r="K144" s="623">
        <f t="shared" si="20"/>
        <v>36.086175942549367</v>
      </c>
    </row>
    <row r="145" spans="1:11">
      <c r="A145" s="382" t="s">
        <v>4212</v>
      </c>
      <c r="B145" s="463">
        <v>684</v>
      </c>
      <c r="C145" s="463">
        <v>456</v>
      </c>
      <c r="D145" s="525">
        <v>179</v>
      </c>
      <c r="E145" s="623">
        <f t="shared" si="21"/>
        <v>39.254385964912281</v>
      </c>
      <c r="F145" s="525">
        <v>174</v>
      </c>
      <c r="G145" s="623">
        <f t="shared" si="18"/>
        <v>38.15789473684211</v>
      </c>
      <c r="H145" s="525">
        <v>151</v>
      </c>
      <c r="I145" s="623">
        <f t="shared" si="19"/>
        <v>33.114035087719294</v>
      </c>
      <c r="J145" s="525">
        <v>151</v>
      </c>
      <c r="K145" s="623">
        <f t="shared" si="20"/>
        <v>33.114035087719294</v>
      </c>
    </row>
    <row r="146" spans="1:11">
      <c r="A146" s="382" t="s">
        <v>2151</v>
      </c>
      <c r="B146" s="463">
        <v>1288</v>
      </c>
      <c r="C146" s="435">
        <v>839</v>
      </c>
      <c r="D146" s="525">
        <v>399</v>
      </c>
      <c r="E146" s="623">
        <f t="shared" si="21"/>
        <v>47.556615017878428</v>
      </c>
      <c r="F146" s="525">
        <v>335</v>
      </c>
      <c r="G146" s="623">
        <f t="shared" si="18"/>
        <v>39.928486293206198</v>
      </c>
      <c r="H146" s="525">
        <v>327</v>
      </c>
      <c r="I146" s="623">
        <f t="shared" si="19"/>
        <v>38.974970202622167</v>
      </c>
      <c r="J146" s="525">
        <v>258</v>
      </c>
      <c r="K146" s="623">
        <f t="shared" si="20"/>
        <v>30.750893921334921</v>
      </c>
    </row>
    <row r="147" spans="1:11">
      <c r="A147" s="382" t="s">
        <v>4217</v>
      </c>
      <c r="B147" s="463">
        <v>1945</v>
      </c>
      <c r="C147" s="435">
        <v>1386</v>
      </c>
      <c r="D147" s="525">
        <v>696</v>
      </c>
      <c r="E147" s="623">
        <f t="shared" si="21"/>
        <v>50.216450216450212</v>
      </c>
      <c r="F147" s="525">
        <v>484</v>
      </c>
      <c r="G147" s="623">
        <f t="shared" si="18"/>
        <v>34.920634920634917</v>
      </c>
      <c r="H147" s="525">
        <v>497</v>
      </c>
      <c r="I147" s="623">
        <f t="shared" si="19"/>
        <v>35.858585858585855</v>
      </c>
      <c r="J147" s="525">
        <v>450</v>
      </c>
      <c r="K147" s="623">
        <f t="shared" si="20"/>
        <v>32.467532467532465</v>
      </c>
    </row>
    <row r="148" spans="1:11">
      <c r="A148" s="382" t="s">
        <v>4056</v>
      </c>
      <c r="B148" s="463">
        <v>1713</v>
      </c>
      <c r="C148" s="435">
        <v>1077</v>
      </c>
      <c r="D148" s="525">
        <v>647</v>
      </c>
      <c r="E148" s="623">
        <f t="shared" si="21"/>
        <v>60.074280408542243</v>
      </c>
      <c r="F148" s="525">
        <v>440</v>
      </c>
      <c r="G148" s="623">
        <f t="shared" si="18"/>
        <v>40.854224698235839</v>
      </c>
      <c r="H148" s="525">
        <v>439</v>
      </c>
      <c r="I148" s="623">
        <f t="shared" si="19"/>
        <v>40.761374187558033</v>
      </c>
      <c r="J148" s="525">
        <v>420</v>
      </c>
      <c r="K148" s="623">
        <f t="shared" si="20"/>
        <v>38.997214484679667</v>
      </c>
    </row>
    <row r="149" spans="1:11">
      <c r="A149" s="382" t="s">
        <v>2209</v>
      </c>
      <c r="B149" s="463">
        <v>2990</v>
      </c>
      <c r="C149" s="435">
        <v>1737</v>
      </c>
      <c r="D149" s="525">
        <v>1086</v>
      </c>
      <c r="E149" s="623">
        <f t="shared" si="21"/>
        <v>62.521588946459417</v>
      </c>
      <c r="F149" s="525">
        <v>750</v>
      </c>
      <c r="G149" s="623">
        <f t="shared" si="18"/>
        <v>43.177892918825563</v>
      </c>
      <c r="H149" s="525">
        <v>729</v>
      </c>
      <c r="I149" s="623">
        <f t="shared" si="19"/>
        <v>41.968911917098445</v>
      </c>
      <c r="J149" s="525">
        <v>732</v>
      </c>
      <c r="K149" s="623">
        <f t="shared" si="20"/>
        <v>42.141623488773746</v>
      </c>
    </row>
    <row r="150" spans="1:11">
      <c r="A150" s="382" t="s">
        <v>2352</v>
      </c>
      <c r="B150" s="463">
        <v>2764</v>
      </c>
      <c r="C150" s="435">
        <v>1492</v>
      </c>
      <c r="D150" s="525">
        <v>975</v>
      </c>
      <c r="E150" s="623">
        <f t="shared" si="21"/>
        <v>65.348525469168905</v>
      </c>
      <c r="F150" s="525">
        <v>630</v>
      </c>
      <c r="G150" s="623">
        <f t="shared" si="18"/>
        <v>42.225201072386056</v>
      </c>
      <c r="H150" s="525">
        <v>606</v>
      </c>
      <c r="I150" s="623">
        <f t="shared" si="19"/>
        <v>40.616621983914207</v>
      </c>
      <c r="J150" s="525">
        <v>646</v>
      </c>
      <c r="K150" s="623">
        <f t="shared" si="20"/>
        <v>43.297587131367294</v>
      </c>
    </row>
    <row r="151" spans="1:11">
      <c r="A151" s="382" t="s">
        <v>2261</v>
      </c>
      <c r="B151" s="463">
        <v>1688</v>
      </c>
      <c r="C151" s="435">
        <v>1079</v>
      </c>
      <c r="D151" s="525">
        <v>742</v>
      </c>
      <c r="E151" s="623">
        <f t="shared" si="21"/>
        <v>68.76737720111214</v>
      </c>
      <c r="F151" s="525">
        <v>460</v>
      </c>
      <c r="G151" s="623">
        <f t="shared" si="18"/>
        <v>42.632066728452273</v>
      </c>
      <c r="H151" s="525">
        <v>500</v>
      </c>
      <c r="I151" s="623">
        <f t="shared" si="19"/>
        <v>46.339202965708992</v>
      </c>
      <c r="J151" s="525">
        <v>471</v>
      </c>
      <c r="K151" s="623">
        <f t="shared" si="20"/>
        <v>43.651529193697868</v>
      </c>
    </row>
    <row r="152" spans="1:11">
      <c r="A152" s="382" t="s">
        <v>2251</v>
      </c>
      <c r="B152" s="463">
        <v>1650</v>
      </c>
      <c r="C152" s="435">
        <v>1126</v>
      </c>
      <c r="D152" s="525">
        <v>736</v>
      </c>
      <c r="E152" s="623">
        <f t="shared" si="21"/>
        <v>65.364120781527532</v>
      </c>
      <c r="F152" s="525">
        <v>498</v>
      </c>
      <c r="G152" s="623">
        <f t="shared" si="18"/>
        <v>44.227353463587917</v>
      </c>
      <c r="H152" s="525">
        <v>486</v>
      </c>
      <c r="I152" s="623">
        <f t="shared" si="19"/>
        <v>43.161634103019537</v>
      </c>
      <c r="J152" s="525">
        <v>482</v>
      </c>
      <c r="K152" s="623">
        <f t="shared" si="20"/>
        <v>42.806394316163413</v>
      </c>
    </row>
    <row r="153" spans="1:11">
      <c r="A153" s="382" t="s">
        <v>4067</v>
      </c>
      <c r="B153" s="463">
        <v>2191</v>
      </c>
      <c r="C153" s="435">
        <v>1183</v>
      </c>
      <c r="D153" s="525">
        <v>734</v>
      </c>
      <c r="E153" s="623">
        <f t="shared" si="21"/>
        <v>62.04564666103127</v>
      </c>
      <c r="F153" s="525">
        <v>495</v>
      </c>
      <c r="G153" s="623">
        <f t="shared" si="18"/>
        <v>41.84277261200338</v>
      </c>
      <c r="H153" s="525">
        <v>555</v>
      </c>
      <c r="I153" s="623">
        <f t="shared" si="19"/>
        <v>46.914623837700759</v>
      </c>
      <c r="J153" s="525">
        <v>475</v>
      </c>
      <c r="K153" s="623">
        <f t="shared" si="20"/>
        <v>40.15215553677092</v>
      </c>
    </row>
    <row r="154" spans="1:11">
      <c r="A154" s="382" t="s">
        <v>2253</v>
      </c>
      <c r="B154" s="463">
        <v>3535</v>
      </c>
      <c r="C154" s="435">
        <v>1914</v>
      </c>
      <c r="D154" s="525">
        <v>1280</v>
      </c>
      <c r="E154" s="623">
        <f t="shared" si="21"/>
        <v>66.875653082549633</v>
      </c>
      <c r="F154" s="525">
        <v>763</v>
      </c>
      <c r="G154" s="623">
        <f t="shared" si="18"/>
        <v>39.864158829676072</v>
      </c>
      <c r="H154" s="525">
        <v>838</v>
      </c>
      <c r="I154" s="623">
        <f t="shared" si="19"/>
        <v>43.782654127481713</v>
      </c>
      <c r="J154" s="525">
        <v>787</v>
      </c>
      <c r="K154" s="623">
        <f t="shared" si="20"/>
        <v>41.118077324973882</v>
      </c>
    </row>
    <row r="155" spans="1:11">
      <c r="A155" s="382" t="s">
        <v>2185</v>
      </c>
      <c r="B155" s="463">
        <v>4542</v>
      </c>
      <c r="C155" s="435">
        <v>2411</v>
      </c>
      <c r="D155" s="525">
        <v>1648</v>
      </c>
      <c r="E155" s="623">
        <f t="shared" si="21"/>
        <v>68.353380340107833</v>
      </c>
      <c r="F155" s="525">
        <v>980</v>
      </c>
      <c r="G155" s="623">
        <f t="shared" si="18"/>
        <v>40.647034425549563</v>
      </c>
      <c r="H155" s="525">
        <v>951</v>
      </c>
      <c r="I155" s="623">
        <f t="shared" si="19"/>
        <v>39.444214019079219</v>
      </c>
      <c r="J155" s="525">
        <v>1024</v>
      </c>
      <c r="K155" s="623">
        <f t="shared" si="20"/>
        <v>42.472003318125253</v>
      </c>
    </row>
    <row r="156" spans="1:11">
      <c r="A156" s="382" t="s">
        <v>2202</v>
      </c>
      <c r="B156" s="463">
        <v>4624</v>
      </c>
      <c r="C156" s="435">
        <v>2320</v>
      </c>
      <c r="D156" s="525">
        <v>1448</v>
      </c>
      <c r="E156" s="623">
        <f t="shared" si="21"/>
        <v>62.413793103448278</v>
      </c>
      <c r="F156" s="525">
        <v>958</v>
      </c>
      <c r="G156" s="623">
        <f t="shared" si="18"/>
        <v>41.293103448275865</v>
      </c>
      <c r="H156" s="525">
        <v>901</v>
      </c>
      <c r="I156" s="623">
        <f t="shared" si="19"/>
        <v>38.836206896551722</v>
      </c>
      <c r="J156" s="525">
        <v>822</v>
      </c>
      <c r="K156" s="623">
        <f t="shared" si="20"/>
        <v>35.431034482758619</v>
      </c>
    </row>
    <row r="157" spans="1:11">
      <c r="A157" s="382" t="s">
        <v>2177</v>
      </c>
      <c r="B157" s="463">
        <v>13470</v>
      </c>
      <c r="C157" s="435">
        <v>5479</v>
      </c>
      <c r="D157" s="525">
        <v>3356</v>
      </c>
      <c r="E157" s="623">
        <f t="shared" si="21"/>
        <v>61.252053294396788</v>
      </c>
      <c r="F157" s="525">
        <v>2614</v>
      </c>
      <c r="G157" s="623">
        <f t="shared" si="18"/>
        <v>47.709436028472346</v>
      </c>
      <c r="H157" s="525">
        <v>2228</v>
      </c>
      <c r="I157" s="623">
        <f t="shared" si="19"/>
        <v>40.664354809271764</v>
      </c>
      <c r="J157" s="525">
        <v>2069</v>
      </c>
      <c r="K157" s="623">
        <f t="shared" si="20"/>
        <v>37.762365395145096</v>
      </c>
    </row>
    <row r="158" spans="1:11">
      <c r="A158" s="381" t="s">
        <v>2208</v>
      </c>
      <c r="B158" s="497">
        <v>6213</v>
      </c>
      <c r="C158" s="556">
        <v>2975</v>
      </c>
      <c r="D158" s="633">
        <v>1751</v>
      </c>
      <c r="E158" s="634">
        <f t="shared" si="21"/>
        <v>58.857142857142854</v>
      </c>
      <c r="F158" s="633">
        <v>1424</v>
      </c>
      <c r="G158" s="634">
        <f t="shared" si="18"/>
        <v>47.865546218487395</v>
      </c>
      <c r="H158" s="633">
        <v>1159</v>
      </c>
      <c r="I158" s="634">
        <f t="shared" si="19"/>
        <v>38.957983193277315</v>
      </c>
      <c r="J158" s="633">
        <v>1098</v>
      </c>
      <c r="K158" s="634">
        <f t="shared" si="20"/>
        <v>36.907563025210081</v>
      </c>
    </row>
    <row r="159" spans="1:11">
      <c r="A159" s="382" t="s">
        <v>4069</v>
      </c>
    </row>
    <row r="160" spans="1:11">
      <c r="J160" s="623"/>
      <c r="K160" s="623"/>
    </row>
    <row r="161" spans="1:11">
      <c r="J161" s="623"/>
      <c r="K161" s="623"/>
    </row>
    <row r="162" spans="1:11">
      <c r="J162" s="623"/>
      <c r="K162" s="623"/>
    </row>
    <row r="163" spans="1:11">
      <c r="A163" s="381" t="s">
        <v>4332</v>
      </c>
      <c r="B163" s="586"/>
      <c r="C163" s="586"/>
      <c r="J163" s="623"/>
      <c r="K163" s="623"/>
    </row>
    <row r="164" spans="1:11">
      <c r="B164" s="602"/>
      <c r="C164" s="604"/>
      <c r="D164" s="2137" t="s">
        <v>4324</v>
      </c>
      <c r="E164" s="2140"/>
      <c r="F164" s="2137" t="s">
        <v>4333</v>
      </c>
      <c r="G164" s="2140"/>
      <c r="H164" s="2137" t="s">
        <v>4334</v>
      </c>
      <c r="I164" s="2146"/>
      <c r="J164" s="623"/>
      <c r="K164" s="623"/>
    </row>
    <row r="165" spans="1:11">
      <c r="B165" s="422" t="s">
        <v>3991</v>
      </c>
      <c r="C165" s="893"/>
      <c r="D165" s="2141"/>
      <c r="E165" s="2142"/>
      <c r="F165" s="2141"/>
      <c r="G165" s="2142"/>
      <c r="H165" s="2141"/>
      <c r="I165" s="2143"/>
    </row>
    <row r="166" spans="1:11">
      <c r="A166" s="381" t="s">
        <v>4020</v>
      </c>
      <c r="B166" s="611" t="s">
        <v>4021</v>
      </c>
      <c r="C166" s="614" t="s">
        <v>3972</v>
      </c>
      <c r="D166" s="442" t="s">
        <v>1665</v>
      </c>
      <c r="E166" s="642" t="s">
        <v>1666</v>
      </c>
      <c r="F166" s="442" t="s">
        <v>1665</v>
      </c>
      <c r="G166" s="642" t="s">
        <v>1666</v>
      </c>
      <c r="H166" s="642" t="s">
        <v>1665</v>
      </c>
      <c r="I166" s="894" t="s">
        <v>1666</v>
      </c>
    </row>
    <row r="167" spans="1:11">
      <c r="A167" s="382" t="s">
        <v>3503</v>
      </c>
      <c r="B167" s="463">
        <f>SUM(B168:B186)</f>
        <v>55878</v>
      </c>
      <c r="C167" s="525">
        <f>SUM(C168:C186)</f>
        <v>29377</v>
      </c>
      <c r="D167" s="525">
        <f>SUM(D168:D186)</f>
        <v>10693</v>
      </c>
      <c r="E167" s="623">
        <f>D167/C167*100</f>
        <v>36.399223882629265</v>
      </c>
      <c r="F167" s="525">
        <f>SUM(F168:F186)</f>
        <v>9371</v>
      </c>
      <c r="G167" s="623">
        <f>F167/C167*100</f>
        <v>31.899104741804813</v>
      </c>
      <c r="H167" s="525">
        <f>SUM(H168:H186)</f>
        <v>9287</v>
      </c>
      <c r="I167" s="623">
        <f>H167/C167*100</f>
        <v>31.613166763114002</v>
      </c>
    </row>
    <row r="168" spans="1:11">
      <c r="A168" s="858" t="s">
        <v>2384</v>
      </c>
      <c r="B168" s="880">
        <v>439</v>
      </c>
      <c r="C168" s="859">
        <v>265</v>
      </c>
      <c r="D168" s="525">
        <v>78</v>
      </c>
      <c r="E168" s="623">
        <f t="shared" ref="E168:E186" si="22">D168/C168*100</f>
        <v>29.433962264150942</v>
      </c>
      <c r="F168" s="525">
        <v>80</v>
      </c>
      <c r="G168" s="623">
        <f t="shared" ref="G168:G186" si="23">F168/C168*100</f>
        <v>30.188679245283019</v>
      </c>
      <c r="H168" s="525">
        <v>68</v>
      </c>
      <c r="I168" s="623">
        <f t="shared" ref="I168:I186" si="24">H168/C168*100</f>
        <v>25.660377358490567</v>
      </c>
    </row>
    <row r="169" spans="1:11">
      <c r="A169" s="382" t="s">
        <v>2252</v>
      </c>
      <c r="B169" s="463">
        <v>1058</v>
      </c>
      <c r="C169" s="463">
        <v>657</v>
      </c>
      <c r="D169" s="525">
        <v>229</v>
      </c>
      <c r="E169" s="623">
        <f t="shared" si="22"/>
        <v>34.855403348554034</v>
      </c>
      <c r="F169" s="525">
        <v>186</v>
      </c>
      <c r="G169" s="623">
        <f t="shared" si="23"/>
        <v>28.31050228310502</v>
      </c>
      <c r="H169" s="525">
        <v>181</v>
      </c>
      <c r="I169" s="623">
        <f t="shared" si="24"/>
        <v>27.549467275494671</v>
      </c>
    </row>
    <row r="170" spans="1:11">
      <c r="A170" s="382" t="s">
        <v>2195</v>
      </c>
      <c r="B170" s="463">
        <v>885</v>
      </c>
      <c r="C170" s="463">
        <v>532</v>
      </c>
      <c r="D170" s="525">
        <v>198</v>
      </c>
      <c r="E170" s="623">
        <f t="shared" si="22"/>
        <v>37.218045112781958</v>
      </c>
      <c r="F170" s="525">
        <v>158</v>
      </c>
      <c r="G170" s="623">
        <f t="shared" si="23"/>
        <v>29.699248120300751</v>
      </c>
      <c r="H170" s="525">
        <v>171</v>
      </c>
      <c r="I170" s="623">
        <f t="shared" si="24"/>
        <v>32.142857142857146</v>
      </c>
    </row>
    <row r="171" spans="1:11">
      <c r="A171" s="382" t="s">
        <v>4042</v>
      </c>
      <c r="B171" s="463">
        <v>2327</v>
      </c>
      <c r="C171" s="435">
        <v>1335</v>
      </c>
      <c r="D171" s="525">
        <v>434</v>
      </c>
      <c r="E171" s="623">
        <f t="shared" si="22"/>
        <v>32.509363295880149</v>
      </c>
      <c r="F171" s="525">
        <v>344</v>
      </c>
      <c r="G171" s="623">
        <f t="shared" si="23"/>
        <v>25.767790262172284</v>
      </c>
      <c r="H171" s="525">
        <v>400</v>
      </c>
      <c r="I171" s="623">
        <f t="shared" si="24"/>
        <v>29.962546816479403</v>
      </c>
    </row>
    <row r="172" spans="1:11">
      <c r="A172" s="382" t="s">
        <v>4315</v>
      </c>
      <c r="B172" s="463">
        <v>1872</v>
      </c>
      <c r="C172" s="435">
        <v>1114</v>
      </c>
      <c r="D172" s="525">
        <v>364</v>
      </c>
      <c r="E172" s="623">
        <f t="shared" si="22"/>
        <v>32.675044883303414</v>
      </c>
      <c r="F172" s="525">
        <v>318</v>
      </c>
      <c r="G172" s="623">
        <f t="shared" si="23"/>
        <v>28.545780969479356</v>
      </c>
      <c r="H172" s="525">
        <v>374</v>
      </c>
      <c r="I172" s="623">
        <f t="shared" si="24"/>
        <v>33.572710951526034</v>
      </c>
    </row>
    <row r="173" spans="1:11">
      <c r="A173" s="382" t="s">
        <v>4212</v>
      </c>
      <c r="B173" s="463">
        <v>684</v>
      </c>
      <c r="C173" s="463">
        <v>456</v>
      </c>
      <c r="D173" s="525">
        <v>163</v>
      </c>
      <c r="E173" s="623">
        <f t="shared" si="22"/>
        <v>35.745614035087719</v>
      </c>
      <c r="F173" s="525">
        <v>154</v>
      </c>
      <c r="G173" s="623">
        <f t="shared" si="23"/>
        <v>33.771929824561404</v>
      </c>
      <c r="H173" s="525">
        <v>103</v>
      </c>
      <c r="I173" s="623">
        <f t="shared" si="24"/>
        <v>22.587719298245617</v>
      </c>
    </row>
    <row r="174" spans="1:11">
      <c r="A174" s="382" t="s">
        <v>2151</v>
      </c>
      <c r="B174" s="463">
        <v>1288</v>
      </c>
      <c r="C174" s="435">
        <v>839</v>
      </c>
      <c r="D174" s="525">
        <v>308</v>
      </c>
      <c r="E174" s="623">
        <f t="shared" si="22"/>
        <v>36.710369487485103</v>
      </c>
      <c r="F174" s="525">
        <v>299</v>
      </c>
      <c r="G174" s="623">
        <f t="shared" si="23"/>
        <v>35.637663885578071</v>
      </c>
      <c r="H174" s="525">
        <v>227</v>
      </c>
      <c r="I174" s="623">
        <f t="shared" si="24"/>
        <v>27.056019070321813</v>
      </c>
    </row>
    <row r="175" spans="1:11">
      <c r="A175" s="382" t="s">
        <v>4217</v>
      </c>
      <c r="B175" s="463">
        <v>1945</v>
      </c>
      <c r="C175" s="435">
        <v>1386</v>
      </c>
      <c r="D175" s="525">
        <v>456</v>
      </c>
      <c r="E175" s="623">
        <f t="shared" si="22"/>
        <v>32.900432900432904</v>
      </c>
      <c r="F175" s="525">
        <v>589</v>
      </c>
      <c r="G175" s="623">
        <f t="shared" si="23"/>
        <v>42.496392496392502</v>
      </c>
      <c r="H175" s="525">
        <v>294</v>
      </c>
      <c r="I175" s="623">
        <f t="shared" si="24"/>
        <v>21.212121212121211</v>
      </c>
    </row>
    <row r="176" spans="1:11">
      <c r="A176" s="382" t="s">
        <v>4056</v>
      </c>
      <c r="B176" s="463">
        <v>1713</v>
      </c>
      <c r="C176" s="435">
        <v>1077</v>
      </c>
      <c r="D176" s="525">
        <v>376</v>
      </c>
      <c r="E176" s="623">
        <f t="shared" si="22"/>
        <v>34.911792014856083</v>
      </c>
      <c r="F176" s="525">
        <v>410</v>
      </c>
      <c r="G176" s="623">
        <f t="shared" si="23"/>
        <v>38.068709377901577</v>
      </c>
      <c r="H176" s="525">
        <v>321</v>
      </c>
      <c r="I176" s="623">
        <f>H176/C176*100</f>
        <v>29.805013927576603</v>
      </c>
    </row>
    <row r="177" spans="1:9">
      <c r="A177" s="382" t="s">
        <v>2209</v>
      </c>
      <c r="B177" s="463">
        <v>2990</v>
      </c>
      <c r="C177" s="435">
        <v>1737</v>
      </c>
      <c r="D177" s="525">
        <v>588</v>
      </c>
      <c r="E177" s="623">
        <f t="shared" si="22"/>
        <v>33.851468048359237</v>
      </c>
      <c r="F177" s="525">
        <v>583</v>
      </c>
      <c r="G177" s="623">
        <f t="shared" si="23"/>
        <v>33.563615428900398</v>
      </c>
      <c r="H177" s="525">
        <v>546</v>
      </c>
      <c r="I177" s="623">
        <f t="shared" si="24"/>
        <v>31.433506044905009</v>
      </c>
    </row>
    <row r="178" spans="1:9">
      <c r="A178" s="382" t="s">
        <v>2352</v>
      </c>
      <c r="B178" s="463">
        <v>2764</v>
      </c>
      <c r="C178" s="435">
        <v>1492</v>
      </c>
      <c r="D178" s="525">
        <v>500</v>
      </c>
      <c r="E178" s="623">
        <f t="shared" si="22"/>
        <v>33.512064343163537</v>
      </c>
      <c r="F178" s="525">
        <v>437</v>
      </c>
      <c r="G178" s="623">
        <f t="shared" si="23"/>
        <v>29.289544235924929</v>
      </c>
      <c r="H178" s="525">
        <v>456</v>
      </c>
      <c r="I178" s="623">
        <f t="shared" si="24"/>
        <v>30.563002680965145</v>
      </c>
    </row>
    <row r="179" spans="1:9">
      <c r="A179" s="382" t="s">
        <v>2261</v>
      </c>
      <c r="B179" s="463">
        <v>1688</v>
      </c>
      <c r="C179" s="435">
        <v>1079</v>
      </c>
      <c r="D179" s="525">
        <v>388</v>
      </c>
      <c r="E179" s="623">
        <f t="shared" si="22"/>
        <v>35.959221501390175</v>
      </c>
      <c r="F179" s="525">
        <v>355</v>
      </c>
      <c r="G179" s="623">
        <f t="shared" si="23"/>
        <v>32.900834105653381</v>
      </c>
      <c r="H179" s="525">
        <v>358</v>
      </c>
      <c r="I179" s="623">
        <f t="shared" si="24"/>
        <v>33.178869323447636</v>
      </c>
    </row>
    <row r="180" spans="1:9">
      <c r="A180" s="382" t="s">
        <v>2251</v>
      </c>
      <c r="B180" s="463">
        <v>1650</v>
      </c>
      <c r="C180" s="435">
        <v>1126</v>
      </c>
      <c r="D180" s="525">
        <v>373</v>
      </c>
      <c r="E180" s="623">
        <f t="shared" si="22"/>
        <v>33.126110124333927</v>
      </c>
      <c r="F180" s="525">
        <v>319</v>
      </c>
      <c r="G180" s="623">
        <f t="shared" si="23"/>
        <v>28.330373001776199</v>
      </c>
      <c r="H180" s="525">
        <v>303</v>
      </c>
      <c r="I180" s="623">
        <f t="shared" si="24"/>
        <v>26.909413854351687</v>
      </c>
    </row>
    <row r="181" spans="1:9">
      <c r="A181" s="382" t="s">
        <v>4067</v>
      </c>
      <c r="B181" s="463">
        <v>2191</v>
      </c>
      <c r="C181" s="435">
        <v>1183</v>
      </c>
      <c r="D181" s="525">
        <v>385</v>
      </c>
      <c r="E181" s="623">
        <f t="shared" si="22"/>
        <v>32.544378698224854</v>
      </c>
      <c r="F181" s="525">
        <v>403</v>
      </c>
      <c r="G181" s="623">
        <f t="shared" si="23"/>
        <v>34.065934065934066</v>
      </c>
      <c r="H181" s="525">
        <v>353</v>
      </c>
      <c r="I181" s="623">
        <f t="shared" si="24"/>
        <v>29.839391377852913</v>
      </c>
    </row>
    <row r="182" spans="1:9">
      <c r="A182" s="382" t="s">
        <v>2253</v>
      </c>
      <c r="B182" s="463">
        <v>3535</v>
      </c>
      <c r="C182" s="435">
        <v>1914</v>
      </c>
      <c r="D182" s="525">
        <v>655</v>
      </c>
      <c r="E182" s="623">
        <f t="shared" si="22"/>
        <v>34.221525600835946</v>
      </c>
      <c r="F182" s="525">
        <v>739</v>
      </c>
      <c r="G182" s="623">
        <f t="shared" si="23"/>
        <v>38.610240334378268</v>
      </c>
      <c r="H182" s="525">
        <v>610</v>
      </c>
      <c r="I182" s="623">
        <f t="shared" si="24"/>
        <v>31.870428422152557</v>
      </c>
    </row>
    <row r="183" spans="1:9">
      <c r="A183" s="382" t="s">
        <v>2185</v>
      </c>
      <c r="B183" s="463">
        <v>4542</v>
      </c>
      <c r="C183" s="435">
        <v>2411</v>
      </c>
      <c r="D183" s="525">
        <v>824</v>
      </c>
      <c r="E183" s="623">
        <f t="shared" si="22"/>
        <v>34.176690170053917</v>
      </c>
      <c r="F183" s="525">
        <v>758</v>
      </c>
      <c r="G183" s="623">
        <f t="shared" si="23"/>
        <v>31.439236831190374</v>
      </c>
      <c r="H183" s="525">
        <v>756</v>
      </c>
      <c r="I183" s="623">
        <f t="shared" si="24"/>
        <v>31.356283699709664</v>
      </c>
    </row>
    <row r="184" spans="1:9">
      <c r="A184" s="382" t="s">
        <v>2202</v>
      </c>
      <c r="B184" s="463">
        <v>4624</v>
      </c>
      <c r="C184" s="435">
        <v>2320</v>
      </c>
      <c r="D184" s="525">
        <v>785</v>
      </c>
      <c r="E184" s="623">
        <f t="shared" si="22"/>
        <v>33.836206896551722</v>
      </c>
      <c r="F184" s="525">
        <v>690</v>
      </c>
      <c r="G184" s="623">
        <f t="shared" si="23"/>
        <v>29.741379310344829</v>
      </c>
      <c r="H184" s="525">
        <v>742</v>
      </c>
      <c r="I184" s="623">
        <f t="shared" si="24"/>
        <v>31.982758620689655</v>
      </c>
    </row>
    <row r="185" spans="1:9">
      <c r="A185" s="382" t="s">
        <v>2177</v>
      </c>
      <c r="B185" s="463">
        <v>13470</v>
      </c>
      <c r="C185" s="435">
        <v>5479</v>
      </c>
      <c r="D185" s="525">
        <v>2358</v>
      </c>
      <c r="E185" s="623">
        <f t="shared" si="22"/>
        <v>43.037050556670927</v>
      </c>
      <c r="F185" s="525">
        <v>1606</v>
      </c>
      <c r="G185" s="623">
        <f t="shared" si="23"/>
        <v>29.311918233254243</v>
      </c>
      <c r="H185" s="525">
        <v>1938</v>
      </c>
      <c r="I185" s="623">
        <f t="shared" si="24"/>
        <v>35.371418141996713</v>
      </c>
    </row>
    <row r="186" spans="1:9">
      <c r="A186" s="381" t="s">
        <v>2208</v>
      </c>
      <c r="B186" s="497">
        <v>6213</v>
      </c>
      <c r="C186" s="556">
        <v>2975</v>
      </c>
      <c r="D186" s="633">
        <v>1231</v>
      </c>
      <c r="E186" s="634">
        <f t="shared" si="22"/>
        <v>41.378151260504204</v>
      </c>
      <c r="F186" s="633">
        <v>943</v>
      </c>
      <c r="G186" s="634">
        <f t="shared" si="23"/>
        <v>31.69747899159664</v>
      </c>
      <c r="H186" s="633">
        <v>1086</v>
      </c>
      <c r="I186" s="634">
        <f t="shared" si="24"/>
        <v>36.504201680672274</v>
      </c>
    </row>
    <row r="187" spans="1:9">
      <c r="A187" s="382" t="s">
        <v>4069</v>
      </c>
    </row>
    <row r="190" spans="1:9">
      <c r="A190" s="381" t="s">
        <v>4335</v>
      </c>
      <c r="B190" s="586"/>
      <c r="C190" s="586"/>
    </row>
    <row r="191" spans="1:9">
      <c r="B191" s="602"/>
      <c r="C191" s="604"/>
      <c r="D191" s="2137" t="s">
        <v>4336</v>
      </c>
      <c r="E191" s="2140"/>
      <c r="F191" s="2137" t="s">
        <v>4337</v>
      </c>
      <c r="G191" s="2140"/>
      <c r="H191" s="2137" t="s">
        <v>4338</v>
      </c>
      <c r="I191" s="2146"/>
    </row>
    <row r="192" spans="1:9">
      <c r="B192" s="422" t="s">
        <v>3991</v>
      </c>
      <c r="C192" s="893"/>
      <c r="D192" s="2141"/>
      <c r="E192" s="2142"/>
      <c r="F192" s="2141"/>
      <c r="G192" s="2142"/>
      <c r="H192" s="2141"/>
      <c r="I192" s="2143"/>
    </row>
    <row r="193" spans="1:11">
      <c r="A193" s="381" t="s">
        <v>4020</v>
      </c>
      <c r="B193" s="611" t="s">
        <v>4021</v>
      </c>
      <c r="C193" s="614" t="s">
        <v>3972</v>
      </c>
      <c r="D193" s="442" t="s">
        <v>1665</v>
      </c>
      <c r="E193" s="642" t="s">
        <v>1666</v>
      </c>
      <c r="F193" s="442" t="s">
        <v>1665</v>
      </c>
      <c r="G193" s="642" t="s">
        <v>1666</v>
      </c>
      <c r="H193" s="642" t="s">
        <v>1665</v>
      </c>
      <c r="I193" s="894" t="s">
        <v>1666</v>
      </c>
    </row>
    <row r="194" spans="1:11">
      <c r="A194" s="382" t="s">
        <v>3503</v>
      </c>
      <c r="B194" s="463">
        <f>SUM(B195:B213)</f>
        <v>55878</v>
      </c>
      <c r="C194" s="525">
        <f>SUM(C195:C213)</f>
        <v>29377</v>
      </c>
      <c r="D194" s="525">
        <f>SUM(D195:D213)</f>
        <v>8497</v>
      </c>
      <c r="E194" s="623">
        <f>D194/C194*100</f>
        <v>28.923988153998025</v>
      </c>
      <c r="F194" s="525">
        <f>SUM(F195:F213)</f>
        <v>7570</v>
      </c>
      <c r="G194" s="623">
        <f>F194/C194*100</f>
        <v>25.768458317731557</v>
      </c>
      <c r="H194" s="525">
        <f>SUM(H195:H213)</f>
        <v>5664</v>
      </c>
      <c r="I194" s="623">
        <f>H194/C194*100</f>
        <v>19.280389420294789</v>
      </c>
    </row>
    <row r="195" spans="1:11">
      <c r="A195" s="858" t="s">
        <v>2384</v>
      </c>
      <c r="B195" s="880">
        <v>439</v>
      </c>
      <c r="C195" s="859">
        <v>265</v>
      </c>
      <c r="D195" s="525">
        <v>77</v>
      </c>
      <c r="E195" s="623">
        <f t="shared" ref="E195:E213" si="25">D195/C195*100</f>
        <v>29.056603773584904</v>
      </c>
      <c r="F195" s="525">
        <v>54</v>
      </c>
      <c r="G195" s="623">
        <f t="shared" ref="G195:G213" si="26">F195/C195*100</f>
        <v>20.377358490566039</v>
      </c>
      <c r="H195" s="525">
        <v>36</v>
      </c>
      <c r="I195" s="623">
        <f t="shared" ref="I195:I213" si="27">H195/C195*100</f>
        <v>13.584905660377359</v>
      </c>
    </row>
    <row r="196" spans="1:11">
      <c r="A196" s="382" t="s">
        <v>2252</v>
      </c>
      <c r="B196" s="463">
        <v>1058</v>
      </c>
      <c r="C196" s="463">
        <v>657</v>
      </c>
      <c r="D196" s="525">
        <v>187</v>
      </c>
      <c r="E196" s="623">
        <f t="shared" si="25"/>
        <v>28.462709284627092</v>
      </c>
      <c r="F196" s="525">
        <v>139</v>
      </c>
      <c r="G196" s="623">
        <f t="shared" si="26"/>
        <v>21.156773211567732</v>
      </c>
      <c r="H196" s="525">
        <v>103</v>
      </c>
      <c r="I196" s="623">
        <f t="shared" si="27"/>
        <v>15.67732115677321</v>
      </c>
    </row>
    <row r="197" spans="1:11">
      <c r="A197" s="382" t="s">
        <v>2195</v>
      </c>
      <c r="B197" s="463">
        <v>885</v>
      </c>
      <c r="C197" s="463">
        <v>532</v>
      </c>
      <c r="D197" s="525">
        <v>145</v>
      </c>
      <c r="E197" s="623">
        <f t="shared" si="25"/>
        <v>27.255639097744361</v>
      </c>
      <c r="F197" s="525">
        <v>108</v>
      </c>
      <c r="G197" s="623">
        <f t="shared" si="26"/>
        <v>20.300751879699249</v>
      </c>
      <c r="H197" s="525">
        <v>83</v>
      </c>
      <c r="I197" s="623">
        <f t="shared" si="27"/>
        <v>15.601503759398497</v>
      </c>
    </row>
    <row r="198" spans="1:11">
      <c r="A198" s="382" t="s">
        <v>4042</v>
      </c>
      <c r="B198" s="463">
        <v>2327</v>
      </c>
      <c r="C198" s="435">
        <v>1335</v>
      </c>
      <c r="D198" s="525">
        <v>340</v>
      </c>
      <c r="E198" s="623">
        <f t="shared" si="25"/>
        <v>25.468164794007492</v>
      </c>
      <c r="F198" s="525">
        <v>328</v>
      </c>
      <c r="G198" s="623">
        <f t="shared" si="26"/>
        <v>24.569288389513108</v>
      </c>
      <c r="H198" s="525">
        <v>263</v>
      </c>
      <c r="I198" s="623">
        <f t="shared" si="27"/>
        <v>19.700374531835205</v>
      </c>
      <c r="J198" s="702"/>
      <c r="K198" s="702"/>
    </row>
    <row r="199" spans="1:11">
      <c r="A199" s="382" t="s">
        <v>4315</v>
      </c>
      <c r="B199" s="463">
        <v>1872</v>
      </c>
      <c r="C199" s="435">
        <v>1114</v>
      </c>
      <c r="D199" s="525">
        <v>304</v>
      </c>
      <c r="E199" s="623">
        <f t="shared" si="25"/>
        <v>27.289048473967686</v>
      </c>
      <c r="F199" s="525">
        <v>292</v>
      </c>
      <c r="G199" s="623">
        <f t="shared" si="26"/>
        <v>26.211849192100541</v>
      </c>
      <c r="H199" s="525">
        <v>177</v>
      </c>
      <c r="I199" s="623">
        <f t="shared" si="27"/>
        <v>15.888689407540395</v>
      </c>
      <c r="J199" s="702"/>
      <c r="K199" s="702"/>
    </row>
    <row r="200" spans="1:11">
      <c r="A200" s="382" t="s">
        <v>4212</v>
      </c>
      <c r="B200" s="463">
        <v>684</v>
      </c>
      <c r="C200" s="463">
        <v>456</v>
      </c>
      <c r="D200" s="525">
        <v>76</v>
      </c>
      <c r="E200" s="623">
        <f t="shared" si="25"/>
        <v>16.666666666666664</v>
      </c>
      <c r="F200" s="525">
        <v>144</v>
      </c>
      <c r="G200" s="623">
        <f t="shared" si="26"/>
        <v>31.578947368421051</v>
      </c>
      <c r="H200" s="525">
        <v>63</v>
      </c>
      <c r="I200" s="623">
        <f t="shared" si="27"/>
        <v>13.815789473684212</v>
      </c>
      <c r="J200" s="439"/>
      <c r="K200" s="439"/>
    </row>
    <row r="201" spans="1:11">
      <c r="A201" s="382" t="s">
        <v>2151</v>
      </c>
      <c r="B201" s="463">
        <v>1288</v>
      </c>
      <c r="C201" s="435">
        <v>839</v>
      </c>
      <c r="D201" s="525">
        <v>163</v>
      </c>
      <c r="E201" s="623">
        <f t="shared" si="25"/>
        <v>19.427890345649583</v>
      </c>
      <c r="F201" s="525">
        <v>266</v>
      </c>
      <c r="G201" s="623">
        <f t="shared" si="26"/>
        <v>31.704410011918949</v>
      </c>
      <c r="H201" s="525">
        <v>130</v>
      </c>
      <c r="I201" s="623">
        <f t="shared" si="27"/>
        <v>15.494636471990464</v>
      </c>
      <c r="J201" s="623"/>
      <c r="K201" s="623"/>
    </row>
    <row r="202" spans="1:11">
      <c r="A202" s="382" t="s">
        <v>4217</v>
      </c>
      <c r="B202" s="463">
        <v>1945</v>
      </c>
      <c r="C202" s="435">
        <v>1386</v>
      </c>
      <c r="D202" s="525">
        <v>381</v>
      </c>
      <c r="E202" s="623">
        <f t="shared" si="25"/>
        <v>27.489177489177489</v>
      </c>
      <c r="F202" s="525">
        <v>521</v>
      </c>
      <c r="G202" s="623">
        <f t="shared" si="26"/>
        <v>37.59018759018759</v>
      </c>
      <c r="H202" s="525">
        <v>162</v>
      </c>
      <c r="I202" s="623">
        <f t="shared" si="27"/>
        <v>11.688311688311687</v>
      </c>
      <c r="J202" s="623"/>
      <c r="K202" s="623"/>
    </row>
    <row r="203" spans="1:11">
      <c r="A203" s="382" t="s">
        <v>4056</v>
      </c>
      <c r="B203" s="463">
        <v>1713</v>
      </c>
      <c r="C203" s="435">
        <v>1077</v>
      </c>
      <c r="D203" s="525">
        <v>281</v>
      </c>
      <c r="E203" s="623">
        <f t="shared" si="25"/>
        <v>26.090993500464254</v>
      </c>
      <c r="F203" s="525">
        <v>303</v>
      </c>
      <c r="G203" s="623">
        <f t="shared" si="26"/>
        <v>28.133704735376046</v>
      </c>
      <c r="H203" s="525">
        <v>177</v>
      </c>
      <c r="I203" s="623">
        <f t="shared" si="27"/>
        <v>16.434540389972145</v>
      </c>
      <c r="J203" s="623"/>
      <c r="K203" s="623"/>
    </row>
    <row r="204" spans="1:11">
      <c r="A204" s="382" t="s">
        <v>2209</v>
      </c>
      <c r="B204" s="463">
        <v>2990</v>
      </c>
      <c r="C204" s="435">
        <v>1737</v>
      </c>
      <c r="D204" s="525">
        <v>496</v>
      </c>
      <c r="E204" s="623">
        <f t="shared" si="25"/>
        <v>28.554979850316638</v>
      </c>
      <c r="F204" s="525">
        <v>433</v>
      </c>
      <c r="G204" s="623">
        <f t="shared" si="26"/>
        <v>24.928036845135289</v>
      </c>
      <c r="H204" s="525">
        <v>273</v>
      </c>
      <c r="I204" s="623">
        <f t="shared" si="27"/>
        <v>15.716753022452504</v>
      </c>
      <c r="J204" s="623"/>
      <c r="K204" s="623"/>
    </row>
    <row r="205" spans="1:11">
      <c r="A205" s="382" t="s">
        <v>2352</v>
      </c>
      <c r="B205" s="463">
        <v>2764</v>
      </c>
      <c r="C205" s="435">
        <v>1492</v>
      </c>
      <c r="D205" s="525">
        <v>520</v>
      </c>
      <c r="E205" s="623">
        <f t="shared" si="25"/>
        <v>34.852546916890084</v>
      </c>
      <c r="F205" s="525">
        <v>348</v>
      </c>
      <c r="G205" s="623">
        <f t="shared" si="26"/>
        <v>23.324396782841823</v>
      </c>
      <c r="H205" s="525">
        <v>242</v>
      </c>
      <c r="I205" s="623">
        <f t="shared" si="27"/>
        <v>16.219839142091153</v>
      </c>
      <c r="J205" s="623"/>
      <c r="K205" s="623"/>
    </row>
    <row r="206" spans="1:11">
      <c r="A206" s="382" t="s">
        <v>2261</v>
      </c>
      <c r="B206" s="463">
        <v>1688</v>
      </c>
      <c r="C206" s="435">
        <v>1079</v>
      </c>
      <c r="D206" s="525">
        <v>330</v>
      </c>
      <c r="E206" s="623">
        <f t="shared" si="25"/>
        <v>30.583873957367935</v>
      </c>
      <c r="F206" s="525">
        <v>238</v>
      </c>
      <c r="G206" s="623">
        <f t="shared" si="26"/>
        <v>22.057460611677477</v>
      </c>
      <c r="H206" s="525">
        <v>188</v>
      </c>
      <c r="I206" s="623">
        <f t="shared" si="27"/>
        <v>17.423540315106582</v>
      </c>
      <c r="J206" s="623"/>
      <c r="K206" s="623"/>
    </row>
    <row r="207" spans="1:11">
      <c r="A207" s="382" t="s">
        <v>2251</v>
      </c>
      <c r="B207" s="463">
        <v>1650</v>
      </c>
      <c r="C207" s="435">
        <v>1126</v>
      </c>
      <c r="D207" s="525">
        <v>353</v>
      </c>
      <c r="E207" s="623">
        <f t="shared" si="25"/>
        <v>31.349911190053287</v>
      </c>
      <c r="F207" s="525">
        <v>228</v>
      </c>
      <c r="G207" s="623">
        <f t="shared" si="26"/>
        <v>20.24866785079929</v>
      </c>
      <c r="H207" s="525">
        <v>167</v>
      </c>
      <c r="I207" s="623">
        <f t="shared" si="27"/>
        <v>14.83126110124334</v>
      </c>
      <c r="J207" s="623"/>
      <c r="K207" s="623"/>
    </row>
    <row r="208" spans="1:11">
      <c r="A208" s="382" t="s">
        <v>4067</v>
      </c>
      <c r="B208" s="463">
        <v>2191</v>
      </c>
      <c r="C208" s="435">
        <v>1183</v>
      </c>
      <c r="D208" s="525">
        <v>385</v>
      </c>
      <c r="E208" s="623">
        <f t="shared" si="25"/>
        <v>32.544378698224854</v>
      </c>
      <c r="F208" s="525">
        <v>290</v>
      </c>
      <c r="G208" s="623">
        <f t="shared" si="26"/>
        <v>24.513947590870668</v>
      </c>
      <c r="H208" s="525">
        <v>209</v>
      </c>
      <c r="I208" s="623">
        <f t="shared" si="27"/>
        <v>17.666948436179204</v>
      </c>
      <c r="J208" s="623"/>
      <c r="K208" s="623"/>
    </row>
    <row r="209" spans="1:11">
      <c r="A209" s="382" t="s">
        <v>2253</v>
      </c>
      <c r="B209" s="463">
        <v>3535</v>
      </c>
      <c r="C209" s="435">
        <v>1914</v>
      </c>
      <c r="D209" s="525">
        <v>623</v>
      </c>
      <c r="E209" s="623">
        <f t="shared" si="25"/>
        <v>32.549634273772206</v>
      </c>
      <c r="F209" s="525">
        <v>432</v>
      </c>
      <c r="G209" s="623">
        <f t="shared" si="26"/>
        <v>22.570532915360502</v>
      </c>
      <c r="H209" s="525">
        <v>334</v>
      </c>
      <c r="I209" s="623">
        <f t="shared" si="27"/>
        <v>17.450365726227794</v>
      </c>
      <c r="J209" s="623"/>
      <c r="K209" s="623"/>
    </row>
    <row r="210" spans="1:11">
      <c r="A210" s="382" t="s">
        <v>2185</v>
      </c>
      <c r="B210" s="463">
        <v>4542</v>
      </c>
      <c r="C210" s="435">
        <v>2411</v>
      </c>
      <c r="D210" s="525">
        <v>1025</v>
      </c>
      <c r="E210" s="623">
        <f t="shared" si="25"/>
        <v>42.513479883865621</v>
      </c>
      <c r="F210" s="525">
        <v>569</v>
      </c>
      <c r="G210" s="623">
        <f t="shared" si="26"/>
        <v>23.600165906262962</v>
      </c>
      <c r="H210" s="525">
        <v>479</v>
      </c>
      <c r="I210" s="623">
        <f t="shared" si="27"/>
        <v>19.867274989630861</v>
      </c>
      <c r="J210" s="623"/>
      <c r="K210" s="623"/>
    </row>
    <row r="211" spans="1:11">
      <c r="A211" s="382" t="s">
        <v>2202</v>
      </c>
      <c r="B211" s="463">
        <v>4624</v>
      </c>
      <c r="C211" s="435">
        <v>2320</v>
      </c>
      <c r="D211" s="525">
        <v>576</v>
      </c>
      <c r="E211" s="623">
        <f t="shared" si="25"/>
        <v>24.827586206896552</v>
      </c>
      <c r="F211" s="525">
        <v>533</v>
      </c>
      <c r="G211" s="623">
        <f t="shared" si="26"/>
        <v>22.974137931034484</v>
      </c>
      <c r="H211" s="525">
        <v>453</v>
      </c>
      <c r="I211" s="623">
        <f t="shared" si="27"/>
        <v>19.525862068965516</v>
      </c>
      <c r="J211" s="623"/>
      <c r="K211" s="623"/>
    </row>
    <row r="212" spans="1:11">
      <c r="A212" s="382" t="s">
        <v>2177</v>
      </c>
      <c r="B212" s="463">
        <v>13470</v>
      </c>
      <c r="C212" s="435">
        <v>5479</v>
      </c>
      <c r="D212" s="525">
        <v>1488</v>
      </c>
      <c r="E212" s="623">
        <f t="shared" si="25"/>
        <v>27.158240554845776</v>
      </c>
      <c r="F212" s="525">
        <v>1522</v>
      </c>
      <c r="G212" s="623">
        <f t="shared" si="26"/>
        <v>27.778791750319403</v>
      </c>
      <c r="H212" s="525">
        <v>1400</v>
      </c>
      <c r="I212" s="623">
        <f t="shared" si="27"/>
        <v>25.552108048914036</v>
      </c>
      <c r="J212" s="623"/>
      <c r="K212" s="623"/>
    </row>
    <row r="213" spans="1:11">
      <c r="A213" s="381" t="s">
        <v>2208</v>
      </c>
      <c r="B213" s="497">
        <v>6213</v>
      </c>
      <c r="C213" s="556">
        <v>2975</v>
      </c>
      <c r="D213" s="633">
        <v>747</v>
      </c>
      <c r="E213" s="634">
        <f t="shared" si="25"/>
        <v>25.109243697478988</v>
      </c>
      <c r="F213" s="633">
        <v>822</v>
      </c>
      <c r="G213" s="634">
        <f t="shared" si="26"/>
        <v>27.630252100840337</v>
      </c>
      <c r="H213" s="633">
        <v>725</v>
      </c>
      <c r="I213" s="634">
        <f t="shared" si="27"/>
        <v>24.369747899159663</v>
      </c>
      <c r="J213" s="623"/>
      <c r="K213" s="623"/>
    </row>
    <row r="214" spans="1:11">
      <c r="A214" s="382" t="s">
        <v>4069</v>
      </c>
      <c r="J214" s="623"/>
      <c r="K214" s="623"/>
    </row>
    <row r="215" spans="1:11">
      <c r="J215" s="623"/>
      <c r="K215" s="623"/>
    </row>
    <row r="216" spans="1:11">
      <c r="J216" s="623"/>
      <c r="K216" s="623"/>
    </row>
    <row r="217" spans="1:11">
      <c r="J217" s="623"/>
      <c r="K217" s="623"/>
    </row>
    <row r="218" spans="1:11">
      <c r="J218" s="623"/>
      <c r="K218" s="623"/>
    </row>
    <row r="219" spans="1:11">
      <c r="J219" s="623"/>
      <c r="K219" s="623"/>
    </row>
    <row r="220" spans="1:11">
      <c r="J220" s="623"/>
      <c r="K220" s="623"/>
    </row>
  </sheetData>
  <mergeCells count="35">
    <mergeCell ref="D83:E84"/>
    <mergeCell ref="F83:G84"/>
    <mergeCell ref="H83:I84"/>
    <mergeCell ref="AH2:AI2"/>
    <mergeCell ref="AJ2:AK2"/>
    <mergeCell ref="D29:E30"/>
    <mergeCell ref="F29:G30"/>
    <mergeCell ref="H29:I30"/>
    <mergeCell ref="O29:T29"/>
    <mergeCell ref="X29:AC29"/>
    <mergeCell ref="D2:E3"/>
    <mergeCell ref="F2:G3"/>
    <mergeCell ref="H2:I3"/>
    <mergeCell ref="J2:K3"/>
    <mergeCell ref="O2:T2"/>
    <mergeCell ref="X2:AC2"/>
    <mergeCell ref="D56:E57"/>
    <mergeCell ref="F56:G57"/>
    <mergeCell ref="H56:I57"/>
    <mergeCell ref="O56:T56"/>
    <mergeCell ref="Y57:AE57"/>
    <mergeCell ref="J86:K87"/>
    <mergeCell ref="D109:E110"/>
    <mergeCell ref="F109:G110"/>
    <mergeCell ref="H109:I110"/>
    <mergeCell ref="D136:E137"/>
    <mergeCell ref="F136:G137"/>
    <mergeCell ref="H136:I137"/>
    <mergeCell ref="J136:K137"/>
    <mergeCell ref="D164:E165"/>
    <mergeCell ref="F164:G165"/>
    <mergeCell ref="H164:I165"/>
    <mergeCell ref="D191:E192"/>
    <mergeCell ref="F191:G192"/>
    <mergeCell ref="H191:I192"/>
  </mergeCells>
  <pageMargins left="0.75" right="0.75" top="1" bottom="1" header="0.5" footer="0.5"/>
  <pageSetup scale="61" orientation="portrait" r:id="rId1"/>
  <headerFooter alignWithMargins="0"/>
  <ignoredErrors>
    <ignoredError sqref="E5:G5 E32:G32 E59:G59 E86:G86 E112:G112 E139:I139 E167:G167 E194:G19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13</vt:i4>
      </vt:variant>
    </vt:vector>
  </HeadingPairs>
  <TitlesOfParts>
    <vt:vector size="49" baseType="lpstr">
      <vt:lpstr>Chp1- Climate</vt:lpstr>
      <vt:lpstr>Chp2- Agriculture &amp; Fisheries</vt:lpstr>
      <vt:lpstr>Chp3- Chamorros in the US</vt:lpstr>
      <vt:lpstr>Chp4- Compact Impact</vt:lpstr>
      <vt:lpstr>Chp5- CPI</vt:lpstr>
      <vt:lpstr>Chp6- Education</vt:lpstr>
      <vt:lpstr>Chp7-Elections #1</vt:lpstr>
      <vt:lpstr>Chp7- Elections #2</vt:lpstr>
      <vt:lpstr>Chp7- Elections #3</vt:lpstr>
      <vt:lpstr>Chp8- Federal Programs</vt:lpstr>
      <vt:lpstr>Chp9- Financial Sector</vt:lpstr>
      <vt:lpstr>Chp10- Gov't Rev &amp; Exp.</vt:lpstr>
      <vt:lpstr>Chp11- Gov't Operations</vt:lpstr>
      <vt:lpstr>Chp12- Health #1</vt:lpstr>
      <vt:lpstr>Chp12- Health #2</vt:lpstr>
      <vt:lpstr>Chp12- Health #3</vt:lpstr>
      <vt:lpstr>Chp12- Health #4</vt:lpstr>
      <vt:lpstr>Chp12- Health #5</vt:lpstr>
      <vt:lpstr>Chp13- Income</vt:lpstr>
      <vt:lpstr>Chp14- Insular Areas</vt:lpstr>
      <vt:lpstr>Chp15- Justice</vt:lpstr>
      <vt:lpstr>CHP16- Labor #1</vt:lpstr>
      <vt:lpstr>Chp16- Labor #2</vt:lpstr>
      <vt:lpstr>Chp16- Labor #3</vt:lpstr>
      <vt:lpstr>Chp16- Labor #4</vt:lpstr>
      <vt:lpstr>Chp16- Labor #5</vt:lpstr>
      <vt:lpstr>Chp17- Land &amp; Constuction</vt:lpstr>
      <vt:lpstr>Chp18- Public Assistance</vt:lpstr>
      <vt:lpstr>Chp19- Trade #1</vt:lpstr>
      <vt:lpstr>Chp19- Trade #2</vt:lpstr>
      <vt:lpstr>Chp19- Trade #3</vt:lpstr>
      <vt:lpstr>Chap19- Trade #4</vt:lpstr>
      <vt:lpstr> Chp19- Trade #5</vt:lpstr>
      <vt:lpstr>Chp20- Transportation</vt:lpstr>
      <vt:lpstr>Chp21- Visitor Arrivals</vt:lpstr>
      <vt:lpstr>Chp22- Housing &amp; Population</vt:lpstr>
      <vt:lpstr>'Chp10- Gov''t Rev &amp; Exp.'!Print_Area</vt:lpstr>
      <vt:lpstr>'Chp11- Gov''t Operations'!Print_Area</vt:lpstr>
      <vt:lpstr>'Chp12- Health #1'!Print_Area</vt:lpstr>
      <vt:lpstr>'Chp12- Health #5'!Print_Area</vt:lpstr>
      <vt:lpstr>'Chp14- Insular Areas'!Print_Area</vt:lpstr>
      <vt:lpstr>'Chp16- Labor #2'!Print_Area</vt:lpstr>
      <vt:lpstr>'Chp18- Public Assistance'!Print_Area</vt:lpstr>
      <vt:lpstr>'Chp21- Visitor Arrivals'!Print_Area</vt:lpstr>
      <vt:lpstr>'Chp4- Compact Impact'!Print_Area</vt:lpstr>
      <vt:lpstr>'Chp7- Elections #2'!Print_Area</vt:lpstr>
      <vt:lpstr>'Chp7- Elections #3'!Print_Area</vt:lpstr>
      <vt:lpstr>'Chp8- Federal Programs'!Print_Area</vt:lpstr>
      <vt:lpstr>'Chp9- Financial Sector'!Print_Area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 L. Chargualaf</dc:creator>
  <cp:lastModifiedBy>Esther Camacho</cp:lastModifiedBy>
  <dcterms:created xsi:type="dcterms:W3CDTF">2025-12-29T03:45:27Z</dcterms:created>
  <dcterms:modified xsi:type="dcterms:W3CDTF">2026-01-22T00:07:33Z</dcterms:modified>
</cp:coreProperties>
</file>